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anik/Downloads/"/>
    </mc:Choice>
  </mc:AlternateContent>
  <xr:revisionPtr revIDLastSave="0" documentId="13_ncr:1_{5CBDDF06-62D2-FE47-9A14-CD2DBDFF18A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ettings" sheetId="1" r:id="rId1"/>
    <sheet name="The List" sheetId="2" r:id="rId2"/>
    <sheet name="Team Comparison" sheetId="3" r:id="rId3"/>
    <sheet name="F" sheetId="4" r:id="rId4"/>
    <sheet name="C" sheetId="5" r:id="rId5"/>
    <sheet name="LW" sheetId="6" r:id="rId6"/>
    <sheet name="RW" sheetId="7" r:id="rId7"/>
    <sheet name="D" sheetId="8" r:id="rId8"/>
    <sheet name="G" sheetId="9" r:id="rId9"/>
    <sheet name="ADP" sheetId="10" r:id="rId10"/>
    <sheet name="Player Data" sheetId="11" r:id="rId11"/>
    <sheet name="Standard Deviations" sheetId="12" r:id="rId12"/>
  </sheets>
  <definedNames>
    <definedName name="_xlnm._FilterDatabase" localSheetId="1" hidden="1">'The List'!$A$1:$AR$671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72" i="12" l="1" a="1"/>
  <c r="B672" i="12" s="1"/>
  <c r="B671" i="12" a="1"/>
  <c r="B671" i="12" s="1"/>
  <c r="B670" i="12" a="1"/>
  <c r="B670" i="12" s="1"/>
  <c r="B669" i="12" a="1"/>
  <c r="B669" i="12" s="1"/>
  <c r="B668" i="12" a="1"/>
  <c r="B668" i="12" s="1"/>
  <c r="B667" i="12" a="1"/>
  <c r="B667" i="12" s="1"/>
  <c r="B666" i="12" a="1"/>
  <c r="B666" i="12" s="1"/>
  <c r="B665" i="12" a="1"/>
  <c r="B665" i="12" s="1"/>
  <c r="B664" i="12" a="1"/>
  <c r="B664" i="12" s="1"/>
  <c r="B663" i="12" a="1"/>
  <c r="B663" i="12"/>
  <c r="B662" i="12" a="1"/>
  <c r="B662" i="12" s="1"/>
  <c r="B661" i="12" a="1"/>
  <c r="B661" i="12" s="1"/>
  <c r="B660" i="12" a="1"/>
  <c r="B660" i="12" s="1"/>
  <c r="B659" i="12" a="1"/>
  <c r="B659" i="12" s="1"/>
  <c r="B658" i="12" a="1"/>
  <c r="B658" i="12" s="1"/>
  <c r="B657" i="12" a="1"/>
  <c r="B657" i="12"/>
  <c r="B656" i="12" a="1"/>
  <c r="B656" i="12"/>
  <c r="B655" i="12" a="1"/>
  <c r="B655" i="12" s="1"/>
  <c r="B654" i="12" a="1"/>
  <c r="B654" i="12" s="1"/>
  <c r="B653" i="12" a="1"/>
  <c r="B653" i="12" s="1"/>
  <c r="B652" i="12" a="1"/>
  <c r="B652" i="12" s="1"/>
  <c r="B651" i="12" a="1"/>
  <c r="B651" i="12"/>
  <c r="B650" i="12" a="1"/>
  <c r="B650" i="12" s="1"/>
  <c r="B649" i="12" a="1"/>
  <c r="B649" i="12" s="1"/>
  <c r="B648" i="12" a="1"/>
  <c r="B648" i="12" s="1"/>
  <c r="B647" i="12" a="1"/>
  <c r="B647" i="12" s="1"/>
  <c r="B646" i="12" a="1"/>
  <c r="B646" i="12" s="1"/>
  <c r="B645" i="12" a="1"/>
  <c r="B645" i="12" s="1"/>
  <c r="B644" i="12" a="1"/>
  <c r="B644" i="12" s="1"/>
  <c r="B643" i="12" a="1"/>
  <c r="B643" i="12"/>
  <c r="B642" i="12" a="1"/>
  <c r="B642" i="12" s="1"/>
  <c r="B641" i="12" a="1"/>
  <c r="B641" i="12" s="1"/>
  <c r="B640" i="12" a="1"/>
  <c r="B640" i="12" s="1"/>
  <c r="B639" i="12" a="1"/>
  <c r="B639" i="12" s="1"/>
  <c r="B638" i="12" a="1"/>
  <c r="B638" i="12" s="1"/>
  <c r="B636" i="12" a="1"/>
  <c r="B636" i="12" s="1"/>
  <c r="B635" i="12" a="1"/>
  <c r="B635" i="12" s="1"/>
  <c r="B634" i="12" a="1"/>
  <c r="B634" i="12" s="1"/>
  <c r="B633" i="12" a="1"/>
  <c r="B633" i="12" s="1"/>
  <c r="B632" i="12" a="1"/>
  <c r="B632" i="12" s="1"/>
  <c r="B631" i="12" a="1"/>
  <c r="B631" i="12" s="1"/>
  <c r="B630" i="12" a="1"/>
  <c r="B630" i="12" s="1"/>
  <c r="B629" i="12" a="1"/>
  <c r="B629" i="12" s="1"/>
  <c r="B628" i="12" a="1"/>
  <c r="B628" i="12" s="1"/>
  <c r="B627" i="12" a="1"/>
  <c r="B627" i="12" s="1"/>
  <c r="B626" i="12" a="1"/>
  <c r="B626" i="12" s="1"/>
  <c r="B625" i="12" a="1"/>
  <c r="B625" i="12" s="1"/>
  <c r="B624" i="12" a="1"/>
  <c r="B624" i="12" s="1"/>
  <c r="B623" i="12" a="1"/>
  <c r="B623" i="12" s="1"/>
  <c r="B622" i="12" a="1"/>
  <c r="B622" i="12" s="1"/>
  <c r="B621" i="12" a="1"/>
  <c r="B621" i="12" s="1"/>
  <c r="B620" i="12" a="1"/>
  <c r="B620" i="12" s="1"/>
  <c r="B619" i="12" a="1"/>
  <c r="B619" i="12" s="1"/>
  <c r="B618" i="12" a="1"/>
  <c r="B618" i="12" s="1"/>
  <c r="B617" i="12" a="1"/>
  <c r="B617" i="12" s="1"/>
  <c r="B616" i="12" a="1"/>
  <c r="B616" i="12" s="1"/>
  <c r="B615" i="12" a="1"/>
  <c r="B615" i="12" s="1"/>
  <c r="B614" i="12" a="1"/>
  <c r="B614" i="12" s="1"/>
  <c r="B613" i="12" a="1"/>
  <c r="B613" i="12" s="1"/>
  <c r="B612" i="12" a="1"/>
  <c r="B612" i="12"/>
  <c r="B611" i="12" a="1"/>
  <c r="B611" i="12" s="1"/>
  <c r="B610" i="12" a="1"/>
  <c r="B610" i="12"/>
  <c r="B609" i="12" a="1"/>
  <c r="B609" i="12" s="1"/>
  <c r="D607" i="12" a="1"/>
  <c r="D607" i="12" s="1"/>
  <c r="B607" i="12" a="1"/>
  <c r="B607" i="12"/>
  <c r="D606" i="12" a="1"/>
  <c r="D606" i="12" s="1"/>
  <c r="B606" i="12" a="1"/>
  <c r="B606" i="12" s="1"/>
  <c r="D605" i="12" a="1"/>
  <c r="D605" i="12" s="1"/>
  <c r="B605" i="12" a="1"/>
  <c r="B605" i="12"/>
  <c r="D604" i="12" a="1"/>
  <c r="D604" i="12" s="1"/>
  <c r="B604" i="12" a="1"/>
  <c r="B604" i="12" s="1"/>
  <c r="D603" i="12" a="1"/>
  <c r="D603" i="12" s="1"/>
  <c r="B603" i="12" a="1"/>
  <c r="B603" i="12" s="1"/>
  <c r="D602" i="12" a="1"/>
  <c r="D602" i="12" s="1"/>
  <c r="B602" i="12" a="1"/>
  <c r="B602" i="12" s="1"/>
  <c r="D601" i="12" a="1"/>
  <c r="D601" i="12" s="1"/>
  <c r="B601" i="12" a="1"/>
  <c r="B601" i="12" s="1"/>
  <c r="D600" i="12" a="1"/>
  <c r="D600" i="12" s="1"/>
  <c r="B600" i="12" a="1"/>
  <c r="B600" i="12" s="1"/>
  <c r="D599" i="12" a="1"/>
  <c r="D599" i="12" s="1"/>
  <c r="B599" i="12" a="1"/>
  <c r="B599" i="12" s="1"/>
  <c r="D598" i="12" a="1"/>
  <c r="D598" i="12" s="1"/>
  <c r="B598" i="12" a="1"/>
  <c r="B598" i="12" s="1"/>
  <c r="D597" i="12" a="1"/>
  <c r="D597" i="12" s="1"/>
  <c r="B597" i="12" a="1"/>
  <c r="B597" i="12" s="1"/>
  <c r="D596" i="12" a="1"/>
  <c r="D596" i="12" s="1"/>
  <c r="B596" i="12" a="1"/>
  <c r="B596" i="12" s="1"/>
  <c r="D595" i="12" a="1"/>
  <c r="D595" i="12" s="1"/>
  <c r="B595" i="12" a="1"/>
  <c r="B595" i="12" s="1"/>
  <c r="D594" i="12" a="1"/>
  <c r="D594" i="12" s="1"/>
  <c r="B594" i="12" a="1"/>
  <c r="B594" i="12"/>
  <c r="D593" i="12" a="1"/>
  <c r="D593" i="12" s="1"/>
  <c r="B593" i="12" a="1"/>
  <c r="B593" i="12" s="1"/>
  <c r="D592" i="12" a="1"/>
  <c r="D592" i="12" s="1"/>
  <c r="B592" i="12" a="1"/>
  <c r="B592" i="12" s="1"/>
  <c r="D591" i="12" a="1"/>
  <c r="D591" i="12" s="1"/>
  <c r="B591" i="12" a="1"/>
  <c r="B591" i="12"/>
  <c r="D590" i="12" a="1"/>
  <c r="D590" i="12" s="1"/>
  <c r="B590" i="12" a="1"/>
  <c r="B590" i="12"/>
  <c r="D589" i="12" a="1"/>
  <c r="D589" i="12" s="1"/>
  <c r="B589" i="12" a="1"/>
  <c r="B589" i="12" s="1"/>
  <c r="D588" i="12" a="1"/>
  <c r="D588" i="12" s="1"/>
  <c r="B588" i="12" a="1"/>
  <c r="B588" i="12"/>
  <c r="D587" i="12" a="1"/>
  <c r="D587" i="12" s="1"/>
  <c r="B587" i="12" a="1"/>
  <c r="B587" i="12" s="1"/>
  <c r="D586" i="12" a="1"/>
  <c r="D586" i="12" s="1"/>
  <c r="B586" i="12" a="1"/>
  <c r="B586" i="12" s="1"/>
  <c r="D585" i="12" a="1"/>
  <c r="D585" i="12" s="1"/>
  <c r="B585" i="12" a="1"/>
  <c r="B585" i="12" s="1"/>
  <c r="D584" i="12" a="1"/>
  <c r="D584" i="12" s="1"/>
  <c r="B584" i="12" a="1"/>
  <c r="B584" i="12" s="1"/>
  <c r="D583" i="12" a="1"/>
  <c r="D583" i="12" s="1"/>
  <c r="B583" i="12" a="1"/>
  <c r="B583" i="12" s="1"/>
  <c r="D582" i="12" a="1"/>
  <c r="D582" i="12" s="1"/>
  <c r="B582" i="12" a="1"/>
  <c r="B582" i="12" s="1"/>
  <c r="D581" i="12" a="1"/>
  <c r="D581" i="12" s="1"/>
  <c r="B581" i="12" a="1"/>
  <c r="B581" i="12"/>
  <c r="D580" i="12" a="1"/>
  <c r="D580" i="12" s="1"/>
  <c r="B580" i="12" a="1"/>
  <c r="B580" i="12" s="1"/>
  <c r="D579" i="12" a="1"/>
  <c r="D579" i="12" s="1"/>
  <c r="B579" i="12" a="1"/>
  <c r="B579" i="12" s="1"/>
  <c r="D578" i="12" a="1"/>
  <c r="D578" i="12" s="1"/>
  <c r="B578" i="12" a="1"/>
  <c r="B578" i="12"/>
  <c r="D577" i="12" a="1"/>
  <c r="D577" i="12" s="1"/>
  <c r="B577" i="12" a="1"/>
  <c r="B577" i="12" s="1"/>
  <c r="D576" i="12" a="1"/>
  <c r="D576" i="12" s="1"/>
  <c r="B576" i="12" a="1"/>
  <c r="B576" i="12"/>
  <c r="D575" i="12" a="1"/>
  <c r="D575" i="12" s="1"/>
  <c r="B575" i="12" a="1"/>
  <c r="B575" i="12" s="1"/>
  <c r="D574" i="12" a="1"/>
  <c r="D574" i="12" s="1"/>
  <c r="B574" i="12" a="1"/>
  <c r="B574" i="12" s="1"/>
  <c r="D573" i="12" a="1"/>
  <c r="D573" i="12" s="1"/>
  <c r="B573" i="12" a="1"/>
  <c r="B573" i="12" s="1"/>
  <c r="D572" i="12" a="1"/>
  <c r="D572" i="12" s="1"/>
  <c r="B572" i="12" a="1"/>
  <c r="B572" i="12" s="1"/>
  <c r="D571" i="12" a="1"/>
  <c r="D571" i="12" s="1"/>
  <c r="B571" i="12" a="1"/>
  <c r="B571" i="12"/>
  <c r="D570" i="12" a="1"/>
  <c r="D570" i="12" s="1"/>
  <c r="B570" i="12" a="1"/>
  <c r="B570" i="12" s="1"/>
  <c r="D569" i="12" a="1"/>
  <c r="D569" i="12" s="1"/>
  <c r="B569" i="12" a="1"/>
  <c r="B569" i="12" s="1"/>
  <c r="D568" i="12" a="1"/>
  <c r="D568" i="12" s="1"/>
  <c r="B568" i="12" a="1"/>
  <c r="B568" i="12" s="1"/>
  <c r="D567" i="12" a="1"/>
  <c r="D567" i="12" s="1"/>
  <c r="B567" i="12" a="1"/>
  <c r="B567" i="12" s="1"/>
  <c r="D566" i="12" a="1"/>
  <c r="D566" i="12" s="1"/>
  <c r="B566" i="12" a="1"/>
  <c r="B566" i="12" s="1"/>
  <c r="D565" i="12" a="1"/>
  <c r="D565" i="12" s="1"/>
  <c r="B565" i="12" a="1"/>
  <c r="B565" i="12" s="1"/>
  <c r="D564" i="12" a="1"/>
  <c r="D564" i="12" s="1"/>
  <c r="B564" i="12" a="1"/>
  <c r="B564" i="12"/>
  <c r="D563" i="12" a="1"/>
  <c r="D563" i="12"/>
  <c r="B563" i="12" a="1"/>
  <c r="B563" i="12" s="1"/>
  <c r="D562" i="12" a="1"/>
  <c r="D562" i="12" s="1"/>
  <c r="B562" i="12" a="1"/>
  <c r="B562" i="12" s="1"/>
  <c r="D561" i="12" a="1"/>
  <c r="D561" i="12" s="1"/>
  <c r="B561" i="12" a="1"/>
  <c r="B561" i="12" s="1"/>
  <c r="D560" i="12" a="1"/>
  <c r="D560" i="12" s="1"/>
  <c r="B560" i="12" a="1"/>
  <c r="B560" i="12" s="1"/>
  <c r="D559" i="12" a="1"/>
  <c r="D559" i="12" s="1"/>
  <c r="B559" i="12" a="1"/>
  <c r="B559" i="12"/>
  <c r="D558" i="12" a="1"/>
  <c r="D558" i="12" s="1"/>
  <c r="B558" i="12" a="1"/>
  <c r="B558" i="12" s="1"/>
  <c r="D557" i="12" a="1"/>
  <c r="D557" i="12" s="1"/>
  <c r="B557" i="12" a="1"/>
  <c r="B557" i="12" s="1"/>
  <c r="D556" i="12" a="1"/>
  <c r="D556" i="12" s="1"/>
  <c r="B556" i="12" a="1"/>
  <c r="B556" i="12" s="1"/>
  <c r="D555" i="12" a="1"/>
  <c r="D555" i="12" s="1"/>
  <c r="B555" i="12" a="1"/>
  <c r="B555" i="12" s="1"/>
  <c r="D554" i="12" a="1"/>
  <c r="D554" i="12" s="1"/>
  <c r="B554" i="12" a="1"/>
  <c r="B554" i="12" s="1"/>
  <c r="D553" i="12" a="1"/>
  <c r="D553" i="12" s="1"/>
  <c r="B553" i="12" a="1"/>
  <c r="B553" i="12" s="1"/>
  <c r="D552" i="12" a="1"/>
  <c r="D552" i="12" s="1"/>
  <c r="B552" i="12" a="1"/>
  <c r="B552" i="12" s="1"/>
  <c r="D551" i="12" a="1"/>
  <c r="D551" i="12" s="1"/>
  <c r="B551" i="12" a="1"/>
  <c r="B551" i="12" s="1"/>
  <c r="D550" i="12" a="1"/>
  <c r="D550" i="12" s="1"/>
  <c r="B550" i="12" a="1"/>
  <c r="B550" i="12" s="1"/>
  <c r="D549" i="12" a="1"/>
  <c r="D549" i="12" s="1"/>
  <c r="B549" i="12" a="1"/>
  <c r="B549" i="12" s="1"/>
  <c r="D548" i="12" a="1"/>
  <c r="D548" i="12" s="1"/>
  <c r="B548" i="12" a="1"/>
  <c r="B548" i="12" s="1"/>
  <c r="D547" i="12" a="1"/>
  <c r="D547" i="12" s="1"/>
  <c r="B547" i="12" a="1"/>
  <c r="B547" i="12" s="1"/>
  <c r="D546" i="12" a="1"/>
  <c r="D546" i="12" s="1"/>
  <c r="B546" i="12" a="1"/>
  <c r="B546" i="12" s="1"/>
  <c r="D545" i="12" a="1"/>
  <c r="D545" i="12" s="1"/>
  <c r="B545" i="12" a="1"/>
  <c r="B545" i="12" s="1"/>
  <c r="D544" i="12" a="1"/>
  <c r="D544" i="12" s="1"/>
  <c r="B544" i="12" a="1"/>
  <c r="B544" i="12" s="1"/>
  <c r="D543" i="12" a="1"/>
  <c r="D543" i="12" s="1"/>
  <c r="B543" i="12" a="1"/>
  <c r="B543" i="12"/>
  <c r="D542" i="12" a="1"/>
  <c r="D542" i="12" s="1"/>
  <c r="B542" i="12" a="1"/>
  <c r="B542" i="12"/>
  <c r="D541" i="12" a="1"/>
  <c r="D541" i="12" s="1"/>
  <c r="B541" i="12" a="1"/>
  <c r="B541" i="12" s="1"/>
  <c r="D540" i="12" a="1"/>
  <c r="D540" i="12" s="1"/>
  <c r="B540" i="12" a="1"/>
  <c r="B540" i="12" s="1"/>
  <c r="D539" i="12" a="1"/>
  <c r="D539" i="12" s="1"/>
  <c r="B539" i="12" a="1"/>
  <c r="B539" i="12"/>
  <c r="D538" i="12" a="1"/>
  <c r="D538" i="12" s="1"/>
  <c r="B538" i="12" a="1"/>
  <c r="B538" i="12" s="1"/>
  <c r="D537" i="12" a="1"/>
  <c r="D537" i="12" s="1"/>
  <c r="B537" i="12" a="1"/>
  <c r="B537" i="12" s="1"/>
  <c r="D536" i="12" a="1"/>
  <c r="D536" i="12" s="1"/>
  <c r="B536" i="12" a="1"/>
  <c r="B536" i="12" s="1"/>
  <c r="D535" i="12" a="1"/>
  <c r="D535" i="12" s="1"/>
  <c r="B535" i="12" a="1"/>
  <c r="B535" i="12"/>
  <c r="D534" i="12" a="1"/>
  <c r="D534" i="12" s="1"/>
  <c r="B534" i="12" a="1"/>
  <c r="B534" i="12"/>
  <c r="D533" i="12" a="1"/>
  <c r="D533" i="12" s="1"/>
  <c r="B533" i="12" a="1"/>
  <c r="B533" i="12" s="1"/>
  <c r="D532" i="12" a="1"/>
  <c r="D532" i="12" s="1"/>
  <c r="B532" i="12" a="1"/>
  <c r="B532" i="12" s="1"/>
  <c r="D531" i="12" a="1"/>
  <c r="D531" i="12" s="1"/>
  <c r="B531" i="12" a="1"/>
  <c r="B531" i="12" s="1"/>
  <c r="D530" i="12" a="1"/>
  <c r="D530" i="12" s="1"/>
  <c r="B530" i="12" a="1"/>
  <c r="B530" i="12"/>
  <c r="D529" i="12" a="1"/>
  <c r="D529" i="12" s="1"/>
  <c r="B529" i="12" a="1"/>
  <c r="B529" i="12"/>
  <c r="D528" i="12" a="1"/>
  <c r="D528" i="12" s="1"/>
  <c r="B528" i="12" a="1"/>
  <c r="B528" i="12" s="1"/>
  <c r="D527" i="12" a="1"/>
  <c r="D527" i="12" s="1"/>
  <c r="B527" i="12" a="1"/>
  <c r="B527" i="12" s="1"/>
  <c r="D526" i="12" a="1"/>
  <c r="D526" i="12" s="1"/>
  <c r="B526" i="12" a="1"/>
  <c r="B526" i="12" s="1"/>
  <c r="D525" i="12" a="1"/>
  <c r="D525" i="12" s="1"/>
  <c r="B525" i="12" a="1"/>
  <c r="B525" i="12" s="1"/>
  <c r="D524" i="12" a="1"/>
  <c r="D524" i="12" s="1"/>
  <c r="B524" i="12" a="1"/>
  <c r="B524" i="12" s="1"/>
  <c r="D523" i="12" a="1"/>
  <c r="D523" i="12" s="1"/>
  <c r="B523" i="12" a="1"/>
  <c r="B523" i="12" s="1"/>
  <c r="D522" i="12" a="1"/>
  <c r="D522" i="12" s="1"/>
  <c r="B522" i="12" a="1"/>
  <c r="B522" i="12" s="1"/>
  <c r="D521" i="12" a="1"/>
  <c r="D521" i="12" s="1"/>
  <c r="B521" i="12" a="1"/>
  <c r="B521" i="12"/>
  <c r="D520" i="12" a="1"/>
  <c r="D520" i="12" s="1"/>
  <c r="B520" i="12" a="1"/>
  <c r="B520" i="12" s="1"/>
  <c r="D519" i="12" a="1"/>
  <c r="D519" i="12" s="1"/>
  <c r="B519" i="12" a="1"/>
  <c r="B519" i="12"/>
  <c r="D518" i="12" a="1"/>
  <c r="D518" i="12" s="1"/>
  <c r="B518" i="12" a="1"/>
  <c r="B518" i="12" s="1"/>
  <c r="D517" i="12" a="1"/>
  <c r="D517" i="12" s="1"/>
  <c r="B517" i="12" a="1"/>
  <c r="B517" i="12" s="1"/>
  <c r="D516" i="12" a="1"/>
  <c r="D516" i="12" s="1"/>
  <c r="B516" i="12" a="1"/>
  <c r="B516" i="12" s="1"/>
  <c r="D515" i="12" a="1"/>
  <c r="D515" i="12" s="1"/>
  <c r="B515" i="12" a="1"/>
  <c r="B515" i="12" s="1"/>
  <c r="D514" i="12" a="1"/>
  <c r="D514" i="12" s="1"/>
  <c r="B514" i="12" a="1"/>
  <c r="B514" i="12" s="1"/>
  <c r="D513" i="12" a="1"/>
  <c r="D513" i="12" s="1"/>
  <c r="B513" i="12" a="1"/>
  <c r="B513" i="12" s="1"/>
  <c r="D512" i="12" a="1"/>
  <c r="D512" i="12" s="1"/>
  <c r="B512" i="12" a="1"/>
  <c r="B512" i="12" s="1"/>
  <c r="D511" i="12" a="1"/>
  <c r="D511" i="12" s="1"/>
  <c r="B511" i="12" a="1"/>
  <c r="B511" i="12" s="1"/>
  <c r="D510" i="12" a="1"/>
  <c r="D510" i="12" s="1"/>
  <c r="B510" i="12" a="1"/>
  <c r="B510" i="12" s="1"/>
  <c r="D509" i="12" a="1"/>
  <c r="D509" i="12" s="1"/>
  <c r="B509" i="12" a="1"/>
  <c r="B509" i="12" s="1"/>
  <c r="D508" i="12" a="1"/>
  <c r="D508" i="12" s="1"/>
  <c r="B508" i="12" a="1"/>
  <c r="B508" i="12" s="1"/>
  <c r="D507" i="12" a="1"/>
  <c r="D507" i="12" s="1"/>
  <c r="B507" i="12" a="1"/>
  <c r="B507" i="12" s="1"/>
  <c r="D506" i="12" a="1"/>
  <c r="D506" i="12" s="1"/>
  <c r="B506" i="12" a="1"/>
  <c r="B506" i="12" s="1"/>
  <c r="D505" i="12" a="1"/>
  <c r="D505" i="12" s="1"/>
  <c r="B505" i="12" a="1"/>
  <c r="B505" i="12" s="1"/>
  <c r="D504" i="12" a="1"/>
  <c r="D504" i="12" s="1"/>
  <c r="B504" i="12" a="1"/>
  <c r="B504" i="12" s="1"/>
  <c r="D503" i="12" a="1"/>
  <c r="D503" i="12" s="1"/>
  <c r="B503" i="12" a="1"/>
  <c r="B503" i="12" s="1"/>
  <c r="D502" i="12" a="1"/>
  <c r="D502" i="12" s="1"/>
  <c r="B502" i="12" a="1"/>
  <c r="B502" i="12" s="1"/>
  <c r="D501" i="12" a="1"/>
  <c r="D501" i="12" s="1"/>
  <c r="B501" i="12" a="1"/>
  <c r="B501" i="12" s="1"/>
  <c r="D500" i="12" a="1"/>
  <c r="D500" i="12" s="1"/>
  <c r="B500" i="12" a="1"/>
  <c r="B500" i="12" s="1"/>
  <c r="D499" i="12" a="1"/>
  <c r="D499" i="12" s="1"/>
  <c r="B499" i="12" a="1"/>
  <c r="B499" i="12"/>
  <c r="D498" i="12" a="1"/>
  <c r="D498" i="12" s="1"/>
  <c r="B498" i="12" a="1"/>
  <c r="B498" i="12"/>
  <c r="D497" i="12" a="1"/>
  <c r="D497" i="12" s="1"/>
  <c r="B497" i="12" a="1"/>
  <c r="B497" i="12"/>
  <c r="D496" i="12" a="1"/>
  <c r="D496" i="12" s="1"/>
  <c r="B496" i="12" a="1"/>
  <c r="B496" i="12"/>
  <c r="D495" i="12" a="1"/>
  <c r="D495" i="12" s="1"/>
  <c r="B495" i="12" a="1"/>
  <c r="B495" i="12"/>
  <c r="D494" i="12" a="1"/>
  <c r="D494" i="12" s="1"/>
  <c r="B494" i="12" a="1"/>
  <c r="B494" i="12"/>
  <c r="D493" i="12" a="1"/>
  <c r="D493" i="12" s="1"/>
  <c r="B493" i="12" a="1"/>
  <c r="B493" i="12"/>
  <c r="D492" i="12" a="1"/>
  <c r="D492" i="12" s="1"/>
  <c r="B492" i="12" a="1"/>
  <c r="B492" i="12" s="1"/>
  <c r="D491" i="12" a="1"/>
  <c r="D491" i="12" s="1"/>
  <c r="B491" i="12" a="1"/>
  <c r="B491" i="12"/>
  <c r="D490" i="12" a="1"/>
  <c r="D490" i="12" s="1"/>
  <c r="B490" i="12" a="1"/>
  <c r="B490" i="12"/>
  <c r="D489" i="12" a="1"/>
  <c r="D489" i="12" s="1"/>
  <c r="B489" i="12" a="1"/>
  <c r="B489" i="12" s="1"/>
  <c r="D488" i="12" a="1"/>
  <c r="D488" i="12" s="1"/>
  <c r="B488" i="12" a="1"/>
  <c r="B488" i="12" s="1"/>
  <c r="D487" i="12" a="1"/>
  <c r="D487" i="12" s="1"/>
  <c r="B487" i="12" a="1"/>
  <c r="B487" i="12" s="1"/>
  <c r="D486" i="12" a="1"/>
  <c r="D486" i="12" s="1"/>
  <c r="B486" i="12" a="1"/>
  <c r="B486" i="12" s="1"/>
  <c r="D485" i="12" a="1"/>
  <c r="D485" i="12" s="1"/>
  <c r="B485" i="12" a="1"/>
  <c r="B485" i="12" s="1"/>
  <c r="D484" i="12" a="1"/>
  <c r="D484" i="12" s="1"/>
  <c r="B484" i="12" a="1"/>
  <c r="B484" i="12" s="1"/>
  <c r="D483" i="12" a="1"/>
  <c r="D483" i="12" s="1"/>
  <c r="B483" i="12" a="1"/>
  <c r="B483" i="12" s="1"/>
  <c r="D482" i="12" a="1"/>
  <c r="D482" i="12" s="1"/>
  <c r="B482" i="12" a="1"/>
  <c r="B482" i="12" s="1"/>
  <c r="D481" i="12" a="1"/>
  <c r="D481" i="12" s="1"/>
  <c r="B481" i="12" a="1"/>
  <c r="B481" i="12"/>
  <c r="D480" i="12" a="1"/>
  <c r="D480" i="12" s="1"/>
  <c r="B480" i="12" a="1"/>
  <c r="B480" i="12" s="1"/>
  <c r="D479" i="12" a="1"/>
  <c r="D479" i="12" s="1"/>
  <c r="B479" i="12" a="1"/>
  <c r="B479" i="12"/>
  <c r="D478" i="12" a="1"/>
  <c r="D478" i="12" s="1"/>
  <c r="B478" i="12" a="1"/>
  <c r="B478" i="12" s="1"/>
  <c r="D477" i="12" a="1"/>
  <c r="D477" i="12" s="1"/>
  <c r="B477" i="12" a="1"/>
  <c r="B477" i="12" s="1"/>
  <c r="D476" i="12" a="1"/>
  <c r="D476" i="12" s="1"/>
  <c r="B476" i="12" a="1"/>
  <c r="B476" i="12" s="1"/>
  <c r="D475" i="12" a="1"/>
  <c r="D475" i="12" s="1"/>
  <c r="B475" i="12" a="1"/>
  <c r="B475" i="12" s="1"/>
  <c r="D474" i="12" a="1"/>
  <c r="D474" i="12" s="1"/>
  <c r="B474" i="12" a="1"/>
  <c r="B474" i="12"/>
  <c r="D473" i="12" a="1"/>
  <c r="D473" i="12" s="1"/>
  <c r="B473" i="12" a="1"/>
  <c r="B473" i="12" s="1"/>
  <c r="D472" i="12" a="1"/>
  <c r="D472" i="12" s="1"/>
  <c r="B472" i="12" a="1"/>
  <c r="B472" i="12" s="1"/>
  <c r="D471" i="12" a="1"/>
  <c r="D471" i="12" s="1"/>
  <c r="B471" i="12" a="1"/>
  <c r="B471" i="12" s="1"/>
  <c r="D470" i="12" a="1"/>
  <c r="D470" i="12" s="1"/>
  <c r="B470" i="12" a="1"/>
  <c r="B470" i="12" s="1"/>
  <c r="D469" i="12" a="1"/>
  <c r="D469" i="12" s="1"/>
  <c r="B469" i="12" a="1"/>
  <c r="B469" i="12"/>
  <c r="D468" i="12" a="1"/>
  <c r="D468" i="12" s="1"/>
  <c r="B468" i="12" a="1"/>
  <c r="B468" i="12" s="1"/>
  <c r="D467" i="12" a="1"/>
  <c r="D467" i="12" s="1"/>
  <c r="B467" i="12" a="1"/>
  <c r="B467" i="12" s="1"/>
  <c r="D466" i="12" a="1"/>
  <c r="D466" i="12" s="1"/>
  <c r="B466" i="12" a="1"/>
  <c r="B466" i="12"/>
  <c r="D465" i="12" a="1"/>
  <c r="D465" i="12" s="1"/>
  <c r="B465" i="12" a="1"/>
  <c r="B465" i="12"/>
  <c r="D464" i="12" a="1"/>
  <c r="D464" i="12" s="1"/>
  <c r="B464" i="12" a="1"/>
  <c r="B464" i="12"/>
  <c r="D463" i="12" a="1"/>
  <c r="D463" i="12" s="1"/>
  <c r="B463" i="12" a="1"/>
  <c r="B463" i="12" s="1"/>
  <c r="D462" i="12" a="1"/>
  <c r="D462" i="12" s="1"/>
  <c r="B462" i="12" a="1"/>
  <c r="B462" i="12" s="1"/>
  <c r="D461" i="12" a="1"/>
  <c r="D461" i="12" s="1"/>
  <c r="B461" i="12" a="1"/>
  <c r="B461" i="12" s="1"/>
  <c r="D460" i="12" a="1"/>
  <c r="D460" i="12" s="1"/>
  <c r="B460" i="12" a="1"/>
  <c r="B460" i="12"/>
  <c r="D459" i="12" a="1"/>
  <c r="D459" i="12" s="1"/>
  <c r="B459" i="12" a="1"/>
  <c r="B459" i="12" s="1"/>
  <c r="D458" i="12" a="1"/>
  <c r="D458" i="12" s="1"/>
  <c r="B458" i="12" a="1"/>
  <c r="B458" i="12" s="1"/>
  <c r="D457" i="12" a="1"/>
  <c r="D457" i="12" s="1"/>
  <c r="B457" i="12" a="1"/>
  <c r="B457" i="12"/>
  <c r="D456" i="12" a="1"/>
  <c r="D456" i="12" s="1"/>
  <c r="B456" i="12" a="1"/>
  <c r="B456" i="12" s="1"/>
  <c r="D455" i="12" a="1"/>
  <c r="D455" i="12" s="1"/>
  <c r="B455" i="12" a="1"/>
  <c r="B455" i="12" s="1"/>
  <c r="D454" i="12" a="1"/>
  <c r="D454" i="12" s="1"/>
  <c r="B454" i="12" a="1"/>
  <c r="B454" i="12"/>
  <c r="D453" i="12" a="1"/>
  <c r="D453" i="12" s="1"/>
  <c r="B453" i="12" a="1"/>
  <c r="B453" i="12"/>
  <c r="D452" i="12" a="1"/>
  <c r="D452" i="12" s="1"/>
  <c r="B452" i="12" a="1"/>
  <c r="B452" i="12" s="1"/>
  <c r="D451" i="12" a="1"/>
  <c r="D451" i="12" s="1"/>
  <c r="B451" i="12" a="1"/>
  <c r="B451" i="12" s="1"/>
  <c r="D450" i="12" a="1"/>
  <c r="D450" i="12" s="1"/>
  <c r="B450" i="12" a="1"/>
  <c r="B450" i="12"/>
  <c r="D449" i="12" a="1"/>
  <c r="D449" i="12" s="1"/>
  <c r="B449" i="12" a="1"/>
  <c r="B449" i="12" s="1"/>
  <c r="D448" i="12" a="1"/>
  <c r="D448" i="12" s="1"/>
  <c r="B448" i="12" a="1"/>
  <c r="B448" i="12" s="1"/>
  <c r="D447" i="12" a="1"/>
  <c r="D447" i="12" s="1"/>
  <c r="B447" i="12" a="1"/>
  <c r="B447" i="12" s="1"/>
  <c r="D446" i="12" a="1"/>
  <c r="D446" i="12" s="1"/>
  <c r="B446" i="12" a="1"/>
  <c r="B446" i="12" s="1"/>
  <c r="D445" i="12" a="1"/>
  <c r="D445" i="12" s="1"/>
  <c r="B445" i="12" a="1"/>
  <c r="B445" i="12" s="1"/>
  <c r="D444" i="12" a="1"/>
  <c r="D444" i="12" s="1"/>
  <c r="B444" i="12" a="1"/>
  <c r="B444" i="12" s="1"/>
  <c r="D443" i="12" a="1"/>
  <c r="D443" i="12" s="1"/>
  <c r="B443" i="12" a="1"/>
  <c r="B443" i="12" s="1"/>
  <c r="D442" i="12" a="1"/>
  <c r="D442" i="12" s="1"/>
  <c r="B442" i="12" a="1"/>
  <c r="B442" i="12" s="1"/>
  <c r="D441" i="12" a="1"/>
  <c r="D441" i="12" s="1"/>
  <c r="B441" i="12" a="1"/>
  <c r="B441" i="12" s="1"/>
  <c r="D440" i="12" a="1"/>
  <c r="D440" i="12" s="1"/>
  <c r="B440" i="12" a="1"/>
  <c r="B440" i="12" s="1"/>
  <c r="D439" i="12" a="1"/>
  <c r="D439" i="12" s="1"/>
  <c r="B439" i="12" a="1"/>
  <c r="B439" i="12"/>
  <c r="D438" i="12" a="1"/>
  <c r="D438" i="12" s="1"/>
  <c r="B438" i="12" a="1"/>
  <c r="B438" i="12" s="1"/>
  <c r="D437" i="12" a="1"/>
  <c r="D437" i="12" s="1"/>
  <c r="B437" i="12" a="1"/>
  <c r="B437" i="12" s="1"/>
  <c r="D436" i="12" a="1"/>
  <c r="D436" i="12" s="1"/>
  <c r="B436" i="12" a="1"/>
  <c r="B436" i="12" s="1"/>
  <c r="D435" i="12" a="1"/>
  <c r="D435" i="12" s="1"/>
  <c r="B435" i="12" a="1"/>
  <c r="B435" i="12" s="1"/>
  <c r="D434" i="12" a="1"/>
  <c r="D434" i="12" s="1"/>
  <c r="B434" i="12" a="1"/>
  <c r="B434" i="12" s="1"/>
  <c r="D433" i="12" a="1"/>
  <c r="D433" i="12" s="1"/>
  <c r="B433" i="12" a="1"/>
  <c r="B433" i="12" s="1"/>
  <c r="D432" i="12" a="1"/>
  <c r="D432" i="12" s="1"/>
  <c r="B432" i="12" a="1"/>
  <c r="B432" i="12" s="1"/>
  <c r="D431" i="12" a="1"/>
  <c r="D431" i="12" s="1"/>
  <c r="B431" i="12" a="1"/>
  <c r="B431" i="12" s="1"/>
  <c r="D430" i="12" a="1"/>
  <c r="D430" i="12" s="1"/>
  <c r="B430" i="12" a="1"/>
  <c r="B430" i="12" s="1"/>
  <c r="D429" i="12" a="1"/>
  <c r="D429" i="12" s="1"/>
  <c r="B429" i="12" a="1"/>
  <c r="B429" i="12" s="1"/>
  <c r="D428" i="12" a="1"/>
  <c r="D428" i="12" s="1"/>
  <c r="B428" i="12" a="1"/>
  <c r="B428" i="12" s="1"/>
  <c r="D427" i="12" a="1"/>
  <c r="D427" i="12" s="1"/>
  <c r="B427" i="12" a="1"/>
  <c r="B427" i="12" s="1"/>
  <c r="D426" i="12" a="1"/>
  <c r="D426" i="12" s="1"/>
  <c r="B426" i="12" a="1"/>
  <c r="B426" i="12" s="1"/>
  <c r="D425" i="12" a="1"/>
  <c r="D425" i="12" s="1"/>
  <c r="B425" i="12" a="1"/>
  <c r="B425" i="12" s="1"/>
  <c r="D424" i="12" a="1"/>
  <c r="D424" i="12" s="1"/>
  <c r="B424" i="12" a="1"/>
  <c r="B424" i="12"/>
  <c r="D423" i="12" a="1"/>
  <c r="D423" i="12" s="1"/>
  <c r="B423" i="12" a="1"/>
  <c r="B423" i="12" s="1"/>
  <c r="D422" i="12" a="1"/>
  <c r="D422" i="12" s="1"/>
  <c r="B422" i="12" a="1"/>
  <c r="B422" i="12" s="1"/>
  <c r="D421" i="12" a="1"/>
  <c r="D421" i="12" s="1"/>
  <c r="B421" i="12" a="1"/>
  <c r="B421" i="12" s="1"/>
  <c r="D420" i="12" a="1"/>
  <c r="D420" i="12" s="1"/>
  <c r="B420" i="12" a="1"/>
  <c r="B420" i="12"/>
  <c r="D419" i="12" a="1"/>
  <c r="D419" i="12" s="1"/>
  <c r="B419" i="12" a="1"/>
  <c r="B419" i="12"/>
  <c r="D418" i="12" a="1"/>
  <c r="D418" i="12" s="1"/>
  <c r="B418" i="12" a="1"/>
  <c r="B418" i="12"/>
  <c r="D417" i="12" a="1"/>
  <c r="D417" i="12" s="1"/>
  <c r="B417" i="12" a="1"/>
  <c r="B417" i="12" s="1"/>
  <c r="D416" i="12" a="1"/>
  <c r="D416" i="12" s="1"/>
  <c r="B416" i="12" a="1"/>
  <c r="B416" i="12" s="1"/>
  <c r="D415" i="12" a="1"/>
  <c r="D415" i="12" s="1"/>
  <c r="B415" i="12" a="1"/>
  <c r="B415" i="12" s="1"/>
  <c r="D414" i="12" a="1"/>
  <c r="D414" i="12" s="1"/>
  <c r="B414" i="12" a="1"/>
  <c r="B414" i="12" s="1"/>
  <c r="D413" i="12" a="1"/>
  <c r="D413" i="12" s="1"/>
  <c r="B413" i="12" a="1"/>
  <c r="B413" i="12" s="1"/>
  <c r="D412" i="12" a="1"/>
  <c r="D412" i="12" s="1"/>
  <c r="B412" i="12" a="1"/>
  <c r="B412" i="12"/>
  <c r="D411" i="12" a="1"/>
  <c r="D411" i="12" s="1"/>
  <c r="B411" i="12" a="1"/>
  <c r="B411" i="12" s="1"/>
  <c r="D410" i="12" a="1"/>
  <c r="D410" i="12" s="1"/>
  <c r="B410" i="12" a="1"/>
  <c r="B410" i="12"/>
  <c r="D409" i="12" a="1"/>
  <c r="D409" i="12" s="1"/>
  <c r="B409" i="12" a="1"/>
  <c r="B409" i="12"/>
  <c r="D408" i="12" a="1"/>
  <c r="D408" i="12" s="1"/>
  <c r="B408" i="12" a="1"/>
  <c r="B408" i="12" s="1"/>
  <c r="D407" i="12" a="1"/>
  <c r="D407" i="12" s="1"/>
  <c r="B407" i="12" a="1"/>
  <c r="B407" i="12"/>
  <c r="D406" i="12" a="1"/>
  <c r="D406" i="12" s="1"/>
  <c r="B406" i="12" a="1"/>
  <c r="B406" i="12" s="1"/>
  <c r="D405" i="12" a="1"/>
  <c r="D405" i="12" s="1"/>
  <c r="B405" i="12" a="1"/>
  <c r="B405" i="12" s="1"/>
  <c r="D404" i="12" a="1"/>
  <c r="D404" i="12" s="1"/>
  <c r="B404" i="12" a="1"/>
  <c r="B404" i="12" s="1"/>
  <c r="D403" i="12" a="1"/>
  <c r="D403" i="12" s="1"/>
  <c r="B403" i="12" a="1"/>
  <c r="B403" i="12"/>
  <c r="D402" i="12" a="1"/>
  <c r="D402" i="12" s="1"/>
  <c r="B402" i="12" a="1"/>
  <c r="B402" i="12"/>
  <c r="D401" i="12" a="1"/>
  <c r="D401" i="12" s="1"/>
  <c r="B401" i="12" a="1"/>
  <c r="B401" i="12" s="1"/>
  <c r="D400" i="12" a="1"/>
  <c r="D400" i="12" s="1"/>
  <c r="B400" i="12" a="1"/>
  <c r="B400" i="12"/>
  <c r="D399" i="12" a="1"/>
  <c r="D399" i="12" s="1"/>
  <c r="B399" i="12" a="1"/>
  <c r="B399" i="12"/>
  <c r="D398" i="12" a="1"/>
  <c r="D398" i="12" s="1"/>
  <c r="B398" i="12" a="1"/>
  <c r="B398" i="12" s="1"/>
  <c r="D397" i="12" a="1"/>
  <c r="D397" i="12" s="1"/>
  <c r="B397" i="12" a="1"/>
  <c r="B397" i="12" s="1"/>
  <c r="D396" i="12" a="1"/>
  <c r="D396" i="12" s="1"/>
  <c r="B396" i="12" a="1"/>
  <c r="B396" i="12" s="1"/>
  <c r="D395" i="12" a="1"/>
  <c r="D395" i="12" s="1"/>
  <c r="B395" i="12" a="1"/>
  <c r="B395" i="12" s="1"/>
  <c r="D394" i="12" a="1"/>
  <c r="D394" i="12" s="1"/>
  <c r="B394" i="12" a="1"/>
  <c r="B394" i="12" s="1"/>
  <c r="D393" i="12" a="1"/>
  <c r="D393" i="12" s="1"/>
  <c r="B393" i="12" a="1"/>
  <c r="B393" i="12" s="1"/>
  <c r="D392" i="12" a="1"/>
  <c r="D392" i="12" s="1"/>
  <c r="B392" i="12" a="1"/>
  <c r="B392" i="12" s="1"/>
  <c r="D391" i="12" a="1"/>
  <c r="D391" i="12" s="1"/>
  <c r="B391" i="12" a="1"/>
  <c r="B391" i="12" s="1"/>
  <c r="D390" i="12" a="1"/>
  <c r="D390" i="12" s="1"/>
  <c r="B390" i="12" a="1"/>
  <c r="B390" i="12" s="1"/>
  <c r="D389" i="12" a="1"/>
  <c r="D389" i="12" s="1"/>
  <c r="B389" i="12" a="1"/>
  <c r="B389" i="12" s="1"/>
  <c r="D388" i="12" a="1"/>
  <c r="D388" i="12" s="1"/>
  <c r="B388" i="12" a="1"/>
  <c r="B388" i="12" s="1"/>
  <c r="D387" i="12" a="1"/>
  <c r="D387" i="12" s="1"/>
  <c r="B387" i="12" a="1"/>
  <c r="B387" i="12" s="1"/>
  <c r="D386" i="12" a="1"/>
  <c r="D386" i="12" s="1"/>
  <c r="B386" i="12" a="1"/>
  <c r="B386" i="12" s="1"/>
  <c r="D385" i="12" a="1"/>
  <c r="D385" i="12" s="1"/>
  <c r="B385" i="12" a="1"/>
  <c r="B385" i="12" s="1"/>
  <c r="D384" i="12" a="1"/>
  <c r="D384" i="12" s="1"/>
  <c r="B384" i="12" a="1"/>
  <c r="B384" i="12" s="1"/>
  <c r="D383" i="12" a="1"/>
  <c r="D383" i="12" s="1"/>
  <c r="B383" i="12" a="1"/>
  <c r="B383" i="12" s="1"/>
  <c r="D382" i="12" a="1"/>
  <c r="D382" i="12" s="1"/>
  <c r="B382" i="12" a="1"/>
  <c r="B382" i="12"/>
  <c r="D381" i="12" a="1"/>
  <c r="D381" i="12" s="1"/>
  <c r="B381" i="12" a="1"/>
  <c r="B381" i="12" s="1"/>
  <c r="D380" i="12" a="1"/>
  <c r="D380" i="12" s="1"/>
  <c r="B380" i="12" a="1"/>
  <c r="B380" i="12" s="1"/>
  <c r="D379" i="12" a="1"/>
  <c r="D379" i="12" s="1"/>
  <c r="B379" i="12" a="1"/>
  <c r="B379" i="12" s="1"/>
  <c r="D378" i="12" a="1"/>
  <c r="D378" i="12" s="1"/>
  <c r="B378" i="12" a="1"/>
  <c r="B378" i="12" s="1"/>
  <c r="D377" i="12" a="1"/>
  <c r="D377" i="12" s="1"/>
  <c r="B377" i="12" a="1"/>
  <c r="B377" i="12" s="1"/>
  <c r="D376" i="12" a="1"/>
  <c r="D376" i="12" s="1"/>
  <c r="B376" i="12" a="1"/>
  <c r="B376" i="12" s="1"/>
  <c r="D375" i="12" a="1"/>
  <c r="D375" i="12" s="1"/>
  <c r="B375" i="12" a="1"/>
  <c r="B375" i="12" s="1"/>
  <c r="D374" i="12" a="1"/>
  <c r="D374" i="12" s="1"/>
  <c r="B374" i="12" a="1"/>
  <c r="B374" i="12" s="1"/>
  <c r="D373" i="12" a="1"/>
  <c r="D373" i="12" s="1"/>
  <c r="B373" i="12" a="1"/>
  <c r="B373" i="12" s="1"/>
  <c r="D372" i="12" a="1"/>
  <c r="D372" i="12" s="1"/>
  <c r="B372" i="12" a="1"/>
  <c r="B372" i="12" s="1"/>
  <c r="D371" i="12" a="1"/>
  <c r="D371" i="12" s="1"/>
  <c r="B371" i="12" a="1"/>
  <c r="B371" i="12" s="1"/>
  <c r="D370" i="12" a="1"/>
  <c r="D370" i="12" s="1"/>
  <c r="B370" i="12" a="1"/>
  <c r="B370" i="12" s="1"/>
  <c r="D369" i="12" a="1"/>
  <c r="D369" i="12" s="1"/>
  <c r="B369" i="12" a="1"/>
  <c r="B369" i="12" s="1"/>
  <c r="D368" i="12" a="1"/>
  <c r="D368" i="12" s="1"/>
  <c r="B368" i="12" a="1"/>
  <c r="B368" i="12" s="1"/>
  <c r="D367" i="12" a="1"/>
  <c r="D367" i="12" s="1"/>
  <c r="B367" i="12" a="1"/>
  <c r="B367" i="12"/>
  <c r="D366" i="12" a="1"/>
  <c r="D366" i="12" s="1"/>
  <c r="B366" i="12" a="1"/>
  <c r="B366" i="12" s="1"/>
  <c r="D365" i="12" a="1"/>
  <c r="D365" i="12" s="1"/>
  <c r="B365" i="12" a="1"/>
  <c r="B365" i="12" s="1"/>
  <c r="D364" i="12" a="1"/>
  <c r="D364" i="12" s="1"/>
  <c r="B364" i="12" a="1"/>
  <c r="B364" i="12" s="1"/>
  <c r="D363" i="12" a="1"/>
  <c r="D363" i="12" s="1"/>
  <c r="B363" i="12" a="1"/>
  <c r="B363" i="12" s="1"/>
  <c r="D362" i="12" a="1"/>
  <c r="D362" i="12" s="1"/>
  <c r="B362" i="12" a="1"/>
  <c r="B362" i="12" s="1"/>
  <c r="D361" i="12" a="1"/>
  <c r="D361" i="12" s="1"/>
  <c r="B361" i="12" a="1"/>
  <c r="B361" i="12" s="1"/>
  <c r="D360" i="12" a="1"/>
  <c r="D360" i="12" s="1"/>
  <c r="B360" i="12" a="1"/>
  <c r="B360" i="12" s="1"/>
  <c r="D359" i="12" a="1"/>
  <c r="D359" i="12" s="1"/>
  <c r="B359" i="12" a="1"/>
  <c r="B359" i="12" s="1"/>
  <c r="D358" i="12" a="1"/>
  <c r="D358" i="12" s="1"/>
  <c r="B358" i="12" a="1"/>
  <c r="B358" i="12" s="1"/>
  <c r="D357" i="12" a="1"/>
  <c r="D357" i="12" s="1"/>
  <c r="B357" i="12" a="1"/>
  <c r="B357" i="12" s="1"/>
  <c r="D356" i="12" a="1"/>
  <c r="D356" i="12" s="1"/>
  <c r="B356" i="12" a="1"/>
  <c r="B356" i="12" s="1"/>
  <c r="D355" i="12" a="1"/>
  <c r="D355" i="12" s="1"/>
  <c r="B355" i="12" a="1"/>
  <c r="B355" i="12" s="1"/>
  <c r="D354" i="12" a="1"/>
  <c r="D354" i="12" s="1"/>
  <c r="B354" i="12" a="1"/>
  <c r="B354" i="12" s="1"/>
  <c r="D353" i="12" a="1"/>
  <c r="D353" i="12" s="1"/>
  <c r="B353" i="12" a="1"/>
  <c r="B353" i="12"/>
  <c r="D352" i="12" a="1"/>
  <c r="D352" i="12" s="1"/>
  <c r="B352" i="12" a="1"/>
  <c r="B352" i="12"/>
  <c r="D351" i="12" a="1"/>
  <c r="D351" i="12" s="1"/>
  <c r="B351" i="12" a="1"/>
  <c r="B351" i="12" s="1"/>
  <c r="D350" i="12" a="1"/>
  <c r="D350" i="12" s="1"/>
  <c r="B350" i="12" a="1"/>
  <c r="B350" i="12"/>
  <c r="D349" i="12" a="1"/>
  <c r="D349" i="12" s="1"/>
  <c r="B349" i="12" a="1"/>
  <c r="B349" i="12"/>
  <c r="D348" i="12" a="1"/>
  <c r="D348" i="12" s="1"/>
  <c r="B348" i="12" a="1"/>
  <c r="B348" i="12" s="1"/>
  <c r="D347" i="12" a="1"/>
  <c r="D347" i="12" s="1"/>
  <c r="B347" i="12" a="1"/>
  <c r="B347" i="12"/>
  <c r="D346" i="12" a="1"/>
  <c r="D346" i="12" s="1"/>
  <c r="B346" i="12" a="1"/>
  <c r="B346" i="12" s="1"/>
  <c r="D345" i="12" a="1"/>
  <c r="D345" i="12" s="1"/>
  <c r="B345" i="12" a="1"/>
  <c r="B345" i="12" s="1"/>
  <c r="D344" i="12" a="1"/>
  <c r="D344" i="12" s="1"/>
  <c r="B344" i="12" a="1"/>
  <c r="B344" i="12" s="1"/>
  <c r="D343" i="12" a="1"/>
  <c r="D343" i="12" s="1"/>
  <c r="B343" i="12" a="1"/>
  <c r="B343" i="12" s="1"/>
  <c r="D342" i="12" a="1"/>
  <c r="D342" i="12" s="1"/>
  <c r="B342" i="12" a="1"/>
  <c r="B342" i="12"/>
  <c r="D341" i="12" a="1"/>
  <c r="D341" i="12" s="1"/>
  <c r="B341" i="12" a="1"/>
  <c r="B341" i="12" s="1"/>
  <c r="D340" i="12" a="1"/>
  <c r="D340" i="12" s="1"/>
  <c r="B340" i="12" a="1"/>
  <c r="B340" i="12" s="1"/>
  <c r="D339" i="12" a="1"/>
  <c r="D339" i="12" s="1"/>
  <c r="B339" i="12" a="1"/>
  <c r="B339" i="12" s="1"/>
  <c r="D338" i="12" a="1"/>
  <c r="D338" i="12" s="1"/>
  <c r="B338" i="12" a="1"/>
  <c r="B338" i="12" s="1"/>
  <c r="D337" i="12" a="1"/>
  <c r="D337" i="12" s="1"/>
  <c r="B337" i="12" a="1"/>
  <c r="B337" i="12"/>
  <c r="D336" i="12" a="1"/>
  <c r="D336" i="12" s="1"/>
  <c r="B336" i="12" a="1"/>
  <c r="B336" i="12" s="1"/>
  <c r="D335" i="12" a="1"/>
  <c r="D335" i="12" s="1"/>
  <c r="B335" i="12" a="1"/>
  <c r="B335" i="12" s="1"/>
  <c r="D334" i="12" a="1"/>
  <c r="D334" i="12" s="1"/>
  <c r="B334" i="12" a="1"/>
  <c r="B334" i="12" s="1"/>
  <c r="D333" i="12" a="1"/>
  <c r="D333" i="12" s="1"/>
  <c r="B333" i="12" a="1"/>
  <c r="B333" i="12" s="1"/>
  <c r="D332" i="12" a="1"/>
  <c r="D332" i="12" s="1"/>
  <c r="B332" i="12" a="1"/>
  <c r="B332" i="12"/>
  <c r="D331" i="12" a="1"/>
  <c r="D331" i="12" s="1"/>
  <c r="B331" i="12" a="1"/>
  <c r="B331" i="12"/>
  <c r="D330" i="12" a="1"/>
  <c r="D330" i="12" s="1"/>
  <c r="B330" i="12" a="1"/>
  <c r="B330" i="12"/>
  <c r="D329" i="12" a="1"/>
  <c r="D329" i="12" s="1"/>
  <c r="B329" i="12" a="1"/>
  <c r="B329" i="12" s="1"/>
  <c r="D328" i="12" a="1"/>
  <c r="D328" i="12" s="1"/>
  <c r="B328" i="12" a="1"/>
  <c r="B328" i="12"/>
  <c r="D327" i="12" a="1"/>
  <c r="D327" i="12" s="1"/>
  <c r="B327" i="12" a="1"/>
  <c r="B327" i="12" s="1"/>
  <c r="D326" i="12" a="1"/>
  <c r="D326" i="12" s="1"/>
  <c r="B326" i="12" a="1"/>
  <c r="B326" i="12" s="1"/>
  <c r="D325" i="12" a="1"/>
  <c r="D325" i="12" s="1"/>
  <c r="B325" i="12" a="1"/>
  <c r="B325" i="12" s="1"/>
  <c r="D324" i="12" a="1"/>
  <c r="D324" i="12" s="1"/>
  <c r="B324" i="12" a="1"/>
  <c r="B324" i="12" s="1"/>
  <c r="D323" i="12" a="1"/>
  <c r="D323" i="12" s="1"/>
  <c r="B323" i="12" a="1"/>
  <c r="B323" i="12" s="1"/>
  <c r="D322" i="12" a="1"/>
  <c r="D322" i="12" s="1"/>
  <c r="B322" i="12" a="1"/>
  <c r="B322" i="12" s="1"/>
  <c r="D321" i="12" a="1"/>
  <c r="D321" i="12" s="1"/>
  <c r="B321" i="12" a="1"/>
  <c r="B321" i="12" s="1"/>
  <c r="D320" i="12" a="1"/>
  <c r="D320" i="12" s="1"/>
  <c r="B320" i="12" a="1"/>
  <c r="B320" i="12" s="1"/>
  <c r="D319" i="12" a="1"/>
  <c r="D319" i="12" s="1"/>
  <c r="B319" i="12" a="1"/>
  <c r="B319" i="12"/>
  <c r="D318" i="12" a="1"/>
  <c r="D318" i="12" s="1"/>
  <c r="B318" i="12" a="1"/>
  <c r="B318" i="12"/>
  <c r="D317" i="12" a="1"/>
  <c r="D317" i="12" s="1"/>
  <c r="B317" i="12" a="1"/>
  <c r="B317" i="12" s="1"/>
  <c r="D316" i="12" a="1"/>
  <c r="D316" i="12" s="1"/>
  <c r="B316" i="12" a="1"/>
  <c r="B316" i="12" s="1"/>
  <c r="D315" i="12" a="1"/>
  <c r="D315" i="12" s="1"/>
  <c r="B315" i="12" a="1"/>
  <c r="B315" i="12" s="1"/>
  <c r="D314" i="12" a="1"/>
  <c r="D314" i="12" s="1"/>
  <c r="B314" i="12" a="1"/>
  <c r="B314" i="12" s="1"/>
  <c r="D313" i="12" a="1"/>
  <c r="D313" i="12" s="1"/>
  <c r="B313" i="12" a="1"/>
  <c r="B313" i="12" s="1"/>
  <c r="D312" i="12" a="1"/>
  <c r="D312" i="12" s="1"/>
  <c r="B312" i="12" a="1"/>
  <c r="B312" i="12" s="1"/>
  <c r="D311" i="12" a="1"/>
  <c r="D311" i="12" s="1"/>
  <c r="B311" i="12" a="1"/>
  <c r="B311" i="12" s="1"/>
  <c r="D310" i="12" a="1"/>
  <c r="D310" i="12" s="1"/>
  <c r="B310" i="12" a="1"/>
  <c r="B310" i="12" s="1"/>
  <c r="D309" i="12" a="1"/>
  <c r="D309" i="12" s="1"/>
  <c r="B309" i="12" a="1"/>
  <c r="B309" i="12" s="1"/>
  <c r="D308" i="12" a="1"/>
  <c r="D308" i="12" s="1"/>
  <c r="B308" i="12" a="1"/>
  <c r="B308" i="12" s="1"/>
  <c r="D307" i="12" a="1"/>
  <c r="D307" i="12" s="1"/>
  <c r="B307" i="12" a="1"/>
  <c r="B307" i="12" s="1"/>
  <c r="D306" i="12" a="1"/>
  <c r="D306" i="12" s="1"/>
  <c r="B306" i="12" a="1"/>
  <c r="B306" i="12" s="1"/>
  <c r="D305" i="12" a="1"/>
  <c r="D305" i="12" s="1"/>
  <c r="B305" i="12" a="1"/>
  <c r="B305" i="12" s="1"/>
  <c r="D304" i="12" a="1"/>
  <c r="D304" i="12" s="1"/>
  <c r="B304" i="12" a="1"/>
  <c r="B304" i="12" s="1"/>
  <c r="D303" i="12" a="1"/>
  <c r="D303" i="12" s="1"/>
  <c r="B303" i="12" a="1"/>
  <c r="B303" i="12"/>
  <c r="D302" i="12" a="1"/>
  <c r="D302" i="12" s="1"/>
  <c r="B302" i="12" a="1"/>
  <c r="B302" i="12" s="1"/>
  <c r="D301" i="12" a="1"/>
  <c r="D301" i="12" s="1"/>
  <c r="B301" i="12" a="1"/>
  <c r="B301" i="12" s="1"/>
  <c r="D300" i="12" a="1"/>
  <c r="D300" i="12" s="1"/>
  <c r="B300" i="12" a="1"/>
  <c r="B300" i="12" s="1"/>
  <c r="D299" i="12" a="1"/>
  <c r="D299" i="12" s="1"/>
  <c r="B299" i="12" a="1"/>
  <c r="B299" i="12"/>
  <c r="D298" i="12" a="1"/>
  <c r="D298" i="12" s="1"/>
  <c r="B298" i="12" a="1"/>
  <c r="B298" i="12" s="1"/>
  <c r="D297" i="12" a="1"/>
  <c r="D297" i="12" s="1"/>
  <c r="B297" i="12" a="1"/>
  <c r="B297" i="12" s="1"/>
  <c r="D296" i="12" a="1"/>
  <c r="D296" i="12" s="1"/>
  <c r="B296" i="12" a="1"/>
  <c r="B296" i="12" s="1"/>
  <c r="D295" i="12" a="1"/>
  <c r="D295" i="12" s="1"/>
  <c r="B295" i="12" a="1"/>
  <c r="B295" i="12" s="1"/>
  <c r="D294" i="12" a="1"/>
  <c r="D294" i="12" s="1"/>
  <c r="B294" i="12" a="1"/>
  <c r="B294" i="12" s="1"/>
  <c r="D293" i="12" a="1"/>
  <c r="D293" i="12" s="1"/>
  <c r="B293" i="12" a="1"/>
  <c r="B293" i="12" s="1"/>
  <c r="D292" i="12" a="1"/>
  <c r="D292" i="12" s="1"/>
  <c r="B292" i="12" a="1"/>
  <c r="B292" i="12" s="1"/>
  <c r="D291" i="12" a="1"/>
  <c r="D291" i="12" s="1"/>
  <c r="B291" i="12" a="1"/>
  <c r="B291" i="12" s="1"/>
  <c r="D290" i="12" a="1"/>
  <c r="D290" i="12" s="1"/>
  <c r="B290" i="12" a="1"/>
  <c r="B290" i="12" s="1"/>
  <c r="D289" i="12" a="1"/>
  <c r="D289" i="12" s="1"/>
  <c r="B289" i="12" a="1"/>
  <c r="B289" i="12" s="1"/>
  <c r="D288" i="12" a="1"/>
  <c r="D288" i="12" s="1"/>
  <c r="B288" i="12" a="1"/>
  <c r="B288" i="12"/>
  <c r="D287" i="12" a="1"/>
  <c r="D287" i="12" s="1"/>
  <c r="B287" i="12" a="1"/>
  <c r="B287" i="12"/>
  <c r="D286" i="12" a="1"/>
  <c r="D286" i="12" s="1"/>
  <c r="B286" i="12" a="1"/>
  <c r="B286" i="12" s="1"/>
  <c r="D285" i="12" a="1"/>
  <c r="D285" i="12" s="1"/>
  <c r="B285" i="12" a="1"/>
  <c r="B285" i="12" s="1"/>
  <c r="D284" i="12" a="1"/>
  <c r="D284" i="12" s="1"/>
  <c r="B284" i="12" a="1"/>
  <c r="B284" i="12" s="1"/>
  <c r="D283" i="12" a="1"/>
  <c r="D283" i="12" s="1"/>
  <c r="B283" i="12" a="1"/>
  <c r="B283" i="12" s="1"/>
  <c r="D282" i="12" a="1"/>
  <c r="D282" i="12" s="1"/>
  <c r="B282" i="12" a="1"/>
  <c r="B282" i="12"/>
  <c r="D281" i="12" a="1"/>
  <c r="D281" i="12" s="1"/>
  <c r="B281" i="12" a="1"/>
  <c r="B281" i="12" s="1"/>
  <c r="D280" i="12" a="1"/>
  <c r="D280" i="12" s="1"/>
  <c r="B280" i="12" a="1"/>
  <c r="B280" i="12" s="1"/>
  <c r="D279" i="12" a="1"/>
  <c r="D279" i="12" s="1"/>
  <c r="B279" i="12" a="1"/>
  <c r="B279" i="12"/>
  <c r="D278" i="12" a="1"/>
  <c r="D278" i="12" s="1"/>
  <c r="B278" i="12" a="1"/>
  <c r="B278" i="12"/>
  <c r="D277" i="12" a="1"/>
  <c r="D277" i="12" s="1"/>
  <c r="B277" i="12" a="1"/>
  <c r="B277" i="12" s="1"/>
  <c r="D276" i="12" a="1"/>
  <c r="D276" i="12" s="1"/>
  <c r="B276" i="12" a="1"/>
  <c r="B276" i="12" s="1"/>
  <c r="D275" i="12" a="1"/>
  <c r="D275" i="12" s="1"/>
  <c r="B275" i="12" a="1"/>
  <c r="B275" i="12"/>
  <c r="D274" i="12" a="1"/>
  <c r="D274" i="12" s="1"/>
  <c r="B274" i="12" a="1"/>
  <c r="B274" i="12" s="1"/>
  <c r="D273" i="12" a="1"/>
  <c r="D273" i="12" s="1"/>
  <c r="B273" i="12" a="1"/>
  <c r="B273" i="12" s="1"/>
  <c r="D272" i="12" a="1"/>
  <c r="D272" i="12" s="1"/>
  <c r="B272" i="12" a="1"/>
  <c r="B272" i="12" s="1"/>
  <c r="D271" i="12" a="1"/>
  <c r="D271" i="12" s="1"/>
  <c r="B271" i="12" a="1"/>
  <c r="B271" i="12" s="1"/>
  <c r="D270" i="12" a="1"/>
  <c r="D270" i="12" s="1"/>
  <c r="B270" i="12" a="1"/>
  <c r="B270" i="12" s="1"/>
  <c r="D269" i="12" a="1"/>
  <c r="D269" i="12" s="1"/>
  <c r="B269" i="12" a="1"/>
  <c r="B269" i="12" s="1"/>
  <c r="D268" i="12" a="1"/>
  <c r="D268" i="12" s="1"/>
  <c r="B268" i="12" a="1"/>
  <c r="B268" i="12"/>
  <c r="D267" i="12" a="1"/>
  <c r="D267" i="12" s="1"/>
  <c r="B267" i="12" a="1"/>
  <c r="B267" i="12" s="1"/>
  <c r="D266" i="12" a="1"/>
  <c r="D266" i="12" s="1"/>
  <c r="B266" i="12" a="1"/>
  <c r="B266" i="12"/>
  <c r="D265" i="12" a="1"/>
  <c r="D265" i="12" s="1"/>
  <c r="B265" i="12" a="1"/>
  <c r="B265" i="12"/>
  <c r="D264" i="12" a="1"/>
  <c r="D264" i="12" s="1"/>
  <c r="B264" i="12" a="1"/>
  <c r="B264" i="12" s="1"/>
  <c r="D263" i="12" a="1"/>
  <c r="D263" i="12" s="1"/>
  <c r="B263" i="12" a="1"/>
  <c r="B263" i="12" s="1"/>
  <c r="D262" i="12" a="1"/>
  <c r="D262" i="12" s="1"/>
  <c r="B262" i="12" a="1"/>
  <c r="B262" i="12"/>
  <c r="D261" i="12" a="1"/>
  <c r="D261" i="12" s="1"/>
  <c r="B261" i="12" a="1"/>
  <c r="B261" i="12" s="1"/>
  <c r="D260" i="12" a="1"/>
  <c r="D260" i="12" s="1"/>
  <c r="B260" i="12" a="1"/>
  <c r="B260" i="12"/>
  <c r="D259" i="12" a="1"/>
  <c r="D259" i="12" s="1"/>
  <c r="B259" i="12" a="1"/>
  <c r="B259" i="12" s="1"/>
  <c r="D258" i="12" a="1"/>
  <c r="D258" i="12" s="1"/>
  <c r="B258" i="12" a="1"/>
  <c r="B258" i="12" s="1"/>
  <c r="D257" i="12" a="1"/>
  <c r="D257" i="12" s="1"/>
  <c r="B257" i="12" a="1"/>
  <c r="B257" i="12" s="1"/>
  <c r="D256" i="12" a="1"/>
  <c r="D256" i="12" s="1"/>
  <c r="B256" i="12" a="1"/>
  <c r="B256" i="12" s="1"/>
  <c r="D255" i="12" a="1"/>
  <c r="D255" i="12" s="1"/>
  <c r="B255" i="12" a="1"/>
  <c r="B255" i="12" s="1"/>
  <c r="D254" i="12" a="1"/>
  <c r="D254" i="12" s="1"/>
  <c r="B254" i="12" a="1"/>
  <c r="B254" i="12" s="1"/>
  <c r="D253" i="12" a="1"/>
  <c r="D253" i="12" s="1"/>
  <c r="B253" i="12" a="1"/>
  <c r="B253" i="12" s="1"/>
  <c r="D252" i="12" a="1"/>
  <c r="D252" i="12" s="1"/>
  <c r="B252" i="12" a="1"/>
  <c r="B252" i="12" s="1"/>
  <c r="D251" i="12" a="1"/>
  <c r="D251" i="12" s="1"/>
  <c r="B251" i="12" a="1"/>
  <c r="B251" i="12" s="1"/>
  <c r="D250" i="12" a="1"/>
  <c r="D250" i="12" s="1"/>
  <c r="B250" i="12" a="1"/>
  <c r="B250" i="12" s="1"/>
  <c r="D249" i="12" a="1"/>
  <c r="D249" i="12" s="1"/>
  <c r="B249" i="12" a="1"/>
  <c r="B249" i="12" s="1"/>
  <c r="D248" i="12" a="1"/>
  <c r="D248" i="12" s="1"/>
  <c r="B248" i="12" a="1"/>
  <c r="B248" i="12" s="1"/>
  <c r="D247" i="12" a="1"/>
  <c r="D247" i="12" s="1"/>
  <c r="B247" i="12" a="1"/>
  <c r="B247" i="12" s="1"/>
  <c r="D246" i="12" a="1"/>
  <c r="D246" i="12" s="1"/>
  <c r="B246" i="12" a="1"/>
  <c r="B246" i="12" s="1"/>
  <c r="D245" i="12" a="1"/>
  <c r="D245" i="12" s="1"/>
  <c r="B245" i="12" a="1"/>
  <c r="B245" i="12" s="1"/>
  <c r="D244" i="12" a="1"/>
  <c r="D244" i="12" s="1"/>
  <c r="B244" i="12" a="1"/>
  <c r="B244" i="12" s="1"/>
  <c r="D243" i="12" a="1"/>
  <c r="D243" i="12" s="1"/>
  <c r="B243" i="12" a="1"/>
  <c r="B243" i="12" s="1"/>
  <c r="D242" i="12" a="1"/>
  <c r="D242" i="12" s="1"/>
  <c r="B242" i="12" a="1"/>
  <c r="B242" i="12" s="1"/>
  <c r="D241" i="12" a="1"/>
  <c r="D241" i="12" s="1"/>
  <c r="B241" i="12" a="1"/>
  <c r="B241" i="12" s="1"/>
  <c r="D240" i="12" a="1"/>
  <c r="D240" i="12" s="1"/>
  <c r="B240" i="12" a="1"/>
  <c r="B240" i="12" s="1"/>
  <c r="D239" i="12" a="1"/>
  <c r="D239" i="12" s="1"/>
  <c r="B239" i="12" a="1"/>
  <c r="B239" i="12" s="1"/>
  <c r="D238" i="12" a="1"/>
  <c r="D238" i="12" s="1"/>
  <c r="B238" i="12" a="1"/>
  <c r="B238" i="12" s="1"/>
  <c r="D237" i="12" a="1"/>
  <c r="D237" i="12" s="1"/>
  <c r="B237" i="12" a="1"/>
  <c r="B237" i="12" s="1"/>
  <c r="D236" i="12" a="1"/>
  <c r="D236" i="12" s="1"/>
  <c r="B236" i="12" a="1"/>
  <c r="B236" i="12" s="1"/>
  <c r="D235" i="12" a="1"/>
  <c r="D235" i="12" s="1"/>
  <c r="B235" i="12" a="1"/>
  <c r="B235" i="12"/>
  <c r="D234" i="12" a="1"/>
  <c r="D234" i="12" s="1"/>
  <c r="B234" i="12" a="1"/>
  <c r="B234" i="12" s="1"/>
  <c r="D233" i="12" a="1"/>
  <c r="D233" i="12" s="1"/>
  <c r="B233" i="12" a="1"/>
  <c r="B233" i="12" s="1"/>
  <c r="D232" i="12" a="1"/>
  <c r="D232" i="12" s="1"/>
  <c r="B232" i="12" a="1"/>
  <c r="B232" i="12" s="1"/>
  <c r="D231" i="12" a="1"/>
  <c r="D231" i="12" s="1"/>
  <c r="B231" i="12" a="1"/>
  <c r="B231" i="12"/>
  <c r="D230" i="12" a="1"/>
  <c r="D230" i="12" s="1"/>
  <c r="B230" i="12" a="1"/>
  <c r="B230" i="12"/>
  <c r="D229" i="12" a="1"/>
  <c r="D229" i="12" s="1"/>
  <c r="B229" i="12" a="1"/>
  <c r="B229" i="12" s="1"/>
  <c r="D228" i="12" a="1"/>
  <c r="D228" i="12" s="1"/>
  <c r="B228" i="12" a="1"/>
  <c r="B228" i="12" s="1"/>
  <c r="D227" i="12" a="1"/>
  <c r="D227" i="12" s="1"/>
  <c r="B227" i="12" a="1"/>
  <c r="B227" i="12" s="1"/>
  <c r="D226" i="12" a="1"/>
  <c r="D226" i="12" s="1"/>
  <c r="B226" i="12" a="1"/>
  <c r="B226" i="12" s="1"/>
  <c r="D225" i="12" a="1"/>
  <c r="D225" i="12" s="1"/>
  <c r="B225" i="12" a="1"/>
  <c r="B225" i="12" s="1"/>
  <c r="D224" i="12" a="1"/>
  <c r="D224" i="12" s="1"/>
  <c r="B224" i="12" a="1"/>
  <c r="B224" i="12" s="1"/>
  <c r="D223" i="12" a="1"/>
  <c r="D223" i="12" s="1"/>
  <c r="B223" i="12" a="1"/>
  <c r="B223" i="12" s="1"/>
  <c r="D222" i="12" a="1"/>
  <c r="D222" i="12" s="1"/>
  <c r="B222" i="12" a="1"/>
  <c r="B222" i="12" s="1"/>
  <c r="D221" i="12" a="1"/>
  <c r="D221" i="12" s="1"/>
  <c r="B221" i="12" a="1"/>
  <c r="B221" i="12" s="1"/>
  <c r="D220" i="12" a="1"/>
  <c r="D220" i="12" s="1"/>
  <c r="B220" i="12" a="1"/>
  <c r="B220" i="12" s="1"/>
  <c r="D219" i="12" a="1"/>
  <c r="D219" i="12" s="1"/>
  <c r="B219" i="12" a="1"/>
  <c r="B219" i="12" s="1"/>
  <c r="D218" i="12" a="1"/>
  <c r="D218" i="12" s="1"/>
  <c r="B218" i="12" a="1"/>
  <c r="B218" i="12" s="1"/>
  <c r="D217" i="12" a="1"/>
  <c r="D217" i="12" s="1"/>
  <c r="B217" i="12" a="1"/>
  <c r="B217" i="12" s="1"/>
  <c r="D216" i="12" a="1"/>
  <c r="D216" i="12" s="1"/>
  <c r="B216" i="12" a="1"/>
  <c r="B216" i="12" s="1"/>
  <c r="D215" i="12" a="1"/>
  <c r="D215" i="12" s="1"/>
  <c r="B215" i="12" a="1"/>
  <c r="B215" i="12" s="1"/>
  <c r="D214" i="12" a="1"/>
  <c r="D214" i="12" s="1"/>
  <c r="B214" i="12" a="1"/>
  <c r="B214" i="12" s="1"/>
  <c r="D213" i="12" a="1"/>
  <c r="D213" i="12" s="1"/>
  <c r="B213" i="12" a="1"/>
  <c r="B213" i="12"/>
  <c r="D212" i="12" a="1"/>
  <c r="D212" i="12" s="1"/>
  <c r="B212" i="12" a="1"/>
  <c r="B212" i="12" s="1"/>
  <c r="D211" i="12" a="1"/>
  <c r="D211" i="12" s="1"/>
  <c r="B211" i="12" a="1"/>
  <c r="B211" i="12" s="1"/>
  <c r="D210" i="12" a="1"/>
  <c r="D210" i="12" s="1"/>
  <c r="B210" i="12" a="1"/>
  <c r="B210" i="12" s="1"/>
  <c r="D209" i="12" a="1"/>
  <c r="D209" i="12" s="1"/>
  <c r="B209" i="12" a="1"/>
  <c r="B209" i="12" s="1"/>
  <c r="D208" i="12" a="1"/>
  <c r="D208" i="12" s="1"/>
  <c r="B208" i="12" a="1"/>
  <c r="B208" i="12" s="1"/>
  <c r="D207" i="12" a="1"/>
  <c r="D207" i="12" s="1"/>
  <c r="B207" i="12" a="1"/>
  <c r="B207" i="12" s="1"/>
  <c r="D206" i="12" a="1"/>
  <c r="D206" i="12" s="1"/>
  <c r="B206" i="12" a="1"/>
  <c r="B206" i="12" s="1"/>
  <c r="D205" i="12" a="1"/>
  <c r="D205" i="12" s="1"/>
  <c r="B205" i="12" a="1"/>
  <c r="B205" i="12" s="1"/>
  <c r="D204" i="12" a="1"/>
  <c r="D204" i="12" s="1"/>
  <c r="B204" i="12" a="1"/>
  <c r="B204" i="12"/>
  <c r="D203" i="12" a="1"/>
  <c r="D203" i="12" s="1"/>
  <c r="B203" i="12" a="1"/>
  <c r="B203" i="12" s="1"/>
  <c r="D202" i="12" a="1"/>
  <c r="D202" i="12" s="1"/>
  <c r="B202" i="12" a="1"/>
  <c r="B202" i="12" s="1"/>
  <c r="D201" i="12" a="1"/>
  <c r="D201" i="12" s="1"/>
  <c r="B201" i="12" a="1"/>
  <c r="B201" i="12"/>
  <c r="D200" i="12" a="1"/>
  <c r="D200" i="12" s="1"/>
  <c r="B200" i="12" a="1"/>
  <c r="B200" i="12" s="1"/>
  <c r="D199" i="12" a="1"/>
  <c r="D199" i="12" s="1"/>
  <c r="B199" i="12" a="1"/>
  <c r="B199" i="12" s="1"/>
  <c r="D198" i="12" a="1"/>
  <c r="D198" i="12" s="1"/>
  <c r="B198" i="12" a="1"/>
  <c r="B198" i="12" s="1"/>
  <c r="D197" i="12" a="1"/>
  <c r="D197" i="12" s="1"/>
  <c r="B197" i="12" a="1"/>
  <c r="B197" i="12" s="1"/>
  <c r="D196" i="12" a="1"/>
  <c r="D196" i="12" s="1"/>
  <c r="B196" i="12" a="1"/>
  <c r="B196" i="12" s="1"/>
  <c r="D195" i="12" a="1"/>
  <c r="D195" i="12" s="1"/>
  <c r="B195" i="12" a="1"/>
  <c r="B195" i="12" s="1"/>
  <c r="D194" i="12" a="1"/>
  <c r="D194" i="12" s="1"/>
  <c r="B194" i="12" a="1"/>
  <c r="B194" i="12" s="1"/>
  <c r="D193" i="12" a="1"/>
  <c r="D193" i="12" s="1"/>
  <c r="B193" i="12" a="1"/>
  <c r="B193" i="12"/>
  <c r="D192" i="12" a="1"/>
  <c r="D192" i="12" s="1"/>
  <c r="B192" i="12" a="1"/>
  <c r="B192" i="12"/>
  <c r="D191" i="12" a="1"/>
  <c r="D191" i="12" s="1"/>
  <c r="B191" i="12" a="1"/>
  <c r="B191" i="12" s="1"/>
  <c r="D190" i="12" a="1"/>
  <c r="D190" i="12" s="1"/>
  <c r="B190" i="12" a="1"/>
  <c r="B190" i="12"/>
  <c r="D189" i="12" a="1"/>
  <c r="D189" i="12" s="1"/>
  <c r="B189" i="12" a="1"/>
  <c r="B189" i="12"/>
  <c r="D188" i="12" a="1"/>
  <c r="D188" i="12" s="1"/>
  <c r="B188" i="12" a="1"/>
  <c r="B188" i="12" s="1"/>
  <c r="D187" i="12" a="1"/>
  <c r="D187" i="12" s="1"/>
  <c r="B187" i="12" a="1"/>
  <c r="B187" i="12"/>
  <c r="D186" i="12" a="1"/>
  <c r="D186" i="12" s="1"/>
  <c r="B186" i="12" a="1"/>
  <c r="B186" i="12" s="1"/>
  <c r="D185" i="12" a="1"/>
  <c r="D185" i="12" s="1"/>
  <c r="B185" i="12" a="1"/>
  <c r="B185" i="12" s="1"/>
  <c r="D184" i="12" a="1"/>
  <c r="D184" i="12" s="1"/>
  <c r="B184" i="12" a="1"/>
  <c r="B184" i="12" s="1"/>
  <c r="D183" i="12" a="1"/>
  <c r="D183" i="12" s="1"/>
  <c r="B183" i="12" a="1"/>
  <c r="B183" i="12"/>
  <c r="D182" i="12" a="1"/>
  <c r="D182" i="12" s="1"/>
  <c r="B182" i="12" a="1"/>
  <c r="B182" i="12" s="1"/>
  <c r="D181" i="12" a="1"/>
  <c r="D181" i="12" s="1"/>
  <c r="B181" i="12" a="1"/>
  <c r="B181" i="12" s="1"/>
  <c r="D180" i="12" a="1"/>
  <c r="D180" i="12" s="1"/>
  <c r="B180" i="12" a="1"/>
  <c r="B180" i="12" s="1"/>
  <c r="D179" i="12" a="1"/>
  <c r="D179" i="12" s="1"/>
  <c r="B179" i="12" a="1"/>
  <c r="B179" i="12"/>
  <c r="D178" i="12" a="1"/>
  <c r="D178" i="12" s="1"/>
  <c r="B178" i="12" a="1"/>
  <c r="B178" i="12" s="1"/>
  <c r="D177" i="12" a="1"/>
  <c r="D177" i="12" s="1"/>
  <c r="B177" i="12" a="1"/>
  <c r="B177" i="12" s="1"/>
  <c r="D176" i="12" a="1"/>
  <c r="D176" i="12" s="1"/>
  <c r="B176" i="12" a="1"/>
  <c r="B176" i="12" s="1"/>
  <c r="D175" i="12" a="1"/>
  <c r="D175" i="12" s="1"/>
  <c r="B175" i="12" a="1"/>
  <c r="B175" i="12"/>
  <c r="D174" i="12" a="1"/>
  <c r="D174" i="12" s="1"/>
  <c r="B174" i="12" a="1"/>
  <c r="B174" i="12" s="1"/>
  <c r="D173" i="12" a="1"/>
  <c r="D173" i="12" s="1"/>
  <c r="B173" i="12" a="1"/>
  <c r="B173" i="12" s="1"/>
  <c r="D172" i="12" a="1"/>
  <c r="D172" i="12" s="1"/>
  <c r="B172" i="12" a="1"/>
  <c r="B172" i="12" s="1"/>
  <c r="D171" i="12" a="1"/>
  <c r="D171" i="12" s="1"/>
  <c r="B171" i="12" a="1"/>
  <c r="B171" i="12" s="1"/>
  <c r="D170" i="12" a="1"/>
  <c r="D170" i="12" s="1"/>
  <c r="B170" i="12" a="1"/>
  <c r="B170" i="12" s="1"/>
  <c r="D169" i="12" a="1"/>
  <c r="D169" i="12" s="1"/>
  <c r="B169" i="12" a="1"/>
  <c r="B169" i="12" s="1"/>
  <c r="D168" i="12" a="1"/>
  <c r="D168" i="12" s="1"/>
  <c r="B168" i="12" a="1"/>
  <c r="B168" i="12" s="1"/>
  <c r="D167" i="12" a="1"/>
  <c r="D167" i="12" s="1"/>
  <c r="B167" i="12" a="1"/>
  <c r="B167" i="12" s="1"/>
  <c r="D166" i="12" a="1"/>
  <c r="D166" i="12" s="1"/>
  <c r="B166" i="12" a="1"/>
  <c r="B166" i="12" s="1"/>
  <c r="D165" i="12" a="1"/>
  <c r="D165" i="12" s="1"/>
  <c r="B165" i="12" a="1"/>
  <c r="B165" i="12"/>
  <c r="D164" i="12" a="1"/>
  <c r="D164" i="12" s="1"/>
  <c r="B164" i="12" a="1"/>
  <c r="B164" i="12" s="1"/>
  <c r="D163" i="12" a="1"/>
  <c r="D163" i="12" s="1"/>
  <c r="B163" i="12" a="1"/>
  <c r="B163" i="12" s="1"/>
  <c r="D162" i="12" a="1"/>
  <c r="D162" i="12" s="1"/>
  <c r="B162" i="12" a="1"/>
  <c r="B162" i="12" s="1"/>
  <c r="D161" i="12" a="1"/>
  <c r="D161" i="12" s="1"/>
  <c r="B161" i="12" a="1"/>
  <c r="B161" i="12" s="1"/>
  <c r="D160" i="12" a="1"/>
  <c r="D160" i="12" s="1"/>
  <c r="B160" i="12" a="1"/>
  <c r="B160" i="12" s="1"/>
  <c r="D159" i="12" a="1"/>
  <c r="D159" i="12" s="1"/>
  <c r="B159" i="12" a="1"/>
  <c r="B159" i="12" s="1"/>
  <c r="D158" i="12" a="1"/>
  <c r="D158" i="12" s="1"/>
  <c r="B158" i="12" a="1"/>
  <c r="B158" i="12" s="1"/>
  <c r="D157" i="12" a="1"/>
  <c r="D157" i="12" s="1"/>
  <c r="B157" i="12" a="1"/>
  <c r="B157" i="12" s="1"/>
  <c r="D156" i="12" a="1"/>
  <c r="D156" i="12" s="1"/>
  <c r="B156" i="12" a="1"/>
  <c r="B156" i="12" s="1"/>
  <c r="D155" i="12" a="1"/>
  <c r="D155" i="12" s="1"/>
  <c r="B155" i="12" a="1"/>
  <c r="B155" i="12" s="1"/>
  <c r="D154" i="12" a="1"/>
  <c r="D154" i="12" s="1"/>
  <c r="B154" i="12" a="1"/>
  <c r="B154" i="12"/>
  <c r="D153" i="12" a="1"/>
  <c r="D153" i="12" s="1"/>
  <c r="B153" i="12" a="1"/>
  <c r="B153" i="12" s="1"/>
  <c r="D152" i="12" a="1"/>
  <c r="D152" i="12" s="1"/>
  <c r="B152" i="12" a="1"/>
  <c r="B152" i="12" s="1"/>
  <c r="D151" i="12" a="1"/>
  <c r="D151" i="12" s="1"/>
  <c r="B151" i="12" a="1"/>
  <c r="B151" i="12" s="1"/>
  <c r="D150" i="12" a="1"/>
  <c r="D150" i="12" s="1"/>
  <c r="B150" i="12" a="1"/>
  <c r="B150" i="12"/>
  <c r="D149" i="12" a="1"/>
  <c r="D149" i="12" s="1"/>
  <c r="B149" i="12" a="1"/>
  <c r="B149" i="12" s="1"/>
  <c r="D148" i="12" a="1"/>
  <c r="D148" i="12" s="1"/>
  <c r="B148" i="12" a="1"/>
  <c r="B148" i="12" s="1"/>
  <c r="D147" i="12" a="1"/>
  <c r="D147" i="12" s="1"/>
  <c r="B147" i="12" a="1"/>
  <c r="B147" i="12" s="1"/>
  <c r="D146" i="12" a="1"/>
  <c r="D146" i="12" s="1"/>
  <c r="B146" i="12" a="1"/>
  <c r="B146" i="12" s="1"/>
  <c r="D145" i="12" a="1"/>
  <c r="D145" i="12" s="1"/>
  <c r="B145" i="12" a="1"/>
  <c r="B145" i="12" s="1"/>
  <c r="D144" i="12" a="1"/>
  <c r="D144" i="12" s="1"/>
  <c r="B144" i="12" a="1"/>
  <c r="B144" i="12" s="1"/>
  <c r="D143" i="12" a="1"/>
  <c r="D143" i="12" s="1"/>
  <c r="B143" i="12" a="1"/>
  <c r="B143" i="12" s="1"/>
  <c r="D142" i="12" a="1"/>
  <c r="D142" i="12" s="1"/>
  <c r="B142" i="12" a="1"/>
  <c r="B142" i="12"/>
  <c r="D141" i="12" a="1"/>
  <c r="D141" i="12" s="1"/>
  <c r="B141" i="12" a="1"/>
  <c r="B141" i="12" s="1"/>
  <c r="D140" i="12" a="1"/>
  <c r="D140" i="12" s="1"/>
  <c r="B140" i="12" a="1"/>
  <c r="B140" i="12" s="1"/>
  <c r="D139" i="12" a="1"/>
  <c r="D139" i="12" s="1"/>
  <c r="B139" i="12" a="1"/>
  <c r="B139" i="12"/>
  <c r="D138" i="12" a="1"/>
  <c r="D138" i="12" s="1"/>
  <c r="B138" i="12" a="1"/>
  <c r="B138" i="12" s="1"/>
  <c r="D137" i="12" a="1"/>
  <c r="D137" i="12" s="1"/>
  <c r="B137" i="12" a="1"/>
  <c r="B137" i="12" s="1"/>
  <c r="D136" i="12" a="1"/>
  <c r="D136" i="12" s="1"/>
  <c r="B136" i="12" a="1"/>
  <c r="B136" i="12" s="1"/>
  <c r="D135" i="12" a="1"/>
  <c r="D135" i="12" s="1"/>
  <c r="B135" i="12" a="1"/>
  <c r="B135" i="12"/>
  <c r="D134" i="12" a="1"/>
  <c r="D134" i="12" s="1"/>
  <c r="B134" i="12" a="1"/>
  <c r="B134" i="12" s="1"/>
  <c r="D133" i="12" a="1"/>
  <c r="D133" i="12" s="1"/>
  <c r="B133" i="12" a="1"/>
  <c r="B133" i="12" s="1"/>
  <c r="D132" i="12" a="1"/>
  <c r="D132" i="12" s="1"/>
  <c r="B132" i="12" a="1"/>
  <c r="B132" i="12" s="1"/>
  <c r="D131" i="12" a="1"/>
  <c r="D131" i="12" s="1"/>
  <c r="B131" i="12" a="1"/>
  <c r="B131" i="12" s="1"/>
  <c r="D130" i="12" a="1"/>
  <c r="D130" i="12" s="1"/>
  <c r="B130" i="12" a="1"/>
  <c r="B130" i="12"/>
  <c r="D129" i="12" a="1"/>
  <c r="D129" i="12" s="1"/>
  <c r="B129" i="12" a="1"/>
  <c r="B129" i="12" s="1"/>
  <c r="D128" i="12" a="1"/>
  <c r="D128" i="12" s="1"/>
  <c r="B128" i="12" a="1"/>
  <c r="B128" i="12"/>
  <c r="D127" i="12" a="1"/>
  <c r="D127" i="12" s="1"/>
  <c r="B127" i="12" a="1"/>
  <c r="B127" i="12" s="1"/>
  <c r="D126" i="12" a="1"/>
  <c r="D126" i="12" s="1"/>
  <c r="B126" i="12" a="1"/>
  <c r="B126" i="12" s="1"/>
  <c r="D125" i="12" a="1"/>
  <c r="D125" i="12" s="1"/>
  <c r="B125" i="12" a="1"/>
  <c r="B125" i="12" s="1"/>
  <c r="D124" i="12" a="1"/>
  <c r="D124" i="12"/>
  <c r="B124" i="12" a="1"/>
  <c r="B124" i="12" s="1"/>
  <c r="D123" i="12" a="1"/>
  <c r="D123" i="12" s="1"/>
  <c r="B123" i="12" a="1"/>
  <c r="B123" i="12" s="1"/>
  <c r="D122" i="12" a="1"/>
  <c r="D122" i="12" s="1"/>
  <c r="B122" i="12" a="1"/>
  <c r="B122" i="12" s="1"/>
  <c r="D121" i="12" a="1"/>
  <c r="D121" i="12" s="1"/>
  <c r="B121" i="12" a="1"/>
  <c r="B121" i="12"/>
  <c r="D120" i="12" a="1"/>
  <c r="D120" i="12" s="1"/>
  <c r="B120" i="12" a="1"/>
  <c r="B120" i="12"/>
  <c r="D119" i="12" a="1"/>
  <c r="D119" i="12" s="1"/>
  <c r="B119" i="12" a="1"/>
  <c r="B119" i="12" s="1"/>
  <c r="D118" i="12" a="1"/>
  <c r="D118" i="12" s="1"/>
  <c r="B118" i="12" a="1"/>
  <c r="B118" i="12" s="1"/>
  <c r="D117" i="12" a="1"/>
  <c r="D117" i="12" s="1"/>
  <c r="B117" i="12" a="1"/>
  <c r="B117" i="12" s="1"/>
  <c r="D116" i="12" a="1"/>
  <c r="D116" i="12" s="1"/>
  <c r="B116" i="12" a="1"/>
  <c r="B116" i="12" s="1"/>
  <c r="D115" i="12" a="1"/>
  <c r="D115" i="12" s="1"/>
  <c r="B115" i="12" a="1"/>
  <c r="B115" i="12" s="1"/>
  <c r="D114" i="12" a="1"/>
  <c r="D114" i="12" s="1"/>
  <c r="B114" i="12" a="1"/>
  <c r="B114" i="12" s="1"/>
  <c r="D113" i="12" a="1"/>
  <c r="D113" i="12" s="1"/>
  <c r="B113" i="12" a="1"/>
  <c r="B113" i="12" s="1"/>
  <c r="D112" i="12" a="1"/>
  <c r="D112" i="12" s="1"/>
  <c r="B112" i="12" a="1"/>
  <c r="B112" i="12" s="1"/>
  <c r="D111" i="12" a="1"/>
  <c r="D111" i="12" s="1"/>
  <c r="B111" i="12" a="1"/>
  <c r="B111" i="12"/>
  <c r="D110" i="12" a="1"/>
  <c r="D110" i="12" s="1"/>
  <c r="B110" i="12" a="1"/>
  <c r="B110" i="12" s="1"/>
  <c r="D109" i="12" a="1"/>
  <c r="D109" i="12" s="1"/>
  <c r="B109" i="12" a="1"/>
  <c r="B109" i="12" s="1"/>
  <c r="D108" i="12" a="1"/>
  <c r="D108" i="12" s="1"/>
  <c r="B108" i="12" a="1"/>
  <c r="B108" i="12" s="1"/>
  <c r="D107" i="12" a="1"/>
  <c r="D107" i="12" s="1"/>
  <c r="B107" i="12" a="1"/>
  <c r="B107" i="12" s="1"/>
  <c r="D106" i="12" a="1"/>
  <c r="D106" i="12" s="1"/>
  <c r="B106" i="12" a="1"/>
  <c r="B106" i="12" s="1"/>
  <c r="D105" i="12" a="1"/>
  <c r="D105" i="12" s="1"/>
  <c r="B105" i="12" a="1"/>
  <c r="B105" i="12" s="1"/>
  <c r="D104" i="12" a="1"/>
  <c r="D104" i="12" s="1"/>
  <c r="B104" i="12" a="1"/>
  <c r="B104" i="12" s="1"/>
  <c r="D103" i="12" a="1"/>
  <c r="D103" i="12" s="1"/>
  <c r="B103" i="12" a="1"/>
  <c r="B103" i="12" s="1"/>
  <c r="D102" i="12" a="1"/>
  <c r="D102" i="12" s="1"/>
  <c r="B102" i="12" a="1"/>
  <c r="B102" i="12" s="1"/>
  <c r="D101" i="12" a="1"/>
  <c r="D101" i="12" s="1"/>
  <c r="B101" i="12" a="1"/>
  <c r="B101" i="12"/>
  <c r="D100" i="12" a="1"/>
  <c r="D100" i="12" s="1"/>
  <c r="B100" i="12" a="1"/>
  <c r="B100" i="12" s="1"/>
  <c r="D99" i="12" a="1"/>
  <c r="D99" i="12" s="1"/>
  <c r="B99" i="12" a="1"/>
  <c r="B99" i="12" s="1"/>
  <c r="D98" i="12" a="1"/>
  <c r="D98" i="12" s="1"/>
  <c r="B98" i="12" a="1"/>
  <c r="B98" i="12" s="1"/>
  <c r="D97" i="12" a="1"/>
  <c r="D97" i="12" s="1"/>
  <c r="B97" i="12" a="1"/>
  <c r="B97" i="12" s="1"/>
  <c r="D96" i="12" a="1"/>
  <c r="D96" i="12" s="1"/>
  <c r="B96" i="12" a="1"/>
  <c r="B96" i="12" s="1"/>
  <c r="D95" i="12" a="1"/>
  <c r="D95" i="12" s="1"/>
  <c r="B95" i="12" a="1"/>
  <c r="B95" i="12" s="1"/>
  <c r="D94" i="12" a="1"/>
  <c r="D94" i="12" s="1"/>
  <c r="B94" i="12" a="1"/>
  <c r="B94" i="12" s="1"/>
  <c r="D93" i="12" a="1"/>
  <c r="D93" i="12" s="1"/>
  <c r="B93" i="12" a="1"/>
  <c r="B93" i="12" s="1"/>
  <c r="D92" i="12" a="1"/>
  <c r="D92" i="12" s="1"/>
  <c r="B92" i="12" a="1"/>
  <c r="B92" i="12" s="1"/>
  <c r="D91" i="12" a="1"/>
  <c r="D91" i="12" s="1"/>
  <c r="B91" i="12" a="1"/>
  <c r="B91" i="12" s="1"/>
  <c r="D90" i="12" a="1"/>
  <c r="D90" i="12" s="1"/>
  <c r="B90" i="12" a="1"/>
  <c r="B90" i="12" s="1"/>
  <c r="D89" i="12" a="1"/>
  <c r="D89" i="12" s="1"/>
  <c r="B89" i="12" a="1"/>
  <c r="B89" i="12" s="1"/>
  <c r="D88" i="12" a="1"/>
  <c r="D88" i="12" s="1"/>
  <c r="B88" i="12" a="1"/>
  <c r="B88" i="12" s="1"/>
  <c r="D87" i="12" a="1"/>
  <c r="D87" i="12" s="1"/>
  <c r="B87" i="12" a="1"/>
  <c r="B87" i="12" s="1"/>
  <c r="D86" i="12" a="1"/>
  <c r="D86" i="12" s="1"/>
  <c r="B86" i="12" a="1"/>
  <c r="B86" i="12"/>
  <c r="D85" i="12" a="1"/>
  <c r="D85" i="12" s="1"/>
  <c r="B85" i="12" a="1"/>
  <c r="B85" i="12" s="1"/>
  <c r="D84" i="12" a="1"/>
  <c r="D84" i="12" s="1"/>
  <c r="B84" i="12" a="1"/>
  <c r="B84" i="12" s="1"/>
  <c r="D83" i="12" a="1"/>
  <c r="D83" i="12" s="1"/>
  <c r="B83" i="12" a="1"/>
  <c r="B83" i="12" s="1"/>
  <c r="D82" i="12" a="1"/>
  <c r="D82" i="12" s="1"/>
  <c r="B82" i="12" a="1"/>
  <c r="B82" i="12" s="1"/>
  <c r="D81" i="12" a="1"/>
  <c r="D81" i="12" s="1"/>
  <c r="B81" i="12" a="1"/>
  <c r="B81" i="12" s="1"/>
  <c r="D80" i="12" a="1"/>
  <c r="D80" i="12" s="1"/>
  <c r="B80" i="12" a="1"/>
  <c r="B80" i="12" s="1"/>
  <c r="D79" i="12" a="1"/>
  <c r="D79" i="12" s="1"/>
  <c r="B79" i="12" a="1"/>
  <c r="B79" i="12" s="1"/>
  <c r="D78" i="12" a="1"/>
  <c r="D78" i="12" s="1"/>
  <c r="B78" i="12" a="1"/>
  <c r="B78" i="12" s="1"/>
  <c r="D77" i="12" a="1"/>
  <c r="D77" i="12" s="1"/>
  <c r="B77" i="12" a="1"/>
  <c r="B77" i="12" s="1"/>
  <c r="D76" i="12" a="1"/>
  <c r="D76" i="12" s="1"/>
  <c r="B76" i="12" a="1"/>
  <c r="B76" i="12" s="1"/>
  <c r="D75" i="12" a="1"/>
  <c r="D75" i="12" s="1"/>
  <c r="B75" i="12" a="1"/>
  <c r="B75" i="12" s="1"/>
  <c r="D74" i="12" a="1"/>
  <c r="D74" i="12" s="1"/>
  <c r="B74" i="12" a="1"/>
  <c r="B74" i="12" s="1"/>
  <c r="D73" i="12" a="1"/>
  <c r="D73" i="12" s="1"/>
  <c r="B73" i="12" a="1"/>
  <c r="B73" i="12" s="1"/>
  <c r="D72" i="12" a="1"/>
  <c r="D72" i="12" s="1"/>
  <c r="B72" i="12" a="1"/>
  <c r="B72" i="12" s="1"/>
  <c r="D71" i="12" a="1"/>
  <c r="D71" i="12" s="1"/>
  <c r="B71" i="12" a="1"/>
  <c r="B71" i="12" s="1"/>
  <c r="D70" i="12" a="1"/>
  <c r="D70" i="12" s="1"/>
  <c r="B70" i="12" a="1"/>
  <c r="B70" i="12" s="1"/>
  <c r="D69" i="12" a="1"/>
  <c r="D69" i="12" s="1"/>
  <c r="B69" i="12" a="1"/>
  <c r="B69" i="12" s="1"/>
  <c r="D68" i="12" a="1"/>
  <c r="D68" i="12" s="1"/>
  <c r="B68" i="12" a="1"/>
  <c r="B68" i="12" s="1"/>
  <c r="D67" i="12" a="1"/>
  <c r="D67" i="12" s="1"/>
  <c r="B67" i="12" a="1"/>
  <c r="B67" i="12" s="1"/>
  <c r="D66" i="12" a="1"/>
  <c r="D66" i="12" s="1"/>
  <c r="B66" i="12" a="1"/>
  <c r="B66" i="12" s="1"/>
  <c r="D65" i="12" a="1"/>
  <c r="D65" i="12" s="1"/>
  <c r="B65" i="12" a="1"/>
  <c r="B65" i="12" s="1"/>
  <c r="D64" i="12" a="1"/>
  <c r="D64" i="12" s="1"/>
  <c r="B64" i="12" a="1"/>
  <c r="B64" i="12" s="1"/>
  <c r="D63" i="12" a="1"/>
  <c r="D63" i="12" s="1"/>
  <c r="B63" i="12" a="1"/>
  <c r="B63" i="12"/>
  <c r="D62" i="12" a="1"/>
  <c r="D62" i="12" s="1"/>
  <c r="B62" i="12" a="1"/>
  <c r="B62" i="12" s="1"/>
  <c r="D61" i="12" a="1"/>
  <c r="D61" i="12" s="1"/>
  <c r="B61" i="12" a="1"/>
  <c r="B61" i="12"/>
  <c r="D60" i="12" a="1"/>
  <c r="D60" i="12" s="1"/>
  <c r="B60" i="12" a="1"/>
  <c r="B60" i="12" s="1"/>
  <c r="D59" i="12" a="1"/>
  <c r="D59" i="12" s="1"/>
  <c r="B59" i="12" a="1"/>
  <c r="B59" i="12"/>
  <c r="D58" i="12" a="1"/>
  <c r="D58" i="12" s="1"/>
  <c r="B58" i="12" a="1"/>
  <c r="B58" i="12"/>
  <c r="D57" i="12" a="1"/>
  <c r="D57" i="12" s="1"/>
  <c r="B57" i="12" a="1"/>
  <c r="B57" i="12" s="1"/>
  <c r="D56" i="12" a="1"/>
  <c r="D56" i="12" s="1"/>
  <c r="B56" i="12" a="1"/>
  <c r="B56" i="12"/>
  <c r="D55" i="12" a="1"/>
  <c r="D55" i="12" s="1"/>
  <c r="B55" i="12" a="1"/>
  <c r="B55" i="12" s="1"/>
  <c r="D54" i="12" a="1"/>
  <c r="D54" i="12" s="1"/>
  <c r="B54" i="12" a="1"/>
  <c r="B54" i="12" s="1"/>
  <c r="D53" i="12" a="1"/>
  <c r="D53" i="12" s="1"/>
  <c r="B53" i="12" a="1"/>
  <c r="B53" i="12"/>
  <c r="D52" i="12" a="1"/>
  <c r="D52" i="12" s="1"/>
  <c r="B52" i="12" a="1"/>
  <c r="B52" i="12" s="1"/>
  <c r="D51" i="12" a="1"/>
  <c r="D51" i="12" s="1"/>
  <c r="B51" i="12" a="1"/>
  <c r="B51" i="12" s="1"/>
  <c r="D50" i="12" a="1"/>
  <c r="D50" i="12" s="1"/>
  <c r="B50" i="12" a="1"/>
  <c r="B50" i="12"/>
  <c r="D49" i="12" a="1"/>
  <c r="D49" i="12" s="1"/>
  <c r="B49" i="12" a="1"/>
  <c r="B49" i="12"/>
  <c r="D48" i="12" a="1"/>
  <c r="D48" i="12" s="1"/>
  <c r="B48" i="12" a="1"/>
  <c r="B48" i="12" s="1"/>
  <c r="D47" i="12" a="1"/>
  <c r="D47" i="12" s="1"/>
  <c r="B47" i="12" a="1"/>
  <c r="B47" i="12" s="1"/>
  <c r="D46" i="12" a="1"/>
  <c r="D46" i="12" s="1"/>
  <c r="B46" i="12" a="1"/>
  <c r="B46" i="12" s="1"/>
  <c r="D45" i="12" a="1"/>
  <c r="D45" i="12" s="1"/>
  <c r="B45" i="12" a="1"/>
  <c r="B45" i="12" s="1"/>
  <c r="D44" i="12" a="1"/>
  <c r="D44" i="12" s="1"/>
  <c r="B44" i="12" a="1"/>
  <c r="B44" i="12"/>
  <c r="D43" i="12" a="1"/>
  <c r="D43" i="12" s="1"/>
  <c r="B43" i="12" a="1"/>
  <c r="B43" i="12" s="1"/>
  <c r="D42" i="12" a="1"/>
  <c r="D42" i="12" s="1"/>
  <c r="B42" i="12" a="1"/>
  <c r="B42" i="12" s="1"/>
  <c r="D41" i="12" a="1"/>
  <c r="D41" i="12" s="1"/>
  <c r="B41" i="12" a="1"/>
  <c r="B41" i="12" s="1"/>
  <c r="D40" i="12" a="1"/>
  <c r="D40" i="12" s="1"/>
  <c r="B40" i="12" a="1"/>
  <c r="B40" i="12" s="1"/>
  <c r="D39" i="12" a="1"/>
  <c r="D39" i="12" s="1"/>
  <c r="B39" i="12" a="1"/>
  <c r="B39" i="12" s="1"/>
  <c r="D38" i="12" a="1"/>
  <c r="D38" i="12" s="1"/>
  <c r="B38" i="12" a="1"/>
  <c r="B38" i="12" s="1"/>
  <c r="D37" i="12" a="1"/>
  <c r="D37" i="12" s="1"/>
  <c r="B37" i="12" a="1"/>
  <c r="B37" i="12" s="1"/>
  <c r="D36" i="12" a="1"/>
  <c r="D36" i="12" s="1"/>
  <c r="B36" i="12" a="1"/>
  <c r="B36" i="12" s="1"/>
  <c r="D35" i="12" a="1"/>
  <c r="D35" i="12" s="1"/>
  <c r="B35" i="12" a="1"/>
  <c r="B35" i="12" s="1"/>
  <c r="D34" i="12" a="1"/>
  <c r="D34" i="12" s="1"/>
  <c r="B34" i="12" a="1"/>
  <c r="B34" i="12" s="1"/>
  <c r="D33" i="12" a="1"/>
  <c r="D33" i="12" s="1"/>
  <c r="B33" i="12" a="1"/>
  <c r="B33" i="12" s="1"/>
  <c r="D32" i="12" a="1"/>
  <c r="D32" i="12" s="1"/>
  <c r="B32" i="12" a="1"/>
  <c r="B32" i="12" s="1"/>
  <c r="D31" i="12" a="1"/>
  <c r="D31" i="12" s="1"/>
  <c r="B31" i="12" a="1"/>
  <c r="B31" i="12" s="1"/>
  <c r="D30" i="12" a="1"/>
  <c r="D30" i="12" s="1"/>
  <c r="B30" i="12" a="1"/>
  <c r="B30" i="12" s="1"/>
  <c r="D29" i="12" a="1"/>
  <c r="D29" i="12" s="1"/>
  <c r="B29" i="12" a="1"/>
  <c r="B29" i="12"/>
  <c r="D28" i="12" a="1"/>
  <c r="D28" i="12" s="1"/>
  <c r="B28" i="12" a="1"/>
  <c r="B28" i="12"/>
  <c r="D27" i="12" a="1"/>
  <c r="D27" i="12" s="1"/>
  <c r="B27" i="12" a="1"/>
  <c r="B27" i="12" s="1"/>
  <c r="D26" i="12" a="1"/>
  <c r="D26" i="12" s="1"/>
  <c r="B26" i="12" a="1"/>
  <c r="B26" i="12"/>
  <c r="D25" i="12" a="1"/>
  <c r="D25" i="12" s="1"/>
  <c r="B25" i="12" a="1"/>
  <c r="B25" i="12" s="1"/>
  <c r="D24" i="12" a="1"/>
  <c r="D24" i="12" s="1"/>
  <c r="B24" i="12" a="1"/>
  <c r="B24" i="12" s="1"/>
  <c r="D23" i="12" a="1"/>
  <c r="D23" i="12" s="1"/>
  <c r="B23" i="12" a="1"/>
  <c r="B23" i="12" s="1"/>
  <c r="D22" i="12" a="1"/>
  <c r="D22" i="12" s="1"/>
  <c r="B22" i="12" a="1"/>
  <c r="B22" i="12"/>
  <c r="D21" i="12" a="1"/>
  <c r="D21" i="12" s="1"/>
  <c r="B21" i="12" a="1"/>
  <c r="B21" i="12"/>
  <c r="D20" i="12" a="1"/>
  <c r="D20" i="12" s="1"/>
  <c r="B20" i="12" a="1"/>
  <c r="B20" i="12" s="1"/>
  <c r="D19" i="12" a="1"/>
  <c r="D19" i="12" s="1"/>
  <c r="B19" i="12" a="1"/>
  <c r="B19" i="12" s="1"/>
  <c r="D18" i="12" a="1"/>
  <c r="D18" i="12" s="1"/>
  <c r="B18" i="12" a="1"/>
  <c r="B18" i="12" s="1"/>
  <c r="D17" i="12" a="1"/>
  <c r="D17" i="12" s="1"/>
  <c r="B17" i="12" a="1"/>
  <c r="B17" i="12" s="1"/>
  <c r="D16" i="12" a="1"/>
  <c r="D16" i="12" s="1"/>
  <c r="B16" i="12" a="1"/>
  <c r="B16" i="12" s="1"/>
  <c r="D15" i="12" a="1"/>
  <c r="D15" i="12" s="1"/>
  <c r="B15" i="12" a="1"/>
  <c r="B15" i="12"/>
  <c r="D14" i="12" a="1"/>
  <c r="D14" i="12" s="1"/>
  <c r="B14" i="12" a="1"/>
  <c r="B14" i="12" s="1"/>
  <c r="D13" i="12" a="1"/>
  <c r="D13" i="12" s="1"/>
  <c r="B13" i="12" a="1"/>
  <c r="B13" i="12" s="1"/>
  <c r="D12" i="12" a="1"/>
  <c r="D12" i="12" s="1"/>
  <c r="B12" i="12" a="1"/>
  <c r="B12" i="12" s="1"/>
  <c r="D11" i="12" a="1"/>
  <c r="D11" i="12" s="1"/>
  <c r="B11" i="12" a="1"/>
  <c r="B11" i="12" s="1"/>
  <c r="D10" i="12" a="1"/>
  <c r="D10" i="12" s="1"/>
  <c r="B10" i="12" a="1"/>
  <c r="B10" i="12" s="1"/>
  <c r="D9" i="12" a="1"/>
  <c r="D9" i="12" s="1"/>
  <c r="B9" i="12" a="1"/>
  <c r="B9" i="12" s="1"/>
  <c r="D8" i="12" a="1"/>
  <c r="D8" i="12" s="1"/>
  <c r="B8" i="12" a="1"/>
  <c r="B8" i="12" s="1"/>
  <c r="D7" i="12" a="1"/>
  <c r="D7" i="12" s="1"/>
  <c r="B7" i="12" a="1"/>
  <c r="B7" i="12" s="1"/>
  <c r="D6" i="12" a="1"/>
  <c r="D6" i="12" s="1"/>
  <c r="B6" i="12" a="1"/>
  <c r="B6" i="12" s="1"/>
  <c r="D5" i="12" a="1"/>
  <c r="D5" i="12" s="1"/>
  <c r="B5" i="12" a="1"/>
  <c r="B5" i="12" s="1"/>
  <c r="D4" i="12" a="1"/>
  <c r="D4" i="12" s="1"/>
  <c r="B4" i="12" a="1"/>
  <c r="B4" i="12" s="1"/>
  <c r="D3" i="12" a="1"/>
  <c r="D3" i="12" s="1"/>
  <c r="B3" i="12" a="1"/>
  <c r="B3" i="12" s="1"/>
  <c r="D2" i="12" a="1"/>
  <c r="D2" i="12" s="1"/>
  <c r="B2" i="12" a="1"/>
  <c r="B2" i="12" s="1"/>
  <c r="Q462" i="3" a="1"/>
  <c r="Q462" i="3" s="1"/>
  <c r="P462" i="3" a="1"/>
  <c r="P462" i="3" s="1"/>
  <c r="O462" i="3" a="1"/>
  <c r="O462" i="3" s="1"/>
  <c r="N462" i="3" a="1"/>
  <c r="N462" i="3" s="1"/>
  <c r="M462" i="3" a="1"/>
  <c r="M462" i="3" s="1"/>
  <c r="L462" i="3" a="1"/>
  <c r="L462" i="3" s="1"/>
  <c r="K462" i="3" a="1"/>
  <c r="K462" i="3" s="1"/>
  <c r="J462" i="3" a="1"/>
  <c r="J462" i="3" s="1"/>
  <c r="I462" i="3" a="1"/>
  <c r="I462" i="3" s="1"/>
  <c r="G462" i="3" a="1"/>
  <c r="G462" i="3" s="1"/>
  <c r="F462" i="3" a="1"/>
  <c r="F462" i="3" s="1"/>
  <c r="E462" i="3" a="1"/>
  <c r="E462" i="3" s="1"/>
  <c r="D462" i="3" a="1"/>
  <c r="D462" i="3" s="1"/>
  <c r="C462" i="3" a="1"/>
  <c r="C462" i="3" s="1"/>
  <c r="B462" i="3" a="1"/>
  <c r="B462" i="3" s="1"/>
  <c r="Q461" i="3" a="1"/>
  <c r="Q461" i="3" s="1"/>
  <c r="P461" i="3" a="1"/>
  <c r="P461" i="3" s="1"/>
  <c r="O461" i="3" a="1"/>
  <c r="O461" i="3" s="1"/>
  <c r="N461" i="3" a="1"/>
  <c r="N461" i="3" s="1"/>
  <c r="M461" i="3" a="1"/>
  <c r="M461" i="3" s="1"/>
  <c r="L461" i="3" a="1"/>
  <c r="L461" i="3" s="1"/>
  <c r="K461" i="3" a="1"/>
  <c r="K461" i="3" s="1"/>
  <c r="J461" i="3" a="1"/>
  <c r="J461" i="3" s="1"/>
  <c r="I461" i="3" a="1"/>
  <c r="I461" i="3" s="1"/>
  <c r="G461" i="3" a="1"/>
  <c r="G461" i="3" s="1"/>
  <c r="F461" i="3" a="1"/>
  <c r="F461" i="3" s="1"/>
  <c r="E461" i="3" a="1"/>
  <c r="E461" i="3" s="1"/>
  <c r="D461" i="3" a="1"/>
  <c r="D461" i="3" s="1"/>
  <c r="C461" i="3" a="1"/>
  <c r="C461" i="3" s="1"/>
  <c r="B461" i="3" a="1"/>
  <c r="B461" i="3" s="1"/>
  <c r="T460" i="3" a="1"/>
  <c r="T460" i="3"/>
  <c r="Q460" i="3" a="1"/>
  <c r="Q460" i="3" s="1"/>
  <c r="P460" i="3" a="1"/>
  <c r="P460" i="3" s="1"/>
  <c r="O460" i="3" a="1"/>
  <c r="O460" i="3" s="1"/>
  <c r="N460" i="3" a="1"/>
  <c r="N460" i="3" s="1"/>
  <c r="M460" i="3" a="1"/>
  <c r="M460" i="3" s="1"/>
  <c r="L460" i="3" a="1"/>
  <c r="L460" i="3" s="1"/>
  <c r="K460" i="3" a="1"/>
  <c r="K460" i="3" s="1"/>
  <c r="J460" i="3" a="1"/>
  <c r="J460" i="3" s="1"/>
  <c r="I460" i="3" a="1"/>
  <c r="I460" i="3" s="1"/>
  <c r="G460" i="3" a="1"/>
  <c r="G460" i="3" s="1"/>
  <c r="F460" i="3" a="1"/>
  <c r="F460" i="3" s="1"/>
  <c r="E460" i="3" a="1"/>
  <c r="E460" i="3" s="1"/>
  <c r="D460" i="3" a="1"/>
  <c r="D460" i="3" s="1"/>
  <c r="C460" i="3" a="1"/>
  <c r="C460" i="3" s="1"/>
  <c r="B460" i="3" a="1"/>
  <c r="B460" i="3" s="1"/>
  <c r="Z456" i="3" a="1"/>
  <c r="Z456" i="3" s="1"/>
  <c r="Y456" i="3" a="1"/>
  <c r="Y456" i="3" s="1"/>
  <c r="X456" i="3" a="1"/>
  <c r="X456" i="3" s="1"/>
  <c r="W456" i="3" a="1"/>
  <c r="W456" i="3" s="1"/>
  <c r="V456" i="3" a="1"/>
  <c r="V456" i="3" s="1"/>
  <c r="U456" i="3" a="1"/>
  <c r="U456" i="3" s="1"/>
  <c r="T456" i="3" a="1"/>
  <c r="T456" i="3" s="1"/>
  <c r="S456" i="3" a="1"/>
  <c r="S456" i="3" s="1"/>
  <c r="R456" i="3" a="1"/>
  <c r="R456" i="3" s="1"/>
  <c r="Q456" i="3" a="1"/>
  <c r="Q456" i="3" s="1"/>
  <c r="P456" i="3" a="1"/>
  <c r="P456" i="3" s="1"/>
  <c r="O456" i="3" a="1"/>
  <c r="O456" i="3" s="1"/>
  <c r="N456" i="3" a="1"/>
  <c r="N456" i="3" s="1"/>
  <c r="M456" i="3" a="1"/>
  <c r="M456" i="3" s="1"/>
  <c r="L456" i="3" a="1"/>
  <c r="L456" i="3" s="1"/>
  <c r="K456" i="3" a="1"/>
  <c r="K456" i="3" s="1"/>
  <c r="J456" i="3" a="1"/>
  <c r="J456" i="3" s="1"/>
  <c r="I456" i="3" a="1"/>
  <c r="I456" i="3" s="1"/>
  <c r="G456" i="3" a="1"/>
  <c r="G456" i="3" s="1"/>
  <c r="F456" i="3" a="1"/>
  <c r="F456" i="3" s="1"/>
  <c r="E456" i="3" a="1"/>
  <c r="E456" i="3" s="1"/>
  <c r="D456" i="3" a="1"/>
  <c r="D456" i="3" s="1"/>
  <c r="C456" i="3" a="1"/>
  <c r="C456" i="3" s="1"/>
  <c r="B456" i="3" a="1"/>
  <c r="B456" i="3" s="1"/>
  <c r="Z455" i="3" a="1"/>
  <c r="Z455" i="3" s="1"/>
  <c r="Y455" i="3" a="1"/>
  <c r="Y455" i="3" s="1"/>
  <c r="X455" i="3" a="1"/>
  <c r="X455" i="3" s="1"/>
  <c r="W455" i="3" a="1"/>
  <c r="W455" i="3" s="1"/>
  <c r="V455" i="3" a="1"/>
  <c r="V455" i="3" s="1"/>
  <c r="U455" i="3" a="1"/>
  <c r="U455" i="3" s="1"/>
  <c r="T455" i="3" a="1"/>
  <c r="T455" i="3" s="1"/>
  <c r="S455" i="3" a="1"/>
  <c r="S455" i="3" s="1"/>
  <c r="R455" i="3" a="1"/>
  <c r="R455" i="3" s="1"/>
  <c r="Q455" i="3" a="1"/>
  <c r="Q455" i="3" s="1"/>
  <c r="P455" i="3" a="1"/>
  <c r="P455" i="3" s="1"/>
  <c r="O455" i="3" a="1"/>
  <c r="O455" i="3" s="1"/>
  <c r="N455" i="3" a="1"/>
  <c r="N455" i="3" s="1"/>
  <c r="M455" i="3" a="1"/>
  <c r="M455" i="3" s="1"/>
  <c r="L455" i="3" a="1"/>
  <c r="L455" i="3" s="1"/>
  <c r="K455" i="3" a="1"/>
  <c r="K455" i="3" s="1"/>
  <c r="J455" i="3" a="1"/>
  <c r="J455" i="3" s="1"/>
  <c r="I455" i="3" a="1"/>
  <c r="I455" i="3" s="1"/>
  <c r="G455" i="3" a="1"/>
  <c r="G455" i="3" s="1"/>
  <c r="F455" i="3" a="1"/>
  <c r="F455" i="3" s="1"/>
  <c r="E455" i="3" a="1"/>
  <c r="E455" i="3" s="1"/>
  <c r="D455" i="3" a="1"/>
  <c r="D455" i="3" s="1"/>
  <c r="C455" i="3" a="1"/>
  <c r="C455" i="3" s="1"/>
  <c r="B455" i="3" a="1"/>
  <c r="B455" i="3" s="1"/>
  <c r="Z454" i="3" a="1"/>
  <c r="Z454" i="3" s="1"/>
  <c r="Y454" i="3" a="1"/>
  <c r="Y454" i="3" s="1"/>
  <c r="X454" i="3" a="1"/>
  <c r="X454" i="3" s="1"/>
  <c r="W454" i="3" a="1"/>
  <c r="W454" i="3" s="1"/>
  <c r="V454" i="3" a="1"/>
  <c r="V454" i="3" s="1"/>
  <c r="U454" i="3" a="1"/>
  <c r="U454" i="3" s="1"/>
  <c r="T454" i="3" a="1"/>
  <c r="T454" i="3" s="1"/>
  <c r="S454" i="3" a="1"/>
  <c r="S454" i="3" s="1"/>
  <c r="R454" i="3" a="1"/>
  <c r="R454" i="3" s="1"/>
  <c r="Q454" i="3" a="1"/>
  <c r="Q454" i="3" s="1"/>
  <c r="P454" i="3" a="1"/>
  <c r="P454" i="3" s="1"/>
  <c r="O454" i="3" a="1"/>
  <c r="O454" i="3" s="1"/>
  <c r="N454" i="3" a="1"/>
  <c r="N454" i="3" s="1"/>
  <c r="M454" i="3" a="1"/>
  <c r="M454" i="3" s="1"/>
  <c r="L454" i="3" a="1"/>
  <c r="L454" i="3" s="1"/>
  <c r="K454" i="3" a="1"/>
  <c r="K454" i="3" s="1"/>
  <c r="J454" i="3" a="1"/>
  <c r="J454" i="3" s="1"/>
  <c r="I454" i="3" a="1"/>
  <c r="I454" i="3" s="1"/>
  <c r="G454" i="3" a="1"/>
  <c r="G454" i="3" s="1"/>
  <c r="F454" i="3" a="1"/>
  <c r="F454" i="3" s="1"/>
  <c r="E454" i="3" a="1"/>
  <c r="E454" i="3" s="1"/>
  <c r="D454" i="3" a="1"/>
  <c r="D454" i="3" s="1"/>
  <c r="C454" i="3" a="1"/>
  <c r="C454" i="3" s="1"/>
  <c r="B454" i="3" a="1"/>
  <c r="B454" i="3" s="1"/>
  <c r="Z453" i="3" a="1"/>
  <c r="Z453" i="3" s="1"/>
  <c r="Y453" i="3" a="1"/>
  <c r="Y453" i="3" s="1"/>
  <c r="X453" i="3" a="1"/>
  <c r="X453" i="3" s="1"/>
  <c r="W453" i="3" a="1"/>
  <c r="W453" i="3" s="1"/>
  <c r="V453" i="3" a="1"/>
  <c r="V453" i="3" s="1"/>
  <c r="U453" i="3" a="1"/>
  <c r="U453" i="3" s="1"/>
  <c r="T453" i="3" a="1"/>
  <c r="T453" i="3" s="1"/>
  <c r="S453" i="3" a="1"/>
  <c r="S453" i="3" s="1"/>
  <c r="R453" i="3" a="1"/>
  <c r="R453" i="3" s="1"/>
  <c r="Q453" i="3" a="1"/>
  <c r="Q453" i="3" s="1"/>
  <c r="P453" i="3" a="1"/>
  <c r="P453" i="3" s="1"/>
  <c r="O453" i="3" a="1"/>
  <c r="O453" i="3" s="1"/>
  <c r="N453" i="3" a="1"/>
  <c r="N453" i="3" s="1"/>
  <c r="M453" i="3" a="1"/>
  <c r="M453" i="3" s="1"/>
  <c r="L453" i="3" a="1"/>
  <c r="L453" i="3" s="1"/>
  <c r="K453" i="3" a="1"/>
  <c r="K453" i="3" s="1"/>
  <c r="J453" i="3" a="1"/>
  <c r="J453" i="3" s="1"/>
  <c r="I453" i="3" a="1"/>
  <c r="I453" i="3" s="1"/>
  <c r="G453" i="3" a="1"/>
  <c r="G453" i="3" s="1"/>
  <c r="F453" i="3" a="1"/>
  <c r="F453" i="3" s="1"/>
  <c r="E453" i="3" a="1"/>
  <c r="E453" i="3" s="1"/>
  <c r="D453" i="3" a="1"/>
  <c r="D453" i="3" s="1"/>
  <c r="C453" i="3" a="1"/>
  <c r="C453" i="3" s="1"/>
  <c r="B453" i="3" a="1"/>
  <c r="B453" i="3" s="1"/>
  <c r="Z452" i="3" a="1"/>
  <c r="Z452" i="3" s="1"/>
  <c r="Y452" i="3" a="1"/>
  <c r="Y452" i="3" s="1"/>
  <c r="X452" i="3" a="1"/>
  <c r="X452" i="3" s="1"/>
  <c r="W452" i="3" a="1"/>
  <c r="W452" i="3" s="1"/>
  <c r="V452" i="3" a="1"/>
  <c r="V452" i="3" s="1"/>
  <c r="U452" i="3" a="1"/>
  <c r="U452" i="3" s="1"/>
  <c r="T452" i="3" a="1"/>
  <c r="T452" i="3" s="1"/>
  <c r="S452" i="3" a="1"/>
  <c r="S452" i="3" s="1"/>
  <c r="R452" i="3" a="1"/>
  <c r="R452" i="3" s="1"/>
  <c r="Q452" i="3" a="1"/>
  <c r="Q452" i="3" s="1"/>
  <c r="P452" i="3" a="1"/>
  <c r="P452" i="3" s="1"/>
  <c r="O452" i="3" a="1"/>
  <c r="O452" i="3" s="1"/>
  <c r="N452" i="3" a="1"/>
  <c r="N452" i="3" s="1"/>
  <c r="M452" i="3" a="1"/>
  <c r="M452" i="3" s="1"/>
  <c r="L452" i="3" a="1"/>
  <c r="L452" i="3" s="1"/>
  <c r="K452" i="3" a="1"/>
  <c r="K452" i="3" s="1"/>
  <c r="J452" i="3" a="1"/>
  <c r="J452" i="3" s="1"/>
  <c r="I452" i="3" a="1"/>
  <c r="I452" i="3" s="1"/>
  <c r="G452" i="3" a="1"/>
  <c r="G452" i="3" s="1"/>
  <c r="F452" i="3" a="1"/>
  <c r="F452" i="3" s="1"/>
  <c r="E452" i="3" a="1"/>
  <c r="E452" i="3" s="1"/>
  <c r="D452" i="3" a="1"/>
  <c r="D452" i="3" s="1"/>
  <c r="C452" i="3" a="1"/>
  <c r="C452" i="3" s="1"/>
  <c r="B452" i="3" a="1"/>
  <c r="B452" i="3" s="1"/>
  <c r="Z451" i="3" a="1"/>
  <c r="Z451" i="3" s="1"/>
  <c r="Y451" i="3" a="1"/>
  <c r="Y451" i="3" s="1"/>
  <c r="X451" i="3" a="1"/>
  <c r="X451" i="3" s="1"/>
  <c r="W451" i="3" a="1"/>
  <c r="W451" i="3" s="1"/>
  <c r="V451" i="3" a="1"/>
  <c r="V451" i="3" s="1"/>
  <c r="U451" i="3" a="1"/>
  <c r="U451" i="3" s="1"/>
  <c r="T451" i="3" a="1"/>
  <c r="T451" i="3" s="1"/>
  <c r="S451" i="3" a="1"/>
  <c r="S451" i="3" s="1"/>
  <c r="R451" i="3" a="1"/>
  <c r="R451" i="3" s="1"/>
  <c r="Q451" i="3" a="1"/>
  <c r="Q451" i="3" s="1"/>
  <c r="P451" i="3" a="1"/>
  <c r="P451" i="3" s="1"/>
  <c r="O451" i="3" a="1"/>
  <c r="O451" i="3" s="1"/>
  <c r="N451" i="3" a="1"/>
  <c r="N451" i="3" s="1"/>
  <c r="M451" i="3" a="1"/>
  <c r="M451" i="3" s="1"/>
  <c r="L451" i="3" a="1"/>
  <c r="L451" i="3" s="1"/>
  <c r="K451" i="3" a="1"/>
  <c r="K451" i="3" s="1"/>
  <c r="J451" i="3" a="1"/>
  <c r="J451" i="3" s="1"/>
  <c r="I451" i="3" a="1"/>
  <c r="I451" i="3" s="1"/>
  <c r="G451" i="3" a="1"/>
  <c r="G451" i="3" s="1"/>
  <c r="F451" i="3" a="1"/>
  <c r="F451" i="3" s="1"/>
  <c r="E451" i="3" a="1"/>
  <c r="E451" i="3" s="1"/>
  <c r="D451" i="3" a="1"/>
  <c r="D451" i="3" s="1"/>
  <c r="C451" i="3" a="1"/>
  <c r="C451" i="3" s="1"/>
  <c r="B451" i="3" a="1"/>
  <c r="B451" i="3" s="1"/>
  <c r="Z450" i="3" a="1"/>
  <c r="Z450" i="3" s="1"/>
  <c r="Y450" i="3" a="1"/>
  <c r="Y450" i="3" s="1"/>
  <c r="X450" i="3" a="1"/>
  <c r="X450" i="3" s="1"/>
  <c r="W450" i="3" a="1"/>
  <c r="W450" i="3" s="1"/>
  <c r="V450" i="3" a="1"/>
  <c r="V450" i="3" s="1"/>
  <c r="U450" i="3" a="1"/>
  <c r="U450" i="3" s="1"/>
  <c r="T450" i="3" a="1"/>
  <c r="T450" i="3" s="1"/>
  <c r="S450" i="3" a="1"/>
  <c r="S450" i="3" s="1"/>
  <c r="R450" i="3" a="1"/>
  <c r="R450" i="3" s="1"/>
  <c r="Q450" i="3" a="1"/>
  <c r="Q450" i="3" s="1"/>
  <c r="P450" i="3" a="1"/>
  <c r="P450" i="3" s="1"/>
  <c r="O450" i="3" a="1"/>
  <c r="O450" i="3" s="1"/>
  <c r="N450" i="3" a="1"/>
  <c r="N450" i="3" s="1"/>
  <c r="M450" i="3" a="1"/>
  <c r="M450" i="3" s="1"/>
  <c r="L450" i="3" a="1"/>
  <c r="L450" i="3" s="1"/>
  <c r="K450" i="3" a="1"/>
  <c r="K450" i="3" s="1"/>
  <c r="J450" i="3" a="1"/>
  <c r="J450" i="3" s="1"/>
  <c r="I450" i="3" a="1"/>
  <c r="I450" i="3" s="1"/>
  <c r="G450" i="3" a="1"/>
  <c r="G450" i="3" s="1"/>
  <c r="F450" i="3" a="1"/>
  <c r="F450" i="3" s="1"/>
  <c r="E450" i="3" a="1"/>
  <c r="E450" i="3" s="1"/>
  <c r="D450" i="3" a="1"/>
  <c r="D450" i="3" s="1"/>
  <c r="C450" i="3" a="1"/>
  <c r="C450" i="3" s="1"/>
  <c r="B450" i="3" a="1"/>
  <c r="B450" i="3" s="1"/>
  <c r="Z449" i="3" a="1"/>
  <c r="Z449" i="3" s="1"/>
  <c r="Y449" i="3" a="1"/>
  <c r="Y449" i="3" s="1"/>
  <c r="X449" i="3" a="1"/>
  <c r="X449" i="3" s="1"/>
  <c r="W449" i="3" a="1"/>
  <c r="W449" i="3" s="1"/>
  <c r="V449" i="3" a="1"/>
  <c r="V449" i="3" s="1"/>
  <c r="U449" i="3" a="1"/>
  <c r="U449" i="3" s="1"/>
  <c r="T449" i="3" a="1"/>
  <c r="T449" i="3" s="1"/>
  <c r="S449" i="3" a="1"/>
  <c r="S449" i="3" s="1"/>
  <c r="R449" i="3" a="1"/>
  <c r="R449" i="3" s="1"/>
  <c r="Q449" i="3" a="1"/>
  <c r="Q449" i="3" s="1"/>
  <c r="P449" i="3" a="1"/>
  <c r="P449" i="3" s="1"/>
  <c r="O449" i="3" a="1"/>
  <c r="O449" i="3" s="1"/>
  <c r="N449" i="3" a="1"/>
  <c r="N449" i="3" s="1"/>
  <c r="M449" i="3" a="1"/>
  <c r="M449" i="3" s="1"/>
  <c r="L449" i="3" a="1"/>
  <c r="L449" i="3" s="1"/>
  <c r="K449" i="3" a="1"/>
  <c r="K449" i="3" s="1"/>
  <c r="J449" i="3" a="1"/>
  <c r="J449" i="3" s="1"/>
  <c r="I449" i="3" a="1"/>
  <c r="I449" i="3" s="1"/>
  <c r="G449" i="3" a="1"/>
  <c r="G449" i="3" s="1"/>
  <c r="F449" i="3" a="1"/>
  <c r="F449" i="3" s="1"/>
  <c r="E449" i="3" a="1"/>
  <c r="E449" i="3" s="1"/>
  <c r="D449" i="3" a="1"/>
  <c r="D449" i="3" s="1"/>
  <c r="C449" i="3" a="1"/>
  <c r="C449" i="3" s="1"/>
  <c r="B449" i="3" a="1"/>
  <c r="B449" i="3" s="1"/>
  <c r="Z448" i="3" a="1"/>
  <c r="Z448" i="3" s="1"/>
  <c r="Y448" i="3" a="1"/>
  <c r="Y448" i="3" s="1"/>
  <c r="X448" i="3" a="1"/>
  <c r="X448" i="3" s="1"/>
  <c r="W448" i="3" a="1"/>
  <c r="W448" i="3" s="1"/>
  <c r="V448" i="3" a="1"/>
  <c r="V448" i="3" s="1"/>
  <c r="U448" i="3" a="1"/>
  <c r="U448" i="3" s="1"/>
  <c r="T448" i="3" a="1"/>
  <c r="T448" i="3" s="1"/>
  <c r="S448" i="3" a="1"/>
  <c r="S448" i="3" s="1"/>
  <c r="R448" i="3" a="1"/>
  <c r="R448" i="3" s="1"/>
  <c r="Q448" i="3" a="1"/>
  <c r="Q448" i="3" s="1"/>
  <c r="P448" i="3" a="1"/>
  <c r="P448" i="3" s="1"/>
  <c r="O448" i="3" a="1"/>
  <c r="O448" i="3" s="1"/>
  <c r="N448" i="3" a="1"/>
  <c r="N448" i="3" s="1"/>
  <c r="M448" i="3" a="1"/>
  <c r="M448" i="3" s="1"/>
  <c r="L448" i="3" a="1"/>
  <c r="L448" i="3" s="1"/>
  <c r="K448" i="3" a="1"/>
  <c r="K448" i="3" s="1"/>
  <c r="J448" i="3" a="1"/>
  <c r="J448" i="3" s="1"/>
  <c r="I448" i="3" a="1"/>
  <c r="I448" i="3" s="1"/>
  <c r="G448" i="3" a="1"/>
  <c r="G448" i="3" s="1"/>
  <c r="F448" i="3" a="1"/>
  <c r="F448" i="3" s="1"/>
  <c r="E448" i="3" a="1"/>
  <c r="E448" i="3" s="1"/>
  <c r="D448" i="3" a="1"/>
  <c r="D448" i="3" s="1"/>
  <c r="C448" i="3" a="1"/>
  <c r="C448" i="3" s="1"/>
  <c r="B448" i="3" a="1"/>
  <c r="B448" i="3" s="1"/>
  <c r="Z447" i="3" a="1"/>
  <c r="Z447" i="3" s="1"/>
  <c r="Y447" i="3" a="1"/>
  <c r="Y447" i="3" s="1"/>
  <c r="X447" i="3" a="1"/>
  <c r="X447" i="3" s="1"/>
  <c r="W447" i="3" a="1"/>
  <c r="W447" i="3" s="1"/>
  <c r="V447" i="3" a="1"/>
  <c r="V447" i="3" s="1"/>
  <c r="U447" i="3" a="1"/>
  <c r="U447" i="3" s="1"/>
  <c r="T447" i="3" a="1"/>
  <c r="T447" i="3" s="1"/>
  <c r="S447" i="3" a="1"/>
  <c r="S447" i="3" s="1"/>
  <c r="R447" i="3" a="1"/>
  <c r="R447" i="3" s="1"/>
  <c r="Q447" i="3" a="1"/>
  <c r="Q447" i="3" s="1"/>
  <c r="P447" i="3" a="1"/>
  <c r="P447" i="3" s="1"/>
  <c r="O447" i="3" a="1"/>
  <c r="O447" i="3" s="1"/>
  <c r="N447" i="3" a="1"/>
  <c r="N447" i="3" s="1"/>
  <c r="M447" i="3" a="1"/>
  <c r="M447" i="3" s="1"/>
  <c r="L447" i="3" a="1"/>
  <c r="L447" i="3" s="1"/>
  <c r="K447" i="3" a="1"/>
  <c r="K447" i="3" s="1"/>
  <c r="J447" i="3" a="1"/>
  <c r="J447" i="3" s="1"/>
  <c r="I447" i="3" a="1"/>
  <c r="I447" i="3" s="1"/>
  <c r="G447" i="3" a="1"/>
  <c r="G447" i="3" s="1"/>
  <c r="F447" i="3" a="1"/>
  <c r="F447" i="3" s="1"/>
  <c r="E447" i="3" a="1"/>
  <c r="E447" i="3" s="1"/>
  <c r="D447" i="3" a="1"/>
  <c r="D447" i="3" s="1"/>
  <c r="C447" i="3" a="1"/>
  <c r="C447" i="3" s="1"/>
  <c r="B447" i="3" a="1"/>
  <c r="B447" i="3" s="1"/>
  <c r="Z446" i="3" a="1"/>
  <c r="Z446" i="3" s="1"/>
  <c r="Y446" i="3" a="1"/>
  <c r="Y446" i="3" s="1"/>
  <c r="X446" i="3" a="1"/>
  <c r="X446" i="3" s="1"/>
  <c r="W446" i="3" a="1"/>
  <c r="W446" i="3" s="1"/>
  <c r="V446" i="3" a="1"/>
  <c r="V446" i="3" s="1"/>
  <c r="U446" i="3" a="1"/>
  <c r="U446" i="3" s="1"/>
  <c r="T446" i="3" a="1"/>
  <c r="T446" i="3" s="1"/>
  <c r="S446" i="3" a="1"/>
  <c r="S446" i="3" s="1"/>
  <c r="R446" i="3" a="1"/>
  <c r="R446" i="3" s="1"/>
  <c r="Q446" i="3" a="1"/>
  <c r="Q446" i="3" s="1"/>
  <c r="P446" i="3" a="1"/>
  <c r="P446" i="3" s="1"/>
  <c r="O446" i="3" a="1"/>
  <c r="O446" i="3" s="1"/>
  <c r="N446" i="3" a="1"/>
  <c r="N446" i="3" s="1"/>
  <c r="M446" i="3" a="1"/>
  <c r="M446" i="3" s="1"/>
  <c r="L446" i="3" a="1"/>
  <c r="L446" i="3" s="1"/>
  <c r="K446" i="3" a="1"/>
  <c r="K446" i="3" s="1"/>
  <c r="J446" i="3" a="1"/>
  <c r="J446" i="3" s="1"/>
  <c r="I446" i="3" a="1"/>
  <c r="I446" i="3" s="1"/>
  <c r="G446" i="3" a="1"/>
  <c r="G446" i="3" s="1"/>
  <c r="F446" i="3" a="1"/>
  <c r="F446" i="3" s="1"/>
  <c r="E446" i="3" a="1"/>
  <c r="E446" i="3" s="1"/>
  <c r="D446" i="3" a="1"/>
  <c r="D446" i="3" s="1"/>
  <c r="C446" i="3" a="1"/>
  <c r="C446" i="3" s="1"/>
  <c r="B446" i="3" a="1"/>
  <c r="B446" i="3" s="1"/>
  <c r="Z445" i="3" a="1"/>
  <c r="Z445" i="3" s="1"/>
  <c r="Y445" i="3" a="1"/>
  <c r="Y445" i="3" s="1"/>
  <c r="X445" i="3" a="1"/>
  <c r="X445" i="3" s="1"/>
  <c r="W445" i="3" a="1"/>
  <c r="W445" i="3" s="1"/>
  <c r="V445" i="3" a="1"/>
  <c r="V445" i="3" s="1"/>
  <c r="U445" i="3" a="1"/>
  <c r="U445" i="3" s="1"/>
  <c r="T445" i="3" a="1"/>
  <c r="T445" i="3" s="1"/>
  <c r="S445" i="3" a="1"/>
  <c r="S445" i="3" s="1"/>
  <c r="R445" i="3" a="1"/>
  <c r="R445" i="3" s="1"/>
  <c r="Q445" i="3" a="1"/>
  <c r="Q445" i="3" s="1"/>
  <c r="P445" i="3" a="1"/>
  <c r="P445" i="3" s="1"/>
  <c r="O445" i="3" a="1"/>
  <c r="O445" i="3" s="1"/>
  <c r="N445" i="3" a="1"/>
  <c r="N445" i="3" s="1"/>
  <c r="M445" i="3" a="1"/>
  <c r="M445" i="3" s="1"/>
  <c r="L445" i="3" a="1"/>
  <c r="L445" i="3" s="1"/>
  <c r="K445" i="3" a="1"/>
  <c r="K445" i="3" s="1"/>
  <c r="J445" i="3" a="1"/>
  <c r="J445" i="3" s="1"/>
  <c r="I445" i="3" a="1"/>
  <c r="I445" i="3" s="1"/>
  <c r="G445" i="3" a="1"/>
  <c r="G445" i="3" s="1"/>
  <c r="F445" i="3" a="1"/>
  <c r="F445" i="3" s="1"/>
  <c r="E445" i="3" a="1"/>
  <c r="E445" i="3" s="1"/>
  <c r="D445" i="3" a="1"/>
  <c r="D445" i="3" s="1"/>
  <c r="C445" i="3" a="1"/>
  <c r="C445" i="3" s="1"/>
  <c r="B445" i="3" a="1"/>
  <c r="B445" i="3" s="1"/>
  <c r="Z444" i="3" a="1"/>
  <c r="Z444" i="3" s="1"/>
  <c r="Y444" i="3" a="1"/>
  <c r="Y444" i="3" s="1"/>
  <c r="X444" i="3" a="1"/>
  <c r="X444" i="3" s="1"/>
  <c r="W444" i="3" a="1"/>
  <c r="W444" i="3" s="1"/>
  <c r="V444" i="3" a="1"/>
  <c r="V444" i="3" s="1"/>
  <c r="U444" i="3" a="1"/>
  <c r="U444" i="3" s="1"/>
  <c r="T444" i="3" a="1"/>
  <c r="T444" i="3" s="1"/>
  <c r="S444" i="3" a="1"/>
  <c r="S444" i="3" s="1"/>
  <c r="R444" i="3" a="1"/>
  <c r="R444" i="3" s="1"/>
  <c r="Q444" i="3" a="1"/>
  <c r="Q444" i="3" s="1"/>
  <c r="P444" i="3" a="1"/>
  <c r="P444" i="3" s="1"/>
  <c r="O444" i="3" a="1"/>
  <c r="O444" i="3" s="1"/>
  <c r="N444" i="3" a="1"/>
  <c r="N444" i="3" s="1"/>
  <c r="M444" i="3" a="1"/>
  <c r="M444" i="3" s="1"/>
  <c r="L444" i="3" a="1"/>
  <c r="L444" i="3" s="1"/>
  <c r="K444" i="3" a="1"/>
  <c r="K444" i="3" s="1"/>
  <c r="J444" i="3" a="1"/>
  <c r="J444" i="3" s="1"/>
  <c r="I444" i="3" a="1"/>
  <c r="I444" i="3" s="1"/>
  <c r="G444" i="3" a="1"/>
  <c r="G444" i="3" s="1"/>
  <c r="F444" i="3" a="1"/>
  <c r="F444" i="3" s="1"/>
  <c r="E444" i="3" a="1"/>
  <c r="E444" i="3" s="1"/>
  <c r="D444" i="3" a="1"/>
  <c r="D444" i="3" s="1"/>
  <c r="C444" i="3" a="1"/>
  <c r="C444" i="3" s="1"/>
  <c r="B444" i="3" a="1"/>
  <c r="B444" i="3" s="1"/>
  <c r="Z443" i="3" a="1"/>
  <c r="Z443" i="3" s="1"/>
  <c r="Y443" i="3" a="1"/>
  <c r="Y443" i="3" s="1"/>
  <c r="X443" i="3" a="1"/>
  <c r="X443" i="3" s="1"/>
  <c r="W443" i="3" a="1"/>
  <c r="W443" i="3" s="1"/>
  <c r="V443" i="3" a="1"/>
  <c r="V443" i="3" s="1"/>
  <c r="U443" i="3" a="1"/>
  <c r="U443" i="3" s="1"/>
  <c r="T443" i="3" a="1"/>
  <c r="T443" i="3" s="1"/>
  <c r="S443" i="3" a="1"/>
  <c r="S443" i="3" s="1"/>
  <c r="R443" i="3" a="1"/>
  <c r="R443" i="3" s="1"/>
  <c r="Q443" i="3" a="1"/>
  <c r="Q443" i="3" s="1"/>
  <c r="P443" i="3" a="1"/>
  <c r="P443" i="3" s="1"/>
  <c r="O443" i="3" a="1"/>
  <c r="O443" i="3" s="1"/>
  <c r="N443" i="3" a="1"/>
  <c r="N443" i="3" s="1"/>
  <c r="M443" i="3" a="1"/>
  <c r="M443" i="3" s="1"/>
  <c r="L443" i="3" a="1"/>
  <c r="L443" i="3" s="1"/>
  <c r="K443" i="3" a="1"/>
  <c r="K443" i="3" s="1"/>
  <c r="J443" i="3" a="1"/>
  <c r="J443" i="3" s="1"/>
  <c r="I443" i="3" a="1"/>
  <c r="I443" i="3" s="1"/>
  <c r="G443" i="3" a="1"/>
  <c r="G443" i="3" s="1"/>
  <c r="F443" i="3" a="1"/>
  <c r="F443" i="3" s="1"/>
  <c r="E443" i="3" a="1"/>
  <c r="E443" i="3" s="1"/>
  <c r="D443" i="3" a="1"/>
  <c r="D443" i="3" s="1"/>
  <c r="C443" i="3" a="1"/>
  <c r="C443" i="3" s="1"/>
  <c r="B443" i="3" a="1"/>
  <c r="B443" i="3" s="1"/>
  <c r="Z442" i="3" a="1"/>
  <c r="Z442" i="3" s="1"/>
  <c r="Y442" i="3" a="1"/>
  <c r="Y442" i="3" s="1"/>
  <c r="X442" i="3" a="1"/>
  <c r="X442" i="3" s="1"/>
  <c r="W442" i="3" a="1"/>
  <c r="W442" i="3" s="1"/>
  <c r="V442" i="3" a="1"/>
  <c r="V442" i="3" s="1"/>
  <c r="U442" i="3" a="1"/>
  <c r="U442" i="3" s="1"/>
  <c r="T442" i="3" a="1"/>
  <c r="T442" i="3" s="1"/>
  <c r="S442" i="3" a="1"/>
  <c r="S442" i="3" s="1"/>
  <c r="R442" i="3" a="1"/>
  <c r="R442" i="3" s="1"/>
  <c r="Q442" i="3" a="1"/>
  <c r="Q442" i="3" s="1"/>
  <c r="P442" i="3" a="1"/>
  <c r="P442" i="3" s="1"/>
  <c r="O442" i="3" a="1"/>
  <c r="O442" i="3" s="1"/>
  <c r="N442" i="3" a="1"/>
  <c r="N442" i="3" s="1"/>
  <c r="M442" i="3" a="1"/>
  <c r="M442" i="3" s="1"/>
  <c r="L442" i="3" a="1"/>
  <c r="L442" i="3" s="1"/>
  <c r="K442" i="3" a="1"/>
  <c r="K442" i="3" s="1"/>
  <c r="J442" i="3" a="1"/>
  <c r="J442" i="3" s="1"/>
  <c r="I442" i="3" a="1"/>
  <c r="I442" i="3" s="1"/>
  <c r="G442" i="3" a="1"/>
  <c r="G442" i="3" s="1"/>
  <c r="F442" i="3" a="1"/>
  <c r="F442" i="3" s="1"/>
  <c r="E442" i="3" a="1"/>
  <c r="E442" i="3" s="1"/>
  <c r="D442" i="3" a="1"/>
  <c r="D442" i="3" s="1"/>
  <c r="C442" i="3" a="1"/>
  <c r="C442" i="3" s="1"/>
  <c r="B442" i="3" a="1"/>
  <c r="B442" i="3" s="1"/>
  <c r="Z441" i="3" a="1"/>
  <c r="Z441" i="3" s="1"/>
  <c r="Y441" i="3" a="1"/>
  <c r="Y441" i="3" s="1"/>
  <c r="X441" i="3" a="1"/>
  <c r="X441" i="3" s="1"/>
  <c r="W441" i="3" a="1"/>
  <c r="W441" i="3" s="1"/>
  <c r="V441" i="3" a="1"/>
  <c r="V441" i="3" s="1"/>
  <c r="U441" i="3" a="1"/>
  <c r="U441" i="3" s="1"/>
  <c r="T441" i="3" a="1"/>
  <c r="T441" i="3" s="1"/>
  <c r="S441" i="3" a="1"/>
  <c r="S441" i="3" s="1"/>
  <c r="R441" i="3" a="1"/>
  <c r="R441" i="3" s="1"/>
  <c r="Q441" i="3" a="1"/>
  <c r="Q441" i="3" s="1"/>
  <c r="P441" i="3" a="1"/>
  <c r="P441" i="3" s="1"/>
  <c r="O441" i="3" a="1"/>
  <c r="O441" i="3" s="1"/>
  <c r="N441" i="3" a="1"/>
  <c r="N441" i="3" s="1"/>
  <c r="M441" i="3" a="1"/>
  <c r="M441" i="3" s="1"/>
  <c r="L441" i="3" a="1"/>
  <c r="L441" i="3" s="1"/>
  <c r="K441" i="3" a="1"/>
  <c r="K441" i="3" s="1"/>
  <c r="J441" i="3" a="1"/>
  <c r="J441" i="3" s="1"/>
  <c r="I441" i="3" a="1"/>
  <c r="I441" i="3" s="1"/>
  <c r="G441" i="3" a="1"/>
  <c r="G441" i="3" s="1"/>
  <c r="F441" i="3" a="1"/>
  <c r="F441" i="3" s="1"/>
  <c r="E441" i="3" a="1"/>
  <c r="E441" i="3" s="1"/>
  <c r="D441" i="3" a="1"/>
  <c r="D441" i="3" s="1"/>
  <c r="C441" i="3" a="1"/>
  <c r="C441" i="3" s="1"/>
  <c r="B441" i="3" a="1"/>
  <c r="B441" i="3" s="1"/>
  <c r="Z440" i="3" a="1"/>
  <c r="Z440" i="3" s="1"/>
  <c r="Y440" i="3" a="1"/>
  <c r="Y440" i="3" s="1"/>
  <c r="X440" i="3" a="1"/>
  <c r="X440" i="3" s="1"/>
  <c r="W440" i="3" a="1"/>
  <c r="W440" i="3" s="1"/>
  <c r="V440" i="3" a="1"/>
  <c r="V440" i="3" s="1"/>
  <c r="U440" i="3" a="1"/>
  <c r="U440" i="3" s="1"/>
  <c r="T440" i="3" a="1"/>
  <c r="T440" i="3" s="1"/>
  <c r="S440" i="3" a="1"/>
  <c r="S440" i="3" s="1"/>
  <c r="R440" i="3" a="1"/>
  <c r="R440" i="3" s="1"/>
  <c r="Q440" i="3" a="1"/>
  <c r="Q440" i="3" s="1"/>
  <c r="P440" i="3" a="1"/>
  <c r="P440" i="3" s="1"/>
  <c r="O440" i="3" a="1"/>
  <c r="O440" i="3" s="1"/>
  <c r="N440" i="3" a="1"/>
  <c r="N440" i="3" s="1"/>
  <c r="M440" i="3" a="1"/>
  <c r="M440" i="3" s="1"/>
  <c r="L440" i="3" a="1"/>
  <c r="L440" i="3" s="1"/>
  <c r="K440" i="3" a="1"/>
  <c r="K440" i="3" s="1"/>
  <c r="J440" i="3" a="1"/>
  <c r="J440" i="3" s="1"/>
  <c r="I440" i="3" a="1"/>
  <c r="I440" i="3" s="1"/>
  <c r="G440" i="3" a="1"/>
  <c r="G440" i="3" s="1"/>
  <c r="F440" i="3" a="1"/>
  <c r="F440" i="3" s="1"/>
  <c r="E440" i="3" a="1"/>
  <c r="E440" i="3" s="1"/>
  <c r="D440" i="3" a="1"/>
  <c r="D440" i="3" s="1"/>
  <c r="C440" i="3" a="1"/>
  <c r="C440" i="3" s="1"/>
  <c r="B440" i="3" a="1"/>
  <c r="B440" i="3" s="1"/>
  <c r="Z439" i="3" a="1"/>
  <c r="Z439" i="3" s="1"/>
  <c r="Y439" i="3" a="1"/>
  <c r="Y439" i="3" s="1"/>
  <c r="X439" i="3" a="1"/>
  <c r="X439" i="3" s="1"/>
  <c r="W439" i="3" a="1"/>
  <c r="W439" i="3" s="1"/>
  <c r="V439" i="3" a="1"/>
  <c r="V439" i="3" s="1"/>
  <c r="U439" i="3" a="1"/>
  <c r="U439" i="3" s="1"/>
  <c r="T439" i="3" a="1"/>
  <c r="T439" i="3" s="1"/>
  <c r="S439" i="3" a="1"/>
  <c r="S439" i="3" s="1"/>
  <c r="R439" i="3" a="1"/>
  <c r="R439" i="3" s="1"/>
  <c r="Q439" i="3" a="1"/>
  <c r="Q439" i="3" s="1"/>
  <c r="P439" i="3" a="1"/>
  <c r="P439" i="3" s="1"/>
  <c r="O439" i="3" a="1"/>
  <c r="O439" i="3" s="1"/>
  <c r="N439" i="3" a="1"/>
  <c r="N439" i="3" s="1"/>
  <c r="M439" i="3" a="1"/>
  <c r="M439" i="3" s="1"/>
  <c r="L439" i="3" a="1"/>
  <c r="L439" i="3" s="1"/>
  <c r="K439" i="3" a="1"/>
  <c r="K439" i="3" s="1"/>
  <c r="J439" i="3" a="1"/>
  <c r="J439" i="3" s="1"/>
  <c r="I439" i="3" a="1"/>
  <c r="I439" i="3" s="1"/>
  <c r="G439" i="3" a="1"/>
  <c r="G439" i="3" s="1"/>
  <c r="F439" i="3" a="1"/>
  <c r="F439" i="3" s="1"/>
  <c r="E439" i="3" a="1"/>
  <c r="E439" i="3" s="1"/>
  <c r="D439" i="3" a="1"/>
  <c r="D439" i="3" s="1"/>
  <c r="C439" i="3" a="1"/>
  <c r="C439" i="3" s="1"/>
  <c r="B439" i="3" a="1"/>
  <c r="B439" i="3" s="1"/>
  <c r="Z438" i="3" a="1"/>
  <c r="Z438" i="3" s="1"/>
  <c r="Y438" i="3" a="1"/>
  <c r="Y438" i="3" s="1"/>
  <c r="X438" i="3" a="1"/>
  <c r="X438" i="3" s="1"/>
  <c r="W438" i="3" a="1"/>
  <c r="W438" i="3" s="1"/>
  <c r="V438" i="3" a="1"/>
  <c r="V438" i="3" s="1"/>
  <c r="U438" i="3" a="1"/>
  <c r="U438" i="3" s="1"/>
  <c r="T438" i="3" a="1"/>
  <c r="T438" i="3" s="1"/>
  <c r="S438" i="3" a="1"/>
  <c r="S438" i="3" s="1"/>
  <c r="R438" i="3" a="1"/>
  <c r="R438" i="3" s="1"/>
  <c r="Q438" i="3" a="1"/>
  <c r="Q438" i="3" s="1"/>
  <c r="P438" i="3" a="1"/>
  <c r="P438" i="3" s="1"/>
  <c r="O438" i="3" a="1"/>
  <c r="O438" i="3" s="1"/>
  <c r="N438" i="3" a="1"/>
  <c r="N438" i="3" s="1"/>
  <c r="M438" i="3" a="1"/>
  <c r="M438" i="3" s="1"/>
  <c r="L438" i="3" a="1"/>
  <c r="L438" i="3" s="1"/>
  <c r="K438" i="3" a="1"/>
  <c r="K438" i="3" s="1"/>
  <c r="J438" i="3" a="1"/>
  <c r="J438" i="3" s="1"/>
  <c r="I438" i="3" a="1"/>
  <c r="I438" i="3" s="1"/>
  <c r="G438" i="3" a="1"/>
  <c r="G438" i="3" s="1"/>
  <c r="F438" i="3" a="1"/>
  <c r="F438" i="3" s="1"/>
  <c r="E438" i="3" a="1"/>
  <c r="E438" i="3" s="1"/>
  <c r="D438" i="3" a="1"/>
  <c r="D438" i="3" s="1"/>
  <c r="C438" i="3" a="1"/>
  <c r="C438" i="3" s="1"/>
  <c r="B438" i="3" a="1"/>
  <c r="B438" i="3" s="1"/>
  <c r="Z437" i="3" a="1"/>
  <c r="Z437" i="3" s="1"/>
  <c r="Y437" i="3" a="1"/>
  <c r="Y437" i="3" s="1"/>
  <c r="X437" i="3" a="1"/>
  <c r="X437" i="3" s="1"/>
  <c r="W437" i="3" a="1"/>
  <c r="W437" i="3" s="1"/>
  <c r="V437" i="3" a="1"/>
  <c r="V437" i="3" s="1"/>
  <c r="U437" i="3" a="1"/>
  <c r="U437" i="3" s="1"/>
  <c r="T437" i="3" a="1"/>
  <c r="T437" i="3" s="1"/>
  <c r="S437" i="3" a="1"/>
  <c r="S437" i="3" s="1"/>
  <c r="R437" i="3" a="1"/>
  <c r="R437" i="3" s="1"/>
  <c r="Q437" i="3" a="1"/>
  <c r="Q437" i="3" s="1"/>
  <c r="P437" i="3" a="1"/>
  <c r="P437" i="3" s="1"/>
  <c r="O437" i="3" a="1"/>
  <c r="O437" i="3" s="1"/>
  <c r="N437" i="3" a="1"/>
  <c r="N437" i="3" s="1"/>
  <c r="M437" i="3" a="1"/>
  <c r="M437" i="3" s="1"/>
  <c r="L437" i="3" a="1"/>
  <c r="L437" i="3" s="1"/>
  <c r="K437" i="3" a="1"/>
  <c r="K437" i="3" s="1"/>
  <c r="J437" i="3" a="1"/>
  <c r="J437" i="3" s="1"/>
  <c r="I437" i="3" a="1"/>
  <c r="I437" i="3" s="1"/>
  <c r="G437" i="3" a="1"/>
  <c r="G437" i="3" s="1"/>
  <c r="F437" i="3" a="1"/>
  <c r="F437" i="3" s="1"/>
  <c r="E437" i="3" a="1"/>
  <c r="E437" i="3" s="1"/>
  <c r="D437" i="3" a="1"/>
  <c r="D437" i="3" s="1"/>
  <c r="C437" i="3" a="1"/>
  <c r="C437" i="3" s="1"/>
  <c r="B437" i="3" a="1"/>
  <c r="B437" i="3" s="1"/>
  <c r="Q433" i="3" a="1"/>
  <c r="Q433" i="3" s="1"/>
  <c r="P433" i="3" a="1"/>
  <c r="P433" i="3" s="1"/>
  <c r="O433" i="3" a="1"/>
  <c r="O433" i="3" s="1"/>
  <c r="N433" i="3" a="1"/>
  <c r="N433" i="3" s="1"/>
  <c r="M433" i="3" a="1"/>
  <c r="M433" i="3" s="1"/>
  <c r="L433" i="3" a="1"/>
  <c r="L433" i="3" s="1"/>
  <c r="K433" i="3" a="1"/>
  <c r="K433" i="3" s="1"/>
  <c r="J433" i="3" a="1"/>
  <c r="J433" i="3" s="1"/>
  <c r="I433" i="3" a="1"/>
  <c r="I433" i="3" s="1"/>
  <c r="G433" i="3" a="1"/>
  <c r="G433" i="3" s="1"/>
  <c r="F433" i="3" a="1"/>
  <c r="F433" i="3" s="1"/>
  <c r="E433" i="3" a="1"/>
  <c r="E433" i="3" s="1"/>
  <c r="D433" i="3" a="1"/>
  <c r="D433" i="3" s="1"/>
  <c r="C433" i="3" a="1"/>
  <c r="C433" i="3" s="1"/>
  <c r="B433" i="3" a="1"/>
  <c r="B433" i="3" s="1"/>
  <c r="Q432" i="3" a="1"/>
  <c r="Q432" i="3" s="1"/>
  <c r="P432" i="3" a="1"/>
  <c r="P432" i="3" s="1"/>
  <c r="O432" i="3" a="1"/>
  <c r="O432" i="3" s="1"/>
  <c r="N432" i="3" a="1"/>
  <c r="N432" i="3" s="1"/>
  <c r="M432" i="3" a="1"/>
  <c r="M432" i="3" s="1"/>
  <c r="L432" i="3" a="1"/>
  <c r="L432" i="3" s="1"/>
  <c r="K432" i="3" a="1"/>
  <c r="K432" i="3" s="1"/>
  <c r="J432" i="3" a="1"/>
  <c r="J432" i="3" s="1"/>
  <c r="I432" i="3" a="1"/>
  <c r="I432" i="3" s="1"/>
  <c r="G432" i="3" a="1"/>
  <c r="G432" i="3" s="1"/>
  <c r="F432" i="3" a="1"/>
  <c r="F432" i="3" s="1"/>
  <c r="E432" i="3" a="1"/>
  <c r="E432" i="3" s="1"/>
  <c r="D432" i="3" a="1"/>
  <c r="D432" i="3" s="1"/>
  <c r="C432" i="3" a="1"/>
  <c r="C432" i="3" s="1"/>
  <c r="B432" i="3" a="1"/>
  <c r="B432" i="3" s="1"/>
  <c r="T431" i="3" a="1"/>
  <c r="T431" i="3" s="1"/>
  <c r="Q431" i="3" a="1"/>
  <c r="Q431" i="3" s="1"/>
  <c r="P431" i="3" a="1"/>
  <c r="P431" i="3" s="1"/>
  <c r="O431" i="3" a="1"/>
  <c r="O431" i="3" s="1"/>
  <c r="N431" i="3" a="1"/>
  <c r="N431" i="3" s="1"/>
  <c r="M431" i="3" a="1"/>
  <c r="M431" i="3" s="1"/>
  <c r="L431" i="3" a="1"/>
  <c r="L431" i="3" s="1"/>
  <c r="K431" i="3" a="1"/>
  <c r="K431" i="3" s="1"/>
  <c r="J431" i="3" a="1"/>
  <c r="J431" i="3" s="1"/>
  <c r="I431" i="3" a="1"/>
  <c r="I431" i="3" s="1"/>
  <c r="G431" i="3" a="1"/>
  <c r="G431" i="3" s="1"/>
  <c r="F431" i="3" a="1"/>
  <c r="F431" i="3" s="1"/>
  <c r="E431" i="3" a="1"/>
  <c r="E431" i="3" s="1"/>
  <c r="D431" i="3" a="1"/>
  <c r="D431" i="3" s="1"/>
  <c r="C431" i="3" a="1"/>
  <c r="C431" i="3" s="1"/>
  <c r="B431" i="3" a="1"/>
  <c r="B431" i="3" s="1"/>
  <c r="Z427" i="3" a="1"/>
  <c r="Z427" i="3" s="1"/>
  <c r="Y427" i="3" a="1"/>
  <c r="Y427" i="3" s="1"/>
  <c r="X427" i="3" a="1"/>
  <c r="X427" i="3" s="1"/>
  <c r="W427" i="3" a="1"/>
  <c r="W427" i="3" s="1"/>
  <c r="V427" i="3" a="1"/>
  <c r="V427" i="3" s="1"/>
  <c r="U427" i="3" a="1"/>
  <c r="U427" i="3" s="1"/>
  <c r="T427" i="3" a="1"/>
  <c r="T427" i="3" s="1"/>
  <c r="S427" i="3" a="1"/>
  <c r="S427" i="3" s="1"/>
  <c r="R427" i="3" a="1"/>
  <c r="R427" i="3" s="1"/>
  <c r="Q427" i="3" a="1"/>
  <c r="Q427" i="3" s="1"/>
  <c r="P427" i="3" a="1"/>
  <c r="P427" i="3" s="1"/>
  <c r="O427" i="3" a="1"/>
  <c r="O427" i="3" s="1"/>
  <c r="N427" i="3" a="1"/>
  <c r="N427" i="3" s="1"/>
  <c r="M427" i="3" a="1"/>
  <c r="M427" i="3" s="1"/>
  <c r="L427" i="3" a="1"/>
  <c r="L427" i="3" s="1"/>
  <c r="K427" i="3" a="1"/>
  <c r="K427" i="3" s="1"/>
  <c r="J427" i="3" a="1"/>
  <c r="J427" i="3" s="1"/>
  <c r="I427" i="3" a="1"/>
  <c r="I427" i="3" s="1"/>
  <c r="G427" i="3" a="1"/>
  <c r="G427" i="3" s="1"/>
  <c r="F427" i="3" a="1"/>
  <c r="F427" i="3" s="1"/>
  <c r="E427" i="3" a="1"/>
  <c r="E427" i="3" s="1"/>
  <c r="D427" i="3" a="1"/>
  <c r="D427" i="3" s="1"/>
  <c r="C427" i="3" a="1"/>
  <c r="C427" i="3" s="1"/>
  <c r="B427" i="3" a="1"/>
  <c r="B427" i="3" s="1"/>
  <c r="Z426" i="3" a="1"/>
  <c r="Z426" i="3" s="1"/>
  <c r="Y426" i="3" a="1"/>
  <c r="Y426" i="3" s="1"/>
  <c r="X426" i="3" a="1"/>
  <c r="X426" i="3" s="1"/>
  <c r="W426" i="3" a="1"/>
  <c r="W426" i="3" s="1"/>
  <c r="V426" i="3" a="1"/>
  <c r="V426" i="3" s="1"/>
  <c r="U426" i="3" a="1"/>
  <c r="U426" i="3" s="1"/>
  <c r="T426" i="3" a="1"/>
  <c r="T426" i="3" s="1"/>
  <c r="S426" i="3" a="1"/>
  <c r="S426" i="3" s="1"/>
  <c r="R426" i="3" a="1"/>
  <c r="R426" i="3" s="1"/>
  <c r="Q426" i="3" a="1"/>
  <c r="Q426" i="3" s="1"/>
  <c r="P426" i="3" a="1"/>
  <c r="P426" i="3" s="1"/>
  <c r="O426" i="3" a="1"/>
  <c r="O426" i="3" s="1"/>
  <c r="N426" i="3" a="1"/>
  <c r="N426" i="3" s="1"/>
  <c r="M426" i="3" a="1"/>
  <c r="M426" i="3" s="1"/>
  <c r="L426" i="3" a="1"/>
  <c r="L426" i="3" s="1"/>
  <c r="K426" i="3" a="1"/>
  <c r="K426" i="3" s="1"/>
  <c r="J426" i="3" a="1"/>
  <c r="J426" i="3" s="1"/>
  <c r="I426" i="3" a="1"/>
  <c r="I426" i="3" s="1"/>
  <c r="G426" i="3" a="1"/>
  <c r="G426" i="3" s="1"/>
  <c r="F426" i="3" a="1"/>
  <c r="F426" i="3" s="1"/>
  <c r="E426" i="3" a="1"/>
  <c r="E426" i="3" s="1"/>
  <c r="D426" i="3" a="1"/>
  <c r="D426" i="3" s="1"/>
  <c r="C426" i="3" a="1"/>
  <c r="C426" i="3" s="1"/>
  <c r="B426" i="3" a="1"/>
  <c r="B426" i="3" s="1"/>
  <c r="Z425" i="3" a="1"/>
  <c r="Z425" i="3" s="1"/>
  <c r="Y425" i="3" a="1"/>
  <c r="Y425" i="3" s="1"/>
  <c r="X425" i="3" a="1"/>
  <c r="X425" i="3" s="1"/>
  <c r="W425" i="3" a="1"/>
  <c r="W425" i="3" s="1"/>
  <c r="V425" i="3" a="1"/>
  <c r="V425" i="3" s="1"/>
  <c r="U425" i="3" a="1"/>
  <c r="U425" i="3" s="1"/>
  <c r="T425" i="3" a="1"/>
  <c r="T425" i="3" s="1"/>
  <c r="S425" i="3" a="1"/>
  <c r="S425" i="3" s="1"/>
  <c r="R425" i="3" a="1"/>
  <c r="R425" i="3" s="1"/>
  <c r="Q425" i="3" a="1"/>
  <c r="Q425" i="3" s="1"/>
  <c r="P425" i="3" a="1"/>
  <c r="P425" i="3" s="1"/>
  <c r="O425" i="3" a="1"/>
  <c r="O425" i="3" s="1"/>
  <c r="N425" i="3" a="1"/>
  <c r="N425" i="3" s="1"/>
  <c r="M425" i="3" a="1"/>
  <c r="M425" i="3" s="1"/>
  <c r="L425" i="3" a="1"/>
  <c r="L425" i="3" s="1"/>
  <c r="K425" i="3" a="1"/>
  <c r="K425" i="3" s="1"/>
  <c r="J425" i="3" a="1"/>
  <c r="J425" i="3" s="1"/>
  <c r="I425" i="3" a="1"/>
  <c r="I425" i="3" s="1"/>
  <c r="G425" i="3" a="1"/>
  <c r="G425" i="3" s="1"/>
  <c r="F425" i="3" a="1"/>
  <c r="F425" i="3" s="1"/>
  <c r="E425" i="3" a="1"/>
  <c r="E425" i="3" s="1"/>
  <c r="D425" i="3" a="1"/>
  <c r="D425" i="3" s="1"/>
  <c r="C425" i="3" a="1"/>
  <c r="C425" i="3" s="1"/>
  <c r="B425" i="3" a="1"/>
  <c r="B425" i="3" s="1"/>
  <c r="Z424" i="3" a="1"/>
  <c r="Z424" i="3" s="1"/>
  <c r="Y424" i="3" a="1"/>
  <c r="Y424" i="3" s="1"/>
  <c r="X424" i="3" a="1"/>
  <c r="X424" i="3" s="1"/>
  <c r="W424" i="3" a="1"/>
  <c r="W424" i="3" s="1"/>
  <c r="V424" i="3" a="1"/>
  <c r="V424" i="3" s="1"/>
  <c r="U424" i="3" a="1"/>
  <c r="U424" i="3" s="1"/>
  <c r="T424" i="3" a="1"/>
  <c r="T424" i="3" s="1"/>
  <c r="S424" i="3" a="1"/>
  <c r="S424" i="3" s="1"/>
  <c r="R424" i="3" a="1"/>
  <c r="R424" i="3" s="1"/>
  <c r="Q424" i="3" a="1"/>
  <c r="Q424" i="3" s="1"/>
  <c r="P424" i="3" a="1"/>
  <c r="P424" i="3" s="1"/>
  <c r="O424" i="3" a="1"/>
  <c r="O424" i="3" s="1"/>
  <c r="N424" i="3" a="1"/>
  <c r="N424" i="3" s="1"/>
  <c r="M424" i="3" a="1"/>
  <c r="M424" i="3" s="1"/>
  <c r="L424" i="3" a="1"/>
  <c r="L424" i="3" s="1"/>
  <c r="K424" i="3" a="1"/>
  <c r="K424" i="3" s="1"/>
  <c r="J424" i="3" a="1"/>
  <c r="J424" i="3" s="1"/>
  <c r="I424" i="3" a="1"/>
  <c r="I424" i="3" s="1"/>
  <c r="G424" i="3" a="1"/>
  <c r="G424" i="3" s="1"/>
  <c r="F424" i="3" a="1"/>
  <c r="F424" i="3" s="1"/>
  <c r="E424" i="3" a="1"/>
  <c r="E424" i="3" s="1"/>
  <c r="D424" i="3" a="1"/>
  <c r="D424" i="3" s="1"/>
  <c r="C424" i="3" a="1"/>
  <c r="C424" i="3" s="1"/>
  <c r="B424" i="3" a="1"/>
  <c r="B424" i="3" s="1"/>
  <c r="Z423" i="3" a="1"/>
  <c r="Z423" i="3" s="1"/>
  <c r="Y423" i="3" a="1"/>
  <c r="Y423" i="3" s="1"/>
  <c r="X423" i="3" a="1"/>
  <c r="X423" i="3" s="1"/>
  <c r="W423" i="3" a="1"/>
  <c r="W423" i="3" s="1"/>
  <c r="V423" i="3" a="1"/>
  <c r="V423" i="3" s="1"/>
  <c r="U423" i="3" a="1"/>
  <c r="U423" i="3" s="1"/>
  <c r="T423" i="3" a="1"/>
  <c r="T423" i="3" s="1"/>
  <c r="S423" i="3" a="1"/>
  <c r="S423" i="3" s="1"/>
  <c r="R423" i="3" a="1"/>
  <c r="R423" i="3" s="1"/>
  <c r="Q423" i="3" a="1"/>
  <c r="Q423" i="3" s="1"/>
  <c r="P423" i="3" a="1"/>
  <c r="P423" i="3" s="1"/>
  <c r="O423" i="3" a="1"/>
  <c r="O423" i="3" s="1"/>
  <c r="N423" i="3" a="1"/>
  <c r="N423" i="3" s="1"/>
  <c r="M423" i="3" a="1"/>
  <c r="M423" i="3" s="1"/>
  <c r="L423" i="3" a="1"/>
  <c r="L423" i="3" s="1"/>
  <c r="K423" i="3" a="1"/>
  <c r="K423" i="3" s="1"/>
  <c r="J423" i="3" a="1"/>
  <c r="J423" i="3" s="1"/>
  <c r="I423" i="3" a="1"/>
  <c r="I423" i="3" s="1"/>
  <c r="G423" i="3" a="1"/>
  <c r="G423" i="3" s="1"/>
  <c r="F423" i="3" a="1"/>
  <c r="F423" i="3" s="1"/>
  <c r="E423" i="3" a="1"/>
  <c r="E423" i="3" s="1"/>
  <c r="D423" i="3" a="1"/>
  <c r="D423" i="3" s="1"/>
  <c r="C423" i="3" a="1"/>
  <c r="C423" i="3" s="1"/>
  <c r="B423" i="3" a="1"/>
  <c r="B423" i="3" s="1"/>
  <c r="Z422" i="3" a="1"/>
  <c r="Z422" i="3" s="1"/>
  <c r="Y422" i="3" a="1"/>
  <c r="Y422" i="3" s="1"/>
  <c r="X422" i="3" a="1"/>
  <c r="X422" i="3" s="1"/>
  <c r="W422" i="3" a="1"/>
  <c r="W422" i="3" s="1"/>
  <c r="V422" i="3" a="1"/>
  <c r="V422" i="3" s="1"/>
  <c r="U422" i="3" a="1"/>
  <c r="U422" i="3" s="1"/>
  <c r="T422" i="3" a="1"/>
  <c r="T422" i="3" s="1"/>
  <c r="S422" i="3" a="1"/>
  <c r="S422" i="3" s="1"/>
  <c r="R422" i="3" a="1"/>
  <c r="R422" i="3" s="1"/>
  <c r="Q422" i="3" a="1"/>
  <c r="Q422" i="3" s="1"/>
  <c r="P422" i="3" a="1"/>
  <c r="P422" i="3" s="1"/>
  <c r="O422" i="3" a="1"/>
  <c r="O422" i="3" s="1"/>
  <c r="N422" i="3" a="1"/>
  <c r="N422" i="3" s="1"/>
  <c r="M422" i="3" a="1"/>
  <c r="M422" i="3" s="1"/>
  <c r="L422" i="3" a="1"/>
  <c r="L422" i="3" s="1"/>
  <c r="K422" i="3" a="1"/>
  <c r="K422" i="3" s="1"/>
  <c r="J422" i="3" a="1"/>
  <c r="J422" i="3" s="1"/>
  <c r="I422" i="3" a="1"/>
  <c r="I422" i="3" s="1"/>
  <c r="G422" i="3" a="1"/>
  <c r="G422" i="3" s="1"/>
  <c r="F422" i="3" a="1"/>
  <c r="F422" i="3" s="1"/>
  <c r="E422" i="3" a="1"/>
  <c r="E422" i="3" s="1"/>
  <c r="D422" i="3" a="1"/>
  <c r="D422" i="3" s="1"/>
  <c r="C422" i="3" a="1"/>
  <c r="C422" i="3" s="1"/>
  <c r="B422" i="3" a="1"/>
  <c r="B422" i="3" s="1"/>
  <c r="Z421" i="3" a="1"/>
  <c r="Z421" i="3" s="1"/>
  <c r="Y421" i="3" a="1"/>
  <c r="Y421" i="3" s="1"/>
  <c r="X421" i="3" a="1"/>
  <c r="X421" i="3" s="1"/>
  <c r="W421" i="3" a="1"/>
  <c r="W421" i="3" s="1"/>
  <c r="V421" i="3" a="1"/>
  <c r="V421" i="3" s="1"/>
  <c r="U421" i="3" a="1"/>
  <c r="U421" i="3" s="1"/>
  <c r="T421" i="3" a="1"/>
  <c r="T421" i="3" s="1"/>
  <c r="S421" i="3" a="1"/>
  <c r="S421" i="3" s="1"/>
  <c r="R421" i="3" a="1"/>
  <c r="R421" i="3" s="1"/>
  <c r="Q421" i="3" a="1"/>
  <c r="Q421" i="3" s="1"/>
  <c r="P421" i="3" a="1"/>
  <c r="P421" i="3" s="1"/>
  <c r="O421" i="3" a="1"/>
  <c r="O421" i="3" s="1"/>
  <c r="N421" i="3" a="1"/>
  <c r="N421" i="3" s="1"/>
  <c r="M421" i="3" a="1"/>
  <c r="M421" i="3" s="1"/>
  <c r="L421" i="3" a="1"/>
  <c r="L421" i="3" s="1"/>
  <c r="K421" i="3" a="1"/>
  <c r="K421" i="3" s="1"/>
  <c r="J421" i="3" a="1"/>
  <c r="J421" i="3" s="1"/>
  <c r="I421" i="3" a="1"/>
  <c r="I421" i="3" s="1"/>
  <c r="G421" i="3" a="1"/>
  <c r="G421" i="3" s="1"/>
  <c r="F421" i="3" a="1"/>
  <c r="F421" i="3" s="1"/>
  <c r="E421" i="3" a="1"/>
  <c r="E421" i="3" s="1"/>
  <c r="D421" i="3" a="1"/>
  <c r="D421" i="3" s="1"/>
  <c r="C421" i="3" a="1"/>
  <c r="C421" i="3" s="1"/>
  <c r="B421" i="3" a="1"/>
  <c r="B421" i="3" s="1"/>
  <c r="Z420" i="3" a="1"/>
  <c r="Z420" i="3" s="1"/>
  <c r="Y420" i="3" a="1"/>
  <c r="Y420" i="3" s="1"/>
  <c r="X420" i="3" a="1"/>
  <c r="X420" i="3" s="1"/>
  <c r="W420" i="3" a="1"/>
  <c r="W420" i="3" s="1"/>
  <c r="V420" i="3" a="1"/>
  <c r="V420" i="3" s="1"/>
  <c r="U420" i="3" a="1"/>
  <c r="U420" i="3" s="1"/>
  <c r="T420" i="3" a="1"/>
  <c r="T420" i="3" s="1"/>
  <c r="S420" i="3" a="1"/>
  <c r="S420" i="3" s="1"/>
  <c r="R420" i="3" a="1"/>
  <c r="R420" i="3" s="1"/>
  <c r="Q420" i="3" a="1"/>
  <c r="Q420" i="3" s="1"/>
  <c r="P420" i="3" a="1"/>
  <c r="P420" i="3" s="1"/>
  <c r="O420" i="3" a="1"/>
  <c r="O420" i="3" s="1"/>
  <c r="N420" i="3" a="1"/>
  <c r="N420" i="3" s="1"/>
  <c r="M420" i="3" a="1"/>
  <c r="M420" i="3" s="1"/>
  <c r="L420" i="3" a="1"/>
  <c r="L420" i="3" s="1"/>
  <c r="K420" i="3" a="1"/>
  <c r="K420" i="3" s="1"/>
  <c r="J420" i="3" a="1"/>
  <c r="J420" i="3" s="1"/>
  <c r="I420" i="3" a="1"/>
  <c r="I420" i="3" s="1"/>
  <c r="G420" i="3" a="1"/>
  <c r="G420" i="3" s="1"/>
  <c r="F420" i="3" a="1"/>
  <c r="F420" i="3" s="1"/>
  <c r="E420" i="3" a="1"/>
  <c r="E420" i="3" s="1"/>
  <c r="D420" i="3" a="1"/>
  <c r="D420" i="3" s="1"/>
  <c r="C420" i="3" a="1"/>
  <c r="C420" i="3" s="1"/>
  <c r="B420" i="3" a="1"/>
  <c r="B420" i="3" s="1"/>
  <c r="Z419" i="3" a="1"/>
  <c r="Z419" i="3" s="1"/>
  <c r="Y419" i="3" a="1"/>
  <c r="Y419" i="3" s="1"/>
  <c r="X419" i="3" a="1"/>
  <c r="X419" i="3" s="1"/>
  <c r="W419" i="3" a="1"/>
  <c r="W419" i="3" s="1"/>
  <c r="V419" i="3" a="1"/>
  <c r="V419" i="3" s="1"/>
  <c r="U419" i="3" a="1"/>
  <c r="U419" i="3" s="1"/>
  <c r="T419" i="3" a="1"/>
  <c r="T419" i="3" s="1"/>
  <c r="S419" i="3" a="1"/>
  <c r="S419" i="3" s="1"/>
  <c r="R419" i="3" a="1"/>
  <c r="R419" i="3" s="1"/>
  <c r="Q419" i="3" a="1"/>
  <c r="Q419" i="3" s="1"/>
  <c r="P419" i="3" a="1"/>
  <c r="P419" i="3" s="1"/>
  <c r="O419" i="3" a="1"/>
  <c r="O419" i="3" s="1"/>
  <c r="N419" i="3" a="1"/>
  <c r="N419" i="3" s="1"/>
  <c r="M419" i="3" a="1"/>
  <c r="M419" i="3" s="1"/>
  <c r="L419" i="3" a="1"/>
  <c r="L419" i="3" s="1"/>
  <c r="K419" i="3" a="1"/>
  <c r="K419" i="3" s="1"/>
  <c r="J419" i="3" a="1"/>
  <c r="J419" i="3" s="1"/>
  <c r="I419" i="3" a="1"/>
  <c r="I419" i="3" s="1"/>
  <c r="G419" i="3" a="1"/>
  <c r="G419" i="3" s="1"/>
  <c r="F419" i="3" a="1"/>
  <c r="F419" i="3" s="1"/>
  <c r="E419" i="3" a="1"/>
  <c r="E419" i="3" s="1"/>
  <c r="D419" i="3" a="1"/>
  <c r="D419" i="3" s="1"/>
  <c r="C419" i="3" a="1"/>
  <c r="C419" i="3" s="1"/>
  <c r="B419" i="3" a="1"/>
  <c r="B419" i="3" s="1"/>
  <c r="Z418" i="3" a="1"/>
  <c r="Z418" i="3" s="1"/>
  <c r="Y418" i="3" a="1"/>
  <c r="Y418" i="3" s="1"/>
  <c r="X418" i="3" a="1"/>
  <c r="X418" i="3" s="1"/>
  <c r="W418" i="3" a="1"/>
  <c r="W418" i="3" s="1"/>
  <c r="V418" i="3" a="1"/>
  <c r="V418" i="3" s="1"/>
  <c r="U418" i="3" a="1"/>
  <c r="U418" i="3" s="1"/>
  <c r="T418" i="3" a="1"/>
  <c r="T418" i="3" s="1"/>
  <c r="S418" i="3" a="1"/>
  <c r="S418" i="3" s="1"/>
  <c r="R418" i="3" a="1"/>
  <c r="R418" i="3" s="1"/>
  <c r="Q418" i="3" a="1"/>
  <c r="Q418" i="3" s="1"/>
  <c r="P418" i="3" a="1"/>
  <c r="P418" i="3" s="1"/>
  <c r="O418" i="3" a="1"/>
  <c r="O418" i="3" s="1"/>
  <c r="N418" i="3" a="1"/>
  <c r="N418" i="3" s="1"/>
  <c r="M418" i="3" a="1"/>
  <c r="M418" i="3" s="1"/>
  <c r="L418" i="3" a="1"/>
  <c r="L418" i="3" s="1"/>
  <c r="K418" i="3" a="1"/>
  <c r="K418" i="3" s="1"/>
  <c r="J418" i="3" a="1"/>
  <c r="J418" i="3" s="1"/>
  <c r="I418" i="3" a="1"/>
  <c r="I418" i="3" s="1"/>
  <c r="G418" i="3" a="1"/>
  <c r="G418" i="3" s="1"/>
  <c r="F418" i="3" a="1"/>
  <c r="F418" i="3" s="1"/>
  <c r="E418" i="3" a="1"/>
  <c r="E418" i="3" s="1"/>
  <c r="D418" i="3" a="1"/>
  <c r="D418" i="3" s="1"/>
  <c r="C418" i="3" a="1"/>
  <c r="C418" i="3" s="1"/>
  <c r="B418" i="3" a="1"/>
  <c r="B418" i="3" s="1"/>
  <c r="Z417" i="3" a="1"/>
  <c r="Z417" i="3" s="1"/>
  <c r="Y417" i="3" a="1"/>
  <c r="Y417" i="3" s="1"/>
  <c r="X417" i="3" a="1"/>
  <c r="X417" i="3" s="1"/>
  <c r="W417" i="3" a="1"/>
  <c r="W417" i="3" s="1"/>
  <c r="V417" i="3" a="1"/>
  <c r="V417" i="3" s="1"/>
  <c r="U417" i="3" a="1"/>
  <c r="U417" i="3" s="1"/>
  <c r="T417" i="3" a="1"/>
  <c r="T417" i="3" s="1"/>
  <c r="S417" i="3" a="1"/>
  <c r="S417" i="3" s="1"/>
  <c r="R417" i="3" a="1"/>
  <c r="R417" i="3" s="1"/>
  <c r="Q417" i="3" a="1"/>
  <c r="Q417" i="3" s="1"/>
  <c r="P417" i="3" a="1"/>
  <c r="P417" i="3" s="1"/>
  <c r="O417" i="3" a="1"/>
  <c r="O417" i="3" s="1"/>
  <c r="N417" i="3" a="1"/>
  <c r="N417" i="3" s="1"/>
  <c r="M417" i="3" a="1"/>
  <c r="M417" i="3" s="1"/>
  <c r="L417" i="3" a="1"/>
  <c r="L417" i="3" s="1"/>
  <c r="K417" i="3" a="1"/>
  <c r="K417" i="3" s="1"/>
  <c r="J417" i="3" a="1"/>
  <c r="J417" i="3" s="1"/>
  <c r="I417" i="3" a="1"/>
  <c r="I417" i="3" s="1"/>
  <c r="G417" i="3" a="1"/>
  <c r="G417" i="3" s="1"/>
  <c r="F417" i="3" a="1"/>
  <c r="F417" i="3" s="1"/>
  <c r="E417" i="3" a="1"/>
  <c r="E417" i="3" s="1"/>
  <c r="D417" i="3" a="1"/>
  <c r="D417" i="3" s="1"/>
  <c r="C417" i="3" a="1"/>
  <c r="C417" i="3" s="1"/>
  <c r="B417" i="3" a="1"/>
  <c r="B417" i="3" s="1"/>
  <c r="Z416" i="3" a="1"/>
  <c r="Z416" i="3" s="1"/>
  <c r="Y416" i="3" a="1"/>
  <c r="Y416" i="3" s="1"/>
  <c r="X416" i="3" a="1"/>
  <c r="X416" i="3" s="1"/>
  <c r="W416" i="3" a="1"/>
  <c r="W416" i="3" s="1"/>
  <c r="V416" i="3" a="1"/>
  <c r="V416" i="3" s="1"/>
  <c r="U416" i="3" a="1"/>
  <c r="U416" i="3" s="1"/>
  <c r="T416" i="3" a="1"/>
  <c r="T416" i="3" s="1"/>
  <c r="S416" i="3" a="1"/>
  <c r="S416" i="3" s="1"/>
  <c r="R416" i="3" a="1"/>
  <c r="R416" i="3" s="1"/>
  <c r="Q416" i="3" a="1"/>
  <c r="Q416" i="3" s="1"/>
  <c r="P416" i="3" a="1"/>
  <c r="P416" i="3" s="1"/>
  <c r="O416" i="3" a="1"/>
  <c r="O416" i="3" s="1"/>
  <c r="N416" i="3" a="1"/>
  <c r="N416" i="3" s="1"/>
  <c r="M416" i="3" a="1"/>
  <c r="M416" i="3" s="1"/>
  <c r="L416" i="3" a="1"/>
  <c r="L416" i="3" s="1"/>
  <c r="K416" i="3" a="1"/>
  <c r="K416" i="3" s="1"/>
  <c r="J416" i="3" a="1"/>
  <c r="J416" i="3" s="1"/>
  <c r="I416" i="3" a="1"/>
  <c r="I416" i="3" s="1"/>
  <c r="G416" i="3" a="1"/>
  <c r="G416" i="3" s="1"/>
  <c r="F416" i="3" a="1"/>
  <c r="F416" i="3" s="1"/>
  <c r="E416" i="3" a="1"/>
  <c r="E416" i="3" s="1"/>
  <c r="D416" i="3" a="1"/>
  <c r="D416" i="3" s="1"/>
  <c r="C416" i="3" a="1"/>
  <c r="C416" i="3" s="1"/>
  <c r="B416" i="3" a="1"/>
  <c r="B416" i="3" s="1"/>
  <c r="Z415" i="3" a="1"/>
  <c r="Z415" i="3" s="1"/>
  <c r="Y415" i="3" a="1"/>
  <c r="Y415" i="3" s="1"/>
  <c r="X415" i="3" a="1"/>
  <c r="X415" i="3" s="1"/>
  <c r="W415" i="3" a="1"/>
  <c r="W415" i="3" s="1"/>
  <c r="V415" i="3" a="1"/>
  <c r="V415" i="3" s="1"/>
  <c r="U415" i="3" a="1"/>
  <c r="U415" i="3" s="1"/>
  <c r="T415" i="3" a="1"/>
  <c r="T415" i="3" s="1"/>
  <c r="S415" i="3" a="1"/>
  <c r="S415" i="3" s="1"/>
  <c r="R415" i="3" a="1"/>
  <c r="R415" i="3" s="1"/>
  <c r="Q415" i="3" a="1"/>
  <c r="Q415" i="3" s="1"/>
  <c r="P415" i="3" a="1"/>
  <c r="P415" i="3" s="1"/>
  <c r="O415" i="3" a="1"/>
  <c r="O415" i="3" s="1"/>
  <c r="N415" i="3" a="1"/>
  <c r="N415" i="3" s="1"/>
  <c r="M415" i="3" a="1"/>
  <c r="M415" i="3" s="1"/>
  <c r="L415" i="3" a="1"/>
  <c r="L415" i="3" s="1"/>
  <c r="K415" i="3" a="1"/>
  <c r="K415" i="3" s="1"/>
  <c r="J415" i="3" a="1"/>
  <c r="J415" i="3" s="1"/>
  <c r="I415" i="3" a="1"/>
  <c r="I415" i="3" s="1"/>
  <c r="G415" i="3" a="1"/>
  <c r="G415" i="3" s="1"/>
  <c r="F415" i="3" a="1"/>
  <c r="F415" i="3" s="1"/>
  <c r="E415" i="3" a="1"/>
  <c r="E415" i="3" s="1"/>
  <c r="D415" i="3" a="1"/>
  <c r="D415" i="3" s="1"/>
  <c r="C415" i="3" a="1"/>
  <c r="C415" i="3" s="1"/>
  <c r="B415" i="3" a="1"/>
  <c r="B415" i="3" s="1"/>
  <c r="Z414" i="3" a="1"/>
  <c r="Z414" i="3" s="1"/>
  <c r="Y414" i="3" a="1"/>
  <c r="Y414" i="3" s="1"/>
  <c r="X414" i="3" a="1"/>
  <c r="X414" i="3" s="1"/>
  <c r="W414" i="3" a="1"/>
  <c r="W414" i="3" s="1"/>
  <c r="V414" i="3" a="1"/>
  <c r="V414" i="3" s="1"/>
  <c r="U414" i="3" a="1"/>
  <c r="U414" i="3" s="1"/>
  <c r="T414" i="3" a="1"/>
  <c r="T414" i="3" s="1"/>
  <c r="S414" i="3" a="1"/>
  <c r="S414" i="3" s="1"/>
  <c r="R414" i="3" a="1"/>
  <c r="R414" i="3" s="1"/>
  <c r="Q414" i="3" a="1"/>
  <c r="Q414" i="3" s="1"/>
  <c r="P414" i="3" a="1"/>
  <c r="P414" i="3" s="1"/>
  <c r="O414" i="3" a="1"/>
  <c r="O414" i="3" s="1"/>
  <c r="N414" i="3" a="1"/>
  <c r="N414" i="3" s="1"/>
  <c r="M414" i="3" a="1"/>
  <c r="M414" i="3" s="1"/>
  <c r="L414" i="3" a="1"/>
  <c r="L414" i="3" s="1"/>
  <c r="K414" i="3" a="1"/>
  <c r="K414" i="3" s="1"/>
  <c r="J414" i="3" a="1"/>
  <c r="J414" i="3" s="1"/>
  <c r="I414" i="3" a="1"/>
  <c r="I414" i="3" s="1"/>
  <c r="G414" i="3" a="1"/>
  <c r="G414" i="3" s="1"/>
  <c r="F414" i="3" a="1"/>
  <c r="F414" i="3" s="1"/>
  <c r="E414" i="3" a="1"/>
  <c r="E414" i="3" s="1"/>
  <c r="D414" i="3" a="1"/>
  <c r="D414" i="3" s="1"/>
  <c r="C414" i="3" a="1"/>
  <c r="C414" i="3" s="1"/>
  <c r="B414" i="3" a="1"/>
  <c r="B414" i="3" s="1"/>
  <c r="Z413" i="3" a="1"/>
  <c r="Z413" i="3" s="1"/>
  <c r="Y413" i="3" a="1"/>
  <c r="Y413" i="3" s="1"/>
  <c r="X413" i="3" a="1"/>
  <c r="X413" i="3" s="1"/>
  <c r="W413" i="3" a="1"/>
  <c r="W413" i="3" s="1"/>
  <c r="V413" i="3" a="1"/>
  <c r="V413" i="3" s="1"/>
  <c r="U413" i="3" a="1"/>
  <c r="U413" i="3" s="1"/>
  <c r="T413" i="3" a="1"/>
  <c r="T413" i="3" s="1"/>
  <c r="S413" i="3" a="1"/>
  <c r="S413" i="3" s="1"/>
  <c r="R413" i="3" a="1"/>
  <c r="R413" i="3" s="1"/>
  <c r="Q413" i="3" a="1"/>
  <c r="Q413" i="3" s="1"/>
  <c r="P413" i="3" a="1"/>
  <c r="P413" i="3" s="1"/>
  <c r="O413" i="3" a="1"/>
  <c r="O413" i="3" s="1"/>
  <c r="N413" i="3" a="1"/>
  <c r="N413" i="3" s="1"/>
  <c r="M413" i="3" a="1"/>
  <c r="M413" i="3" s="1"/>
  <c r="L413" i="3" a="1"/>
  <c r="L413" i="3" s="1"/>
  <c r="K413" i="3" a="1"/>
  <c r="K413" i="3" s="1"/>
  <c r="J413" i="3" a="1"/>
  <c r="J413" i="3" s="1"/>
  <c r="I413" i="3" a="1"/>
  <c r="I413" i="3" s="1"/>
  <c r="G413" i="3" a="1"/>
  <c r="G413" i="3" s="1"/>
  <c r="F413" i="3" a="1"/>
  <c r="F413" i="3" s="1"/>
  <c r="E413" i="3" a="1"/>
  <c r="E413" i="3" s="1"/>
  <c r="D413" i="3" a="1"/>
  <c r="D413" i="3" s="1"/>
  <c r="C413" i="3" a="1"/>
  <c r="C413" i="3" s="1"/>
  <c r="B413" i="3" a="1"/>
  <c r="B413" i="3" s="1"/>
  <c r="Z412" i="3" a="1"/>
  <c r="Z412" i="3" s="1"/>
  <c r="Y412" i="3" a="1"/>
  <c r="Y412" i="3" s="1"/>
  <c r="X412" i="3" a="1"/>
  <c r="X412" i="3" s="1"/>
  <c r="W412" i="3" a="1"/>
  <c r="W412" i="3" s="1"/>
  <c r="V412" i="3" a="1"/>
  <c r="V412" i="3" s="1"/>
  <c r="U412" i="3" a="1"/>
  <c r="U412" i="3" s="1"/>
  <c r="T412" i="3" a="1"/>
  <c r="T412" i="3" s="1"/>
  <c r="S412" i="3" a="1"/>
  <c r="S412" i="3" s="1"/>
  <c r="R412" i="3" a="1"/>
  <c r="R412" i="3" s="1"/>
  <c r="Q412" i="3" a="1"/>
  <c r="Q412" i="3" s="1"/>
  <c r="P412" i="3" a="1"/>
  <c r="P412" i="3" s="1"/>
  <c r="O412" i="3" a="1"/>
  <c r="O412" i="3" s="1"/>
  <c r="N412" i="3" a="1"/>
  <c r="N412" i="3" s="1"/>
  <c r="M412" i="3" a="1"/>
  <c r="M412" i="3" s="1"/>
  <c r="L412" i="3" a="1"/>
  <c r="L412" i="3" s="1"/>
  <c r="K412" i="3" a="1"/>
  <c r="K412" i="3" s="1"/>
  <c r="J412" i="3" a="1"/>
  <c r="J412" i="3" s="1"/>
  <c r="I412" i="3" a="1"/>
  <c r="I412" i="3" s="1"/>
  <c r="G412" i="3" a="1"/>
  <c r="G412" i="3" s="1"/>
  <c r="F412" i="3" a="1"/>
  <c r="F412" i="3" s="1"/>
  <c r="E412" i="3" a="1"/>
  <c r="E412" i="3" s="1"/>
  <c r="D412" i="3" a="1"/>
  <c r="D412" i="3" s="1"/>
  <c r="C412" i="3" a="1"/>
  <c r="C412" i="3" s="1"/>
  <c r="B412" i="3" a="1"/>
  <c r="B412" i="3" s="1"/>
  <c r="Z411" i="3" a="1"/>
  <c r="Z411" i="3" s="1"/>
  <c r="Y411" i="3" a="1"/>
  <c r="Y411" i="3" s="1"/>
  <c r="X411" i="3" a="1"/>
  <c r="X411" i="3" s="1"/>
  <c r="W411" i="3" a="1"/>
  <c r="W411" i="3" s="1"/>
  <c r="V411" i="3" a="1"/>
  <c r="V411" i="3" s="1"/>
  <c r="U411" i="3" a="1"/>
  <c r="U411" i="3" s="1"/>
  <c r="T411" i="3" a="1"/>
  <c r="T411" i="3" s="1"/>
  <c r="S411" i="3" a="1"/>
  <c r="S411" i="3" s="1"/>
  <c r="R411" i="3" a="1"/>
  <c r="R411" i="3" s="1"/>
  <c r="Q411" i="3" a="1"/>
  <c r="Q411" i="3" s="1"/>
  <c r="P411" i="3" a="1"/>
  <c r="P411" i="3" s="1"/>
  <c r="O411" i="3" a="1"/>
  <c r="O411" i="3" s="1"/>
  <c r="N411" i="3" a="1"/>
  <c r="N411" i="3" s="1"/>
  <c r="M411" i="3" a="1"/>
  <c r="M411" i="3" s="1"/>
  <c r="L411" i="3" a="1"/>
  <c r="L411" i="3" s="1"/>
  <c r="K411" i="3" a="1"/>
  <c r="K411" i="3" s="1"/>
  <c r="J411" i="3" a="1"/>
  <c r="J411" i="3" s="1"/>
  <c r="I411" i="3" a="1"/>
  <c r="I411" i="3" s="1"/>
  <c r="G411" i="3" a="1"/>
  <c r="G411" i="3" s="1"/>
  <c r="F411" i="3" a="1"/>
  <c r="F411" i="3" s="1"/>
  <c r="E411" i="3" a="1"/>
  <c r="E411" i="3" s="1"/>
  <c r="D411" i="3" a="1"/>
  <c r="D411" i="3" s="1"/>
  <c r="C411" i="3" a="1"/>
  <c r="C411" i="3" s="1"/>
  <c r="B411" i="3" a="1"/>
  <c r="B411" i="3" s="1"/>
  <c r="Z410" i="3" a="1"/>
  <c r="Z410" i="3" s="1"/>
  <c r="Y410" i="3" a="1"/>
  <c r="Y410" i="3" s="1"/>
  <c r="X410" i="3" a="1"/>
  <c r="X410" i="3" s="1"/>
  <c r="W410" i="3" a="1"/>
  <c r="W410" i="3" s="1"/>
  <c r="V410" i="3" a="1"/>
  <c r="V410" i="3" s="1"/>
  <c r="U410" i="3" a="1"/>
  <c r="U410" i="3" s="1"/>
  <c r="T410" i="3" a="1"/>
  <c r="T410" i="3" s="1"/>
  <c r="S410" i="3" a="1"/>
  <c r="S410" i="3" s="1"/>
  <c r="R410" i="3" a="1"/>
  <c r="R410" i="3" s="1"/>
  <c r="Q410" i="3" a="1"/>
  <c r="Q410" i="3" s="1"/>
  <c r="P410" i="3" a="1"/>
  <c r="P410" i="3" s="1"/>
  <c r="O410" i="3" a="1"/>
  <c r="O410" i="3" s="1"/>
  <c r="N410" i="3" a="1"/>
  <c r="N410" i="3" s="1"/>
  <c r="M410" i="3" a="1"/>
  <c r="M410" i="3" s="1"/>
  <c r="L410" i="3" a="1"/>
  <c r="L410" i="3" s="1"/>
  <c r="K410" i="3" a="1"/>
  <c r="K410" i="3" s="1"/>
  <c r="J410" i="3" a="1"/>
  <c r="J410" i="3" s="1"/>
  <c r="I410" i="3" a="1"/>
  <c r="I410" i="3" s="1"/>
  <c r="G410" i="3" a="1"/>
  <c r="G410" i="3" s="1"/>
  <c r="F410" i="3" a="1"/>
  <c r="F410" i="3" s="1"/>
  <c r="E410" i="3" a="1"/>
  <c r="E410" i="3" s="1"/>
  <c r="D410" i="3" a="1"/>
  <c r="D410" i="3" s="1"/>
  <c r="C410" i="3" a="1"/>
  <c r="C410" i="3" s="1"/>
  <c r="B410" i="3" a="1"/>
  <c r="B410" i="3" s="1"/>
  <c r="Z409" i="3" a="1"/>
  <c r="Z409" i="3" s="1"/>
  <c r="Y409" i="3" a="1"/>
  <c r="Y409" i="3" s="1"/>
  <c r="X409" i="3" a="1"/>
  <c r="X409" i="3" s="1"/>
  <c r="W409" i="3" a="1"/>
  <c r="W409" i="3" s="1"/>
  <c r="V409" i="3" a="1"/>
  <c r="V409" i="3" s="1"/>
  <c r="U409" i="3" a="1"/>
  <c r="U409" i="3" s="1"/>
  <c r="T409" i="3" a="1"/>
  <c r="T409" i="3" s="1"/>
  <c r="S409" i="3" a="1"/>
  <c r="S409" i="3" s="1"/>
  <c r="R409" i="3" a="1"/>
  <c r="R409" i="3" s="1"/>
  <c r="Q409" i="3" a="1"/>
  <c r="Q409" i="3" s="1"/>
  <c r="P409" i="3" a="1"/>
  <c r="P409" i="3" s="1"/>
  <c r="O409" i="3" a="1"/>
  <c r="O409" i="3" s="1"/>
  <c r="N409" i="3" a="1"/>
  <c r="N409" i="3" s="1"/>
  <c r="M409" i="3" a="1"/>
  <c r="M409" i="3" s="1"/>
  <c r="L409" i="3" a="1"/>
  <c r="L409" i="3" s="1"/>
  <c r="K409" i="3" a="1"/>
  <c r="K409" i="3" s="1"/>
  <c r="J409" i="3" a="1"/>
  <c r="J409" i="3" s="1"/>
  <c r="I409" i="3" a="1"/>
  <c r="I409" i="3" s="1"/>
  <c r="G409" i="3" a="1"/>
  <c r="G409" i="3" s="1"/>
  <c r="F409" i="3" a="1"/>
  <c r="F409" i="3" s="1"/>
  <c r="E409" i="3" a="1"/>
  <c r="E409" i="3" s="1"/>
  <c r="D409" i="3" a="1"/>
  <c r="D409" i="3" s="1"/>
  <c r="C409" i="3" a="1"/>
  <c r="C409" i="3" s="1"/>
  <c r="B409" i="3" a="1"/>
  <c r="B409" i="3" s="1"/>
  <c r="Z408" i="3" a="1"/>
  <c r="Z408" i="3" s="1"/>
  <c r="Y408" i="3" a="1"/>
  <c r="Y408" i="3" s="1"/>
  <c r="X408" i="3" a="1"/>
  <c r="X408" i="3" s="1"/>
  <c r="W408" i="3" a="1"/>
  <c r="W408" i="3" s="1"/>
  <c r="V408" i="3" a="1"/>
  <c r="V408" i="3" s="1"/>
  <c r="U408" i="3" a="1"/>
  <c r="U408" i="3" s="1"/>
  <c r="T408" i="3" a="1"/>
  <c r="T408" i="3" s="1"/>
  <c r="S408" i="3" a="1"/>
  <c r="S408" i="3" s="1"/>
  <c r="R408" i="3" a="1"/>
  <c r="R408" i="3" s="1"/>
  <c r="Q408" i="3" a="1"/>
  <c r="Q408" i="3" s="1"/>
  <c r="P408" i="3" a="1"/>
  <c r="P408" i="3" s="1"/>
  <c r="O408" i="3" a="1"/>
  <c r="O408" i="3" s="1"/>
  <c r="N408" i="3" a="1"/>
  <c r="N408" i="3" s="1"/>
  <c r="M408" i="3" a="1"/>
  <c r="M408" i="3" s="1"/>
  <c r="L408" i="3" a="1"/>
  <c r="L408" i="3" s="1"/>
  <c r="K408" i="3" a="1"/>
  <c r="K408" i="3" s="1"/>
  <c r="J408" i="3" a="1"/>
  <c r="J408" i="3" s="1"/>
  <c r="I408" i="3" a="1"/>
  <c r="I408" i="3" s="1"/>
  <c r="G408" i="3" a="1"/>
  <c r="G408" i="3" s="1"/>
  <c r="F408" i="3" a="1"/>
  <c r="F408" i="3" s="1"/>
  <c r="E408" i="3" a="1"/>
  <c r="E408" i="3" s="1"/>
  <c r="D408" i="3" a="1"/>
  <c r="D408" i="3" s="1"/>
  <c r="C408" i="3" a="1"/>
  <c r="C408" i="3" s="1"/>
  <c r="B408" i="3" a="1"/>
  <c r="B408" i="3" s="1"/>
  <c r="Q404" i="3" a="1"/>
  <c r="Q404" i="3" s="1"/>
  <c r="P404" i="3" a="1"/>
  <c r="P404" i="3" s="1"/>
  <c r="O404" i="3" a="1"/>
  <c r="O404" i="3" s="1"/>
  <c r="N404" i="3" a="1"/>
  <c r="N404" i="3" s="1"/>
  <c r="M404" i="3" a="1"/>
  <c r="M404" i="3" s="1"/>
  <c r="L404" i="3" a="1"/>
  <c r="L404" i="3" s="1"/>
  <c r="K404" i="3" a="1"/>
  <c r="K404" i="3" s="1"/>
  <c r="J404" i="3" a="1"/>
  <c r="J404" i="3" s="1"/>
  <c r="I404" i="3" a="1"/>
  <c r="I404" i="3" s="1"/>
  <c r="G404" i="3" a="1"/>
  <c r="G404" i="3" s="1"/>
  <c r="F404" i="3" a="1"/>
  <c r="F404" i="3" s="1"/>
  <c r="E404" i="3" a="1"/>
  <c r="E404" i="3" s="1"/>
  <c r="D404" i="3" a="1"/>
  <c r="D404" i="3" s="1"/>
  <c r="C404" i="3" a="1"/>
  <c r="C404" i="3" s="1"/>
  <c r="B404" i="3" a="1"/>
  <c r="B404" i="3" s="1"/>
  <c r="Q403" i="3" a="1"/>
  <c r="Q403" i="3" s="1"/>
  <c r="P403" i="3" a="1"/>
  <c r="P403" i="3" s="1"/>
  <c r="O403" i="3" a="1"/>
  <c r="O403" i="3" s="1"/>
  <c r="N403" i="3" a="1"/>
  <c r="N403" i="3" s="1"/>
  <c r="M403" i="3" a="1"/>
  <c r="M403" i="3" s="1"/>
  <c r="L403" i="3" a="1"/>
  <c r="L403" i="3" s="1"/>
  <c r="K403" i="3" a="1"/>
  <c r="K403" i="3" s="1"/>
  <c r="J403" i="3" a="1"/>
  <c r="J403" i="3" s="1"/>
  <c r="I403" i="3" a="1"/>
  <c r="I403" i="3" s="1"/>
  <c r="G403" i="3" a="1"/>
  <c r="G403" i="3" s="1"/>
  <c r="F403" i="3" a="1"/>
  <c r="F403" i="3" s="1"/>
  <c r="E403" i="3" a="1"/>
  <c r="E403" i="3" s="1"/>
  <c r="D403" i="3" a="1"/>
  <c r="D403" i="3" s="1"/>
  <c r="C403" i="3" a="1"/>
  <c r="C403" i="3" s="1"/>
  <c r="B403" i="3" a="1"/>
  <c r="B403" i="3" s="1"/>
  <c r="T402" i="3" a="1"/>
  <c r="T402" i="3" s="1"/>
  <c r="Q402" i="3" a="1"/>
  <c r="Q402" i="3" s="1"/>
  <c r="P402" i="3" a="1"/>
  <c r="P402" i="3" s="1"/>
  <c r="O402" i="3" a="1"/>
  <c r="O402" i="3" s="1"/>
  <c r="N402" i="3" a="1"/>
  <c r="N402" i="3" s="1"/>
  <c r="M402" i="3" a="1"/>
  <c r="M402" i="3" s="1"/>
  <c r="L402" i="3" a="1"/>
  <c r="L402" i="3" s="1"/>
  <c r="K402" i="3" a="1"/>
  <c r="K402" i="3" s="1"/>
  <c r="J402" i="3" a="1"/>
  <c r="J402" i="3" s="1"/>
  <c r="I402" i="3" a="1"/>
  <c r="I402" i="3" s="1"/>
  <c r="G402" i="3" a="1"/>
  <c r="G402" i="3" s="1"/>
  <c r="F402" i="3" a="1"/>
  <c r="F402" i="3" s="1"/>
  <c r="E402" i="3" a="1"/>
  <c r="E402" i="3" s="1"/>
  <c r="D402" i="3" a="1"/>
  <c r="D402" i="3" s="1"/>
  <c r="C402" i="3" a="1"/>
  <c r="C402" i="3" s="1"/>
  <c r="B402" i="3" a="1"/>
  <c r="B402" i="3" s="1"/>
  <c r="Z398" i="3" a="1"/>
  <c r="Z398" i="3" s="1"/>
  <c r="Y398" i="3" a="1"/>
  <c r="Y398" i="3" s="1"/>
  <c r="X398" i="3" a="1"/>
  <c r="X398" i="3" s="1"/>
  <c r="W398" i="3" a="1"/>
  <c r="W398" i="3" s="1"/>
  <c r="V398" i="3" a="1"/>
  <c r="V398" i="3" s="1"/>
  <c r="U398" i="3" a="1"/>
  <c r="U398" i="3" s="1"/>
  <c r="T398" i="3" a="1"/>
  <c r="T398" i="3" s="1"/>
  <c r="S398" i="3" a="1"/>
  <c r="S398" i="3" s="1"/>
  <c r="R398" i="3" a="1"/>
  <c r="R398" i="3" s="1"/>
  <c r="Q398" i="3" a="1"/>
  <c r="Q398" i="3" s="1"/>
  <c r="P398" i="3" a="1"/>
  <c r="P398" i="3" s="1"/>
  <c r="O398" i="3" a="1"/>
  <c r="O398" i="3" s="1"/>
  <c r="N398" i="3" a="1"/>
  <c r="N398" i="3" s="1"/>
  <c r="M398" i="3" a="1"/>
  <c r="M398" i="3" s="1"/>
  <c r="L398" i="3" a="1"/>
  <c r="L398" i="3" s="1"/>
  <c r="K398" i="3" a="1"/>
  <c r="K398" i="3" s="1"/>
  <c r="J398" i="3" a="1"/>
  <c r="J398" i="3" s="1"/>
  <c r="I398" i="3" a="1"/>
  <c r="I398" i="3" s="1"/>
  <c r="G398" i="3" a="1"/>
  <c r="G398" i="3" s="1"/>
  <c r="F398" i="3" a="1"/>
  <c r="F398" i="3" s="1"/>
  <c r="E398" i="3" a="1"/>
  <c r="E398" i="3" s="1"/>
  <c r="D398" i="3" a="1"/>
  <c r="D398" i="3" s="1"/>
  <c r="C398" i="3" a="1"/>
  <c r="C398" i="3" s="1"/>
  <c r="B398" i="3" a="1"/>
  <c r="B398" i="3" s="1"/>
  <c r="Z397" i="3" a="1"/>
  <c r="Z397" i="3" s="1"/>
  <c r="Y397" i="3" a="1"/>
  <c r="Y397" i="3" s="1"/>
  <c r="X397" i="3" a="1"/>
  <c r="X397" i="3" s="1"/>
  <c r="W397" i="3" a="1"/>
  <c r="W397" i="3" s="1"/>
  <c r="V397" i="3" a="1"/>
  <c r="V397" i="3" s="1"/>
  <c r="U397" i="3" a="1"/>
  <c r="U397" i="3" s="1"/>
  <c r="T397" i="3" a="1"/>
  <c r="T397" i="3" s="1"/>
  <c r="S397" i="3" a="1"/>
  <c r="S397" i="3" s="1"/>
  <c r="R397" i="3" a="1"/>
  <c r="R397" i="3" s="1"/>
  <c r="Q397" i="3" a="1"/>
  <c r="Q397" i="3" s="1"/>
  <c r="P397" i="3" a="1"/>
  <c r="P397" i="3" s="1"/>
  <c r="O397" i="3" a="1"/>
  <c r="O397" i="3" s="1"/>
  <c r="N397" i="3" a="1"/>
  <c r="N397" i="3" s="1"/>
  <c r="M397" i="3" a="1"/>
  <c r="M397" i="3" s="1"/>
  <c r="L397" i="3" a="1"/>
  <c r="L397" i="3" s="1"/>
  <c r="K397" i="3" a="1"/>
  <c r="K397" i="3" s="1"/>
  <c r="J397" i="3" a="1"/>
  <c r="J397" i="3" s="1"/>
  <c r="I397" i="3" a="1"/>
  <c r="I397" i="3" s="1"/>
  <c r="G397" i="3" a="1"/>
  <c r="G397" i="3" s="1"/>
  <c r="F397" i="3" a="1"/>
  <c r="F397" i="3" s="1"/>
  <c r="E397" i="3" a="1"/>
  <c r="E397" i="3" s="1"/>
  <c r="D397" i="3" a="1"/>
  <c r="D397" i="3" s="1"/>
  <c r="C397" i="3" a="1"/>
  <c r="C397" i="3" s="1"/>
  <c r="B397" i="3" a="1"/>
  <c r="B397" i="3" s="1"/>
  <c r="Z396" i="3" a="1"/>
  <c r="Z396" i="3" s="1"/>
  <c r="Y396" i="3" a="1"/>
  <c r="Y396" i="3" s="1"/>
  <c r="X396" i="3" a="1"/>
  <c r="X396" i="3" s="1"/>
  <c r="W396" i="3" a="1"/>
  <c r="W396" i="3" s="1"/>
  <c r="V396" i="3" a="1"/>
  <c r="V396" i="3" s="1"/>
  <c r="U396" i="3" a="1"/>
  <c r="U396" i="3" s="1"/>
  <c r="T396" i="3" a="1"/>
  <c r="T396" i="3" s="1"/>
  <c r="S396" i="3" a="1"/>
  <c r="S396" i="3" s="1"/>
  <c r="R396" i="3" a="1"/>
  <c r="R396" i="3" s="1"/>
  <c r="Q396" i="3" a="1"/>
  <c r="Q396" i="3" s="1"/>
  <c r="P396" i="3" a="1"/>
  <c r="P396" i="3" s="1"/>
  <c r="O396" i="3" a="1"/>
  <c r="O396" i="3" s="1"/>
  <c r="N396" i="3" a="1"/>
  <c r="N396" i="3" s="1"/>
  <c r="M396" i="3" a="1"/>
  <c r="M396" i="3" s="1"/>
  <c r="L396" i="3" a="1"/>
  <c r="L396" i="3" s="1"/>
  <c r="K396" i="3" a="1"/>
  <c r="K396" i="3" s="1"/>
  <c r="J396" i="3" a="1"/>
  <c r="J396" i="3" s="1"/>
  <c r="I396" i="3" a="1"/>
  <c r="I396" i="3" s="1"/>
  <c r="G396" i="3" a="1"/>
  <c r="G396" i="3" s="1"/>
  <c r="F396" i="3" a="1"/>
  <c r="F396" i="3" s="1"/>
  <c r="E396" i="3" a="1"/>
  <c r="E396" i="3" s="1"/>
  <c r="D396" i="3" a="1"/>
  <c r="D396" i="3" s="1"/>
  <c r="C396" i="3" a="1"/>
  <c r="C396" i="3" s="1"/>
  <c r="B396" i="3" a="1"/>
  <c r="B396" i="3" s="1"/>
  <c r="Z395" i="3" a="1"/>
  <c r="Z395" i="3" s="1"/>
  <c r="Y395" i="3" a="1"/>
  <c r="Y395" i="3" s="1"/>
  <c r="X395" i="3" a="1"/>
  <c r="X395" i="3" s="1"/>
  <c r="W395" i="3" a="1"/>
  <c r="W395" i="3" s="1"/>
  <c r="V395" i="3" a="1"/>
  <c r="V395" i="3" s="1"/>
  <c r="U395" i="3" a="1"/>
  <c r="U395" i="3" s="1"/>
  <c r="T395" i="3" a="1"/>
  <c r="T395" i="3" s="1"/>
  <c r="S395" i="3" a="1"/>
  <c r="S395" i="3" s="1"/>
  <c r="R395" i="3" a="1"/>
  <c r="R395" i="3" s="1"/>
  <c r="Q395" i="3" a="1"/>
  <c r="Q395" i="3" s="1"/>
  <c r="P395" i="3" a="1"/>
  <c r="P395" i="3" s="1"/>
  <c r="O395" i="3" a="1"/>
  <c r="O395" i="3" s="1"/>
  <c r="N395" i="3" a="1"/>
  <c r="N395" i="3" s="1"/>
  <c r="M395" i="3" a="1"/>
  <c r="M395" i="3" s="1"/>
  <c r="L395" i="3" a="1"/>
  <c r="L395" i="3" s="1"/>
  <c r="K395" i="3" a="1"/>
  <c r="K395" i="3" s="1"/>
  <c r="J395" i="3" a="1"/>
  <c r="J395" i="3" s="1"/>
  <c r="I395" i="3" a="1"/>
  <c r="I395" i="3" s="1"/>
  <c r="G395" i="3" a="1"/>
  <c r="G395" i="3" s="1"/>
  <c r="F395" i="3" a="1"/>
  <c r="F395" i="3" s="1"/>
  <c r="E395" i="3" a="1"/>
  <c r="E395" i="3" s="1"/>
  <c r="D395" i="3" a="1"/>
  <c r="D395" i="3" s="1"/>
  <c r="C395" i="3" a="1"/>
  <c r="C395" i="3" s="1"/>
  <c r="B395" i="3" a="1"/>
  <c r="B395" i="3" s="1"/>
  <c r="Z394" i="3" a="1"/>
  <c r="Z394" i="3" s="1"/>
  <c r="Y394" i="3" a="1"/>
  <c r="Y394" i="3" s="1"/>
  <c r="X394" i="3" a="1"/>
  <c r="X394" i="3" s="1"/>
  <c r="W394" i="3" a="1"/>
  <c r="W394" i="3" s="1"/>
  <c r="V394" i="3" a="1"/>
  <c r="V394" i="3" s="1"/>
  <c r="U394" i="3" a="1"/>
  <c r="U394" i="3" s="1"/>
  <c r="T394" i="3" a="1"/>
  <c r="T394" i="3" s="1"/>
  <c r="S394" i="3" a="1"/>
  <c r="S394" i="3" s="1"/>
  <c r="R394" i="3" a="1"/>
  <c r="R394" i="3" s="1"/>
  <c r="Q394" i="3" a="1"/>
  <c r="Q394" i="3" s="1"/>
  <c r="P394" i="3" a="1"/>
  <c r="P394" i="3" s="1"/>
  <c r="O394" i="3" a="1"/>
  <c r="O394" i="3" s="1"/>
  <c r="N394" i="3" a="1"/>
  <c r="N394" i="3" s="1"/>
  <c r="M394" i="3" a="1"/>
  <c r="M394" i="3" s="1"/>
  <c r="L394" i="3" a="1"/>
  <c r="L394" i="3" s="1"/>
  <c r="K394" i="3" a="1"/>
  <c r="K394" i="3" s="1"/>
  <c r="J394" i="3" a="1"/>
  <c r="J394" i="3" s="1"/>
  <c r="I394" i="3" a="1"/>
  <c r="I394" i="3" s="1"/>
  <c r="G394" i="3" a="1"/>
  <c r="G394" i="3" s="1"/>
  <c r="F394" i="3" a="1"/>
  <c r="F394" i="3" s="1"/>
  <c r="E394" i="3" a="1"/>
  <c r="E394" i="3" s="1"/>
  <c r="D394" i="3" a="1"/>
  <c r="D394" i="3" s="1"/>
  <c r="C394" i="3" a="1"/>
  <c r="C394" i="3" s="1"/>
  <c r="B394" i="3" a="1"/>
  <c r="B394" i="3" s="1"/>
  <c r="Z393" i="3" a="1"/>
  <c r="Z393" i="3" s="1"/>
  <c r="Y393" i="3" a="1"/>
  <c r="Y393" i="3" s="1"/>
  <c r="X393" i="3" a="1"/>
  <c r="X393" i="3" s="1"/>
  <c r="W393" i="3" a="1"/>
  <c r="W393" i="3" s="1"/>
  <c r="V393" i="3" a="1"/>
  <c r="V393" i="3" s="1"/>
  <c r="U393" i="3" a="1"/>
  <c r="U393" i="3" s="1"/>
  <c r="T393" i="3" a="1"/>
  <c r="T393" i="3" s="1"/>
  <c r="S393" i="3" a="1"/>
  <c r="S393" i="3" s="1"/>
  <c r="R393" i="3" a="1"/>
  <c r="R393" i="3" s="1"/>
  <c r="Q393" i="3" a="1"/>
  <c r="Q393" i="3" s="1"/>
  <c r="P393" i="3" a="1"/>
  <c r="P393" i="3" s="1"/>
  <c r="O393" i="3" a="1"/>
  <c r="O393" i="3" s="1"/>
  <c r="N393" i="3" a="1"/>
  <c r="N393" i="3" s="1"/>
  <c r="M393" i="3" a="1"/>
  <c r="M393" i="3" s="1"/>
  <c r="L393" i="3" a="1"/>
  <c r="L393" i="3" s="1"/>
  <c r="K393" i="3" a="1"/>
  <c r="K393" i="3" s="1"/>
  <c r="J393" i="3" a="1"/>
  <c r="J393" i="3" s="1"/>
  <c r="I393" i="3" a="1"/>
  <c r="I393" i="3" s="1"/>
  <c r="G393" i="3" a="1"/>
  <c r="G393" i="3" s="1"/>
  <c r="F393" i="3" a="1"/>
  <c r="F393" i="3" s="1"/>
  <c r="E393" i="3" a="1"/>
  <c r="E393" i="3" s="1"/>
  <c r="D393" i="3" a="1"/>
  <c r="D393" i="3" s="1"/>
  <c r="C393" i="3" a="1"/>
  <c r="C393" i="3" s="1"/>
  <c r="B393" i="3" a="1"/>
  <c r="B393" i="3" s="1"/>
  <c r="Z392" i="3" a="1"/>
  <c r="Z392" i="3" s="1"/>
  <c r="Y392" i="3" a="1"/>
  <c r="Y392" i="3" s="1"/>
  <c r="X392" i="3" a="1"/>
  <c r="X392" i="3" s="1"/>
  <c r="W392" i="3" a="1"/>
  <c r="W392" i="3" s="1"/>
  <c r="V392" i="3" a="1"/>
  <c r="V392" i="3" s="1"/>
  <c r="U392" i="3" a="1"/>
  <c r="U392" i="3" s="1"/>
  <c r="T392" i="3" a="1"/>
  <c r="T392" i="3" s="1"/>
  <c r="S392" i="3" a="1"/>
  <c r="S392" i="3" s="1"/>
  <c r="R392" i="3" a="1"/>
  <c r="R392" i="3" s="1"/>
  <c r="Q392" i="3" a="1"/>
  <c r="Q392" i="3" s="1"/>
  <c r="P392" i="3" a="1"/>
  <c r="P392" i="3" s="1"/>
  <c r="O392" i="3" a="1"/>
  <c r="O392" i="3" s="1"/>
  <c r="N392" i="3" a="1"/>
  <c r="N392" i="3" s="1"/>
  <c r="M392" i="3" a="1"/>
  <c r="M392" i="3" s="1"/>
  <c r="L392" i="3" a="1"/>
  <c r="L392" i="3" s="1"/>
  <c r="K392" i="3" a="1"/>
  <c r="K392" i="3" s="1"/>
  <c r="J392" i="3" a="1"/>
  <c r="J392" i="3" s="1"/>
  <c r="I392" i="3" a="1"/>
  <c r="I392" i="3" s="1"/>
  <c r="G392" i="3" a="1"/>
  <c r="G392" i="3" s="1"/>
  <c r="F392" i="3" a="1"/>
  <c r="F392" i="3" s="1"/>
  <c r="E392" i="3" a="1"/>
  <c r="E392" i="3" s="1"/>
  <c r="D392" i="3" a="1"/>
  <c r="D392" i="3" s="1"/>
  <c r="C392" i="3" a="1"/>
  <c r="C392" i="3" s="1"/>
  <c r="B392" i="3" a="1"/>
  <c r="B392" i="3" s="1"/>
  <c r="Z391" i="3" a="1"/>
  <c r="Z391" i="3" s="1"/>
  <c r="Y391" i="3" a="1"/>
  <c r="Y391" i="3" s="1"/>
  <c r="X391" i="3" a="1"/>
  <c r="X391" i="3" s="1"/>
  <c r="W391" i="3" a="1"/>
  <c r="W391" i="3" s="1"/>
  <c r="V391" i="3" a="1"/>
  <c r="V391" i="3" s="1"/>
  <c r="U391" i="3" a="1"/>
  <c r="U391" i="3" s="1"/>
  <c r="T391" i="3" a="1"/>
  <c r="T391" i="3" s="1"/>
  <c r="S391" i="3" a="1"/>
  <c r="S391" i="3" s="1"/>
  <c r="R391" i="3" a="1"/>
  <c r="R391" i="3" s="1"/>
  <c r="Q391" i="3" a="1"/>
  <c r="Q391" i="3" s="1"/>
  <c r="P391" i="3" a="1"/>
  <c r="P391" i="3" s="1"/>
  <c r="O391" i="3" a="1"/>
  <c r="O391" i="3" s="1"/>
  <c r="N391" i="3" a="1"/>
  <c r="N391" i="3" s="1"/>
  <c r="M391" i="3" a="1"/>
  <c r="M391" i="3" s="1"/>
  <c r="L391" i="3" a="1"/>
  <c r="L391" i="3" s="1"/>
  <c r="K391" i="3" a="1"/>
  <c r="K391" i="3" s="1"/>
  <c r="J391" i="3" a="1"/>
  <c r="J391" i="3" s="1"/>
  <c r="I391" i="3" a="1"/>
  <c r="I391" i="3" s="1"/>
  <c r="G391" i="3" a="1"/>
  <c r="G391" i="3" s="1"/>
  <c r="F391" i="3" a="1"/>
  <c r="F391" i="3" s="1"/>
  <c r="E391" i="3" a="1"/>
  <c r="E391" i="3" s="1"/>
  <c r="D391" i="3" a="1"/>
  <c r="D391" i="3" s="1"/>
  <c r="C391" i="3" a="1"/>
  <c r="C391" i="3" s="1"/>
  <c r="B391" i="3" a="1"/>
  <c r="B391" i="3" s="1"/>
  <c r="Z390" i="3" a="1"/>
  <c r="Z390" i="3" s="1"/>
  <c r="Y390" i="3" a="1"/>
  <c r="Y390" i="3" s="1"/>
  <c r="X390" i="3" a="1"/>
  <c r="X390" i="3" s="1"/>
  <c r="W390" i="3" a="1"/>
  <c r="W390" i="3" s="1"/>
  <c r="V390" i="3" a="1"/>
  <c r="V390" i="3" s="1"/>
  <c r="U390" i="3" a="1"/>
  <c r="U390" i="3" s="1"/>
  <c r="T390" i="3" a="1"/>
  <c r="T390" i="3" s="1"/>
  <c r="S390" i="3" a="1"/>
  <c r="S390" i="3" s="1"/>
  <c r="R390" i="3" a="1"/>
  <c r="R390" i="3" s="1"/>
  <c r="Q390" i="3" a="1"/>
  <c r="Q390" i="3" s="1"/>
  <c r="P390" i="3" a="1"/>
  <c r="P390" i="3" s="1"/>
  <c r="O390" i="3" a="1"/>
  <c r="O390" i="3" s="1"/>
  <c r="N390" i="3" a="1"/>
  <c r="N390" i="3" s="1"/>
  <c r="M390" i="3" a="1"/>
  <c r="M390" i="3" s="1"/>
  <c r="L390" i="3" a="1"/>
  <c r="L390" i="3" s="1"/>
  <c r="K390" i="3" a="1"/>
  <c r="K390" i="3" s="1"/>
  <c r="J390" i="3" a="1"/>
  <c r="J390" i="3" s="1"/>
  <c r="I390" i="3" a="1"/>
  <c r="I390" i="3" s="1"/>
  <c r="G390" i="3" a="1"/>
  <c r="G390" i="3" s="1"/>
  <c r="F390" i="3" a="1"/>
  <c r="F390" i="3" s="1"/>
  <c r="E390" i="3" a="1"/>
  <c r="E390" i="3" s="1"/>
  <c r="D390" i="3" a="1"/>
  <c r="D390" i="3" s="1"/>
  <c r="C390" i="3" a="1"/>
  <c r="C390" i="3" s="1"/>
  <c r="B390" i="3" a="1"/>
  <c r="B390" i="3" s="1"/>
  <c r="Z389" i="3" a="1"/>
  <c r="Z389" i="3" s="1"/>
  <c r="Y389" i="3" a="1"/>
  <c r="Y389" i="3" s="1"/>
  <c r="X389" i="3" a="1"/>
  <c r="X389" i="3" s="1"/>
  <c r="W389" i="3" a="1"/>
  <c r="W389" i="3" s="1"/>
  <c r="V389" i="3" a="1"/>
  <c r="V389" i="3" s="1"/>
  <c r="U389" i="3" a="1"/>
  <c r="U389" i="3" s="1"/>
  <c r="T389" i="3" a="1"/>
  <c r="T389" i="3" s="1"/>
  <c r="S389" i="3" a="1"/>
  <c r="S389" i="3" s="1"/>
  <c r="R389" i="3" a="1"/>
  <c r="R389" i="3" s="1"/>
  <c r="Q389" i="3" a="1"/>
  <c r="Q389" i="3" s="1"/>
  <c r="P389" i="3" a="1"/>
  <c r="P389" i="3" s="1"/>
  <c r="O389" i="3" a="1"/>
  <c r="O389" i="3" s="1"/>
  <c r="N389" i="3" a="1"/>
  <c r="N389" i="3" s="1"/>
  <c r="M389" i="3" a="1"/>
  <c r="M389" i="3" s="1"/>
  <c r="L389" i="3" a="1"/>
  <c r="L389" i="3" s="1"/>
  <c r="K389" i="3" a="1"/>
  <c r="K389" i="3" s="1"/>
  <c r="J389" i="3" a="1"/>
  <c r="J389" i="3" s="1"/>
  <c r="I389" i="3" a="1"/>
  <c r="I389" i="3" s="1"/>
  <c r="G389" i="3" a="1"/>
  <c r="G389" i="3" s="1"/>
  <c r="F389" i="3" a="1"/>
  <c r="F389" i="3" s="1"/>
  <c r="E389" i="3" a="1"/>
  <c r="E389" i="3" s="1"/>
  <c r="D389" i="3" a="1"/>
  <c r="D389" i="3" s="1"/>
  <c r="C389" i="3" a="1"/>
  <c r="C389" i="3" s="1"/>
  <c r="B389" i="3" a="1"/>
  <c r="B389" i="3" s="1"/>
  <c r="Z388" i="3" a="1"/>
  <c r="Z388" i="3" s="1"/>
  <c r="Y388" i="3" a="1"/>
  <c r="Y388" i="3" s="1"/>
  <c r="X388" i="3" a="1"/>
  <c r="X388" i="3" s="1"/>
  <c r="W388" i="3" a="1"/>
  <c r="W388" i="3" s="1"/>
  <c r="V388" i="3" a="1"/>
  <c r="V388" i="3" s="1"/>
  <c r="U388" i="3" a="1"/>
  <c r="U388" i="3" s="1"/>
  <c r="T388" i="3" a="1"/>
  <c r="T388" i="3" s="1"/>
  <c r="S388" i="3" a="1"/>
  <c r="S388" i="3" s="1"/>
  <c r="R388" i="3" a="1"/>
  <c r="R388" i="3" s="1"/>
  <c r="Q388" i="3" a="1"/>
  <c r="Q388" i="3" s="1"/>
  <c r="P388" i="3" a="1"/>
  <c r="P388" i="3" s="1"/>
  <c r="O388" i="3" a="1"/>
  <c r="O388" i="3" s="1"/>
  <c r="N388" i="3" a="1"/>
  <c r="N388" i="3" s="1"/>
  <c r="M388" i="3" a="1"/>
  <c r="M388" i="3" s="1"/>
  <c r="L388" i="3" a="1"/>
  <c r="L388" i="3" s="1"/>
  <c r="K388" i="3" a="1"/>
  <c r="K388" i="3" s="1"/>
  <c r="J388" i="3" a="1"/>
  <c r="J388" i="3" s="1"/>
  <c r="I388" i="3" a="1"/>
  <c r="I388" i="3" s="1"/>
  <c r="G388" i="3" a="1"/>
  <c r="G388" i="3" s="1"/>
  <c r="F388" i="3" a="1"/>
  <c r="F388" i="3" s="1"/>
  <c r="E388" i="3" a="1"/>
  <c r="E388" i="3" s="1"/>
  <c r="D388" i="3" a="1"/>
  <c r="D388" i="3" s="1"/>
  <c r="C388" i="3" a="1"/>
  <c r="C388" i="3" s="1"/>
  <c r="B388" i="3" a="1"/>
  <c r="B388" i="3" s="1"/>
  <c r="Z387" i="3" a="1"/>
  <c r="Z387" i="3" s="1"/>
  <c r="Y387" i="3" a="1"/>
  <c r="Y387" i="3" s="1"/>
  <c r="X387" i="3" a="1"/>
  <c r="X387" i="3" s="1"/>
  <c r="W387" i="3" a="1"/>
  <c r="W387" i="3" s="1"/>
  <c r="V387" i="3" a="1"/>
  <c r="V387" i="3" s="1"/>
  <c r="U387" i="3" a="1"/>
  <c r="U387" i="3" s="1"/>
  <c r="T387" i="3" a="1"/>
  <c r="T387" i="3" s="1"/>
  <c r="S387" i="3" a="1"/>
  <c r="S387" i="3" s="1"/>
  <c r="R387" i="3" a="1"/>
  <c r="R387" i="3" s="1"/>
  <c r="Q387" i="3" a="1"/>
  <c r="Q387" i="3" s="1"/>
  <c r="P387" i="3" a="1"/>
  <c r="P387" i="3" s="1"/>
  <c r="O387" i="3" a="1"/>
  <c r="O387" i="3" s="1"/>
  <c r="N387" i="3" a="1"/>
  <c r="N387" i="3" s="1"/>
  <c r="M387" i="3" a="1"/>
  <c r="M387" i="3" s="1"/>
  <c r="L387" i="3" a="1"/>
  <c r="L387" i="3" s="1"/>
  <c r="K387" i="3" a="1"/>
  <c r="K387" i="3" s="1"/>
  <c r="J387" i="3" a="1"/>
  <c r="J387" i="3" s="1"/>
  <c r="I387" i="3" a="1"/>
  <c r="I387" i="3" s="1"/>
  <c r="G387" i="3" a="1"/>
  <c r="G387" i="3" s="1"/>
  <c r="F387" i="3" a="1"/>
  <c r="F387" i="3" s="1"/>
  <c r="E387" i="3" a="1"/>
  <c r="E387" i="3" s="1"/>
  <c r="D387" i="3" a="1"/>
  <c r="D387" i="3" s="1"/>
  <c r="C387" i="3" a="1"/>
  <c r="C387" i="3" s="1"/>
  <c r="B387" i="3" a="1"/>
  <c r="B387" i="3" s="1"/>
  <c r="Z386" i="3" a="1"/>
  <c r="Z386" i="3" s="1"/>
  <c r="Y386" i="3" a="1"/>
  <c r="Y386" i="3" s="1"/>
  <c r="X386" i="3" a="1"/>
  <c r="X386" i="3" s="1"/>
  <c r="W386" i="3" a="1"/>
  <c r="W386" i="3" s="1"/>
  <c r="V386" i="3" a="1"/>
  <c r="V386" i="3" s="1"/>
  <c r="U386" i="3" a="1"/>
  <c r="U386" i="3" s="1"/>
  <c r="T386" i="3" a="1"/>
  <c r="T386" i="3" s="1"/>
  <c r="S386" i="3" a="1"/>
  <c r="S386" i="3" s="1"/>
  <c r="R386" i="3" a="1"/>
  <c r="R386" i="3" s="1"/>
  <c r="Q386" i="3" a="1"/>
  <c r="Q386" i="3" s="1"/>
  <c r="P386" i="3" a="1"/>
  <c r="P386" i="3" s="1"/>
  <c r="O386" i="3" a="1"/>
  <c r="O386" i="3" s="1"/>
  <c r="N386" i="3" a="1"/>
  <c r="N386" i="3" s="1"/>
  <c r="M386" i="3" a="1"/>
  <c r="M386" i="3" s="1"/>
  <c r="L386" i="3" a="1"/>
  <c r="L386" i="3" s="1"/>
  <c r="K386" i="3" a="1"/>
  <c r="K386" i="3" s="1"/>
  <c r="J386" i="3" a="1"/>
  <c r="J386" i="3" s="1"/>
  <c r="I386" i="3" a="1"/>
  <c r="I386" i="3" s="1"/>
  <c r="G386" i="3" a="1"/>
  <c r="G386" i="3" s="1"/>
  <c r="F386" i="3" a="1"/>
  <c r="F386" i="3" s="1"/>
  <c r="E386" i="3" a="1"/>
  <c r="E386" i="3" s="1"/>
  <c r="D386" i="3" a="1"/>
  <c r="D386" i="3" s="1"/>
  <c r="C386" i="3" a="1"/>
  <c r="C386" i="3" s="1"/>
  <c r="B386" i="3" a="1"/>
  <c r="B386" i="3" s="1"/>
  <c r="Z385" i="3" a="1"/>
  <c r="Z385" i="3" s="1"/>
  <c r="Y385" i="3" a="1"/>
  <c r="Y385" i="3" s="1"/>
  <c r="X385" i="3" a="1"/>
  <c r="X385" i="3" s="1"/>
  <c r="W385" i="3" a="1"/>
  <c r="W385" i="3" s="1"/>
  <c r="V385" i="3" a="1"/>
  <c r="V385" i="3" s="1"/>
  <c r="U385" i="3" a="1"/>
  <c r="U385" i="3" s="1"/>
  <c r="T385" i="3" a="1"/>
  <c r="T385" i="3" s="1"/>
  <c r="S385" i="3" a="1"/>
  <c r="S385" i="3" s="1"/>
  <c r="R385" i="3" a="1"/>
  <c r="R385" i="3" s="1"/>
  <c r="Q385" i="3" a="1"/>
  <c r="Q385" i="3" s="1"/>
  <c r="P385" i="3" a="1"/>
  <c r="P385" i="3" s="1"/>
  <c r="O385" i="3" a="1"/>
  <c r="O385" i="3" s="1"/>
  <c r="N385" i="3" a="1"/>
  <c r="N385" i="3" s="1"/>
  <c r="M385" i="3" a="1"/>
  <c r="M385" i="3" s="1"/>
  <c r="L385" i="3" a="1"/>
  <c r="L385" i="3" s="1"/>
  <c r="K385" i="3" a="1"/>
  <c r="K385" i="3" s="1"/>
  <c r="J385" i="3" a="1"/>
  <c r="J385" i="3" s="1"/>
  <c r="I385" i="3" a="1"/>
  <c r="I385" i="3" s="1"/>
  <c r="G385" i="3" a="1"/>
  <c r="G385" i="3" s="1"/>
  <c r="F385" i="3" a="1"/>
  <c r="F385" i="3" s="1"/>
  <c r="E385" i="3" a="1"/>
  <c r="E385" i="3" s="1"/>
  <c r="D385" i="3" a="1"/>
  <c r="D385" i="3" s="1"/>
  <c r="C385" i="3" a="1"/>
  <c r="C385" i="3" s="1"/>
  <c r="B385" i="3" a="1"/>
  <c r="B385" i="3" s="1"/>
  <c r="Z384" i="3" a="1"/>
  <c r="Z384" i="3" s="1"/>
  <c r="Y384" i="3" a="1"/>
  <c r="Y384" i="3" s="1"/>
  <c r="X384" i="3" a="1"/>
  <c r="X384" i="3" s="1"/>
  <c r="W384" i="3" a="1"/>
  <c r="W384" i="3" s="1"/>
  <c r="V384" i="3" a="1"/>
  <c r="V384" i="3" s="1"/>
  <c r="U384" i="3" a="1"/>
  <c r="U384" i="3" s="1"/>
  <c r="T384" i="3" a="1"/>
  <c r="T384" i="3" s="1"/>
  <c r="S384" i="3" a="1"/>
  <c r="S384" i="3" s="1"/>
  <c r="R384" i="3" a="1"/>
  <c r="R384" i="3" s="1"/>
  <c r="Q384" i="3" a="1"/>
  <c r="Q384" i="3" s="1"/>
  <c r="P384" i="3" a="1"/>
  <c r="P384" i="3" s="1"/>
  <c r="O384" i="3" a="1"/>
  <c r="O384" i="3" s="1"/>
  <c r="N384" i="3" a="1"/>
  <c r="N384" i="3" s="1"/>
  <c r="M384" i="3" a="1"/>
  <c r="M384" i="3" s="1"/>
  <c r="L384" i="3" a="1"/>
  <c r="L384" i="3" s="1"/>
  <c r="K384" i="3" a="1"/>
  <c r="K384" i="3" s="1"/>
  <c r="J384" i="3" a="1"/>
  <c r="J384" i="3" s="1"/>
  <c r="I384" i="3" a="1"/>
  <c r="I384" i="3" s="1"/>
  <c r="G384" i="3" a="1"/>
  <c r="G384" i="3" s="1"/>
  <c r="F384" i="3" a="1"/>
  <c r="F384" i="3" s="1"/>
  <c r="E384" i="3" a="1"/>
  <c r="E384" i="3" s="1"/>
  <c r="D384" i="3" a="1"/>
  <c r="D384" i="3" s="1"/>
  <c r="C384" i="3" a="1"/>
  <c r="C384" i="3" s="1"/>
  <c r="B384" i="3" a="1"/>
  <c r="B384" i="3" s="1"/>
  <c r="Z383" i="3" a="1"/>
  <c r="Z383" i="3" s="1"/>
  <c r="Y383" i="3" a="1"/>
  <c r="Y383" i="3" s="1"/>
  <c r="X383" i="3" a="1"/>
  <c r="X383" i="3" s="1"/>
  <c r="W383" i="3" a="1"/>
  <c r="W383" i="3" s="1"/>
  <c r="V383" i="3" a="1"/>
  <c r="V383" i="3" s="1"/>
  <c r="U383" i="3" a="1"/>
  <c r="U383" i="3" s="1"/>
  <c r="T383" i="3" a="1"/>
  <c r="T383" i="3" s="1"/>
  <c r="S383" i="3" a="1"/>
  <c r="S383" i="3" s="1"/>
  <c r="R383" i="3" a="1"/>
  <c r="R383" i="3" s="1"/>
  <c r="Q383" i="3" a="1"/>
  <c r="Q383" i="3" s="1"/>
  <c r="P383" i="3" a="1"/>
  <c r="P383" i="3" s="1"/>
  <c r="O383" i="3" a="1"/>
  <c r="O383" i="3" s="1"/>
  <c r="N383" i="3" a="1"/>
  <c r="N383" i="3" s="1"/>
  <c r="M383" i="3" a="1"/>
  <c r="M383" i="3" s="1"/>
  <c r="L383" i="3" a="1"/>
  <c r="L383" i="3" s="1"/>
  <c r="K383" i="3" a="1"/>
  <c r="K383" i="3" s="1"/>
  <c r="J383" i="3" a="1"/>
  <c r="J383" i="3" s="1"/>
  <c r="I383" i="3" a="1"/>
  <c r="I383" i="3" s="1"/>
  <c r="G383" i="3" a="1"/>
  <c r="G383" i="3" s="1"/>
  <c r="F383" i="3" a="1"/>
  <c r="F383" i="3" s="1"/>
  <c r="E383" i="3" a="1"/>
  <c r="E383" i="3" s="1"/>
  <c r="D383" i="3" a="1"/>
  <c r="D383" i="3" s="1"/>
  <c r="C383" i="3" a="1"/>
  <c r="C383" i="3" s="1"/>
  <c r="B383" i="3" a="1"/>
  <c r="B383" i="3" s="1"/>
  <c r="Z382" i="3" a="1"/>
  <c r="Z382" i="3" s="1"/>
  <c r="Y382" i="3" a="1"/>
  <c r="Y382" i="3" s="1"/>
  <c r="X382" i="3" a="1"/>
  <c r="X382" i="3" s="1"/>
  <c r="W382" i="3" a="1"/>
  <c r="W382" i="3" s="1"/>
  <c r="V382" i="3" a="1"/>
  <c r="V382" i="3" s="1"/>
  <c r="U382" i="3" a="1"/>
  <c r="U382" i="3" s="1"/>
  <c r="T382" i="3" a="1"/>
  <c r="T382" i="3" s="1"/>
  <c r="S382" i="3" a="1"/>
  <c r="S382" i="3" s="1"/>
  <c r="R382" i="3" a="1"/>
  <c r="R382" i="3" s="1"/>
  <c r="Q382" i="3" a="1"/>
  <c r="Q382" i="3" s="1"/>
  <c r="P382" i="3" a="1"/>
  <c r="P382" i="3" s="1"/>
  <c r="O382" i="3" a="1"/>
  <c r="O382" i="3" s="1"/>
  <c r="N382" i="3" a="1"/>
  <c r="N382" i="3" s="1"/>
  <c r="M382" i="3" a="1"/>
  <c r="M382" i="3" s="1"/>
  <c r="L382" i="3" a="1"/>
  <c r="L382" i="3" s="1"/>
  <c r="K382" i="3" a="1"/>
  <c r="K382" i="3" s="1"/>
  <c r="J382" i="3" a="1"/>
  <c r="J382" i="3" s="1"/>
  <c r="I382" i="3" a="1"/>
  <c r="I382" i="3" s="1"/>
  <c r="G382" i="3" a="1"/>
  <c r="G382" i="3" s="1"/>
  <c r="F382" i="3" a="1"/>
  <c r="F382" i="3" s="1"/>
  <c r="E382" i="3" a="1"/>
  <c r="E382" i="3" s="1"/>
  <c r="D382" i="3" a="1"/>
  <c r="D382" i="3" s="1"/>
  <c r="C382" i="3" a="1"/>
  <c r="C382" i="3" s="1"/>
  <c r="B382" i="3" a="1"/>
  <c r="B382" i="3" s="1"/>
  <c r="Z381" i="3" a="1"/>
  <c r="Z381" i="3" s="1"/>
  <c r="Y381" i="3" a="1"/>
  <c r="Y381" i="3" s="1"/>
  <c r="X381" i="3" a="1"/>
  <c r="X381" i="3" s="1"/>
  <c r="W381" i="3" a="1"/>
  <c r="W381" i="3" s="1"/>
  <c r="V381" i="3" a="1"/>
  <c r="V381" i="3" s="1"/>
  <c r="U381" i="3" a="1"/>
  <c r="U381" i="3" s="1"/>
  <c r="T381" i="3" a="1"/>
  <c r="T381" i="3" s="1"/>
  <c r="S381" i="3" a="1"/>
  <c r="S381" i="3" s="1"/>
  <c r="R381" i="3" a="1"/>
  <c r="R381" i="3" s="1"/>
  <c r="Q381" i="3" a="1"/>
  <c r="Q381" i="3" s="1"/>
  <c r="P381" i="3" a="1"/>
  <c r="P381" i="3" s="1"/>
  <c r="O381" i="3" a="1"/>
  <c r="O381" i="3" s="1"/>
  <c r="N381" i="3" a="1"/>
  <c r="N381" i="3" s="1"/>
  <c r="M381" i="3" a="1"/>
  <c r="M381" i="3" s="1"/>
  <c r="L381" i="3" a="1"/>
  <c r="L381" i="3" s="1"/>
  <c r="K381" i="3" a="1"/>
  <c r="K381" i="3" s="1"/>
  <c r="J381" i="3" a="1"/>
  <c r="J381" i="3" s="1"/>
  <c r="I381" i="3" a="1"/>
  <c r="I381" i="3" s="1"/>
  <c r="G381" i="3" a="1"/>
  <c r="G381" i="3" s="1"/>
  <c r="F381" i="3" a="1"/>
  <c r="F381" i="3" s="1"/>
  <c r="E381" i="3" a="1"/>
  <c r="E381" i="3" s="1"/>
  <c r="D381" i="3" a="1"/>
  <c r="D381" i="3" s="1"/>
  <c r="C381" i="3" a="1"/>
  <c r="C381" i="3" s="1"/>
  <c r="B381" i="3" a="1"/>
  <c r="B381" i="3" s="1"/>
  <c r="Z380" i="3" a="1"/>
  <c r="Z380" i="3" s="1"/>
  <c r="Y380" i="3" a="1"/>
  <c r="Y380" i="3" s="1"/>
  <c r="X380" i="3" a="1"/>
  <c r="X380" i="3" s="1"/>
  <c r="W380" i="3" a="1"/>
  <c r="W380" i="3" s="1"/>
  <c r="V380" i="3" a="1"/>
  <c r="V380" i="3" s="1"/>
  <c r="U380" i="3" a="1"/>
  <c r="U380" i="3" s="1"/>
  <c r="T380" i="3" a="1"/>
  <c r="T380" i="3" s="1"/>
  <c r="S380" i="3" a="1"/>
  <c r="S380" i="3" s="1"/>
  <c r="R380" i="3" a="1"/>
  <c r="R380" i="3" s="1"/>
  <c r="Q380" i="3" a="1"/>
  <c r="Q380" i="3" s="1"/>
  <c r="P380" i="3" a="1"/>
  <c r="P380" i="3" s="1"/>
  <c r="O380" i="3" a="1"/>
  <c r="O380" i="3" s="1"/>
  <c r="N380" i="3" a="1"/>
  <c r="N380" i="3" s="1"/>
  <c r="M380" i="3" a="1"/>
  <c r="M380" i="3" s="1"/>
  <c r="L380" i="3" a="1"/>
  <c r="L380" i="3" s="1"/>
  <c r="K380" i="3" a="1"/>
  <c r="K380" i="3" s="1"/>
  <c r="J380" i="3" a="1"/>
  <c r="J380" i="3" s="1"/>
  <c r="I380" i="3" a="1"/>
  <c r="I380" i="3" s="1"/>
  <c r="G380" i="3" a="1"/>
  <c r="G380" i="3" s="1"/>
  <c r="F380" i="3" a="1"/>
  <c r="F380" i="3" s="1"/>
  <c r="E380" i="3" a="1"/>
  <c r="E380" i="3" s="1"/>
  <c r="D380" i="3" a="1"/>
  <c r="D380" i="3" s="1"/>
  <c r="C380" i="3" a="1"/>
  <c r="C380" i="3" s="1"/>
  <c r="B380" i="3" a="1"/>
  <c r="B380" i="3" s="1"/>
  <c r="Z379" i="3" a="1"/>
  <c r="Z379" i="3" s="1"/>
  <c r="Y379" i="3" a="1"/>
  <c r="Y379" i="3" s="1"/>
  <c r="X379" i="3" a="1"/>
  <c r="X379" i="3" s="1"/>
  <c r="W379" i="3" a="1"/>
  <c r="W379" i="3" s="1"/>
  <c r="V379" i="3" a="1"/>
  <c r="V379" i="3" s="1"/>
  <c r="U379" i="3" a="1"/>
  <c r="U379" i="3" s="1"/>
  <c r="T379" i="3" a="1"/>
  <c r="T379" i="3" s="1"/>
  <c r="S379" i="3" a="1"/>
  <c r="S379" i="3" s="1"/>
  <c r="R379" i="3" a="1"/>
  <c r="R379" i="3" s="1"/>
  <c r="Q379" i="3" a="1"/>
  <c r="Q379" i="3" s="1"/>
  <c r="P379" i="3" a="1"/>
  <c r="P379" i="3" s="1"/>
  <c r="O379" i="3" a="1"/>
  <c r="O379" i="3" s="1"/>
  <c r="N379" i="3" a="1"/>
  <c r="N379" i="3" s="1"/>
  <c r="M379" i="3" a="1"/>
  <c r="M379" i="3" s="1"/>
  <c r="L379" i="3" a="1"/>
  <c r="L379" i="3" s="1"/>
  <c r="K379" i="3" a="1"/>
  <c r="K379" i="3" s="1"/>
  <c r="J379" i="3" a="1"/>
  <c r="J379" i="3" s="1"/>
  <c r="I379" i="3" a="1"/>
  <c r="I379" i="3" s="1"/>
  <c r="G379" i="3" a="1"/>
  <c r="G379" i="3" s="1"/>
  <c r="F379" i="3" a="1"/>
  <c r="F379" i="3" s="1"/>
  <c r="E379" i="3" a="1"/>
  <c r="E379" i="3" s="1"/>
  <c r="D379" i="3" a="1"/>
  <c r="D379" i="3" s="1"/>
  <c r="C379" i="3" a="1"/>
  <c r="C379" i="3" s="1"/>
  <c r="B379" i="3" a="1"/>
  <c r="B379" i="3" s="1"/>
  <c r="Q375" i="3" a="1"/>
  <c r="Q375" i="3" s="1"/>
  <c r="P375" i="3" a="1"/>
  <c r="P375" i="3" s="1"/>
  <c r="O375" i="3" a="1"/>
  <c r="O375" i="3" s="1"/>
  <c r="N375" i="3" a="1"/>
  <c r="N375" i="3" s="1"/>
  <c r="M375" i="3" a="1"/>
  <c r="M375" i="3" s="1"/>
  <c r="L375" i="3" a="1"/>
  <c r="L375" i="3" s="1"/>
  <c r="K375" i="3" a="1"/>
  <c r="K375" i="3" s="1"/>
  <c r="J375" i="3" a="1"/>
  <c r="J375" i="3" s="1"/>
  <c r="I375" i="3" a="1"/>
  <c r="I375" i="3" s="1"/>
  <c r="G375" i="3" a="1"/>
  <c r="G375" i="3" s="1"/>
  <c r="F375" i="3" a="1"/>
  <c r="F375" i="3" s="1"/>
  <c r="E375" i="3" a="1"/>
  <c r="E375" i="3" s="1"/>
  <c r="D375" i="3" a="1"/>
  <c r="D375" i="3" s="1"/>
  <c r="C375" i="3" a="1"/>
  <c r="C375" i="3" s="1"/>
  <c r="B375" i="3" a="1"/>
  <c r="B375" i="3" s="1"/>
  <c r="Q374" i="3" a="1"/>
  <c r="Q374" i="3" s="1"/>
  <c r="P374" i="3" a="1"/>
  <c r="P374" i="3" s="1"/>
  <c r="O374" i="3" a="1"/>
  <c r="O374" i="3" s="1"/>
  <c r="N374" i="3" a="1"/>
  <c r="N374" i="3" s="1"/>
  <c r="M374" i="3" a="1"/>
  <c r="M374" i="3" s="1"/>
  <c r="L374" i="3" a="1"/>
  <c r="L374" i="3" s="1"/>
  <c r="K374" i="3" a="1"/>
  <c r="K374" i="3" s="1"/>
  <c r="J374" i="3" a="1"/>
  <c r="J374" i="3" s="1"/>
  <c r="I374" i="3" a="1"/>
  <c r="I374" i="3" s="1"/>
  <c r="G374" i="3" a="1"/>
  <c r="G374" i="3" s="1"/>
  <c r="F374" i="3" a="1"/>
  <c r="F374" i="3" s="1"/>
  <c r="E374" i="3" a="1"/>
  <c r="E374" i="3" s="1"/>
  <c r="D374" i="3" a="1"/>
  <c r="D374" i="3" s="1"/>
  <c r="C374" i="3" a="1"/>
  <c r="C374" i="3" s="1"/>
  <c r="B374" i="3" a="1"/>
  <c r="B374" i="3" s="1"/>
  <c r="T373" i="3" a="1"/>
  <c r="T373" i="3" s="1"/>
  <c r="Q373" i="3" a="1"/>
  <c r="Q373" i="3" s="1"/>
  <c r="P373" i="3" a="1"/>
  <c r="P373" i="3" s="1"/>
  <c r="O373" i="3" a="1"/>
  <c r="O373" i="3" s="1"/>
  <c r="N373" i="3" a="1"/>
  <c r="N373" i="3" s="1"/>
  <c r="M373" i="3" a="1"/>
  <c r="M373" i="3" s="1"/>
  <c r="L373" i="3" a="1"/>
  <c r="L373" i="3" s="1"/>
  <c r="K373" i="3" a="1"/>
  <c r="K373" i="3" s="1"/>
  <c r="J373" i="3" a="1"/>
  <c r="J373" i="3" s="1"/>
  <c r="I373" i="3" a="1"/>
  <c r="I373" i="3" s="1"/>
  <c r="G373" i="3" a="1"/>
  <c r="G373" i="3" s="1"/>
  <c r="F373" i="3" a="1"/>
  <c r="F373" i="3" s="1"/>
  <c r="E373" i="3" a="1"/>
  <c r="E373" i="3" s="1"/>
  <c r="D373" i="3" a="1"/>
  <c r="D373" i="3" s="1"/>
  <c r="C373" i="3" a="1"/>
  <c r="C373" i="3" s="1"/>
  <c r="B373" i="3" a="1"/>
  <c r="B373" i="3" s="1"/>
  <c r="Z369" i="3" a="1"/>
  <c r="Z369" i="3" s="1"/>
  <c r="Y369" i="3" a="1"/>
  <c r="Y369" i="3" s="1"/>
  <c r="X369" i="3" a="1"/>
  <c r="X369" i="3" s="1"/>
  <c r="W369" i="3" a="1"/>
  <c r="W369" i="3" s="1"/>
  <c r="V369" i="3" a="1"/>
  <c r="V369" i="3" s="1"/>
  <c r="U369" i="3" a="1"/>
  <c r="U369" i="3" s="1"/>
  <c r="T369" i="3" a="1"/>
  <c r="T369" i="3" s="1"/>
  <c r="S369" i="3" a="1"/>
  <c r="S369" i="3" s="1"/>
  <c r="R369" i="3" a="1"/>
  <c r="R369" i="3" s="1"/>
  <c r="Q369" i="3" a="1"/>
  <c r="Q369" i="3" s="1"/>
  <c r="P369" i="3" a="1"/>
  <c r="P369" i="3" s="1"/>
  <c r="O369" i="3" a="1"/>
  <c r="O369" i="3" s="1"/>
  <c r="N369" i="3" a="1"/>
  <c r="N369" i="3" s="1"/>
  <c r="M369" i="3" a="1"/>
  <c r="M369" i="3" s="1"/>
  <c r="L369" i="3" a="1"/>
  <c r="L369" i="3" s="1"/>
  <c r="K369" i="3" a="1"/>
  <c r="K369" i="3" s="1"/>
  <c r="J369" i="3" a="1"/>
  <c r="J369" i="3" s="1"/>
  <c r="I369" i="3" a="1"/>
  <c r="I369" i="3" s="1"/>
  <c r="G369" i="3" a="1"/>
  <c r="G369" i="3" s="1"/>
  <c r="F369" i="3" a="1"/>
  <c r="F369" i="3" s="1"/>
  <c r="E369" i="3" a="1"/>
  <c r="E369" i="3" s="1"/>
  <c r="D369" i="3" a="1"/>
  <c r="D369" i="3" s="1"/>
  <c r="C369" i="3" a="1"/>
  <c r="C369" i="3" s="1"/>
  <c r="B369" i="3" a="1"/>
  <c r="B369" i="3" s="1"/>
  <c r="Z368" i="3" a="1"/>
  <c r="Z368" i="3" s="1"/>
  <c r="Y368" i="3" a="1"/>
  <c r="Y368" i="3" s="1"/>
  <c r="X368" i="3" a="1"/>
  <c r="X368" i="3" s="1"/>
  <c r="W368" i="3" a="1"/>
  <c r="W368" i="3" s="1"/>
  <c r="V368" i="3" a="1"/>
  <c r="V368" i="3" s="1"/>
  <c r="U368" i="3" a="1"/>
  <c r="U368" i="3" s="1"/>
  <c r="T368" i="3" a="1"/>
  <c r="T368" i="3" s="1"/>
  <c r="S368" i="3" a="1"/>
  <c r="S368" i="3" s="1"/>
  <c r="R368" i="3" a="1"/>
  <c r="R368" i="3" s="1"/>
  <c r="Q368" i="3" a="1"/>
  <c r="Q368" i="3" s="1"/>
  <c r="P368" i="3" a="1"/>
  <c r="P368" i="3" s="1"/>
  <c r="O368" i="3" a="1"/>
  <c r="O368" i="3" s="1"/>
  <c r="N368" i="3" a="1"/>
  <c r="N368" i="3" s="1"/>
  <c r="M368" i="3" a="1"/>
  <c r="M368" i="3" s="1"/>
  <c r="L368" i="3" a="1"/>
  <c r="L368" i="3" s="1"/>
  <c r="K368" i="3" a="1"/>
  <c r="K368" i="3" s="1"/>
  <c r="J368" i="3" a="1"/>
  <c r="J368" i="3" s="1"/>
  <c r="I368" i="3" a="1"/>
  <c r="I368" i="3" s="1"/>
  <c r="G368" i="3" a="1"/>
  <c r="G368" i="3" s="1"/>
  <c r="F368" i="3" a="1"/>
  <c r="F368" i="3" s="1"/>
  <c r="E368" i="3" a="1"/>
  <c r="E368" i="3" s="1"/>
  <c r="D368" i="3" a="1"/>
  <c r="D368" i="3" s="1"/>
  <c r="C368" i="3" a="1"/>
  <c r="C368" i="3" s="1"/>
  <c r="B368" i="3" a="1"/>
  <c r="B368" i="3" s="1"/>
  <c r="Z367" i="3" a="1"/>
  <c r="Z367" i="3" s="1"/>
  <c r="Y367" i="3" a="1"/>
  <c r="Y367" i="3" s="1"/>
  <c r="X367" i="3" a="1"/>
  <c r="X367" i="3" s="1"/>
  <c r="W367" i="3" a="1"/>
  <c r="W367" i="3" s="1"/>
  <c r="V367" i="3" a="1"/>
  <c r="V367" i="3" s="1"/>
  <c r="U367" i="3" a="1"/>
  <c r="U367" i="3" s="1"/>
  <c r="T367" i="3" a="1"/>
  <c r="T367" i="3" s="1"/>
  <c r="S367" i="3" a="1"/>
  <c r="S367" i="3" s="1"/>
  <c r="R367" i="3" a="1"/>
  <c r="R367" i="3" s="1"/>
  <c r="Q367" i="3" a="1"/>
  <c r="Q367" i="3" s="1"/>
  <c r="P367" i="3" a="1"/>
  <c r="P367" i="3" s="1"/>
  <c r="O367" i="3" a="1"/>
  <c r="O367" i="3" s="1"/>
  <c r="N367" i="3" a="1"/>
  <c r="N367" i="3" s="1"/>
  <c r="M367" i="3" a="1"/>
  <c r="M367" i="3" s="1"/>
  <c r="L367" i="3" a="1"/>
  <c r="L367" i="3" s="1"/>
  <c r="K367" i="3" a="1"/>
  <c r="K367" i="3" s="1"/>
  <c r="J367" i="3" a="1"/>
  <c r="J367" i="3" s="1"/>
  <c r="I367" i="3" a="1"/>
  <c r="I367" i="3" s="1"/>
  <c r="G367" i="3" a="1"/>
  <c r="G367" i="3" s="1"/>
  <c r="F367" i="3" a="1"/>
  <c r="F367" i="3" s="1"/>
  <c r="E367" i="3" a="1"/>
  <c r="E367" i="3" s="1"/>
  <c r="D367" i="3" a="1"/>
  <c r="D367" i="3" s="1"/>
  <c r="C367" i="3" a="1"/>
  <c r="C367" i="3" s="1"/>
  <c r="B367" i="3" a="1"/>
  <c r="B367" i="3" s="1"/>
  <c r="Z366" i="3" a="1"/>
  <c r="Z366" i="3" s="1"/>
  <c r="Y366" i="3" a="1"/>
  <c r="Y366" i="3" s="1"/>
  <c r="X366" i="3" a="1"/>
  <c r="X366" i="3" s="1"/>
  <c r="W366" i="3" a="1"/>
  <c r="W366" i="3" s="1"/>
  <c r="V366" i="3" a="1"/>
  <c r="V366" i="3" s="1"/>
  <c r="U366" i="3" a="1"/>
  <c r="U366" i="3" s="1"/>
  <c r="T366" i="3" a="1"/>
  <c r="T366" i="3" s="1"/>
  <c r="S366" i="3" a="1"/>
  <c r="S366" i="3" s="1"/>
  <c r="R366" i="3" a="1"/>
  <c r="R366" i="3" s="1"/>
  <c r="Q366" i="3" a="1"/>
  <c r="Q366" i="3" s="1"/>
  <c r="P366" i="3" a="1"/>
  <c r="P366" i="3" s="1"/>
  <c r="O366" i="3" a="1"/>
  <c r="O366" i="3" s="1"/>
  <c r="N366" i="3" a="1"/>
  <c r="N366" i="3" s="1"/>
  <c r="M366" i="3" a="1"/>
  <c r="M366" i="3" s="1"/>
  <c r="L366" i="3" a="1"/>
  <c r="L366" i="3" s="1"/>
  <c r="K366" i="3" a="1"/>
  <c r="K366" i="3" s="1"/>
  <c r="J366" i="3" a="1"/>
  <c r="J366" i="3" s="1"/>
  <c r="I366" i="3" a="1"/>
  <c r="I366" i="3" s="1"/>
  <c r="G366" i="3" a="1"/>
  <c r="G366" i="3" s="1"/>
  <c r="F366" i="3" a="1"/>
  <c r="F366" i="3" s="1"/>
  <c r="E366" i="3" a="1"/>
  <c r="E366" i="3" s="1"/>
  <c r="D366" i="3" a="1"/>
  <c r="D366" i="3" s="1"/>
  <c r="C366" i="3" a="1"/>
  <c r="C366" i="3" s="1"/>
  <c r="B366" i="3" a="1"/>
  <c r="B366" i="3" s="1"/>
  <c r="Z365" i="3" a="1"/>
  <c r="Z365" i="3" s="1"/>
  <c r="Y365" i="3" a="1"/>
  <c r="Y365" i="3" s="1"/>
  <c r="X365" i="3" a="1"/>
  <c r="X365" i="3" s="1"/>
  <c r="W365" i="3" a="1"/>
  <c r="W365" i="3" s="1"/>
  <c r="V365" i="3" a="1"/>
  <c r="V365" i="3" s="1"/>
  <c r="U365" i="3" a="1"/>
  <c r="U365" i="3" s="1"/>
  <c r="T365" i="3" a="1"/>
  <c r="T365" i="3" s="1"/>
  <c r="S365" i="3" a="1"/>
  <c r="S365" i="3" s="1"/>
  <c r="R365" i="3" a="1"/>
  <c r="R365" i="3" s="1"/>
  <c r="Q365" i="3" a="1"/>
  <c r="Q365" i="3" s="1"/>
  <c r="P365" i="3" a="1"/>
  <c r="P365" i="3" s="1"/>
  <c r="O365" i="3" a="1"/>
  <c r="O365" i="3" s="1"/>
  <c r="N365" i="3" a="1"/>
  <c r="N365" i="3" s="1"/>
  <c r="M365" i="3" a="1"/>
  <c r="M365" i="3" s="1"/>
  <c r="L365" i="3" a="1"/>
  <c r="L365" i="3" s="1"/>
  <c r="K365" i="3" a="1"/>
  <c r="K365" i="3" s="1"/>
  <c r="J365" i="3" a="1"/>
  <c r="J365" i="3" s="1"/>
  <c r="I365" i="3" a="1"/>
  <c r="I365" i="3" s="1"/>
  <c r="G365" i="3" a="1"/>
  <c r="G365" i="3" s="1"/>
  <c r="F365" i="3" a="1"/>
  <c r="F365" i="3" s="1"/>
  <c r="E365" i="3" a="1"/>
  <c r="E365" i="3" s="1"/>
  <c r="D365" i="3" a="1"/>
  <c r="D365" i="3" s="1"/>
  <c r="C365" i="3" a="1"/>
  <c r="C365" i="3" s="1"/>
  <c r="B365" i="3" a="1"/>
  <c r="B365" i="3" s="1"/>
  <c r="Z364" i="3" a="1"/>
  <c r="Z364" i="3" s="1"/>
  <c r="Y364" i="3" a="1"/>
  <c r="Y364" i="3" s="1"/>
  <c r="X364" i="3" a="1"/>
  <c r="X364" i="3" s="1"/>
  <c r="W364" i="3" a="1"/>
  <c r="W364" i="3" s="1"/>
  <c r="V364" i="3" a="1"/>
  <c r="V364" i="3" s="1"/>
  <c r="U364" i="3" a="1"/>
  <c r="U364" i="3" s="1"/>
  <c r="T364" i="3" a="1"/>
  <c r="T364" i="3" s="1"/>
  <c r="S364" i="3" a="1"/>
  <c r="S364" i="3" s="1"/>
  <c r="R364" i="3" a="1"/>
  <c r="R364" i="3" s="1"/>
  <c r="Q364" i="3" a="1"/>
  <c r="Q364" i="3" s="1"/>
  <c r="P364" i="3" a="1"/>
  <c r="P364" i="3" s="1"/>
  <c r="O364" i="3" a="1"/>
  <c r="O364" i="3" s="1"/>
  <c r="N364" i="3" a="1"/>
  <c r="N364" i="3" s="1"/>
  <c r="M364" i="3" a="1"/>
  <c r="M364" i="3" s="1"/>
  <c r="L364" i="3" a="1"/>
  <c r="L364" i="3" s="1"/>
  <c r="K364" i="3" a="1"/>
  <c r="K364" i="3" s="1"/>
  <c r="J364" i="3" a="1"/>
  <c r="J364" i="3" s="1"/>
  <c r="I364" i="3" a="1"/>
  <c r="I364" i="3" s="1"/>
  <c r="G364" i="3" a="1"/>
  <c r="G364" i="3" s="1"/>
  <c r="F364" i="3" a="1"/>
  <c r="F364" i="3" s="1"/>
  <c r="E364" i="3" a="1"/>
  <c r="E364" i="3" s="1"/>
  <c r="D364" i="3" a="1"/>
  <c r="D364" i="3" s="1"/>
  <c r="C364" i="3" a="1"/>
  <c r="C364" i="3" s="1"/>
  <c r="B364" i="3" a="1"/>
  <c r="B364" i="3" s="1"/>
  <c r="Z363" i="3" a="1"/>
  <c r="Z363" i="3" s="1"/>
  <c r="Y363" i="3" a="1"/>
  <c r="Y363" i="3" s="1"/>
  <c r="X363" i="3" a="1"/>
  <c r="X363" i="3" s="1"/>
  <c r="W363" i="3" a="1"/>
  <c r="W363" i="3" s="1"/>
  <c r="V363" i="3" a="1"/>
  <c r="V363" i="3" s="1"/>
  <c r="U363" i="3" a="1"/>
  <c r="U363" i="3" s="1"/>
  <c r="T363" i="3" a="1"/>
  <c r="T363" i="3" s="1"/>
  <c r="S363" i="3" a="1"/>
  <c r="S363" i="3" s="1"/>
  <c r="R363" i="3" a="1"/>
  <c r="R363" i="3" s="1"/>
  <c r="Q363" i="3" a="1"/>
  <c r="Q363" i="3" s="1"/>
  <c r="P363" i="3" a="1"/>
  <c r="P363" i="3" s="1"/>
  <c r="O363" i="3" a="1"/>
  <c r="O363" i="3" s="1"/>
  <c r="N363" i="3" a="1"/>
  <c r="N363" i="3" s="1"/>
  <c r="M363" i="3" a="1"/>
  <c r="M363" i="3" s="1"/>
  <c r="L363" i="3" a="1"/>
  <c r="L363" i="3" s="1"/>
  <c r="K363" i="3" a="1"/>
  <c r="K363" i="3" s="1"/>
  <c r="J363" i="3" a="1"/>
  <c r="J363" i="3" s="1"/>
  <c r="I363" i="3" a="1"/>
  <c r="I363" i="3" s="1"/>
  <c r="G363" i="3" a="1"/>
  <c r="G363" i="3" s="1"/>
  <c r="F363" i="3" a="1"/>
  <c r="F363" i="3" s="1"/>
  <c r="E363" i="3" a="1"/>
  <c r="E363" i="3" s="1"/>
  <c r="D363" i="3" a="1"/>
  <c r="D363" i="3" s="1"/>
  <c r="C363" i="3" a="1"/>
  <c r="C363" i="3" s="1"/>
  <c r="B363" i="3" a="1"/>
  <c r="B363" i="3" s="1"/>
  <c r="Z362" i="3" a="1"/>
  <c r="Z362" i="3" s="1"/>
  <c r="Y362" i="3" a="1"/>
  <c r="Y362" i="3" s="1"/>
  <c r="X362" i="3" a="1"/>
  <c r="X362" i="3" s="1"/>
  <c r="W362" i="3" a="1"/>
  <c r="W362" i="3" s="1"/>
  <c r="V362" i="3" a="1"/>
  <c r="V362" i="3" s="1"/>
  <c r="U362" i="3" a="1"/>
  <c r="U362" i="3" s="1"/>
  <c r="T362" i="3" a="1"/>
  <c r="T362" i="3" s="1"/>
  <c r="S362" i="3" a="1"/>
  <c r="S362" i="3" s="1"/>
  <c r="R362" i="3" a="1"/>
  <c r="R362" i="3" s="1"/>
  <c r="Q362" i="3" a="1"/>
  <c r="Q362" i="3" s="1"/>
  <c r="P362" i="3" a="1"/>
  <c r="P362" i="3" s="1"/>
  <c r="O362" i="3" a="1"/>
  <c r="O362" i="3" s="1"/>
  <c r="N362" i="3" a="1"/>
  <c r="N362" i="3" s="1"/>
  <c r="M362" i="3" a="1"/>
  <c r="M362" i="3" s="1"/>
  <c r="L362" i="3" a="1"/>
  <c r="L362" i="3" s="1"/>
  <c r="K362" i="3" a="1"/>
  <c r="K362" i="3" s="1"/>
  <c r="J362" i="3" a="1"/>
  <c r="J362" i="3" s="1"/>
  <c r="I362" i="3" a="1"/>
  <c r="I362" i="3" s="1"/>
  <c r="G362" i="3" a="1"/>
  <c r="G362" i="3" s="1"/>
  <c r="F362" i="3" a="1"/>
  <c r="F362" i="3" s="1"/>
  <c r="E362" i="3" a="1"/>
  <c r="E362" i="3" s="1"/>
  <c r="D362" i="3" a="1"/>
  <c r="D362" i="3" s="1"/>
  <c r="C362" i="3" a="1"/>
  <c r="C362" i="3" s="1"/>
  <c r="B362" i="3" a="1"/>
  <c r="B362" i="3" s="1"/>
  <c r="Z361" i="3" a="1"/>
  <c r="Z361" i="3" s="1"/>
  <c r="Y361" i="3" a="1"/>
  <c r="Y361" i="3" s="1"/>
  <c r="X361" i="3" a="1"/>
  <c r="X361" i="3" s="1"/>
  <c r="W361" i="3" a="1"/>
  <c r="W361" i="3" s="1"/>
  <c r="V361" i="3" a="1"/>
  <c r="V361" i="3" s="1"/>
  <c r="U361" i="3" a="1"/>
  <c r="U361" i="3" s="1"/>
  <c r="T361" i="3" a="1"/>
  <c r="T361" i="3" s="1"/>
  <c r="S361" i="3" a="1"/>
  <c r="S361" i="3" s="1"/>
  <c r="R361" i="3" a="1"/>
  <c r="R361" i="3" s="1"/>
  <c r="Q361" i="3" a="1"/>
  <c r="Q361" i="3" s="1"/>
  <c r="P361" i="3" a="1"/>
  <c r="P361" i="3" s="1"/>
  <c r="O361" i="3" a="1"/>
  <c r="O361" i="3" s="1"/>
  <c r="N361" i="3" a="1"/>
  <c r="N361" i="3" s="1"/>
  <c r="M361" i="3" a="1"/>
  <c r="M361" i="3" s="1"/>
  <c r="L361" i="3" a="1"/>
  <c r="L361" i="3" s="1"/>
  <c r="K361" i="3" a="1"/>
  <c r="K361" i="3" s="1"/>
  <c r="J361" i="3" a="1"/>
  <c r="J361" i="3" s="1"/>
  <c r="I361" i="3" a="1"/>
  <c r="I361" i="3" s="1"/>
  <c r="G361" i="3" a="1"/>
  <c r="G361" i="3" s="1"/>
  <c r="F361" i="3" a="1"/>
  <c r="F361" i="3" s="1"/>
  <c r="E361" i="3" a="1"/>
  <c r="E361" i="3" s="1"/>
  <c r="D361" i="3" a="1"/>
  <c r="D361" i="3" s="1"/>
  <c r="C361" i="3" a="1"/>
  <c r="C361" i="3" s="1"/>
  <c r="B361" i="3" a="1"/>
  <c r="B361" i="3" s="1"/>
  <c r="Z360" i="3" a="1"/>
  <c r="Z360" i="3" s="1"/>
  <c r="Y360" i="3" a="1"/>
  <c r="Y360" i="3" s="1"/>
  <c r="X360" i="3" a="1"/>
  <c r="X360" i="3" s="1"/>
  <c r="W360" i="3" a="1"/>
  <c r="W360" i="3" s="1"/>
  <c r="V360" i="3" a="1"/>
  <c r="V360" i="3" s="1"/>
  <c r="U360" i="3" a="1"/>
  <c r="U360" i="3" s="1"/>
  <c r="T360" i="3" a="1"/>
  <c r="T360" i="3" s="1"/>
  <c r="S360" i="3" a="1"/>
  <c r="S360" i="3" s="1"/>
  <c r="R360" i="3" a="1"/>
  <c r="R360" i="3" s="1"/>
  <c r="Q360" i="3" a="1"/>
  <c r="Q360" i="3" s="1"/>
  <c r="P360" i="3" a="1"/>
  <c r="P360" i="3" s="1"/>
  <c r="O360" i="3" a="1"/>
  <c r="O360" i="3" s="1"/>
  <c r="N360" i="3" a="1"/>
  <c r="N360" i="3" s="1"/>
  <c r="M360" i="3" a="1"/>
  <c r="M360" i="3" s="1"/>
  <c r="L360" i="3" a="1"/>
  <c r="L360" i="3" s="1"/>
  <c r="K360" i="3" a="1"/>
  <c r="K360" i="3" s="1"/>
  <c r="J360" i="3" a="1"/>
  <c r="J360" i="3" s="1"/>
  <c r="I360" i="3" a="1"/>
  <c r="I360" i="3" s="1"/>
  <c r="G360" i="3" a="1"/>
  <c r="G360" i="3" s="1"/>
  <c r="F360" i="3" a="1"/>
  <c r="F360" i="3" s="1"/>
  <c r="E360" i="3" a="1"/>
  <c r="E360" i="3" s="1"/>
  <c r="D360" i="3" a="1"/>
  <c r="D360" i="3" s="1"/>
  <c r="C360" i="3" a="1"/>
  <c r="C360" i="3" s="1"/>
  <c r="B360" i="3" a="1"/>
  <c r="B360" i="3" s="1"/>
  <c r="Z359" i="3" a="1"/>
  <c r="Z359" i="3" s="1"/>
  <c r="Y359" i="3" a="1"/>
  <c r="Y359" i="3" s="1"/>
  <c r="X359" i="3" a="1"/>
  <c r="X359" i="3" s="1"/>
  <c r="W359" i="3" a="1"/>
  <c r="W359" i="3" s="1"/>
  <c r="V359" i="3" a="1"/>
  <c r="V359" i="3" s="1"/>
  <c r="U359" i="3" a="1"/>
  <c r="U359" i="3" s="1"/>
  <c r="T359" i="3" a="1"/>
  <c r="T359" i="3" s="1"/>
  <c r="S359" i="3" a="1"/>
  <c r="S359" i="3" s="1"/>
  <c r="R359" i="3" a="1"/>
  <c r="R359" i="3" s="1"/>
  <c r="Q359" i="3" a="1"/>
  <c r="Q359" i="3" s="1"/>
  <c r="P359" i="3" a="1"/>
  <c r="P359" i="3" s="1"/>
  <c r="O359" i="3" a="1"/>
  <c r="O359" i="3" s="1"/>
  <c r="N359" i="3" a="1"/>
  <c r="N359" i="3" s="1"/>
  <c r="M359" i="3" a="1"/>
  <c r="M359" i="3" s="1"/>
  <c r="L359" i="3" a="1"/>
  <c r="L359" i="3" s="1"/>
  <c r="K359" i="3" a="1"/>
  <c r="K359" i="3" s="1"/>
  <c r="J359" i="3" a="1"/>
  <c r="J359" i="3" s="1"/>
  <c r="I359" i="3" a="1"/>
  <c r="I359" i="3" s="1"/>
  <c r="G359" i="3" a="1"/>
  <c r="G359" i="3" s="1"/>
  <c r="F359" i="3" a="1"/>
  <c r="F359" i="3" s="1"/>
  <c r="E359" i="3" a="1"/>
  <c r="E359" i="3" s="1"/>
  <c r="D359" i="3" a="1"/>
  <c r="D359" i="3" s="1"/>
  <c r="C359" i="3" a="1"/>
  <c r="C359" i="3" s="1"/>
  <c r="B359" i="3" a="1"/>
  <c r="B359" i="3" s="1"/>
  <c r="Z358" i="3" a="1"/>
  <c r="Z358" i="3" s="1"/>
  <c r="Y358" i="3" a="1"/>
  <c r="Y358" i="3" s="1"/>
  <c r="X358" i="3" a="1"/>
  <c r="X358" i="3" s="1"/>
  <c r="W358" i="3" a="1"/>
  <c r="W358" i="3" s="1"/>
  <c r="V358" i="3" a="1"/>
  <c r="V358" i="3" s="1"/>
  <c r="U358" i="3" a="1"/>
  <c r="U358" i="3" s="1"/>
  <c r="T358" i="3" a="1"/>
  <c r="T358" i="3" s="1"/>
  <c r="S358" i="3" a="1"/>
  <c r="S358" i="3" s="1"/>
  <c r="R358" i="3" a="1"/>
  <c r="R358" i="3" s="1"/>
  <c r="Q358" i="3" a="1"/>
  <c r="Q358" i="3" s="1"/>
  <c r="P358" i="3" a="1"/>
  <c r="P358" i="3" s="1"/>
  <c r="O358" i="3" a="1"/>
  <c r="O358" i="3" s="1"/>
  <c r="N358" i="3" a="1"/>
  <c r="N358" i="3" s="1"/>
  <c r="M358" i="3" a="1"/>
  <c r="M358" i="3" s="1"/>
  <c r="L358" i="3" a="1"/>
  <c r="L358" i="3" s="1"/>
  <c r="K358" i="3" a="1"/>
  <c r="K358" i="3" s="1"/>
  <c r="J358" i="3" a="1"/>
  <c r="J358" i="3" s="1"/>
  <c r="I358" i="3" a="1"/>
  <c r="I358" i="3" s="1"/>
  <c r="G358" i="3" a="1"/>
  <c r="G358" i="3" s="1"/>
  <c r="F358" i="3" a="1"/>
  <c r="F358" i="3" s="1"/>
  <c r="E358" i="3" a="1"/>
  <c r="E358" i="3" s="1"/>
  <c r="D358" i="3" a="1"/>
  <c r="D358" i="3" s="1"/>
  <c r="C358" i="3" a="1"/>
  <c r="C358" i="3" s="1"/>
  <c r="B358" i="3" a="1"/>
  <c r="B358" i="3" s="1"/>
  <c r="Z357" i="3" a="1"/>
  <c r="Z357" i="3" s="1"/>
  <c r="Y357" i="3" a="1"/>
  <c r="Y357" i="3" s="1"/>
  <c r="X357" i="3" a="1"/>
  <c r="X357" i="3" s="1"/>
  <c r="W357" i="3" a="1"/>
  <c r="W357" i="3" s="1"/>
  <c r="V357" i="3" a="1"/>
  <c r="V357" i="3" s="1"/>
  <c r="U357" i="3" a="1"/>
  <c r="U357" i="3" s="1"/>
  <c r="T357" i="3" a="1"/>
  <c r="T357" i="3" s="1"/>
  <c r="S357" i="3" a="1"/>
  <c r="S357" i="3" s="1"/>
  <c r="R357" i="3" a="1"/>
  <c r="R357" i="3" s="1"/>
  <c r="Q357" i="3" a="1"/>
  <c r="Q357" i="3" s="1"/>
  <c r="P357" i="3" a="1"/>
  <c r="P357" i="3" s="1"/>
  <c r="O357" i="3" a="1"/>
  <c r="O357" i="3" s="1"/>
  <c r="N357" i="3" a="1"/>
  <c r="N357" i="3" s="1"/>
  <c r="M357" i="3" a="1"/>
  <c r="M357" i="3" s="1"/>
  <c r="L357" i="3" a="1"/>
  <c r="L357" i="3" s="1"/>
  <c r="K357" i="3" a="1"/>
  <c r="K357" i="3" s="1"/>
  <c r="J357" i="3" a="1"/>
  <c r="J357" i="3" s="1"/>
  <c r="I357" i="3" a="1"/>
  <c r="I357" i="3" s="1"/>
  <c r="G357" i="3" a="1"/>
  <c r="G357" i="3" s="1"/>
  <c r="F357" i="3" a="1"/>
  <c r="F357" i="3" s="1"/>
  <c r="E357" i="3" a="1"/>
  <c r="E357" i="3" s="1"/>
  <c r="D357" i="3" a="1"/>
  <c r="D357" i="3" s="1"/>
  <c r="C357" i="3" a="1"/>
  <c r="C357" i="3" s="1"/>
  <c r="B357" i="3" a="1"/>
  <c r="B357" i="3" s="1"/>
  <c r="Z356" i="3" a="1"/>
  <c r="Z356" i="3" s="1"/>
  <c r="Y356" i="3" a="1"/>
  <c r="Y356" i="3" s="1"/>
  <c r="X356" i="3" a="1"/>
  <c r="X356" i="3" s="1"/>
  <c r="W356" i="3" a="1"/>
  <c r="W356" i="3" s="1"/>
  <c r="V356" i="3" a="1"/>
  <c r="V356" i="3" s="1"/>
  <c r="U356" i="3" a="1"/>
  <c r="U356" i="3" s="1"/>
  <c r="T356" i="3" a="1"/>
  <c r="T356" i="3" s="1"/>
  <c r="S356" i="3" a="1"/>
  <c r="S356" i="3" s="1"/>
  <c r="R356" i="3" a="1"/>
  <c r="R356" i="3" s="1"/>
  <c r="Q356" i="3" a="1"/>
  <c r="Q356" i="3" s="1"/>
  <c r="P356" i="3" a="1"/>
  <c r="P356" i="3" s="1"/>
  <c r="O356" i="3" a="1"/>
  <c r="O356" i="3" s="1"/>
  <c r="N356" i="3" a="1"/>
  <c r="N356" i="3" s="1"/>
  <c r="M356" i="3" a="1"/>
  <c r="M356" i="3" s="1"/>
  <c r="L356" i="3" a="1"/>
  <c r="L356" i="3" s="1"/>
  <c r="K356" i="3" a="1"/>
  <c r="K356" i="3" s="1"/>
  <c r="J356" i="3" a="1"/>
  <c r="J356" i="3" s="1"/>
  <c r="I356" i="3" a="1"/>
  <c r="I356" i="3" s="1"/>
  <c r="G356" i="3" a="1"/>
  <c r="G356" i="3" s="1"/>
  <c r="F356" i="3" a="1"/>
  <c r="F356" i="3" s="1"/>
  <c r="E356" i="3" a="1"/>
  <c r="E356" i="3" s="1"/>
  <c r="D356" i="3" a="1"/>
  <c r="D356" i="3" s="1"/>
  <c r="C356" i="3" a="1"/>
  <c r="C356" i="3" s="1"/>
  <c r="B356" i="3" a="1"/>
  <c r="B356" i="3" s="1"/>
  <c r="Z355" i="3" a="1"/>
  <c r="Z355" i="3" s="1"/>
  <c r="Y355" i="3" a="1"/>
  <c r="Y355" i="3" s="1"/>
  <c r="X355" i="3" a="1"/>
  <c r="X355" i="3" s="1"/>
  <c r="W355" i="3" a="1"/>
  <c r="W355" i="3" s="1"/>
  <c r="V355" i="3" a="1"/>
  <c r="V355" i="3" s="1"/>
  <c r="U355" i="3" a="1"/>
  <c r="U355" i="3" s="1"/>
  <c r="T355" i="3" a="1"/>
  <c r="T355" i="3" s="1"/>
  <c r="S355" i="3" a="1"/>
  <c r="S355" i="3" s="1"/>
  <c r="R355" i="3" a="1"/>
  <c r="R355" i="3" s="1"/>
  <c r="Q355" i="3" a="1"/>
  <c r="Q355" i="3" s="1"/>
  <c r="P355" i="3" a="1"/>
  <c r="P355" i="3" s="1"/>
  <c r="O355" i="3" a="1"/>
  <c r="O355" i="3" s="1"/>
  <c r="N355" i="3" a="1"/>
  <c r="N355" i="3" s="1"/>
  <c r="M355" i="3" a="1"/>
  <c r="M355" i="3" s="1"/>
  <c r="L355" i="3" a="1"/>
  <c r="L355" i="3" s="1"/>
  <c r="K355" i="3" a="1"/>
  <c r="K355" i="3" s="1"/>
  <c r="J355" i="3" a="1"/>
  <c r="J355" i="3" s="1"/>
  <c r="I355" i="3" a="1"/>
  <c r="I355" i="3" s="1"/>
  <c r="G355" i="3" a="1"/>
  <c r="G355" i="3" s="1"/>
  <c r="F355" i="3" a="1"/>
  <c r="F355" i="3" s="1"/>
  <c r="E355" i="3" a="1"/>
  <c r="E355" i="3" s="1"/>
  <c r="D355" i="3" a="1"/>
  <c r="D355" i="3" s="1"/>
  <c r="C355" i="3" a="1"/>
  <c r="C355" i="3" s="1"/>
  <c r="B355" i="3" a="1"/>
  <c r="B355" i="3" s="1"/>
  <c r="Z354" i="3" a="1"/>
  <c r="Z354" i="3" s="1"/>
  <c r="Y354" i="3" a="1"/>
  <c r="Y354" i="3" s="1"/>
  <c r="X354" i="3" a="1"/>
  <c r="X354" i="3" s="1"/>
  <c r="W354" i="3" a="1"/>
  <c r="W354" i="3" s="1"/>
  <c r="V354" i="3" a="1"/>
  <c r="V354" i="3" s="1"/>
  <c r="U354" i="3" a="1"/>
  <c r="U354" i="3" s="1"/>
  <c r="T354" i="3" a="1"/>
  <c r="T354" i="3" s="1"/>
  <c r="S354" i="3" a="1"/>
  <c r="S354" i="3" s="1"/>
  <c r="R354" i="3" a="1"/>
  <c r="R354" i="3" s="1"/>
  <c r="Q354" i="3" a="1"/>
  <c r="Q354" i="3" s="1"/>
  <c r="P354" i="3" a="1"/>
  <c r="P354" i="3" s="1"/>
  <c r="O354" i="3" a="1"/>
  <c r="O354" i="3" s="1"/>
  <c r="N354" i="3" a="1"/>
  <c r="N354" i="3" s="1"/>
  <c r="M354" i="3" a="1"/>
  <c r="M354" i="3" s="1"/>
  <c r="L354" i="3" a="1"/>
  <c r="L354" i="3" s="1"/>
  <c r="K354" i="3" a="1"/>
  <c r="K354" i="3" s="1"/>
  <c r="J354" i="3" a="1"/>
  <c r="J354" i="3" s="1"/>
  <c r="I354" i="3" a="1"/>
  <c r="I354" i="3" s="1"/>
  <c r="G354" i="3" a="1"/>
  <c r="G354" i="3" s="1"/>
  <c r="F354" i="3" a="1"/>
  <c r="F354" i="3" s="1"/>
  <c r="E354" i="3" a="1"/>
  <c r="E354" i="3" s="1"/>
  <c r="D354" i="3" a="1"/>
  <c r="D354" i="3" s="1"/>
  <c r="C354" i="3" a="1"/>
  <c r="C354" i="3" s="1"/>
  <c r="B354" i="3" a="1"/>
  <c r="B354" i="3" s="1"/>
  <c r="Z353" i="3" a="1"/>
  <c r="Z353" i="3" s="1"/>
  <c r="Y353" i="3" a="1"/>
  <c r="Y353" i="3" s="1"/>
  <c r="X353" i="3" a="1"/>
  <c r="X353" i="3" s="1"/>
  <c r="W353" i="3" a="1"/>
  <c r="W353" i="3" s="1"/>
  <c r="V353" i="3" a="1"/>
  <c r="V353" i="3" s="1"/>
  <c r="U353" i="3" a="1"/>
  <c r="U353" i="3" s="1"/>
  <c r="T353" i="3" a="1"/>
  <c r="T353" i="3" s="1"/>
  <c r="S353" i="3" a="1"/>
  <c r="S353" i="3" s="1"/>
  <c r="R353" i="3" a="1"/>
  <c r="R353" i="3" s="1"/>
  <c r="Q353" i="3" a="1"/>
  <c r="Q353" i="3" s="1"/>
  <c r="P353" i="3" a="1"/>
  <c r="P353" i="3" s="1"/>
  <c r="O353" i="3" a="1"/>
  <c r="O353" i="3" s="1"/>
  <c r="N353" i="3" a="1"/>
  <c r="N353" i="3" s="1"/>
  <c r="M353" i="3" a="1"/>
  <c r="M353" i="3" s="1"/>
  <c r="L353" i="3" a="1"/>
  <c r="L353" i="3" s="1"/>
  <c r="K353" i="3" a="1"/>
  <c r="K353" i="3" s="1"/>
  <c r="J353" i="3" a="1"/>
  <c r="J353" i="3" s="1"/>
  <c r="I353" i="3" a="1"/>
  <c r="I353" i="3" s="1"/>
  <c r="G353" i="3" a="1"/>
  <c r="G353" i="3" s="1"/>
  <c r="F353" i="3" a="1"/>
  <c r="F353" i="3" s="1"/>
  <c r="E353" i="3" a="1"/>
  <c r="E353" i="3" s="1"/>
  <c r="D353" i="3" a="1"/>
  <c r="D353" i="3" s="1"/>
  <c r="C353" i="3" a="1"/>
  <c r="C353" i="3" s="1"/>
  <c r="B353" i="3" a="1"/>
  <c r="B353" i="3" s="1"/>
  <c r="Z352" i="3" a="1"/>
  <c r="Z352" i="3" s="1"/>
  <c r="Y352" i="3" a="1"/>
  <c r="Y352" i="3" s="1"/>
  <c r="X352" i="3" a="1"/>
  <c r="X352" i="3" s="1"/>
  <c r="W352" i="3" a="1"/>
  <c r="W352" i="3" s="1"/>
  <c r="V352" i="3" a="1"/>
  <c r="V352" i="3" s="1"/>
  <c r="U352" i="3" a="1"/>
  <c r="U352" i="3" s="1"/>
  <c r="T352" i="3" a="1"/>
  <c r="T352" i="3" s="1"/>
  <c r="S352" i="3" a="1"/>
  <c r="S352" i="3" s="1"/>
  <c r="R352" i="3" a="1"/>
  <c r="R352" i="3" s="1"/>
  <c r="Q352" i="3" a="1"/>
  <c r="Q352" i="3" s="1"/>
  <c r="P352" i="3" a="1"/>
  <c r="P352" i="3" s="1"/>
  <c r="O352" i="3" a="1"/>
  <c r="O352" i="3" s="1"/>
  <c r="N352" i="3" a="1"/>
  <c r="N352" i="3" s="1"/>
  <c r="M352" i="3" a="1"/>
  <c r="M352" i="3" s="1"/>
  <c r="L352" i="3" a="1"/>
  <c r="L352" i="3" s="1"/>
  <c r="K352" i="3" a="1"/>
  <c r="K352" i="3" s="1"/>
  <c r="J352" i="3" a="1"/>
  <c r="J352" i="3" s="1"/>
  <c r="I352" i="3" a="1"/>
  <c r="I352" i="3" s="1"/>
  <c r="G352" i="3" a="1"/>
  <c r="G352" i="3" s="1"/>
  <c r="F352" i="3" a="1"/>
  <c r="F352" i="3" s="1"/>
  <c r="E352" i="3" a="1"/>
  <c r="E352" i="3" s="1"/>
  <c r="D352" i="3" a="1"/>
  <c r="D352" i="3" s="1"/>
  <c r="C352" i="3" a="1"/>
  <c r="C352" i="3" s="1"/>
  <c r="B352" i="3" a="1"/>
  <c r="B352" i="3" s="1"/>
  <c r="Z351" i="3" a="1"/>
  <c r="Z351" i="3" s="1"/>
  <c r="Y351" i="3" a="1"/>
  <c r="Y351" i="3" s="1"/>
  <c r="X351" i="3" a="1"/>
  <c r="X351" i="3" s="1"/>
  <c r="W351" i="3" a="1"/>
  <c r="W351" i="3" s="1"/>
  <c r="V351" i="3" a="1"/>
  <c r="V351" i="3" s="1"/>
  <c r="U351" i="3" a="1"/>
  <c r="U351" i="3" s="1"/>
  <c r="T351" i="3" a="1"/>
  <c r="T351" i="3" s="1"/>
  <c r="S351" i="3" a="1"/>
  <c r="S351" i="3" s="1"/>
  <c r="R351" i="3" a="1"/>
  <c r="R351" i="3" s="1"/>
  <c r="Q351" i="3" a="1"/>
  <c r="Q351" i="3" s="1"/>
  <c r="P351" i="3" a="1"/>
  <c r="P351" i="3" s="1"/>
  <c r="O351" i="3" a="1"/>
  <c r="O351" i="3" s="1"/>
  <c r="N351" i="3" a="1"/>
  <c r="N351" i="3" s="1"/>
  <c r="M351" i="3" a="1"/>
  <c r="M351" i="3" s="1"/>
  <c r="L351" i="3" a="1"/>
  <c r="L351" i="3" s="1"/>
  <c r="K351" i="3" a="1"/>
  <c r="K351" i="3" s="1"/>
  <c r="J351" i="3" a="1"/>
  <c r="J351" i="3" s="1"/>
  <c r="I351" i="3" a="1"/>
  <c r="I351" i="3" s="1"/>
  <c r="G351" i="3" a="1"/>
  <c r="G351" i="3" s="1"/>
  <c r="F351" i="3" a="1"/>
  <c r="F351" i="3" s="1"/>
  <c r="E351" i="3" a="1"/>
  <c r="E351" i="3" s="1"/>
  <c r="D351" i="3" a="1"/>
  <c r="D351" i="3" s="1"/>
  <c r="C351" i="3" a="1"/>
  <c r="C351" i="3" s="1"/>
  <c r="B351" i="3" a="1"/>
  <c r="B351" i="3" s="1"/>
  <c r="Z350" i="3" a="1"/>
  <c r="Z350" i="3" s="1"/>
  <c r="Y350" i="3" a="1"/>
  <c r="Y350" i="3" s="1"/>
  <c r="X350" i="3" a="1"/>
  <c r="X350" i="3" s="1"/>
  <c r="W350" i="3" a="1"/>
  <c r="W350" i="3" s="1"/>
  <c r="V350" i="3" a="1"/>
  <c r="V350" i="3" s="1"/>
  <c r="U350" i="3" a="1"/>
  <c r="U350" i="3" s="1"/>
  <c r="T350" i="3" a="1"/>
  <c r="T350" i="3" s="1"/>
  <c r="S350" i="3" a="1"/>
  <c r="S350" i="3" s="1"/>
  <c r="R350" i="3" a="1"/>
  <c r="R350" i="3" s="1"/>
  <c r="Q350" i="3" a="1"/>
  <c r="Q350" i="3" s="1"/>
  <c r="P350" i="3" a="1"/>
  <c r="P350" i="3" s="1"/>
  <c r="O350" i="3" a="1"/>
  <c r="O350" i="3" s="1"/>
  <c r="N350" i="3" a="1"/>
  <c r="N350" i="3" s="1"/>
  <c r="M350" i="3" a="1"/>
  <c r="M350" i="3" s="1"/>
  <c r="L350" i="3" a="1"/>
  <c r="L350" i="3" s="1"/>
  <c r="K350" i="3" a="1"/>
  <c r="K350" i="3" s="1"/>
  <c r="J350" i="3" a="1"/>
  <c r="J350" i="3" s="1"/>
  <c r="I350" i="3" a="1"/>
  <c r="I350" i="3" s="1"/>
  <c r="G350" i="3" a="1"/>
  <c r="G350" i="3" s="1"/>
  <c r="F350" i="3" a="1"/>
  <c r="F350" i="3" s="1"/>
  <c r="E350" i="3" a="1"/>
  <c r="E350" i="3" s="1"/>
  <c r="D350" i="3" a="1"/>
  <c r="D350" i="3" s="1"/>
  <c r="C350" i="3" a="1"/>
  <c r="C350" i="3" s="1"/>
  <c r="B350" i="3" a="1"/>
  <c r="B350" i="3" s="1"/>
  <c r="Q346" i="3" a="1"/>
  <c r="Q346" i="3" s="1"/>
  <c r="P346" i="3" a="1"/>
  <c r="P346" i="3" s="1"/>
  <c r="O346" i="3" a="1"/>
  <c r="O346" i="3" s="1"/>
  <c r="N346" i="3" a="1"/>
  <c r="N346" i="3" s="1"/>
  <c r="M346" i="3" a="1"/>
  <c r="M346" i="3" s="1"/>
  <c r="L346" i="3" a="1"/>
  <c r="L346" i="3" s="1"/>
  <c r="K346" i="3" a="1"/>
  <c r="K346" i="3" s="1"/>
  <c r="J346" i="3" a="1"/>
  <c r="J346" i="3" s="1"/>
  <c r="I346" i="3" a="1"/>
  <c r="I346" i="3" s="1"/>
  <c r="G346" i="3" a="1"/>
  <c r="G346" i="3" s="1"/>
  <c r="F346" i="3" a="1"/>
  <c r="F346" i="3" s="1"/>
  <c r="E346" i="3" a="1"/>
  <c r="E346" i="3" s="1"/>
  <c r="D346" i="3" a="1"/>
  <c r="D346" i="3" s="1"/>
  <c r="C346" i="3" a="1"/>
  <c r="C346" i="3" s="1"/>
  <c r="B346" i="3" a="1"/>
  <c r="B346" i="3" s="1"/>
  <c r="Q345" i="3" a="1"/>
  <c r="Q345" i="3" s="1"/>
  <c r="P345" i="3" a="1"/>
  <c r="P345" i="3" s="1"/>
  <c r="O345" i="3" a="1"/>
  <c r="O345" i="3" s="1"/>
  <c r="N345" i="3" a="1"/>
  <c r="N345" i="3" s="1"/>
  <c r="M345" i="3" a="1"/>
  <c r="M345" i="3" s="1"/>
  <c r="L345" i="3" a="1"/>
  <c r="L345" i="3" s="1"/>
  <c r="K345" i="3" a="1"/>
  <c r="K345" i="3" s="1"/>
  <c r="J345" i="3" a="1"/>
  <c r="J345" i="3" s="1"/>
  <c r="I345" i="3" a="1"/>
  <c r="I345" i="3" s="1"/>
  <c r="G345" i="3" a="1"/>
  <c r="G345" i="3" s="1"/>
  <c r="F345" i="3" a="1"/>
  <c r="F345" i="3" s="1"/>
  <c r="E345" i="3" a="1"/>
  <c r="E345" i="3" s="1"/>
  <c r="D345" i="3" a="1"/>
  <c r="D345" i="3" s="1"/>
  <c r="C345" i="3" a="1"/>
  <c r="C345" i="3" s="1"/>
  <c r="B345" i="3" a="1"/>
  <c r="B345" i="3" s="1"/>
  <c r="T344" i="3" a="1"/>
  <c r="T344" i="3" s="1"/>
  <c r="Q344" i="3" a="1"/>
  <c r="Q344" i="3" s="1"/>
  <c r="P344" i="3" a="1"/>
  <c r="P344" i="3" s="1"/>
  <c r="O344" i="3" a="1"/>
  <c r="O344" i="3" s="1"/>
  <c r="N344" i="3" a="1"/>
  <c r="N344" i="3" s="1"/>
  <c r="M344" i="3" a="1"/>
  <c r="M344" i="3" s="1"/>
  <c r="L344" i="3" a="1"/>
  <c r="L344" i="3" s="1"/>
  <c r="K344" i="3" a="1"/>
  <c r="K344" i="3" s="1"/>
  <c r="J344" i="3" a="1"/>
  <c r="J344" i="3" s="1"/>
  <c r="I344" i="3" a="1"/>
  <c r="I344" i="3" s="1"/>
  <c r="G344" i="3" a="1"/>
  <c r="G344" i="3" s="1"/>
  <c r="F344" i="3" a="1"/>
  <c r="F344" i="3" s="1"/>
  <c r="E344" i="3" a="1"/>
  <c r="E344" i="3" s="1"/>
  <c r="D344" i="3" a="1"/>
  <c r="D344" i="3" s="1"/>
  <c r="C344" i="3" a="1"/>
  <c r="C344" i="3" s="1"/>
  <c r="B344" i="3" a="1"/>
  <c r="B344" i="3" s="1"/>
  <c r="Z340" i="3" a="1"/>
  <c r="Z340" i="3" s="1"/>
  <c r="Y340" i="3" a="1"/>
  <c r="Y340" i="3" s="1"/>
  <c r="X340" i="3" a="1"/>
  <c r="X340" i="3" s="1"/>
  <c r="W340" i="3" a="1"/>
  <c r="W340" i="3" s="1"/>
  <c r="V340" i="3" a="1"/>
  <c r="V340" i="3" s="1"/>
  <c r="U340" i="3" a="1"/>
  <c r="U340" i="3" s="1"/>
  <c r="T340" i="3" a="1"/>
  <c r="T340" i="3" s="1"/>
  <c r="S340" i="3" a="1"/>
  <c r="S340" i="3" s="1"/>
  <c r="R340" i="3" a="1"/>
  <c r="R340" i="3" s="1"/>
  <c r="Q340" i="3" a="1"/>
  <c r="Q340" i="3" s="1"/>
  <c r="P340" i="3" a="1"/>
  <c r="P340" i="3" s="1"/>
  <c r="O340" i="3" a="1"/>
  <c r="O340" i="3" s="1"/>
  <c r="N340" i="3" a="1"/>
  <c r="N340" i="3" s="1"/>
  <c r="M340" i="3" a="1"/>
  <c r="M340" i="3" s="1"/>
  <c r="L340" i="3" a="1"/>
  <c r="L340" i="3" s="1"/>
  <c r="K340" i="3" a="1"/>
  <c r="K340" i="3" s="1"/>
  <c r="J340" i="3" a="1"/>
  <c r="J340" i="3" s="1"/>
  <c r="I340" i="3" a="1"/>
  <c r="I340" i="3" s="1"/>
  <c r="G340" i="3" a="1"/>
  <c r="G340" i="3" s="1"/>
  <c r="F340" i="3" a="1"/>
  <c r="F340" i="3" s="1"/>
  <c r="E340" i="3" a="1"/>
  <c r="E340" i="3" s="1"/>
  <c r="D340" i="3" a="1"/>
  <c r="D340" i="3" s="1"/>
  <c r="C340" i="3" a="1"/>
  <c r="C340" i="3" s="1"/>
  <c r="B340" i="3" a="1"/>
  <c r="B340" i="3" s="1"/>
  <c r="Z339" i="3" a="1"/>
  <c r="Z339" i="3" s="1"/>
  <c r="Y339" i="3" a="1"/>
  <c r="Y339" i="3" s="1"/>
  <c r="X339" i="3" a="1"/>
  <c r="X339" i="3" s="1"/>
  <c r="W339" i="3" a="1"/>
  <c r="W339" i="3" s="1"/>
  <c r="V339" i="3" a="1"/>
  <c r="V339" i="3" s="1"/>
  <c r="U339" i="3" a="1"/>
  <c r="U339" i="3" s="1"/>
  <c r="T339" i="3" a="1"/>
  <c r="T339" i="3" s="1"/>
  <c r="S339" i="3" a="1"/>
  <c r="S339" i="3" s="1"/>
  <c r="R339" i="3" a="1"/>
  <c r="R339" i="3" s="1"/>
  <c r="Q339" i="3" a="1"/>
  <c r="Q339" i="3" s="1"/>
  <c r="P339" i="3" a="1"/>
  <c r="P339" i="3" s="1"/>
  <c r="O339" i="3" a="1"/>
  <c r="O339" i="3" s="1"/>
  <c r="N339" i="3" a="1"/>
  <c r="N339" i="3" s="1"/>
  <c r="M339" i="3" a="1"/>
  <c r="M339" i="3" s="1"/>
  <c r="L339" i="3" a="1"/>
  <c r="L339" i="3" s="1"/>
  <c r="K339" i="3" a="1"/>
  <c r="K339" i="3" s="1"/>
  <c r="J339" i="3" a="1"/>
  <c r="J339" i="3" s="1"/>
  <c r="I339" i="3" a="1"/>
  <c r="I339" i="3" s="1"/>
  <c r="G339" i="3" a="1"/>
  <c r="G339" i="3" s="1"/>
  <c r="F339" i="3" a="1"/>
  <c r="F339" i="3" s="1"/>
  <c r="E339" i="3" a="1"/>
  <c r="E339" i="3" s="1"/>
  <c r="D339" i="3" a="1"/>
  <c r="D339" i="3" s="1"/>
  <c r="C339" i="3" a="1"/>
  <c r="C339" i="3" s="1"/>
  <c r="B339" i="3" a="1"/>
  <c r="B339" i="3" s="1"/>
  <c r="Z338" i="3" a="1"/>
  <c r="Z338" i="3" s="1"/>
  <c r="Y338" i="3" a="1"/>
  <c r="Y338" i="3" s="1"/>
  <c r="X338" i="3" a="1"/>
  <c r="X338" i="3" s="1"/>
  <c r="W338" i="3" a="1"/>
  <c r="W338" i="3" s="1"/>
  <c r="V338" i="3" a="1"/>
  <c r="V338" i="3" s="1"/>
  <c r="U338" i="3" a="1"/>
  <c r="U338" i="3" s="1"/>
  <c r="T338" i="3" a="1"/>
  <c r="T338" i="3" s="1"/>
  <c r="S338" i="3" a="1"/>
  <c r="S338" i="3" s="1"/>
  <c r="R338" i="3" a="1"/>
  <c r="R338" i="3" s="1"/>
  <c r="Q338" i="3" a="1"/>
  <c r="Q338" i="3" s="1"/>
  <c r="P338" i="3" a="1"/>
  <c r="P338" i="3" s="1"/>
  <c r="O338" i="3" a="1"/>
  <c r="O338" i="3" s="1"/>
  <c r="N338" i="3" a="1"/>
  <c r="N338" i="3" s="1"/>
  <c r="M338" i="3" a="1"/>
  <c r="M338" i="3" s="1"/>
  <c r="L338" i="3" a="1"/>
  <c r="L338" i="3" s="1"/>
  <c r="K338" i="3" a="1"/>
  <c r="K338" i="3" s="1"/>
  <c r="J338" i="3" a="1"/>
  <c r="J338" i="3" s="1"/>
  <c r="I338" i="3" a="1"/>
  <c r="I338" i="3" s="1"/>
  <c r="G338" i="3" a="1"/>
  <c r="G338" i="3" s="1"/>
  <c r="F338" i="3" a="1"/>
  <c r="F338" i="3" s="1"/>
  <c r="E338" i="3" a="1"/>
  <c r="E338" i="3" s="1"/>
  <c r="D338" i="3" a="1"/>
  <c r="D338" i="3" s="1"/>
  <c r="C338" i="3" a="1"/>
  <c r="C338" i="3" s="1"/>
  <c r="B338" i="3" a="1"/>
  <c r="B338" i="3" s="1"/>
  <c r="Z337" i="3" a="1"/>
  <c r="Z337" i="3" s="1"/>
  <c r="Y337" i="3" a="1"/>
  <c r="Y337" i="3" s="1"/>
  <c r="X337" i="3" a="1"/>
  <c r="X337" i="3" s="1"/>
  <c r="W337" i="3" a="1"/>
  <c r="W337" i="3" s="1"/>
  <c r="V337" i="3" a="1"/>
  <c r="V337" i="3" s="1"/>
  <c r="U337" i="3" a="1"/>
  <c r="U337" i="3" s="1"/>
  <c r="T337" i="3" a="1"/>
  <c r="T337" i="3" s="1"/>
  <c r="S337" i="3" a="1"/>
  <c r="S337" i="3" s="1"/>
  <c r="R337" i="3" a="1"/>
  <c r="R337" i="3" s="1"/>
  <c r="Q337" i="3" a="1"/>
  <c r="Q337" i="3" s="1"/>
  <c r="P337" i="3" a="1"/>
  <c r="P337" i="3" s="1"/>
  <c r="O337" i="3" a="1"/>
  <c r="O337" i="3" s="1"/>
  <c r="N337" i="3" a="1"/>
  <c r="N337" i="3" s="1"/>
  <c r="M337" i="3" a="1"/>
  <c r="M337" i="3" s="1"/>
  <c r="L337" i="3" a="1"/>
  <c r="L337" i="3" s="1"/>
  <c r="K337" i="3" a="1"/>
  <c r="K337" i="3" s="1"/>
  <c r="J337" i="3" a="1"/>
  <c r="J337" i="3" s="1"/>
  <c r="I337" i="3" a="1"/>
  <c r="I337" i="3" s="1"/>
  <c r="G337" i="3" a="1"/>
  <c r="G337" i="3" s="1"/>
  <c r="F337" i="3" a="1"/>
  <c r="F337" i="3" s="1"/>
  <c r="E337" i="3" a="1"/>
  <c r="E337" i="3" s="1"/>
  <c r="D337" i="3" a="1"/>
  <c r="D337" i="3" s="1"/>
  <c r="C337" i="3" a="1"/>
  <c r="C337" i="3" s="1"/>
  <c r="B337" i="3" a="1"/>
  <c r="B337" i="3" s="1"/>
  <c r="Z336" i="3" a="1"/>
  <c r="Z336" i="3" s="1"/>
  <c r="Y336" i="3" a="1"/>
  <c r="Y336" i="3" s="1"/>
  <c r="X336" i="3" a="1"/>
  <c r="X336" i="3" s="1"/>
  <c r="W336" i="3" a="1"/>
  <c r="W336" i="3" s="1"/>
  <c r="V336" i="3" a="1"/>
  <c r="V336" i="3" s="1"/>
  <c r="U336" i="3" a="1"/>
  <c r="U336" i="3" s="1"/>
  <c r="T336" i="3" a="1"/>
  <c r="T336" i="3" s="1"/>
  <c r="S336" i="3" a="1"/>
  <c r="S336" i="3" s="1"/>
  <c r="R336" i="3" a="1"/>
  <c r="R336" i="3" s="1"/>
  <c r="Q336" i="3" a="1"/>
  <c r="Q336" i="3" s="1"/>
  <c r="P336" i="3" a="1"/>
  <c r="P336" i="3" s="1"/>
  <c r="O336" i="3" a="1"/>
  <c r="O336" i="3" s="1"/>
  <c r="N336" i="3" a="1"/>
  <c r="N336" i="3" s="1"/>
  <c r="M336" i="3" a="1"/>
  <c r="M336" i="3" s="1"/>
  <c r="L336" i="3" a="1"/>
  <c r="L336" i="3" s="1"/>
  <c r="K336" i="3" a="1"/>
  <c r="K336" i="3" s="1"/>
  <c r="J336" i="3" a="1"/>
  <c r="J336" i="3" s="1"/>
  <c r="I336" i="3" a="1"/>
  <c r="I336" i="3" s="1"/>
  <c r="G336" i="3" a="1"/>
  <c r="G336" i="3" s="1"/>
  <c r="F336" i="3" a="1"/>
  <c r="F336" i="3" s="1"/>
  <c r="E336" i="3" a="1"/>
  <c r="E336" i="3" s="1"/>
  <c r="D336" i="3" a="1"/>
  <c r="D336" i="3" s="1"/>
  <c r="C336" i="3" a="1"/>
  <c r="C336" i="3" s="1"/>
  <c r="B336" i="3" a="1"/>
  <c r="B336" i="3" s="1"/>
  <c r="Z335" i="3" a="1"/>
  <c r="Z335" i="3" s="1"/>
  <c r="Y335" i="3" a="1"/>
  <c r="Y335" i="3" s="1"/>
  <c r="X335" i="3" a="1"/>
  <c r="X335" i="3" s="1"/>
  <c r="W335" i="3" a="1"/>
  <c r="W335" i="3" s="1"/>
  <c r="V335" i="3" a="1"/>
  <c r="V335" i="3" s="1"/>
  <c r="U335" i="3" a="1"/>
  <c r="U335" i="3" s="1"/>
  <c r="T335" i="3" a="1"/>
  <c r="T335" i="3" s="1"/>
  <c r="S335" i="3" a="1"/>
  <c r="S335" i="3" s="1"/>
  <c r="R335" i="3" a="1"/>
  <c r="R335" i="3" s="1"/>
  <c r="Q335" i="3" a="1"/>
  <c r="Q335" i="3" s="1"/>
  <c r="P335" i="3" a="1"/>
  <c r="P335" i="3" s="1"/>
  <c r="O335" i="3" a="1"/>
  <c r="O335" i="3" s="1"/>
  <c r="N335" i="3" a="1"/>
  <c r="N335" i="3" s="1"/>
  <c r="M335" i="3" a="1"/>
  <c r="M335" i="3" s="1"/>
  <c r="L335" i="3" a="1"/>
  <c r="L335" i="3" s="1"/>
  <c r="K335" i="3" a="1"/>
  <c r="K335" i="3" s="1"/>
  <c r="J335" i="3" a="1"/>
  <c r="J335" i="3" s="1"/>
  <c r="I335" i="3" a="1"/>
  <c r="I335" i="3" s="1"/>
  <c r="G335" i="3" a="1"/>
  <c r="G335" i="3" s="1"/>
  <c r="F335" i="3" a="1"/>
  <c r="F335" i="3" s="1"/>
  <c r="E335" i="3" a="1"/>
  <c r="E335" i="3" s="1"/>
  <c r="D335" i="3" a="1"/>
  <c r="D335" i="3" s="1"/>
  <c r="C335" i="3" a="1"/>
  <c r="C335" i="3" s="1"/>
  <c r="B335" i="3" a="1"/>
  <c r="B335" i="3" s="1"/>
  <c r="Z334" i="3" a="1"/>
  <c r="Z334" i="3" s="1"/>
  <c r="Y334" i="3" a="1"/>
  <c r="Y334" i="3" s="1"/>
  <c r="X334" i="3" a="1"/>
  <c r="X334" i="3" s="1"/>
  <c r="W334" i="3" a="1"/>
  <c r="W334" i="3" s="1"/>
  <c r="V334" i="3" a="1"/>
  <c r="V334" i="3" s="1"/>
  <c r="U334" i="3" a="1"/>
  <c r="U334" i="3" s="1"/>
  <c r="T334" i="3" a="1"/>
  <c r="T334" i="3" s="1"/>
  <c r="S334" i="3" a="1"/>
  <c r="S334" i="3" s="1"/>
  <c r="R334" i="3" a="1"/>
  <c r="R334" i="3" s="1"/>
  <c r="Q334" i="3" a="1"/>
  <c r="Q334" i="3" s="1"/>
  <c r="P334" i="3" a="1"/>
  <c r="P334" i="3" s="1"/>
  <c r="O334" i="3" a="1"/>
  <c r="O334" i="3" s="1"/>
  <c r="N334" i="3" a="1"/>
  <c r="N334" i="3" s="1"/>
  <c r="M334" i="3" a="1"/>
  <c r="M334" i="3" s="1"/>
  <c r="L334" i="3" a="1"/>
  <c r="L334" i="3" s="1"/>
  <c r="K334" i="3" a="1"/>
  <c r="K334" i="3" s="1"/>
  <c r="J334" i="3" a="1"/>
  <c r="J334" i="3" s="1"/>
  <c r="I334" i="3" a="1"/>
  <c r="I334" i="3" s="1"/>
  <c r="G334" i="3" a="1"/>
  <c r="G334" i="3" s="1"/>
  <c r="F334" i="3" a="1"/>
  <c r="F334" i="3" s="1"/>
  <c r="E334" i="3" a="1"/>
  <c r="E334" i="3" s="1"/>
  <c r="D334" i="3" a="1"/>
  <c r="D334" i="3" s="1"/>
  <c r="C334" i="3" a="1"/>
  <c r="C334" i="3" s="1"/>
  <c r="B334" i="3" a="1"/>
  <c r="B334" i="3" s="1"/>
  <c r="Z333" i="3" a="1"/>
  <c r="Z333" i="3" s="1"/>
  <c r="Y333" i="3" a="1"/>
  <c r="Y333" i="3" s="1"/>
  <c r="X333" i="3" a="1"/>
  <c r="X333" i="3" s="1"/>
  <c r="W333" i="3" a="1"/>
  <c r="W333" i="3" s="1"/>
  <c r="V333" i="3" a="1"/>
  <c r="V333" i="3" s="1"/>
  <c r="U333" i="3" a="1"/>
  <c r="U333" i="3" s="1"/>
  <c r="T333" i="3" a="1"/>
  <c r="T333" i="3" s="1"/>
  <c r="S333" i="3" a="1"/>
  <c r="S333" i="3" s="1"/>
  <c r="R333" i="3" a="1"/>
  <c r="R333" i="3" s="1"/>
  <c r="Q333" i="3" a="1"/>
  <c r="Q333" i="3" s="1"/>
  <c r="P333" i="3" a="1"/>
  <c r="P333" i="3" s="1"/>
  <c r="O333" i="3" a="1"/>
  <c r="O333" i="3" s="1"/>
  <c r="N333" i="3" a="1"/>
  <c r="N333" i="3" s="1"/>
  <c r="M333" i="3" a="1"/>
  <c r="M333" i="3" s="1"/>
  <c r="L333" i="3" a="1"/>
  <c r="L333" i="3" s="1"/>
  <c r="K333" i="3" a="1"/>
  <c r="K333" i="3" s="1"/>
  <c r="J333" i="3" a="1"/>
  <c r="J333" i="3" s="1"/>
  <c r="I333" i="3" a="1"/>
  <c r="I333" i="3" s="1"/>
  <c r="G333" i="3" a="1"/>
  <c r="G333" i="3" s="1"/>
  <c r="F333" i="3" a="1"/>
  <c r="F333" i="3" s="1"/>
  <c r="E333" i="3" a="1"/>
  <c r="E333" i="3" s="1"/>
  <c r="D333" i="3" a="1"/>
  <c r="D333" i="3" s="1"/>
  <c r="C333" i="3" a="1"/>
  <c r="C333" i="3" s="1"/>
  <c r="B333" i="3" a="1"/>
  <c r="B333" i="3" s="1"/>
  <c r="Z332" i="3" a="1"/>
  <c r="Z332" i="3" s="1"/>
  <c r="Y332" i="3" a="1"/>
  <c r="Y332" i="3" s="1"/>
  <c r="X332" i="3" a="1"/>
  <c r="X332" i="3" s="1"/>
  <c r="W332" i="3" a="1"/>
  <c r="W332" i="3" s="1"/>
  <c r="V332" i="3" a="1"/>
  <c r="V332" i="3" s="1"/>
  <c r="U332" i="3" a="1"/>
  <c r="U332" i="3" s="1"/>
  <c r="T332" i="3" a="1"/>
  <c r="T332" i="3" s="1"/>
  <c r="S332" i="3" a="1"/>
  <c r="S332" i="3" s="1"/>
  <c r="R332" i="3" a="1"/>
  <c r="R332" i="3" s="1"/>
  <c r="Q332" i="3" a="1"/>
  <c r="Q332" i="3" s="1"/>
  <c r="P332" i="3" a="1"/>
  <c r="P332" i="3" s="1"/>
  <c r="O332" i="3" a="1"/>
  <c r="O332" i="3" s="1"/>
  <c r="N332" i="3" a="1"/>
  <c r="N332" i="3" s="1"/>
  <c r="M332" i="3" a="1"/>
  <c r="M332" i="3" s="1"/>
  <c r="L332" i="3" a="1"/>
  <c r="L332" i="3" s="1"/>
  <c r="K332" i="3" a="1"/>
  <c r="K332" i="3" s="1"/>
  <c r="J332" i="3" a="1"/>
  <c r="J332" i="3" s="1"/>
  <c r="I332" i="3" a="1"/>
  <c r="I332" i="3" s="1"/>
  <c r="G332" i="3" a="1"/>
  <c r="G332" i="3" s="1"/>
  <c r="F332" i="3" a="1"/>
  <c r="F332" i="3" s="1"/>
  <c r="E332" i="3" a="1"/>
  <c r="E332" i="3" s="1"/>
  <c r="D332" i="3" a="1"/>
  <c r="D332" i="3" s="1"/>
  <c r="C332" i="3" a="1"/>
  <c r="C332" i="3" s="1"/>
  <c r="B332" i="3" a="1"/>
  <c r="B332" i="3" s="1"/>
  <c r="Z331" i="3" a="1"/>
  <c r="Z331" i="3" s="1"/>
  <c r="Y331" i="3" a="1"/>
  <c r="Y331" i="3" s="1"/>
  <c r="X331" i="3" a="1"/>
  <c r="X331" i="3" s="1"/>
  <c r="W331" i="3" a="1"/>
  <c r="W331" i="3" s="1"/>
  <c r="V331" i="3" a="1"/>
  <c r="V331" i="3" s="1"/>
  <c r="U331" i="3" a="1"/>
  <c r="U331" i="3" s="1"/>
  <c r="T331" i="3" a="1"/>
  <c r="T331" i="3" s="1"/>
  <c r="S331" i="3" a="1"/>
  <c r="S331" i="3" s="1"/>
  <c r="R331" i="3" a="1"/>
  <c r="R331" i="3" s="1"/>
  <c r="Q331" i="3" a="1"/>
  <c r="Q331" i="3" s="1"/>
  <c r="P331" i="3" a="1"/>
  <c r="P331" i="3" s="1"/>
  <c r="O331" i="3" a="1"/>
  <c r="O331" i="3" s="1"/>
  <c r="N331" i="3" a="1"/>
  <c r="N331" i="3" s="1"/>
  <c r="M331" i="3" a="1"/>
  <c r="M331" i="3" s="1"/>
  <c r="L331" i="3" a="1"/>
  <c r="L331" i="3" s="1"/>
  <c r="K331" i="3" a="1"/>
  <c r="K331" i="3" s="1"/>
  <c r="J331" i="3" a="1"/>
  <c r="J331" i="3" s="1"/>
  <c r="I331" i="3" a="1"/>
  <c r="I331" i="3" s="1"/>
  <c r="G331" i="3" a="1"/>
  <c r="G331" i="3" s="1"/>
  <c r="F331" i="3" a="1"/>
  <c r="F331" i="3" s="1"/>
  <c r="E331" i="3" a="1"/>
  <c r="E331" i="3" s="1"/>
  <c r="D331" i="3" a="1"/>
  <c r="D331" i="3" s="1"/>
  <c r="C331" i="3" a="1"/>
  <c r="C331" i="3" s="1"/>
  <c r="B331" i="3" a="1"/>
  <c r="B331" i="3" s="1"/>
  <c r="Z330" i="3" a="1"/>
  <c r="Z330" i="3" s="1"/>
  <c r="Y330" i="3" a="1"/>
  <c r="Y330" i="3" s="1"/>
  <c r="X330" i="3" a="1"/>
  <c r="X330" i="3" s="1"/>
  <c r="W330" i="3" a="1"/>
  <c r="W330" i="3" s="1"/>
  <c r="V330" i="3" a="1"/>
  <c r="V330" i="3" s="1"/>
  <c r="U330" i="3" a="1"/>
  <c r="U330" i="3" s="1"/>
  <c r="T330" i="3" a="1"/>
  <c r="T330" i="3" s="1"/>
  <c r="S330" i="3" a="1"/>
  <c r="S330" i="3" s="1"/>
  <c r="R330" i="3" a="1"/>
  <c r="R330" i="3" s="1"/>
  <c r="Q330" i="3" a="1"/>
  <c r="Q330" i="3" s="1"/>
  <c r="P330" i="3" a="1"/>
  <c r="P330" i="3" s="1"/>
  <c r="O330" i="3" a="1"/>
  <c r="O330" i="3" s="1"/>
  <c r="N330" i="3" a="1"/>
  <c r="N330" i="3" s="1"/>
  <c r="M330" i="3" a="1"/>
  <c r="M330" i="3" s="1"/>
  <c r="L330" i="3" a="1"/>
  <c r="L330" i="3" s="1"/>
  <c r="K330" i="3" a="1"/>
  <c r="K330" i="3" s="1"/>
  <c r="J330" i="3" a="1"/>
  <c r="J330" i="3" s="1"/>
  <c r="I330" i="3" a="1"/>
  <c r="I330" i="3" s="1"/>
  <c r="G330" i="3" a="1"/>
  <c r="G330" i="3" s="1"/>
  <c r="F330" i="3" a="1"/>
  <c r="F330" i="3" s="1"/>
  <c r="E330" i="3" a="1"/>
  <c r="E330" i="3" s="1"/>
  <c r="D330" i="3" a="1"/>
  <c r="D330" i="3" s="1"/>
  <c r="C330" i="3" a="1"/>
  <c r="C330" i="3" s="1"/>
  <c r="B330" i="3" a="1"/>
  <c r="B330" i="3" s="1"/>
  <c r="Z329" i="3" a="1"/>
  <c r="Z329" i="3" s="1"/>
  <c r="Y329" i="3" a="1"/>
  <c r="Y329" i="3" s="1"/>
  <c r="X329" i="3" a="1"/>
  <c r="X329" i="3" s="1"/>
  <c r="W329" i="3" a="1"/>
  <c r="W329" i="3" s="1"/>
  <c r="V329" i="3" a="1"/>
  <c r="V329" i="3" s="1"/>
  <c r="U329" i="3" a="1"/>
  <c r="U329" i="3" s="1"/>
  <c r="T329" i="3" a="1"/>
  <c r="T329" i="3" s="1"/>
  <c r="S329" i="3" a="1"/>
  <c r="S329" i="3" s="1"/>
  <c r="R329" i="3" a="1"/>
  <c r="R329" i="3" s="1"/>
  <c r="Q329" i="3" a="1"/>
  <c r="Q329" i="3" s="1"/>
  <c r="P329" i="3" a="1"/>
  <c r="P329" i="3" s="1"/>
  <c r="O329" i="3" a="1"/>
  <c r="O329" i="3" s="1"/>
  <c r="N329" i="3" a="1"/>
  <c r="N329" i="3" s="1"/>
  <c r="M329" i="3" a="1"/>
  <c r="M329" i="3" s="1"/>
  <c r="L329" i="3" a="1"/>
  <c r="L329" i="3" s="1"/>
  <c r="K329" i="3" a="1"/>
  <c r="K329" i="3" s="1"/>
  <c r="J329" i="3" a="1"/>
  <c r="J329" i="3" s="1"/>
  <c r="I329" i="3" a="1"/>
  <c r="I329" i="3" s="1"/>
  <c r="G329" i="3" a="1"/>
  <c r="G329" i="3" s="1"/>
  <c r="F329" i="3" a="1"/>
  <c r="F329" i="3" s="1"/>
  <c r="E329" i="3" a="1"/>
  <c r="E329" i="3" s="1"/>
  <c r="D329" i="3" a="1"/>
  <c r="D329" i="3" s="1"/>
  <c r="C329" i="3" a="1"/>
  <c r="C329" i="3" s="1"/>
  <c r="B329" i="3" a="1"/>
  <c r="B329" i="3" s="1"/>
  <c r="Z328" i="3" a="1"/>
  <c r="Z328" i="3" s="1"/>
  <c r="Y328" i="3" a="1"/>
  <c r="Y328" i="3" s="1"/>
  <c r="X328" i="3" a="1"/>
  <c r="X328" i="3" s="1"/>
  <c r="W328" i="3" a="1"/>
  <c r="W328" i="3" s="1"/>
  <c r="V328" i="3" a="1"/>
  <c r="V328" i="3" s="1"/>
  <c r="U328" i="3" a="1"/>
  <c r="U328" i="3" s="1"/>
  <c r="T328" i="3" a="1"/>
  <c r="T328" i="3" s="1"/>
  <c r="S328" i="3" a="1"/>
  <c r="S328" i="3" s="1"/>
  <c r="R328" i="3" a="1"/>
  <c r="R328" i="3" s="1"/>
  <c r="Q328" i="3" a="1"/>
  <c r="Q328" i="3" s="1"/>
  <c r="P328" i="3" a="1"/>
  <c r="P328" i="3" s="1"/>
  <c r="O328" i="3" a="1"/>
  <c r="O328" i="3" s="1"/>
  <c r="N328" i="3" a="1"/>
  <c r="N328" i="3" s="1"/>
  <c r="M328" i="3" a="1"/>
  <c r="M328" i="3" s="1"/>
  <c r="L328" i="3" a="1"/>
  <c r="L328" i="3" s="1"/>
  <c r="K328" i="3" a="1"/>
  <c r="K328" i="3" s="1"/>
  <c r="J328" i="3" a="1"/>
  <c r="J328" i="3" s="1"/>
  <c r="I328" i="3" a="1"/>
  <c r="I328" i="3" s="1"/>
  <c r="G328" i="3" a="1"/>
  <c r="G328" i="3" s="1"/>
  <c r="F328" i="3" a="1"/>
  <c r="F328" i="3" s="1"/>
  <c r="E328" i="3" a="1"/>
  <c r="E328" i="3" s="1"/>
  <c r="D328" i="3" a="1"/>
  <c r="D328" i="3" s="1"/>
  <c r="C328" i="3" a="1"/>
  <c r="C328" i="3" s="1"/>
  <c r="B328" i="3" a="1"/>
  <c r="B328" i="3" s="1"/>
  <c r="Z327" i="3" a="1"/>
  <c r="Z327" i="3" s="1"/>
  <c r="Y327" i="3" a="1"/>
  <c r="Y327" i="3" s="1"/>
  <c r="X327" i="3" a="1"/>
  <c r="X327" i="3" s="1"/>
  <c r="W327" i="3" a="1"/>
  <c r="W327" i="3" s="1"/>
  <c r="V327" i="3" a="1"/>
  <c r="V327" i="3" s="1"/>
  <c r="U327" i="3" a="1"/>
  <c r="U327" i="3" s="1"/>
  <c r="T327" i="3" a="1"/>
  <c r="T327" i="3" s="1"/>
  <c r="S327" i="3" a="1"/>
  <c r="S327" i="3" s="1"/>
  <c r="R327" i="3" a="1"/>
  <c r="R327" i="3" s="1"/>
  <c r="Q327" i="3" a="1"/>
  <c r="Q327" i="3" s="1"/>
  <c r="P327" i="3" a="1"/>
  <c r="P327" i="3" s="1"/>
  <c r="O327" i="3" a="1"/>
  <c r="O327" i="3" s="1"/>
  <c r="N327" i="3" a="1"/>
  <c r="N327" i="3" s="1"/>
  <c r="M327" i="3" a="1"/>
  <c r="M327" i="3" s="1"/>
  <c r="L327" i="3" a="1"/>
  <c r="L327" i="3" s="1"/>
  <c r="K327" i="3" a="1"/>
  <c r="K327" i="3" s="1"/>
  <c r="J327" i="3" a="1"/>
  <c r="J327" i="3" s="1"/>
  <c r="I327" i="3" a="1"/>
  <c r="I327" i="3" s="1"/>
  <c r="G327" i="3" a="1"/>
  <c r="G327" i="3" s="1"/>
  <c r="F327" i="3" a="1"/>
  <c r="F327" i="3" s="1"/>
  <c r="E327" i="3" a="1"/>
  <c r="E327" i="3" s="1"/>
  <c r="D327" i="3" a="1"/>
  <c r="D327" i="3" s="1"/>
  <c r="C327" i="3" a="1"/>
  <c r="C327" i="3" s="1"/>
  <c r="B327" i="3" a="1"/>
  <c r="B327" i="3" s="1"/>
  <c r="Z326" i="3" a="1"/>
  <c r="Z326" i="3" s="1"/>
  <c r="Y326" i="3" a="1"/>
  <c r="Y326" i="3" s="1"/>
  <c r="X326" i="3" a="1"/>
  <c r="X326" i="3" s="1"/>
  <c r="W326" i="3" a="1"/>
  <c r="W326" i="3" s="1"/>
  <c r="V326" i="3" a="1"/>
  <c r="V326" i="3" s="1"/>
  <c r="U326" i="3" a="1"/>
  <c r="U326" i="3" s="1"/>
  <c r="T326" i="3" a="1"/>
  <c r="T326" i="3" s="1"/>
  <c r="S326" i="3" a="1"/>
  <c r="S326" i="3" s="1"/>
  <c r="R326" i="3" a="1"/>
  <c r="R326" i="3" s="1"/>
  <c r="Q326" i="3" a="1"/>
  <c r="Q326" i="3" s="1"/>
  <c r="P326" i="3" a="1"/>
  <c r="P326" i="3" s="1"/>
  <c r="O326" i="3" a="1"/>
  <c r="O326" i="3" s="1"/>
  <c r="N326" i="3" a="1"/>
  <c r="N326" i="3" s="1"/>
  <c r="M326" i="3" a="1"/>
  <c r="M326" i="3" s="1"/>
  <c r="L326" i="3" a="1"/>
  <c r="L326" i="3" s="1"/>
  <c r="K326" i="3" a="1"/>
  <c r="K326" i="3" s="1"/>
  <c r="J326" i="3" a="1"/>
  <c r="J326" i="3" s="1"/>
  <c r="I326" i="3" a="1"/>
  <c r="I326" i="3" s="1"/>
  <c r="G326" i="3" a="1"/>
  <c r="G326" i="3" s="1"/>
  <c r="F326" i="3" a="1"/>
  <c r="F326" i="3" s="1"/>
  <c r="E326" i="3" a="1"/>
  <c r="E326" i="3" s="1"/>
  <c r="D326" i="3" a="1"/>
  <c r="D326" i="3" s="1"/>
  <c r="C326" i="3" a="1"/>
  <c r="C326" i="3" s="1"/>
  <c r="B326" i="3" a="1"/>
  <c r="B326" i="3" s="1"/>
  <c r="Z325" i="3" a="1"/>
  <c r="Z325" i="3" s="1"/>
  <c r="Y325" i="3" a="1"/>
  <c r="Y325" i="3" s="1"/>
  <c r="X325" i="3" a="1"/>
  <c r="X325" i="3" s="1"/>
  <c r="W325" i="3" a="1"/>
  <c r="W325" i="3" s="1"/>
  <c r="V325" i="3" a="1"/>
  <c r="V325" i="3" s="1"/>
  <c r="U325" i="3" a="1"/>
  <c r="U325" i="3" s="1"/>
  <c r="T325" i="3" a="1"/>
  <c r="T325" i="3" s="1"/>
  <c r="S325" i="3" a="1"/>
  <c r="S325" i="3" s="1"/>
  <c r="R325" i="3" a="1"/>
  <c r="R325" i="3" s="1"/>
  <c r="Q325" i="3" a="1"/>
  <c r="Q325" i="3" s="1"/>
  <c r="P325" i="3" a="1"/>
  <c r="P325" i="3" s="1"/>
  <c r="O325" i="3" a="1"/>
  <c r="O325" i="3" s="1"/>
  <c r="N325" i="3" a="1"/>
  <c r="N325" i="3" s="1"/>
  <c r="M325" i="3" a="1"/>
  <c r="M325" i="3" s="1"/>
  <c r="L325" i="3" a="1"/>
  <c r="L325" i="3" s="1"/>
  <c r="K325" i="3" a="1"/>
  <c r="K325" i="3" s="1"/>
  <c r="J325" i="3" a="1"/>
  <c r="J325" i="3" s="1"/>
  <c r="I325" i="3" a="1"/>
  <c r="I325" i="3" s="1"/>
  <c r="G325" i="3" a="1"/>
  <c r="G325" i="3" s="1"/>
  <c r="F325" i="3" a="1"/>
  <c r="F325" i="3" s="1"/>
  <c r="E325" i="3" a="1"/>
  <c r="E325" i="3" s="1"/>
  <c r="D325" i="3" a="1"/>
  <c r="D325" i="3" s="1"/>
  <c r="C325" i="3" a="1"/>
  <c r="C325" i="3" s="1"/>
  <c r="B325" i="3" a="1"/>
  <c r="B325" i="3" s="1"/>
  <c r="Z324" i="3" a="1"/>
  <c r="Z324" i="3" s="1"/>
  <c r="Y324" i="3" a="1"/>
  <c r="Y324" i="3" s="1"/>
  <c r="X324" i="3" a="1"/>
  <c r="X324" i="3" s="1"/>
  <c r="W324" i="3" a="1"/>
  <c r="W324" i="3" s="1"/>
  <c r="V324" i="3" a="1"/>
  <c r="V324" i="3" s="1"/>
  <c r="U324" i="3" a="1"/>
  <c r="U324" i="3" s="1"/>
  <c r="T324" i="3" a="1"/>
  <c r="T324" i="3" s="1"/>
  <c r="S324" i="3" a="1"/>
  <c r="S324" i="3" s="1"/>
  <c r="R324" i="3" a="1"/>
  <c r="R324" i="3" s="1"/>
  <c r="Q324" i="3" a="1"/>
  <c r="Q324" i="3" s="1"/>
  <c r="P324" i="3" a="1"/>
  <c r="P324" i="3" s="1"/>
  <c r="O324" i="3" a="1"/>
  <c r="O324" i="3" s="1"/>
  <c r="N324" i="3" a="1"/>
  <c r="N324" i="3" s="1"/>
  <c r="M324" i="3" a="1"/>
  <c r="M324" i="3" s="1"/>
  <c r="L324" i="3" a="1"/>
  <c r="L324" i="3" s="1"/>
  <c r="K324" i="3" a="1"/>
  <c r="K324" i="3" s="1"/>
  <c r="J324" i="3" a="1"/>
  <c r="J324" i="3" s="1"/>
  <c r="I324" i="3" a="1"/>
  <c r="I324" i="3" s="1"/>
  <c r="G324" i="3" a="1"/>
  <c r="G324" i="3" s="1"/>
  <c r="F324" i="3" a="1"/>
  <c r="F324" i="3" s="1"/>
  <c r="E324" i="3" a="1"/>
  <c r="E324" i="3" s="1"/>
  <c r="D324" i="3" a="1"/>
  <c r="D324" i="3" s="1"/>
  <c r="C324" i="3" a="1"/>
  <c r="C324" i="3" s="1"/>
  <c r="B324" i="3" a="1"/>
  <c r="B324" i="3" s="1"/>
  <c r="Z323" i="3" a="1"/>
  <c r="Z323" i="3" s="1"/>
  <c r="Y323" i="3" a="1"/>
  <c r="Y323" i="3" s="1"/>
  <c r="X323" i="3" a="1"/>
  <c r="X323" i="3" s="1"/>
  <c r="W323" i="3" a="1"/>
  <c r="W323" i="3" s="1"/>
  <c r="V323" i="3" a="1"/>
  <c r="V323" i="3" s="1"/>
  <c r="U323" i="3" a="1"/>
  <c r="U323" i="3" s="1"/>
  <c r="T323" i="3" a="1"/>
  <c r="T323" i="3" s="1"/>
  <c r="S323" i="3" a="1"/>
  <c r="S323" i="3" s="1"/>
  <c r="R323" i="3" a="1"/>
  <c r="R323" i="3" s="1"/>
  <c r="Q323" i="3" a="1"/>
  <c r="Q323" i="3" s="1"/>
  <c r="P323" i="3" a="1"/>
  <c r="P323" i="3" s="1"/>
  <c r="O323" i="3" a="1"/>
  <c r="O323" i="3" s="1"/>
  <c r="N323" i="3" a="1"/>
  <c r="N323" i="3" s="1"/>
  <c r="M323" i="3" a="1"/>
  <c r="M323" i="3" s="1"/>
  <c r="L323" i="3" a="1"/>
  <c r="L323" i="3" s="1"/>
  <c r="K323" i="3" a="1"/>
  <c r="K323" i="3" s="1"/>
  <c r="J323" i="3" a="1"/>
  <c r="J323" i="3" s="1"/>
  <c r="I323" i="3" a="1"/>
  <c r="I323" i="3" s="1"/>
  <c r="G323" i="3" a="1"/>
  <c r="G323" i="3" s="1"/>
  <c r="F323" i="3" a="1"/>
  <c r="F323" i="3" s="1"/>
  <c r="E323" i="3" a="1"/>
  <c r="E323" i="3" s="1"/>
  <c r="D323" i="3" a="1"/>
  <c r="D323" i="3" s="1"/>
  <c r="C323" i="3" a="1"/>
  <c r="C323" i="3" s="1"/>
  <c r="B323" i="3" a="1"/>
  <c r="B323" i="3" s="1"/>
  <c r="Z322" i="3" a="1"/>
  <c r="Z322" i="3" s="1"/>
  <c r="Y322" i="3" a="1"/>
  <c r="Y322" i="3" s="1"/>
  <c r="X322" i="3" a="1"/>
  <c r="X322" i="3" s="1"/>
  <c r="W322" i="3" a="1"/>
  <c r="W322" i="3" s="1"/>
  <c r="V322" i="3" a="1"/>
  <c r="V322" i="3" s="1"/>
  <c r="U322" i="3" a="1"/>
  <c r="U322" i="3" s="1"/>
  <c r="T322" i="3" a="1"/>
  <c r="T322" i="3" s="1"/>
  <c r="S322" i="3" a="1"/>
  <c r="S322" i="3" s="1"/>
  <c r="R322" i="3" a="1"/>
  <c r="R322" i="3" s="1"/>
  <c r="Q322" i="3" a="1"/>
  <c r="Q322" i="3" s="1"/>
  <c r="P322" i="3" a="1"/>
  <c r="P322" i="3" s="1"/>
  <c r="O322" i="3" a="1"/>
  <c r="O322" i="3" s="1"/>
  <c r="N322" i="3" a="1"/>
  <c r="N322" i="3" s="1"/>
  <c r="M322" i="3" a="1"/>
  <c r="M322" i="3" s="1"/>
  <c r="L322" i="3" a="1"/>
  <c r="L322" i="3" s="1"/>
  <c r="K322" i="3" a="1"/>
  <c r="K322" i="3" s="1"/>
  <c r="J322" i="3" a="1"/>
  <c r="J322" i="3" s="1"/>
  <c r="I322" i="3" a="1"/>
  <c r="I322" i="3" s="1"/>
  <c r="G322" i="3" a="1"/>
  <c r="G322" i="3" s="1"/>
  <c r="F322" i="3" a="1"/>
  <c r="F322" i="3" s="1"/>
  <c r="E322" i="3" a="1"/>
  <c r="E322" i="3" s="1"/>
  <c r="D322" i="3" a="1"/>
  <c r="D322" i="3" s="1"/>
  <c r="C322" i="3" a="1"/>
  <c r="C322" i="3" s="1"/>
  <c r="B322" i="3" a="1"/>
  <c r="B322" i="3" s="1"/>
  <c r="Z321" i="3" a="1"/>
  <c r="Z321" i="3" s="1"/>
  <c r="Y321" i="3" a="1"/>
  <c r="Y321" i="3" s="1"/>
  <c r="X321" i="3" a="1"/>
  <c r="X321" i="3" s="1"/>
  <c r="W321" i="3" a="1"/>
  <c r="W321" i="3" s="1"/>
  <c r="V321" i="3" a="1"/>
  <c r="V321" i="3" s="1"/>
  <c r="U321" i="3" a="1"/>
  <c r="U321" i="3" s="1"/>
  <c r="T321" i="3" a="1"/>
  <c r="T321" i="3" s="1"/>
  <c r="S321" i="3" a="1"/>
  <c r="S321" i="3" s="1"/>
  <c r="R321" i="3" a="1"/>
  <c r="R321" i="3" s="1"/>
  <c r="Q321" i="3" a="1"/>
  <c r="Q321" i="3" s="1"/>
  <c r="P321" i="3" a="1"/>
  <c r="P321" i="3" s="1"/>
  <c r="O321" i="3" a="1"/>
  <c r="O321" i="3" s="1"/>
  <c r="N321" i="3" a="1"/>
  <c r="N321" i="3" s="1"/>
  <c r="M321" i="3" a="1"/>
  <c r="M321" i="3" s="1"/>
  <c r="L321" i="3" a="1"/>
  <c r="L321" i="3" s="1"/>
  <c r="K321" i="3" a="1"/>
  <c r="K321" i="3" s="1"/>
  <c r="J321" i="3" a="1"/>
  <c r="J321" i="3" s="1"/>
  <c r="I321" i="3" a="1"/>
  <c r="I321" i="3" s="1"/>
  <c r="G321" i="3" a="1"/>
  <c r="G321" i="3" s="1"/>
  <c r="F321" i="3" a="1"/>
  <c r="F321" i="3" s="1"/>
  <c r="E321" i="3" a="1"/>
  <c r="E321" i="3" s="1"/>
  <c r="D321" i="3" a="1"/>
  <c r="D321" i="3" s="1"/>
  <c r="C321" i="3" a="1"/>
  <c r="C321" i="3" s="1"/>
  <c r="B321" i="3" a="1"/>
  <c r="B321" i="3" s="1"/>
  <c r="Q317" i="3" a="1"/>
  <c r="Q317" i="3" s="1"/>
  <c r="P317" i="3" a="1"/>
  <c r="P317" i="3" s="1"/>
  <c r="O317" i="3" a="1"/>
  <c r="O317" i="3" s="1"/>
  <c r="N317" i="3" a="1"/>
  <c r="N317" i="3" s="1"/>
  <c r="M317" i="3" a="1"/>
  <c r="M317" i="3" s="1"/>
  <c r="L317" i="3" a="1"/>
  <c r="L317" i="3" s="1"/>
  <c r="K317" i="3" a="1"/>
  <c r="K317" i="3" s="1"/>
  <c r="J317" i="3" a="1"/>
  <c r="J317" i="3" s="1"/>
  <c r="I317" i="3" a="1"/>
  <c r="I317" i="3" s="1"/>
  <c r="G317" i="3" a="1"/>
  <c r="G317" i="3" s="1"/>
  <c r="F317" i="3" a="1"/>
  <c r="F317" i="3" s="1"/>
  <c r="E317" i="3" a="1"/>
  <c r="E317" i="3" s="1"/>
  <c r="D317" i="3" a="1"/>
  <c r="D317" i="3" s="1"/>
  <c r="C317" i="3" a="1"/>
  <c r="C317" i="3" s="1"/>
  <c r="B317" i="3" a="1"/>
  <c r="B317" i="3" s="1"/>
  <c r="Q316" i="3" a="1"/>
  <c r="Q316" i="3" s="1"/>
  <c r="P316" i="3" a="1"/>
  <c r="P316" i="3" s="1"/>
  <c r="O316" i="3" a="1"/>
  <c r="O316" i="3" s="1"/>
  <c r="N316" i="3" a="1"/>
  <c r="N316" i="3" s="1"/>
  <c r="M316" i="3" a="1"/>
  <c r="M316" i="3" s="1"/>
  <c r="L316" i="3" a="1"/>
  <c r="L316" i="3" s="1"/>
  <c r="K316" i="3" a="1"/>
  <c r="K316" i="3" s="1"/>
  <c r="J316" i="3" a="1"/>
  <c r="J316" i="3" s="1"/>
  <c r="I316" i="3" a="1"/>
  <c r="I316" i="3" s="1"/>
  <c r="G316" i="3" a="1"/>
  <c r="G316" i="3" s="1"/>
  <c r="F316" i="3" a="1"/>
  <c r="F316" i="3" s="1"/>
  <c r="E316" i="3" a="1"/>
  <c r="E316" i="3" s="1"/>
  <c r="D316" i="3" a="1"/>
  <c r="D316" i="3" s="1"/>
  <c r="C316" i="3" a="1"/>
  <c r="C316" i="3" s="1"/>
  <c r="B316" i="3" a="1"/>
  <c r="B316" i="3" s="1"/>
  <c r="T315" i="3" a="1"/>
  <c r="T315" i="3" s="1"/>
  <c r="Q315" i="3" a="1"/>
  <c r="Q315" i="3" s="1"/>
  <c r="P315" i="3" a="1"/>
  <c r="P315" i="3" s="1"/>
  <c r="O315" i="3" a="1"/>
  <c r="O315" i="3" s="1"/>
  <c r="N315" i="3" a="1"/>
  <c r="N315" i="3" s="1"/>
  <c r="M315" i="3" a="1"/>
  <c r="M315" i="3" s="1"/>
  <c r="L315" i="3" a="1"/>
  <c r="L315" i="3" s="1"/>
  <c r="K315" i="3" a="1"/>
  <c r="K315" i="3" s="1"/>
  <c r="J315" i="3" a="1"/>
  <c r="J315" i="3" s="1"/>
  <c r="I315" i="3" a="1"/>
  <c r="I315" i="3" s="1"/>
  <c r="G315" i="3" a="1"/>
  <c r="G315" i="3" s="1"/>
  <c r="F315" i="3" a="1"/>
  <c r="F315" i="3" s="1"/>
  <c r="E315" i="3" a="1"/>
  <c r="E315" i="3" s="1"/>
  <c r="D315" i="3" a="1"/>
  <c r="D315" i="3" s="1"/>
  <c r="C315" i="3" a="1"/>
  <c r="C315" i="3" s="1"/>
  <c r="B315" i="3" a="1"/>
  <c r="B315" i="3" s="1"/>
  <c r="Z311" i="3" a="1"/>
  <c r="Z311" i="3" s="1"/>
  <c r="Y311" i="3" a="1"/>
  <c r="Y311" i="3" s="1"/>
  <c r="X311" i="3" a="1"/>
  <c r="X311" i="3" s="1"/>
  <c r="W311" i="3" a="1"/>
  <c r="W311" i="3" s="1"/>
  <c r="V311" i="3" a="1"/>
  <c r="V311" i="3" s="1"/>
  <c r="U311" i="3" a="1"/>
  <c r="U311" i="3" s="1"/>
  <c r="T311" i="3" a="1"/>
  <c r="T311" i="3" s="1"/>
  <c r="S311" i="3" a="1"/>
  <c r="S311" i="3" s="1"/>
  <c r="R311" i="3" a="1"/>
  <c r="R311" i="3" s="1"/>
  <c r="Q311" i="3" a="1"/>
  <c r="Q311" i="3" s="1"/>
  <c r="P311" i="3" a="1"/>
  <c r="P311" i="3" s="1"/>
  <c r="O311" i="3" a="1"/>
  <c r="O311" i="3" s="1"/>
  <c r="N311" i="3" a="1"/>
  <c r="N311" i="3" s="1"/>
  <c r="M311" i="3" a="1"/>
  <c r="M311" i="3" s="1"/>
  <c r="L311" i="3" a="1"/>
  <c r="L311" i="3" s="1"/>
  <c r="K311" i="3" a="1"/>
  <c r="K311" i="3" s="1"/>
  <c r="J311" i="3" a="1"/>
  <c r="J311" i="3" s="1"/>
  <c r="I311" i="3" a="1"/>
  <c r="I311" i="3" s="1"/>
  <c r="G311" i="3" a="1"/>
  <c r="G311" i="3" s="1"/>
  <c r="F311" i="3" a="1"/>
  <c r="F311" i="3" s="1"/>
  <c r="E311" i="3" a="1"/>
  <c r="E311" i="3" s="1"/>
  <c r="D311" i="3" a="1"/>
  <c r="D311" i="3" s="1"/>
  <c r="C311" i="3" a="1"/>
  <c r="C311" i="3" s="1"/>
  <c r="B311" i="3" a="1"/>
  <c r="B311" i="3" s="1"/>
  <c r="Z310" i="3" a="1"/>
  <c r="Z310" i="3" s="1"/>
  <c r="Y310" i="3" a="1"/>
  <c r="Y310" i="3" s="1"/>
  <c r="X310" i="3" a="1"/>
  <c r="X310" i="3" s="1"/>
  <c r="W310" i="3" a="1"/>
  <c r="W310" i="3" s="1"/>
  <c r="V310" i="3" a="1"/>
  <c r="V310" i="3" s="1"/>
  <c r="U310" i="3" a="1"/>
  <c r="U310" i="3" s="1"/>
  <c r="T310" i="3" a="1"/>
  <c r="T310" i="3" s="1"/>
  <c r="S310" i="3" a="1"/>
  <c r="S310" i="3" s="1"/>
  <c r="R310" i="3" a="1"/>
  <c r="R310" i="3" s="1"/>
  <c r="Q310" i="3" a="1"/>
  <c r="Q310" i="3" s="1"/>
  <c r="P310" i="3" a="1"/>
  <c r="P310" i="3" s="1"/>
  <c r="O310" i="3" a="1"/>
  <c r="O310" i="3" s="1"/>
  <c r="N310" i="3" a="1"/>
  <c r="N310" i="3" s="1"/>
  <c r="M310" i="3" a="1"/>
  <c r="M310" i="3" s="1"/>
  <c r="L310" i="3" a="1"/>
  <c r="L310" i="3" s="1"/>
  <c r="K310" i="3" a="1"/>
  <c r="K310" i="3" s="1"/>
  <c r="J310" i="3" a="1"/>
  <c r="J310" i="3" s="1"/>
  <c r="I310" i="3" a="1"/>
  <c r="I310" i="3" s="1"/>
  <c r="G310" i="3" a="1"/>
  <c r="G310" i="3" s="1"/>
  <c r="F310" i="3" a="1"/>
  <c r="F310" i="3" s="1"/>
  <c r="E310" i="3" a="1"/>
  <c r="E310" i="3" s="1"/>
  <c r="D310" i="3" a="1"/>
  <c r="D310" i="3" s="1"/>
  <c r="C310" i="3" a="1"/>
  <c r="C310" i="3" s="1"/>
  <c r="B310" i="3" a="1"/>
  <c r="B310" i="3" s="1"/>
  <c r="Z309" i="3" a="1"/>
  <c r="Z309" i="3" s="1"/>
  <c r="Y309" i="3" a="1"/>
  <c r="Y309" i="3" s="1"/>
  <c r="X309" i="3" a="1"/>
  <c r="X309" i="3" s="1"/>
  <c r="W309" i="3" a="1"/>
  <c r="W309" i="3" s="1"/>
  <c r="V309" i="3" a="1"/>
  <c r="V309" i="3" s="1"/>
  <c r="U309" i="3" a="1"/>
  <c r="U309" i="3" s="1"/>
  <c r="T309" i="3" a="1"/>
  <c r="T309" i="3" s="1"/>
  <c r="S309" i="3" a="1"/>
  <c r="S309" i="3" s="1"/>
  <c r="R309" i="3" a="1"/>
  <c r="R309" i="3" s="1"/>
  <c r="Q309" i="3" a="1"/>
  <c r="Q309" i="3" s="1"/>
  <c r="P309" i="3" a="1"/>
  <c r="P309" i="3" s="1"/>
  <c r="O309" i="3" a="1"/>
  <c r="O309" i="3" s="1"/>
  <c r="N309" i="3" a="1"/>
  <c r="N309" i="3" s="1"/>
  <c r="M309" i="3" a="1"/>
  <c r="M309" i="3" s="1"/>
  <c r="L309" i="3" a="1"/>
  <c r="L309" i="3" s="1"/>
  <c r="K309" i="3" a="1"/>
  <c r="K309" i="3" s="1"/>
  <c r="J309" i="3" a="1"/>
  <c r="J309" i="3" s="1"/>
  <c r="I309" i="3" a="1"/>
  <c r="I309" i="3" s="1"/>
  <c r="G309" i="3" a="1"/>
  <c r="G309" i="3" s="1"/>
  <c r="F309" i="3" a="1"/>
  <c r="F309" i="3" s="1"/>
  <c r="E309" i="3" a="1"/>
  <c r="E309" i="3" s="1"/>
  <c r="D309" i="3" a="1"/>
  <c r="D309" i="3" s="1"/>
  <c r="C309" i="3" a="1"/>
  <c r="C309" i="3" s="1"/>
  <c r="B309" i="3" a="1"/>
  <c r="B309" i="3" s="1"/>
  <c r="Z308" i="3" a="1"/>
  <c r="Z308" i="3" s="1"/>
  <c r="Y308" i="3" a="1"/>
  <c r="Y308" i="3" s="1"/>
  <c r="X308" i="3" a="1"/>
  <c r="X308" i="3" s="1"/>
  <c r="W308" i="3" a="1"/>
  <c r="W308" i="3" s="1"/>
  <c r="V308" i="3" a="1"/>
  <c r="V308" i="3" s="1"/>
  <c r="U308" i="3" a="1"/>
  <c r="U308" i="3" s="1"/>
  <c r="T308" i="3" a="1"/>
  <c r="T308" i="3" s="1"/>
  <c r="S308" i="3" a="1"/>
  <c r="S308" i="3" s="1"/>
  <c r="R308" i="3" a="1"/>
  <c r="R308" i="3" s="1"/>
  <c r="Q308" i="3" a="1"/>
  <c r="Q308" i="3" s="1"/>
  <c r="P308" i="3" a="1"/>
  <c r="P308" i="3" s="1"/>
  <c r="O308" i="3" a="1"/>
  <c r="O308" i="3" s="1"/>
  <c r="N308" i="3" a="1"/>
  <c r="N308" i="3" s="1"/>
  <c r="M308" i="3" a="1"/>
  <c r="M308" i="3" s="1"/>
  <c r="L308" i="3" a="1"/>
  <c r="L308" i="3" s="1"/>
  <c r="K308" i="3" a="1"/>
  <c r="K308" i="3" s="1"/>
  <c r="J308" i="3" a="1"/>
  <c r="J308" i="3" s="1"/>
  <c r="I308" i="3" a="1"/>
  <c r="I308" i="3" s="1"/>
  <c r="G308" i="3" a="1"/>
  <c r="G308" i="3" s="1"/>
  <c r="F308" i="3" a="1"/>
  <c r="F308" i="3" s="1"/>
  <c r="E308" i="3" a="1"/>
  <c r="E308" i="3" s="1"/>
  <c r="D308" i="3" a="1"/>
  <c r="D308" i="3" s="1"/>
  <c r="C308" i="3" a="1"/>
  <c r="C308" i="3" s="1"/>
  <c r="B308" i="3" a="1"/>
  <c r="B308" i="3" s="1"/>
  <c r="Z307" i="3" a="1"/>
  <c r="Z307" i="3" s="1"/>
  <c r="Y307" i="3" a="1"/>
  <c r="Y307" i="3" s="1"/>
  <c r="X307" i="3" a="1"/>
  <c r="X307" i="3" s="1"/>
  <c r="W307" i="3" a="1"/>
  <c r="W307" i="3" s="1"/>
  <c r="V307" i="3" a="1"/>
  <c r="V307" i="3" s="1"/>
  <c r="U307" i="3" a="1"/>
  <c r="U307" i="3" s="1"/>
  <c r="T307" i="3" a="1"/>
  <c r="T307" i="3" s="1"/>
  <c r="S307" i="3" a="1"/>
  <c r="S307" i="3" s="1"/>
  <c r="R307" i="3" a="1"/>
  <c r="R307" i="3" s="1"/>
  <c r="Q307" i="3" a="1"/>
  <c r="Q307" i="3" s="1"/>
  <c r="P307" i="3" a="1"/>
  <c r="P307" i="3" s="1"/>
  <c r="O307" i="3" a="1"/>
  <c r="O307" i="3" s="1"/>
  <c r="N307" i="3" a="1"/>
  <c r="N307" i="3" s="1"/>
  <c r="M307" i="3" a="1"/>
  <c r="M307" i="3" s="1"/>
  <c r="L307" i="3" a="1"/>
  <c r="L307" i="3" s="1"/>
  <c r="K307" i="3" a="1"/>
  <c r="K307" i="3" s="1"/>
  <c r="J307" i="3" a="1"/>
  <c r="J307" i="3" s="1"/>
  <c r="I307" i="3" a="1"/>
  <c r="I307" i="3" s="1"/>
  <c r="G307" i="3" a="1"/>
  <c r="G307" i="3" s="1"/>
  <c r="F307" i="3" a="1"/>
  <c r="F307" i="3" s="1"/>
  <c r="E307" i="3" a="1"/>
  <c r="E307" i="3" s="1"/>
  <c r="D307" i="3" a="1"/>
  <c r="D307" i="3" s="1"/>
  <c r="C307" i="3" a="1"/>
  <c r="C307" i="3" s="1"/>
  <c r="B307" i="3" a="1"/>
  <c r="B307" i="3" s="1"/>
  <c r="Z306" i="3" a="1"/>
  <c r="Z306" i="3" s="1"/>
  <c r="Y306" i="3" a="1"/>
  <c r="Y306" i="3" s="1"/>
  <c r="X306" i="3" a="1"/>
  <c r="X306" i="3" s="1"/>
  <c r="W306" i="3" a="1"/>
  <c r="W306" i="3" s="1"/>
  <c r="V306" i="3" a="1"/>
  <c r="V306" i="3" s="1"/>
  <c r="U306" i="3" a="1"/>
  <c r="U306" i="3" s="1"/>
  <c r="T306" i="3" a="1"/>
  <c r="T306" i="3" s="1"/>
  <c r="S306" i="3" a="1"/>
  <c r="S306" i="3" s="1"/>
  <c r="R306" i="3" a="1"/>
  <c r="R306" i="3" s="1"/>
  <c r="Q306" i="3" a="1"/>
  <c r="Q306" i="3" s="1"/>
  <c r="P306" i="3" a="1"/>
  <c r="P306" i="3" s="1"/>
  <c r="O306" i="3" a="1"/>
  <c r="O306" i="3" s="1"/>
  <c r="N306" i="3" a="1"/>
  <c r="N306" i="3" s="1"/>
  <c r="M306" i="3" a="1"/>
  <c r="M306" i="3" s="1"/>
  <c r="L306" i="3" a="1"/>
  <c r="L306" i="3" s="1"/>
  <c r="K306" i="3" a="1"/>
  <c r="K306" i="3" s="1"/>
  <c r="J306" i="3" a="1"/>
  <c r="J306" i="3" s="1"/>
  <c r="I306" i="3" a="1"/>
  <c r="I306" i="3" s="1"/>
  <c r="G306" i="3" a="1"/>
  <c r="G306" i="3" s="1"/>
  <c r="F306" i="3" a="1"/>
  <c r="F306" i="3" s="1"/>
  <c r="E306" i="3" a="1"/>
  <c r="E306" i="3" s="1"/>
  <c r="D306" i="3" a="1"/>
  <c r="D306" i="3" s="1"/>
  <c r="C306" i="3" a="1"/>
  <c r="C306" i="3" s="1"/>
  <c r="B306" i="3" a="1"/>
  <c r="B306" i="3" s="1"/>
  <c r="Z305" i="3" a="1"/>
  <c r="Z305" i="3" s="1"/>
  <c r="Y305" i="3" a="1"/>
  <c r="Y305" i="3" s="1"/>
  <c r="X305" i="3" a="1"/>
  <c r="X305" i="3" s="1"/>
  <c r="W305" i="3" a="1"/>
  <c r="W305" i="3" s="1"/>
  <c r="V305" i="3" a="1"/>
  <c r="V305" i="3" s="1"/>
  <c r="U305" i="3" a="1"/>
  <c r="U305" i="3" s="1"/>
  <c r="T305" i="3" a="1"/>
  <c r="T305" i="3" s="1"/>
  <c r="S305" i="3" a="1"/>
  <c r="S305" i="3" s="1"/>
  <c r="R305" i="3" a="1"/>
  <c r="R305" i="3" s="1"/>
  <c r="Q305" i="3" a="1"/>
  <c r="Q305" i="3" s="1"/>
  <c r="P305" i="3" a="1"/>
  <c r="P305" i="3" s="1"/>
  <c r="O305" i="3" a="1"/>
  <c r="O305" i="3" s="1"/>
  <c r="N305" i="3" a="1"/>
  <c r="N305" i="3" s="1"/>
  <c r="M305" i="3" a="1"/>
  <c r="M305" i="3" s="1"/>
  <c r="L305" i="3" a="1"/>
  <c r="L305" i="3" s="1"/>
  <c r="K305" i="3" a="1"/>
  <c r="K305" i="3" s="1"/>
  <c r="J305" i="3" a="1"/>
  <c r="J305" i="3" s="1"/>
  <c r="I305" i="3" a="1"/>
  <c r="I305" i="3" s="1"/>
  <c r="G305" i="3" a="1"/>
  <c r="G305" i="3" s="1"/>
  <c r="F305" i="3" a="1"/>
  <c r="F305" i="3" s="1"/>
  <c r="E305" i="3" a="1"/>
  <c r="E305" i="3" s="1"/>
  <c r="D305" i="3" a="1"/>
  <c r="D305" i="3" s="1"/>
  <c r="C305" i="3" a="1"/>
  <c r="C305" i="3" s="1"/>
  <c r="B305" i="3" a="1"/>
  <c r="B305" i="3" s="1"/>
  <c r="Z304" i="3" a="1"/>
  <c r="Z304" i="3" s="1"/>
  <c r="Y304" i="3" a="1"/>
  <c r="Y304" i="3" s="1"/>
  <c r="X304" i="3" a="1"/>
  <c r="X304" i="3" s="1"/>
  <c r="W304" i="3" a="1"/>
  <c r="W304" i="3" s="1"/>
  <c r="V304" i="3" a="1"/>
  <c r="V304" i="3" s="1"/>
  <c r="U304" i="3" a="1"/>
  <c r="U304" i="3" s="1"/>
  <c r="T304" i="3" a="1"/>
  <c r="T304" i="3" s="1"/>
  <c r="S304" i="3" a="1"/>
  <c r="S304" i="3" s="1"/>
  <c r="R304" i="3" a="1"/>
  <c r="R304" i="3" s="1"/>
  <c r="Q304" i="3" a="1"/>
  <c r="Q304" i="3" s="1"/>
  <c r="P304" i="3" a="1"/>
  <c r="P304" i="3" s="1"/>
  <c r="O304" i="3" a="1"/>
  <c r="O304" i="3" s="1"/>
  <c r="N304" i="3" a="1"/>
  <c r="N304" i="3" s="1"/>
  <c r="M304" i="3" a="1"/>
  <c r="M304" i="3" s="1"/>
  <c r="L304" i="3" a="1"/>
  <c r="L304" i="3" s="1"/>
  <c r="K304" i="3" a="1"/>
  <c r="K304" i="3" s="1"/>
  <c r="J304" i="3" a="1"/>
  <c r="J304" i="3" s="1"/>
  <c r="I304" i="3" a="1"/>
  <c r="I304" i="3" s="1"/>
  <c r="G304" i="3" a="1"/>
  <c r="G304" i="3" s="1"/>
  <c r="F304" i="3" a="1"/>
  <c r="F304" i="3" s="1"/>
  <c r="E304" i="3" a="1"/>
  <c r="E304" i="3" s="1"/>
  <c r="D304" i="3" a="1"/>
  <c r="D304" i="3" s="1"/>
  <c r="C304" i="3" a="1"/>
  <c r="C304" i="3" s="1"/>
  <c r="B304" i="3" a="1"/>
  <c r="B304" i="3" s="1"/>
  <c r="Z303" i="3" a="1"/>
  <c r="Z303" i="3" s="1"/>
  <c r="Y303" i="3" a="1"/>
  <c r="Y303" i="3" s="1"/>
  <c r="X303" i="3" a="1"/>
  <c r="X303" i="3" s="1"/>
  <c r="W303" i="3" a="1"/>
  <c r="W303" i="3" s="1"/>
  <c r="V303" i="3" a="1"/>
  <c r="V303" i="3" s="1"/>
  <c r="U303" i="3" a="1"/>
  <c r="U303" i="3" s="1"/>
  <c r="T303" i="3" a="1"/>
  <c r="T303" i="3" s="1"/>
  <c r="S303" i="3" a="1"/>
  <c r="S303" i="3" s="1"/>
  <c r="R303" i="3" a="1"/>
  <c r="R303" i="3" s="1"/>
  <c r="Q303" i="3" a="1"/>
  <c r="Q303" i="3" s="1"/>
  <c r="P303" i="3" a="1"/>
  <c r="P303" i="3" s="1"/>
  <c r="O303" i="3" a="1"/>
  <c r="O303" i="3" s="1"/>
  <c r="N303" i="3" a="1"/>
  <c r="N303" i="3" s="1"/>
  <c r="M303" i="3" a="1"/>
  <c r="M303" i="3" s="1"/>
  <c r="L303" i="3" a="1"/>
  <c r="L303" i="3" s="1"/>
  <c r="K303" i="3" a="1"/>
  <c r="K303" i="3" s="1"/>
  <c r="J303" i="3" a="1"/>
  <c r="J303" i="3" s="1"/>
  <c r="I303" i="3" a="1"/>
  <c r="I303" i="3" s="1"/>
  <c r="G303" i="3" a="1"/>
  <c r="G303" i="3" s="1"/>
  <c r="F303" i="3" a="1"/>
  <c r="F303" i="3" s="1"/>
  <c r="E303" i="3" a="1"/>
  <c r="E303" i="3" s="1"/>
  <c r="D303" i="3" a="1"/>
  <c r="D303" i="3" s="1"/>
  <c r="C303" i="3" a="1"/>
  <c r="C303" i="3" s="1"/>
  <c r="B303" i="3" a="1"/>
  <c r="B303" i="3" s="1"/>
  <c r="Z302" i="3" a="1"/>
  <c r="Z302" i="3" s="1"/>
  <c r="Y302" i="3" a="1"/>
  <c r="Y302" i="3" s="1"/>
  <c r="X302" i="3" a="1"/>
  <c r="X302" i="3" s="1"/>
  <c r="W302" i="3" a="1"/>
  <c r="W302" i="3" s="1"/>
  <c r="V302" i="3" a="1"/>
  <c r="V302" i="3" s="1"/>
  <c r="U302" i="3" a="1"/>
  <c r="U302" i="3" s="1"/>
  <c r="T302" i="3" a="1"/>
  <c r="T302" i="3" s="1"/>
  <c r="S302" i="3" a="1"/>
  <c r="S302" i="3" s="1"/>
  <c r="R302" i="3" a="1"/>
  <c r="R302" i="3" s="1"/>
  <c r="Q302" i="3" a="1"/>
  <c r="Q302" i="3" s="1"/>
  <c r="P302" i="3" a="1"/>
  <c r="P302" i="3" s="1"/>
  <c r="O302" i="3" a="1"/>
  <c r="O302" i="3" s="1"/>
  <c r="N302" i="3" a="1"/>
  <c r="N302" i="3" s="1"/>
  <c r="M302" i="3" a="1"/>
  <c r="M302" i="3" s="1"/>
  <c r="L302" i="3" a="1"/>
  <c r="L302" i="3" s="1"/>
  <c r="K302" i="3" a="1"/>
  <c r="K302" i="3" s="1"/>
  <c r="J302" i="3" a="1"/>
  <c r="J302" i="3" s="1"/>
  <c r="I302" i="3" a="1"/>
  <c r="I302" i="3" s="1"/>
  <c r="G302" i="3" a="1"/>
  <c r="G302" i="3" s="1"/>
  <c r="F302" i="3" a="1"/>
  <c r="F302" i="3" s="1"/>
  <c r="E302" i="3" a="1"/>
  <c r="E302" i="3" s="1"/>
  <c r="D302" i="3" a="1"/>
  <c r="D302" i="3" s="1"/>
  <c r="C302" i="3" a="1"/>
  <c r="C302" i="3" s="1"/>
  <c r="B302" i="3" a="1"/>
  <c r="B302" i="3" s="1"/>
  <c r="Z301" i="3" a="1"/>
  <c r="Z301" i="3" s="1"/>
  <c r="Y301" i="3" a="1"/>
  <c r="Y301" i="3" s="1"/>
  <c r="X301" i="3" a="1"/>
  <c r="X301" i="3" s="1"/>
  <c r="W301" i="3" a="1"/>
  <c r="W301" i="3" s="1"/>
  <c r="V301" i="3" a="1"/>
  <c r="V301" i="3" s="1"/>
  <c r="U301" i="3" a="1"/>
  <c r="U301" i="3" s="1"/>
  <c r="T301" i="3" a="1"/>
  <c r="T301" i="3" s="1"/>
  <c r="S301" i="3" a="1"/>
  <c r="S301" i="3" s="1"/>
  <c r="R301" i="3" a="1"/>
  <c r="R301" i="3" s="1"/>
  <c r="Q301" i="3" a="1"/>
  <c r="Q301" i="3" s="1"/>
  <c r="P301" i="3" a="1"/>
  <c r="P301" i="3" s="1"/>
  <c r="O301" i="3" a="1"/>
  <c r="O301" i="3" s="1"/>
  <c r="N301" i="3" a="1"/>
  <c r="N301" i="3" s="1"/>
  <c r="M301" i="3" a="1"/>
  <c r="M301" i="3" s="1"/>
  <c r="L301" i="3" a="1"/>
  <c r="L301" i="3" s="1"/>
  <c r="K301" i="3" a="1"/>
  <c r="K301" i="3" s="1"/>
  <c r="J301" i="3" a="1"/>
  <c r="J301" i="3" s="1"/>
  <c r="I301" i="3" a="1"/>
  <c r="I301" i="3" s="1"/>
  <c r="G301" i="3" a="1"/>
  <c r="G301" i="3" s="1"/>
  <c r="F301" i="3" a="1"/>
  <c r="F301" i="3" s="1"/>
  <c r="E301" i="3" a="1"/>
  <c r="E301" i="3" s="1"/>
  <c r="D301" i="3" a="1"/>
  <c r="D301" i="3" s="1"/>
  <c r="C301" i="3" a="1"/>
  <c r="C301" i="3" s="1"/>
  <c r="B301" i="3" a="1"/>
  <c r="B301" i="3" s="1"/>
  <c r="Z300" i="3" a="1"/>
  <c r="Z300" i="3" s="1"/>
  <c r="Y300" i="3" a="1"/>
  <c r="Y300" i="3" s="1"/>
  <c r="X300" i="3" a="1"/>
  <c r="X300" i="3" s="1"/>
  <c r="W300" i="3" a="1"/>
  <c r="W300" i="3" s="1"/>
  <c r="V300" i="3" a="1"/>
  <c r="V300" i="3" s="1"/>
  <c r="U300" i="3" a="1"/>
  <c r="U300" i="3" s="1"/>
  <c r="T300" i="3" a="1"/>
  <c r="T300" i="3" s="1"/>
  <c r="S300" i="3" a="1"/>
  <c r="S300" i="3" s="1"/>
  <c r="R300" i="3" a="1"/>
  <c r="R300" i="3" s="1"/>
  <c r="Q300" i="3" a="1"/>
  <c r="Q300" i="3" s="1"/>
  <c r="P300" i="3" a="1"/>
  <c r="P300" i="3" s="1"/>
  <c r="O300" i="3" a="1"/>
  <c r="O300" i="3" s="1"/>
  <c r="N300" i="3" a="1"/>
  <c r="N300" i="3" s="1"/>
  <c r="M300" i="3" a="1"/>
  <c r="M300" i="3" s="1"/>
  <c r="L300" i="3" a="1"/>
  <c r="L300" i="3" s="1"/>
  <c r="K300" i="3" a="1"/>
  <c r="K300" i="3" s="1"/>
  <c r="J300" i="3" a="1"/>
  <c r="J300" i="3" s="1"/>
  <c r="I300" i="3" a="1"/>
  <c r="I300" i="3" s="1"/>
  <c r="G300" i="3" a="1"/>
  <c r="G300" i="3" s="1"/>
  <c r="F300" i="3" a="1"/>
  <c r="F300" i="3" s="1"/>
  <c r="E300" i="3" a="1"/>
  <c r="E300" i="3" s="1"/>
  <c r="D300" i="3" a="1"/>
  <c r="D300" i="3" s="1"/>
  <c r="C300" i="3" a="1"/>
  <c r="C300" i="3" s="1"/>
  <c r="B300" i="3" a="1"/>
  <c r="B300" i="3" s="1"/>
  <c r="Z299" i="3" a="1"/>
  <c r="Z299" i="3" s="1"/>
  <c r="Y299" i="3" a="1"/>
  <c r="Y299" i="3" s="1"/>
  <c r="X299" i="3" a="1"/>
  <c r="X299" i="3" s="1"/>
  <c r="W299" i="3" a="1"/>
  <c r="W299" i="3" s="1"/>
  <c r="V299" i="3" a="1"/>
  <c r="V299" i="3" s="1"/>
  <c r="U299" i="3" a="1"/>
  <c r="U299" i="3" s="1"/>
  <c r="T299" i="3" a="1"/>
  <c r="T299" i="3" s="1"/>
  <c r="S299" i="3" a="1"/>
  <c r="S299" i="3" s="1"/>
  <c r="R299" i="3" a="1"/>
  <c r="R299" i="3" s="1"/>
  <c r="Q299" i="3" a="1"/>
  <c r="Q299" i="3" s="1"/>
  <c r="P299" i="3" a="1"/>
  <c r="P299" i="3" s="1"/>
  <c r="O299" i="3" a="1"/>
  <c r="O299" i="3" s="1"/>
  <c r="N299" i="3" a="1"/>
  <c r="N299" i="3" s="1"/>
  <c r="M299" i="3" a="1"/>
  <c r="M299" i="3" s="1"/>
  <c r="L299" i="3" a="1"/>
  <c r="L299" i="3" s="1"/>
  <c r="K299" i="3" a="1"/>
  <c r="K299" i="3" s="1"/>
  <c r="J299" i="3" a="1"/>
  <c r="J299" i="3" s="1"/>
  <c r="I299" i="3" a="1"/>
  <c r="I299" i="3" s="1"/>
  <c r="G299" i="3" a="1"/>
  <c r="G299" i="3" s="1"/>
  <c r="F299" i="3" a="1"/>
  <c r="F299" i="3" s="1"/>
  <c r="E299" i="3" a="1"/>
  <c r="E299" i="3" s="1"/>
  <c r="D299" i="3" a="1"/>
  <c r="D299" i="3" s="1"/>
  <c r="C299" i="3" a="1"/>
  <c r="C299" i="3" s="1"/>
  <c r="B299" i="3" a="1"/>
  <c r="B299" i="3" s="1"/>
  <c r="Z298" i="3" a="1"/>
  <c r="Z298" i="3" s="1"/>
  <c r="Y298" i="3" a="1"/>
  <c r="Y298" i="3" s="1"/>
  <c r="X298" i="3" a="1"/>
  <c r="X298" i="3" s="1"/>
  <c r="W298" i="3" a="1"/>
  <c r="W298" i="3" s="1"/>
  <c r="V298" i="3" a="1"/>
  <c r="V298" i="3" s="1"/>
  <c r="U298" i="3" a="1"/>
  <c r="U298" i="3" s="1"/>
  <c r="T298" i="3" a="1"/>
  <c r="T298" i="3" s="1"/>
  <c r="S298" i="3" a="1"/>
  <c r="S298" i="3" s="1"/>
  <c r="R298" i="3" a="1"/>
  <c r="R298" i="3" s="1"/>
  <c r="Q298" i="3" a="1"/>
  <c r="Q298" i="3" s="1"/>
  <c r="P298" i="3" a="1"/>
  <c r="P298" i="3" s="1"/>
  <c r="O298" i="3" a="1"/>
  <c r="O298" i="3" s="1"/>
  <c r="N298" i="3" a="1"/>
  <c r="N298" i="3" s="1"/>
  <c r="M298" i="3" a="1"/>
  <c r="M298" i="3" s="1"/>
  <c r="L298" i="3" a="1"/>
  <c r="L298" i="3" s="1"/>
  <c r="K298" i="3" a="1"/>
  <c r="K298" i="3" s="1"/>
  <c r="J298" i="3" a="1"/>
  <c r="J298" i="3" s="1"/>
  <c r="I298" i="3" a="1"/>
  <c r="I298" i="3" s="1"/>
  <c r="G298" i="3" a="1"/>
  <c r="G298" i="3" s="1"/>
  <c r="F298" i="3" a="1"/>
  <c r="F298" i="3" s="1"/>
  <c r="E298" i="3" a="1"/>
  <c r="E298" i="3" s="1"/>
  <c r="D298" i="3" a="1"/>
  <c r="D298" i="3" s="1"/>
  <c r="C298" i="3" a="1"/>
  <c r="C298" i="3" s="1"/>
  <c r="B298" i="3" a="1"/>
  <c r="B298" i="3" s="1"/>
  <c r="Z297" i="3" a="1"/>
  <c r="Z297" i="3" s="1"/>
  <c r="Y297" i="3" a="1"/>
  <c r="Y297" i="3" s="1"/>
  <c r="X297" i="3" a="1"/>
  <c r="X297" i="3" s="1"/>
  <c r="W297" i="3" a="1"/>
  <c r="W297" i="3" s="1"/>
  <c r="V297" i="3" a="1"/>
  <c r="V297" i="3" s="1"/>
  <c r="U297" i="3" a="1"/>
  <c r="U297" i="3" s="1"/>
  <c r="T297" i="3" a="1"/>
  <c r="T297" i="3" s="1"/>
  <c r="S297" i="3" a="1"/>
  <c r="S297" i="3" s="1"/>
  <c r="R297" i="3" a="1"/>
  <c r="R297" i="3" s="1"/>
  <c r="Q297" i="3" a="1"/>
  <c r="Q297" i="3" s="1"/>
  <c r="P297" i="3" a="1"/>
  <c r="P297" i="3" s="1"/>
  <c r="O297" i="3" a="1"/>
  <c r="O297" i="3" s="1"/>
  <c r="N297" i="3" a="1"/>
  <c r="N297" i="3" s="1"/>
  <c r="M297" i="3" a="1"/>
  <c r="M297" i="3" s="1"/>
  <c r="L297" i="3" a="1"/>
  <c r="L297" i="3" s="1"/>
  <c r="K297" i="3" a="1"/>
  <c r="K297" i="3" s="1"/>
  <c r="J297" i="3" a="1"/>
  <c r="J297" i="3" s="1"/>
  <c r="I297" i="3" a="1"/>
  <c r="I297" i="3" s="1"/>
  <c r="G297" i="3" a="1"/>
  <c r="G297" i="3" s="1"/>
  <c r="F297" i="3" a="1"/>
  <c r="F297" i="3" s="1"/>
  <c r="E297" i="3" a="1"/>
  <c r="E297" i="3" s="1"/>
  <c r="D297" i="3" a="1"/>
  <c r="D297" i="3" s="1"/>
  <c r="C297" i="3" a="1"/>
  <c r="C297" i="3" s="1"/>
  <c r="B297" i="3" a="1"/>
  <c r="B297" i="3" s="1"/>
  <c r="Z296" i="3" a="1"/>
  <c r="Z296" i="3" s="1"/>
  <c r="Y296" i="3" a="1"/>
  <c r="Y296" i="3" s="1"/>
  <c r="X296" i="3" a="1"/>
  <c r="X296" i="3" s="1"/>
  <c r="W296" i="3" a="1"/>
  <c r="W296" i="3" s="1"/>
  <c r="V296" i="3" a="1"/>
  <c r="V296" i="3" s="1"/>
  <c r="U296" i="3" a="1"/>
  <c r="U296" i="3" s="1"/>
  <c r="T296" i="3" a="1"/>
  <c r="T296" i="3" s="1"/>
  <c r="S296" i="3" a="1"/>
  <c r="S296" i="3" s="1"/>
  <c r="R296" i="3" a="1"/>
  <c r="R296" i="3" s="1"/>
  <c r="Q296" i="3" a="1"/>
  <c r="Q296" i="3" s="1"/>
  <c r="P296" i="3" a="1"/>
  <c r="P296" i="3" s="1"/>
  <c r="O296" i="3" a="1"/>
  <c r="O296" i="3" s="1"/>
  <c r="N296" i="3" a="1"/>
  <c r="N296" i="3" s="1"/>
  <c r="M296" i="3" a="1"/>
  <c r="M296" i="3" s="1"/>
  <c r="L296" i="3" a="1"/>
  <c r="L296" i="3" s="1"/>
  <c r="K296" i="3" a="1"/>
  <c r="K296" i="3" s="1"/>
  <c r="J296" i="3" a="1"/>
  <c r="J296" i="3" s="1"/>
  <c r="I296" i="3" a="1"/>
  <c r="I296" i="3" s="1"/>
  <c r="G296" i="3" a="1"/>
  <c r="G296" i="3" s="1"/>
  <c r="F296" i="3" a="1"/>
  <c r="F296" i="3" s="1"/>
  <c r="E296" i="3" a="1"/>
  <c r="E296" i="3" s="1"/>
  <c r="D296" i="3" a="1"/>
  <c r="D296" i="3" s="1"/>
  <c r="C296" i="3" a="1"/>
  <c r="C296" i="3" s="1"/>
  <c r="B296" i="3" a="1"/>
  <c r="B296" i="3" s="1"/>
  <c r="Z295" i="3" a="1"/>
  <c r="Z295" i="3" s="1"/>
  <c r="Y295" i="3" a="1"/>
  <c r="Y295" i="3" s="1"/>
  <c r="X295" i="3" a="1"/>
  <c r="X295" i="3" s="1"/>
  <c r="W295" i="3" a="1"/>
  <c r="W295" i="3" s="1"/>
  <c r="V295" i="3" a="1"/>
  <c r="V295" i="3" s="1"/>
  <c r="U295" i="3" a="1"/>
  <c r="U295" i="3" s="1"/>
  <c r="T295" i="3" a="1"/>
  <c r="T295" i="3" s="1"/>
  <c r="S295" i="3" a="1"/>
  <c r="S295" i="3" s="1"/>
  <c r="R295" i="3" a="1"/>
  <c r="R295" i="3" s="1"/>
  <c r="Q295" i="3" a="1"/>
  <c r="Q295" i="3" s="1"/>
  <c r="P295" i="3" a="1"/>
  <c r="P295" i="3" s="1"/>
  <c r="O295" i="3" a="1"/>
  <c r="O295" i="3" s="1"/>
  <c r="N295" i="3" a="1"/>
  <c r="N295" i="3" s="1"/>
  <c r="M295" i="3" a="1"/>
  <c r="M295" i="3" s="1"/>
  <c r="L295" i="3" a="1"/>
  <c r="L295" i="3" s="1"/>
  <c r="K295" i="3" a="1"/>
  <c r="K295" i="3" s="1"/>
  <c r="J295" i="3" a="1"/>
  <c r="J295" i="3" s="1"/>
  <c r="I295" i="3" a="1"/>
  <c r="I295" i="3" s="1"/>
  <c r="G295" i="3" a="1"/>
  <c r="G295" i="3" s="1"/>
  <c r="F295" i="3" a="1"/>
  <c r="F295" i="3" s="1"/>
  <c r="E295" i="3" a="1"/>
  <c r="E295" i="3" s="1"/>
  <c r="D295" i="3" a="1"/>
  <c r="D295" i="3" s="1"/>
  <c r="C295" i="3" a="1"/>
  <c r="C295" i="3" s="1"/>
  <c r="B295" i="3" a="1"/>
  <c r="B295" i="3" s="1"/>
  <c r="Z294" i="3" a="1"/>
  <c r="Z294" i="3" s="1"/>
  <c r="Y294" i="3" a="1"/>
  <c r="Y294" i="3" s="1"/>
  <c r="X294" i="3" a="1"/>
  <c r="X294" i="3" s="1"/>
  <c r="W294" i="3" a="1"/>
  <c r="W294" i="3" s="1"/>
  <c r="V294" i="3" a="1"/>
  <c r="V294" i="3" s="1"/>
  <c r="U294" i="3" a="1"/>
  <c r="U294" i="3" s="1"/>
  <c r="T294" i="3" a="1"/>
  <c r="T294" i="3" s="1"/>
  <c r="S294" i="3" a="1"/>
  <c r="S294" i="3" s="1"/>
  <c r="R294" i="3" a="1"/>
  <c r="R294" i="3" s="1"/>
  <c r="Q294" i="3" a="1"/>
  <c r="Q294" i="3" s="1"/>
  <c r="P294" i="3" a="1"/>
  <c r="P294" i="3" s="1"/>
  <c r="O294" i="3" a="1"/>
  <c r="O294" i="3" s="1"/>
  <c r="N294" i="3" a="1"/>
  <c r="N294" i="3" s="1"/>
  <c r="M294" i="3" a="1"/>
  <c r="M294" i="3" s="1"/>
  <c r="L294" i="3" a="1"/>
  <c r="L294" i="3" s="1"/>
  <c r="K294" i="3" a="1"/>
  <c r="K294" i="3" s="1"/>
  <c r="J294" i="3" a="1"/>
  <c r="J294" i="3" s="1"/>
  <c r="I294" i="3" a="1"/>
  <c r="I294" i="3" s="1"/>
  <c r="G294" i="3" a="1"/>
  <c r="G294" i="3" s="1"/>
  <c r="F294" i="3" a="1"/>
  <c r="F294" i="3" s="1"/>
  <c r="E294" i="3" a="1"/>
  <c r="E294" i="3" s="1"/>
  <c r="D294" i="3" a="1"/>
  <c r="D294" i="3" s="1"/>
  <c r="C294" i="3" a="1"/>
  <c r="C294" i="3" s="1"/>
  <c r="B294" i="3" a="1"/>
  <c r="B294" i="3" s="1"/>
  <c r="Z293" i="3" a="1"/>
  <c r="Z293" i="3" s="1"/>
  <c r="Y293" i="3" a="1"/>
  <c r="Y293" i="3" s="1"/>
  <c r="X293" i="3" a="1"/>
  <c r="X293" i="3" s="1"/>
  <c r="W293" i="3" a="1"/>
  <c r="W293" i="3" s="1"/>
  <c r="V293" i="3" a="1"/>
  <c r="V293" i="3" s="1"/>
  <c r="U293" i="3" a="1"/>
  <c r="U293" i="3" s="1"/>
  <c r="T293" i="3" a="1"/>
  <c r="T293" i="3" s="1"/>
  <c r="S293" i="3" a="1"/>
  <c r="S293" i="3" s="1"/>
  <c r="R293" i="3" a="1"/>
  <c r="R293" i="3" s="1"/>
  <c r="Q293" i="3" a="1"/>
  <c r="Q293" i="3" s="1"/>
  <c r="P293" i="3" a="1"/>
  <c r="P293" i="3" s="1"/>
  <c r="O293" i="3" a="1"/>
  <c r="O293" i="3" s="1"/>
  <c r="N293" i="3" a="1"/>
  <c r="N293" i="3" s="1"/>
  <c r="M293" i="3" a="1"/>
  <c r="M293" i="3" s="1"/>
  <c r="L293" i="3" a="1"/>
  <c r="L293" i="3" s="1"/>
  <c r="K293" i="3" a="1"/>
  <c r="K293" i="3" s="1"/>
  <c r="J293" i="3" a="1"/>
  <c r="J293" i="3" s="1"/>
  <c r="I293" i="3" a="1"/>
  <c r="I293" i="3" s="1"/>
  <c r="G293" i="3" a="1"/>
  <c r="G293" i="3" s="1"/>
  <c r="F293" i="3" a="1"/>
  <c r="F293" i="3" s="1"/>
  <c r="E293" i="3" a="1"/>
  <c r="E293" i="3" s="1"/>
  <c r="D293" i="3" a="1"/>
  <c r="D293" i="3" s="1"/>
  <c r="C293" i="3" a="1"/>
  <c r="C293" i="3" s="1"/>
  <c r="B293" i="3" a="1"/>
  <c r="B293" i="3" s="1"/>
  <c r="Z292" i="3" a="1"/>
  <c r="Z292" i="3" s="1"/>
  <c r="Y292" i="3" a="1"/>
  <c r="Y292" i="3" s="1"/>
  <c r="X292" i="3" a="1"/>
  <c r="X292" i="3" s="1"/>
  <c r="W292" i="3" a="1"/>
  <c r="W292" i="3" s="1"/>
  <c r="V292" i="3" a="1"/>
  <c r="V292" i="3" s="1"/>
  <c r="U292" i="3" a="1"/>
  <c r="U292" i="3" s="1"/>
  <c r="T292" i="3" a="1"/>
  <c r="T292" i="3" s="1"/>
  <c r="S292" i="3" a="1"/>
  <c r="S292" i="3" s="1"/>
  <c r="R292" i="3" a="1"/>
  <c r="R292" i="3" s="1"/>
  <c r="Q292" i="3" a="1"/>
  <c r="Q292" i="3" s="1"/>
  <c r="P292" i="3" a="1"/>
  <c r="P292" i="3" s="1"/>
  <c r="O292" i="3" a="1"/>
  <c r="O292" i="3" s="1"/>
  <c r="N292" i="3" a="1"/>
  <c r="N292" i="3" s="1"/>
  <c r="M292" i="3" a="1"/>
  <c r="M292" i="3" s="1"/>
  <c r="L292" i="3" a="1"/>
  <c r="L292" i="3" s="1"/>
  <c r="K292" i="3" a="1"/>
  <c r="K292" i="3" s="1"/>
  <c r="J292" i="3" a="1"/>
  <c r="J292" i="3" s="1"/>
  <c r="I292" i="3" a="1"/>
  <c r="I292" i="3" s="1"/>
  <c r="G292" i="3" a="1"/>
  <c r="G292" i="3" s="1"/>
  <c r="F292" i="3" a="1"/>
  <c r="F292" i="3" s="1"/>
  <c r="E292" i="3" a="1"/>
  <c r="E292" i="3" s="1"/>
  <c r="D292" i="3" a="1"/>
  <c r="D292" i="3" s="1"/>
  <c r="C292" i="3" a="1"/>
  <c r="C292" i="3" s="1"/>
  <c r="B292" i="3" a="1"/>
  <c r="B292" i="3" s="1"/>
  <c r="Q288" i="3" a="1"/>
  <c r="Q288" i="3" s="1"/>
  <c r="P288" i="3" a="1"/>
  <c r="P288" i="3" s="1"/>
  <c r="O288" i="3" a="1"/>
  <c r="O288" i="3" s="1"/>
  <c r="N288" i="3" a="1"/>
  <c r="N288" i="3" s="1"/>
  <c r="M288" i="3" a="1"/>
  <c r="M288" i="3" s="1"/>
  <c r="L288" i="3" a="1"/>
  <c r="L288" i="3" s="1"/>
  <c r="K288" i="3" a="1"/>
  <c r="K288" i="3" s="1"/>
  <c r="J288" i="3" a="1"/>
  <c r="J288" i="3" s="1"/>
  <c r="I288" i="3" a="1"/>
  <c r="I288" i="3" s="1"/>
  <c r="G288" i="3" a="1"/>
  <c r="G288" i="3" s="1"/>
  <c r="F288" i="3" a="1"/>
  <c r="F288" i="3" s="1"/>
  <c r="E288" i="3" a="1"/>
  <c r="E288" i="3" s="1"/>
  <c r="D288" i="3" a="1"/>
  <c r="D288" i="3" s="1"/>
  <c r="C288" i="3" a="1"/>
  <c r="C288" i="3" s="1"/>
  <c r="B288" i="3" a="1"/>
  <c r="B288" i="3" s="1"/>
  <c r="Q287" i="3" a="1"/>
  <c r="Q287" i="3" s="1"/>
  <c r="P287" i="3" a="1"/>
  <c r="P287" i="3" s="1"/>
  <c r="O287" i="3" a="1"/>
  <c r="O287" i="3" s="1"/>
  <c r="N287" i="3" a="1"/>
  <c r="N287" i="3" s="1"/>
  <c r="M287" i="3" a="1"/>
  <c r="M287" i="3" s="1"/>
  <c r="L287" i="3" a="1"/>
  <c r="L287" i="3" s="1"/>
  <c r="K287" i="3" a="1"/>
  <c r="K287" i="3" s="1"/>
  <c r="J287" i="3" a="1"/>
  <c r="J287" i="3" s="1"/>
  <c r="I287" i="3" a="1"/>
  <c r="I287" i="3" s="1"/>
  <c r="G287" i="3" a="1"/>
  <c r="G287" i="3" s="1"/>
  <c r="F287" i="3" a="1"/>
  <c r="F287" i="3" s="1"/>
  <c r="E287" i="3" a="1"/>
  <c r="E287" i="3" s="1"/>
  <c r="D287" i="3" a="1"/>
  <c r="D287" i="3" s="1"/>
  <c r="C287" i="3" a="1"/>
  <c r="C287" i="3" s="1"/>
  <c r="B287" i="3" a="1"/>
  <c r="B287" i="3" s="1"/>
  <c r="T286" i="3" a="1"/>
  <c r="T286" i="3" s="1"/>
  <c r="Q286" i="3" a="1"/>
  <c r="Q286" i="3" s="1"/>
  <c r="P286" i="3" a="1"/>
  <c r="P286" i="3" s="1"/>
  <c r="O286" i="3" a="1"/>
  <c r="O286" i="3" s="1"/>
  <c r="N286" i="3" a="1"/>
  <c r="N286" i="3" s="1"/>
  <c r="M286" i="3" a="1"/>
  <c r="M286" i="3" s="1"/>
  <c r="L286" i="3" a="1"/>
  <c r="L286" i="3" s="1"/>
  <c r="K286" i="3" a="1"/>
  <c r="K286" i="3" s="1"/>
  <c r="J286" i="3" a="1"/>
  <c r="J286" i="3" s="1"/>
  <c r="I286" i="3" a="1"/>
  <c r="I286" i="3" s="1"/>
  <c r="G286" i="3" a="1"/>
  <c r="G286" i="3" s="1"/>
  <c r="F286" i="3" a="1"/>
  <c r="F286" i="3" s="1"/>
  <c r="E286" i="3" a="1"/>
  <c r="E286" i="3" s="1"/>
  <c r="D286" i="3" a="1"/>
  <c r="D286" i="3" s="1"/>
  <c r="C286" i="3" a="1"/>
  <c r="C286" i="3" s="1"/>
  <c r="B286" i="3" a="1"/>
  <c r="B286" i="3" s="1"/>
  <c r="Z282" i="3" a="1"/>
  <c r="Z282" i="3" s="1"/>
  <c r="Y282" i="3" a="1"/>
  <c r="Y282" i="3" s="1"/>
  <c r="X282" i="3" a="1"/>
  <c r="X282" i="3" s="1"/>
  <c r="W282" i="3" a="1"/>
  <c r="W282" i="3" s="1"/>
  <c r="V282" i="3" a="1"/>
  <c r="V282" i="3" s="1"/>
  <c r="U282" i="3" a="1"/>
  <c r="U282" i="3" s="1"/>
  <c r="T282" i="3" a="1"/>
  <c r="T282" i="3" s="1"/>
  <c r="S282" i="3" a="1"/>
  <c r="S282" i="3" s="1"/>
  <c r="R282" i="3" a="1"/>
  <c r="R282" i="3" s="1"/>
  <c r="Q282" i="3" a="1"/>
  <c r="Q282" i="3" s="1"/>
  <c r="P282" i="3" a="1"/>
  <c r="P282" i="3" s="1"/>
  <c r="O282" i="3" a="1"/>
  <c r="O282" i="3" s="1"/>
  <c r="N282" i="3" a="1"/>
  <c r="N282" i="3" s="1"/>
  <c r="M282" i="3" a="1"/>
  <c r="M282" i="3" s="1"/>
  <c r="L282" i="3" a="1"/>
  <c r="L282" i="3" s="1"/>
  <c r="K282" i="3" a="1"/>
  <c r="K282" i="3" s="1"/>
  <c r="J282" i="3" a="1"/>
  <c r="J282" i="3" s="1"/>
  <c r="I282" i="3" a="1"/>
  <c r="I282" i="3" s="1"/>
  <c r="G282" i="3" a="1"/>
  <c r="G282" i="3" s="1"/>
  <c r="F282" i="3" a="1"/>
  <c r="F282" i="3" s="1"/>
  <c r="E282" i="3" a="1"/>
  <c r="E282" i="3" s="1"/>
  <c r="D282" i="3" a="1"/>
  <c r="D282" i="3" s="1"/>
  <c r="C282" i="3" a="1"/>
  <c r="C282" i="3" s="1"/>
  <c r="B282" i="3" a="1"/>
  <c r="B282" i="3" s="1"/>
  <c r="Z281" i="3" a="1"/>
  <c r="Z281" i="3" s="1"/>
  <c r="Y281" i="3" a="1"/>
  <c r="Y281" i="3" s="1"/>
  <c r="X281" i="3" a="1"/>
  <c r="X281" i="3" s="1"/>
  <c r="W281" i="3" a="1"/>
  <c r="W281" i="3" s="1"/>
  <c r="V281" i="3" a="1"/>
  <c r="V281" i="3" s="1"/>
  <c r="U281" i="3" a="1"/>
  <c r="U281" i="3" s="1"/>
  <c r="T281" i="3" a="1"/>
  <c r="T281" i="3" s="1"/>
  <c r="S281" i="3" a="1"/>
  <c r="S281" i="3" s="1"/>
  <c r="R281" i="3" a="1"/>
  <c r="R281" i="3" s="1"/>
  <c r="Q281" i="3" a="1"/>
  <c r="Q281" i="3" s="1"/>
  <c r="P281" i="3" a="1"/>
  <c r="P281" i="3" s="1"/>
  <c r="O281" i="3" a="1"/>
  <c r="O281" i="3" s="1"/>
  <c r="N281" i="3" a="1"/>
  <c r="N281" i="3" s="1"/>
  <c r="M281" i="3" a="1"/>
  <c r="M281" i="3" s="1"/>
  <c r="L281" i="3" a="1"/>
  <c r="L281" i="3" s="1"/>
  <c r="K281" i="3" a="1"/>
  <c r="K281" i="3" s="1"/>
  <c r="J281" i="3" a="1"/>
  <c r="J281" i="3" s="1"/>
  <c r="I281" i="3" a="1"/>
  <c r="I281" i="3" s="1"/>
  <c r="G281" i="3" a="1"/>
  <c r="G281" i="3" s="1"/>
  <c r="F281" i="3" a="1"/>
  <c r="F281" i="3" s="1"/>
  <c r="E281" i="3" a="1"/>
  <c r="E281" i="3" s="1"/>
  <c r="D281" i="3" a="1"/>
  <c r="D281" i="3" s="1"/>
  <c r="C281" i="3" a="1"/>
  <c r="C281" i="3" s="1"/>
  <c r="B281" i="3" a="1"/>
  <c r="B281" i="3" s="1"/>
  <c r="Z280" i="3" a="1"/>
  <c r="Z280" i="3" s="1"/>
  <c r="Y280" i="3" a="1"/>
  <c r="Y280" i="3" s="1"/>
  <c r="X280" i="3" a="1"/>
  <c r="X280" i="3" s="1"/>
  <c r="W280" i="3" a="1"/>
  <c r="W280" i="3" s="1"/>
  <c r="V280" i="3" a="1"/>
  <c r="V280" i="3" s="1"/>
  <c r="U280" i="3" a="1"/>
  <c r="U280" i="3" s="1"/>
  <c r="T280" i="3" a="1"/>
  <c r="T280" i="3" s="1"/>
  <c r="S280" i="3" a="1"/>
  <c r="S280" i="3" s="1"/>
  <c r="R280" i="3" a="1"/>
  <c r="R280" i="3" s="1"/>
  <c r="Q280" i="3" a="1"/>
  <c r="Q280" i="3" s="1"/>
  <c r="P280" i="3" a="1"/>
  <c r="P280" i="3" s="1"/>
  <c r="O280" i="3" a="1"/>
  <c r="O280" i="3" s="1"/>
  <c r="N280" i="3" a="1"/>
  <c r="N280" i="3" s="1"/>
  <c r="M280" i="3" a="1"/>
  <c r="M280" i="3" s="1"/>
  <c r="L280" i="3" a="1"/>
  <c r="L280" i="3" s="1"/>
  <c r="K280" i="3" a="1"/>
  <c r="K280" i="3" s="1"/>
  <c r="J280" i="3" a="1"/>
  <c r="J280" i="3" s="1"/>
  <c r="I280" i="3" a="1"/>
  <c r="I280" i="3" s="1"/>
  <c r="G280" i="3" a="1"/>
  <c r="G280" i="3" s="1"/>
  <c r="F280" i="3" a="1"/>
  <c r="F280" i="3" s="1"/>
  <c r="E280" i="3" a="1"/>
  <c r="E280" i="3" s="1"/>
  <c r="D280" i="3" a="1"/>
  <c r="D280" i="3" s="1"/>
  <c r="C280" i="3" a="1"/>
  <c r="C280" i="3" s="1"/>
  <c r="B280" i="3" a="1"/>
  <c r="B280" i="3" s="1"/>
  <c r="Z279" i="3" a="1"/>
  <c r="Z279" i="3" s="1"/>
  <c r="Y279" i="3" a="1"/>
  <c r="Y279" i="3" s="1"/>
  <c r="X279" i="3" a="1"/>
  <c r="X279" i="3" s="1"/>
  <c r="W279" i="3" a="1"/>
  <c r="W279" i="3" s="1"/>
  <c r="V279" i="3" a="1"/>
  <c r="V279" i="3" s="1"/>
  <c r="U279" i="3" a="1"/>
  <c r="U279" i="3" s="1"/>
  <c r="T279" i="3" a="1"/>
  <c r="T279" i="3" s="1"/>
  <c r="S279" i="3" a="1"/>
  <c r="S279" i="3" s="1"/>
  <c r="R279" i="3" a="1"/>
  <c r="R279" i="3" s="1"/>
  <c r="Q279" i="3" a="1"/>
  <c r="Q279" i="3" s="1"/>
  <c r="P279" i="3" a="1"/>
  <c r="P279" i="3" s="1"/>
  <c r="O279" i="3" a="1"/>
  <c r="O279" i="3" s="1"/>
  <c r="N279" i="3" a="1"/>
  <c r="N279" i="3" s="1"/>
  <c r="M279" i="3" a="1"/>
  <c r="M279" i="3" s="1"/>
  <c r="L279" i="3" a="1"/>
  <c r="L279" i="3" s="1"/>
  <c r="K279" i="3" a="1"/>
  <c r="K279" i="3" s="1"/>
  <c r="J279" i="3" a="1"/>
  <c r="J279" i="3" s="1"/>
  <c r="I279" i="3" a="1"/>
  <c r="I279" i="3" s="1"/>
  <c r="G279" i="3" a="1"/>
  <c r="G279" i="3" s="1"/>
  <c r="F279" i="3" a="1"/>
  <c r="F279" i="3" s="1"/>
  <c r="E279" i="3" a="1"/>
  <c r="E279" i="3" s="1"/>
  <c r="D279" i="3" a="1"/>
  <c r="D279" i="3" s="1"/>
  <c r="C279" i="3" a="1"/>
  <c r="C279" i="3" s="1"/>
  <c r="B279" i="3" a="1"/>
  <c r="B279" i="3" s="1"/>
  <c r="Z278" i="3" a="1"/>
  <c r="Z278" i="3" s="1"/>
  <c r="Y278" i="3" a="1"/>
  <c r="Y278" i="3" s="1"/>
  <c r="X278" i="3" a="1"/>
  <c r="X278" i="3" s="1"/>
  <c r="W278" i="3" a="1"/>
  <c r="W278" i="3" s="1"/>
  <c r="V278" i="3" a="1"/>
  <c r="V278" i="3" s="1"/>
  <c r="U278" i="3" a="1"/>
  <c r="U278" i="3" s="1"/>
  <c r="T278" i="3" a="1"/>
  <c r="T278" i="3" s="1"/>
  <c r="S278" i="3" a="1"/>
  <c r="S278" i="3" s="1"/>
  <c r="R278" i="3" a="1"/>
  <c r="R278" i="3" s="1"/>
  <c r="Q278" i="3" a="1"/>
  <c r="Q278" i="3" s="1"/>
  <c r="P278" i="3" a="1"/>
  <c r="P278" i="3" s="1"/>
  <c r="O278" i="3" a="1"/>
  <c r="O278" i="3" s="1"/>
  <c r="N278" i="3" a="1"/>
  <c r="N278" i="3" s="1"/>
  <c r="M278" i="3" a="1"/>
  <c r="M278" i="3" s="1"/>
  <c r="L278" i="3" a="1"/>
  <c r="L278" i="3" s="1"/>
  <c r="K278" i="3" a="1"/>
  <c r="K278" i="3" s="1"/>
  <c r="J278" i="3" a="1"/>
  <c r="J278" i="3" s="1"/>
  <c r="I278" i="3" a="1"/>
  <c r="I278" i="3" s="1"/>
  <c r="G278" i="3" a="1"/>
  <c r="G278" i="3" s="1"/>
  <c r="F278" i="3" a="1"/>
  <c r="F278" i="3" s="1"/>
  <c r="E278" i="3" a="1"/>
  <c r="E278" i="3" s="1"/>
  <c r="D278" i="3" a="1"/>
  <c r="D278" i="3" s="1"/>
  <c r="C278" i="3" a="1"/>
  <c r="C278" i="3" s="1"/>
  <c r="B278" i="3" a="1"/>
  <c r="B278" i="3" s="1"/>
  <c r="Z277" i="3" a="1"/>
  <c r="Z277" i="3" s="1"/>
  <c r="Y277" i="3" a="1"/>
  <c r="Y277" i="3" s="1"/>
  <c r="X277" i="3" a="1"/>
  <c r="X277" i="3" s="1"/>
  <c r="W277" i="3" a="1"/>
  <c r="W277" i="3" s="1"/>
  <c r="V277" i="3" a="1"/>
  <c r="V277" i="3" s="1"/>
  <c r="U277" i="3" a="1"/>
  <c r="U277" i="3" s="1"/>
  <c r="T277" i="3" a="1"/>
  <c r="T277" i="3" s="1"/>
  <c r="S277" i="3" a="1"/>
  <c r="S277" i="3" s="1"/>
  <c r="R277" i="3" a="1"/>
  <c r="R277" i="3" s="1"/>
  <c r="Q277" i="3" a="1"/>
  <c r="Q277" i="3" s="1"/>
  <c r="P277" i="3" a="1"/>
  <c r="P277" i="3" s="1"/>
  <c r="O277" i="3" a="1"/>
  <c r="O277" i="3" s="1"/>
  <c r="N277" i="3" a="1"/>
  <c r="N277" i="3" s="1"/>
  <c r="M277" i="3" a="1"/>
  <c r="M277" i="3" s="1"/>
  <c r="L277" i="3" a="1"/>
  <c r="L277" i="3" s="1"/>
  <c r="K277" i="3" a="1"/>
  <c r="K277" i="3" s="1"/>
  <c r="J277" i="3" a="1"/>
  <c r="J277" i="3" s="1"/>
  <c r="I277" i="3" a="1"/>
  <c r="I277" i="3" s="1"/>
  <c r="G277" i="3" a="1"/>
  <c r="G277" i="3" s="1"/>
  <c r="F277" i="3" a="1"/>
  <c r="F277" i="3" s="1"/>
  <c r="E277" i="3" a="1"/>
  <c r="E277" i="3" s="1"/>
  <c r="D277" i="3" a="1"/>
  <c r="D277" i="3" s="1"/>
  <c r="C277" i="3" a="1"/>
  <c r="C277" i="3" s="1"/>
  <c r="B277" i="3" a="1"/>
  <c r="B277" i="3" s="1"/>
  <c r="Z276" i="3" a="1"/>
  <c r="Z276" i="3" s="1"/>
  <c r="Y276" i="3" a="1"/>
  <c r="Y276" i="3" s="1"/>
  <c r="X276" i="3" a="1"/>
  <c r="X276" i="3" s="1"/>
  <c r="W276" i="3" a="1"/>
  <c r="W276" i="3" s="1"/>
  <c r="V276" i="3" a="1"/>
  <c r="V276" i="3" s="1"/>
  <c r="U276" i="3" a="1"/>
  <c r="U276" i="3" s="1"/>
  <c r="T276" i="3" a="1"/>
  <c r="T276" i="3" s="1"/>
  <c r="S276" i="3" a="1"/>
  <c r="S276" i="3" s="1"/>
  <c r="R276" i="3" a="1"/>
  <c r="R276" i="3" s="1"/>
  <c r="Q276" i="3" a="1"/>
  <c r="Q276" i="3" s="1"/>
  <c r="P276" i="3" a="1"/>
  <c r="P276" i="3" s="1"/>
  <c r="O276" i="3" a="1"/>
  <c r="O276" i="3" s="1"/>
  <c r="N276" i="3" a="1"/>
  <c r="N276" i="3" s="1"/>
  <c r="M276" i="3" a="1"/>
  <c r="M276" i="3" s="1"/>
  <c r="L276" i="3" a="1"/>
  <c r="L276" i="3" s="1"/>
  <c r="K276" i="3" a="1"/>
  <c r="K276" i="3" s="1"/>
  <c r="J276" i="3" a="1"/>
  <c r="J276" i="3" s="1"/>
  <c r="I276" i="3" a="1"/>
  <c r="I276" i="3" s="1"/>
  <c r="G276" i="3" a="1"/>
  <c r="G276" i="3" s="1"/>
  <c r="F276" i="3" a="1"/>
  <c r="F276" i="3" s="1"/>
  <c r="E276" i="3" a="1"/>
  <c r="E276" i="3" s="1"/>
  <c r="D276" i="3" a="1"/>
  <c r="D276" i="3" s="1"/>
  <c r="C276" i="3" a="1"/>
  <c r="C276" i="3" s="1"/>
  <c r="B276" i="3" a="1"/>
  <c r="B276" i="3" s="1"/>
  <c r="Z275" i="3" a="1"/>
  <c r="Z275" i="3" s="1"/>
  <c r="Y275" i="3" a="1"/>
  <c r="Y275" i="3" s="1"/>
  <c r="X275" i="3" a="1"/>
  <c r="X275" i="3" s="1"/>
  <c r="W275" i="3" a="1"/>
  <c r="W275" i="3" s="1"/>
  <c r="V275" i="3" a="1"/>
  <c r="V275" i="3" s="1"/>
  <c r="U275" i="3" a="1"/>
  <c r="U275" i="3" s="1"/>
  <c r="T275" i="3" a="1"/>
  <c r="T275" i="3" s="1"/>
  <c r="S275" i="3" a="1"/>
  <c r="S275" i="3" s="1"/>
  <c r="R275" i="3" a="1"/>
  <c r="R275" i="3" s="1"/>
  <c r="Q275" i="3" a="1"/>
  <c r="Q275" i="3" s="1"/>
  <c r="P275" i="3" a="1"/>
  <c r="P275" i="3" s="1"/>
  <c r="O275" i="3" a="1"/>
  <c r="O275" i="3" s="1"/>
  <c r="N275" i="3" a="1"/>
  <c r="N275" i="3" s="1"/>
  <c r="M275" i="3" a="1"/>
  <c r="M275" i="3" s="1"/>
  <c r="L275" i="3" a="1"/>
  <c r="L275" i="3" s="1"/>
  <c r="K275" i="3" a="1"/>
  <c r="K275" i="3" s="1"/>
  <c r="J275" i="3" a="1"/>
  <c r="J275" i="3" s="1"/>
  <c r="I275" i="3" a="1"/>
  <c r="I275" i="3" s="1"/>
  <c r="G275" i="3" a="1"/>
  <c r="G275" i="3" s="1"/>
  <c r="F275" i="3" a="1"/>
  <c r="F275" i="3" s="1"/>
  <c r="E275" i="3" a="1"/>
  <c r="E275" i="3" s="1"/>
  <c r="D275" i="3" a="1"/>
  <c r="D275" i="3" s="1"/>
  <c r="C275" i="3" a="1"/>
  <c r="C275" i="3" s="1"/>
  <c r="B275" i="3" a="1"/>
  <c r="B275" i="3" s="1"/>
  <c r="Z274" i="3" a="1"/>
  <c r="Z274" i="3" s="1"/>
  <c r="Y274" i="3" a="1"/>
  <c r="Y274" i="3" s="1"/>
  <c r="X274" i="3" a="1"/>
  <c r="X274" i="3" s="1"/>
  <c r="W274" i="3" a="1"/>
  <c r="W274" i="3" s="1"/>
  <c r="V274" i="3" a="1"/>
  <c r="V274" i="3" s="1"/>
  <c r="U274" i="3" a="1"/>
  <c r="U274" i="3" s="1"/>
  <c r="T274" i="3" a="1"/>
  <c r="T274" i="3" s="1"/>
  <c r="S274" i="3" a="1"/>
  <c r="S274" i="3" s="1"/>
  <c r="R274" i="3" a="1"/>
  <c r="R274" i="3" s="1"/>
  <c r="Q274" i="3" a="1"/>
  <c r="Q274" i="3" s="1"/>
  <c r="P274" i="3" a="1"/>
  <c r="P274" i="3" s="1"/>
  <c r="O274" i="3" a="1"/>
  <c r="O274" i="3" s="1"/>
  <c r="N274" i="3" a="1"/>
  <c r="N274" i="3" s="1"/>
  <c r="M274" i="3" a="1"/>
  <c r="M274" i="3" s="1"/>
  <c r="L274" i="3" a="1"/>
  <c r="L274" i="3" s="1"/>
  <c r="K274" i="3" a="1"/>
  <c r="K274" i="3" s="1"/>
  <c r="J274" i="3" a="1"/>
  <c r="J274" i="3" s="1"/>
  <c r="I274" i="3" a="1"/>
  <c r="I274" i="3" s="1"/>
  <c r="G274" i="3" a="1"/>
  <c r="G274" i="3" s="1"/>
  <c r="F274" i="3" a="1"/>
  <c r="F274" i="3" s="1"/>
  <c r="E274" i="3" a="1"/>
  <c r="E274" i="3" s="1"/>
  <c r="D274" i="3" a="1"/>
  <c r="D274" i="3" s="1"/>
  <c r="C274" i="3" a="1"/>
  <c r="C274" i="3" s="1"/>
  <c r="B274" i="3" a="1"/>
  <c r="B274" i="3" s="1"/>
  <c r="Z273" i="3" a="1"/>
  <c r="Z273" i="3" s="1"/>
  <c r="Y273" i="3" a="1"/>
  <c r="Y273" i="3" s="1"/>
  <c r="X273" i="3" a="1"/>
  <c r="X273" i="3" s="1"/>
  <c r="W273" i="3" a="1"/>
  <c r="W273" i="3" s="1"/>
  <c r="V273" i="3" a="1"/>
  <c r="V273" i="3" s="1"/>
  <c r="U273" i="3" a="1"/>
  <c r="U273" i="3" s="1"/>
  <c r="T273" i="3" a="1"/>
  <c r="T273" i="3" s="1"/>
  <c r="S273" i="3" a="1"/>
  <c r="S273" i="3" s="1"/>
  <c r="R273" i="3" a="1"/>
  <c r="R273" i="3" s="1"/>
  <c r="Q273" i="3" a="1"/>
  <c r="Q273" i="3" s="1"/>
  <c r="P273" i="3" a="1"/>
  <c r="P273" i="3" s="1"/>
  <c r="O273" i="3" a="1"/>
  <c r="O273" i="3" s="1"/>
  <c r="N273" i="3" a="1"/>
  <c r="N273" i="3" s="1"/>
  <c r="M273" i="3" a="1"/>
  <c r="M273" i="3" s="1"/>
  <c r="L273" i="3" a="1"/>
  <c r="L273" i="3" s="1"/>
  <c r="K273" i="3" a="1"/>
  <c r="K273" i="3" s="1"/>
  <c r="J273" i="3" a="1"/>
  <c r="J273" i="3" s="1"/>
  <c r="I273" i="3" a="1"/>
  <c r="I273" i="3" s="1"/>
  <c r="G273" i="3" a="1"/>
  <c r="G273" i="3" s="1"/>
  <c r="F273" i="3" a="1"/>
  <c r="F273" i="3" s="1"/>
  <c r="E273" i="3" a="1"/>
  <c r="E273" i="3" s="1"/>
  <c r="D273" i="3" a="1"/>
  <c r="D273" i="3" s="1"/>
  <c r="C273" i="3" a="1"/>
  <c r="C273" i="3" s="1"/>
  <c r="B273" i="3" a="1"/>
  <c r="B273" i="3" s="1"/>
  <c r="Z272" i="3" a="1"/>
  <c r="Z272" i="3" s="1"/>
  <c r="Y272" i="3" a="1"/>
  <c r="Y272" i="3" s="1"/>
  <c r="X272" i="3" a="1"/>
  <c r="X272" i="3" s="1"/>
  <c r="W272" i="3" a="1"/>
  <c r="W272" i="3" s="1"/>
  <c r="V272" i="3" a="1"/>
  <c r="V272" i="3" s="1"/>
  <c r="U272" i="3" a="1"/>
  <c r="U272" i="3" s="1"/>
  <c r="T272" i="3" a="1"/>
  <c r="T272" i="3" s="1"/>
  <c r="S272" i="3" a="1"/>
  <c r="S272" i="3" s="1"/>
  <c r="R272" i="3" a="1"/>
  <c r="R272" i="3" s="1"/>
  <c r="Q272" i="3" a="1"/>
  <c r="Q272" i="3" s="1"/>
  <c r="P272" i="3" a="1"/>
  <c r="P272" i="3" s="1"/>
  <c r="O272" i="3" a="1"/>
  <c r="O272" i="3" s="1"/>
  <c r="N272" i="3" a="1"/>
  <c r="N272" i="3" s="1"/>
  <c r="M272" i="3" a="1"/>
  <c r="M272" i="3" s="1"/>
  <c r="L272" i="3" a="1"/>
  <c r="L272" i="3" s="1"/>
  <c r="K272" i="3" a="1"/>
  <c r="K272" i="3" s="1"/>
  <c r="J272" i="3" a="1"/>
  <c r="J272" i="3" s="1"/>
  <c r="I272" i="3" a="1"/>
  <c r="I272" i="3" s="1"/>
  <c r="G272" i="3" a="1"/>
  <c r="G272" i="3" s="1"/>
  <c r="F272" i="3" a="1"/>
  <c r="F272" i="3" s="1"/>
  <c r="E272" i="3" a="1"/>
  <c r="E272" i="3" s="1"/>
  <c r="D272" i="3" a="1"/>
  <c r="D272" i="3" s="1"/>
  <c r="C272" i="3" a="1"/>
  <c r="C272" i="3" s="1"/>
  <c r="B272" i="3" a="1"/>
  <c r="B272" i="3" s="1"/>
  <c r="Z271" i="3" a="1"/>
  <c r="Z271" i="3" s="1"/>
  <c r="Y271" i="3" a="1"/>
  <c r="Y271" i="3" s="1"/>
  <c r="X271" i="3" a="1"/>
  <c r="X271" i="3" s="1"/>
  <c r="W271" i="3" a="1"/>
  <c r="W271" i="3" s="1"/>
  <c r="V271" i="3" a="1"/>
  <c r="V271" i="3" s="1"/>
  <c r="U271" i="3" a="1"/>
  <c r="U271" i="3" s="1"/>
  <c r="T271" i="3" a="1"/>
  <c r="T271" i="3" s="1"/>
  <c r="S271" i="3" a="1"/>
  <c r="S271" i="3" s="1"/>
  <c r="R271" i="3" a="1"/>
  <c r="R271" i="3" s="1"/>
  <c r="Q271" i="3" a="1"/>
  <c r="Q271" i="3" s="1"/>
  <c r="P271" i="3" a="1"/>
  <c r="P271" i="3" s="1"/>
  <c r="O271" i="3" a="1"/>
  <c r="O271" i="3" s="1"/>
  <c r="N271" i="3" a="1"/>
  <c r="N271" i="3" s="1"/>
  <c r="M271" i="3" a="1"/>
  <c r="M271" i="3" s="1"/>
  <c r="L271" i="3" a="1"/>
  <c r="L271" i="3" s="1"/>
  <c r="K271" i="3" a="1"/>
  <c r="K271" i="3" s="1"/>
  <c r="J271" i="3" a="1"/>
  <c r="J271" i="3" s="1"/>
  <c r="I271" i="3" a="1"/>
  <c r="I271" i="3" s="1"/>
  <c r="G271" i="3" a="1"/>
  <c r="G271" i="3" s="1"/>
  <c r="F271" i="3" a="1"/>
  <c r="F271" i="3" s="1"/>
  <c r="E271" i="3" a="1"/>
  <c r="E271" i="3" s="1"/>
  <c r="D271" i="3" a="1"/>
  <c r="D271" i="3" s="1"/>
  <c r="C271" i="3" a="1"/>
  <c r="C271" i="3" s="1"/>
  <c r="B271" i="3" a="1"/>
  <c r="B271" i="3" s="1"/>
  <c r="Z270" i="3" a="1"/>
  <c r="Z270" i="3" s="1"/>
  <c r="Y270" i="3" a="1"/>
  <c r="Y270" i="3" s="1"/>
  <c r="X270" i="3" a="1"/>
  <c r="X270" i="3" s="1"/>
  <c r="W270" i="3" a="1"/>
  <c r="W270" i="3" s="1"/>
  <c r="V270" i="3" a="1"/>
  <c r="V270" i="3" s="1"/>
  <c r="U270" i="3" a="1"/>
  <c r="U270" i="3" s="1"/>
  <c r="T270" i="3" a="1"/>
  <c r="T270" i="3" s="1"/>
  <c r="S270" i="3" a="1"/>
  <c r="S270" i="3" s="1"/>
  <c r="R270" i="3" a="1"/>
  <c r="R270" i="3" s="1"/>
  <c r="Q270" i="3" a="1"/>
  <c r="Q270" i="3" s="1"/>
  <c r="P270" i="3" a="1"/>
  <c r="P270" i="3" s="1"/>
  <c r="O270" i="3" a="1"/>
  <c r="O270" i="3" s="1"/>
  <c r="N270" i="3" a="1"/>
  <c r="N270" i="3" s="1"/>
  <c r="M270" i="3" a="1"/>
  <c r="M270" i="3" s="1"/>
  <c r="L270" i="3" a="1"/>
  <c r="L270" i="3" s="1"/>
  <c r="K270" i="3" a="1"/>
  <c r="K270" i="3" s="1"/>
  <c r="J270" i="3" a="1"/>
  <c r="J270" i="3" s="1"/>
  <c r="I270" i="3" a="1"/>
  <c r="I270" i="3" s="1"/>
  <c r="G270" i="3" a="1"/>
  <c r="G270" i="3" s="1"/>
  <c r="F270" i="3" a="1"/>
  <c r="F270" i="3" s="1"/>
  <c r="E270" i="3" a="1"/>
  <c r="E270" i="3" s="1"/>
  <c r="D270" i="3" a="1"/>
  <c r="D270" i="3" s="1"/>
  <c r="C270" i="3" a="1"/>
  <c r="C270" i="3" s="1"/>
  <c r="B270" i="3" a="1"/>
  <c r="B270" i="3" s="1"/>
  <c r="Z269" i="3" a="1"/>
  <c r="Z269" i="3" s="1"/>
  <c r="Y269" i="3" a="1"/>
  <c r="Y269" i="3" s="1"/>
  <c r="X269" i="3" a="1"/>
  <c r="X269" i="3" s="1"/>
  <c r="W269" i="3" a="1"/>
  <c r="W269" i="3" s="1"/>
  <c r="V269" i="3" a="1"/>
  <c r="V269" i="3" s="1"/>
  <c r="U269" i="3" a="1"/>
  <c r="U269" i="3" s="1"/>
  <c r="T269" i="3" a="1"/>
  <c r="T269" i="3" s="1"/>
  <c r="S269" i="3" a="1"/>
  <c r="S269" i="3" s="1"/>
  <c r="R269" i="3" a="1"/>
  <c r="R269" i="3" s="1"/>
  <c r="Q269" i="3" a="1"/>
  <c r="Q269" i="3" s="1"/>
  <c r="P269" i="3" a="1"/>
  <c r="P269" i="3" s="1"/>
  <c r="O269" i="3" a="1"/>
  <c r="O269" i="3" s="1"/>
  <c r="N269" i="3" a="1"/>
  <c r="N269" i="3" s="1"/>
  <c r="M269" i="3" a="1"/>
  <c r="M269" i="3" s="1"/>
  <c r="L269" i="3" a="1"/>
  <c r="L269" i="3" s="1"/>
  <c r="K269" i="3" a="1"/>
  <c r="K269" i="3" s="1"/>
  <c r="J269" i="3" a="1"/>
  <c r="J269" i="3" s="1"/>
  <c r="I269" i="3" a="1"/>
  <c r="I269" i="3" s="1"/>
  <c r="G269" i="3" a="1"/>
  <c r="G269" i="3" s="1"/>
  <c r="F269" i="3" a="1"/>
  <c r="F269" i="3" s="1"/>
  <c r="E269" i="3" a="1"/>
  <c r="E269" i="3" s="1"/>
  <c r="D269" i="3" a="1"/>
  <c r="D269" i="3" s="1"/>
  <c r="C269" i="3" a="1"/>
  <c r="C269" i="3" s="1"/>
  <c r="B269" i="3" a="1"/>
  <c r="B269" i="3" s="1"/>
  <c r="Z268" i="3" a="1"/>
  <c r="Z268" i="3" s="1"/>
  <c r="Y268" i="3" a="1"/>
  <c r="Y268" i="3" s="1"/>
  <c r="X268" i="3" a="1"/>
  <c r="X268" i="3" s="1"/>
  <c r="W268" i="3" a="1"/>
  <c r="W268" i="3" s="1"/>
  <c r="V268" i="3" a="1"/>
  <c r="V268" i="3" s="1"/>
  <c r="U268" i="3" a="1"/>
  <c r="U268" i="3" s="1"/>
  <c r="T268" i="3" a="1"/>
  <c r="T268" i="3" s="1"/>
  <c r="S268" i="3" a="1"/>
  <c r="S268" i="3" s="1"/>
  <c r="R268" i="3" a="1"/>
  <c r="R268" i="3" s="1"/>
  <c r="Q268" i="3" a="1"/>
  <c r="Q268" i="3" s="1"/>
  <c r="P268" i="3" a="1"/>
  <c r="P268" i="3" s="1"/>
  <c r="O268" i="3" a="1"/>
  <c r="O268" i="3" s="1"/>
  <c r="N268" i="3" a="1"/>
  <c r="N268" i="3" s="1"/>
  <c r="M268" i="3" a="1"/>
  <c r="M268" i="3" s="1"/>
  <c r="L268" i="3" a="1"/>
  <c r="L268" i="3" s="1"/>
  <c r="K268" i="3" a="1"/>
  <c r="K268" i="3" s="1"/>
  <c r="J268" i="3" a="1"/>
  <c r="J268" i="3" s="1"/>
  <c r="I268" i="3" a="1"/>
  <c r="I268" i="3" s="1"/>
  <c r="G268" i="3" a="1"/>
  <c r="G268" i="3" s="1"/>
  <c r="F268" i="3" a="1"/>
  <c r="F268" i="3" s="1"/>
  <c r="E268" i="3" a="1"/>
  <c r="E268" i="3" s="1"/>
  <c r="D268" i="3" a="1"/>
  <c r="D268" i="3" s="1"/>
  <c r="C268" i="3" a="1"/>
  <c r="C268" i="3" s="1"/>
  <c r="B268" i="3" a="1"/>
  <c r="B268" i="3" s="1"/>
  <c r="Z267" i="3" a="1"/>
  <c r="Z267" i="3" s="1"/>
  <c r="Y267" i="3" a="1"/>
  <c r="Y267" i="3" s="1"/>
  <c r="X267" i="3" a="1"/>
  <c r="X267" i="3" s="1"/>
  <c r="W267" i="3" a="1"/>
  <c r="W267" i="3" s="1"/>
  <c r="V267" i="3" a="1"/>
  <c r="V267" i="3" s="1"/>
  <c r="U267" i="3" a="1"/>
  <c r="U267" i="3" s="1"/>
  <c r="T267" i="3" a="1"/>
  <c r="T267" i="3" s="1"/>
  <c r="S267" i="3" a="1"/>
  <c r="S267" i="3" s="1"/>
  <c r="R267" i="3" a="1"/>
  <c r="R267" i="3" s="1"/>
  <c r="Q267" i="3" a="1"/>
  <c r="Q267" i="3" s="1"/>
  <c r="P267" i="3" a="1"/>
  <c r="P267" i="3" s="1"/>
  <c r="O267" i="3" a="1"/>
  <c r="O267" i="3" s="1"/>
  <c r="N267" i="3" a="1"/>
  <c r="N267" i="3" s="1"/>
  <c r="M267" i="3" a="1"/>
  <c r="M267" i="3" s="1"/>
  <c r="L267" i="3" a="1"/>
  <c r="L267" i="3" s="1"/>
  <c r="K267" i="3" a="1"/>
  <c r="K267" i="3" s="1"/>
  <c r="J267" i="3" a="1"/>
  <c r="J267" i="3" s="1"/>
  <c r="I267" i="3" a="1"/>
  <c r="I267" i="3" s="1"/>
  <c r="G267" i="3" a="1"/>
  <c r="G267" i="3" s="1"/>
  <c r="F267" i="3" a="1"/>
  <c r="F267" i="3" s="1"/>
  <c r="E267" i="3" a="1"/>
  <c r="E267" i="3" s="1"/>
  <c r="D267" i="3" a="1"/>
  <c r="D267" i="3" s="1"/>
  <c r="C267" i="3" a="1"/>
  <c r="C267" i="3" s="1"/>
  <c r="B267" i="3" a="1"/>
  <c r="B267" i="3" s="1"/>
  <c r="Z266" i="3" a="1"/>
  <c r="Z266" i="3" s="1"/>
  <c r="Y266" i="3" a="1"/>
  <c r="Y266" i="3" s="1"/>
  <c r="X266" i="3" a="1"/>
  <c r="X266" i="3" s="1"/>
  <c r="W266" i="3" a="1"/>
  <c r="W266" i="3" s="1"/>
  <c r="V266" i="3" a="1"/>
  <c r="V266" i="3" s="1"/>
  <c r="U266" i="3" a="1"/>
  <c r="U266" i="3" s="1"/>
  <c r="T266" i="3" a="1"/>
  <c r="T266" i="3" s="1"/>
  <c r="S266" i="3" a="1"/>
  <c r="S266" i="3" s="1"/>
  <c r="R266" i="3" a="1"/>
  <c r="R266" i="3" s="1"/>
  <c r="Q266" i="3" a="1"/>
  <c r="Q266" i="3" s="1"/>
  <c r="P266" i="3" a="1"/>
  <c r="P266" i="3" s="1"/>
  <c r="O266" i="3" a="1"/>
  <c r="O266" i="3" s="1"/>
  <c r="N266" i="3" a="1"/>
  <c r="N266" i="3" s="1"/>
  <c r="M266" i="3" a="1"/>
  <c r="M266" i="3" s="1"/>
  <c r="L266" i="3" a="1"/>
  <c r="L266" i="3" s="1"/>
  <c r="K266" i="3" a="1"/>
  <c r="K266" i="3" s="1"/>
  <c r="J266" i="3" a="1"/>
  <c r="J266" i="3" s="1"/>
  <c r="I266" i="3" a="1"/>
  <c r="I266" i="3" s="1"/>
  <c r="G266" i="3" a="1"/>
  <c r="G266" i="3" s="1"/>
  <c r="F266" i="3" a="1"/>
  <c r="F266" i="3" s="1"/>
  <c r="E266" i="3" a="1"/>
  <c r="E266" i="3" s="1"/>
  <c r="D266" i="3" a="1"/>
  <c r="D266" i="3" s="1"/>
  <c r="C266" i="3" a="1"/>
  <c r="C266" i="3" s="1"/>
  <c r="B266" i="3" a="1"/>
  <c r="B266" i="3" s="1"/>
  <c r="Z265" i="3" a="1"/>
  <c r="Z265" i="3" s="1"/>
  <c r="Y265" i="3" a="1"/>
  <c r="Y265" i="3" s="1"/>
  <c r="X265" i="3" a="1"/>
  <c r="X265" i="3" s="1"/>
  <c r="W265" i="3" a="1"/>
  <c r="W265" i="3" s="1"/>
  <c r="V265" i="3" a="1"/>
  <c r="V265" i="3" s="1"/>
  <c r="U265" i="3" a="1"/>
  <c r="U265" i="3" s="1"/>
  <c r="T265" i="3" a="1"/>
  <c r="T265" i="3" s="1"/>
  <c r="S265" i="3" a="1"/>
  <c r="S265" i="3" s="1"/>
  <c r="R265" i="3" a="1"/>
  <c r="R265" i="3" s="1"/>
  <c r="Q265" i="3" a="1"/>
  <c r="Q265" i="3" s="1"/>
  <c r="P265" i="3" a="1"/>
  <c r="P265" i="3" s="1"/>
  <c r="O265" i="3" a="1"/>
  <c r="O265" i="3" s="1"/>
  <c r="N265" i="3" a="1"/>
  <c r="N265" i="3" s="1"/>
  <c r="M265" i="3" a="1"/>
  <c r="M265" i="3" s="1"/>
  <c r="L265" i="3" a="1"/>
  <c r="L265" i="3" s="1"/>
  <c r="K265" i="3" a="1"/>
  <c r="K265" i="3" s="1"/>
  <c r="J265" i="3" a="1"/>
  <c r="J265" i="3" s="1"/>
  <c r="I265" i="3" a="1"/>
  <c r="I265" i="3" s="1"/>
  <c r="G265" i="3" a="1"/>
  <c r="G265" i="3" s="1"/>
  <c r="F265" i="3" a="1"/>
  <c r="F265" i="3" s="1"/>
  <c r="E265" i="3" a="1"/>
  <c r="E265" i="3" s="1"/>
  <c r="D265" i="3" a="1"/>
  <c r="D265" i="3" s="1"/>
  <c r="C265" i="3" a="1"/>
  <c r="C265" i="3" s="1"/>
  <c r="B265" i="3" a="1"/>
  <c r="B265" i="3" s="1"/>
  <c r="Z264" i="3" a="1"/>
  <c r="Z264" i="3" s="1"/>
  <c r="Y264" i="3" a="1"/>
  <c r="Y264" i="3" s="1"/>
  <c r="X264" i="3" a="1"/>
  <c r="X264" i="3" s="1"/>
  <c r="W264" i="3" a="1"/>
  <c r="W264" i="3" s="1"/>
  <c r="V264" i="3" a="1"/>
  <c r="V264" i="3" s="1"/>
  <c r="U264" i="3" a="1"/>
  <c r="U264" i="3" s="1"/>
  <c r="T264" i="3" a="1"/>
  <c r="T264" i="3" s="1"/>
  <c r="S264" i="3" a="1"/>
  <c r="S264" i="3" s="1"/>
  <c r="R264" i="3" a="1"/>
  <c r="R264" i="3" s="1"/>
  <c r="Q264" i="3" a="1"/>
  <c r="Q264" i="3" s="1"/>
  <c r="P264" i="3" a="1"/>
  <c r="P264" i="3" s="1"/>
  <c r="O264" i="3" a="1"/>
  <c r="O264" i="3" s="1"/>
  <c r="N264" i="3" a="1"/>
  <c r="N264" i="3" s="1"/>
  <c r="M264" i="3" a="1"/>
  <c r="M264" i="3" s="1"/>
  <c r="L264" i="3" a="1"/>
  <c r="L264" i="3" s="1"/>
  <c r="K264" i="3" a="1"/>
  <c r="K264" i="3" s="1"/>
  <c r="J264" i="3" a="1"/>
  <c r="J264" i="3" s="1"/>
  <c r="I264" i="3" a="1"/>
  <c r="I264" i="3" s="1"/>
  <c r="G264" i="3" a="1"/>
  <c r="G264" i="3" s="1"/>
  <c r="F264" i="3" a="1"/>
  <c r="F264" i="3" s="1"/>
  <c r="E264" i="3" a="1"/>
  <c r="E264" i="3" s="1"/>
  <c r="D264" i="3" a="1"/>
  <c r="D264" i="3" s="1"/>
  <c r="C264" i="3" a="1"/>
  <c r="C264" i="3" s="1"/>
  <c r="B264" i="3" a="1"/>
  <c r="B264" i="3" s="1"/>
  <c r="Z263" i="3" a="1"/>
  <c r="Z263" i="3" s="1"/>
  <c r="Y263" i="3" a="1"/>
  <c r="Y263" i="3" s="1"/>
  <c r="X263" i="3" a="1"/>
  <c r="X263" i="3" s="1"/>
  <c r="W263" i="3" a="1"/>
  <c r="W263" i="3" s="1"/>
  <c r="V263" i="3" a="1"/>
  <c r="V263" i="3" s="1"/>
  <c r="U263" i="3" a="1"/>
  <c r="U263" i="3" s="1"/>
  <c r="T263" i="3" a="1"/>
  <c r="T263" i="3" s="1"/>
  <c r="S263" i="3" a="1"/>
  <c r="S263" i="3" s="1"/>
  <c r="R263" i="3" a="1"/>
  <c r="R263" i="3" s="1"/>
  <c r="Q263" i="3" a="1"/>
  <c r="Q263" i="3" s="1"/>
  <c r="P263" i="3" a="1"/>
  <c r="P263" i="3" s="1"/>
  <c r="O263" i="3" a="1"/>
  <c r="O263" i="3" s="1"/>
  <c r="N263" i="3" a="1"/>
  <c r="N263" i="3" s="1"/>
  <c r="M263" i="3" a="1"/>
  <c r="M263" i="3" s="1"/>
  <c r="L263" i="3" a="1"/>
  <c r="L263" i="3" s="1"/>
  <c r="K263" i="3" a="1"/>
  <c r="K263" i="3" s="1"/>
  <c r="J263" i="3" a="1"/>
  <c r="J263" i="3" s="1"/>
  <c r="I263" i="3" a="1"/>
  <c r="I263" i="3" s="1"/>
  <c r="G263" i="3" a="1"/>
  <c r="G263" i="3" s="1"/>
  <c r="F263" i="3" a="1"/>
  <c r="F263" i="3" s="1"/>
  <c r="E263" i="3" a="1"/>
  <c r="E263" i="3" s="1"/>
  <c r="D263" i="3" a="1"/>
  <c r="D263" i="3" s="1"/>
  <c r="C263" i="3" a="1"/>
  <c r="C263" i="3" s="1"/>
  <c r="B263" i="3" a="1"/>
  <c r="B263" i="3" s="1"/>
  <c r="Q259" i="3" a="1"/>
  <c r="Q259" i="3" s="1"/>
  <c r="P259" i="3" a="1"/>
  <c r="P259" i="3" s="1"/>
  <c r="O259" i="3" a="1"/>
  <c r="O259" i="3" s="1"/>
  <c r="N259" i="3" a="1"/>
  <c r="N259" i="3" s="1"/>
  <c r="M259" i="3" a="1"/>
  <c r="M259" i="3" s="1"/>
  <c r="L259" i="3" a="1"/>
  <c r="L259" i="3" s="1"/>
  <c r="K259" i="3" a="1"/>
  <c r="K259" i="3" s="1"/>
  <c r="J259" i="3" a="1"/>
  <c r="J259" i="3" s="1"/>
  <c r="I259" i="3" a="1"/>
  <c r="I259" i="3" s="1"/>
  <c r="G259" i="3" a="1"/>
  <c r="G259" i="3" s="1"/>
  <c r="F259" i="3" a="1"/>
  <c r="F259" i="3" s="1"/>
  <c r="E259" i="3" a="1"/>
  <c r="E259" i="3" s="1"/>
  <c r="D259" i="3" a="1"/>
  <c r="D259" i="3" s="1"/>
  <c r="C259" i="3" a="1"/>
  <c r="C259" i="3" s="1"/>
  <c r="B259" i="3" a="1"/>
  <c r="B259" i="3" s="1"/>
  <c r="Q258" i="3" a="1"/>
  <c r="Q258" i="3" s="1"/>
  <c r="P258" i="3" a="1"/>
  <c r="P258" i="3" s="1"/>
  <c r="O258" i="3" a="1"/>
  <c r="O258" i="3" s="1"/>
  <c r="N258" i="3" a="1"/>
  <c r="N258" i="3" s="1"/>
  <c r="M258" i="3" a="1"/>
  <c r="M258" i="3" s="1"/>
  <c r="L258" i="3" a="1"/>
  <c r="L258" i="3" s="1"/>
  <c r="K258" i="3" a="1"/>
  <c r="K258" i="3" s="1"/>
  <c r="J258" i="3" a="1"/>
  <c r="J258" i="3" s="1"/>
  <c r="I258" i="3" a="1"/>
  <c r="I258" i="3" s="1"/>
  <c r="G258" i="3" a="1"/>
  <c r="G258" i="3" s="1"/>
  <c r="F258" i="3" a="1"/>
  <c r="F258" i="3" s="1"/>
  <c r="E258" i="3" a="1"/>
  <c r="E258" i="3" s="1"/>
  <c r="D258" i="3" a="1"/>
  <c r="D258" i="3" s="1"/>
  <c r="C258" i="3" a="1"/>
  <c r="C258" i="3" s="1"/>
  <c r="B258" i="3" a="1"/>
  <c r="B258" i="3" s="1"/>
  <c r="T257" i="3" a="1"/>
  <c r="T257" i="3" s="1"/>
  <c r="Q257" i="3" a="1"/>
  <c r="Q257" i="3" s="1"/>
  <c r="P257" i="3" a="1"/>
  <c r="P257" i="3" s="1"/>
  <c r="O257" i="3" a="1"/>
  <c r="O257" i="3" s="1"/>
  <c r="N257" i="3" a="1"/>
  <c r="N257" i="3" s="1"/>
  <c r="M257" i="3" a="1"/>
  <c r="M257" i="3" s="1"/>
  <c r="L257" i="3" a="1"/>
  <c r="L257" i="3" s="1"/>
  <c r="K257" i="3" a="1"/>
  <c r="K257" i="3" s="1"/>
  <c r="J257" i="3" a="1"/>
  <c r="J257" i="3" s="1"/>
  <c r="I257" i="3" a="1"/>
  <c r="I257" i="3" s="1"/>
  <c r="G257" i="3" a="1"/>
  <c r="G257" i="3" s="1"/>
  <c r="F257" i="3" a="1"/>
  <c r="F257" i="3" s="1"/>
  <c r="E257" i="3" a="1"/>
  <c r="E257" i="3" s="1"/>
  <c r="D257" i="3" a="1"/>
  <c r="D257" i="3" s="1"/>
  <c r="C257" i="3" a="1"/>
  <c r="C257" i="3" s="1"/>
  <c r="B257" i="3" a="1"/>
  <c r="B257" i="3" s="1"/>
  <c r="Z253" i="3" a="1"/>
  <c r="Z253" i="3" s="1"/>
  <c r="Y253" i="3" a="1"/>
  <c r="Y253" i="3" s="1"/>
  <c r="X253" i="3" a="1"/>
  <c r="X253" i="3" s="1"/>
  <c r="W253" i="3" a="1"/>
  <c r="W253" i="3" s="1"/>
  <c r="V253" i="3" a="1"/>
  <c r="V253" i="3" s="1"/>
  <c r="U253" i="3" a="1"/>
  <c r="U253" i="3" s="1"/>
  <c r="T253" i="3" a="1"/>
  <c r="T253" i="3" s="1"/>
  <c r="S253" i="3" a="1"/>
  <c r="S253" i="3" s="1"/>
  <c r="R253" i="3" a="1"/>
  <c r="R253" i="3" s="1"/>
  <c r="Q253" i="3" a="1"/>
  <c r="Q253" i="3" s="1"/>
  <c r="P253" i="3" a="1"/>
  <c r="P253" i="3" s="1"/>
  <c r="O253" i="3" a="1"/>
  <c r="O253" i="3" s="1"/>
  <c r="N253" i="3" a="1"/>
  <c r="N253" i="3" s="1"/>
  <c r="M253" i="3" a="1"/>
  <c r="M253" i="3" s="1"/>
  <c r="L253" i="3" a="1"/>
  <c r="L253" i="3" s="1"/>
  <c r="K253" i="3" a="1"/>
  <c r="K253" i="3" s="1"/>
  <c r="J253" i="3" a="1"/>
  <c r="J253" i="3" s="1"/>
  <c r="I253" i="3" a="1"/>
  <c r="I253" i="3" s="1"/>
  <c r="G253" i="3" a="1"/>
  <c r="G253" i="3" s="1"/>
  <c r="F253" i="3" a="1"/>
  <c r="F253" i="3" s="1"/>
  <c r="E253" i="3" a="1"/>
  <c r="E253" i="3" s="1"/>
  <c r="D253" i="3" a="1"/>
  <c r="D253" i="3" s="1"/>
  <c r="C253" i="3" a="1"/>
  <c r="C253" i="3" s="1"/>
  <c r="B253" i="3" a="1"/>
  <c r="B253" i="3" s="1"/>
  <c r="Z252" i="3" a="1"/>
  <c r="Z252" i="3" s="1"/>
  <c r="Y252" i="3" a="1"/>
  <c r="Y252" i="3" s="1"/>
  <c r="X252" i="3" a="1"/>
  <c r="X252" i="3" s="1"/>
  <c r="W252" i="3" a="1"/>
  <c r="W252" i="3" s="1"/>
  <c r="V252" i="3" a="1"/>
  <c r="V252" i="3" s="1"/>
  <c r="U252" i="3" a="1"/>
  <c r="U252" i="3" s="1"/>
  <c r="T252" i="3" a="1"/>
  <c r="T252" i="3" s="1"/>
  <c r="S252" i="3" a="1"/>
  <c r="S252" i="3" s="1"/>
  <c r="R252" i="3" a="1"/>
  <c r="R252" i="3" s="1"/>
  <c r="Q252" i="3" a="1"/>
  <c r="Q252" i="3" s="1"/>
  <c r="P252" i="3" a="1"/>
  <c r="P252" i="3" s="1"/>
  <c r="O252" i="3" a="1"/>
  <c r="O252" i="3" s="1"/>
  <c r="N252" i="3" a="1"/>
  <c r="N252" i="3" s="1"/>
  <c r="M252" i="3" a="1"/>
  <c r="M252" i="3" s="1"/>
  <c r="L252" i="3" a="1"/>
  <c r="L252" i="3" s="1"/>
  <c r="K252" i="3" a="1"/>
  <c r="K252" i="3" s="1"/>
  <c r="J252" i="3" a="1"/>
  <c r="J252" i="3" s="1"/>
  <c r="I252" i="3" a="1"/>
  <c r="I252" i="3" s="1"/>
  <c r="G252" i="3" a="1"/>
  <c r="G252" i="3" s="1"/>
  <c r="F252" i="3" a="1"/>
  <c r="F252" i="3" s="1"/>
  <c r="E252" i="3" a="1"/>
  <c r="E252" i="3" s="1"/>
  <c r="D252" i="3" a="1"/>
  <c r="D252" i="3" s="1"/>
  <c r="C252" i="3" a="1"/>
  <c r="C252" i="3" s="1"/>
  <c r="B252" i="3" a="1"/>
  <c r="B252" i="3" s="1"/>
  <c r="Z251" i="3" a="1"/>
  <c r="Z251" i="3" s="1"/>
  <c r="Y251" i="3" a="1"/>
  <c r="Y251" i="3" s="1"/>
  <c r="X251" i="3" a="1"/>
  <c r="X251" i="3" s="1"/>
  <c r="W251" i="3" a="1"/>
  <c r="W251" i="3" s="1"/>
  <c r="V251" i="3" a="1"/>
  <c r="V251" i="3" s="1"/>
  <c r="U251" i="3" a="1"/>
  <c r="U251" i="3" s="1"/>
  <c r="T251" i="3" a="1"/>
  <c r="T251" i="3" s="1"/>
  <c r="S251" i="3" a="1"/>
  <c r="S251" i="3" s="1"/>
  <c r="R251" i="3" a="1"/>
  <c r="R251" i="3" s="1"/>
  <c r="Q251" i="3" a="1"/>
  <c r="Q251" i="3" s="1"/>
  <c r="P251" i="3" a="1"/>
  <c r="P251" i="3" s="1"/>
  <c r="O251" i="3" a="1"/>
  <c r="O251" i="3" s="1"/>
  <c r="N251" i="3" a="1"/>
  <c r="N251" i="3" s="1"/>
  <c r="M251" i="3" a="1"/>
  <c r="M251" i="3" s="1"/>
  <c r="L251" i="3" a="1"/>
  <c r="L251" i="3" s="1"/>
  <c r="K251" i="3" a="1"/>
  <c r="K251" i="3" s="1"/>
  <c r="J251" i="3" a="1"/>
  <c r="J251" i="3" s="1"/>
  <c r="I251" i="3" a="1"/>
  <c r="I251" i="3" s="1"/>
  <c r="G251" i="3" a="1"/>
  <c r="G251" i="3" s="1"/>
  <c r="F251" i="3" a="1"/>
  <c r="F251" i="3" s="1"/>
  <c r="E251" i="3" a="1"/>
  <c r="E251" i="3" s="1"/>
  <c r="D251" i="3" a="1"/>
  <c r="D251" i="3" s="1"/>
  <c r="C251" i="3" a="1"/>
  <c r="C251" i="3" s="1"/>
  <c r="B251" i="3" a="1"/>
  <c r="B251" i="3" s="1"/>
  <c r="Z250" i="3" a="1"/>
  <c r="Z250" i="3" s="1"/>
  <c r="Y250" i="3" a="1"/>
  <c r="Y250" i="3" s="1"/>
  <c r="X250" i="3" a="1"/>
  <c r="X250" i="3" s="1"/>
  <c r="W250" i="3" a="1"/>
  <c r="W250" i="3" s="1"/>
  <c r="V250" i="3" a="1"/>
  <c r="V250" i="3" s="1"/>
  <c r="U250" i="3" a="1"/>
  <c r="U250" i="3" s="1"/>
  <c r="T250" i="3" a="1"/>
  <c r="T250" i="3" s="1"/>
  <c r="S250" i="3" a="1"/>
  <c r="S250" i="3" s="1"/>
  <c r="R250" i="3" a="1"/>
  <c r="R250" i="3" s="1"/>
  <c r="Q250" i="3" a="1"/>
  <c r="Q250" i="3" s="1"/>
  <c r="P250" i="3" a="1"/>
  <c r="P250" i="3" s="1"/>
  <c r="O250" i="3" a="1"/>
  <c r="O250" i="3" s="1"/>
  <c r="N250" i="3" a="1"/>
  <c r="N250" i="3" s="1"/>
  <c r="M250" i="3" a="1"/>
  <c r="M250" i="3" s="1"/>
  <c r="L250" i="3" a="1"/>
  <c r="L250" i="3" s="1"/>
  <c r="K250" i="3" a="1"/>
  <c r="K250" i="3" s="1"/>
  <c r="J250" i="3" a="1"/>
  <c r="J250" i="3" s="1"/>
  <c r="I250" i="3" a="1"/>
  <c r="I250" i="3" s="1"/>
  <c r="G250" i="3" a="1"/>
  <c r="G250" i="3" s="1"/>
  <c r="F250" i="3" a="1"/>
  <c r="F250" i="3" s="1"/>
  <c r="E250" i="3" a="1"/>
  <c r="E250" i="3" s="1"/>
  <c r="D250" i="3" a="1"/>
  <c r="D250" i="3" s="1"/>
  <c r="C250" i="3" a="1"/>
  <c r="C250" i="3" s="1"/>
  <c r="B250" i="3" a="1"/>
  <c r="B250" i="3" s="1"/>
  <c r="Z249" i="3" a="1"/>
  <c r="Z249" i="3" s="1"/>
  <c r="Y249" i="3" a="1"/>
  <c r="Y249" i="3" s="1"/>
  <c r="X249" i="3" a="1"/>
  <c r="X249" i="3" s="1"/>
  <c r="W249" i="3" a="1"/>
  <c r="W249" i="3" s="1"/>
  <c r="V249" i="3" a="1"/>
  <c r="V249" i="3" s="1"/>
  <c r="U249" i="3" a="1"/>
  <c r="U249" i="3" s="1"/>
  <c r="T249" i="3" a="1"/>
  <c r="T249" i="3" s="1"/>
  <c r="S249" i="3" a="1"/>
  <c r="S249" i="3" s="1"/>
  <c r="R249" i="3" a="1"/>
  <c r="R249" i="3" s="1"/>
  <c r="Q249" i="3" a="1"/>
  <c r="Q249" i="3" s="1"/>
  <c r="P249" i="3" a="1"/>
  <c r="P249" i="3" s="1"/>
  <c r="O249" i="3" a="1"/>
  <c r="O249" i="3" s="1"/>
  <c r="N249" i="3" a="1"/>
  <c r="N249" i="3" s="1"/>
  <c r="M249" i="3" a="1"/>
  <c r="M249" i="3" s="1"/>
  <c r="L249" i="3" a="1"/>
  <c r="L249" i="3" s="1"/>
  <c r="K249" i="3" a="1"/>
  <c r="K249" i="3" s="1"/>
  <c r="J249" i="3" a="1"/>
  <c r="J249" i="3" s="1"/>
  <c r="I249" i="3" a="1"/>
  <c r="I249" i="3" s="1"/>
  <c r="G249" i="3" a="1"/>
  <c r="G249" i="3" s="1"/>
  <c r="F249" i="3" a="1"/>
  <c r="F249" i="3" s="1"/>
  <c r="E249" i="3" a="1"/>
  <c r="E249" i="3" s="1"/>
  <c r="D249" i="3" a="1"/>
  <c r="D249" i="3" s="1"/>
  <c r="C249" i="3" a="1"/>
  <c r="C249" i="3" s="1"/>
  <c r="B249" i="3" a="1"/>
  <c r="B249" i="3" s="1"/>
  <c r="Z248" i="3" a="1"/>
  <c r="Z248" i="3" s="1"/>
  <c r="Y248" i="3" a="1"/>
  <c r="Y248" i="3" s="1"/>
  <c r="X248" i="3" a="1"/>
  <c r="X248" i="3" s="1"/>
  <c r="W248" i="3" a="1"/>
  <c r="W248" i="3" s="1"/>
  <c r="V248" i="3" a="1"/>
  <c r="V248" i="3" s="1"/>
  <c r="U248" i="3" a="1"/>
  <c r="U248" i="3" s="1"/>
  <c r="T248" i="3" a="1"/>
  <c r="T248" i="3" s="1"/>
  <c r="S248" i="3" a="1"/>
  <c r="S248" i="3" s="1"/>
  <c r="R248" i="3" a="1"/>
  <c r="R248" i="3" s="1"/>
  <c r="Q248" i="3" a="1"/>
  <c r="Q248" i="3" s="1"/>
  <c r="P248" i="3" a="1"/>
  <c r="P248" i="3" s="1"/>
  <c r="O248" i="3" a="1"/>
  <c r="O248" i="3" s="1"/>
  <c r="N248" i="3" a="1"/>
  <c r="N248" i="3" s="1"/>
  <c r="M248" i="3" a="1"/>
  <c r="M248" i="3" s="1"/>
  <c r="L248" i="3" a="1"/>
  <c r="L248" i="3" s="1"/>
  <c r="K248" i="3" a="1"/>
  <c r="K248" i="3" s="1"/>
  <c r="J248" i="3" a="1"/>
  <c r="J248" i="3" s="1"/>
  <c r="I248" i="3" a="1"/>
  <c r="I248" i="3" s="1"/>
  <c r="G248" i="3" a="1"/>
  <c r="G248" i="3" s="1"/>
  <c r="F248" i="3" a="1"/>
  <c r="F248" i="3" s="1"/>
  <c r="E248" i="3" a="1"/>
  <c r="E248" i="3" s="1"/>
  <c r="D248" i="3" a="1"/>
  <c r="D248" i="3" s="1"/>
  <c r="C248" i="3" a="1"/>
  <c r="C248" i="3" s="1"/>
  <c r="B248" i="3" a="1"/>
  <c r="B248" i="3" s="1"/>
  <c r="Z247" i="3" a="1"/>
  <c r="Z247" i="3" s="1"/>
  <c r="Y247" i="3" a="1"/>
  <c r="Y247" i="3" s="1"/>
  <c r="X247" i="3" a="1"/>
  <c r="X247" i="3" s="1"/>
  <c r="W247" i="3" a="1"/>
  <c r="W247" i="3" s="1"/>
  <c r="V247" i="3" a="1"/>
  <c r="V247" i="3" s="1"/>
  <c r="U247" i="3" a="1"/>
  <c r="U247" i="3" s="1"/>
  <c r="T247" i="3" a="1"/>
  <c r="T247" i="3" s="1"/>
  <c r="S247" i="3" a="1"/>
  <c r="S247" i="3" s="1"/>
  <c r="R247" i="3" a="1"/>
  <c r="R247" i="3" s="1"/>
  <c r="Q247" i="3" a="1"/>
  <c r="Q247" i="3" s="1"/>
  <c r="P247" i="3" a="1"/>
  <c r="P247" i="3" s="1"/>
  <c r="O247" i="3" a="1"/>
  <c r="O247" i="3" s="1"/>
  <c r="N247" i="3" a="1"/>
  <c r="N247" i="3" s="1"/>
  <c r="M247" i="3" a="1"/>
  <c r="M247" i="3" s="1"/>
  <c r="L247" i="3" a="1"/>
  <c r="L247" i="3" s="1"/>
  <c r="K247" i="3" a="1"/>
  <c r="K247" i="3" s="1"/>
  <c r="J247" i="3" a="1"/>
  <c r="J247" i="3" s="1"/>
  <c r="I247" i="3" a="1"/>
  <c r="I247" i="3" s="1"/>
  <c r="G247" i="3" a="1"/>
  <c r="G247" i="3" s="1"/>
  <c r="F247" i="3" a="1"/>
  <c r="F247" i="3" s="1"/>
  <c r="E247" i="3" a="1"/>
  <c r="E247" i="3" s="1"/>
  <c r="D247" i="3" a="1"/>
  <c r="D247" i="3" s="1"/>
  <c r="C247" i="3" a="1"/>
  <c r="C247" i="3" s="1"/>
  <c r="B247" i="3" a="1"/>
  <c r="B247" i="3" s="1"/>
  <c r="Z246" i="3" a="1"/>
  <c r="Z246" i="3" s="1"/>
  <c r="Y246" i="3" a="1"/>
  <c r="Y246" i="3" s="1"/>
  <c r="X246" i="3" a="1"/>
  <c r="X246" i="3" s="1"/>
  <c r="W246" i="3" a="1"/>
  <c r="W246" i="3" s="1"/>
  <c r="V246" i="3" a="1"/>
  <c r="V246" i="3" s="1"/>
  <c r="U246" i="3" a="1"/>
  <c r="U246" i="3" s="1"/>
  <c r="T246" i="3" a="1"/>
  <c r="T246" i="3" s="1"/>
  <c r="S246" i="3" a="1"/>
  <c r="S246" i="3" s="1"/>
  <c r="R246" i="3" a="1"/>
  <c r="R246" i="3" s="1"/>
  <c r="Q246" i="3" a="1"/>
  <c r="Q246" i="3" s="1"/>
  <c r="P246" i="3" a="1"/>
  <c r="P246" i="3" s="1"/>
  <c r="O246" i="3" a="1"/>
  <c r="O246" i="3" s="1"/>
  <c r="N246" i="3" a="1"/>
  <c r="N246" i="3" s="1"/>
  <c r="M246" i="3" a="1"/>
  <c r="M246" i="3" s="1"/>
  <c r="L246" i="3" a="1"/>
  <c r="L246" i="3" s="1"/>
  <c r="K246" i="3" a="1"/>
  <c r="K246" i="3" s="1"/>
  <c r="J246" i="3" a="1"/>
  <c r="J246" i="3" s="1"/>
  <c r="I246" i="3" a="1"/>
  <c r="I246" i="3" s="1"/>
  <c r="G246" i="3" a="1"/>
  <c r="G246" i="3" s="1"/>
  <c r="F246" i="3" a="1"/>
  <c r="F246" i="3" s="1"/>
  <c r="E246" i="3" a="1"/>
  <c r="E246" i="3" s="1"/>
  <c r="D246" i="3" a="1"/>
  <c r="D246" i="3" s="1"/>
  <c r="C246" i="3" a="1"/>
  <c r="C246" i="3" s="1"/>
  <c r="B246" i="3" a="1"/>
  <c r="B246" i="3" s="1"/>
  <c r="Z245" i="3" a="1"/>
  <c r="Z245" i="3" s="1"/>
  <c r="Y245" i="3" a="1"/>
  <c r="Y245" i="3" s="1"/>
  <c r="X245" i="3" a="1"/>
  <c r="X245" i="3" s="1"/>
  <c r="W245" i="3" a="1"/>
  <c r="W245" i="3" s="1"/>
  <c r="V245" i="3" a="1"/>
  <c r="V245" i="3" s="1"/>
  <c r="U245" i="3" a="1"/>
  <c r="U245" i="3" s="1"/>
  <c r="T245" i="3" a="1"/>
  <c r="T245" i="3" s="1"/>
  <c r="S245" i="3" a="1"/>
  <c r="S245" i="3" s="1"/>
  <c r="R245" i="3" a="1"/>
  <c r="R245" i="3" s="1"/>
  <c r="Q245" i="3" a="1"/>
  <c r="Q245" i="3" s="1"/>
  <c r="P245" i="3" a="1"/>
  <c r="P245" i="3" s="1"/>
  <c r="O245" i="3" a="1"/>
  <c r="O245" i="3" s="1"/>
  <c r="N245" i="3" a="1"/>
  <c r="N245" i="3" s="1"/>
  <c r="M245" i="3" a="1"/>
  <c r="M245" i="3" s="1"/>
  <c r="L245" i="3" a="1"/>
  <c r="L245" i="3" s="1"/>
  <c r="K245" i="3" a="1"/>
  <c r="K245" i="3" s="1"/>
  <c r="J245" i="3" a="1"/>
  <c r="J245" i="3" s="1"/>
  <c r="I245" i="3" a="1"/>
  <c r="I245" i="3" s="1"/>
  <c r="G245" i="3" a="1"/>
  <c r="G245" i="3" s="1"/>
  <c r="F245" i="3" a="1"/>
  <c r="F245" i="3" s="1"/>
  <c r="E245" i="3" a="1"/>
  <c r="E245" i="3" s="1"/>
  <c r="D245" i="3" a="1"/>
  <c r="D245" i="3" s="1"/>
  <c r="C245" i="3" a="1"/>
  <c r="C245" i="3" s="1"/>
  <c r="B245" i="3" a="1"/>
  <c r="B245" i="3" s="1"/>
  <c r="Z244" i="3" a="1"/>
  <c r="Z244" i="3" s="1"/>
  <c r="Y244" i="3" a="1"/>
  <c r="Y244" i="3" s="1"/>
  <c r="X244" i="3" a="1"/>
  <c r="X244" i="3" s="1"/>
  <c r="W244" i="3" a="1"/>
  <c r="W244" i="3" s="1"/>
  <c r="V244" i="3" a="1"/>
  <c r="V244" i="3" s="1"/>
  <c r="U244" i="3" a="1"/>
  <c r="U244" i="3" s="1"/>
  <c r="T244" i="3" a="1"/>
  <c r="T244" i="3" s="1"/>
  <c r="S244" i="3" a="1"/>
  <c r="S244" i="3" s="1"/>
  <c r="R244" i="3" a="1"/>
  <c r="R244" i="3" s="1"/>
  <c r="Q244" i="3" a="1"/>
  <c r="Q244" i="3" s="1"/>
  <c r="P244" i="3" a="1"/>
  <c r="P244" i="3" s="1"/>
  <c r="O244" i="3" a="1"/>
  <c r="O244" i="3" s="1"/>
  <c r="N244" i="3" a="1"/>
  <c r="N244" i="3" s="1"/>
  <c r="M244" i="3" a="1"/>
  <c r="M244" i="3" s="1"/>
  <c r="L244" i="3" a="1"/>
  <c r="L244" i="3" s="1"/>
  <c r="K244" i="3" a="1"/>
  <c r="K244" i="3" s="1"/>
  <c r="J244" i="3" a="1"/>
  <c r="J244" i="3" s="1"/>
  <c r="I244" i="3" a="1"/>
  <c r="I244" i="3" s="1"/>
  <c r="G244" i="3" a="1"/>
  <c r="G244" i="3" s="1"/>
  <c r="F244" i="3" a="1"/>
  <c r="F244" i="3" s="1"/>
  <c r="E244" i="3" a="1"/>
  <c r="E244" i="3" s="1"/>
  <c r="D244" i="3" a="1"/>
  <c r="D244" i="3" s="1"/>
  <c r="C244" i="3" a="1"/>
  <c r="C244" i="3" s="1"/>
  <c r="B244" i="3" a="1"/>
  <c r="B244" i="3" s="1"/>
  <c r="Z243" i="3" a="1"/>
  <c r="Z243" i="3" s="1"/>
  <c r="Y243" i="3" a="1"/>
  <c r="Y243" i="3" s="1"/>
  <c r="X243" i="3" a="1"/>
  <c r="X243" i="3" s="1"/>
  <c r="W243" i="3" a="1"/>
  <c r="W243" i="3" s="1"/>
  <c r="V243" i="3" a="1"/>
  <c r="V243" i="3" s="1"/>
  <c r="U243" i="3" a="1"/>
  <c r="U243" i="3" s="1"/>
  <c r="T243" i="3" a="1"/>
  <c r="T243" i="3" s="1"/>
  <c r="S243" i="3" a="1"/>
  <c r="S243" i="3" s="1"/>
  <c r="R243" i="3" a="1"/>
  <c r="R243" i="3" s="1"/>
  <c r="Q243" i="3" a="1"/>
  <c r="Q243" i="3" s="1"/>
  <c r="P243" i="3" a="1"/>
  <c r="P243" i="3" s="1"/>
  <c r="O243" i="3" a="1"/>
  <c r="O243" i="3" s="1"/>
  <c r="N243" i="3" a="1"/>
  <c r="N243" i="3" s="1"/>
  <c r="M243" i="3" a="1"/>
  <c r="M243" i="3" s="1"/>
  <c r="L243" i="3" a="1"/>
  <c r="L243" i="3" s="1"/>
  <c r="K243" i="3" a="1"/>
  <c r="K243" i="3" s="1"/>
  <c r="J243" i="3" a="1"/>
  <c r="J243" i="3" s="1"/>
  <c r="I243" i="3" a="1"/>
  <c r="I243" i="3" s="1"/>
  <c r="G243" i="3" a="1"/>
  <c r="G243" i="3" s="1"/>
  <c r="F243" i="3" a="1"/>
  <c r="F243" i="3" s="1"/>
  <c r="E243" i="3" a="1"/>
  <c r="E243" i="3" s="1"/>
  <c r="D243" i="3" a="1"/>
  <c r="D243" i="3" s="1"/>
  <c r="C243" i="3" a="1"/>
  <c r="C243" i="3" s="1"/>
  <c r="B243" i="3" a="1"/>
  <c r="B243" i="3" s="1"/>
  <c r="Z242" i="3" a="1"/>
  <c r="Z242" i="3" s="1"/>
  <c r="Y242" i="3" a="1"/>
  <c r="Y242" i="3" s="1"/>
  <c r="X242" i="3" a="1"/>
  <c r="X242" i="3" s="1"/>
  <c r="W242" i="3" a="1"/>
  <c r="W242" i="3" s="1"/>
  <c r="V242" i="3" a="1"/>
  <c r="V242" i="3" s="1"/>
  <c r="U242" i="3" a="1"/>
  <c r="U242" i="3" s="1"/>
  <c r="T242" i="3" a="1"/>
  <c r="T242" i="3" s="1"/>
  <c r="S242" i="3" a="1"/>
  <c r="S242" i="3" s="1"/>
  <c r="R242" i="3" a="1"/>
  <c r="R242" i="3" s="1"/>
  <c r="Q242" i="3" a="1"/>
  <c r="Q242" i="3" s="1"/>
  <c r="P242" i="3" a="1"/>
  <c r="P242" i="3" s="1"/>
  <c r="O242" i="3" a="1"/>
  <c r="O242" i="3" s="1"/>
  <c r="N242" i="3" a="1"/>
  <c r="N242" i="3" s="1"/>
  <c r="M242" i="3" a="1"/>
  <c r="M242" i="3" s="1"/>
  <c r="L242" i="3" a="1"/>
  <c r="L242" i="3" s="1"/>
  <c r="K242" i="3" a="1"/>
  <c r="K242" i="3" s="1"/>
  <c r="J242" i="3" a="1"/>
  <c r="J242" i="3" s="1"/>
  <c r="I242" i="3" a="1"/>
  <c r="I242" i="3" s="1"/>
  <c r="G242" i="3" a="1"/>
  <c r="G242" i="3" s="1"/>
  <c r="F242" i="3" a="1"/>
  <c r="F242" i="3" s="1"/>
  <c r="E242" i="3" a="1"/>
  <c r="E242" i="3" s="1"/>
  <c r="D242" i="3" a="1"/>
  <c r="D242" i="3" s="1"/>
  <c r="C242" i="3" a="1"/>
  <c r="C242" i="3" s="1"/>
  <c r="B242" i="3" a="1"/>
  <c r="B242" i="3" s="1"/>
  <c r="Z241" i="3" a="1"/>
  <c r="Z241" i="3" s="1"/>
  <c r="Y241" i="3" a="1"/>
  <c r="Y241" i="3" s="1"/>
  <c r="X241" i="3" a="1"/>
  <c r="X241" i="3" s="1"/>
  <c r="W241" i="3" a="1"/>
  <c r="W241" i="3" s="1"/>
  <c r="V241" i="3" a="1"/>
  <c r="V241" i="3" s="1"/>
  <c r="U241" i="3" a="1"/>
  <c r="U241" i="3" s="1"/>
  <c r="T241" i="3" a="1"/>
  <c r="T241" i="3" s="1"/>
  <c r="S241" i="3" a="1"/>
  <c r="S241" i="3" s="1"/>
  <c r="R241" i="3" a="1"/>
  <c r="R241" i="3" s="1"/>
  <c r="Q241" i="3" a="1"/>
  <c r="Q241" i="3" s="1"/>
  <c r="P241" i="3" a="1"/>
  <c r="P241" i="3" s="1"/>
  <c r="O241" i="3" a="1"/>
  <c r="O241" i="3" s="1"/>
  <c r="N241" i="3" a="1"/>
  <c r="N241" i="3" s="1"/>
  <c r="M241" i="3" a="1"/>
  <c r="M241" i="3" s="1"/>
  <c r="L241" i="3" a="1"/>
  <c r="L241" i="3" s="1"/>
  <c r="K241" i="3" a="1"/>
  <c r="K241" i="3" s="1"/>
  <c r="J241" i="3" a="1"/>
  <c r="J241" i="3" s="1"/>
  <c r="I241" i="3" a="1"/>
  <c r="I241" i="3" s="1"/>
  <c r="G241" i="3" a="1"/>
  <c r="G241" i="3" s="1"/>
  <c r="F241" i="3" a="1"/>
  <c r="F241" i="3" s="1"/>
  <c r="E241" i="3" a="1"/>
  <c r="E241" i="3" s="1"/>
  <c r="D241" i="3" a="1"/>
  <c r="D241" i="3" s="1"/>
  <c r="C241" i="3" a="1"/>
  <c r="C241" i="3" s="1"/>
  <c r="B241" i="3" a="1"/>
  <c r="B241" i="3" s="1"/>
  <c r="Z240" i="3" a="1"/>
  <c r="Z240" i="3" s="1"/>
  <c r="Y240" i="3" a="1"/>
  <c r="Y240" i="3" s="1"/>
  <c r="X240" i="3" a="1"/>
  <c r="X240" i="3" s="1"/>
  <c r="W240" i="3" a="1"/>
  <c r="W240" i="3" s="1"/>
  <c r="V240" i="3" a="1"/>
  <c r="V240" i="3" s="1"/>
  <c r="U240" i="3" a="1"/>
  <c r="U240" i="3" s="1"/>
  <c r="T240" i="3" a="1"/>
  <c r="T240" i="3" s="1"/>
  <c r="S240" i="3" a="1"/>
  <c r="S240" i="3" s="1"/>
  <c r="R240" i="3" a="1"/>
  <c r="R240" i="3" s="1"/>
  <c r="Q240" i="3" a="1"/>
  <c r="Q240" i="3" s="1"/>
  <c r="P240" i="3" a="1"/>
  <c r="P240" i="3" s="1"/>
  <c r="O240" i="3" a="1"/>
  <c r="O240" i="3" s="1"/>
  <c r="N240" i="3" a="1"/>
  <c r="N240" i="3" s="1"/>
  <c r="M240" i="3" a="1"/>
  <c r="M240" i="3" s="1"/>
  <c r="L240" i="3" a="1"/>
  <c r="L240" i="3" s="1"/>
  <c r="K240" i="3" a="1"/>
  <c r="K240" i="3" s="1"/>
  <c r="J240" i="3" a="1"/>
  <c r="J240" i="3" s="1"/>
  <c r="I240" i="3" a="1"/>
  <c r="I240" i="3" s="1"/>
  <c r="G240" i="3" a="1"/>
  <c r="G240" i="3" s="1"/>
  <c r="F240" i="3" a="1"/>
  <c r="F240" i="3" s="1"/>
  <c r="E240" i="3" a="1"/>
  <c r="E240" i="3" s="1"/>
  <c r="D240" i="3" a="1"/>
  <c r="D240" i="3" s="1"/>
  <c r="C240" i="3" a="1"/>
  <c r="C240" i="3" s="1"/>
  <c r="B240" i="3" a="1"/>
  <c r="B240" i="3" s="1"/>
  <c r="Z239" i="3" a="1"/>
  <c r="Z239" i="3" s="1"/>
  <c r="Y239" i="3" a="1"/>
  <c r="Y239" i="3" s="1"/>
  <c r="X239" i="3" a="1"/>
  <c r="X239" i="3" s="1"/>
  <c r="W239" i="3" a="1"/>
  <c r="W239" i="3" s="1"/>
  <c r="V239" i="3" a="1"/>
  <c r="V239" i="3" s="1"/>
  <c r="U239" i="3" a="1"/>
  <c r="U239" i="3" s="1"/>
  <c r="T239" i="3" a="1"/>
  <c r="T239" i="3" s="1"/>
  <c r="S239" i="3" a="1"/>
  <c r="S239" i="3" s="1"/>
  <c r="R239" i="3" a="1"/>
  <c r="R239" i="3" s="1"/>
  <c r="Q239" i="3" a="1"/>
  <c r="Q239" i="3" s="1"/>
  <c r="P239" i="3" a="1"/>
  <c r="P239" i="3" s="1"/>
  <c r="O239" i="3" a="1"/>
  <c r="O239" i="3" s="1"/>
  <c r="N239" i="3" a="1"/>
  <c r="N239" i="3" s="1"/>
  <c r="M239" i="3" a="1"/>
  <c r="M239" i="3" s="1"/>
  <c r="L239" i="3" a="1"/>
  <c r="L239" i="3" s="1"/>
  <c r="K239" i="3" a="1"/>
  <c r="K239" i="3" s="1"/>
  <c r="J239" i="3" a="1"/>
  <c r="J239" i="3" s="1"/>
  <c r="I239" i="3" a="1"/>
  <c r="I239" i="3" s="1"/>
  <c r="G239" i="3" a="1"/>
  <c r="G239" i="3" s="1"/>
  <c r="F239" i="3" a="1"/>
  <c r="F239" i="3" s="1"/>
  <c r="E239" i="3" a="1"/>
  <c r="E239" i="3" s="1"/>
  <c r="D239" i="3" a="1"/>
  <c r="D239" i="3" s="1"/>
  <c r="C239" i="3" a="1"/>
  <c r="C239" i="3" s="1"/>
  <c r="B239" i="3" a="1"/>
  <c r="B239" i="3" s="1"/>
  <c r="Z238" i="3" a="1"/>
  <c r="Z238" i="3" s="1"/>
  <c r="Y238" i="3" a="1"/>
  <c r="Y238" i="3" s="1"/>
  <c r="X238" i="3" a="1"/>
  <c r="X238" i="3" s="1"/>
  <c r="W238" i="3" a="1"/>
  <c r="W238" i="3" s="1"/>
  <c r="V238" i="3" a="1"/>
  <c r="V238" i="3" s="1"/>
  <c r="U238" i="3" a="1"/>
  <c r="U238" i="3" s="1"/>
  <c r="T238" i="3" a="1"/>
  <c r="T238" i="3" s="1"/>
  <c r="S238" i="3" a="1"/>
  <c r="S238" i="3" s="1"/>
  <c r="R238" i="3" a="1"/>
  <c r="R238" i="3" s="1"/>
  <c r="Q238" i="3" a="1"/>
  <c r="Q238" i="3" s="1"/>
  <c r="P238" i="3" a="1"/>
  <c r="P238" i="3" s="1"/>
  <c r="O238" i="3" a="1"/>
  <c r="O238" i="3" s="1"/>
  <c r="N238" i="3" a="1"/>
  <c r="N238" i="3" s="1"/>
  <c r="M238" i="3" a="1"/>
  <c r="M238" i="3" s="1"/>
  <c r="L238" i="3" a="1"/>
  <c r="L238" i="3" s="1"/>
  <c r="K238" i="3" a="1"/>
  <c r="K238" i="3" s="1"/>
  <c r="J238" i="3" a="1"/>
  <c r="J238" i="3" s="1"/>
  <c r="I238" i="3" a="1"/>
  <c r="I238" i="3" s="1"/>
  <c r="G238" i="3" a="1"/>
  <c r="G238" i="3" s="1"/>
  <c r="F238" i="3" a="1"/>
  <c r="F238" i="3" s="1"/>
  <c r="E238" i="3" a="1"/>
  <c r="E238" i="3" s="1"/>
  <c r="D238" i="3" a="1"/>
  <c r="D238" i="3" s="1"/>
  <c r="C238" i="3" a="1"/>
  <c r="C238" i="3" s="1"/>
  <c r="B238" i="3" a="1"/>
  <c r="B238" i="3" s="1"/>
  <c r="Z237" i="3" a="1"/>
  <c r="Z237" i="3" s="1"/>
  <c r="Y237" i="3" a="1"/>
  <c r="Y237" i="3" s="1"/>
  <c r="X237" i="3" a="1"/>
  <c r="X237" i="3" s="1"/>
  <c r="W237" i="3" a="1"/>
  <c r="W237" i="3" s="1"/>
  <c r="V237" i="3" a="1"/>
  <c r="V237" i="3" s="1"/>
  <c r="U237" i="3" a="1"/>
  <c r="U237" i="3" s="1"/>
  <c r="T237" i="3" a="1"/>
  <c r="T237" i="3" s="1"/>
  <c r="S237" i="3" a="1"/>
  <c r="S237" i="3" s="1"/>
  <c r="R237" i="3" a="1"/>
  <c r="R237" i="3" s="1"/>
  <c r="Q237" i="3" a="1"/>
  <c r="Q237" i="3" s="1"/>
  <c r="P237" i="3" a="1"/>
  <c r="P237" i="3" s="1"/>
  <c r="O237" i="3" a="1"/>
  <c r="O237" i="3" s="1"/>
  <c r="N237" i="3" a="1"/>
  <c r="N237" i="3" s="1"/>
  <c r="M237" i="3" a="1"/>
  <c r="M237" i="3" s="1"/>
  <c r="L237" i="3" a="1"/>
  <c r="L237" i="3" s="1"/>
  <c r="K237" i="3" a="1"/>
  <c r="K237" i="3" s="1"/>
  <c r="J237" i="3" a="1"/>
  <c r="J237" i="3" s="1"/>
  <c r="I237" i="3" a="1"/>
  <c r="I237" i="3" s="1"/>
  <c r="G237" i="3" a="1"/>
  <c r="G237" i="3" s="1"/>
  <c r="F237" i="3" a="1"/>
  <c r="F237" i="3" s="1"/>
  <c r="E237" i="3" a="1"/>
  <c r="E237" i="3" s="1"/>
  <c r="D237" i="3" a="1"/>
  <c r="D237" i="3" s="1"/>
  <c r="C237" i="3" a="1"/>
  <c r="C237" i="3" s="1"/>
  <c r="B237" i="3" a="1"/>
  <c r="B237" i="3" s="1"/>
  <c r="Z236" i="3" a="1"/>
  <c r="Z236" i="3" s="1"/>
  <c r="Y236" i="3" a="1"/>
  <c r="Y236" i="3" s="1"/>
  <c r="X236" i="3" a="1"/>
  <c r="X236" i="3" s="1"/>
  <c r="W236" i="3" a="1"/>
  <c r="W236" i="3" s="1"/>
  <c r="V236" i="3" a="1"/>
  <c r="V236" i="3" s="1"/>
  <c r="U236" i="3" a="1"/>
  <c r="U236" i="3" s="1"/>
  <c r="T236" i="3" a="1"/>
  <c r="T236" i="3" s="1"/>
  <c r="S236" i="3" a="1"/>
  <c r="S236" i="3" s="1"/>
  <c r="R236" i="3" a="1"/>
  <c r="R236" i="3" s="1"/>
  <c r="Q236" i="3" a="1"/>
  <c r="Q236" i="3" s="1"/>
  <c r="P236" i="3" a="1"/>
  <c r="P236" i="3" s="1"/>
  <c r="O236" i="3" a="1"/>
  <c r="O236" i="3" s="1"/>
  <c r="N236" i="3" a="1"/>
  <c r="N236" i="3" s="1"/>
  <c r="M236" i="3" a="1"/>
  <c r="M236" i="3" s="1"/>
  <c r="L236" i="3" a="1"/>
  <c r="L236" i="3" s="1"/>
  <c r="K236" i="3" a="1"/>
  <c r="K236" i="3" s="1"/>
  <c r="J236" i="3" a="1"/>
  <c r="J236" i="3" s="1"/>
  <c r="I236" i="3" a="1"/>
  <c r="I236" i="3" s="1"/>
  <c r="G236" i="3" a="1"/>
  <c r="G236" i="3" s="1"/>
  <c r="F236" i="3" a="1"/>
  <c r="F236" i="3" s="1"/>
  <c r="E236" i="3" a="1"/>
  <c r="E236" i="3" s="1"/>
  <c r="D236" i="3" a="1"/>
  <c r="D236" i="3" s="1"/>
  <c r="C236" i="3" a="1"/>
  <c r="C236" i="3" s="1"/>
  <c r="B236" i="3" a="1"/>
  <c r="B236" i="3" s="1"/>
  <c r="Z235" i="3" a="1"/>
  <c r="Z235" i="3" s="1"/>
  <c r="Y235" i="3" a="1"/>
  <c r="Y235" i="3" s="1"/>
  <c r="X235" i="3" a="1"/>
  <c r="X235" i="3" s="1"/>
  <c r="W235" i="3" a="1"/>
  <c r="W235" i="3" s="1"/>
  <c r="V235" i="3" a="1"/>
  <c r="V235" i="3" s="1"/>
  <c r="U235" i="3" a="1"/>
  <c r="U235" i="3" s="1"/>
  <c r="T235" i="3" a="1"/>
  <c r="T235" i="3" s="1"/>
  <c r="S235" i="3" a="1"/>
  <c r="S235" i="3" s="1"/>
  <c r="R235" i="3" a="1"/>
  <c r="R235" i="3" s="1"/>
  <c r="Q235" i="3" a="1"/>
  <c r="Q235" i="3" s="1"/>
  <c r="P235" i="3" a="1"/>
  <c r="P235" i="3" s="1"/>
  <c r="O235" i="3" a="1"/>
  <c r="O235" i="3" s="1"/>
  <c r="N235" i="3" a="1"/>
  <c r="N235" i="3" s="1"/>
  <c r="M235" i="3" a="1"/>
  <c r="M235" i="3" s="1"/>
  <c r="L235" i="3" a="1"/>
  <c r="L235" i="3" s="1"/>
  <c r="K235" i="3" a="1"/>
  <c r="K235" i="3" s="1"/>
  <c r="J235" i="3" a="1"/>
  <c r="J235" i="3" s="1"/>
  <c r="I235" i="3" a="1"/>
  <c r="I235" i="3" s="1"/>
  <c r="G235" i="3" a="1"/>
  <c r="G235" i="3" s="1"/>
  <c r="F235" i="3" a="1"/>
  <c r="F235" i="3" s="1"/>
  <c r="E235" i="3" a="1"/>
  <c r="E235" i="3" s="1"/>
  <c r="D235" i="3" a="1"/>
  <c r="D235" i="3" s="1"/>
  <c r="C235" i="3" a="1"/>
  <c r="C235" i="3" s="1"/>
  <c r="B235" i="3" a="1"/>
  <c r="B235" i="3" s="1"/>
  <c r="Z234" i="3" a="1"/>
  <c r="Z234" i="3" s="1"/>
  <c r="Y234" i="3" a="1"/>
  <c r="Y234" i="3" s="1"/>
  <c r="X234" i="3" a="1"/>
  <c r="X234" i="3" s="1"/>
  <c r="W234" i="3" a="1"/>
  <c r="W234" i="3" s="1"/>
  <c r="V234" i="3" a="1"/>
  <c r="V234" i="3" s="1"/>
  <c r="U234" i="3" a="1"/>
  <c r="U234" i="3" s="1"/>
  <c r="T234" i="3" a="1"/>
  <c r="T234" i="3" s="1"/>
  <c r="S234" i="3" a="1"/>
  <c r="S234" i="3" s="1"/>
  <c r="R234" i="3" a="1"/>
  <c r="R234" i="3" s="1"/>
  <c r="Q234" i="3" a="1"/>
  <c r="Q234" i="3" s="1"/>
  <c r="P234" i="3" a="1"/>
  <c r="P234" i="3" s="1"/>
  <c r="O234" i="3" a="1"/>
  <c r="O234" i="3" s="1"/>
  <c r="N234" i="3" a="1"/>
  <c r="N234" i="3" s="1"/>
  <c r="M234" i="3" a="1"/>
  <c r="M234" i="3" s="1"/>
  <c r="L234" i="3" a="1"/>
  <c r="L234" i="3" s="1"/>
  <c r="K234" i="3" a="1"/>
  <c r="K234" i="3" s="1"/>
  <c r="J234" i="3" a="1"/>
  <c r="J234" i="3" s="1"/>
  <c r="I234" i="3" a="1"/>
  <c r="I234" i="3" s="1"/>
  <c r="G234" i="3" a="1"/>
  <c r="G234" i="3" s="1"/>
  <c r="F234" i="3" a="1"/>
  <c r="F234" i="3" s="1"/>
  <c r="E234" i="3" a="1"/>
  <c r="E234" i="3" s="1"/>
  <c r="D234" i="3" a="1"/>
  <c r="D234" i="3" s="1"/>
  <c r="C234" i="3" a="1"/>
  <c r="C234" i="3" s="1"/>
  <c r="B234" i="3" a="1"/>
  <c r="B234" i="3" s="1"/>
  <c r="Q230" i="3" a="1"/>
  <c r="Q230" i="3" s="1"/>
  <c r="P230" i="3" a="1"/>
  <c r="P230" i="3" s="1"/>
  <c r="O230" i="3" a="1"/>
  <c r="O230" i="3" s="1"/>
  <c r="N230" i="3" a="1"/>
  <c r="N230" i="3" s="1"/>
  <c r="M230" i="3" a="1"/>
  <c r="M230" i="3" s="1"/>
  <c r="L230" i="3" a="1"/>
  <c r="L230" i="3" s="1"/>
  <c r="K230" i="3" a="1"/>
  <c r="K230" i="3" s="1"/>
  <c r="J230" i="3" a="1"/>
  <c r="J230" i="3" s="1"/>
  <c r="I230" i="3" a="1"/>
  <c r="I230" i="3" s="1"/>
  <c r="G230" i="3" a="1"/>
  <c r="G230" i="3" s="1"/>
  <c r="F230" i="3" a="1"/>
  <c r="F230" i="3" s="1"/>
  <c r="E230" i="3" a="1"/>
  <c r="E230" i="3" s="1"/>
  <c r="D230" i="3" a="1"/>
  <c r="D230" i="3" s="1"/>
  <c r="C230" i="3" a="1"/>
  <c r="C230" i="3" s="1"/>
  <c r="B230" i="3" a="1"/>
  <c r="B230" i="3" s="1"/>
  <c r="Q229" i="3" a="1"/>
  <c r="Q229" i="3" s="1"/>
  <c r="P229" i="3" a="1"/>
  <c r="P229" i="3" s="1"/>
  <c r="O229" i="3" a="1"/>
  <c r="O229" i="3" s="1"/>
  <c r="N229" i="3" a="1"/>
  <c r="N229" i="3" s="1"/>
  <c r="M229" i="3" a="1"/>
  <c r="M229" i="3" s="1"/>
  <c r="L229" i="3" a="1"/>
  <c r="L229" i="3" s="1"/>
  <c r="K229" i="3" a="1"/>
  <c r="K229" i="3" s="1"/>
  <c r="J229" i="3" a="1"/>
  <c r="J229" i="3" s="1"/>
  <c r="I229" i="3" a="1"/>
  <c r="I229" i="3" s="1"/>
  <c r="G229" i="3" a="1"/>
  <c r="G229" i="3" s="1"/>
  <c r="F229" i="3" a="1"/>
  <c r="F229" i="3" s="1"/>
  <c r="E229" i="3" a="1"/>
  <c r="E229" i="3" s="1"/>
  <c r="D229" i="3" a="1"/>
  <c r="D229" i="3" s="1"/>
  <c r="C229" i="3" a="1"/>
  <c r="C229" i="3" s="1"/>
  <c r="B229" i="3" a="1"/>
  <c r="B229" i="3" s="1"/>
  <c r="T228" i="3" a="1"/>
  <c r="T228" i="3" s="1"/>
  <c r="Q228" i="3" a="1"/>
  <c r="Q228" i="3" s="1"/>
  <c r="P228" i="3" a="1"/>
  <c r="P228" i="3" s="1"/>
  <c r="O228" i="3" a="1"/>
  <c r="O228" i="3" s="1"/>
  <c r="N228" i="3" a="1"/>
  <c r="N228" i="3" s="1"/>
  <c r="M228" i="3" a="1"/>
  <c r="M228" i="3" s="1"/>
  <c r="L228" i="3" a="1"/>
  <c r="L228" i="3" s="1"/>
  <c r="K228" i="3" a="1"/>
  <c r="K228" i="3" s="1"/>
  <c r="J228" i="3" a="1"/>
  <c r="J228" i="3" s="1"/>
  <c r="I228" i="3" a="1"/>
  <c r="I228" i="3" s="1"/>
  <c r="G228" i="3" a="1"/>
  <c r="G228" i="3" s="1"/>
  <c r="F228" i="3" a="1"/>
  <c r="F228" i="3" s="1"/>
  <c r="E228" i="3" a="1"/>
  <c r="E228" i="3" s="1"/>
  <c r="D228" i="3" a="1"/>
  <c r="D228" i="3" s="1"/>
  <c r="C228" i="3" a="1"/>
  <c r="C228" i="3" s="1"/>
  <c r="B228" i="3" a="1"/>
  <c r="B228" i="3" s="1"/>
  <c r="Z224" i="3" a="1"/>
  <c r="Z224" i="3" s="1"/>
  <c r="Y224" i="3" a="1"/>
  <c r="Y224" i="3" s="1"/>
  <c r="X224" i="3" a="1"/>
  <c r="X224" i="3" s="1"/>
  <c r="W224" i="3" a="1"/>
  <c r="W224" i="3" s="1"/>
  <c r="V224" i="3" a="1"/>
  <c r="V224" i="3" s="1"/>
  <c r="U224" i="3" a="1"/>
  <c r="U224" i="3" s="1"/>
  <c r="T224" i="3" a="1"/>
  <c r="T224" i="3" s="1"/>
  <c r="S224" i="3" a="1"/>
  <c r="S224" i="3" s="1"/>
  <c r="R224" i="3" a="1"/>
  <c r="R224" i="3" s="1"/>
  <c r="Q224" i="3" a="1"/>
  <c r="Q224" i="3" s="1"/>
  <c r="P224" i="3" a="1"/>
  <c r="P224" i="3" s="1"/>
  <c r="O224" i="3" a="1"/>
  <c r="O224" i="3" s="1"/>
  <c r="N224" i="3" a="1"/>
  <c r="N224" i="3" s="1"/>
  <c r="M224" i="3" a="1"/>
  <c r="M224" i="3" s="1"/>
  <c r="L224" i="3" a="1"/>
  <c r="L224" i="3" s="1"/>
  <c r="K224" i="3" a="1"/>
  <c r="K224" i="3" s="1"/>
  <c r="J224" i="3" a="1"/>
  <c r="J224" i="3" s="1"/>
  <c r="I224" i="3" a="1"/>
  <c r="I224" i="3" s="1"/>
  <c r="G224" i="3" a="1"/>
  <c r="G224" i="3" s="1"/>
  <c r="F224" i="3" a="1"/>
  <c r="F224" i="3" s="1"/>
  <c r="E224" i="3" a="1"/>
  <c r="E224" i="3" s="1"/>
  <c r="D224" i="3" a="1"/>
  <c r="D224" i="3" s="1"/>
  <c r="C224" i="3" a="1"/>
  <c r="C224" i="3" s="1"/>
  <c r="B224" i="3" a="1"/>
  <c r="B224" i="3" s="1"/>
  <c r="Z223" i="3" a="1"/>
  <c r="Z223" i="3" s="1"/>
  <c r="Y223" i="3" a="1"/>
  <c r="Y223" i="3" s="1"/>
  <c r="X223" i="3" a="1"/>
  <c r="X223" i="3" s="1"/>
  <c r="W223" i="3" a="1"/>
  <c r="W223" i="3" s="1"/>
  <c r="V223" i="3" a="1"/>
  <c r="V223" i="3" s="1"/>
  <c r="U223" i="3" a="1"/>
  <c r="U223" i="3" s="1"/>
  <c r="T223" i="3" a="1"/>
  <c r="T223" i="3" s="1"/>
  <c r="S223" i="3" a="1"/>
  <c r="S223" i="3" s="1"/>
  <c r="R223" i="3" a="1"/>
  <c r="R223" i="3" s="1"/>
  <c r="Q223" i="3" a="1"/>
  <c r="Q223" i="3" s="1"/>
  <c r="P223" i="3" a="1"/>
  <c r="P223" i="3" s="1"/>
  <c r="O223" i="3" a="1"/>
  <c r="O223" i="3" s="1"/>
  <c r="N223" i="3" a="1"/>
  <c r="N223" i="3" s="1"/>
  <c r="M223" i="3" a="1"/>
  <c r="M223" i="3" s="1"/>
  <c r="L223" i="3" a="1"/>
  <c r="L223" i="3" s="1"/>
  <c r="K223" i="3" a="1"/>
  <c r="K223" i="3" s="1"/>
  <c r="J223" i="3" a="1"/>
  <c r="J223" i="3" s="1"/>
  <c r="I223" i="3" a="1"/>
  <c r="I223" i="3" s="1"/>
  <c r="G223" i="3" a="1"/>
  <c r="G223" i="3" s="1"/>
  <c r="F223" i="3" a="1"/>
  <c r="F223" i="3" s="1"/>
  <c r="E223" i="3" a="1"/>
  <c r="E223" i="3" s="1"/>
  <c r="D223" i="3" a="1"/>
  <c r="D223" i="3" s="1"/>
  <c r="C223" i="3" a="1"/>
  <c r="C223" i="3" s="1"/>
  <c r="B223" i="3" a="1"/>
  <c r="B223" i="3" s="1"/>
  <c r="Z222" i="3" a="1"/>
  <c r="Z222" i="3" s="1"/>
  <c r="Y222" i="3" a="1"/>
  <c r="Y222" i="3" s="1"/>
  <c r="X222" i="3" a="1"/>
  <c r="X222" i="3" s="1"/>
  <c r="W222" i="3" a="1"/>
  <c r="W222" i="3" s="1"/>
  <c r="V222" i="3" a="1"/>
  <c r="V222" i="3" s="1"/>
  <c r="U222" i="3" a="1"/>
  <c r="U222" i="3" s="1"/>
  <c r="T222" i="3" a="1"/>
  <c r="T222" i="3" s="1"/>
  <c r="S222" i="3" a="1"/>
  <c r="S222" i="3" s="1"/>
  <c r="R222" i="3" a="1"/>
  <c r="R222" i="3" s="1"/>
  <c r="Q222" i="3" a="1"/>
  <c r="Q222" i="3" s="1"/>
  <c r="P222" i="3" a="1"/>
  <c r="P222" i="3" s="1"/>
  <c r="O222" i="3" a="1"/>
  <c r="O222" i="3" s="1"/>
  <c r="N222" i="3" a="1"/>
  <c r="N222" i="3" s="1"/>
  <c r="M222" i="3" a="1"/>
  <c r="M222" i="3" s="1"/>
  <c r="L222" i="3" a="1"/>
  <c r="L222" i="3" s="1"/>
  <c r="K222" i="3" a="1"/>
  <c r="K222" i="3" s="1"/>
  <c r="J222" i="3" a="1"/>
  <c r="J222" i="3" s="1"/>
  <c r="I222" i="3" a="1"/>
  <c r="I222" i="3" s="1"/>
  <c r="G222" i="3" a="1"/>
  <c r="G222" i="3" s="1"/>
  <c r="F222" i="3" a="1"/>
  <c r="F222" i="3" s="1"/>
  <c r="E222" i="3" a="1"/>
  <c r="E222" i="3" s="1"/>
  <c r="D222" i="3" a="1"/>
  <c r="D222" i="3" s="1"/>
  <c r="C222" i="3" a="1"/>
  <c r="C222" i="3" s="1"/>
  <c r="B222" i="3" a="1"/>
  <c r="B222" i="3" s="1"/>
  <c r="Z221" i="3" a="1"/>
  <c r="Z221" i="3" s="1"/>
  <c r="Y221" i="3" a="1"/>
  <c r="Y221" i="3" s="1"/>
  <c r="X221" i="3" a="1"/>
  <c r="X221" i="3" s="1"/>
  <c r="W221" i="3" a="1"/>
  <c r="W221" i="3" s="1"/>
  <c r="V221" i="3" a="1"/>
  <c r="V221" i="3" s="1"/>
  <c r="U221" i="3" a="1"/>
  <c r="U221" i="3" s="1"/>
  <c r="T221" i="3" a="1"/>
  <c r="T221" i="3" s="1"/>
  <c r="S221" i="3" a="1"/>
  <c r="S221" i="3" s="1"/>
  <c r="R221" i="3" a="1"/>
  <c r="R221" i="3" s="1"/>
  <c r="Q221" i="3" a="1"/>
  <c r="Q221" i="3" s="1"/>
  <c r="P221" i="3" a="1"/>
  <c r="P221" i="3" s="1"/>
  <c r="O221" i="3" a="1"/>
  <c r="O221" i="3" s="1"/>
  <c r="N221" i="3" a="1"/>
  <c r="N221" i="3" s="1"/>
  <c r="M221" i="3" a="1"/>
  <c r="M221" i="3" s="1"/>
  <c r="L221" i="3" a="1"/>
  <c r="L221" i="3" s="1"/>
  <c r="K221" i="3" a="1"/>
  <c r="K221" i="3" s="1"/>
  <c r="J221" i="3" a="1"/>
  <c r="J221" i="3" s="1"/>
  <c r="I221" i="3" a="1"/>
  <c r="I221" i="3" s="1"/>
  <c r="G221" i="3" a="1"/>
  <c r="G221" i="3" s="1"/>
  <c r="F221" i="3" a="1"/>
  <c r="F221" i="3" s="1"/>
  <c r="E221" i="3" a="1"/>
  <c r="E221" i="3" s="1"/>
  <c r="D221" i="3" a="1"/>
  <c r="D221" i="3" s="1"/>
  <c r="C221" i="3" a="1"/>
  <c r="C221" i="3" s="1"/>
  <c r="B221" i="3" a="1"/>
  <c r="B221" i="3" s="1"/>
  <c r="Z220" i="3" a="1"/>
  <c r="Z220" i="3" s="1"/>
  <c r="Y220" i="3" a="1"/>
  <c r="Y220" i="3" s="1"/>
  <c r="X220" i="3" a="1"/>
  <c r="X220" i="3" s="1"/>
  <c r="W220" i="3" a="1"/>
  <c r="W220" i="3" s="1"/>
  <c r="V220" i="3" a="1"/>
  <c r="V220" i="3" s="1"/>
  <c r="U220" i="3" a="1"/>
  <c r="U220" i="3" s="1"/>
  <c r="T220" i="3" a="1"/>
  <c r="T220" i="3" s="1"/>
  <c r="S220" i="3" a="1"/>
  <c r="S220" i="3" s="1"/>
  <c r="R220" i="3" a="1"/>
  <c r="R220" i="3" s="1"/>
  <c r="Q220" i="3" a="1"/>
  <c r="Q220" i="3" s="1"/>
  <c r="P220" i="3" a="1"/>
  <c r="P220" i="3" s="1"/>
  <c r="O220" i="3" a="1"/>
  <c r="O220" i="3" s="1"/>
  <c r="N220" i="3" a="1"/>
  <c r="N220" i="3" s="1"/>
  <c r="M220" i="3" a="1"/>
  <c r="M220" i="3" s="1"/>
  <c r="L220" i="3" a="1"/>
  <c r="L220" i="3" s="1"/>
  <c r="K220" i="3" a="1"/>
  <c r="K220" i="3" s="1"/>
  <c r="J220" i="3" a="1"/>
  <c r="J220" i="3" s="1"/>
  <c r="I220" i="3" a="1"/>
  <c r="I220" i="3" s="1"/>
  <c r="G220" i="3" a="1"/>
  <c r="G220" i="3" s="1"/>
  <c r="F220" i="3" a="1"/>
  <c r="F220" i="3" s="1"/>
  <c r="E220" i="3" a="1"/>
  <c r="E220" i="3" s="1"/>
  <c r="D220" i="3" a="1"/>
  <c r="D220" i="3" s="1"/>
  <c r="C220" i="3" a="1"/>
  <c r="C220" i="3" s="1"/>
  <c r="B220" i="3" a="1"/>
  <c r="B220" i="3" s="1"/>
  <c r="Z219" i="3" a="1"/>
  <c r="Z219" i="3" s="1"/>
  <c r="Y219" i="3" a="1"/>
  <c r="Y219" i="3" s="1"/>
  <c r="X219" i="3" a="1"/>
  <c r="X219" i="3" s="1"/>
  <c r="W219" i="3" a="1"/>
  <c r="W219" i="3" s="1"/>
  <c r="V219" i="3" a="1"/>
  <c r="V219" i="3" s="1"/>
  <c r="U219" i="3" a="1"/>
  <c r="U219" i="3" s="1"/>
  <c r="T219" i="3" a="1"/>
  <c r="T219" i="3" s="1"/>
  <c r="S219" i="3" a="1"/>
  <c r="S219" i="3" s="1"/>
  <c r="R219" i="3" a="1"/>
  <c r="R219" i="3" s="1"/>
  <c r="Q219" i="3" a="1"/>
  <c r="Q219" i="3" s="1"/>
  <c r="P219" i="3" a="1"/>
  <c r="P219" i="3" s="1"/>
  <c r="O219" i="3" a="1"/>
  <c r="O219" i="3" s="1"/>
  <c r="N219" i="3" a="1"/>
  <c r="N219" i="3" s="1"/>
  <c r="M219" i="3" a="1"/>
  <c r="M219" i="3" s="1"/>
  <c r="L219" i="3" a="1"/>
  <c r="L219" i="3" s="1"/>
  <c r="K219" i="3" a="1"/>
  <c r="K219" i="3" s="1"/>
  <c r="J219" i="3" a="1"/>
  <c r="J219" i="3" s="1"/>
  <c r="I219" i="3" a="1"/>
  <c r="I219" i="3" s="1"/>
  <c r="G219" i="3" a="1"/>
  <c r="G219" i="3" s="1"/>
  <c r="F219" i="3" a="1"/>
  <c r="F219" i="3" s="1"/>
  <c r="E219" i="3" a="1"/>
  <c r="E219" i="3" s="1"/>
  <c r="D219" i="3" a="1"/>
  <c r="D219" i="3" s="1"/>
  <c r="C219" i="3" a="1"/>
  <c r="C219" i="3" s="1"/>
  <c r="B219" i="3" a="1"/>
  <c r="B219" i="3" s="1"/>
  <c r="Z218" i="3" a="1"/>
  <c r="Z218" i="3" s="1"/>
  <c r="Y218" i="3" a="1"/>
  <c r="Y218" i="3" s="1"/>
  <c r="X218" i="3" a="1"/>
  <c r="X218" i="3" s="1"/>
  <c r="W218" i="3" a="1"/>
  <c r="W218" i="3" s="1"/>
  <c r="V218" i="3" a="1"/>
  <c r="V218" i="3" s="1"/>
  <c r="U218" i="3" a="1"/>
  <c r="U218" i="3" s="1"/>
  <c r="T218" i="3" a="1"/>
  <c r="T218" i="3" s="1"/>
  <c r="S218" i="3" a="1"/>
  <c r="S218" i="3" s="1"/>
  <c r="R218" i="3" a="1"/>
  <c r="R218" i="3" s="1"/>
  <c r="Q218" i="3" a="1"/>
  <c r="Q218" i="3" s="1"/>
  <c r="P218" i="3" a="1"/>
  <c r="P218" i="3" s="1"/>
  <c r="O218" i="3" a="1"/>
  <c r="O218" i="3" s="1"/>
  <c r="N218" i="3" a="1"/>
  <c r="N218" i="3" s="1"/>
  <c r="M218" i="3" a="1"/>
  <c r="M218" i="3" s="1"/>
  <c r="L218" i="3" a="1"/>
  <c r="L218" i="3" s="1"/>
  <c r="K218" i="3" a="1"/>
  <c r="K218" i="3" s="1"/>
  <c r="J218" i="3" a="1"/>
  <c r="J218" i="3" s="1"/>
  <c r="I218" i="3" a="1"/>
  <c r="I218" i="3" s="1"/>
  <c r="G218" i="3" a="1"/>
  <c r="G218" i="3" s="1"/>
  <c r="F218" i="3" a="1"/>
  <c r="F218" i="3" s="1"/>
  <c r="E218" i="3" a="1"/>
  <c r="E218" i="3" s="1"/>
  <c r="D218" i="3" a="1"/>
  <c r="D218" i="3" s="1"/>
  <c r="C218" i="3" a="1"/>
  <c r="C218" i="3" s="1"/>
  <c r="B218" i="3" a="1"/>
  <c r="B218" i="3" s="1"/>
  <c r="Z217" i="3" a="1"/>
  <c r="Z217" i="3" s="1"/>
  <c r="Y217" i="3" a="1"/>
  <c r="Y217" i="3" s="1"/>
  <c r="X217" i="3" a="1"/>
  <c r="X217" i="3" s="1"/>
  <c r="W217" i="3" a="1"/>
  <c r="W217" i="3" s="1"/>
  <c r="V217" i="3" a="1"/>
  <c r="V217" i="3" s="1"/>
  <c r="U217" i="3" a="1"/>
  <c r="U217" i="3" s="1"/>
  <c r="T217" i="3" a="1"/>
  <c r="T217" i="3" s="1"/>
  <c r="S217" i="3" a="1"/>
  <c r="S217" i="3" s="1"/>
  <c r="R217" i="3" a="1"/>
  <c r="R217" i="3" s="1"/>
  <c r="Q217" i="3" a="1"/>
  <c r="Q217" i="3" s="1"/>
  <c r="P217" i="3" a="1"/>
  <c r="P217" i="3" s="1"/>
  <c r="O217" i="3" a="1"/>
  <c r="O217" i="3" s="1"/>
  <c r="N217" i="3" a="1"/>
  <c r="N217" i="3" s="1"/>
  <c r="M217" i="3" a="1"/>
  <c r="M217" i="3" s="1"/>
  <c r="L217" i="3" a="1"/>
  <c r="L217" i="3" s="1"/>
  <c r="K217" i="3" a="1"/>
  <c r="K217" i="3" s="1"/>
  <c r="J217" i="3" a="1"/>
  <c r="J217" i="3" s="1"/>
  <c r="I217" i="3" a="1"/>
  <c r="I217" i="3" s="1"/>
  <c r="G217" i="3" a="1"/>
  <c r="G217" i="3" s="1"/>
  <c r="F217" i="3" a="1"/>
  <c r="F217" i="3" s="1"/>
  <c r="E217" i="3" a="1"/>
  <c r="E217" i="3" s="1"/>
  <c r="D217" i="3" a="1"/>
  <c r="D217" i="3" s="1"/>
  <c r="C217" i="3" a="1"/>
  <c r="C217" i="3" s="1"/>
  <c r="B217" i="3" a="1"/>
  <c r="B217" i="3" s="1"/>
  <c r="Z216" i="3" a="1"/>
  <c r="Z216" i="3" s="1"/>
  <c r="Y216" i="3" a="1"/>
  <c r="Y216" i="3" s="1"/>
  <c r="X216" i="3" a="1"/>
  <c r="X216" i="3" s="1"/>
  <c r="W216" i="3" a="1"/>
  <c r="W216" i="3" s="1"/>
  <c r="V216" i="3" a="1"/>
  <c r="V216" i="3" s="1"/>
  <c r="U216" i="3" a="1"/>
  <c r="U216" i="3" s="1"/>
  <c r="T216" i="3" a="1"/>
  <c r="T216" i="3" s="1"/>
  <c r="S216" i="3" a="1"/>
  <c r="S216" i="3" s="1"/>
  <c r="R216" i="3" a="1"/>
  <c r="R216" i="3" s="1"/>
  <c r="Q216" i="3" a="1"/>
  <c r="Q216" i="3" s="1"/>
  <c r="P216" i="3" a="1"/>
  <c r="P216" i="3" s="1"/>
  <c r="O216" i="3" a="1"/>
  <c r="O216" i="3" s="1"/>
  <c r="N216" i="3" a="1"/>
  <c r="N216" i="3" s="1"/>
  <c r="M216" i="3" a="1"/>
  <c r="M216" i="3" s="1"/>
  <c r="L216" i="3" a="1"/>
  <c r="L216" i="3" s="1"/>
  <c r="K216" i="3" a="1"/>
  <c r="K216" i="3" s="1"/>
  <c r="J216" i="3" a="1"/>
  <c r="J216" i="3" s="1"/>
  <c r="I216" i="3" a="1"/>
  <c r="I216" i="3" s="1"/>
  <c r="G216" i="3" a="1"/>
  <c r="G216" i="3" s="1"/>
  <c r="F216" i="3" a="1"/>
  <c r="F216" i="3" s="1"/>
  <c r="E216" i="3" a="1"/>
  <c r="E216" i="3" s="1"/>
  <c r="D216" i="3" a="1"/>
  <c r="D216" i="3" s="1"/>
  <c r="C216" i="3" a="1"/>
  <c r="C216" i="3" s="1"/>
  <c r="B216" i="3" a="1"/>
  <c r="B216" i="3" s="1"/>
  <c r="Z215" i="3" a="1"/>
  <c r="Z215" i="3" s="1"/>
  <c r="Y215" i="3" a="1"/>
  <c r="Y215" i="3" s="1"/>
  <c r="X215" i="3" a="1"/>
  <c r="X215" i="3" s="1"/>
  <c r="W215" i="3" a="1"/>
  <c r="W215" i="3" s="1"/>
  <c r="V215" i="3" a="1"/>
  <c r="V215" i="3" s="1"/>
  <c r="U215" i="3" a="1"/>
  <c r="U215" i="3" s="1"/>
  <c r="T215" i="3" a="1"/>
  <c r="T215" i="3" s="1"/>
  <c r="S215" i="3" a="1"/>
  <c r="S215" i="3" s="1"/>
  <c r="R215" i="3" a="1"/>
  <c r="R215" i="3" s="1"/>
  <c r="Q215" i="3" a="1"/>
  <c r="Q215" i="3" s="1"/>
  <c r="P215" i="3" a="1"/>
  <c r="P215" i="3" s="1"/>
  <c r="O215" i="3" a="1"/>
  <c r="O215" i="3" s="1"/>
  <c r="N215" i="3" a="1"/>
  <c r="N215" i="3" s="1"/>
  <c r="M215" i="3" a="1"/>
  <c r="M215" i="3" s="1"/>
  <c r="L215" i="3" a="1"/>
  <c r="L215" i="3" s="1"/>
  <c r="K215" i="3" a="1"/>
  <c r="K215" i="3" s="1"/>
  <c r="J215" i="3" a="1"/>
  <c r="J215" i="3" s="1"/>
  <c r="I215" i="3" a="1"/>
  <c r="I215" i="3" s="1"/>
  <c r="G215" i="3" a="1"/>
  <c r="G215" i="3" s="1"/>
  <c r="F215" i="3" a="1"/>
  <c r="F215" i="3" s="1"/>
  <c r="E215" i="3" a="1"/>
  <c r="E215" i="3" s="1"/>
  <c r="D215" i="3" a="1"/>
  <c r="D215" i="3" s="1"/>
  <c r="C215" i="3" a="1"/>
  <c r="C215" i="3" s="1"/>
  <c r="B215" i="3" a="1"/>
  <c r="B215" i="3" s="1"/>
  <c r="Z214" i="3" a="1"/>
  <c r="Z214" i="3" s="1"/>
  <c r="Y214" i="3" a="1"/>
  <c r="Y214" i="3" s="1"/>
  <c r="X214" i="3" a="1"/>
  <c r="X214" i="3" s="1"/>
  <c r="W214" i="3" a="1"/>
  <c r="W214" i="3" s="1"/>
  <c r="V214" i="3" a="1"/>
  <c r="V214" i="3" s="1"/>
  <c r="U214" i="3" a="1"/>
  <c r="U214" i="3" s="1"/>
  <c r="T214" i="3" a="1"/>
  <c r="T214" i="3" s="1"/>
  <c r="S214" i="3" a="1"/>
  <c r="S214" i="3" s="1"/>
  <c r="R214" i="3" a="1"/>
  <c r="R214" i="3" s="1"/>
  <c r="Q214" i="3" a="1"/>
  <c r="Q214" i="3" s="1"/>
  <c r="P214" i="3" a="1"/>
  <c r="P214" i="3" s="1"/>
  <c r="O214" i="3" a="1"/>
  <c r="O214" i="3" s="1"/>
  <c r="N214" i="3" a="1"/>
  <c r="N214" i="3" s="1"/>
  <c r="M214" i="3" a="1"/>
  <c r="M214" i="3" s="1"/>
  <c r="L214" i="3" a="1"/>
  <c r="L214" i="3" s="1"/>
  <c r="K214" i="3" a="1"/>
  <c r="K214" i="3" s="1"/>
  <c r="J214" i="3" a="1"/>
  <c r="J214" i="3" s="1"/>
  <c r="I214" i="3" a="1"/>
  <c r="I214" i="3" s="1"/>
  <c r="G214" i="3" a="1"/>
  <c r="G214" i="3" s="1"/>
  <c r="F214" i="3" a="1"/>
  <c r="F214" i="3" s="1"/>
  <c r="E214" i="3" a="1"/>
  <c r="E214" i="3" s="1"/>
  <c r="D214" i="3" a="1"/>
  <c r="D214" i="3" s="1"/>
  <c r="C214" i="3" a="1"/>
  <c r="C214" i="3" s="1"/>
  <c r="B214" i="3" a="1"/>
  <c r="B214" i="3" s="1"/>
  <c r="Z213" i="3" a="1"/>
  <c r="Z213" i="3" s="1"/>
  <c r="Y213" i="3" a="1"/>
  <c r="Y213" i="3" s="1"/>
  <c r="X213" i="3" a="1"/>
  <c r="X213" i="3" s="1"/>
  <c r="W213" i="3" a="1"/>
  <c r="W213" i="3" s="1"/>
  <c r="V213" i="3" a="1"/>
  <c r="V213" i="3" s="1"/>
  <c r="U213" i="3" a="1"/>
  <c r="U213" i="3" s="1"/>
  <c r="T213" i="3" a="1"/>
  <c r="T213" i="3" s="1"/>
  <c r="S213" i="3" a="1"/>
  <c r="S213" i="3" s="1"/>
  <c r="R213" i="3" a="1"/>
  <c r="R213" i="3" s="1"/>
  <c r="Q213" i="3" a="1"/>
  <c r="Q213" i="3" s="1"/>
  <c r="P213" i="3" a="1"/>
  <c r="P213" i="3" s="1"/>
  <c r="O213" i="3" a="1"/>
  <c r="O213" i="3" s="1"/>
  <c r="N213" i="3" a="1"/>
  <c r="N213" i="3" s="1"/>
  <c r="M213" i="3" a="1"/>
  <c r="M213" i="3" s="1"/>
  <c r="L213" i="3" a="1"/>
  <c r="L213" i="3" s="1"/>
  <c r="K213" i="3" a="1"/>
  <c r="K213" i="3" s="1"/>
  <c r="J213" i="3" a="1"/>
  <c r="J213" i="3" s="1"/>
  <c r="I213" i="3" a="1"/>
  <c r="I213" i="3" s="1"/>
  <c r="G213" i="3" a="1"/>
  <c r="G213" i="3" s="1"/>
  <c r="F213" i="3" a="1"/>
  <c r="F213" i="3" s="1"/>
  <c r="E213" i="3" a="1"/>
  <c r="E213" i="3" s="1"/>
  <c r="D213" i="3" a="1"/>
  <c r="D213" i="3" s="1"/>
  <c r="C213" i="3" a="1"/>
  <c r="C213" i="3" s="1"/>
  <c r="B213" i="3" a="1"/>
  <c r="B213" i="3" s="1"/>
  <c r="Z212" i="3" a="1"/>
  <c r="Z212" i="3" s="1"/>
  <c r="Y212" i="3" a="1"/>
  <c r="Y212" i="3" s="1"/>
  <c r="X212" i="3" a="1"/>
  <c r="X212" i="3" s="1"/>
  <c r="W212" i="3" a="1"/>
  <c r="W212" i="3" s="1"/>
  <c r="V212" i="3" a="1"/>
  <c r="V212" i="3" s="1"/>
  <c r="U212" i="3" a="1"/>
  <c r="U212" i="3" s="1"/>
  <c r="T212" i="3" a="1"/>
  <c r="T212" i="3" s="1"/>
  <c r="S212" i="3" a="1"/>
  <c r="S212" i="3" s="1"/>
  <c r="R212" i="3" a="1"/>
  <c r="R212" i="3" s="1"/>
  <c r="Q212" i="3" a="1"/>
  <c r="Q212" i="3" s="1"/>
  <c r="P212" i="3" a="1"/>
  <c r="P212" i="3" s="1"/>
  <c r="O212" i="3" a="1"/>
  <c r="O212" i="3" s="1"/>
  <c r="N212" i="3" a="1"/>
  <c r="N212" i="3" s="1"/>
  <c r="M212" i="3" a="1"/>
  <c r="M212" i="3" s="1"/>
  <c r="L212" i="3" a="1"/>
  <c r="L212" i="3" s="1"/>
  <c r="K212" i="3" a="1"/>
  <c r="K212" i="3" s="1"/>
  <c r="J212" i="3" a="1"/>
  <c r="J212" i="3" s="1"/>
  <c r="I212" i="3" a="1"/>
  <c r="I212" i="3" s="1"/>
  <c r="G212" i="3" a="1"/>
  <c r="G212" i="3" s="1"/>
  <c r="F212" i="3" a="1"/>
  <c r="F212" i="3" s="1"/>
  <c r="E212" i="3" a="1"/>
  <c r="E212" i="3" s="1"/>
  <c r="D212" i="3" a="1"/>
  <c r="D212" i="3" s="1"/>
  <c r="C212" i="3" a="1"/>
  <c r="C212" i="3" s="1"/>
  <c r="B212" i="3" a="1"/>
  <c r="B212" i="3" s="1"/>
  <c r="Z211" i="3" a="1"/>
  <c r="Z211" i="3" s="1"/>
  <c r="Y211" i="3" a="1"/>
  <c r="Y211" i="3" s="1"/>
  <c r="X211" i="3" a="1"/>
  <c r="X211" i="3" s="1"/>
  <c r="W211" i="3" a="1"/>
  <c r="W211" i="3" s="1"/>
  <c r="V211" i="3" a="1"/>
  <c r="V211" i="3" s="1"/>
  <c r="U211" i="3" a="1"/>
  <c r="U211" i="3" s="1"/>
  <c r="T211" i="3" a="1"/>
  <c r="T211" i="3" s="1"/>
  <c r="S211" i="3" a="1"/>
  <c r="S211" i="3" s="1"/>
  <c r="R211" i="3" a="1"/>
  <c r="R211" i="3" s="1"/>
  <c r="Q211" i="3" a="1"/>
  <c r="Q211" i="3" s="1"/>
  <c r="P211" i="3" a="1"/>
  <c r="P211" i="3" s="1"/>
  <c r="O211" i="3" a="1"/>
  <c r="O211" i="3" s="1"/>
  <c r="N211" i="3" a="1"/>
  <c r="N211" i="3" s="1"/>
  <c r="M211" i="3" a="1"/>
  <c r="M211" i="3" s="1"/>
  <c r="L211" i="3" a="1"/>
  <c r="L211" i="3" s="1"/>
  <c r="K211" i="3" a="1"/>
  <c r="K211" i="3" s="1"/>
  <c r="J211" i="3" a="1"/>
  <c r="J211" i="3" s="1"/>
  <c r="I211" i="3" a="1"/>
  <c r="I211" i="3" s="1"/>
  <c r="G211" i="3" a="1"/>
  <c r="G211" i="3" s="1"/>
  <c r="F211" i="3" a="1"/>
  <c r="F211" i="3" s="1"/>
  <c r="E211" i="3" a="1"/>
  <c r="E211" i="3" s="1"/>
  <c r="D211" i="3" a="1"/>
  <c r="D211" i="3" s="1"/>
  <c r="C211" i="3" a="1"/>
  <c r="C211" i="3" s="1"/>
  <c r="B211" i="3" a="1"/>
  <c r="B211" i="3" s="1"/>
  <c r="Z210" i="3" a="1"/>
  <c r="Z210" i="3" s="1"/>
  <c r="Y210" i="3" a="1"/>
  <c r="Y210" i="3" s="1"/>
  <c r="X210" i="3" a="1"/>
  <c r="X210" i="3" s="1"/>
  <c r="W210" i="3" a="1"/>
  <c r="W210" i="3" s="1"/>
  <c r="V210" i="3" a="1"/>
  <c r="V210" i="3" s="1"/>
  <c r="U210" i="3" a="1"/>
  <c r="U210" i="3" s="1"/>
  <c r="T210" i="3" a="1"/>
  <c r="T210" i="3" s="1"/>
  <c r="S210" i="3" a="1"/>
  <c r="S210" i="3" s="1"/>
  <c r="R210" i="3" a="1"/>
  <c r="R210" i="3" s="1"/>
  <c r="Q210" i="3" a="1"/>
  <c r="Q210" i="3" s="1"/>
  <c r="P210" i="3" a="1"/>
  <c r="P210" i="3" s="1"/>
  <c r="O210" i="3" a="1"/>
  <c r="O210" i="3" s="1"/>
  <c r="N210" i="3" a="1"/>
  <c r="N210" i="3" s="1"/>
  <c r="M210" i="3" a="1"/>
  <c r="M210" i="3" s="1"/>
  <c r="L210" i="3" a="1"/>
  <c r="L210" i="3" s="1"/>
  <c r="K210" i="3" a="1"/>
  <c r="K210" i="3" s="1"/>
  <c r="J210" i="3" a="1"/>
  <c r="J210" i="3" s="1"/>
  <c r="I210" i="3" a="1"/>
  <c r="I210" i="3" s="1"/>
  <c r="G210" i="3" a="1"/>
  <c r="G210" i="3" s="1"/>
  <c r="F210" i="3" a="1"/>
  <c r="F210" i="3" s="1"/>
  <c r="E210" i="3" a="1"/>
  <c r="E210" i="3" s="1"/>
  <c r="D210" i="3" a="1"/>
  <c r="D210" i="3" s="1"/>
  <c r="C210" i="3" a="1"/>
  <c r="C210" i="3" s="1"/>
  <c r="B210" i="3" a="1"/>
  <c r="B210" i="3" s="1"/>
  <c r="Z209" i="3" a="1"/>
  <c r="Z209" i="3" s="1"/>
  <c r="Y209" i="3" a="1"/>
  <c r="Y209" i="3" s="1"/>
  <c r="X209" i="3" a="1"/>
  <c r="X209" i="3" s="1"/>
  <c r="W209" i="3" a="1"/>
  <c r="W209" i="3" s="1"/>
  <c r="V209" i="3" a="1"/>
  <c r="V209" i="3" s="1"/>
  <c r="U209" i="3" a="1"/>
  <c r="U209" i="3" s="1"/>
  <c r="T209" i="3" a="1"/>
  <c r="T209" i="3" s="1"/>
  <c r="S209" i="3" a="1"/>
  <c r="S209" i="3" s="1"/>
  <c r="R209" i="3" a="1"/>
  <c r="R209" i="3" s="1"/>
  <c r="Q209" i="3" a="1"/>
  <c r="Q209" i="3" s="1"/>
  <c r="P209" i="3" a="1"/>
  <c r="P209" i="3" s="1"/>
  <c r="O209" i="3" a="1"/>
  <c r="O209" i="3" s="1"/>
  <c r="N209" i="3" a="1"/>
  <c r="N209" i="3" s="1"/>
  <c r="M209" i="3" a="1"/>
  <c r="M209" i="3" s="1"/>
  <c r="L209" i="3" a="1"/>
  <c r="L209" i="3" s="1"/>
  <c r="K209" i="3" a="1"/>
  <c r="K209" i="3" s="1"/>
  <c r="J209" i="3" a="1"/>
  <c r="J209" i="3" s="1"/>
  <c r="I209" i="3" a="1"/>
  <c r="I209" i="3" s="1"/>
  <c r="G209" i="3" a="1"/>
  <c r="G209" i="3" s="1"/>
  <c r="F209" i="3" a="1"/>
  <c r="F209" i="3" s="1"/>
  <c r="E209" i="3" a="1"/>
  <c r="E209" i="3" s="1"/>
  <c r="D209" i="3" a="1"/>
  <c r="D209" i="3" s="1"/>
  <c r="C209" i="3" a="1"/>
  <c r="C209" i="3" s="1"/>
  <c r="B209" i="3" a="1"/>
  <c r="B209" i="3" s="1"/>
  <c r="Z208" i="3" a="1"/>
  <c r="Z208" i="3" s="1"/>
  <c r="Y208" i="3" a="1"/>
  <c r="Y208" i="3" s="1"/>
  <c r="X208" i="3" a="1"/>
  <c r="X208" i="3" s="1"/>
  <c r="W208" i="3" a="1"/>
  <c r="W208" i="3" s="1"/>
  <c r="V208" i="3" a="1"/>
  <c r="V208" i="3" s="1"/>
  <c r="U208" i="3" a="1"/>
  <c r="U208" i="3" s="1"/>
  <c r="T208" i="3" a="1"/>
  <c r="T208" i="3" s="1"/>
  <c r="S208" i="3" a="1"/>
  <c r="S208" i="3" s="1"/>
  <c r="R208" i="3" a="1"/>
  <c r="R208" i="3" s="1"/>
  <c r="Q208" i="3" a="1"/>
  <c r="Q208" i="3" s="1"/>
  <c r="P208" i="3" a="1"/>
  <c r="P208" i="3" s="1"/>
  <c r="O208" i="3" a="1"/>
  <c r="O208" i="3" s="1"/>
  <c r="N208" i="3" a="1"/>
  <c r="N208" i="3" s="1"/>
  <c r="M208" i="3" a="1"/>
  <c r="M208" i="3" s="1"/>
  <c r="L208" i="3" a="1"/>
  <c r="L208" i="3" s="1"/>
  <c r="K208" i="3" a="1"/>
  <c r="K208" i="3" s="1"/>
  <c r="J208" i="3" a="1"/>
  <c r="J208" i="3" s="1"/>
  <c r="I208" i="3" a="1"/>
  <c r="I208" i="3" s="1"/>
  <c r="G208" i="3" a="1"/>
  <c r="G208" i="3" s="1"/>
  <c r="F208" i="3" a="1"/>
  <c r="F208" i="3" s="1"/>
  <c r="E208" i="3" a="1"/>
  <c r="E208" i="3" s="1"/>
  <c r="D208" i="3" a="1"/>
  <c r="D208" i="3" s="1"/>
  <c r="C208" i="3" a="1"/>
  <c r="C208" i="3" s="1"/>
  <c r="B208" i="3" a="1"/>
  <c r="B208" i="3" s="1"/>
  <c r="Z207" i="3" a="1"/>
  <c r="Z207" i="3" s="1"/>
  <c r="Y207" i="3" a="1"/>
  <c r="Y207" i="3" s="1"/>
  <c r="X207" i="3" a="1"/>
  <c r="X207" i="3" s="1"/>
  <c r="W207" i="3" a="1"/>
  <c r="W207" i="3" s="1"/>
  <c r="V207" i="3" a="1"/>
  <c r="V207" i="3" s="1"/>
  <c r="U207" i="3" a="1"/>
  <c r="U207" i="3" s="1"/>
  <c r="T207" i="3" a="1"/>
  <c r="T207" i="3" s="1"/>
  <c r="S207" i="3" a="1"/>
  <c r="S207" i="3" s="1"/>
  <c r="R207" i="3" a="1"/>
  <c r="R207" i="3" s="1"/>
  <c r="Q207" i="3" a="1"/>
  <c r="Q207" i="3" s="1"/>
  <c r="P207" i="3" a="1"/>
  <c r="P207" i="3" s="1"/>
  <c r="O207" i="3" a="1"/>
  <c r="O207" i="3" s="1"/>
  <c r="N207" i="3" a="1"/>
  <c r="N207" i="3" s="1"/>
  <c r="M207" i="3" a="1"/>
  <c r="M207" i="3" s="1"/>
  <c r="L207" i="3" a="1"/>
  <c r="L207" i="3" s="1"/>
  <c r="K207" i="3" a="1"/>
  <c r="K207" i="3" s="1"/>
  <c r="J207" i="3" a="1"/>
  <c r="J207" i="3" s="1"/>
  <c r="I207" i="3" a="1"/>
  <c r="I207" i="3" s="1"/>
  <c r="G207" i="3" a="1"/>
  <c r="G207" i="3" s="1"/>
  <c r="F207" i="3" a="1"/>
  <c r="F207" i="3" s="1"/>
  <c r="E207" i="3" a="1"/>
  <c r="E207" i="3" s="1"/>
  <c r="D207" i="3" a="1"/>
  <c r="D207" i="3" s="1"/>
  <c r="C207" i="3" a="1"/>
  <c r="C207" i="3" s="1"/>
  <c r="B207" i="3" a="1"/>
  <c r="B207" i="3" s="1"/>
  <c r="Z206" i="3" a="1"/>
  <c r="Z206" i="3" s="1"/>
  <c r="Y206" i="3" a="1"/>
  <c r="Y206" i="3" s="1"/>
  <c r="X206" i="3" a="1"/>
  <c r="X206" i="3" s="1"/>
  <c r="W206" i="3" a="1"/>
  <c r="W206" i="3" s="1"/>
  <c r="V206" i="3" a="1"/>
  <c r="V206" i="3" s="1"/>
  <c r="U206" i="3" a="1"/>
  <c r="U206" i="3" s="1"/>
  <c r="T206" i="3" a="1"/>
  <c r="T206" i="3" s="1"/>
  <c r="S206" i="3" a="1"/>
  <c r="S206" i="3" s="1"/>
  <c r="R206" i="3" a="1"/>
  <c r="R206" i="3" s="1"/>
  <c r="Q206" i="3" a="1"/>
  <c r="Q206" i="3" s="1"/>
  <c r="P206" i="3" a="1"/>
  <c r="P206" i="3" s="1"/>
  <c r="O206" i="3" a="1"/>
  <c r="O206" i="3" s="1"/>
  <c r="N206" i="3" a="1"/>
  <c r="N206" i="3" s="1"/>
  <c r="M206" i="3" a="1"/>
  <c r="M206" i="3" s="1"/>
  <c r="L206" i="3" a="1"/>
  <c r="L206" i="3" s="1"/>
  <c r="K206" i="3" a="1"/>
  <c r="K206" i="3" s="1"/>
  <c r="J206" i="3" a="1"/>
  <c r="J206" i="3" s="1"/>
  <c r="I206" i="3" a="1"/>
  <c r="I206" i="3" s="1"/>
  <c r="G206" i="3" a="1"/>
  <c r="G206" i="3" s="1"/>
  <c r="F206" i="3" a="1"/>
  <c r="F206" i="3" s="1"/>
  <c r="E206" i="3" a="1"/>
  <c r="E206" i="3" s="1"/>
  <c r="D206" i="3" a="1"/>
  <c r="D206" i="3" s="1"/>
  <c r="C206" i="3" a="1"/>
  <c r="C206" i="3" s="1"/>
  <c r="B206" i="3" a="1"/>
  <c r="B206" i="3" s="1"/>
  <c r="Z205" i="3" a="1"/>
  <c r="Z205" i="3" s="1"/>
  <c r="Y205" i="3" a="1"/>
  <c r="Y205" i="3" s="1"/>
  <c r="X205" i="3" a="1"/>
  <c r="X205" i="3" s="1"/>
  <c r="W205" i="3" a="1"/>
  <c r="W205" i="3" s="1"/>
  <c r="V205" i="3" a="1"/>
  <c r="V205" i="3" s="1"/>
  <c r="U205" i="3" a="1"/>
  <c r="U205" i="3" s="1"/>
  <c r="T205" i="3" a="1"/>
  <c r="T205" i="3" s="1"/>
  <c r="S205" i="3" a="1"/>
  <c r="S205" i="3" s="1"/>
  <c r="R205" i="3" a="1"/>
  <c r="R205" i="3" s="1"/>
  <c r="Q205" i="3" a="1"/>
  <c r="Q205" i="3" s="1"/>
  <c r="P205" i="3" a="1"/>
  <c r="P205" i="3" s="1"/>
  <c r="O205" i="3" a="1"/>
  <c r="O205" i="3" s="1"/>
  <c r="N205" i="3" a="1"/>
  <c r="N205" i="3" s="1"/>
  <c r="M205" i="3" a="1"/>
  <c r="M205" i="3" s="1"/>
  <c r="L205" i="3" a="1"/>
  <c r="L205" i="3" s="1"/>
  <c r="K205" i="3" a="1"/>
  <c r="K205" i="3" s="1"/>
  <c r="J205" i="3" a="1"/>
  <c r="J205" i="3" s="1"/>
  <c r="I205" i="3" a="1"/>
  <c r="I205" i="3" s="1"/>
  <c r="G205" i="3" a="1"/>
  <c r="G205" i="3" s="1"/>
  <c r="F205" i="3" a="1"/>
  <c r="F205" i="3" s="1"/>
  <c r="E205" i="3" a="1"/>
  <c r="E205" i="3" s="1"/>
  <c r="D205" i="3" a="1"/>
  <c r="D205" i="3" s="1"/>
  <c r="C205" i="3" a="1"/>
  <c r="C205" i="3" s="1"/>
  <c r="B205" i="3" a="1"/>
  <c r="B205" i="3" s="1"/>
  <c r="Q201" i="3" a="1"/>
  <c r="Q201" i="3" s="1"/>
  <c r="P201" i="3" a="1"/>
  <c r="P201" i="3" s="1"/>
  <c r="O201" i="3" a="1"/>
  <c r="O201" i="3" s="1"/>
  <c r="N201" i="3" a="1"/>
  <c r="N201" i="3" s="1"/>
  <c r="M201" i="3" a="1"/>
  <c r="M201" i="3" s="1"/>
  <c r="L201" i="3" a="1"/>
  <c r="L201" i="3" s="1"/>
  <c r="K201" i="3" a="1"/>
  <c r="K201" i="3" s="1"/>
  <c r="J201" i="3" a="1"/>
  <c r="J201" i="3" s="1"/>
  <c r="I201" i="3" a="1"/>
  <c r="I201" i="3" s="1"/>
  <c r="G201" i="3" a="1"/>
  <c r="G201" i="3" s="1"/>
  <c r="F201" i="3" a="1"/>
  <c r="F201" i="3" s="1"/>
  <c r="E201" i="3" a="1"/>
  <c r="E201" i="3" s="1"/>
  <c r="D201" i="3" a="1"/>
  <c r="D201" i="3" s="1"/>
  <c r="C201" i="3" a="1"/>
  <c r="C201" i="3" s="1"/>
  <c r="B201" i="3" a="1"/>
  <c r="B201" i="3" s="1"/>
  <c r="Q200" i="3" a="1"/>
  <c r="Q200" i="3" s="1"/>
  <c r="P200" i="3" a="1"/>
  <c r="P200" i="3" s="1"/>
  <c r="O200" i="3" a="1"/>
  <c r="O200" i="3" s="1"/>
  <c r="N200" i="3" a="1"/>
  <c r="N200" i="3" s="1"/>
  <c r="M200" i="3" a="1"/>
  <c r="M200" i="3" s="1"/>
  <c r="L200" i="3" a="1"/>
  <c r="L200" i="3" s="1"/>
  <c r="K200" i="3" a="1"/>
  <c r="K200" i="3" s="1"/>
  <c r="J200" i="3" a="1"/>
  <c r="J200" i="3" s="1"/>
  <c r="I200" i="3" a="1"/>
  <c r="I200" i="3" s="1"/>
  <c r="G200" i="3" a="1"/>
  <c r="G200" i="3" s="1"/>
  <c r="F200" i="3" a="1"/>
  <c r="F200" i="3" s="1"/>
  <c r="E200" i="3" a="1"/>
  <c r="E200" i="3" s="1"/>
  <c r="D200" i="3" a="1"/>
  <c r="D200" i="3" s="1"/>
  <c r="C200" i="3" a="1"/>
  <c r="C200" i="3" s="1"/>
  <c r="B200" i="3" a="1"/>
  <c r="B200" i="3" s="1"/>
  <c r="T199" i="3" a="1"/>
  <c r="T199" i="3" s="1"/>
  <c r="Q199" i="3" a="1"/>
  <c r="Q199" i="3" s="1"/>
  <c r="P199" i="3" a="1"/>
  <c r="P199" i="3" s="1"/>
  <c r="O199" i="3" a="1"/>
  <c r="O199" i="3" s="1"/>
  <c r="N199" i="3" a="1"/>
  <c r="N199" i="3" s="1"/>
  <c r="M199" i="3" a="1"/>
  <c r="M199" i="3" s="1"/>
  <c r="L199" i="3" a="1"/>
  <c r="L199" i="3" s="1"/>
  <c r="K199" i="3" a="1"/>
  <c r="K199" i="3" s="1"/>
  <c r="J199" i="3" a="1"/>
  <c r="J199" i="3" s="1"/>
  <c r="I199" i="3" a="1"/>
  <c r="I199" i="3" s="1"/>
  <c r="G199" i="3" a="1"/>
  <c r="G199" i="3" s="1"/>
  <c r="F199" i="3" a="1"/>
  <c r="F199" i="3" s="1"/>
  <c r="E199" i="3" a="1"/>
  <c r="E199" i="3" s="1"/>
  <c r="D199" i="3" a="1"/>
  <c r="D199" i="3" s="1"/>
  <c r="C199" i="3" a="1"/>
  <c r="C199" i="3" s="1"/>
  <c r="B199" i="3" a="1"/>
  <c r="B199" i="3" s="1"/>
  <c r="Z195" i="3" a="1"/>
  <c r="Z195" i="3" s="1"/>
  <c r="Y195" i="3" a="1"/>
  <c r="Y195" i="3" s="1"/>
  <c r="X195" i="3" a="1"/>
  <c r="X195" i="3" s="1"/>
  <c r="W195" i="3" a="1"/>
  <c r="W195" i="3" s="1"/>
  <c r="V195" i="3" a="1"/>
  <c r="V195" i="3" s="1"/>
  <c r="U195" i="3" a="1"/>
  <c r="U195" i="3" s="1"/>
  <c r="T195" i="3" a="1"/>
  <c r="T195" i="3" s="1"/>
  <c r="S195" i="3" a="1"/>
  <c r="S195" i="3" s="1"/>
  <c r="R195" i="3" a="1"/>
  <c r="R195" i="3" s="1"/>
  <c r="Q195" i="3" a="1"/>
  <c r="Q195" i="3" s="1"/>
  <c r="P195" i="3" a="1"/>
  <c r="P195" i="3" s="1"/>
  <c r="O195" i="3" a="1"/>
  <c r="O195" i="3" s="1"/>
  <c r="N195" i="3" a="1"/>
  <c r="N195" i="3" s="1"/>
  <c r="M195" i="3" a="1"/>
  <c r="M195" i="3" s="1"/>
  <c r="L195" i="3" a="1"/>
  <c r="L195" i="3" s="1"/>
  <c r="K195" i="3" a="1"/>
  <c r="K195" i="3" s="1"/>
  <c r="J195" i="3" a="1"/>
  <c r="J195" i="3" s="1"/>
  <c r="I195" i="3" a="1"/>
  <c r="I195" i="3" s="1"/>
  <c r="G195" i="3" a="1"/>
  <c r="G195" i="3" s="1"/>
  <c r="F195" i="3" a="1"/>
  <c r="F195" i="3" s="1"/>
  <c r="E195" i="3" a="1"/>
  <c r="E195" i="3" s="1"/>
  <c r="D195" i="3" a="1"/>
  <c r="D195" i="3" s="1"/>
  <c r="C195" i="3" a="1"/>
  <c r="C195" i="3" s="1"/>
  <c r="B195" i="3" a="1"/>
  <c r="B195" i="3" s="1"/>
  <c r="Z194" i="3" a="1"/>
  <c r="Z194" i="3" s="1"/>
  <c r="Y194" i="3" a="1"/>
  <c r="Y194" i="3" s="1"/>
  <c r="X194" i="3" a="1"/>
  <c r="X194" i="3" s="1"/>
  <c r="W194" i="3" a="1"/>
  <c r="W194" i="3" s="1"/>
  <c r="V194" i="3" a="1"/>
  <c r="V194" i="3" s="1"/>
  <c r="U194" i="3" a="1"/>
  <c r="U194" i="3" s="1"/>
  <c r="T194" i="3" a="1"/>
  <c r="T194" i="3" s="1"/>
  <c r="S194" i="3" a="1"/>
  <c r="S194" i="3" s="1"/>
  <c r="R194" i="3" a="1"/>
  <c r="R194" i="3" s="1"/>
  <c r="Q194" i="3" a="1"/>
  <c r="Q194" i="3" s="1"/>
  <c r="P194" i="3" a="1"/>
  <c r="P194" i="3" s="1"/>
  <c r="O194" i="3" a="1"/>
  <c r="O194" i="3" s="1"/>
  <c r="N194" i="3" a="1"/>
  <c r="N194" i="3" s="1"/>
  <c r="M194" i="3" a="1"/>
  <c r="M194" i="3" s="1"/>
  <c r="L194" i="3" a="1"/>
  <c r="L194" i="3" s="1"/>
  <c r="K194" i="3" a="1"/>
  <c r="K194" i="3" s="1"/>
  <c r="J194" i="3" a="1"/>
  <c r="J194" i="3" s="1"/>
  <c r="I194" i="3" a="1"/>
  <c r="I194" i="3" s="1"/>
  <c r="G194" i="3" a="1"/>
  <c r="G194" i="3" s="1"/>
  <c r="F194" i="3" a="1"/>
  <c r="F194" i="3" s="1"/>
  <c r="E194" i="3" a="1"/>
  <c r="E194" i="3" s="1"/>
  <c r="D194" i="3" a="1"/>
  <c r="D194" i="3" s="1"/>
  <c r="C194" i="3" a="1"/>
  <c r="C194" i="3" s="1"/>
  <c r="B194" i="3" a="1"/>
  <c r="B194" i="3" s="1"/>
  <c r="Z193" i="3" a="1"/>
  <c r="Z193" i="3" s="1"/>
  <c r="Y193" i="3" a="1"/>
  <c r="Y193" i="3" s="1"/>
  <c r="X193" i="3" a="1"/>
  <c r="X193" i="3" s="1"/>
  <c r="W193" i="3" a="1"/>
  <c r="W193" i="3" s="1"/>
  <c r="V193" i="3" a="1"/>
  <c r="V193" i="3" s="1"/>
  <c r="U193" i="3" a="1"/>
  <c r="U193" i="3" s="1"/>
  <c r="T193" i="3" a="1"/>
  <c r="T193" i="3" s="1"/>
  <c r="S193" i="3" a="1"/>
  <c r="S193" i="3" s="1"/>
  <c r="R193" i="3" a="1"/>
  <c r="R193" i="3" s="1"/>
  <c r="Q193" i="3" a="1"/>
  <c r="Q193" i="3" s="1"/>
  <c r="P193" i="3" a="1"/>
  <c r="P193" i="3" s="1"/>
  <c r="O193" i="3" a="1"/>
  <c r="O193" i="3" s="1"/>
  <c r="N193" i="3" a="1"/>
  <c r="N193" i="3" s="1"/>
  <c r="M193" i="3" a="1"/>
  <c r="M193" i="3" s="1"/>
  <c r="L193" i="3" a="1"/>
  <c r="L193" i="3" s="1"/>
  <c r="K193" i="3" a="1"/>
  <c r="K193" i="3" s="1"/>
  <c r="J193" i="3" a="1"/>
  <c r="J193" i="3" s="1"/>
  <c r="I193" i="3" a="1"/>
  <c r="I193" i="3" s="1"/>
  <c r="G193" i="3" a="1"/>
  <c r="G193" i="3" s="1"/>
  <c r="F193" i="3" a="1"/>
  <c r="F193" i="3" s="1"/>
  <c r="E193" i="3" a="1"/>
  <c r="E193" i="3" s="1"/>
  <c r="D193" i="3" a="1"/>
  <c r="D193" i="3" s="1"/>
  <c r="C193" i="3" a="1"/>
  <c r="C193" i="3" s="1"/>
  <c r="B193" i="3" a="1"/>
  <c r="B193" i="3" s="1"/>
  <c r="Z192" i="3" a="1"/>
  <c r="Z192" i="3" s="1"/>
  <c r="Y192" i="3" a="1"/>
  <c r="Y192" i="3" s="1"/>
  <c r="X192" i="3" a="1"/>
  <c r="X192" i="3" s="1"/>
  <c r="W192" i="3" a="1"/>
  <c r="W192" i="3" s="1"/>
  <c r="V192" i="3" a="1"/>
  <c r="V192" i="3" s="1"/>
  <c r="U192" i="3" a="1"/>
  <c r="U192" i="3" s="1"/>
  <c r="T192" i="3" a="1"/>
  <c r="T192" i="3" s="1"/>
  <c r="S192" i="3" a="1"/>
  <c r="S192" i="3" s="1"/>
  <c r="R192" i="3" a="1"/>
  <c r="R192" i="3" s="1"/>
  <c r="Q192" i="3" a="1"/>
  <c r="Q192" i="3" s="1"/>
  <c r="P192" i="3" a="1"/>
  <c r="P192" i="3" s="1"/>
  <c r="O192" i="3" a="1"/>
  <c r="O192" i="3" s="1"/>
  <c r="N192" i="3" a="1"/>
  <c r="N192" i="3" s="1"/>
  <c r="M192" i="3" a="1"/>
  <c r="M192" i="3" s="1"/>
  <c r="L192" i="3" a="1"/>
  <c r="L192" i="3" s="1"/>
  <c r="K192" i="3" a="1"/>
  <c r="K192" i="3" s="1"/>
  <c r="J192" i="3" a="1"/>
  <c r="J192" i="3" s="1"/>
  <c r="I192" i="3" a="1"/>
  <c r="I192" i="3" s="1"/>
  <c r="G192" i="3" a="1"/>
  <c r="G192" i="3" s="1"/>
  <c r="F192" i="3" a="1"/>
  <c r="F192" i="3" s="1"/>
  <c r="E192" i="3" a="1"/>
  <c r="E192" i="3" s="1"/>
  <c r="D192" i="3" a="1"/>
  <c r="D192" i="3" s="1"/>
  <c r="C192" i="3" a="1"/>
  <c r="C192" i="3" s="1"/>
  <c r="B192" i="3" a="1"/>
  <c r="B192" i="3" s="1"/>
  <c r="Z191" i="3" a="1"/>
  <c r="Z191" i="3" s="1"/>
  <c r="Y191" i="3" a="1"/>
  <c r="Y191" i="3" s="1"/>
  <c r="X191" i="3" a="1"/>
  <c r="X191" i="3" s="1"/>
  <c r="W191" i="3" a="1"/>
  <c r="W191" i="3" s="1"/>
  <c r="V191" i="3" a="1"/>
  <c r="V191" i="3" s="1"/>
  <c r="U191" i="3" a="1"/>
  <c r="U191" i="3" s="1"/>
  <c r="T191" i="3" a="1"/>
  <c r="T191" i="3" s="1"/>
  <c r="S191" i="3" a="1"/>
  <c r="S191" i="3" s="1"/>
  <c r="R191" i="3" a="1"/>
  <c r="R191" i="3" s="1"/>
  <c r="Q191" i="3" a="1"/>
  <c r="Q191" i="3" s="1"/>
  <c r="P191" i="3" a="1"/>
  <c r="P191" i="3" s="1"/>
  <c r="O191" i="3" a="1"/>
  <c r="O191" i="3" s="1"/>
  <c r="N191" i="3" a="1"/>
  <c r="N191" i="3" s="1"/>
  <c r="M191" i="3" a="1"/>
  <c r="M191" i="3" s="1"/>
  <c r="L191" i="3" a="1"/>
  <c r="L191" i="3" s="1"/>
  <c r="K191" i="3" a="1"/>
  <c r="K191" i="3" s="1"/>
  <c r="J191" i="3" a="1"/>
  <c r="J191" i="3" s="1"/>
  <c r="I191" i="3" a="1"/>
  <c r="I191" i="3" s="1"/>
  <c r="G191" i="3" a="1"/>
  <c r="G191" i="3" s="1"/>
  <c r="F191" i="3" a="1"/>
  <c r="F191" i="3" s="1"/>
  <c r="E191" i="3" a="1"/>
  <c r="E191" i="3" s="1"/>
  <c r="D191" i="3" a="1"/>
  <c r="D191" i="3" s="1"/>
  <c r="C191" i="3" a="1"/>
  <c r="C191" i="3" s="1"/>
  <c r="B191" i="3" a="1"/>
  <c r="B191" i="3" s="1"/>
  <c r="Z190" i="3" a="1"/>
  <c r="Z190" i="3" s="1"/>
  <c r="Y190" i="3" a="1"/>
  <c r="Y190" i="3" s="1"/>
  <c r="X190" i="3" a="1"/>
  <c r="X190" i="3" s="1"/>
  <c r="W190" i="3" a="1"/>
  <c r="W190" i="3" s="1"/>
  <c r="V190" i="3" a="1"/>
  <c r="V190" i="3" s="1"/>
  <c r="U190" i="3" a="1"/>
  <c r="U190" i="3" s="1"/>
  <c r="T190" i="3" a="1"/>
  <c r="T190" i="3" s="1"/>
  <c r="S190" i="3" a="1"/>
  <c r="S190" i="3" s="1"/>
  <c r="R190" i="3" a="1"/>
  <c r="R190" i="3" s="1"/>
  <c r="Q190" i="3" a="1"/>
  <c r="Q190" i="3" s="1"/>
  <c r="P190" i="3" a="1"/>
  <c r="P190" i="3" s="1"/>
  <c r="O190" i="3" a="1"/>
  <c r="O190" i="3" s="1"/>
  <c r="N190" i="3" a="1"/>
  <c r="N190" i="3" s="1"/>
  <c r="M190" i="3" a="1"/>
  <c r="M190" i="3" s="1"/>
  <c r="L190" i="3" a="1"/>
  <c r="L190" i="3" s="1"/>
  <c r="K190" i="3" a="1"/>
  <c r="K190" i="3" s="1"/>
  <c r="J190" i="3" a="1"/>
  <c r="J190" i="3" s="1"/>
  <c r="I190" i="3" a="1"/>
  <c r="I190" i="3" s="1"/>
  <c r="G190" i="3" a="1"/>
  <c r="G190" i="3" s="1"/>
  <c r="F190" i="3" a="1"/>
  <c r="F190" i="3" s="1"/>
  <c r="E190" i="3" a="1"/>
  <c r="E190" i="3" s="1"/>
  <c r="D190" i="3" a="1"/>
  <c r="D190" i="3" s="1"/>
  <c r="C190" i="3" a="1"/>
  <c r="C190" i="3" s="1"/>
  <c r="B190" i="3" a="1"/>
  <c r="B190" i="3" s="1"/>
  <c r="Z189" i="3" a="1"/>
  <c r="Z189" i="3" s="1"/>
  <c r="Y189" i="3" a="1"/>
  <c r="Y189" i="3" s="1"/>
  <c r="X189" i="3" a="1"/>
  <c r="X189" i="3" s="1"/>
  <c r="W189" i="3" a="1"/>
  <c r="W189" i="3" s="1"/>
  <c r="V189" i="3" a="1"/>
  <c r="V189" i="3" s="1"/>
  <c r="U189" i="3" a="1"/>
  <c r="U189" i="3" s="1"/>
  <c r="T189" i="3" a="1"/>
  <c r="T189" i="3" s="1"/>
  <c r="S189" i="3" a="1"/>
  <c r="S189" i="3" s="1"/>
  <c r="R189" i="3" a="1"/>
  <c r="R189" i="3" s="1"/>
  <c r="Q189" i="3" a="1"/>
  <c r="Q189" i="3" s="1"/>
  <c r="P189" i="3" a="1"/>
  <c r="P189" i="3" s="1"/>
  <c r="O189" i="3" a="1"/>
  <c r="O189" i="3" s="1"/>
  <c r="N189" i="3" a="1"/>
  <c r="N189" i="3" s="1"/>
  <c r="M189" i="3" a="1"/>
  <c r="M189" i="3" s="1"/>
  <c r="L189" i="3" a="1"/>
  <c r="L189" i="3" s="1"/>
  <c r="K189" i="3" a="1"/>
  <c r="K189" i="3" s="1"/>
  <c r="J189" i="3" a="1"/>
  <c r="J189" i="3" s="1"/>
  <c r="I189" i="3" a="1"/>
  <c r="I189" i="3" s="1"/>
  <c r="G189" i="3" a="1"/>
  <c r="G189" i="3" s="1"/>
  <c r="F189" i="3" a="1"/>
  <c r="F189" i="3" s="1"/>
  <c r="E189" i="3" a="1"/>
  <c r="E189" i="3" s="1"/>
  <c r="D189" i="3" a="1"/>
  <c r="D189" i="3" s="1"/>
  <c r="C189" i="3" a="1"/>
  <c r="C189" i="3" s="1"/>
  <c r="B189" i="3" a="1"/>
  <c r="B189" i="3" s="1"/>
  <c r="Z188" i="3" a="1"/>
  <c r="Z188" i="3" s="1"/>
  <c r="Y188" i="3" a="1"/>
  <c r="Y188" i="3" s="1"/>
  <c r="X188" i="3" a="1"/>
  <c r="X188" i="3" s="1"/>
  <c r="W188" i="3" a="1"/>
  <c r="W188" i="3" s="1"/>
  <c r="V188" i="3" a="1"/>
  <c r="V188" i="3" s="1"/>
  <c r="U188" i="3" a="1"/>
  <c r="U188" i="3" s="1"/>
  <c r="T188" i="3" a="1"/>
  <c r="T188" i="3" s="1"/>
  <c r="S188" i="3" a="1"/>
  <c r="S188" i="3" s="1"/>
  <c r="R188" i="3" a="1"/>
  <c r="R188" i="3" s="1"/>
  <c r="Q188" i="3" a="1"/>
  <c r="Q188" i="3" s="1"/>
  <c r="P188" i="3" a="1"/>
  <c r="P188" i="3" s="1"/>
  <c r="O188" i="3" a="1"/>
  <c r="O188" i="3" s="1"/>
  <c r="N188" i="3" a="1"/>
  <c r="N188" i="3" s="1"/>
  <c r="M188" i="3" a="1"/>
  <c r="M188" i="3" s="1"/>
  <c r="L188" i="3" a="1"/>
  <c r="L188" i="3" s="1"/>
  <c r="K188" i="3" a="1"/>
  <c r="K188" i="3" s="1"/>
  <c r="J188" i="3" a="1"/>
  <c r="J188" i="3" s="1"/>
  <c r="I188" i="3" a="1"/>
  <c r="I188" i="3" s="1"/>
  <c r="G188" i="3" a="1"/>
  <c r="G188" i="3" s="1"/>
  <c r="F188" i="3" a="1"/>
  <c r="F188" i="3" s="1"/>
  <c r="E188" i="3" a="1"/>
  <c r="E188" i="3" s="1"/>
  <c r="D188" i="3" a="1"/>
  <c r="D188" i="3" s="1"/>
  <c r="C188" i="3" a="1"/>
  <c r="C188" i="3" s="1"/>
  <c r="B188" i="3" a="1"/>
  <c r="B188" i="3" s="1"/>
  <c r="Z187" i="3" a="1"/>
  <c r="Z187" i="3" s="1"/>
  <c r="Y187" i="3" a="1"/>
  <c r="Y187" i="3" s="1"/>
  <c r="X187" i="3" a="1"/>
  <c r="X187" i="3" s="1"/>
  <c r="W187" i="3" a="1"/>
  <c r="W187" i="3" s="1"/>
  <c r="V187" i="3" a="1"/>
  <c r="V187" i="3" s="1"/>
  <c r="U187" i="3" a="1"/>
  <c r="U187" i="3" s="1"/>
  <c r="T187" i="3" a="1"/>
  <c r="T187" i="3" s="1"/>
  <c r="S187" i="3" a="1"/>
  <c r="S187" i="3" s="1"/>
  <c r="R187" i="3" a="1"/>
  <c r="R187" i="3" s="1"/>
  <c r="Q187" i="3" a="1"/>
  <c r="Q187" i="3" s="1"/>
  <c r="P187" i="3" a="1"/>
  <c r="P187" i="3" s="1"/>
  <c r="O187" i="3" a="1"/>
  <c r="O187" i="3" s="1"/>
  <c r="N187" i="3" a="1"/>
  <c r="N187" i="3" s="1"/>
  <c r="M187" i="3" a="1"/>
  <c r="M187" i="3" s="1"/>
  <c r="L187" i="3" a="1"/>
  <c r="L187" i="3" s="1"/>
  <c r="K187" i="3" a="1"/>
  <c r="K187" i="3" s="1"/>
  <c r="J187" i="3" a="1"/>
  <c r="J187" i="3" s="1"/>
  <c r="I187" i="3" a="1"/>
  <c r="I187" i="3" s="1"/>
  <c r="G187" i="3" a="1"/>
  <c r="G187" i="3" s="1"/>
  <c r="F187" i="3" a="1"/>
  <c r="F187" i="3" s="1"/>
  <c r="E187" i="3" a="1"/>
  <c r="E187" i="3" s="1"/>
  <c r="D187" i="3" a="1"/>
  <c r="D187" i="3" s="1"/>
  <c r="C187" i="3" a="1"/>
  <c r="C187" i="3" s="1"/>
  <c r="B187" i="3" a="1"/>
  <c r="B187" i="3" s="1"/>
  <c r="Z186" i="3" a="1"/>
  <c r="Z186" i="3" s="1"/>
  <c r="Y186" i="3" a="1"/>
  <c r="Y186" i="3" s="1"/>
  <c r="X186" i="3" a="1"/>
  <c r="X186" i="3" s="1"/>
  <c r="W186" i="3" a="1"/>
  <c r="W186" i="3" s="1"/>
  <c r="V186" i="3" a="1"/>
  <c r="V186" i="3" s="1"/>
  <c r="U186" i="3" a="1"/>
  <c r="U186" i="3" s="1"/>
  <c r="T186" i="3" a="1"/>
  <c r="T186" i="3" s="1"/>
  <c r="S186" i="3" a="1"/>
  <c r="S186" i="3" s="1"/>
  <c r="R186" i="3" a="1"/>
  <c r="R186" i="3" s="1"/>
  <c r="Q186" i="3" a="1"/>
  <c r="Q186" i="3" s="1"/>
  <c r="P186" i="3" a="1"/>
  <c r="P186" i="3" s="1"/>
  <c r="O186" i="3" a="1"/>
  <c r="O186" i="3" s="1"/>
  <c r="N186" i="3" a="1"/>
  <c r="N186" i="3" s="1"/>
  <c r="M186" i="3" a="1"/>
  <c r="M186" i="3" s="1"/>
  <c r="L186" i="3" a="1"/>
  <c r="L186" i="3" s="1"/>
  <c r="K186" i="3" a="1"/>
  <c r="K186" i="3" s="1"/>
  <c r="J186" i="3" a="1"/>
  <c r="J186" i="3" s="1"/>
  <c r="I186" i="3" a="1"/>
  <c r="I186" i="3" s="1"/>
  <c r="G186" i="3" a="1"/>
  <c r="G186" i="3" s="1"/>
  <c r="F186" i="3" a="1"/>
  <c r="F186" i="3" s="1"/>
  <c r="E186" i="3" a="1"/>
  <c r="E186" i="3" s="1"/>
  <c r="D186" i="3" a="1"/>
  <c r="D186" i="3" s="1"/>
  <c r="C186" i="3" a="1"/>
  <c r="C186" i="3" s="1"/>
  <c r="B186" i="3" a="1"/>
  <c r="B186" i="3" s="1"/>
  <c r="Z185" i="3" a="1"/>
  <c r="Z185" i="3" s="1"/>
  <c r="Y185" i="3" a="1"/>
  <c r="Y185" i="3" s="1"/>
  <c r="X185" i="3" a="1"/>
  <c r="X185" i="3" s="1"/>
  <c r="W185" i="3" a="1"/>
  <c r="W185" i="3" s="1"/>
  <c r="V185" i="3" a="1"/>
  <c r="V185" i="3" s="1"/>
  <c r="U185" i="3" a="1"/>
  <c r="U185" i="3" s="1"/>
  <c r="T185" i="3" a="1"/>
  <c r="T185" i="3" s="1"/>
  <c r="S185" i="3" a="1"/>
  <c r="S185" i="3" s="1"/>
  <c r="R185" i="3" a="1"/>
  <c r="R185" i="3" s="1"/>
  <c r="Q185" i="3" a="1"/>
  <c r="Q185" i="3" s="1"/>
  <c r="P185" i="3" a="1"/>
  <c r="P185" i="3" s="1"/>
  <c r="O185" i="3" a="1"/>
  <c r="O185" i="3" s="1"/>
  <c r="N185" i="3" a="1"/>
  <c r="N185" i="3" s="1"/>
  <c r="M185" i="3" a="1"/>
  <c r="M185" i="3" s="1"/>
  <c r="L185" i="3" a="1"/>
  <c r="L185" i="3" s="1"/>
  <c r="K185" i="3" a="1"/>
  <c r="K185" i="3" s="1"/>
  <c r="J185" i="3" a="1"/>
  <c r="J185" i="3" s="1"/>
  <c r="I185" i="3" a="1"/>
  <c r="I185" i="3" s="1"/>
  <c r="G185" i="3" a="1"/>
  <c r="G185" i="3" s="1"/>
  <c r="F185" i="3" a="1"/>
  <c r="F185" i="3" s="1"/>
  <c r="E185" i="3" a="1"/>
  <c r="E185" i="3" s="1"/>
  <c r="D185" i="3" a="1"/>
  <c r="D185" i="3" s="1"/>
  <c r="C185" i="3" a="1"/>
  <c r="C185" i="3" s="1"/>
  <c r="B185" i="3" a="1"/>
  <c r="B185" i="3" s="1"/>
  <c r="Z184" i="3" a="1"/>
  <c r="Z184" i="3" s="1"/>
  <c r="Y184" i="3" a="1"/>
  <c r="Y184" i="3" s="1"/>
  <c r="X184" i="3" a="1"/>
  <c r="X184" i="3" s="1"/>
  <c r="W184" i="3" a="1"/>
  <c r="W184" i="3" s="1"/>
  <c r="V184" i="3" a="1"/>
  <c r="V184" i="3" s="1"/>
  <c r="U184" i="3" a="1"/>
  <c r="U184" i="3" s="1"/>
  <c r="T184" i="3" a="1"/>
  <c r="T184" i="3" s="1"/>
  <c r="S184" i="3" a="1"/>
  <c r="S184" i="3" s="1"/>
  <c r="R184" i="3" a="1"/>
  <c r="R184" i="3" s="1"/>
  <c r="Q184" i="3" a="1"/>
  <c r="Q184" i="3" s="1"/>
  <c r="P184" i="3" a="1"/>
  <c r="P184" i="3" s="1"/>
  <c r="O184" i="3" a="1"/>
  <c r="O184" i="3" s="1"/>
  <c r="N184" i="3" a="1"/>
  <c r="N184" i="3" s="1"/>
  <c r="M184" i="3" a="1"/>
  <c r="M184" i="3" s="1"/>
  <c r="L184" i="3" a="1"/>
  <c r="L184" i="3" s="1"/>
  <c r="K184" i="3" a="1"/>
  <c r="K184" i="3" s="1"/>
  <c r="J184" i="3" a="1"/>
  <c r="J184" i="3" s="1"/>
  <c r="I184" i="3" a="1"/>
  <c r="I184" i="3" s="1"/>
  <c r="G184" i="3" a="1"/>
  <c r="G184" i="3" s="1"/>
  <c r="F184" i="3" a="1"/>
  <c r="F184" i="3" s="1"/>
  <c r="E184" i="3" a="1"/>
  <c r="E184" i="3" s="1"/>
  <c r="D184" i="3" a="1"/>
  <c r="D184" i="3" s="1"/>
  <c r="C184" i="3" a="1"/>
  <c r="C184" i="3" s="1"/>
  <c r="B184" i="3" a="1"/>
  <c r="B184" i="3" s="1"/>
  <c r="Z183" i="3" a="1"/>
  <c r="Z183" i="3" s="1"/>
  <c r="Y183" i="3" a="1"/>
  <c r="Y183" i="3" s="1"/>
  <c r="X183" i="3" a="1"/>
  <c r="X183" i="3" s="1"/>
  <c r="W183" i="3" a="1"/>
  <c r="W183" i="3" s="1"/>
  <c r="V183" i="3" a="1"/>
  <c r="V183" i="3" s="1"/>
  <c r="U183" i="3" a="1"/>
  <c r="U183" i="3" s="1"/>
  <c r="T183" i="3" a="1"/>
  <c r="T183" i="3" s="1"/>
  <c r="S183" i="3" a="1"/>
  <c r="S183" i="3" s="1"/>
  <c r="R183" i="3" a="1"/>
  <c r="R183" i="3" s="1"/>
  <c r="Q183" i="3" a="1"/>
  <c r="Q183" i="3" s="1"/>
  <c r="P183" i="3" a="1"/>
  <c r="P183" i="3" s="1"/>
  <c r="O183" i="3" a="1"/>
  <c r="O183" i="3" s="1"/>
  <c r="N183" i="3" a="1"/>
  <c r="N183" i="3" s="1"/>
  <c r="M183" i="3" a="1"/>
  <c r="M183" i="3" s="1"/>
  <c r="L183" i="3" a="1"/>
  <c r="L183" i="3" s="1"/>
  <c r="K183" i="3" a="1"/>
  <c r="K183" i="3" s="1"/>
  <c r="J183" i="3" a="1"/>
  <c r="J183" i="3" s="1"/>
  <c r="I183" i="3" a="1"/>
  <c r="I183" i="3" s="1"/>
  <c r="G183" i="3" a="1"/>
  <c r="G183" i="3" s="1"/>
  <c r="F183" i="3" a="1"/>
  <c r="F183" i="3" s="1"/>
  <c r="E183" i="3" a="1"/>
  <c r="E183" i="3" s="1"/>
  <c r="D183" i="3" a="1"/>
  <c r="D183" i="3" s="1"/>
  <c r="C183" i="3" a="1"/>
  <c r="C183" i="3" s="1"/>
  <c r="B183" i="3" a="1"/>
  <c r="B183" i="3" s="1"/>
  <c r="Z182" i="3" a="1"/>
  <c r="Z182" i="3" s="1"/>
  <c r="Y182" i="3" a="1"/>
  <c r="Y182" i="3" s="1"/>
  <c r="X182" i="3" a="1"/>
  <c r="X182" i="3" s="1"/>
  <c r="W182" i="3" a="1"/>
  <c r="W182" i="3" s="1"/>
  <c r="V182" i="3" a="1"/>
  <c r="V182" i="3" s="1"/>
  <c r="U182" i="3" a="1"/>
  <c r="U182" i="3" s="1"/>
  <c r="T182" i="3" a="1"/>
  <c r="T182" i="3" s="1"/>
  <c r="S182" i="3" a="1"/>
  <c r="S182" i="3" s="1"/>
  <c r="R182" i="3" a="1"/>
  <c r="R182" i="3" s="1"/>
  <c r="Q182" i="3" a="1"/>
  <c r="Q182" i="3" s="1"/>
  <c r="P182" i="3" a="1"/>
  <c r="P182" i="3" s="1"/>
  <c r="O182" i="3" a="1"/>
  <c r="O182" i="3" s="1"/>
  <c r="N182" i="3" a="1"/>
  <c r="N182" i="3" s="1"/>
  <c r="M182" i="3" a="1"/>
  <c r="M182" i="3" s="1"/>
  <c r="L182" i="3" a="1"/>
  <c r="L182" i="3" s="1"/>
  <c r="K182" i="3" a="1"/>
  <c r="K182" i="3" s="1"/>
  <c r="J182" i="3" a="1"/>
  <c r="J182" i="3" s="1"/>
  <c r="I182" i="3" a="1"/>
  <c r="I182" i="3" s="1"/>
  <c r="G182" i="3" a="1"/>
  <c r="G182" i="3" s="1"/>
  <c r="F182" i="3" a="1"/>
  <c r="F182" i="3" s="1"/>
  <c r="E182" i="3" a="1"/>
  <c r="E182" i="3" s="1"/>
  <c r="D182" i="3" a="1"/>
  <c r="D182" i="3" s="1"/>
  <c r="C182" i="3" a="1"/>
  <c r="C182" i="3" s="1"/>
  <c r="B182" i="3" a="1"/>
  <c r="B182" i="3" s="1"/>
  <c r="Z181" i="3" a="1"/>
  <c r="Z181" i="3" s="1"/>
  <c r="Y181" i="3" a="1"/>
  <c r="Y181" i="3" s="1"/>
  <c r="X181" i="3" a="1"/>
  <c r="X181" i="3" s="1"/>
  <c r="W181" i="3" a="1"/>
  <c r="W181" i="3" s="1"/>
  <c r="V181" i="3" a="1"/>
  <c r="V181" i="3" s="1"/>
  <c r="U181" i="3" a="1"/>
  <c r="U181" i="3" s="1"/>
  <c r="T181" i="3" a="1"/>
  <c r="T181" i="3" s="1"/>
  <c r="S181" i="3" a="1"/>
  <c r="S181" i="3" s="1"/>
  <c r="R181" i="3" a="1"/>
  <c r="R181" i="3" s="1"/>
  <c r="Q181" i="3" a="1"/>
  <c r="Q181" i="3" s="1"/>
  <c r="P181" i="3" a="1"/>
  <c r="P181" i="3" s="1"/>
  <c r="O181" i="3" a="1"/>
  <c r="O181" i="3" s="1"/>
  <c r="N181" i="3" a="1"/>
  <c r="N181" i="3" s="1"/>
  <c r="M181" i="3" a="1"/>
  <c r="M181" i="3" s="1"/>
  <c r="L181" i="3" a="1"/>
  <c r="L181" i="3" s="1"/>
  <c r="K181" i="3" a="1"/>
  <c r="K181" i="3" s="1"/>
  <c r="J181" i="3" a="1"/>
  <c r="J181" i="3" s="1"/>
  <c r="I181" i="3" a="1"/>
  <c r="I181" i="3" s="1"/>
  <c r="G181" i="3" a="1"/>
  <c r="G181" i="3" s="1"/>
  <c r="F181" i="3" a="1"/>
  <c r="F181" i="3" s="1"/>
  <c r="E181" i="3" a="1"/>
  <c r="E181" i="3" s="1"/>
  <c r="D181" i="3" a="1"/>
  <c r="D181" i="3" s="1"/>
  <c r="C181" i="3" a="1"/>
  <c r="C181" i="3" s="1"/>
  <c r="B181" i="3" a="1"/>
  <c r="B181" i="3" s="1"/>
  <c r="Z180" i="3" a="1"/>
  <c r="Z180" i="3" s="1"/>
  <c r="Y180" i="3" a="1"/>
  <c r="Y180" i="3" s="1"/>
  <c r="X180" i="3" a="1"/>
  <c r="X180" i="3" s="1"/>
  <c r="W180" i="3" a="1"/>
  <c r="W180" i="3" s="1"/>
  <c r="V180" i="3" a="1"/>
  <c r="V180" i="3" s="1"/>
  <c r="U180" i="3" a="1"/>
  <c r="U180" i="3" s="1"/>
  <c r="T180" i="3" a="1"/>
  <c r="T180" i="3" s="1"/>
  <c r="S180" i="3" a="1"/>
  <c r="S180" i="3" s="1"/>
  <c r="R180" i="3" a="1"/>
  <c r="R180" i="3" s="1"/>
  <c r="Q180" i="3" a="1"/>
  <c r="Q180" i="3" s="1"/>
  <c r="P180" i="3" a="1"/>
  <c r="P180" i="3" s="1"/>
  <c r="O180" i="3" a="1"/>
  <c r="O180" i="3" s="1"/>
  <c r="N180" i="3" a="1"/>
  <c r="N180" i="3" s="1"/>
  <c r="M180" i="3" a="1"/>
  <c r="M180" i="3" s="1"/>
  <c r="L180" i="3" a="1"/>
  <c r="L180" i="3" s="1"/>
  <c r="K180" i="3" a="1"/>
  <c r="K180" i="3" s="1"/>
  <c r="J180" i="3" a="1"/>
  <c r="J180" i="3" s="1"/>
  <c r="I180" i="3" a="1"/>
  <c r="I180" i="3" s="1"/>
  <c r="G180" i="3" a="1"/>
  <c r="G180" i="3" s="1"/>
  <c r="F180" i="3" a="1"/>
  <c r="F180" i="3" s="1"/>
  <c r="E180" i="3" a="1"/>
  <c r="E180" i="3" s="1"/>
  <c r="D180" i="3" a="1"/>
  <c r="D180" i="3" s="1"/>
  <c r="C180" i="3" a="1"/>
  <c r="C180" i="3" s="1"/>
  <c r="B180" i="3" a="1"/>
  <c r="B180" i="3" s="1"/>
  <c r="Z179" i="3" a="1"/>
  <c r="Z179" i="3" s="1"/>
  <c r="Y179" i="3" a="1"/>
  <c r="Y179" i="3" s="1"/>
  <c r="X179" i="3" a="1"/>
  <c r="X179" i="3" s="1"/>
  <c r="W179" i="3" a="1"/>
  <c r="W179" i="3" s="1"/>
  <c r="V179" i="3" a="1"/>
  <c r="V179" i="3" s="1"/>
  <c r="U179" i="3" a="1"/>
  <c r="U179" i="3" s="1"/>
  <c r="T179" i="3" a="1"/>
  <c r="T179" i="3" s="1"/>
  <c r="S179" i="3" a="1"/>
  <c r="S179" i="3" s="1"/>
  <c r="R179" i="3" a="1"/>
  <c r="R179" i="3" s="1"/>
  <c r="Q179" i="3" a="1"/>
  <c r="Q179" i="3" s="1"/>
  <c r="P179" i="3" a="1"/>
  <c r="P179" i="3" s="1"/>
  <c r="O179" i="3" a="1"/>
  <c r="O179" i="3" s="1"/>
  <c r="N179" i="3" a="1"/>
  <c r="N179" i="3" s="1"/>
  <c r="M179" i="3" a="1"/>
  <c r="M179" i="3" s="1"/>
  <c r="L179" i="3" a="1"/>
  <c r="L179" i="3" s="1"/>
  <c r="K179" i="3" a="1"/>
  <c r="K179" i="3" s="1"/>
  <c r="J179" i="3" a="1"/>
  <c r="J179" i="3" s="1"/>
  <c r="I179" i="3" a="1"/>
  <c r="I179" i="3" s="1"/>
  <c r="G179" i="3" a="1"/>
  <c r="G179" i="3" s="1"/>
  <c r="F179" i="3" a="1"/>
  <c r="F179" i="3" s="1"/>
  <c r="E179" i="3" a="1"/>
  <c r="E179" i="3" s="1"/>
  <c r="D179" i="3" a="1"/>
  <c r="D179" i="3" s="1"/>
  <c r="C179" i="3" a="1"/>
  <c r="C179" i="3" s="1"/>
  <c r="B179" i="3" a="1"/>
  <c r="B179" i="3" s="1"/>
  <c r="Z178" i="3" a="1"/>
  <c r="Z178" i="3" s="1"/>
  <c r="Y178" i="3" a="1"/>
  <c r="Y178" i="3" s="1"/>
  <c r="X178" i="3" a="1"/>
  <c r="X178" i="3" s="1"/>
  <c r="W178" i="3" a="1"/>
  <c r="W178" i="3" s="1"/>
  <c r="V178" i="3" a="1"/>
  <c r="V178" i="3" s="1"/>
  <c r="U178" i="3" a="1"/>
  <c r="U178" i="3" s="1"/>
  <c r="T178" i="3" a="1"/>
  <c r="T178" i="3" s="1"/>
  <c r="S178" i="3" a="1"/>
  <c r="S178" i="3" s="1"/>
  <c r="R178" i="3" a="1"/>
  <c r="R178" i="3" s="1"/>
  <c r="Q178" i="3" a="1"/>
  <c r="Q178" i="3" s="1"/>
  <c r="P178" i="3" a="1"/>
  <c r="P178" i="3" s="1"/>
  <c r="O178" i="3" a="1"/>
  <c r="O178" i="3" s="1"/>
  <c r="N178" i="3" a="1"/>
  <c r="N178" i="3" s="1"/>
  <c r="M178" i="3" a="1"/>
  <c r="M178" i="3" s="1"/>
  <c r="L178" i="3" a="1"/>
  <c r="L178" i="3" s="1"/>
  <c r="K178" i="3" a="1"/>
  <c r="K178" i="3" s="1"/>
  <c r="J178" i="3" a="1"/>
  <c r="J178" i="3" s="1"/>
  <c r="I178" i="3" a="1"/>
  <c r="I178" i="3" s="1"/>
  <c r="G178" i="3" a="1"/>
  <c r="G178" i="3" s="1"/>
  <c r="F178" i="3" a="1"/>
  <c r="F178" i="3" s="1"/>
  <c r="E178" i="3" a="1"/>
  <c r="E178" i="3" s="1"/>
  <c r="D178" i="3" a="1"/>
  <c r="D178" i="3" s="1"/>
  <c r="C178" i="3" a="1"/>
  <c r="C178" i="3" s="1"/>
  <c r="B178" i="3" a="1"/>
  <c r="B178" i="3" s="1"/>
  <c r="Z177" i="3" a="1"/>
  <c r="Z177" i="3" s="1"/>
  <c r="Y177" i="3" a="1"/>
  <c r="Y177" i="3" s="1"/>
  <c r="X177" i="3" a="1"/>
  <c r="X177" i="3" s="1"/>
  <c r="W177" i="3" a="1"/>
  <c r="W177" i="3" s="1"/>
  <c r="V177" i="3" a="1"/>
  <c r="V177" i="3" s="1"/>
  <c r="U177" i="3" a="1"/>
  <c r="U177" i="3" s="1"/>
  <c r="T177" i="3" a="1"/>
  <c r="T177" i="3" s="1"/>
  <c r="S177" i="3" a="1"/>
  <c r="S177" i="3" s="1"/>
  <c r="R177" i="3" a="1"/>
  <c r="R177" i="3" s="1"/>
  <c r="Q177" i="3" a="1"/>
  <c r="Q177" i="3" s="1"/>
  <c r="P177" i="3" a="1"/>
  <c r="P177" i="3" s="1"/>
  <c r="O177" i="3" a="1"/>
  <c r="O177" i="3" s="1"/>
  <c r="N177" i="3" a="1"/>
  <c r="N177" i="3" s="1"/>
  <c r="M177" i="3" a="1"/>
  <c r="M177" i="3" s="1"/>
  <c r="L177" i="3" a="1"/>
  <c r="L177" i="3" s="1"/>
  <c r="K177" i="3" a="1"/>
  <c r="K177" i="3" s="1"/>
  <c r="J177" i="3" a="1"/>
  <c r="J177" i="3" s="1"/>
  <c r="I177" i="3" a="1"/>
  <c r="I177" i="3" s="1"/>
  <c r="G177" i="3" a="1"/>
  <c r="G177" i="3" s="1"/>
  <c r="F177" i="3" a="1"/>
  <c r="F177" i="3" s="1"/>
  <c r="E177" i="3" a="1"/>
  <c r="E177" i="3" s="1"/>
  <c r="D177" i="3" a="1"/>
  <c r="D177" i="3" s="1"/>
  <c r="C177" i="3" a="1"/>
  <c r="C177" i="3" s="1"/>
  <c r="B177" i="3" a="1"/>
  <c r="B177" i="3" s="1"/>
  <c r="Z176" i="3" a="1"/>
  <c r="Z176" i="3" s="1"/>
  <c r="Y176" i="3" a="1"/>
  <c r="Y176" i="3" s="1"/>
  <c r="X176" i="3" a="1"/>
  <c r="X176" i="3" s="1"/>
  <c r="W176" i="3" a="1"/>
  <c r="W176" i="3" s="1"/>
  <c r="V176" i="3" a="1"/>
  <c r="V176" i="3" s="1"/>
  <c r="U176" i="3" a="1"/>
  <c r="U176" i="3" s="1"/>
  <c r="T176" i="3" a="1"/>
  <c r="T176" i="3" s="1"/>
  <c r="S176" i="3" a="1"/>
  <c r="S176" i="3" s="1"/>
  <c r="R176" i="3" a="1"/>
  <c r="R176" i="3" s="1"/>
  <c r="Q176" i="3" a="1"/>
  <c r="Q176" i="3" s="1"/>
  <c r="P176" i="3" a="1"/>
  <c r="P176" i="3" s="1"/>
  <c r="O176" i="3" a="1"/>
  <c r="O176" i="3" s="1"/>
  <c r="N176" i="3" a="1"/>
  <c r="N176" i="3" s="1"/>
  <c r="M176" i="3" a="1"/>
  <c r="M176" i="3" s="1"/>
  <c r="L176" i="3" a="1"/>
  <c r="L176" i="3" s="1"/>
  <c r="K176" i="3" a="1"/>
  <c r="K176" i="3" s="1"/>
  <c r="J176" i="3" a="1"/>
  <c r="J176" i="3" s="1"/>
  <c r="I176" i="3" a="1"/>
  <c r="I176" i="3" s="1"/>
  <c r="G176" i="3" a="1"/>
  <c r="G176" i="3" s="1"/>
  <c r="F176" i="3" a="1"/>
  <c r="F176" i="3" s="1"/>
  <c r="E176" i="3" a="1"/>
  <c r="E176" i="3" s="1"/>
  <c r="D176" i="3" a="1"/>
  <c r="D176" i="3" s="1"/>
  <c r="C176" i="3" a="1"/>
  <c r="C176" i="3" s="1"/>
  <c r="B176" i="3" a="1"/>
  <c r="B176" i="3" s="1"/>
  <c r="Q172" i="3" a="1"/>
  <c r="Q172" i="3" s="1"/>
  <c r="P172" i="3" a="1"/>
  <c r="P172" i="3" s="1"/>
  <c r="O172" i="3" a="1"/>
  <c r="O172" i="3" s="1"/>
  <c r="N172" i="3" a="1"/>
  <c r="N172" i="3" s="1"/>
  <c r="M172" i="3" a="1"/>
  <c r="M172" i="3" s="1"/>
  <c r="L172" i="3" a="1"/>
  <c r="L172" i="3" s="1"/>
  <c r="K172" i="3" a="1"/>
  <c r="K172" i="3" s="1"/>
  <c r="J172" i="3" a="1"/>
  <c r="J172" i="3" s="1"/>
  <c r="I172" i="3" a="1"/>
  <c r="I172" i="3" s="1"/>
  <c r="G172" i="3" a="1"/>
  <c r="G172" i="3" s="1"/>
  <c r="F172" i="3" a="1"/>
  <c r="F172" i="3" s="1"/>
  <c r="E172" i="3" a="1"/>
  <c r="E172" i="3" s="1"/>
  <c r="D172" i="3" a="1"/>
  <c r="D172" i="3" s="1"/>
  <c r="C172" i="3" a="1"/>
  <c r="C172" i="3" s="1"/>
  <c r="B172" i="3" a="1"/>
  <c r="B172" i="3" s="1"/>
  <c r="Q171" i="3" a="1"/>
  <c r="Q171" i="3" s="1"/>
  <c r="P171" i="3" a="1"/>
  <c r="P171" i="3" s="1"/>
  <c r="O171" i="3" a="1"/>
  <c r="O171" i="3" s="1"/>
  <c r="N171" i="3" a="1"/>
  <c r="N171" i="3" s="1"/>
  <c r="M171" i="3" a="1"/>
  <c r="M171" i="3" s="1"/>
  <c r="L171" i="3" a="1"/>
  <c r="L171" i="3" s="1"/>
  <c r="K171" i="3" a="1"/>
  <c r="K171" i="3" s="1"/>
  <c r="J171" i="3" a="1"/>
  <c r="J171" i="3" s="1"/>
  <c r="I171" i="3" a="1"/>
  <c r="I171" i="3" s="1"/>
  <c r="G171" i="3" a="1"/>
  <c r="G171" i="3" s="1"/>
  <c r="F171" i="3" a="1"/>
  <c r="F171" i="3" s="1"/>
  <c r="E171" i="3" a="1"/>
  <c r="E171" i="3" s="1"/>
  <c r="D171" i="3" a="1"/>
  <c r="D171" i="3" s="1"/>
  <c r="C171" i="3" a="1"/>
  <c r="C171" i="3" s="1"/>
  <c r="B171" i="3" a="1"/>
  <c r="B171" i="3" s="1"/>
  <c r="T170" i="3" a="1"/>
  <c r="T170" i="3"/>
  <c r="Q170" i="3" a="1"/>
  <c r="Q170" i="3" s="1"/>
  <c r="P170" i="3" a="1"/>
  <c r="P170" i="3" s="1"/>
  <c r="O170" i="3" a="1"/>
  <c r="O170" i="3" s="1"/>
  <c r="N170" i="3" a="1"/>
  <c r="N170" i="3" s="1"/>
  <c r="M170" i="3" a="1"/>
  <c r="M170" i="3" s="1"/>
  <c r="L170" i="3" a="1"/>
  <c r="L170" i="3" s="1"/>
  <c r="K170" i="3" a="1"/>
  <c r="K170" i="3" s="1"/>
  <c r="J170" i="3" a="1"/>
  <c r="J170" i="3" s="1"/>
  <c r="I170" i="3" a="1"/>
  <c r="I170" i="3" s="1"/>
  <c r="G170" i="3" a="1"/>
  <c r="G170" i="3" s="1"/>
  <c r="F170" i="3" a="1"/>
  <c r="F170" i="3" s="1"/>
  <c r="E170" i="3" a="1"/>
  <c r="E170" i="3" s="1"/>
  <c r="D170" i="3" a="1"/>
  <c r="D170" i="3" s="1"/>
  <c r="C170" i="3" a="1"/>
  <c r="C170" i="3" s="1"/>
  <c r="B170" i="3" a="1"/>
  <c r="B170" i="3" s="1"/>
  <c r="Z166" i="3" a="1"/>
  <c r="Z166" i="3" s="1"/>
  <c r="Y166" i="3" a="1"/>
  <c r="Y166" i="3" s="1"/>
  <c r="X166" i="3" a="1"/>
  <c r="X166" i="3" s="1"/>
  <c r="W166" i="3" a="1"/>
  <c r="W166" i="3" s="1"/>
  <c r="V166" i="3" a="1"/>
  <c r="V166" i="3" s="1"/>
  <c r="U166" i="3" a="1"/>
  <c r="U166" i="3" s="1"/>
  <c r="T166" i="3" a="1"/>
  <c r="T166" i="3" s="1"/>
  <c r="S166" i="3" a="1"/>
  <c r="S166" i="3" s="1"/>
  <c r="R166" i="3" a="1"/>
  <c r="R166" i="3" s="1"/>
  <c r="Q166" i="3" a="1"/>
  <c r="Q166" i="3" s="1"/>
  <c r="P166" i="3" a="1"/>
  <c r="P166" i="3" s="1"/>
  <c r="O166" i="3" a="1"/>
  <c r="O166" i="3" s="1"/>
  <c r="N166" i="3" a="1"/>
  <c r="N166" i="3" s="1"/>
  <c r="M166" i="3" a="1"/>
  <c r="M166" i="3" s="1"/>
  <c r="L166" i="3" a="1"/>
  <c r="L166" i="3" s="1"/>
  <c r="K166" i="3" a="1"/>
  <c r="K166" i="3" s="1"/>
  <c r="J166" i="3" a="1"/>
  <c r="J166" i="3" s="1"/>
  <c r="I166" i="3" a="1"/>
  <c r="I166" i="3" s="1"/>
  <c r="G166" i="3" a="1"/>
  <c r="G166" i="3" s="1"/>
  <c r="F166" i="3" a="1"/>
  <c r="F166" i="3" s="1"/>
  <c r="E166" i="3" a="1"/>
  <c r="E166" i="3" s="1"/>
  <c r="D166" i="3" a="1"/>
  <c r="D166" i="3" s="1"/>
  <c r="C166" i="3" a="1"/>
  <c r="C166" i="3" s="1"/>
  <c r="B166" i="3" a="1"/>
  <c r="B166" i="3" s="1"/>
  <c r="Z165" i="3" a="1"/>
  <c r="Z165" i="3" s="1"/>
  <c r="Y165" i="3" a="1"/>
  <c r="Y165" i="3" s="1"/>
  <c r="X165" i="3" a="1"/>
  <c r="X165" i="3" s="1"/>
  <c r="W165" i="3" a="1"/>
  <c r="W165" i="3" s="1"/>
  <c r="V165" i="3" a="1"/>
  <c r="V165" i="3" s="1"/>
  <c r="U165" i="3" a="1"/>
  <c r="U165" i="3" s="1"/>
  <c r="T165" i="3" a="1"/>
  <c r="T165" i="3" s="1"/>
  <c r="S165" i="3" a="1"/>
  <c r="S165" i="3" s="1"/>
  <c r="R165" i="3" a="1"/>
  <c r="R165" i="3" s="1"/>
  <c r="Q165" i="3" a="1"/>
  <c r="Q165" i="3" s="1"/>
  <c r="P165" i="3" a="1"/>
  <c r="P165" i="3" s="1"/>
  <c r="O165" i="3" a="1"/>
  <c r="O165" i="3" s="1"/>
  <c r="N165" i="3" a="1"/>
  <c r="N165" i="3" s="1"/>
  <c r="M165" i="3" a="1"/>
  <c r="M165" i="3" s="1"/>
  <c r="L165" i="3" a="1"/>
  <c r="L165" i="3" s="1"/>
  <c r="K165" i="3" a="1"/>
  <c r="K165" i="3" s="1"/>
  <c r="J165" i="3" a="1"/>
  <c r="J165" i="3" s="1"/>
  <c r="I165" i="3" a="1"/>
  <c r="I165" i="3" s="1"/>
  <c r="G165" i="3" a="1"/>
  <c r="G165" i="3" s="1"/>
  <c r="F165" i="3" a="1"/>
  <c r="F165" i="3" s="1"/>
  <c r="E165" i="3" a="1"/>
  <c r="E165" i="3" s="1"/>
  <c r="D165" i="3" a="1"/>
  <c r="D165" i="3" s="1"/>
  <c r="C165" i="3" a="1"/>
  <c r="C165" i="3" s="1"/>
  <c r="B165" i="3" a="1"/>
  <c r="B165" i="3" s="1"/>
  <c r="Z164" i="3" a="1"/>
  <c r="Z164" i="3" s="1"/>
  <c r="Y164" i="3" a="1"/>
  <c r="Y164" i="3" s="1"/>
  <c r="X164" i="3" a="1"/>
  <c r="X164" i="3" s="1"/>
  <c r="W164" i="3" a="1"/>
  <c r="W164" i="3" s="1"/>
  <c r="V164" i="3" a="1"/>
  <c r="V164" i="3" s="1"/>
  <c r="U164" i="3" a="1"/>
  <c r="U164" i="3" s="1"/>
  <c r="T164" i="3" a="1"/>
  <c r="T164" i="3" s="1"/>
  <c r="S164" i="3" a="1"/>
  <c r="S164" i="3" s="1"/>
  <c r="R164" i="3" a="1"/>
  <c r="R164" i="3" s="1"/>
  <c r="Q164" i="3" a="1"/>
  <c r="Q164" i="3" s="1"/>
  <c r="P164" i="3" a="1"/>
  <c r="P164" i="3" s="1"/>
  <c r="O164" i="3" a="1"/>
  <c r="O164" i="3" s="1"/>
  <c r="N164" i="3" a="1"/>
  <c r="N164" i="3" s="1"/>
  <c r="M164" i="3" a="1"/>
  <c r="M164" i="3" s="1"/>
  <c r="L164" i="3" a="1"/>
  <c r="L164" i="3" s="1"/>
  <c r="K164" i="3" a="1"/>
  <c r="K164" i="3" s="1"/>
  <c r="J164" i="3" a="1"/>
  <c r="J164" i="3" s="1"/>
  <c r="I164" i="3" a="1"/>
  <c r="I164" i="3" s="1"/>
  <c r="G164" i="3" a="1"/>
  <c r="G164" i="3" s="1"/>
  <c r="F164" i="3" a="1"/>
  <c r="F164" i="3" s="1"/>
  <c r="E164" i="3" a="1"/>
  <c r="E164" i="3" s="1"/>
  <c r="D164" i="3" a="1"/>
  <c r="D164" i="3" s="1"/>
  <c r="C164" i="3" a="1"/>
  <c r="C164" i="3" s="1"/>
  <c r="B164" i="3" a="1"/>
  <c r="B164" i="3" s="1"/>
  <c r="Z163" i="3" a="1"/>
  <c r="Z163" i="3" s="1"/>
  <c r="Y163" i="3" a="1"/>
  <c r="Y163" i="3" s="1"/>
  <c r="X163" i="3" a="1"/>
  <c r="X163" i="3" s="1"/>
  <c r="W163" i="3" a="1"/>
  <c r="W163" i="3" s="1"/>
  <c r="V163" i="3" a="1"/>
  <c r="V163" i="3" s="1"/>
  <c r="U163" i="3" a="1"/>
  <c r="U163" i="3" s="1"/>
  <c r="T163" i="3" a="1"/>
  <c r="T163" i="3" s="1"/>
  <c r="S163" i="3" a="1"/>
  <c r="S163" i="3" s="1"/>
  <c r="R163" i="3" a="1"/>
  <c r="R163" i="3" s="1"/>
  <c r="Q163" i="3" a="1"/>
  <c r="Q163" i="3" s="1"/>
  <c r="P163" i="3" a="1"/>
  <c r="P163" i="3" s="1"/>
  <c r="O163" i="3" a="1"/>
  <c r="O163" i="3" s="1"/>
  <c r="N163" i="3" a="1"/>
  <c r="N163" i="3" s="1"/>
  <c r="M163" i="3" a="1"/>
  <c r="M163" i="3" s="1"/>
  <c r="L163" i="3" a="1"/>
  <c r="L163" i="3" s="1"/>
  <c r="K163" i="3" a="1"/>
  <c r="K163" i="3" s="1"/>
  <c r="J163" i="3" a="1"/>
  <c r="J163" i="3" s="1"/>
  <c r="I163" i="3" a="1"/>
  <c r="I163" i="3" s="1"/>
  <c r="G163" i="3" a="1"/>
  <c r="G163" i="3" s="1"/>
  <c r="F163" i="3" a="1"/>
  <c r="F163" i="3" s="1"/>
  <c r="E163" i="3" a="1"/>
  <c r="E163" i="3" s="1"/>
  <c r="D163" i="3" a="1"/>
  <c r="D163" i="3" s="1"/>
  <c r="C163" i="3" a="1"/>
  <c r="C163" i="3" s="1"/>
  <c r="B163" i="3" a="1"/>
  <c r="B163" i="3" s="1"/>
  <c r="Z162" i="3" a="1"/>
  <c r="Z162" i="3" s="1"/>
  <c r="Y162" i="3" a="1"/>
  <c r="Y162" i="3" s="1"/>
  <c r="X162" i="3" a="1"/>
  <c r="X162" i="3" s="1"/>
  <c r="W162" i="3" a="1"/>
  <c r="W162" i="3" s="1"/>
  <c r="V162" i="3" a="1"/>
  <c r="V162" i="3" s="1"/>
  <c r="U162" i="3" a="1"/>
  <c r="U162" i="3" s="1"/>
  <c r="T162" i="3" a="1"/>
  <c r="T162" i="3" s="1"/>
  <c r="S162" i="3" a="1"/>
  <c r="S162" i="3" s="1"/>
  <c r="R162" i="3" a="1"/>
  <c r="R162" i="3" s="1"/>
  <c r="Q162" i="3" a="1"/>
  <c r="Q162" i="3" s="1"/>
  <c r="P162" i="3" a="1"/>
  <c r="P162" i="3" s="1"/>
  <c r="O162" i="3" a="1"/>
  <c r="O162" i="3" s="1"/>
  <c r="N162" i="3" a="1"/>
  <c r="N162" i="3" s="1"/>
  <c r="M162" i="3" a="1"/>
  <c r="M162" i="3" s="1"/>
  <c r="L162" i="3" a="1"/>
  <c r="L162" i="3" s="1"/>
  <c r="K162" i="3" a="1"/>
  <c r="K162" i="3" s="1"/>
  <c r="J162" i="3" a="1"/>
  <c r="J162" i="3" s="1"/>
  <c r="I162" i="3" a="1"/>
  <c r="I162" i="3" s="1"/>
  <c r="G162" i="3" a="1"/>
  <c r="G162" i="3" s="1"/>
  <c r="F162" i="3" a="1"/>
  <c r="F162" i="3" s="1"/>
  <c r="E162" i="3" a="1"/>
  <c r="E162" i="3" s="1"/>
  <c r="D162" i="3" a="1"/>
  <c r="D162" i="3" s="1"/>
  <c r="C162" i="3" a="1"/>
  <c r="C162" i="3" s="1"/>
  <c r="B162" i="3" a="1"/>
  <c r="B162" i="3" s="1"/>
  <c r="Z161" i="3" a="1"/>
  <c r="Z161" i="3" s="1"/>
  <c r="Y161" i="3" a="1"/>
  <c r="Y161" i="3" s="1"/>
  <c r="X161" i="3" a="1"/>
  <c r="X161" i="3" s="1"/>
  <c r="W161" i="3" a="1"/>
  <c r="W161" i="3" s="1"/>
  <c r="V161" i="3" a="1"/>
  <c r="V161" i="3" s="1"/>
  <c r="U161" i="3" a="1"/>
  <c r="U161" i="3" s="1"/>
  <c r="T161" i="3" a="1"/>
  <c r="T161" i="3" s="1"/>
  <c r="S161" i="3" a="1"/>
  <c r="S161" i="3" s="1"/>
  <c r="R161" i="3" a="1"/>
  <c r="R161" i="3" s="1"/>
  <c r="Q161" i="3" a="1"/>
  <c r="Q161" i="3" s="1"/>
  <c r="P161" i="3" a="1"/>
  <c r="P161" i="3" s="1"/>
  <c r="O161" i="3" a="1"/>
  <c r="O161" i="3" s="1"/>
  <c r="N161" i="3" a="1"/>
  <c r="N161" i="3" s="1"/>
  <c r="M161" i="3" a="1"/>
  <c r="M161" i="3" s="1"/>
  <c r="L161" i="3" a="1"/>
  <c r="L161" i="3" s="1"/>
  <c r="K161" i="3" a="1"/>
  <c r="K161" i="3" s="1"/>
  <c r="J161" i="3" a="1"/>
  <c r="J161" i="3" s="1"/>
  <c r="I161" i="3" a="1"/>
  <c r="I161" i="3" s="1"/>
  <c r="G161" i="3" a="1"/>
  <c r="G161" i="3" s="1"/>
  <c r="F161" i="3" a="1"/>
  <c r="F161" i="3" s="1"/>
  <c r="E161" i="3" a="1"/>
  <c r="E161" i="3" s="1"/>
  <c r="D161" i="3" a="1"/>
  <c r="D161" i="3" s="1"/>
  <c r="C161" i="3" a="1"/>
  <c r="C161" i="3" s="1"/>
  <c r="B161" i="3" a="1"/>
  <c r="B161" i="3" s="1"/>
  <c r="Z160" i="3" a="1"/>
  <c r="Z160" i="3" s="1"/>
  <c r="Y160" i="3" a="1"/>
  <c r="Y160" i="3" s="1"/>
  <c r="X160" i="3" a="1"/>
  <c r="X160" i="3" s="1"/>
  <c r="W160" i="3" a="1"/>
  <c r="W160" i="3" s="1"/>
  <c r="V160" i="3" a="1"/>
  <c r="V160" i="3" s="1"/>
  <c r="U160" i="3" a="1"/>
  <c r="U160" i="3" s="1"/>
  <c r="T160" i="3" a="1"/>
  <c r="T160" i="3" s="1"/>
  <c r="S160" i="3" a="1"/>
  <c r="S160" i="3" s="1"/>
  <c r="R160" i="3" a="1"/>
  <c r="R160" i="3" s="1"/>
  <c r="Q160" i="3" a="1"/>
  <c r="Q160" i="3" s="1"/>
  <c r="P160" i="3" a="1"/>
  <c r="P160" i="3" s="1"/>
  <c r="O160" i="3" a="1"/>
  <c r="O160" i="3" s="1"/>
  <c r="N160" i="3" a="1"/>
  <c r="N160" i="3" s="1"/>
  <c r="M160" i="3" a="1"/>
  <c r="M160" i="3" s="1"/>
  <c r="L160" i="3" a="1"/>
  <c r="L160" i="3" s="1"/>
  <c r="K160" i="3" a="1"/>
  <c r="K160" i="3" s="1"/>
  <c r="J160" i="3" a="1"/>
  <c r="J160" i="3" s="1"/>
  <c r="I160" i="3" a="1"/>
  <c r="I160" i="3" s="1"/>
  <c r="G160" i="3" a="1"/>
  <c r="G160" i="3" s="1"/>
  <c r="F160" i="3" a="1"/>
  <c r="F160" i="3" s="1"/>
  <c r="E160" i="3" a="1"/>
  <c r="E160" i="3" s="1"/>
  <c r="D160" i="3" a="1"/>
  <c r="D160" i="3" s="1"/>
  <c r="C160" i="3" a="1"/>
  <c r="C160" i="3" s="1"/>
  <c r="B160" i="3" a="1"/>
  <c r="B160" i="3" s="1"/>
  <c r="Z159" i="3" a="1"/>
  <c r="Z159" i="3" s="1"/>
  <c r="Y159" i="3" a="1"/>
  <c r="Y159" i="3" s="1"/>
  <c r="X159" i="3" a="1"/>
  <c r="X159" i="3" s="1"/>
  <c r="W159" i="3" a="1"/>
  <c r="W159" i="3" s="1"/>
  <c r="V159" i="3" a="1"/>
  <c r="V159" i="3" s="1"/>
  <c r="U159" i="3" a="1"/>
  <c r="U159" i="3" s="1"/>
  <c r="T159" i="3" a="1"/>
  <c r="T159" i="3" s="1"/>
  <c r="S159" i="3" a="1"/>
  <c r="S159" i="3" s="1"/>
  <c r="R159" i="3" a="1"/>
  <c r="R159" i="3" s="1"/>
  <c r="Q159" i="3" a="1"/>
  <c r="Q159" i="3" s="1"/>
  <c r="P159" i="3" a="1"/>
  <c r="P159" i="3" s="1"/>
  <c r="O159" i="3" a="1"/>
  <c r="O159" i="3" s="1"/>
  <c r="N159" i="3" a="1"/>
  <c r="N159" i="3" s="1"/>
  <c r="M159" i="3" a="1"/>
  <c r="M159" i="3" s="1"/>
  <c r="L159" i="3" a="1"/>
  <c r="L159" i="3" s="1"/>
  <c r="K159" i="3" a="1"/>
  <c r="K159" i="3" s="1"/>
  <c r="J159" i="3" a="1"/>
  <c r="J159" i="3" s="1"/>
  <c r="I159" i="3" a="1"/>
  <c r="I159" i="3" s="1"/>
  <c r="G159" i="3" a="1"/>
  <c r="G159" i="3" s="1"/>
  <c r="F159" i="3" a="1"/>
  <c r="F159" i="3" s="1"/>
  <c r="E159" i="3" a="1"/>
  <c r="E159" i="3" s="1"/>
  <c r="D159" i="3" a="1"/>
  <c r="D159" i="3" s="1"/>
  <c r="C159" i="3" a="1"/>
  <c r="C159" i="3" s="1"/>
  <c r="B159" i="3" a="1"/>
  <c r="B159" i="3" s="1"/>
  <c r="Z158" i="3" a="1"/>
  <c r="Z158" i="3" s="1"/>
  <c r="Y158" i="3" a="1"/>
  <c r="Y158" i="3" s="1"/>
  <c r="X158" i="3" a="1"/>
  <c r="X158" i="3" s="1"/>
  <c r="W158" i="3" a="1"/>
  <c r="W158" i="3" s="1"/>
  <c r="V158" i="3" a="1"/>
  <c r="V158" i="3" s="1"/>
  <c r="U158" i="3" a="1"/>
  <c r="U158" i="3" s="1"/>
  <c r="T158" i="3" a="1"/>
  <c r="T158" i="3" s="1"/>
  <c r="S158" i="3" a="1"/>
  <c r="S158" i="3" s="1"/>
  <c r="R158" i="3" a="1"/>
  <c r="R158" i="3" s="1"/>
  <c r="Q158" i="3" a="1"/>
  <c r="Q158" i="3" s="1"/>
  <c r="P158" i="3" a="1"/>
  <c r="P158" i="3" s="1"/>
  <c r="O158" i="3" a="1"/>
  <c r="O158" i="3" s="1"/>
  <c r="N158" i="3" a="1"/>
  <c r="N158" i="3" s="1"/>
  <c r="M158" i="3" a="1"/>
  <c r="M158" i="3" s="1"/>
  <c r="L158" i="3" a="1"/>
  <c r="L158" i="3" s="1"/>
  <c r="K158" i="3" a="1"/>
  <c r="K158" i="3" s="1"/>
  <c r="J158" i="3" a="1"/>
  <c r="J158" i="3" s="1"/>
  <c r="I158" i="3" a="1"/>
  <c r="I158" i="3" s="1"/>
  <c r="G158" i="3" a="1"/>
  <c r="G158" i="3" s="1"/>
  <c r="F158" i="3" a="1"/>
  <c r="F158" i="3" s="1"/>
  <c r="E158" i="3" a="1"/>
  <c r="E158" i="3" s="1"/>
  <c r="D158" i="3" a="1"/>
  <c r="D158" i="3" s="1"/>
  <c r="C158" i="3" a="1"/>
  <c r="C158" i="3" s="1"/>
  <c r="B158" i="3" a="1"/>
  <c r="B158" i="3" s="1"/>
  <c r="Z157" i="3" a="1"/>
  <c r="Z157" i="3" s="1"/>
  <c r="Y157" i="3" a="1"/>
  <c r="Y157" i="3" s="1"/>
  <c r="X157" i="3" a="1"/>
  <c r="X157" i="3" s="1"/>
  <c r="W157" i="3" a="1"/>
  <c r="W157" i="3" s="1"/>
  <c r="V157" i="3" a="1"/>
  <c r="V157" i="3" s="1"/>
  <c r="U157" i="3" a="1"/>
  <c r="U157" i="3" s="1"/>
  <c r="T157" i="3" a="1"/>
  <c r="T157" i="3" s="1"/>
  <c r="S157" i="3" a="1"/>
  <c r="S157" i="3" s="1"/>
  <c r="R157" i="3" a="1"/>
  <c r="R157" i="3" s="1"/>
  <c r="Q157" i="3" a="1"/>
  <c r="Q157" i="3" s="1"/>
  <c r="P157" i="3" a="1"/>
  <c r="P157" i="3" s="1"/>
  <c r="O157" i="3" a="1"/>
  <c r="O157" i="3" s="1"/>
  <c r="N157" i="3" a="1"/>
  <c r="N157" i="3" s="1"/>
  <c r="M157" i="3" a="1"/>
  <c r="M157" i="3" s="1"/>
  <c r="L157" i="3" a="1"/>
  <c r="L157" i="3" s="1"/>
  <c r="K157" i="3" a="1"/>
  <c r="K157" i="3" s="1"/>
  <c r="J157" i="3" a="1"/>
  <c r="J157" i="3" s="1"/>
  <c r="I157" i="3" a="1"/>
  <c r="I157" i="3" s="1"/>
  <c r="G157" i="3" a="1"/>
  <c r="G157" i="3" s="1"/>
  <c r="F157" i="3" a="1"/>
  <c r="F157" i="3" s="1"/>
  <c r="E157" i="3" a="1"/>
  <c r="E157" i="3" s="1"/>
  <c r="D157" i="3" a="1"/>
  <c r="D157" i="3" s="1"/>
  <c r="C157" i="3" a="1"/>
  <c r="C157" i="3" s="1"/>
  <c r="B157" i="3" a="1"/>
  <c r="B157" i="3" s="1"/>
  <c r="Z156" i="3" a="1"/>
  <c r="Z156" i="3" s="1"/>
  <c r="Y156" i="3" a="1"/>
  <c r="Y156" i="3" s="1"/>
  <c r="X156" i="3" a="1"/>
  <c r="X156" i="3" s="1"/>
  <c r="W156" i="3" a="1"/>
  <c r="W156" i="3" s="1"/>
  <c r="V156" i="3" a="1"/>
  <c r="V156" i="3" s="1"/>
  <c r="U156" i="3" a="1"/>
  <c r="U156" i="3" s="1"/>
  <c r="T156" i="3" a="1"/>
  <c r="T156" i="3" s="1"/>
  <c r="S156" i="3" a="1"/>
  <c r="S156" i="3" s="1"/>
  <c r="R156" i="3" a="1"/>
  <c r="R156" i="3" s="1"/>
  <c r="Q156" i="3" a="1"/>
  <c r="Q156" i="3" s="1"/>
  <c r="P156" i="3" a="1"/>
  <c r="P156" i="3" s="1"/>
  <c r="O156" i="3" a="1"/>
  <c r="O156" i="3" s="1"/>
  <c r="N156" i="3" a="1"/>
  <c r="N156" i="3" s="1"/>
  <c r="M156" i="3" a="1"/>
  <c r="M156" i="3" s="1"/>
  <c r="L156" i="3" a="1"/>
  <c r="L156" i="3" s="1"/>
  <c r="K156" i="3" a="1"/>
  <c r="K156" i="3" s="1"/>
  <c r="J156" i="3" a="1"/>
  <c r="J156" i="3" s="1"/>
  <c r="I156" i="3" a="1"/>
  <c r="I156" i="3" s="1"/>
  <c r="G156" i="3" a="1"/>
  <c r="G156" i="3" s="1"/>
  <c r="F156" i="3" a="1"/>
  <c r="F156" i="3" s="1"/>
  <c r="E156" i="3" a="1"/>
  <c r="E156" i="3" s="1"/>
  <c r="D156" i="3" a="1"/>
  <c r="D156" i="3" s="1"/>
  <c r="C156" i="3" a="1"/>
  <c r="C156" i="3" s="1"/>
  <c r="B156" i="3" a="1"/>
  <c r="B156" i="3" s="1"/>
  <c r="Z155" i="3" a="1"/>
  <c r="Z155" i="3" s="1"/>
  <c r="Y155" i="3" a="1"/>
  <c r="Y155" i="3" s="1"/>
  <c r="X155" i="3" a="1"/>
  <c r="X155" i="3" s="1"/>
  <c r="W155" i="3" a="1"/>
  <c r="W155" i="3" s="1"/>
  <c r="V155" i="3" a="1"/>
  <c r="V155" i="3" s="1"/>
  <c r="U155" i="3" a="1"/>
  <c r="U155" i="3" s="1"/>
  <c r="T155" i="3" a="1"/>
  <c r="T155" i="3" s="1"/>
  <c r="S155" i="3" a="1"/>
  <c r="S155" i="3" s="1"/>
  <c r="R155" i="3" a="1"/>
  <c r="R155" i="3" s="1"/>
  <c r="Q155" i="3" a="1"/>
  <c r="Q155" i="3" s="1"/>
  <c r="P155" i="3" a="1"/>
  <c r="P155" i="3" s="1"/>
  <c r="O155" i="3" a="1"/>
  <c r="O155" i="3" s="1"/>
  <c r="N155" i="3" a="1"/>
  <c r="N155" i="3" s="1"/>
  <c r="M155" i="3" a="1"/>
  <c r="M155" i="3" s="1"/>
  <c r="L155" i="3" a="1"/>
  <c r="L155" i="3" s="1"/>
  <c r="K155" i="3" a="1"/>
  <c r="K155" i="3" s="1"/>
  <c r="J155" i="3" a="1"/>
  <c r="J155" i="3" s="1"/>
  <c r="I155" i="3" a="1"/>
  <c r="I155" i="3" s="1"/>
  <c r="G155" i="3" a="1"/>
  <c r="G155" i="3" s="1"/>
  <c r="F155" i="3" a="1"/>
  <c r="F155" i="3" s="1"/>
  <c r="E155" i="3" a="1"/>
  <c r="E155" i="3" s="1"/>
  <c r="D155" i="3" a="1"/>
  <c r="D155" i="3" s="1"/>
  <c r="C155" i="3" a="1"/>
  <c r="C155" i="3" s="1"/>
  <c r="B155" i="3" a="1"/>
  <c r="B155" i="3" s="1"/>
  <c r="Z154" i="3" a="1"/>
  <c r="Z154" i="3" s="1"/>
  <c r="Y154" i="3" a="1"/>
  <c r="Y154" i="3" s="1"/>
  <c r="X154" i="3" a="1"/>
  <c r="X154" i="3" s="1"/>
  <c r="W154" i="3" a="1"/>
  <c r="W154" i="3" s="1"/>
  <c r="V154" i="3" a="1"/>
  <c r="V154" i="3" s="1"/>
  <c r="U154" i="3" a="1"/>
  <c r="U154" i="3" s="1"/>
  <c r="T154" i="3" a="1"/>
  <c r="T154" i="3" s="1"/>
  <c r="S154" i="3" a="1"/>
  <c r="S154" i="3" s="1"/>
  <c r="R154" i="3" a="1"/>
  <c r="R154" i="3" s="1"/>
  <c r="Q154" i="3" a="1"/>
  <c r="Q154" i="3" s="1"/>
  <c r="P154" i="3" a="1"/>
  <c r="P154" i="3" s="1"/>
  <c r="O154" i="3" a="1"/>
  <c r="O154" i="3" s="1"/>
  <c r="N154" i="3" a="1"/>
  <c r="N154" i="3" s="1"/>
  <c r="M154" i="3" a="1"/>
  <c r="M154" i="3" s="1"/>
  <c r="L154" i="3" a="1"/>
  <c r="L154" i="3" s="1"/>
  <c r="K154" i="3" a="1"/>
  <c r="K154" i="3" s="1"/>
  <c r="J154" i="3" a="1"/>
  <c r="J154" i="3" s="1"/>
  <c r="I154" i="3" a="1"/>
  <c r="I154" i="3" s="1"/>
  <c r="G154" i="3" a="1"/>
  <c r="G154" i="3" s="1"/>
  <c r="F154" i="3" a="1"/>
  <c r="F154" i="3" s="1"/>
  <c r="E154" i="3" a="1"/>
  <c r="E154" i="3" s="1"/>
  <c r="D154" i="3" a="1"/>
  <c r="D154" i="3" s="1"/>
  <c r="C154" i="3" a="1"/>
  <c r="C154" i="3" s="1"/>
  <c r="B154" i="3" a="1"/>
  <c r="B154" i="3" s="1"/>
  <c r="Z153" i="3" a="1"/>
  <c r="Z153" i="3" s="1"/>
  <c r="Y153" i="3" a="1"/>
  <c r="Y153" i="3" s="1"/>
  <c r="X153" i="3" a="1"/>
  <c r="X153" i="3" s="1"/>
  <c r="W153" i="3" a="1"/>
  <c r="W153" i="3" s="1"/>
  <c r="V153" i="3" a="1"/>
  <c r="V153" i="3" s="1"/>
  <c r="U153" i="3" a="1"/>
  <c r="U153" i="3" s="1"/>
  <c r="T153" i="3" a="1"/>
  <c r="T153" i="3" s="1"/>
  <c r="S153" i="3" a="1"/>
  <c r="S153" i="3" s="1"/>
  <c r="R153" i="3" a="1"/>
  <c r="R153" i="3" s="1"/>
  <c r="Q153" i="3" a="1"/>
  <c r="Q153" i="3" s="1"/>
  <c r="P153" i="3" a="1"/>
  <c r="P153" i="3" s="1"/>
  <c r="O153" i="3" a="1"/>
  <c r="O153" i="3" s="1"/>
  <c r="N153" i="3" a="1"/>
  <c r="N153" i="3" s="1"/>
  <c r="M153" i="3" a="1"/>
  <c r="M153" i="3" s="1"/>
  <c r="L153" i="3" a="1"/>
  <c r="L153" i="3" s="1"/>
  <c r="K153" i="3" a="1"/>
  <c r="K153" i="3" s="1"/>
  <c r="J153" i="3" a="1"/>
  <c r="J153" i="3" s="1"/>
  <c r="I153" i="3" a="1"/>
  <c r="I153" i="3" s="1"/>
  <c r="G153" i="3" a="1"/>
  <c r="G153" i="3" s="1"/>
  <c r="F153" i="3" a="1"/>
  <c r="F153" i="3" s="1"/>
  <c r="E153" i="3" a="1"/>
  <c r="E153" i="3" s="1"/>
  <c r="D153" i="3" a="1"/>
  <c r="D153" i="3" s="1"/>
  <c r="C153" i="3" a="1"/>
  <c r="C153" i="3" s="1"/>
  <c r="B153" i="3" a="1"/>
  <c r="B153" i="3" s="1"/>
  <c r="Z152" i="3" a="1"/>
  <c r="Z152" i="3" s="1"/>
  <c r="Y152" i="3" a="1"/>
  <c r="Y152" i="3" s="1"/>
  <c r="X152" i="3" a="1"/>
  <c r="X152" i="3" s="1"/>
  <c r="W152" i="3" a="1"/>
  <c r="W152" i="3" s="1"/>
  <c r="V152" i="3" a="1"/>
  <c r="V152" i="3" s="1"/>
  <c r="U152" i="3" a="1"/>
  <c r="U152" i="3" s="1"/>
  <c r="T152" i="3" a="1"/>
  <c r="T152" i="3" s="1"/>
  <c r="S152" i="3" a="1"/>
  <c r="S152" i="3" s="1"/>
  <c r="R152" i="3" a="1"/>
  <c r="R152" i="3" s="1"/>
  <c r="Q152" i="3" a="1"/>
  <c r="Q152" i="3" s="1"/>
  <c r="P152" i="3" a="1"/>
  <c r="P152" i="3" s="1"/>
  <c r="O152" i="3" a="1"/>
  <c r="O152" i="3" s="1"/>
  <c r="N152" i="3" a="1"/>
  <c r="N152" i="3" s="1"/>
  <c r="M152" i="3" a="1"/>
  <c r="M152" i="3" s="1"/>
  <c r="L152" i="3" a="1"/>
  <c r="L152" i="3" s="1"/>
  <c r="K152" i="3" a="1"/>
  <c r="K152" i="3" s="1"/>
  <c r="J152" i="3" a="1"/>
  <c r="J152" i="3" s="1"/>
  <c r="I152" i="3" a="1"/>
  <c r="I152" i="3" s="1"/>
  <c r="G152" i="3" a="1"/>
  <c r="G152" i="3" s="1"/>
  <c r="F152" i="3" a="1"/>
  <c r="F152" i="3" s="1"/>
  <c r="E152" i="3" a="1"/>
  <c r="E152" i="3" s="1"/>
  <c r="D152" i="3" a="1"/>
  <c r="D152" i="3" s="1"/>
  <c r="C152" i="3" a="1"/>
  <c r="C152" i="3" s="1"/>
  <c r="B152" i="3" a="1"/>
  <c r="B152" i="3" s="1"/>
  <c r="Z151" i="3" a="1"/>
  <c r="Z151" i="3" s="1"/>
  <c r="Y151" i="3" a="1"/>
  <c r="Y151" i="3" s="1"/>
  <c r="X151" i="3" a="1"/>
  <c r="X151" i="3" s="1"/>
  <c r="W151" i="3" a="1"/>
  <c r="W151" i="3" s="1"/>
  <c r="V151" i="3" a="1"/>
  <c r="V151" i="3" s="1"/>
  <c r="U151" i="3" a="1"/>
  <c r="U151" i="3" s="1"/>
  <c r="T151" i="3" a="1"/>
  <c r="T151" i="3" s="1"/>
  <c r="S151" i="3" a="1"/>
  <c r="S151" i="3" s="1"/>
  <c r="R151" i="3" a="1"/>
  <c r="R151" i="3" s="1"/>
  <c r="Q151" i="3" a="1"/>
  <c r="Q151" i="3" s="1"/>
  <c r="P151" i="3" a="1"/>
  <c r="P151" i="3" s="1"/>
  <c r="O151" i="3" a="1"/>
  <c r="O151" i="3" s="1"/>
  <c r="N151" i="3" a="1"/>
  <c r="N151" i="3" s="1"/>
  <c r="M151" i="3" a="1"/>
  <c r="M151" i="3" s="1"/>
  <c r="L151" i="3" a="1"/>
  <c r="L151" i="3" s="1"/>
  <c r="K151" i="3" a="1"/>
  <c r="K151" i="3" s="1"/>
  <c r="J151" i="3" a="1"/>
  <c r="J151" i="3" s="1"/>
  <c r="I151" i="3" a="1"/>
  <c r="I151" i="3" s="1"/>
  <c r="G151" i="3" a="1"/>
  <c r="G151" i="3" s="1"/>
  <c r="F151" i="3" a="1"/>
  <c r="F151" i="3" s="1"/>
  <c r="E151" i="3" a="1"/>
  <c r="E151" i="3" s="1"/>
  <c r="D151" i="3" a="1"/>
  <c r="D151" i="3" s="1"/>
  <c r="C151" i="3" a="1"/>
  <c r="C151" i="3" s="1"/>
  <c r="B151" i="3" a="1"/>
  <c r="B151" i="3" s="1"/>
  <c r="Z150" i="3" a="1"/>
  <c r="Z150" i="3" s="1"/>
  <c r="Y150" i="3" a="1"/>
  <c r="Y150" i="3" s="1"/>
  <c r="X150" i="3" a="1"/>
  <c r="X150" i="3" s="1"/>
  <c r="W150" i="3" a="1"/>
  <c r="W150" i="3" s="1"/>
  <c r="V150" i="3" a="1"/>
  <c r="V150" i="3" s="1"/>
  <c r="U150" i="3" a="1"/>
  <c r="U150" i="3" s="1"/>
  <c r="T150" i="3" a="1"/>
  <c r="T150" i="3" s="1"/>
  <c r="S150" i="3" a="1"/>
  <c r="S150" i="3" s="1"/>
  <c r="R150" i="3" a="1"/>
  <c r="R150" i="3" s="1"/>
  <c r="Q150" i="3" a="1"/>
  <c r="Q150" i="3" s="1"/>
  <c r="P150" i="3" a="1"/>
  <c r="P150" i="3" s="1"/>
  <c r="O150" i="3" a="1"/>
  <c r="O150" i="3" s="1"/>
  <c r="N150" i="3" a="1"/>
  <c r="N150" i="3" s="1"/>
  <c r="M150" i="3" a="1"/>
  <c r="M150" i="3" s="1"/>
  <c r="L150" i="3" a="1"/>
  <c r="L150" i="3" s="1"/>
  <c r="K150" i="3" a="1"/>
  <c r="K150" i="3" s="1"/>
  <c r="J150" i="3" a="1"/>
  <c r="J150" i="3" s="1"/>
  <c r="I150" i="3" a="1"/>
  <c r="I150" i="3" s="1"/>
  <c r="G150" i="3" a="1"/>
  <c r="G150" i="3" s="1"/>
  <c r="F150" i="3" a="1"/>
  <c r="F150" i="3" s="1"/>
  <c r="E150" i="3" a="1"/>
  <c r="E150" i="3" s="1"/>
  <c r="D150" i="3" a="1"/>
  <c r="D150" i="3" s="1"/>
  <c r="C150" i="3" a="1"/>
  <c r="C150" i="3" s="1"/>
  <c r="B150" i="3" a="1"/>
  <c r="B150" i="3" s="1"/>
  <c r="Z149" i="3" a="1"/>
  <c r="Z149" i="3" s="1"/>
  <c r="Y149" i="3" a="1"/>
  <c r="Y149" i="3" s="1"/>
  <c r="X149" i="3" a="1"/>
  <c r="X149" i="3" s="1"/>
  <c r="W149" i="3" a="1"/>
  <c r="W149" i="3" s="1"/>
  <c r="V149" i="3" a="1"/>
  <c r="V149" i="3" s="1"/>
  <c r="U149" i="3" a="1"/>
  <c r="U149" i="3" s="1"/>
  <c r="T149" i="3" a="1"/>
  <c r="T149" i="3" s="1"/>
  <c r="S149" i="3" a="1"/>
  <c r="S149" i="3" s="1"/>
  <c r="R149" i="3" a="1"/>
  <c r="R149" i="3" s="1"/>
  <c r="Q149" i="3" a="1"/>
  <c r="Q149" i="3" s="1"/>
  <c r="P149" i="3" a="1"/>
  <c r="P149" i="3" s="1"/>
  <c r="O149" i="3" a="1"/>
  <c r="O149" i="3" s="1"/>
  <c r="N149" i="3" a="1"/>
  <c r="N149" i="3" s="1"/>
  <c r="M149" i="3" a="1"/>
  <c r="M149" i="3" s="1"/>
  <c r="L149" i="3" a="1"/>
  <c r="L149" i="3" s="1"/>
  <c r="K149" i="3" a="1"/>
  <c r="K149" i="3" s="1"/>
  <c r="J149" i="3" a="1"/>
  <c r="J149" i="3" s="1"/>
  <c r="I149" i="3" a="1"/>
  <c r="I149" i="3" s="1"/>
  <c r="G149" i="3" a="1"/>
  <c r="G149" i="3" s="1"/>
  <c r="F149" i="3" a="1"/>
  <c r="F149" i="3" s="1"/>
  <c r="E149" i="3" a="1"/>
  <c r="E149" i="3" s="1"/>
  <c r="D149" i="3" a="1"/>
  <c r="D149" i="3" s="1"/>
  <c r="C149" i="3" a="1"/>
  <c r="C149" i="3" s="1"/>
  <c r="B149" i="3" a="1"/>
  <c r="B149" i="3" s="1"/>
  <c r="Z148" i="3" a="1"/>
  <c r="Z148" i="3" s="1"/>
  <c r="Y148" i="3" a="1"/>
  <c r="Y148" i="3" s="1"/>
  <c r="X148" i="3" a="1"/>
  <c r="X148" i="3" s="1"/>
  <c r="W148" i="3" a="1"/>
  <c r="W148" i="3" s="1"/>
  <c r="V148" i="3" a="1"/>
  <c r="V148" i="3" s="1"/>
  <c r="U148" i="3" a="1"/>
  <c r="U148" i="3" s="1"/>
  <c r="T148" i="3" a="1"/>
  <c r="T148" i="3" s="1"/>
  <c r="S148" i="3" a="1"/>
  <c r="S148" i="3" s="1"/>
  <c r="R148" i="3" a="1"/>
  <c r="R148" i="3" s="1"/>
  <c r="Q148" i="3" a="1"/>
  <c r="Q148" i="3" s="1"/>
  <c r="P148" i="3" a="1"/>
  <c r="P148" i="3" s="1"/>
  <c r="O148" i="3" a="1"/>
  <c r="O148" i="3" s="1"/>
  <c r="N148" i="3" a="1"/>
  <c r="N148" i="3" s="1"/>
  <c r="M148" i="3" a="1"/>
  <c r="M148" i="3" s="1"/>
  <c r="L148" i="3" a="1"/>
  <c r="L148" i="3" s="1"/>
  <c r="K148" i="3" a="1"/>
  <c r="K148" i="3" s="1"/>
  <c r="J148" i="3" a="1"/>
  <c r="J148" i="3" s="1"/>
  <c r="I148" i="3" a="1"/>
  <c r="I148" i="3" s="1"/>
  <c r="G148" i="3" a="1"/>
  <c r="G148" i="3" s="1"/>
  <c r="F148" i="3" a="1"/>
  <c r="F148" i="3" s="1"/>
  <c r="E148" i="3" a="1"/>
  <c r="E148" i="3" s="1"/>
  <c r="D148" i="3" a="1"/>
  <c r="D148" i="3" s="1"/>
  <c r="C148" i="3" a="1"/>
  <c r="C148" i="3" s="1"/>
  <c r="B148" i="3" a="1"/>
  <c r="B148" i="3" s="1"/>
  <c r="Z147" i="3" a="1"/>
  <c r="Z147" i="3" s="1"/>
  <c r="Y147" i="3" a="1"/>
  <c r="Y147" i="3" s="1"/>
  <c r="X147" i="3" a="1"/>
  <c r="X147" i="3" s="1"/>
  <c r="W147" i="3" a="1"/>
  <c r="W147" i="3" s="1"/>
  <c r="V147" i="3" a="1"/>
  <c r="V147" i="3" s="1"/>
  <c r="U147" i="3" a="1"/>
  <c r="U147" i="3" s="1"/>
  <c r="T147" i="3" a="1"/>
  <c r="T147" i="3" s="1"/>
  <c r="S147" i="3" a="1"/>
  <c r="S147" i="3" s="1"/>
  <c r="R147" i="3" a="1"/>
  <c r="R147" i="3" s="1"/>
  <c r="Q147" i="3" a="1"/>
  <c r="Q147" i="3" s="1"/>
  <c r="P147" i="3" a="1"/>
  <c r="P147" i="3" s="1"/>
  <c r="O147" i="3" a="1"/>
  <c r="O147" i="3" s="1"/>
  <c r="N147" i="3" a="1"/>
  <c r="N147" i="3" s="1"/>
  <c r="M147" i="3" a="1"/>
  <c r="M147" i="3" s="1"/>
  <c r="L147" i="3" a="1"/>
  <c r="L147" i="3" s="1"/>
  <c r="K147" i="3" a="1"/>
  <c r="K147" i="3" s="1"/>
  <c r="J147" i="3" a="1"/>
  <c r="J147" i="3" s="1"/>
  <c r="I147" i="3" a="1"/>
  <c r="I147" i="3" s="1"/>
  <c r="G147" i="3" a="1"/>
  <c r="G147" i="3" s="1"/>
  <c r="F147" i="3" a="1"/>
  <c r="F147" i="3" s="1"/>
  <c r="E147" i="3" a="1"/>
  <c r="E147" i="3" s="1"/>
  <c r="D147" i="3" a="1"/>
  <c r="D147" i="3" s="1"/>
  <c r="C147" i="3" a="1"/>
  <c r="C147" i="3" s="1"/>
  <c r="B147" i="3" a="1"/>
  <c r="B147" i="3" s="1"/>
  <c r="Q143" i="3" a="1"/>
  <c r="Q143" i="3" s="1"/>
  <c r="P143" i="3" a="1"/>
  <c r="P143" i="3" s="1"/>
  <c r="O143" i="3" a="1"/>
  <c r="O143" i="3" s="1"/>
  <c r="N143" i="3" a="1"/>
  <c r="N143" i="3" s="1"/>
  <c r="M143" i="3" a="1"/>
  <c r="M143" i="3" s="1"/>
  <c r="L143" i="3" a="1"/>
  <c r="L143" i="3" s="1"/>
  <c r="K143" i="3" a="1"/>
  <c r="K143" i="3" s="1"/>
  <c r="J143" i="3" a="1"/>
  <c r="J143" i="3" s="1"/>
  <c r="I143" i="3" a="1"/>
  <c r="I143" i="3" s="1"/>
  <c r="G143" i="3" a="1"/>
  <c r="G143" i="3" s="1"/>
  <c r="F143" i="3" a="1"/>
  <c r="F143" i="3" s="1"/>
  <c r="E143" i="3" a="1"/>
  <c r="E143" i="3" s="1"/>
  <c r="D143" i="3" a="1"/>
  <c r="D143" i="3" s="1"/>
  <c r="C143" i="3" a="1"/>
  <c r="C143" i="3" s="1"/>
  <c r="B143" i="3" a="1"/>
  <c r="B143" i="3" s="1"/>
  <c r="Q142" i="3" a="1"/>
  <c r="Q142" i="3" s="1"/>
  <c r="P142" i="3" a="1"/>
  <c r="P142" i="3" s="1"/>
  <c r="O142" i="3" a="1"/>
  <c r="O142" i="3" s="1"/>
  <c r="N142" i="3" a="1"/>
  <c r="N142" i="3" s="1"/>
  <c r="M142" i="3" a="1"/>
  <c r="M142" i="3" s="1"/>
  <c r="L142" i="3" a="1"/>
  <c r="L142" i="3" s="1"/>
  <c r="K142" i="3" a="1"/>
  <c r="K142" i="3" s="1"/>
  <c r="J142" i="3" a="1"/>
  <c r="J142" i="3" s="1"/>
  <c r="I142" i="3" a="1"/>
  <c r="I142" i="3" s="1"/>
  <c r="G142" i="3" a="1"/>
  <c r="G142" i="3" s="1"/>
  <c r="F142" i="3" a="1"/>
  <c r="F142" i="3" s="1"/>
  <c r="E142" i="3" a="1"/>
  <c r="E142" i="3" s="1"/>
  <c r="D142" i="3" a="1"/>
  <c r="D142" i="3" s="1"/>
  <c r="C142" i="3" a="1"/>
  <c r="C142" i="3" s="1"/>
  <c r="B142" i="3" a="1"/>
  <c r="B142" i="3" s="1"/>
  <c r="T141" i="3" a="1"/>
  <c r="T141" i="3"/>
  <c r="Q141" i="3" a="1"/>
  <c r="Q141" i="3" s="1"/>
  <c r="P141" i="3" a="1"/>
  <c r="P141" i="3" s="1"/>
  <c r="O141" i="3" a="1"/>
  <c r="O141" i="3" s="1"/>
  <c r="N141" i="3" a="1"/>
  <c r="N141" i="3" s="1"/>
  <c r="M141" i="3" a="1"/>
  <c r="M141" i="3" s="1"/>
  <c r="L141" i="3" a="1"/>
  <c r="L141" i="3" s="1"/>
  <c r="K141" i="3" a="1"/>
  <c r="K141" i="3" s="1"/>
  <c r="J141" i="3" a="1"/>
  <c r="J141" i="3" s="1"/>
  <c r="I141" i="3" a="1"/>
  <c r="I141" i="3" s="1"/>
  <c r="G141" i="3" a="1"/>
  <c r="G141" i="3" s="1"/>
  <c r="F141" i="3" a="1"/>
  <c r="F141" i="3" s="1"/>
  <c r="E141" i="3" a="1"/>
  <c r="E141" i="3" s="1"/>
  <c r="D141" i="3" a="1"/>
  <c r="D141" i="3" s="1"/>
  <c r="C141" i="3" a="1"/>
  <c r="C141" i="3" s="1"/>
  <c r="B141" i="3" a="1"/>
  <c r="B141" i="3" s="1"/>
  <c r="Z137" i="3" a="1"/>
  <c r="Z137" i="3" s="1"/>
  <c r="Y137" i="3" a="1"/>
  <c r="Y137" i="3" s="1"/>
  <c r="X137" i="3" a="1"/>
  <c r="X137" i="3" s="1"/>
  <c r="W137" i="3" a="1"/>
  <c r="W137" i="3" s="1"/>
  <c r="V137" i="3" a="1"/>
  <c r="V137" i="3" s="1"/>
  <c r="U137" i="3" a="1"/>
  <c r="U137" i="3" s="1"/>
  <c r="T137" i="3" a="1"/>
  <c r="T137" i="3" s="1"/>
  <c r="S137" i="3" a="1"/>
  <c r="S137" i="3" s="1"/>
  <c r="R137" i="3" a="1"/>
  <c r="R137" i="3" s="1"/>
  <c r="Q137" i="3" a="1"/>
  <c r="Q137" i="3" s="1"/>
  <c r="P137" i="3" a="1"/>
  <c r="P137" i="3" s="1"/>
  <c r="O137" i="3" a="1"/>
  <c r="O137" i="3" s="1"/>
  <c r="N137" i="3" a="1"/>
  <c r="N137" i="3" s="1"/>
  <c r="M137" i="3" a="1"/>
  <c r="M137" i="3" s="1"/>
  <c r="L137" i="3" a="1"/>
  <c r="L137" i="3" s="1"/>
  <c r="K137" i="3" a="1"/>
  <c r="K137" i="3" s="1"/>
  <c r="J137" i="3" a="1"/>
  <c r="J137" i="3" s="1"/>
  <c r="I137" i="3" a="1"/>
  <c r="I137" i="3" s="1"/>
  <c r="G137" i="3" a="1"/>
  <c r="G137" i="3" s="1"/>
  <c r="F137" i="3" a="1"/>
  <c r="F137" i="3" s="1"/>
  <c r="E137" i="3" a="1"/>
  <c r="E137" i="3" s="1"/>
  <c r="D137" i="3" a="1"/>
  <c r="D137" i="3" s="1"/>
  <c r="C137" i="3" a="1"/>
  <c r="C137" i="3" s="1"/>
  <c r="B137" i="3" a="1"/>
  <c r="B137" i="3" s="1"/>
  <c r="Z136" i="3" a="1"/>
  <c r="Z136" i="3" s="1"/>
  <c r="Y136" i="3" a="1"/>
  <c r="Y136" i="3" s="1"/>
  <c r="X136" i="3" a="1"/>
  <c r="X136" i="3" s="1"/>
  <c r="W136" i="3" a="1"/>
  <c r="W136" i="3" s="1"/>
  <c r="V136" i="3" a="1"/>
  <c r="V136" i="3" s="1"/>
  <c r="U136" i="3" a="1"/>
  <c r="U136" i="3" s="1"/>
  <c r="T136" i="3" a="1"/>
  <c r="T136" i="3" s="1"/>
  <c r="S136" i="3" a="1"/>
  <c r="S136" i="3" s="1"/>
  <c r="R136" i="3" a="1"/>
  <c r="R136" i="3" s="1"/>
  <c r="Q136" i="3" a="1"/>
  <c r="Q136" i="3" s="1"/>
  <c r="P136" i="3" a="1"/>
  <c r="P136" i="3" s="1"/>
  <c r="O136" i="3" a="1"/>
  <c r="O136" i="3" s="1"/>
  <c r="N136" i="3" a="1"/>
  <c r="N136" i="3" s="1"/>
  <c r="M136" i="3" a="1"/>
  <c r="M136" i="3" s="1"/>
  <c r="L136" i="3" a="1"/>
  <c r="L136" i="3" s="1"/>
  <c r="K136" i="3" a="1"/>
  <c r="K136" i="3" s="1"/>
  <c r="J136" i="3" a="1"/>
  <c r="J136" i="3" s="1"/>
  <c r="I136" i="3" a="1"/>
  <c r="I136" i="3" s="1"/>
  <c r="G136" i="3" a="1"/>
  <c r="G136" i="3" s="1"/>
  <c r="F136" i="3" a="1"/>
  <c r="F136" i="3" s="1"/>
  <c r="E136" i="3" a="1"/>
  <c r="E136" i="3" s="1"/>
  <c r="D136" i="3" a="1"/>
  <c r="D136" i="3" s="1"/>
  <c r="C136" i="3" a="1"/>
  <c r="C136" i="3" s="1"/>
  <c r="B136" i="3" a="1"/>
  <c r="B136" i="3" s="1"/>
  <c r="Z135" i="3" a="1"/>
  <c r="Z135" i="3" s="1"/>
  <c r="Y135" i="3" a="1"/>
  <c r="Y135" i="3" s="1"/>
  <c r="X135" i="3" a="1"/>
  <c r="X135" i="3" s="1"/>
  <c r="W135" i="3" a="1"/>
  <c r="W135" i="3" s="1"/>
  <c r="V135" i="3" a="1"/>
  <c r="V135" i="3" s="1"/>
  <c r="U135" i="3" a="1"/>
  <c r="U135" i="3" s="1"/>
  <c r="T135" i="3" a="1"/>
  <c r="T135" i="3" s="1"/>
  <c r="S135" i="3" a="1"/>
  <c r="S135" i="3" s="1"/>
  <c r="R135" i="3" a="1"/>
  <c r="R135" i="3" s="1"/>
  <c r="Q135" i="3" a="1"/>
  <c r="Q135" i="3" s="1"/>
  <c r="P135" i="3" a="1"/>
  <c r="P135" i="3" s="1"/>
  <c r="O135" i="3" a="1"/>
  <c r="O135" i="3" s="1"/>
  <c r="N135" i="3" a="1"/>
  <c r="N135" i="3" s="1"/>
  <c r="M135" i="3" a="1"/>
  <c r="M135" i="3" s="1"/>
  <c r="L135" i="3" a="1"/>
  <c r="L135" i="3" s="1"/>
  <c r="K135" i="3" a="1"/>
  <c r="K135" i="3" s="1"/>
  <c r="J135" i="3" a="1"/>
  <c r="J135" i="3" s="1"/>
  <c r="I135" i="3" a="1"/>
  <c r="I135" i="3" s="1"/>
  <c r="G135" i="3" a="1"/>
  <c r="G135" i="3" s="1"/>
  <c r="F135" i="3" a="1"/>
  <c r="F135" i="3" s="1"/>
  <c r="E135" i="3" a="1"/>
  <c r="E135" i="3" s="1"/>
  <c r="D135" i="3" a="1"/>
  <c r="D135" i="3" s="1"/>
  <c r="C135" i="3" a="1"/>
  <c r="C135" i="3" s="1"/>
  <c r="B135" i="3" a="1"/>
  <c r="B135" i="3" s="1"/>
  <c r="Z134" i="3" a="1"/>
  <c r="Z134" i="3" s="1"/>
  <c r="Y134" i="3" a="1"/>
  <c r="Y134" i="3" s="1"/>
  <c r="X134" i="3" a="1"/>
  <c r="X134" i="3" s="1"/>
  <c r="W134" i="3" a="1"/>
  <c r="W134" i="3" s="1"/>
  <c r="V134" i="3" a="1"/>
  <c r="V134" i="3" s="1"/>
  <c r="U134" i="3" a="1"/>
  <c r="U134" i="3" s="1"/>
  <c r="T134" i="3" a="1"/>
  <c r="T134" i="3" s="1"/>
  <c r="S134" i="3" a="1"/>
  <c r="S134" i="3" s="1"/>
  <c r="R134" i="3" a="1"/>
  <c r="R134" i="3" s="1"/>
  <c r="Q134" i="3" a="1"/>
  <c r="Q134" i="3" s="1"/>
  <c r="P134" i="3" a="1"/>
  <c r="P134" i="3" s="1"/>
  <c r="O134" i="3" a="1"/>
  <c r="O134" i="3" s="1"/>
  <c r="N134" i="3" a="1"/>
  <c r="N134" i="3" s="1"/>
  <c r="M134" i="3" a="1"/>
  <c r="M134" i="3" s="1"/>
  <c r="L134" i="3" a="1"/>
  <c r="L134" i="3" s="1"/>
  <c r="K134" i="3" a="1"/>
  <c r="K134" i="3" s="1"/>
  <c r="J134" i="3" a="1"/>
  <c r="J134" i="3" s="1"/>
  <c r="I134" i="3" a="1"/>
  <c r="I134" i="3" s="1"/>
  <c r="G134" i="3" a="1"/>
  <c r="G134" i="3" s="1"/>
  <c r="F134" i="3" a="1"/>
  <c r="F134" i="3" s="1"/>
  <c r="E134" i="3" a="1"/>
  <c r="E134" i="3" s="1"/>
  <c r="D134" i="3" a="1"/>
  <c r="D134" i="3" s="1"/>
  <c r="C134" i="3" a="1"/>
  <c r="C134" i="3" s="1"/>
  <c r="B134" i="3" a="1"/>
  <c r="B134" i="3" s="1"/>
  <c r="Z133" i="3" a="1"/>
  <c r="Z133" i="3" s="1"/>
  <c r="Y133" i="3" a="1"/>
  <c r="Y133" i="3" s="1"/>
  <c r="X133" i="3" a="1"/>
  <c r="X133" i="3" s="1"/>
  <c r="W133" i="3" a="1"/>
  <c r="W133" i="3" s="1"/>
  <c r="V133" i="3" a="1"/>
  <c r="V133" i="3" s="1"/>
  <c r="U133" i="3" a="1"/>
  <c r="U133" i="3" s="1"/>
  <c r="T133" i="3" a="1"/>
  <c r="T133" i="3" s="1"/>
  <c r="S133" i="3" a="1"/>
  <c r="S133" i="3" s="1"/>
  <c r="R133" i="3" a="1"/>
  <c r="R133" i="3" s="1"/>
  <c r="Q133" i="3" a="1"/>
  <c r="Q133" i="3" s="1"/>
  <c r="P133" i="3" a="1"/>
  <c r="P133" i="3" s="1"/>
  <c r="O133" i="3" a="1"/>
  <c r="O133" i="3" s="1"/>
  <c r="N133" i="3" a="1"/>
  <c r="N133" i="3" s="1"/>
  <c r="M133" i="3" a="1"/>
  <c r="M133" i="3" s="1"/>
  <c r="L133" i="3" a="1"/>
  <c r="L133" i="3" s="1"/>
  <c r="K133" i="3" a="1"/>
  <c r="K133" i="3" s="1"/>
  <c r="J133" i="3" a="1"/>
  <c r="J133" i="3" s="1"/>
  <c r="I133" i="3" a="1"/>
  <c r="I133" i="3" s="1"/>
  <c r="G133" i="3" a="1"/>
  <c r="G133" i="3" s="1"/>
  <c r="F133" i="3" a="1"/>
  <c r="F133" i="3" s="1"/>
  <c r="E133" i="3" a="1"/>
  <c r="E133" i="3" s="1"/>
  <c r="D133" i="3" a="1"/>
  <c r="D133" i="3" s="1"/>
  <c r="C133" i="3" a="1"/>
  <c r="C133" i="3" s="1"/>
  <c r="B133" i="3" a="1"/>
  <c r="B133" i="3" s="1"/>
  <c r="Z132" i="3" a="1"/>
  <c r="Z132" i="3" s="1"/>
  <c r="Y132" i="3" a="1"/>
  <c r="Y132" i="3" s="1"/>
  <c r="X132" i="3" a="1"/>
  <c r="X132" i="3" s="1"/>
  <c r="W132" i="3" a="1"/>
  <c r="W132" i="3" s="1"/>
  <c r="V132" i="3" a="1"/>
  <c r="V132" i="3" s="1"/>
  <c r="U132" i="3" a="1"/>
  <c r="U132" i="3" s="1"/>
  <c r="T132" i="3" a="1"/>
  <c r="T132" i="3" s="1"/>
  <c r="S132" i="3" a="1"/>
  <c r="S132" i="3" s="1"/>
  <c r="R132" i="3" a="1"/>
  <c r="R132" i="3" s="1"/>
  <c r="Q132" i="3" a="1"/>
  <c r="Q132" i="3" s="1"/>
  <c r="P132" i="3" a="1"/>
  <c r="P132" i="3" s="1"/>
  <c r="O132" i="3" a="1"/>
  <c r="O132" i="3" s="1"/>
  <c r="N132" i="3" a="1"/>
  <c r="N132" i="3" s="1"/>
  <c r="M132" i="3" a="1"/>
  <c r="M132" i="3" s="1"/>
  <c r="L132" i="3" a="1"/>
  <c r="L132" i="3" s="1"/>
  <c r="K132" i="3" a="1"/>
  <c r="K132" i="3" s="1"/>
  <c r="J132" i="3" a="1"/>
  <c r="J132" i="3" s="1"/>
  <c r="I132" i="3" a="1"/>
  <c r="I132" i="3" s="1"/>
  <c r="G132" i="3" a="1"/>
  <c r="G132" i="3" s="1"/>
  <c r="F132" i="3" a="1"/>
  <c r="F132" i="3" s="1"/>
  <c r="E132" i="3" a="1"/>
  <c r="E132" i="3" s="1"/>
  <c r="D132" i="3" a="1"/>
  <c r="D132" i="3" s="1"/>
  <c r="C132" i="3" a="1"/>
  <c r="C132" i="3" s="1"/>
  <c r="B132" i="3" a="1"/>
  <c r="B132" i="3" s="1"/>
  <c r="Z131" i="3" a="1"/>
  <c r="Z131" i="3" s="1"/>
  <c r="Y131" i="3" a="1"/>
  <c r="Y131" i="3" s="1"/>
  <c r="X131" i="3" a="1"/>
  <c r="X131" i="3" s="1"/>
  <c r="W131" i="3" a="1"/>
  <c r="W131" i="3" s="1"/>
  <c r="V131" i="3" a="1"/>
  <c r="V131" i="3" s="1"/>
  <c r="U131" i="3" a="1"/>
  <c r="U131" i="3" s="1"/>
  <c r="T131" i="3" a="1"/>
  <c r="T131" i="3" s="1"/>
  <c r="S131" i="3" a="1"/>
  <c r="S131" i="3" s="1"/>
  <c r="R131" i="3" a="1"/>
  <c r="R131" i="3" s="1"/>
  <c r="Q131" i="3" a="1"/>
  <c r="Q131" i="3" s="1"/>
  <c r="P131" i="3" a="1"/>
  <c r="P131" i="3" s="1"/>
  <c r="O131" i="3" a="1"/>
  <c r="O131" i="3" s="1"/>
  <c r="N131" i="3" a="1"/>
  <c r="N131" i="3" s="1"/>
  <c r="M131" i="3" a="1"/>
  <c r="M131" i="3" s="1"/>
  <c r="L131" i="3" a="1"/>
  <c r="L131" i="3" s="1"/>
  <c r="K131" i="3" a="1"/>
  <c r="K131" i="3" s="1"/>
  <c r="J131" i="3" a="1"/>
  <c r="J131" i="3" s="1"/>
  <c r="I131" i="3" a="1"/>
  <c r="I131" i="3" s="1"/>
  <c r="G131" i="3" a="1"/>
  <c r="G131" i="3" s="1"/>
  <c r="F131" i="3" a="1"/>
  <c r="F131" i="3" s="1"/>
  <c r="E131" i="3" a="1"/>
  <c r="E131" i="3" s="1"/>
  <c r="D131" i="3" a="1"/>
  <c r="D131" i="3" s="1"/>
  <c r="C131" i="3" a="1"/>
  <c r="C131" i="3" s="1"/>
  <c r="B131" i="3" a="1"/>
  <c r="B131" i="3" s="1"/>
  <c r="Z130" i="3" a="1"/>
  <c r="Z130" i="3" s="1"/>
  <c r="Y130" i="3" a="1"/>
  <c r="Y130" i="3" s="1"/>
  <c r="X130" i="3" a="1"/>
  <c r="X130" i="3" s="1"/>
  <c r="W130" i="3" a="1"/>
  <c r="W130" i="3" s="1"/>
  <c r="V130" i="3" a="1"/>
  <c r="V130" i="3" s="1"/>
  <c r="U130" i="3" a="1"/>
  <c r="U130" i="3" s="1"/>
  <c r="T130" i="3" a="1"/>
  <c r="T130" i="3" s="1"/>
  <c r="S130" i="3" a="1"/>
  <c r="S130" i="3" s="1"/>
  <c r="R130" i="3" a="1"/>
  <c r="R130" i="3" s="1"/>
  <c r="Q130" i="3" a="1"/>
  <c r="Q130" i="3" s="1"/>
  <c r="P130" i="3" a="1"/>
  <c r="P130" i="3" s="1"/>
  <c r="O130" i="3" a="1"/>
  <c r="O130" i="3" s="1"/>
  <c r="N130" i="3" a="1"/>
  <c r="N130" i="3" s="1"/>
  <c r="M130" i="3" a="1"/>
  <c r="M130" i="3" s="1"/>
  <c r="L130" i="3" a="1"/>
  <c r="L130" i="3" s="1"/>
  <c r="K130" i="3" a="1"/>
  <c r="K130" i="3" s="1"/>
  <c r="J130" i="3" a="1"/>
  <c r="J130" i="3" s="1"/>
  <c r="I130" i="3" a="1"/>
  <c r="I130" i="3" s="1"/>
  <c r="G130" i="3" a="1"/>
  <c r="G130" i="3" s="1"/>
  <c r="F130" i="3" a="1"/>
  <c r="F130" i="3" s="1"/>
  <c r="E130" i="3" a="1"/>
  <c r="E130" i="3" s="1"/>
  <c r="D130" i="3" a="1"/>
  <c r="D130" i="3" s="1"/>
  <c r="C130" i="3" a="1"/>
  <c r="C130" i="3" s="1"/>
  <c r="B130" i="3" a="1"/>
  <c r="B130" i="3" s="1"/>
  <c r="Z129" i="3" a="1"/>
  <c r="Z129" i="3" s="1"/>
  <c r="Y129" i="3" a="1"/>
  <c r="Y129" i="3" s="1"/>
  <c r="X129" i="3" a="1"/>
  <c r="X129" i="3" s="1"/>
  <c r="W129" i="3" a="1"/>
  <c r="W129" i="3" s="1"/>
  <c r="V129" i="3" a="1"/>
  <c r="V129" i="3" s="1"/>
  <c r="U129" i="3" a="1"/>
  <c r="U129" i="3" s="1"/>
  <c r="T129" i="3" a="1"/>
  <c r="T129" i="3" s="1"/>
  <c r="S129" i="3" a="1"/>
  <c r="S129" i="3" s="1"/>
  <c r="R129" i="3" a="1"/>
  <c r="R129" i="3" s="1"/>
  <c r="Q129" i="3" a="1"/>
  <c r="Q129" i="3" s="1"/>
  <c r="P129" i="3" a="1"/>
  <c r="P129" i="3" s="1"/>
  <c r="O129" i="3" a="1"/>
  <c r="O129" i="3" s="1"/>
  <c r="N129" i="3" a="1"/>
  <c r="N129" i="3" s="1"/>
  <c r="M129" i="3" a="1"/>
  <c r="M129" i="3" s="1"/>
  <c r="L129" i="3" a="1"/>
  <c r="L129" i="3" s="1"/>
  <c r="K129" i="3" a="1"/>
  <c r="K129" i="3" s="1"/>
  <c r="J129" i="3" a="1"/>
  <c r="J129" i="3" s="1"/>
  <c r="I129" i="3" a="1"/>
  <c r="I129" i="3" s="1"/>
  <c r="G129" i="3" a="1"/>
  <c r="G129" i="3" s="1"/>
  <c r="F129" i="3" a="1"/>
  <c r="F129" i="3" s="1"/>
  <c r="E129" i="3" a="1"/>
  <c r="E129" i="3" s="1"/>
  <c r="D129" i="3" a="1"/>
  <c r="D129" i="3" s="1"/>
  <c r="C129" i="3" a="1"/>
  <c r="C129" i="3" s="1"/>
  <c r="B129" i="3" a="1"/>
  <c r="B129" i="3" s="1"/>
  <c r="Z128" i="3" a="1"/>
  <c r="Z128" i="3" s="1"/>
  <c r="Y128" i="3" a="1"/>
  <c r="Y128" i="3" s="1"/>
  <c r="X128" i="3" a="1"/>
  <c r="X128" i="3" s="1"/>
  <c r="W128" i="3" a="1"/>
  <c r="W128" i="3" s="1"/>
  <c r="V128" i="3" a="1"/>
  <c r="V128" i="3" s="1"/>
  <c r="U128" i="3" a="1"/>
  <c r="U128" i="3" s="1"/>
  <c r="T128" i="3" a="1"/>
  <c r="T128" i="3" s="1"/>
  <c r="S128" i="3" a="1"/>
  <c r="S128" i="3" s="1"/>
  <c r="R128" i="3" a="1"/>
  <c r="R128" i="3" s="1"/>
  <c r="Q128" i="3" a="1"/>
  <c r="Q128" i="3" s="1"/>
  <c r="P128" i="3" a="1"/>
  <c r="P128" i="3" s="1"/>
  <c r="O128" i="3" a="1"/>
  <c r="O128" i="3" s="1"/>
  <c r="N128" i="3" a="1"/>
  <c r="N128" i="3" s="1"/>
  <c r="M128" i="3" a="1"/>
  <c r="M128" i="3" s="1"/>
  <c r="L128" i="3" a="1"/>
  <c r="L128" i="3" s="1"/>
  <c r="K128" i="3" a="1"/>
  <c r="K128" i="3" s="1"/>
  <c r="J128" i="3" a="1"/>
  <c r="J128" i="3" s="1"/>
  <c r="I128" i="3" a="1"/>
  <c r="I128" i="3" s="1"/>
  <c r="G128" i="3" a="1"/>
  <c r="G128" i="3" s="1"/>
  <c r="F128" i="3" a="1"/>
  <c r="F128" i="3" s="1"/>
  <c r="E128" i="3" a="1"/>
  <c r="E128" i="3" s="1"/>
  <c r="D128" i="3" a="1"/>
  <c r="D128" i="3" s="1"/>
  <c r="C128" i="3" a="1"/>
  <c r="C128" i="3" s="1"/>
  <c r="B128" i="3" a="1"/>
  <c r="B128" i="3" s="1"/>
  <c r="Z127" i="3" a="1"/>
  <c r="Z127" i="3" s="1"/>
  <c r="Y127" i="3" a="1"/>
  <c r="Y127" i="3" s="1"/>
  <c r="X127" i="3" a="1"/>
  <c r="X127" i="3" s="1"/>
  <c r="W127" i="3" a="1"/>
  <c r="W127" i="3" s="1"/>
  <c r="V127" i="3" a="1"/>
  <c r="V127" i="3" s="1"/>
  <c r="U127" i="3" a="1"/>
  <c r="U127" i="3" s="1"/>
  <c r="T127" i="3" a="1"/>
  <c r="T127" i="3" s="1"/>
  <c r="S127" i="3" a="1"/>
  <c r="S127" i="3" s="1"/>
  <c r="R127" i="3" a="1"/>
  <c r="R127" i="3" s="1"/>
  <c r="Q127" i="3" a="1"/>
  <c r="Q127" i="3" s="1"/>
  <c r="P127" i="3" a="1"/>
  <c r="P127" i="3" s="1"/>
  <c r="O127" i="3" a="1"/>
  <c r="O127" i="3" s="1"/>
  <c r="N127" i="3" a="1"/>
  <c r="N127" i="3" s="1"/>
  <c r="M127" i="3" a="1"/>
  <c r="M127" i="3" s="1"/>
  <c r="L127" i="3" a="1"/>
  <c r="L127" i="3" s="1"/>
  <c r="K127" i="3" a="1"/>
  <c r="K127" i="3" s="1"/>
  <c r="J127" i="3" a="1"/>
  <c r="J127" i="3" s="1"/>
  <c r="I127" i="3" a="1"/>
  <c r="I127" i="3" s="1"/>
  <c r="G127" i="3" a="1"/>
  <c r="G127" i="3" s="1"/>
  <c r="F127" i="3" a="1"/>
  <c r="F127" i="3" s="1"/>
  <c r="E127" i="3" a="1"/>
  <c r="E127" i="3" s="1"/>
  <c r="D127" i="3" a="1"/>
  <c r="D127" i="3" s="1"/>
  <c r="C127" i="3" a="1"/>
  <c r="C127" i="3" s="1"/>
  <c r="B127" i="3" a="1"/>
  <c r="B127" i="3" s="1"/>
  <c r="Z126" i="3" a="1"/>
  <c r="Z126" i="3" s="1"/>
  <c r="Y126" i="3" a="1"/>
  <c r="Y126" i="3" s="1"/>
  <c r="X126" i="3" a="1"/>
  <c r="X126" i="3" s="1"/>
  <c r="W126" i="3" a="1"/>
  <c r="W126" i="3" s="1"/>
  <c r="V126" i="3" a="1"/>
  <c r="V126" i="3" s="1"/>
  <c r="U126" i="3" a="1"/>
  <c r="U126" i="3" s="1"/>
  <c r="T126" i="3" a="1"/>
  <c r="T126" i="3" s="1"/>
  <c r="S126" i="3" a="1"/>
  <c r="S126" i="3" s="1"/>
  <c r="R126" i="3" a="1"/>
  <c r="R126" i="3" s="1"/>
  <c r="Q126" i="3" a="1"/>
  <c r="Q126" i="3" s="1"/>
  <c r="P126" i="3" a="1"/>
  <c r="P126" i="3" s="1"/>
  <c r="O126" i="3" a="1"/>
  <c r="O126" i="3" s="1"/>
  <c r="N126" i="3" a="1"/>
  <c r="N126" i="3" s="1"/>
  <c r="M126" i="3" a="1"/>
  <c r="M126" i="3" s="1"/>
  <c r="L126" i="3" a="1"/>
  <c r="L126" i="3" s="1"/>
  <c r="K126" i="3" a="1"/>
  <c r="K126" i="3" s="1"/>
  <c r="J126" i="3" a="1"/>
  <c r="J126" i="3" s="1"/>
  <c r="I126" i="3" a="1"/>
  <c r="I126" i="3" s="1"/>
  <c r="G126" i="3" a="1"/>
  <c r="G126" i="3" s="1"/>
  <c r="F126" i="3" a="1"/>
  <c r="F126" i="3" s="1"/>
  <c r="E126" i="3" a="1"/>
  <c r="E126" i="3" s="1"/>
  <c r="D126" i="3" a="1"/>
  <c r="D126" i="3" s="1"/>
  <c r="C126" i="3" a="1"/>
  <c r="C126" i="3" s="1"/>
  <c r="B126" i="3" a="1"/>
  <c r="B126" i="3" s="1"/>
  <c r="Z125" i="3" a="1"/>
  <c r="Z125" i="3" s="1"/>
  <c r="Y125" i="3" a="1"/>
  <c r="Y125" i="3" s="1"/>
  <c r="X125" i="3" a="1"/>
  <c r="X125" i="3" s="1"/>
  <c r="W125" i="3" a="1"/>
  <c r="W125" i="3" s="1"/>
  <c r="V125" i="3" a="1"/>
  <c r="V125" i="3" s="1"/>
  <c r="U125" i="3" a="1"/>
  <c r="U125" i="3" s="1"/>
  <c r="T125" i="3" a="1"/>
  <c r="T125" i="3" s="1"/>
  <c r="S125" i="3" a="1"/>
  <c r="S125" i="3" s="1"/>
  <c r="R125" i="3" a="1"/>
  <c r="R125" i="3" s="1"/>
  <c r="Q125" i="3" a="1"/>
  <c r="Q125" i="3" s="1"/>
  <c r="P125" i="3" a="1"/>
  <c r="P125" i="3" s="1"/>
  <c r="O125" i="3" a="1"/>
  <c r="O125" i="3" s="1"/>
  <c r="N125" i="3" a="1"/>
  <c r="N125" i="3" s="1"/>
  <c r="M125" i="3" a="1"/>
  <c r="M125" i="3" s="1"/>
  <c r="L125" i="3" a="1"/>
  <c r="L125" i="3" s="1"/>
  <c r="K125" i="3" a="1"/>
  <c r="K125" i="3" s="1"/>
  <c r="J125" i="3" a="1"/>
  <c r="J125" i="3" s="1"/>
  <c r="I125" i="3" a="1"/>
  <c r="I125" i="3" s="1"/>
  <c r="G125" i="3" a="1"/>
  <c r="G125" i="3" s="1"/>
  <c r="F125" i="3" a="1"/>
  <c r="F125" i="3" s="1"/>
  <c r="E125" i="3" a="1"/>
  <c r="E125" i="3" s="1"/>
  <c r="D125" i="3" a="1"/>
  <c r="D125" i="3" s="1"/>
  <c r="C125" i="3" a="1"/>
  <c r="C125" i="3" s="1"/>
  <c r="B125" i="3" a="1"/>
  <c r="B125" i="3" s="1"/>
  <c r="Z124" i="3" a="1"/>
  <c r="Z124" i="3" s="1"/>
  <c r="Y124" i="3" a="1"/>
  <c r="Y124" i="3" s="1"/>
  <c r="X124" i="3" a="1"/>
  <c r="X124" i="3" s="1"/>
  <c r="W124" i="3" a="1"/>
  <c r="W124" i="3" s="1"/>
  <c r="V124" i="3" a="1"/>
  <c r="V124" i="3" s="1"/>
  <c r="U124" i="3" a="1"/>
  <c r="U124" i="3" s="1"/>
  <c r="T124" i="3" a="1"/>
  <c r="T124" i="3" s="1"/>
  <c r="S124" i="3" a="1"/>
  <c r="S124" i="3" s="1"/>
  <c r="R124" i="3" a="1"/>
  <c r="R124" i="3" s="1"/>
  <c r="Q124" i="3" a="1"/>
  <c r="Q124" i="3" s="1"/>
  <c r="P124" i="3" a="1"/>
  <c r="P124" i="3" s="1"/>
  <c r="O124" i="3" a="1"/>
  <c r="O124" i="3" s="1"/>
  <c r="N124" i="3" a="1"/>
  <c r="N124" i="3" s="1"/>
  <c r="M124" i="3" a="1"/>
  <c r="M124" i="3" s="1"/>
  <c r="L124" i="3" a="1"/>
  <c r="L124" i="3" s="1"/>
  <c r="K124" i="3" a="1"/>
  <c r="K124" i="3" s="1"/>
  <c r="J124" i="3" a="1"/>
  <c r="J124" i="3" s="1"/>
  <c r="I124" i="3" a="1"/>
  <c r="I124" i="3" s="1"/>
  <c r="G124" i="3" a="1"/>
  <c r="G124" i="3" s="1"/>
  <c r="F124" i="3" a="1"/>
  <c r="F124" i="3" s="1"/>
  <c r="E124" i="3" a="1"/>
  <c r="E124" i="3" s="1"/>
  <c r="D124" i="3" a="1"/>
  <c r="D124" i="3" s="1"/>
  <c r="C124" i="3" a="1"/>
  <c r="C124" i="3" s="1"/>
  <c r="B124" i="3" a="1"/>
  <c r="B124" i="3" s="1"/>
  <c r="Z123" i="3" a="1"/>
  <c r="Z123" i="3" s="1"/>
  <c r="Y123" i="3" a="1"/>
  <c r="Y123" i="3" s="1"/>
  <c r="X123" i="3" a="1"/>
  <c r="X123" i="3" s="1"/>
  <c r="W123" i="3" a="1"/>
  <c r="W123" i="3" s="1"/>
  <c r="V123" i="3" a="1"/>
  <c r="V123" i="3" s="1"/>
  <c r="U123" i="3" a="1"/>
  <c r="U123" i="3" s="1"/>
  <c r="T123" i="3" a="1"/>
  <c r="T123" i="3" s="1"/>
  <c r="S123" i="3" a="1"/>
  <c r="S123" i="3" s="1"/>
  <c r="R123" i="3" a="1"/>
  <c r="R123" i="3" s="1"/>
  <c r="Q123" i="3" a="1"/>
  <c r="Q123" i="3" s="1"/>
  <c r="P123" i="3" a="1"/>
  <c r="P123" i="3" s="1"/>
  <c r="O123" i="3" a="1"/>
  <c r="O123" i="3" s="1"/>
  <c r="N123" i="3" a="1"/>
  <c r="N123" i="3" s="1"/>
  <c r="M123" i="3" a="1"/>
  <c r="M123" i="3" s="1"/>
  <c r="L123" i="3" a="1"/>
  <c r="L123" i="3" s="1"/>
  <c r="K123" i="3" a="1"/>
  <c r="K123" i="3" s="1"/>
  <c r="J123" i="3" a="1"/>
  <c r="J123" i="3" s="1"/>
  <c r="I123" i="3" a="1"/>
  <c r="I123" i="3" s="1"/>
  <c r="G123" i="3" a="1"/>
  <c r="G123" i="3" s="1"/>
  <c r="F123" i="3" a="1"/>
  <c r="F123" i="3" s="1"/>
  <c r="E123" i="3" a="1"/>
  <c r="E123" i="3" s="1"/>
  <c r="D123" i="3" a="1"/>
  <c r="D123" i="3" s="1"/>
  <c r="C123" i="3" a="1"/>
  <c r="C123" i="3" s="1"/>
  <c r="B123" i="3" a="1"/>
  <c r="B123" i="3" s="1"/>
  <c r="Z122" i="3" a="1"/>
  <c r="Z122" i="3" s="1"/>
  <c r="Y122" i="3" a="1"/>
  <c r="Y122" i="3" s="1"/>
  <c r="X122" i="3" a="1"/>
  <c r="X122" i="3" s="1"/>
  <c r="W122" i="3" a="1"/>
  <c r="W122" i="3" s="1"/>
  <c r="V122" i="3" a="1"/>
  <c r="V122" i="3" s="1"/>
  <c r="U122" i="3" a="1"/>
  <c r="U122" i="3" s="1"/>
  <c r="T122" i="3" a="1"/>
  <c r="T122" i="3" s="1"/>
  <c r="S122" i="3" a="1"/>
  <c r="S122" i="3" s="1"/>
  <c r="R122" i="3" a="1"/>
  <c r="R122" i="3" s="1"/>
  <c r="Q122" i="3" a="1"/>
  <c r="Q122" i="3" s="1"/>
  <c r="P122" i="3" a="1"/>
  <c r="P122" i="3" s="1"/>
  <c r="O122" i="3" a="1"/>
  <c r="O122" i="3" s="1"/>
  <c r="N122" i="3" a="1"/>
  <c r="N122" i="3" s="1"/>
  <c r="M122" i="3" a="1"/>
  <c r="M122" i="3" s="1"/>
  <c r="L122" i="3" a="1"/>
  <c r="L122" i="3" s="1"/>
  <c r="K122" i="3" a="1"/>
  <c r="K122" i="3" s="1"/>
  <c r="J122" i="3" a="1"/>
  <c r="J122" i="3" s="1"/>
  <c r="I122" i="3" a="1"/>
  <c r="I122" i="3" s="1"/>
  <c r="G122" i="3" a="1"/>
  <c r="G122" i="3" s="1"/>
  <c r="F122" i="3" a="1"/>
  <c r="F122" i="3" s="1"/>
  <c r="E122" i="3" a="1"/>
  <c r="E122" i="3" s="1"/>
  <c r="D122" i="3" a="1"/>
  <c r="D122" i="3" s="1"/>
  <c r="C122" i="3" a="1"/>
  <c r="C122" i="3" s="1"/>
  <c r="B122" i="3" a="1"/>
  <c r="B122" i="3" s="1"/>
  <c r="Z121" i="3" a="1"/>
  <c r="Z121" i="3" s="1"/>
  <c r="Y121" i="3" a="1"/>
  <c r="Y121" i="3" s="1"/>
  <c r="X121" i="3" a="1"/>
  <c r="X121" i="3" s="1"/>
  <c r="W121" i="3" a="1"/>
  <c r="W121" i="3" s="1"/>
  <c r="V121" i="3" a="1"/>
  <c r="V121" i="3" s="1"/>
  <c r="U121" i="3" a="1"/>
  <c r="U121" i="3" s="1"/>
  <c r="T121" i="3" a="1"/>
  <c r="T121" i="3" s="1"/>
  <c r="S121" i="3" a="1"/>
  <c r="S121" i="3" s="1"/>
  <c r="R121" i="3" a="1"/>
  <c r="R121" i="3" s="1"/>
  <c r="Q121" i="3" a="1"/>
  <c r="Q121" i="3" s="1"/>
  <c r="P121" i="3" a="1"/>
  <c r="P121" i="3" s="1"/>
  <c r="O121" i="3" a="1"/>
  <c r="O121" i="3" s="1"/>
  <c r="N121" i="3" a="1"/>
  <c r="N121" i="3" s="1"/>
  <c r="M121" i="3" a="1"/>
  <c r="M121" i="3" s="1"/>
  <c r="L121" i="3" a="1"/>
  <c r="L121" i="3" s="1"/>
  <c r="K121" i="3" a="1"/>
  <c r="K121" i="3" s="1"/>
  <c r="J121" i="3" a="1"/>
  <c r="J121" i="3" s="1"/>
  <c r="I121" i="3" a="1"/>
  <c r="I121" i="3" s="1"/>
  <c r="G121" i="3" a="1"/>
  <c r="G121" i="3" s="1"/>
  <c r="F121" i="3" a="1"/>
  <c r="F121" i="3" s="1"/>
  <c r="E121" i="3" a="1"/>
  <c r="E121" i="3" s="1"/>
  <c r="D121" i="3" a="1"/>
  <c r="D121" i="3" s="1"/>
  <c r="C121" i="3" a="1"/>
  <c r="C121" i="3" s="1"/>
  <c r="B121" i="3" a="1"/>
  <c r="B121" i="3" s="1"/>
  <c r="Z120" i="3" a="1"/>
  <c r="Z120" i="3" s="1"/>
  <c r="Y120" i="3" a="1"/>
  <c r="Y120" i="3" s="1"/>
  <c r="X120" i="3" a="1"/>
  <c r="X120" i="3" s="1"/>
  <c r="W120" i="3" a="1"/>
  <c r="W120" i="3" s="1"/>
  <c r="V120" i="3" a="1"/>
  <c r="V120" i="3" s="1"/>
  <c r="U120" i="3" a="1"/>
  <c r="U120" i="3" s="1"/>
  <c r="T120" i="3" a="1"/>
  <c r="T120" i="3" s="1"/>
  <c r="S120" i="3" a="1"/>
  <c r="S120" i="3" s="1"/>
  <c r="R120" i="3" a="1"/>
  <c r="R120" i="3" s="1"/>
  <c r="Q120" i="3" a="1"/>
  <c r="Q120" i="3" s="1"/>
  <c r="P120" i="3" a="1"/>
  <c r="P120" i="3" s="1"/>
  <c r="O120" i="3" a="1"/>
  <c r="O120" i="3" s="1"/>
  <c r="N120" i="3" a="1"/>
  <c r="N120" i="3" s="1"/>
  <c r="M120" i="3" a="1"/>
  <c r="M120" i="3" s="1"/>
  <c r="L120" i="3" a="1"/>
  <c r="L120" i="3" s="1"/>
  <c r="K120" i="3" a="1"/>
  <c r="K120" i="3" s="1"/>
  <c r="J120" i="3" a="1"/>
  <c r="J120" i="3" s="1"/>
  <c r="I120" i="3" a="1"/>
  <c r="I120" i="3" s="1"/>
  <c r="G120" i="3" a="1"/>
  <c r="G120" i="3" s="1"/>
  <c r="F120" i="3" a="1"/>
  <c r="F120" i="3" s="1"/>
  <c r="E120" i="3" a="1"/>
  <c r="E120" i="3" s="1"/>
  <c r="D120" i="3" a="1"/>
  <c r="D120" i="3" s="1"/>
  <c r="C120" i="3" a="1"/>
  <c r="C120" i="3" s="1"/>
  <c r="B120" i="3" a="1"/>
  <c r="B120" i="3" s="1"/>
  <c r="Z119" i="3" a="1"/>
  <c r="Z119" i="3" s="1"/>
  <c r="Y119" i="3" a="1"/>
  <c r="Y119" i="3" s="1"/>
  <c r="X119" i="3" a="1"/>
  <c r="X119" i="3" s="1"/>
  <c r="W119" i="3" a="1"/>
  <c r="W119" i="3" s="1"/>
  <c r="V119" i="3" a="1"/>
  <c r="V119" i="3" s="1"/>
  <c r="U119" i="3" a="1"/>
  <c r="U119" i="3" s="1"/>
  <c r="T119" i="3" a="1"/>
  <c r="T119" i="3" s="1"/>
  <c r="S119" i="3" a="1"/>
  <c r="S119" i="3" s="1"/>
  <c r="R119" i="3" a="1"/>
  <c r="R119" i="3" s="1"/>
  <c r="Q119" i="3" a="1"/>
  <c r="Q119" i="3" s="1"/>
  <c r="P119" i="3" a="1"/>
  <c r="P119" i="3" s="1"/>
  <c r="O119" i="3" a="1"/>
  <c r="O119" i="3" s="1"/>
  <c r="N119" i="3" a="1"/>
  <c r="N119" i="3" s="1"/>
  <c r="M119" i="3" a="1"/>
  <c r="M119" i="3" s="1"/>
  <c r="L119" i="3" a="1"/>
  <c r="L119" i="3" s="1"/>
  <c r="K119" i="3" a="1"/>
  <c r="K119" i="3" s="1"/>
  <c r="J119" i="3" a="1"/>
  <c r="J119" i="3" s="1"/>
  <c r="I119" i="3" a="1"/>
  <c r="I119" i="3" s="1"/>
  <c r="G119" i="3" a="1"/>
  <c r="G119" i="3" s="1"/>
  <c r="F119" i="3" a="1"/>
  <c r="F119" i="3" s="1"/>
  <c r="E119" i="3" a="1"/>
  <c r="E119" i="3" s="1"/>
  <c r="D119" i="3" a="1"/>
  <c r="D119" i="3" s="1"/>
  <c r="C119" i="3" a="1"/>
  <c r="C119" i="3" s="1"/>
  <c r="B119" i="3" a="1"/>
  <c r="B119" i="3" s="1"/>
  <c r="Z118" i="3" a="1"/>
  <c r="Z118" i="3" s="1"/>
  <c r="Y118" i="3" a="1"/>
  <c r="Y118" i="3" s="1"/>
  <c r="X118" i="3" a="1"/>
  <c r="X118" i="3" s="1"/>
  <c r="W118" i="3" a="1"/>
  <c r="W118" i="3" s="1"/>
  <c r="V118" i="3" a="1"/>
  <c r="V118" i="3" s="1"/>
  <c r="U118" i="3" a="1"/>
  <c r="U118" i="3" s="1"/>
  <c r="T118" i="3" a="1"/>
  <c r="T118" i="3" s="1"/>
  <c r="S118" i="3" a="1"/>
  <c r="S118" i="3" s="1"/>
  <c r="R118" i="3" a="1"/>
  <c r="R118" i="3" s="1"/>
  <c r="Q118" i="3" a="1"/>
  <c r="Q118" i="3" s="1"/>
  <c r="P118" i="3" a="1"/>
  <c r="P118" i="3" s="1"/>
  <c r="O118" i="3" a="1"/>
  <c r="O118" i="3" s="1"/>
  <c r="N118" i="3" a="1"/>
  <c r="N118" i="3" s="1"/>
  <c r="M118" i="3" a="1"/>
  <c r="M118" i="3" s="1"/>
  <c r="L118" i="3" a="1"/>
  <c r="L118" i="3" s="1"/>
  <c r="K118" i="3" a="1"/>
  <c r="K118" i="3" s="1"/>
  <c r="J118" i="3" a="1"/>
  <c r="J118" i="3" s="1"/>
  <c r="I118" i="3" a="1"/>
  <c r="I118" i="3" s="1"/>
  <c r="G118" i="3" a="1"/>
  <c r="G118" i="3" s="1"/>
  <c r="F118" i="3" a="1"/>
  <c r="F118" i="3" s="1"/>
  <c r="E118" i="3" a="1"/>
  <c r="E118" i="3" s="1"/>
  <c r="D118" i="3" a="1"/>
  <c r="D118" i="3" s="1"/>
  <c r="C118" i="3" a="1"/>
  <c r="C118" i="3" s="1"/>
  <c r="B118" i="3" a="1"/>
  <c r="B118" i="3" s="1"/>
  <c r="Q114" i="3" a="1"/>
  <c r="Q114" i="3" s="1"/>
  <c r="P114" i="3" a="1"/>
  <c r="P114" i="3" s="1"/>
  <c r="O114" i="3" a="1"/>
  <c r="O114" i="3" s="1"/>
  <c r="N114" i="3" a="1"/>
  <c r="N114" i="3" s="1"/>
  <c r="M114" i="3" a="1"/>
  <c r="M114" i="3" s="1"/>
  <c r="L114" i="3" a="1"/>
  <c r="L114" i="3" s="1"/>
  <c r="K114" i="3" a="1"/>
  <c r="K114" i="3" s="1"/>
  <c r="J114" i="3" a="1"/>
  <c r="J114" i="3" s="1"/>
  <c r="I114" i="3" a="1"/>
  <c r="I114" i="3" s="1"/>
  <c r="G114" i="3" a="1"/>
  <c r="G114" i="3" s="1"/>
  <c r="F114" i="3" a="1"/>
  <c r="F114" i="3" s="1"/>
  <c r="E114" i="3" a="1"/>
  <c r="E114" i="3" s="1"/>
  <c r="D114" i="3" a="1"/>
  <c r="D114" i="3" s="1"/>
  <c r="C114" i="3" a="1"/>
  <c r="C114" i="3" s="1"/>
  <c r="B114" i="3" a="1"/>
  <c r="B114" i="3" s="1"/>
  <c r="Q113" i="3" a="1"/>
  <c r="Q113" i="3" s="1"/>
  <c r="P113" i="3" a="1"/>
  <c r="P113" i="3" s="1"/>
  <c r="O113" i="3" a="1"/>
  <c r="O113" i="3" s="1"/>
  <c r="N113" i="3" a="1"/>
  <c r="N113" i="3" s="1"/>
  <c r="M113" i="3" a="1"/>
  <c r="M113" i="3" s="1"/>
  <c r="L113" i="3" a="1"/>
  <c r="L113" i="3" s="1"/>
  <c r="K113" i="3" a="1"/>
  <c r="K113" i="3" s="1"/>
  <c r="J113" i="3" a="1"/>
  <c r="J113" i="3" s="1"/>
  <c r="I113" i="3" a="1"/>
  <c r="I113" i="3" s="1"/>
  <c r="G113" i="3" a="1"/>
  <c r="G113" i="3" s="1"/>
  <c r="F113" i="3" a="1"/>
  <c r="F113" i="3" s="1"/>
  <c r="E113" i="3" a="1"/>
  <c r="E113" i="3" s="1"/>
  <c r="D113" i="3" a="1"/>
  <c r="D113" i="3" s="1"/>
  <c r="C113" i="3" a="1"/>
  <c r="C113" i="3" s="1"/>
  <c r="B113" i="3" a="1"/>
  <c r="B113" i="3" s="1"/>
  <c r="T112" i="3" a="1"/>
  <c r="T112" i="3"/>
  <c r="Q112" i="3" a="1"/>
  <c r="Q112" i="3" s="1"/>
  <c r="P112" i="3" a="1"/>
  <c r="P112" i="3" s="1"/>
  <c r="O112" i="3" a="1"/>
  <c r="O112" i="3" s="1"/>
  <c r="N112" i="3" a="1"/>
  <c r="N112" i="3" s="1"/>
  <c r="M112" i="3" a="1"/>
  <c r="M112" i="3" s="1"/>
  <c r="L112" i="3" a="1"/>
  <c r="L112" i="3" s="1"/>
  <c r="K112" i="3" a="1"/>
  <c r="K112" i="3" s="1"/>
  <c r="J112" i="3" a="1"/>
  <c r="J112" i="3" s="1"/>
  <c r="I112" i="3" a="1"/>
  <c r="I112" i="3" s="1"/>
  <c r="G112" i="3" a="1"/>
  <c r="G112" i="3" s="1"/>
  <c r="F112" i="3" a="1"/>
  <c r="F112" i="3" s="1"/>
  <c r="E112" i="3" a="1"/>
  <c r="E112" i="3" s="1"/>
  <c r="D112" i="3" a="1"/>
  <c r="D112" i="3" s="1"/>
  <c r="C112" i="3" a="1"/>
  <c r="C112" i="3" s="1"/>
  <c r="B112" i="3" a="1"/>
  <c r="B112" i="3" s="1"/>
  <c r="Z108" i="3" a="1"/>
  <c r="Z108" i="3" s="1"/>
  <c r="Y108" i="3" a="1"/>
  <c r="Y108" i="3" s="1"/>
  <c r="X108" i="3" a="1"/>
  <c r="X108" i="3" s="1"/>
  <c r="W108" i="3" a="1"/>
  <c r="W108" i="3" s="1"/>
  <c r="V108" i="3" a="1"/>
  <c r="V108" i="3" s="1"/>
  <c r="U108" i="3" a="1"/>
  <c r="U108" i="3" s="1"/>
  <c r="T108" i="3" a="1"/>
  <c r="T108" i="3" s="1"/>
  <c r="S108" i="3" a="1"/>
  <c r="S108" i="3" s="1"/>
  <c r="R108" i="3" a="1"/>
  <c r="R108" i="3" s="1"/>
  <c r="Q108" i="3" a="1"/>
  <c r="Q108" i="3" s="1"/>
  <c r="P108" i="3" a="1"/>
  <c r="P108" i="3" s="1"/>
  <c r="O108" i="3" a="1"/>
  <c r="O108" i="3" s="1"/>
  <c r="N108" i="3" a="1"/>
  <c r="N108" i="3" s="1"/>
  <c r="M108" i="3" a="1"/>
  <c r="M108" i="3" s="1"/>
  <c r="L108" i="3" a="1"/>
  <c r="L108" i="3" s="1"/>
  <c r="K108" i="3" a="1"/>
  <c r="K108" i="3" s="1"/>
  <c r="J108" i="3" a="1"/>
  <c r="J108" i="3" s="1"/>
  <c r="I108" i="3" a="1"/>
  <c r="I108" i="3" s="1"/>
  <c r="G108" i="3" a="1"/>
  <c r="G108" i="3" s="1"/>
  <c r="F108" i="3" a="1"/>
  <c r="F108" i="3" s="1"/>
  <c r="E108" i="3" a="1"/>
  <c r="E108" i="3" s="1"/>
  <c r="D108" i="3" a="1"/>
  <c r="D108" i="3" s="1"/>
  <c r="C108" i="3" a="1"/>
  <c r="C108" i="3" s="1"/>
  <c r="B108" i="3" a="1"/>
  <c r="B108" i="3" s="1"/>
  <c r="Z107" i="3" a="1"/>
  <c r="Z107" i="3" s="1"/>
  <c r="Y107" i="3" a="1"/>
  <c r="Y107" i="3" s="1"/>
  <c r="X107" i="3" a="1"/>
  <c r="X107" i="3" s="1"/>
  <c r="W107" i="3" a="1"/>
  <c r="W107" i="3" s="1"/>
  <c r="V107" i="3" a="1"/>
  <c r="V107" i="3" s="1"/>
  <c r="U107" i="3" a="1"/>
  <c r="U107" i="3" s="1"/>
  <c r="T107" i="3" a="1"/>
  <c r="T107" i="3" s="1"/>
  <c r="S107" i="3" a="1"/>
  <c r="S107" i="3" s="1"/>
  <c r="R107" i="3" a="1"/>
  <c r="R107" i="3" s="1"/>
  <c r="Q107" i="3" a="1"/>
  <c r="Q107" i="3" s="1"/>
  <c r="P107" i="3" a="1"/>
  <c r="P107" i="3" s="1"/>
  <c r="O107" i="3" a="1"/>
  <c r="O107" i="3" s="1"/>
  <c r="N107" i="3" a="1"/>
  <c r="N107" i="3" s="1"/>
  <c r="M107" i="3" a="1"/>
  <c r="M107" i="3" s="1"/>
  <c r="L107" i="3" a="1"/>
  <c r="L107" i="3" s="1"/>
  <c r="K107" i="3" a="1"/>
  <c r="K107" i="3" s="1"/>
  <c r="J107" i="3" a="1"/>
  <c r="J107" i="3" s="1"/>
  <c r="I107" i="3" a="1"/>
  <c r="I107" i="3" s="1"/>
  <c r="G107" i="3" a="1"/>
  <c r="G107" i="3" s="1"/>
  <c r="F107" i="3" a="1"/>
  <c r="F107" i="3" s="1"/>
  <c r="E107" i="3" a="1"/>
  <c r="E107" i="3" s="1"/>
  <c r="D107" i="3" a="1"/>
  <c r="D107" i="3" s="1"/>
  <c r="C107" i="3" a="1"/>
  <c r="C107" i="3" s="1"/>
  <c r="B107" i="3" a="1"/>
  <c r="B107" i="3" s="1"/>
  <c r="Z106" i="3" a="1"/>
  <c r="Z106" i="3" s="1"/>
  <c r="Y106" i="3" a="1"/>
  <c r="Y106" i="3" s="1"/>
  <c r="X106" i="3" a="1"/>
  <c r="X106" i="3" s="1"/>
  <c r="W106" i="3" a="1"/>
  <c r="W106" i="3" s="1"/>
  <c r="V106" i="3" a="1"/>
  <c r="V106" i="3" s="1"/>
  <c r="U106" i="3" a="1"/>
  <c r="U106" i="3" s="1"/>
  <c r="T106" i="3" a="1"/>
  <c r="T106" i="3" s="1"/>
  <c r="S106" i="3" a="1"/>
  <c r="S106" i="3" s="1"/>
  <c r="R106" i="3" a="1"/>
  <c r="R106" i="3" s="1"/>
  <c r="Q106" i="3" a="1"/>
  <c r="Q106" i="3" s="1"/>
  <c r="P106" i="3" a="1"/>
  <c r="P106" i="3" s="1"/>
  <c r="O106" i="3" a="1"/>
  <c r="O106" i="3" s="1"/>
  <c r="N106" i="3" a="1"/>
  <c r="N106" i="3" s="1"/>
  <c r="M106" i="3" a="1"/>
  <c r="M106" i="3" s="1"/>
  <c r="L106" i="3" a="1"/>
  <c r="L106" i="3" s="1"/>
  <c r="K106" i="3" a="1"/>
  <c r="K106" i="3" s="1"/>
  <c r="J106" i="3" a="1"/>
  <c r="J106" i="3" s="1"/>
  <c r="I106" i="3" a="1"/>
  <c r="I106" i="3" s="1"/>
  <c r="G106" i="3" a="1"/>
  <c r="G106" i="3" s="1"/>
  <c r="F106" i="3" a="1"/>
  <c r="F106" i="3" s="1"/>
  <c r="E106" i="3" a="1"/>
  <c r="E106" i="3" s="1"/>
  <c r="D106" i="3" a="1"/>
  <c r="D106" i="3" s="1"/>
  <c r="C106" i="3" a="1"/>
  <c r="C106" i="3" s="1"/>
  <c r="B106" i="3" a="1"/>
  <c r="B106" i="3" s="1"/>
  <c r="Z105" i="3" a="1"/>
  <c r="Z105" i="3" s="1"/>
  <c r="Y105" i="3" a="1"/>
  <c r="Y105" i="3" s="1"/>
  <c r="X105" i="3" a="1"/>
  <c r="X105" i="3" s="1"/>
  <c r="W105" i="3" a="1"/>
  <c r="W105" i="3" s="1"/>
  <c r="V105" i="3" a="1"/>
  <c r="V105" i="3" s="1"/>
  <c r="U105" i="3" a="1"/>
  <c r="U105" i="3" s="1"/>
  <c r="T105" i="3" a="1"/>
  <c r="T105" i="3" s="1"/>
  <c r="S105" i="3" a="1"/>
  <c r="S105" i="3" s="1"/>
  <c r="R105" i="3" a="1"/>
  <c r="R105" i="3" s="1"/>
  <c r="Q105" i="3" a="1"/>
  <c r="Q105" i="3" s="1"/>
  <c r="P105" i="3" a="1"/>
  <c r="P105" i="3" s="1"/>
  <c r="O105" i="3" a="1"/>
  <c r="O105" i="3" s="1"/>
  <c r="N105" i="3" a="1"/>
  <c r="N105" i="3" s="1"/>
  <c r="M105" i="3" a="1"/>
  <c r="M105" i="3" s="1"/>
  <c r="L105" i="3" a="1"/>
  <c r="L105" i="3" s="1"/>
  <c r="K105" i="3" a="1"/>
  <c r="K105" i="3" s="1"/>
  <c r="J105" i="3" a="1"/>
  <c r="J105" i="3" s="1"/>
  <c r="I105" i="3" a="1"/>
  <c r="I105" i="3" s="1"/>
  <c r="G105" i="3" a="1"/>
  <c r="G105" i="3" s="1"/>
  <c r="F105" i="3" a="1"/>
  <c r="F105" i="3" s="1"/>
  <c r="E105" i="3" a="1"/>
  <c r="E105" i="3" s="1"/>
  <c r="D105" i="3" a="1"/>
  <c r="D105" i="3" s="1"/>
  <c r="C105" i="3" a="1"/>
  <c r="C105" i="3" s="1"/>
  <c r="B105" i="3" a="1"/>
  <c r="B105" i="3" s="1"/>
  <c r="Z104" i="3" a="1"/>
  <c r="Z104" i="3" s="1"/>
  <c r="Y104" i="3" a="1"/>
  <c r="Y104" i="3" s="1"/>
  <c r="X104" i="3" a="1"/>
  <c r="X104" i="3" s="1"/>
  <c r="W104" i="3" a="1"/>
  <c r="W104" i="3" s="1"/>
  <c r="V104" i="3" a="1"/>
  <c r="V104" i="3" s="1"/>
  <c r="U104" i="3" a="1"/>
  <c r="U104" i="3" s="1"/>
  <c r="T104" i="3" a="1"/>
  <c r="T104" i="3" s="1"/>
  <c r="S104" i="3" a="1"/>
  <c r="S104" i="3" s="1"/>
  <c r="R104" i="3" a="1"/>
  <c r="R104" i="3" s="1"/>
  <c r="Q104" i="3" a="1"/>
  <c r="Q104" i="3" s="1"/>
  <c r="P104" i="3" a="1"/>
  <c r="P104" i="3" s="1"/>
  <c r="O104" i="3" a="1"/>
  <c r="O104" i="3" s="1"/>
  <c r="N104" i="3" a="1"/>
  <c r="N104" i="3" s="1"/>
  <c r="M104" i="3" a="1"/>
  <c r="M104" i="3" s="1"/>
  <c r="L104" i="3" a="1"/>
  <c r="L104" i="3" s="1"/>
  <c r="K104" i="3" a="1"/>
  <c r="K104" i="3" s="1"/>
  <c r="J104" i="3" a="1"/>
  <c r="J104" i="3" s="1"/>
  <c r="I104" i="3" a="1"/>
  <c r="I104" i="3" s="1"/>
  <c r="G104" i="3" a="1"/>
  <c r="G104" i="3" s="1"/>
  <c r="F104" i="3" a="1"/>
  <c r="F104" i="3" s="1"/>
  <c r="E104" i="3" a="1"/>
  <c r="E104" i="3" s="1"/>
  <c r="D104" i="3" a="1"/>
  <c r="D104" i="3" s="1"/>
  <c r="C104" i="3" a="1"/>
  <c r="C104" i="3" s="1"/>
  <c r="B104" i="3" a="1"/>
  <c r="B104" i="3" s="1"/>
  <c r="Z103" i="3" a="1"/>
  <c r="Z103" i="3" s="1"/>
  <c r="Y103" i="3" a="1"/>
  <c r="Y103" i="3" s="1"/>
  <c r="X103" i="3" a="1"/>
  <c r="X103" i="3" s="1"/>
  <c r="W103" i="3" a="1"/>
  <c r="W103" i="3" s="1"/>
  <c r="V103" i="3" a="1"/>
  <c r="V103" i="3" s="1"/>
  <c r="U103" i="3" a="1"/>
  <c r="U103" i="3" s="1"/>
  <c r="T103" i="3" a="1"/>
  <c r="T103" i="3" s="1"/>
  <c r="S103" i="3" a="1"/>
  <c r="S103" i="3" s="1"/>
  <c r="R103" i="3" a="1"/>
  <c r="R103" i="3" s="1"/>
  <c r="Q103" i="3" a="1"/>
  <c r="Q103" i="3" s="1"/>
  <c r="P103" i="3" a="1"/>
  <c r="P103" i="3" s="1"/>
  <c r="O103" i="3" a="1"/>
  <c r="O103" i="3" s="1"/>
  <c r="N103" i="3" a="1"/>
  <c r="N103" i="3" s="1"/>
  <c r="M103" i="3" a="1"/>
  <c r="M103" i="3" s="1"/>
  <c r="L103" i="3" a="1"/>
  <c r="L103" i="3" s="1"/>
  <c r="K103" i="3" a="1"/>
  <c r="K103" i="3" s="1"/>
  <c r="J103" i="3" a="1"/>
  <c r="J103" i="3" s="1"/>
  <c r="I103" i="3" a="1"/>
  <c r="I103" i="3" s="1"/>
  <c r="G103" i="3" a="1"/>
  <c r="G103" i="3" s="1"/>
  <c r="F103" i="3" a="1"/>
  <c r="F103" i="3" s="1"/>
  <c r="E103" i="3" a="1"/>
  <c r="E103" i="3" s="1"/>
  <c r="D103" i="3" a="1"/>
  <c r="D103" i="3" s="1"/>
  <c r="C103" i="3" a="1"/>
  <c r="C103" i="3" s="1"/>
  <c r="B103" i="3" a="1"/>
  <c r="B103" i="3" s="1"/>
  <c r="Z102" i="3" a="1"/>
  <c r="Z102" i="3" s="1"/>
  <c r="Y102" i="3" a="1"/>
  <c r="Y102" i="3" s="1"/>
  <c r="X102" i="3" a="1"/>
  <c r="X102" i="3" s="1"/>
  <c r="W102" i="3" a="1"/>
  <c r="W102" i="3" s="1"/>
  <c r="V102" i="3" a="1"/>
  <c r="V102" i="3" s="1"/>
  <c r="U102" i="3" a="1"/>
  <c r="U102" i="3" s="1"/>
  <c r="T102" i="3" a="1"/>
  <c r="T102" i="3" s="1"/>
  <c r="S102" i="3" a="1"/>
  <c r="S102" i="3" s="1"/>
  <c r="R102" i="3" a="1"/>
  <c r="R102" i="3" s="1"/>
  <c r="Q102" i="3" a="1"/>
  <c r="Q102" i="3" s="1"/>
  <c r="P102" i="3" a="1"/>
  <c r="P102" i="3" s="1"/>
  <c r="O102" i="3" a="1"/>
  <c r="O102" i="3" s="1"/>
  <c r="N102" i="3" a="1"/>
  <c r="N102" i="3" s="1"/>
  <c r="M102" i="3" a="1"/>
  <c r="M102" i="3" s="1"/>
  <c r="L102" i="3" a="1"/>
  <c r="L102" i="3" s="1"/>
  <c r="K102" i="3" a="1"/>
  <c r="K102" i="3" s="1"/>
  <c r="J102" i="3" a="1"/>
  <c r="J102" i="3" s="1"/>
  <c r="I102" i="3" a="1"/>
  <c r="I102" i="3" s="1"/>
  <c r="G102" i="3" a="1"/>
  <c r="G102" i="3" s="1"/>
  <c r="F102" i="3" a="1"/>
  <c r="F102" i="3" s="1"/>
  <c r="E102" i="3" a="1"/>
  <c r="E102" i="3" s="1"/>
  <c r="D102" i="3" a="1"/>
  <c r="D102" i="3" s="1"/>
  <c r="C102" i="3" a="1"/>
  <c r="C102" i="3" s="1"/>
  <c r="B102" i="3" a="1"/>
  <c r="B102" i="3" s="1"/>
  <c r="Z101" i="3" a="1"/>
  <c r="Z101" i="3" s="1"/>
  <c r="Y101" i="3" a="1"/>
  <c r="Y101" i="3" s="1"/>
  <c r="X101" i="3" a="1"/>
  <c r="X101" i="3" s="1"/>
  <c r="W101" i="3" a="1"/>
  <c r="W101" i="3" s="1"/>
  <c r="V101" i="3" a="1"/>
  <c r="V101" i="3" s="1"/>
  <c r="U101" i="3" a="1"/>
  <c r="U101" i="3" s="1"/>
  <c r="T101" i="3" a="1"/>
  <c r="T101" i="3" s="1"/>
  <c r="S101" i="3" a="1"/>
  <c r="S101" i="3" s="1"/>
  <c r="R101" i="3" a="1"/>
  <c r="R101" i="3" s="1"/>
  <c r="Q101" i="3" a="1"/>
  <c r="Q101" i="3" s="1"/>
  <c r="P101" i="3" a="1"/>
  <c r="P101" i="3" s="1"/>
  <c r="O101" i="3" a="1"/>
  <c r="O101" i="3" s="1"/>
  <c r="N101" i="3" a="1"/>
  <c r="N101" i="3" s="1"/>
  <c r="M101" i="3" a="1"/>
  <c r="M101" i="3" s="1"/>
  <c r="L101" i="3" a="1"/>
  <c r="L101" i="3" s="1"/>
  <c r="K101" i="3" a="1"/>
  <c r="K101" i="3" s="1"/>
  <c r="J101" i="3" a="1"/>
  <c r="J101" i="3" s="1"/>
  <c r="I101" i="3" a="1"/>
  <c r="I101" i="3" s="1"/>
  <c r="G101" i="3" a="1"/>
  <c r="G101" i="3" s="1"/>
  <c r="F101" i="3" a="1"/>
  <c r="F101" i="3" s="1"/>
  <c r="E101" i="3" a="1"/>
  <c r="E101" i="3" s="1"/>
  <c r="D101" i="3" a="1"/>
  <c r="D101" i="3" s="1"/>
  <c r="C101" i="3" a="1"/>
  <c r="C101" i="3" s="1"/>
  <c r="B101" i="3" a="1"/>
  <c r="B101" i="3" s="1"/>
  <c r="Z100" i="3" a="1"/>
  <c r="Z100" i="3" s="1"/>
  <c r="Y100" i="3" a="1"/>
  <c r="Y100" i="3" s="1"/>
  <c r="X100" i="3" a="1"/>
  <c r="X100" i="3" s="1"/>
  <c r="W100" i="3" a="1"/>
  <c r="W100" i="3" s="1"/>
  <c r="V100" i="3" a="1"/>
  <c r="V100" i="3" s="1"/>
  <c r="U100" i="3" a="1"/>
  <c r="U100" i="3" s="1"/>
  <c r="T100" i="3" a="1"/>
  <c r="T100" i="3" s="1"/>
  <c r="S100" i="3" a="1"/>
  <c r="S100" i="3" s="1"/>
  <c r="R100" i="3" a="1"/>
  <c r="R100" i="3" s="1"/>
  <c r="Q100" i="3" a="1"/>
  <c r="Q100" i="3" s="1"/>
  <c r="P100" i="3" a="1"/>
  <c r="P100" i="3" s="1"/>
  <c r="O100" i="3" a="1"/>
  <c r="O100" i="3" s="1"/>
  <c r="N100" i="3" a="1"/>
  <c r="N100" i="3" s="1"/>
  <c r="M100" i="3" a="1"/>
  <c r="M100" i="3" s="1"/>
  <c r="L100" i="3" a="1"/>
  <c r="L100" i="3" s="1"/>
  <c r="K100" i="3" a="1"/>
  <c r="K100" i="3" s="1"/>
  <c r="J100" i="3" a="1"/>
  <c r="J100" i="3" s="1"/>
  <c r="I100" i="3" a="1"/>
  <c r="I100" i="3" s="1"/>
  <c r="G100" i="3" a="1"/>
  <c r="G100" i="3" s="1"/>
  <c r="F100" i="3" a="1"/>
  <c r="F100" i="3" s="1"/>
  <c r="E100" i="3" a="1"/>
  <c r="E100" i="3" s="1"/>
  <c r="D100" i="3" a="1"/>
  <c r="D100" i="3" s="1"/>
  <c r="C100" i="3" a="1"/>
  <c r="C100" i="3" s="1"/>
  <c r="B100" i="3" a="1"/>
  <c r="B100" i="3" s="1"/>
  <c r="Z99" i="3" a="1"/>
  <c r="Z99" i="3" s="1"/>
  <c r="Y99" i="3" a="1"/>
  <c r="Y99" i="3" s="1"/>
  <c r="X99" i="3" a="1"/>
  <c r="X99" i="3" s="1"/>
  <c r="W99" i="3" a="1"/>
  <c r="W99" i="3" s="1"/>
  <c r="V99" i="3" a="1"/>
  <c r="V99" i="3" s="1"/>
  <c r="U99" i="3" a="1"/>
  <c r="U99" i="3" s="1"/>
  <c r="T99" i="3" a="1"/>
  <c r="T99" i="3" s="1"/>
  <c r="S99" i="3" a="1"/>
  <c r="S99" i="3" s="1"/>
  <c r="R99" i="3" a="1"/>
  <c r="R99" i="3" s="1"/>
  <c r="Q99" i="3" a="1"/>
  <c r="Q99" i="3" s="1"/>
  <c r="P99" i="3" a="1"/>
  <c r="P99" i="3" s="1"/>
  <c r="O99" i="3" a="1"/>
  <c r="O99" i="3" s="1"/>
  <c r="N99" i="3" a="1"/>
  <c r="N99" i="3" s="1"/>
  <c r="M99" i="3" a="1"/>
  <c r="M99" i="3" s="1"/>
  <c r="L99" i="3" a="1"/>
  <c r="L99" i="3" s="1"/>
  <c r="K99" i="3" a="1"/>
  <c r="K99" i="3" s="1"/>
  <c r="J99" i="3" a="1"/>
  <c r="J99" i="3" s="1"/>
  <c r="I99" i="3" a="1"/>
  <c r="I99" i="3" s="1"/>
  <c r="G99" i="3" a="1"/>
  <c r="G99" i="3" s="1"/>
  <c r="F99" i="3" a="1"/>
  <c r="F99" i="3" s="1"/>
  <c r="E99" i="3" a="1"/>
  <c r="E99" i="3" s="1"/>
  <c r="D99" i="3" a="1"/>
  <c r="D99" i="3" s="1"/>
  <c r="C99" i="3" a="1"/>
  <c r="C99" i="3" s="1"/>
  <c r="B99" i="3" a="1"/>
  <c r="B99" i="3" s="1"/>
  <c r="Z98" i="3" a="1"/>
  <c r="Z98" i="3" s="1"/>
  <c r="Y98" i="3" a="1"/>
  <c r="Y98" i="3" s="1"/>
  <c r="X98" i="3" a="1"/>
  <c r="X98" i="3" s="1"/>
  <c r="W98" i="3" a="1"/>
  <c r="W98" i="3" s="1"/>
  <c r="V98" i="3" a="1"/>
  <c r="V98" i="3" s="1"/>
  <c r="U98" i="3" a="1"/>
  <c r="U98" i="3" s="1"/>
  <c r="T98" i="3" a="1"/>
  <c r="T98" i="3" s="1"/>
  <c r="S98" i="3" a="1"/>
  <c r="S98" i="3" s="1"/>
  <c r="R98" i="3" a="1"/>
  <c r="R98" i="3" s="1"/>
  <c r="Q98" i="3" a="1"/>
  <c r="Q98" i="3" s="1"/>
  <c r="P98" i="3" a="1"/>
  <c r="P98" i="3" s="1"/>
  <c r="O98" i="3" a="1"/>
  <c r="O98" i="3" s="1"/>
  <c r="N98" i="3" a="1"/>
  <c r="N98" i="3" s="1"/>
  <c r="M98" i="3" a="1"/>
  <c r="M98" i="3" s="1"/>
  <c r="L98" i="3" a="1"/>
  <c r="L98" i="3" s="1"/>
  <c r="K98" i="3" a="1"/>
  <c r="K98" i="3" s="1"/>
  <c r="J98" i="3" a="1"/>
  <c r="J98" i="3" s="1"/>
  <c r="I98" i="3" a="1"/>
  <c r="I98" i="3" s="1"/>
  <c r="G98" i="3" a="1"/>
  <c r="G98" i="3" s="1"/>
  <c r="F98" i="3" a="1"/>
  <c r="F98" i="3" s="1"/>
  <c r="E98" i="3" a="1"/>
  <c r="E98" i="3" s="1"/>
  <c r="D98" i="3" a="1"/>
  <c r="D98" i="3" s="1"/>
  <c r="C98" i="3" a="1"/>
  <c r="C98" i="3" s="1"/>
  <c r="B98" i="3" a="1"/>
  <c r="B98" i="3" s="1"/>
  <c r="Z97" i="3" a="1"/>
  <c r="Z97" i="3" s="1"/>
  <c r="Y97" i="3" a="1"/>
  <c r="Y97" i="3" s="1"/>
  <c r="X97" i="3" a="1"/>
  <c r="X97" i="3" s="1"/>
  <c r="W97" i="3" a="1"/>
  <c r="W97" i="3" s="1"/>
  <c r="V97" i="3" a="1"/>
  <c r="V97" i="3" s="1"/>
  <c r="U97" i="3" a="1"/>
  <c r="U97" i="3" s="1"/>
  <c r="T97" i="3" a="1"/>
  <c r="T97" i="3" s="1"/>
  <c r="S97" i="3" a="1"/>
  <c r="S97" i="3" s="1"/>
  <c r="R97" i="3" a="1"/>
  <c r="R97" i="3" s="1"/>
  <c r="Q97" i="3" a="1"/>
  <c r="Q97" i="3" s="1"/>
  <c r="P97" i="3" a="1"/>
  <c r="P97" i="3" s="1"/>
  <c r="O97" i="3" a="1"/>
  <c r="O97" i="3" s="1"/>
  <c r="N97" i="3" a="1"/>
  <c r="N97" i="3" s="1"/>
  <c r="M97" i="3" a="1"/>
  <c r="M97" i="3" s="1"/>
  <c r="L97" i="3" a="1"/>
  <c r="L97" i="3" s="1"/>
  <c r="K97" i="3" a="1"/>
  <c r="K97" i="3" s="1"/>
  <c r="J97" i="3" a="1"/>
  <c r="J97" i="3" s="1"/>
  <c r="I97" i="3" a="1"/>
  <c r="I97" i="3" s="1"/>
  <c r="G97" i="3" a="1"/>
  <c r="G97" i="3" s="1"/>
  <c r="F97" i="3" a="1"/>
  <c r="F97" i="3" s="1"/>
  <c r="E97" i="3" a="1"/>
  <c r="E97" i="3" s="1"/>
  <c r="D97" i="3" a="1"/>
  <c r="D97" i="3" s="1"/>
  <c r="C97" i="3" a="1"/>
  <c r="C97" i="3" s="1"/>
  <c r="B97" i="3" a="1"/>
  <c r="B97" i="3" s="1"/>
  <c r="Z96" i="3" a="1"/>
  <c r="Z96" i="3" s="1"/>
  <c r="Y96" i="3" a="1"/>
  <c r="Y96" i="3" s="1"/>
  <c r="X96" i="3" a="1"/>
  <c r="X96" i="3" s="1"/>
  <c r="W96" i="3" a="1"/>
  <c r="W96" i="3" s="1"/>
  <c r="V96" i="3" a="1"/>
  <c r="V96" i="3" s="1"/>
  <c r="U96" i="3" a="1"/>
  <c r="U96" i="3" s="1"/>
  <c r="T96" i="3" a="1"/>
  <c r="T96" i="3" s="1"/>
  <c r="S96" i="3" a="1"/>
  <c r="S96" i="3" s="1"/>
  <c r="R96" i="3" a="1"/>
  <c r="R96" i="3" s="1"/>
  <c r="Q96" i="3" a="1"/>
  <c r="Q96" i="3" s="1"/>
  <c r="P96" i="3" a="1"/>
  <c r="P96" i="3" s="1"/>
  <c r="O96" i="3" a="1"/>
  <c r="O96" i="3" s="1"/>
  <c r="N96" i="3" a="1"/>
  <c r="N96" i="3" s="1"/>
  <c r="M96" i="3" a="1"/>
  <c r="M96" i="3" s="1"/>
  <c r="L96" i="3" a="1"/>
  <c r="L96" i="3" s="1"/>
  <c r="K96" i="3" a="1"/>
  <c r="K96" i="3" s="1"/>
  <c r="J96" i="3" a="1"/>
  <c r="J96" i="3" s="1"/>
  <c r="I96" i="3" a="1"/>
  <c r="I96" i="3" s="1"/>
  <c r="G96" i="3" a="1"/>
  <c r="G96" i="3" s="1"/>
  <c r="F96" i="3" a="1"/>
  <c r="F96" i="3" s="1"/>
  <c r="E96" i="3" a="1"/>
  <c r="E96" i="3" s="1"/>
  <c r="D96" i="3" a="1"/>
  <c r="D96" i="3" s="1"/>
  <c r="C96" i="3" a="1"/>
  <c r="C96" i="3" s="1"/>
  <c r="B96" i="3" a="1"/>
  <c r="B96" i="3" s="1"/>
  <c r="Z95" i="3" a="1"/>
  <c r="Z95" i="3" s="1"/>
  <c r="Y95" i="3" a="1"/>
  <c r="Y95" i="3" s="1"/>
  <c r="X95" i="3" a="1"/>
  <c r="X95" i="3" s="1"/>
  <c r="W95" i="3" a="1"/>
  <c r="W95" i="3" s="1"/>
  <c r="V95" i="3" a="1"/>
  <c r="V95" i="3" s="1"/>
  <c r="U95" i="3" a="1"/>
  <c r="U95" i="3" s="1"/>
  <c r="T95" i="3" a="1"/>
  <c r="T95" i="3" s="1"/>
  <c r="S95" i="3" a="1"/>
  <c r="S95" i="3" s="1"/>
  <c r="R95" i="3" a="1"/>
  <c r="R95" i="3" s="1"/>
  <c r="Q95" i="3" a="1"/>
  <c r="Q95" i="3" s="1"/>
  <c r="P95" i="3" a="1"/>
  <c r="P95" i="3" s="1"/>
  <c r="O95" i="3" a="1"/>
  <c r="O95" i="3" s="1"/>
  <c r="N95" i="3" a="1"/>
  <c r="N95" i="3" s="1"/>
  <c r="M95" i="3" a="1"/>
  <c r="M95" i="3" s="1"/>
  <c r="L95" i="3" a="1"/>
  <c r="L95" i="3" s="1"/>
  <c r="K95" i="3" a="1"/>
  <c r="K95" i="3" s="1"/>
  <c r="J95" i="3" a="1"/>
  <c r="J95" i="3" s="1"/>
  <c r="I95" i="3" a="1"/>
  <c r="I95" i="3" s="1"/>
  <c r="G95" i="3" a="1"/>
  <c r="G95" i="3" s="1"/>
  <c r="F95" i="3" a="1"/>
  <c r="F95" i="3" s="1"/>
  <c r="E95" i="3" a="1"/>
  <c r="E95" i="3" s="1"/>
  <c r="D95" i="3" a="1"/>
  <c r="D95" i="3" s="1"/>
  <c r="C95" i="3" a="1"/>
  <c r="C95" i="3" s="1"/>
  <c r="B95" i="3" a="1"/>
  <c r="B95" i="3" s="1"/>
  <c r="Z94" i="3" a="1"/>
  <c r="Z94" i="3" s="1"/>
  <c r="Y94" i="3" a="1"/>
  <c r="Y94" i="3" s="1"/>
  <c r="X94" i="3" a="1"/>
  <c r="X94" i="3" s="1"/>
  <c r="W94" i="3" a="1"/>
  <c r="W94" i="3" s="1"/>
  <c r="V94" i="3" a="1"/>
  <c r="V94" i="3" s="1"/>
  <c r="U94" i="3" a="1"/>
  <c r="U94" i="3" s="1"/>
  <c r="T94" i="3" a="1"/>
  <c r="T94" i="3" s="1"/>
  <c r="S94" i="3" a="1"/>
  <c r="S94" i="3" s="1"/>
  <c r="R94" i="3" a="1"/>
  <c r="R94" i="3" s="1"/>
  <c r="Q94" i="3" a="1"/>
  <c r="Q94" i="3" s="1"/>
  <c r="P94" i="3" a="1"/>
  <c r="P94" i="3" s="1"/>
  <c r="O94" i="3" a="1"/>
  <c r="O94" i="3" s="1"/>
  <c r="N94" i="3" a="1"/>
  <c r="N94" i="3" s="1"/>
  <c r="M94" i="3" a="1"/>
  <c r="M94" i="3" s="1"/>
  <c r="L94" i="3" a="1"/>
  <c r="L94" i="3" s="1"/>
  <c r="K94" i="3" a="1"/>
  <c r="K94" i="3" s="1"/>
  <c r="J94" i="3" a="1"/>
  <c r="J94" i="3" s="1"/>
  <c r="I94" i="3" a="1"/>
  <c r="I94" i="3" s="1"/>
  <c r="G94" i="3" a="1"/>
  <c r="G94" i="3" s="1"/>
  <c r="F94" i="3" a="1"/>
  <c r="F94" i="3" s="1"/>
  <c r="E94" i="3" a="1"/>
  <c r="E94" i="3" s="1"/>
  <c r="D94" i="3" a="1"/>
  <c r="D94" i="3" s="1"/>
  <c r="C94" i="3" a="1"/>
  <c r="C94" i="3" s="1"/>
  <c r="B94" i="3" a="1"/>
  <c r="B94" i="3" s="1"/>
  <c r="Z93" i="3" a="1"/>
  <c r="Z93" i="3" s="1"/>
  <c r="Y93" i="3" a="1"/>
  <c r="Y93" i="3" s="1"/>
  <c r="X93" i="3" a="1"/>
  <c r="X93" i="3" s="1"/>
  <c r="W93" i="3" a="1"/>
  <c r="W93" i="3" s="1"/>
  <c r="V93" i="3" a="1"/>
  <c r="V93" i="3" s="1"/>
  <c r="U93" i="3" a="1"/>
  <c r="U93" i="3" s="1"/>
  <c r="T93" i="3" a="1"/>
  <c r="T93" i="3" s="1"/>
  <c r="S93" i="3" a="1"/>
  <c r="S93" i="3" s="1"/>
  <c r="R93" i="3" a="1"/>
  <c r="R93" i="3" s="1"/>
  <c r="Q93" i="3" a="1"/>
  <c r="Q93" i="3" s="1"/>
  <c r="P93" i="3" a="1"/>
  <c r="P93" i="3" s="1"/>
  <c r="O93" i="3" a="1"/>
  <c r="O93" i="3" s="1"/>
  <c r="N93" i="3" a="1"/>
  <c r="N93" i="3" s="1"/>
  <c r="M93" i="3" a="1"/>
  <c r="M93" i="3" s="1"/>
  <c r="L93" i="3" a="1"/>
  <c r="L93" i="3" s="1"/>
  <c r="K93" i="3" a="1"/>
  <c r="K93" i="3" s="1"/>
  <c r="J93" i="3" a="1"/>
  <c r="J93" i="3" s="1"/>
  <c r="I93" i="3" a="1"/>
  <c r="I93" i="3" s="1"/>
  <c r="G93" i="3" a="1"/>
  <c r="G93" i="3" s="1"/>
  <c r="F93" i="3" a="1"/>
  <c r="F93" i="3" s="1"/>
  <c r="E93" i="3" a="1"/>
  <c r="E93" i="3" s="1"/>
  <c r="D93" i="3" a="1"/>
  <c r="D93" i="3" s="1"/>
  <c r="C93" i="3" a="1"/>
  <c r="C93" i="3" s="1"/>
  <c r="B93" i="3" a="1"/>
  <c r="B93" i="3" s="1"/>
  <c r="Z92" i="3" a="1"/>
  <c r="Z92" i="3" s="1"/>
  <c r="Y92" i="3" a="1"/>
  <c r="Y92" i="3" s="1"/>
  <c r="X92" i="3" a="1"/>
  <c r="X92" i="3" s="1"/>
  <c r="W92" i="3" a="1"/>
  <c r="W92" i="3" s="1"/>
  <c r="V92" i="3" a="1"/>
  <c r="V92" i="3" s="1"/>
  <c r="U92" i="3" a="1"/>
  <c r="U92" i="3" s="1"/>
  <c r="T92" i="3" a="1"/>
  <c r="T92" i="3" s="1"/>
  <c r="S92" i="3" a="1"/>
  <c r="S92" i="3" s="1"/>
  <c r="R92" i="3" a="1"/>
  <c r="R92" i="3" s="1"/>
  <c r="Q92" i="3" a="1"/>
  <c r="Q92" i="3" s="1"/>
  <c r="P92" i="3" a="1"/>
  <c r="P92" i="3" s="1"/>
  <c r="O92" i="3" a="1"/>
  <c r="O92" i="3" s="1"/>
  <c r="N92" i="3" a="1"/>
  <c r="N92" i="3" s="1"/>
  <c r="M92" i="3" a="1"/>
  <c r="M92" i="3" s="1"/>
  <c r="L92" i="3" a="1"/>
  <c r="L92" i="3" s="1"/>
  <c r="K92" i="3" a="1"/>
  <c r="K92" i="3" s="1"/>
  <c r="J92" i="3" a="1"/>
  <c r="J92" i="3" s="1"/>
  <c r="I92" i="3" a="1"/>
  <c r="I92" i="3" s="1"/>
  <c r="G92" i="3" a="1"/>
  <c r="G92" i="3" s="1"/>
  <c r="F92" i="3" a="1"/>
  <c r="F92" i="3" s="1"/>
  <c r="E92" i="3" a="1"/>
  <c r="E92" i="3" s="1"/>
  <c r="D92" i="3" a="1"/>
  <c r="D92" i="3" s="1"/>
  <c r="C92" i="3" a="1"/>
  <c r="C92" i="3" s="1"/>
  <c r="B92" i="3" a="1"/>
  <c r="B92" i="3" s="1"/>
  <c r="Z91" i="3" a="1"/>
  <c r="Z91" i="3" s="1"/>
  <c r="Y91" i="3" a="1"/>
  <c r="Y91" i="3" s="1"/>
  <c r="X91" i="3" a="1"/>
  <c r="X91" i="3" s="1"/>
  <c r="W91" i="3" a="1"/>
  <c r="W91" i="3" s="1"/>
  <c r="V91" i="3" a="1"/>
  <c r="V91" i="3" s="1"/>
  <c r="U91" i="3" a="1"/>
  <c r="U91" i="3" s="1"/>
  <c r="T91" i="3" a="1"/>
  <c r="T91" i="3" s="1"/>
  <c r="S91" i="3" a="1"/>
  <c r="S91" i="3" s="1"/>
  <c r="R91" i="3" a="1"/>
  <c r="R91" i="3" s="1"/>
  <c r="Q91" i="3" a="1"/>
  <c r="Q91" i="3" s="1"/>
  <c r="P91" i="3" a="1"/>
  <c r="P91" i="3" s="1"/>
  <c r="O91" i="3" a="1"/>
  <c r="O91" i="3" s="1"/>
  <c r="N91" i="3" a="1"/>
  <c r="N91" i="3" s="1"/>
  <c r="M91" i="3" a="1"/>
  <c r="M91" i="3" s="1"/>
  <c r="L91" i="3" a="1"/>
  <c r="L91" i="3" s="1"/>
  <c r="K91" i="3" a="1"/>
  <c r="K91" i="3" s="1"/>
  <c r="J91" i="3" a="1"/>
  <c r="J91" i="3" s="1"/>
  <c r="I91" i="3" a="1"/>
  <c r="I91" i="3" s="1"/>
  <c r="G91" i="3" a="1"/>
  <c r="G91" i="3" s="1"/>
  <c r="F91" i="3" a="1"/>
  <c r="F91" i="3" s="1"/>
  <c r="E91" i="3" a="1"/>
  <c r="E91" i="3" s="1"/>
  <c r="D91" i="3" a="1"/>
  <c r="D91" i="3" s="1"/>
  <c r="C91" i="3" a="1"/>
  <c r="C91" i="3" s="1"/>
  <c r="B91" i="3" a="1"/>
  <c r="B91" i="3" s="1"/>
  <c r="Z90" i="3" a="1"/>
  <c r="Z90" i="3" s="1"/>
  <c r="Y90" i="3" a="1"/>
  <c r="Y90" i="3" s="1"/>
  <c r="X90" i="3" a="1"/>
  <c r="X90" i="3" s="1"/>
  <c r="W90" i="3" a="1"/>
  <c r="W90" i="3" s="1"/>
  <c r="V90" i="3" a="1"/>
  <c r="V90" i="3" s="1"/>
  <c r="U90" i="3" a="1"/>
  <c r="U90" i="3" s="1"/>
  <c r="T90" i="3" a="1"/>
  <c r="T90" i="3" s="1"/>
  <c r="S90" i="3" a="1"/>
  <c r="S90" i="3" s="1"/>
  <c r="R90" i="3" a="1"/>
  <c r="R90" i="3" s="1"/>
  <c r="Q90" i="3" a="1"/>
  <c r="Q90" i="3" s="1"/>
  <c r="P90" i="3" a="1"/>
  <c r="P90" i="3" s="1"/>
  <c r="O90" i="3" a="1"/>
  <c r="O90" i="3" s="1"/>
  <c r="N90" i="3" a="1"/>
  <c r="N90" i="3" s="1"/>
  <c r="M90" i="3" a="1"/>
  <c r="M90" i="3" s="1"/>
  <c r="L90" i="3" a="1"/>
  <c r="L90" i="3" s="1"/>
  <c r="K90" i="3" a="1"/>
  <c r="K90" i="3" s="1"/>
  <c r="J90" i="3" a="1"/>
  <c r="J90" i="3" s="1"/>
  <c r="I90" i="3" a="1"/>
  <c r="I90" i="3" s="1"/>
  <c r="G90" i="3" a="1"/>
  <c r="G90" i="3" s="1"/>
  <c r="F90" i="3" a="1"/>
  <c r="F90" i="3" s="1"/>
  <c r="E90" i="3" a="1"/>
  <c r="E90" i="3" s="1"/>
  <c r="D90" i="3" a="1"/>
  <c r="D90" i="3" s="1"/>
  <c r="C90" i="3" a="1"/>
  <c r="C90" i="3" s="1"/>
  <c r="B90" i="3" a="1"/>
  <c r="B90" i="3" s="1"/>
  <c r="Z89" i="3" a="1"/>
  <c r="Z89" i="3" s="1"/>
  <c r="Y89" i="3" a="1"/>
  <c r="Y89" i="3" s="1"/>
  <c r="X89" i="3" a="1"/>
  <c r="X89" i="3" s="1"/>
  <c r="W89" i="3" a="1"/>
  <c r="W89" i="3" s="1"/>
  <c r="V89" i="3" a="1"/>
  <c r="V89" i="3" s="1"/>
  <c r="U89" i="3" a="1"/>
  <c r="U89" i="3" s="1"/>
  <c r="T89" i="3" a="1"/>
  <c r="T89" i="3" s="1"/>
  <c r="S89" i="3" a="1"/>
  <c r="S89" i="3" s="1"/>
  <c r="R89" i="3" a="1"/>
  <c r="R89" i="3" s="1"/>
  <c r="Q89" i="3" a="1"/>
  <c r="Q89" i="3" s="1"/>
  <c r="P89" i="3" a="1"/>
  <c r="P89" i="3" s="1"/>
  <c r="O89" i="3" a="1"/>
  <c r="O89" i="3" s="1"/>
  <c r="N89" i="3" a="1"/>
  <c r="N89" i="3" s="1"/>
  <c r="M89" i="3" a="1"/>
  <c r="M89" i="3" s="1"/>
  <c r="L89" i="3" a="1"/>
  <c r="L89" i="3" s="1"/>
  <c r="K89" i="3" a="1"/>
  <c r="K89" i="3" s="1"/>
  <c r="J89" i="3" a="1"/>
  <c r="J89" i="3" s="1"/>
  <c r="I89" i="3" a="1"/>
  <c r="I89" i="3" s="1"/>
  <c r="G89" i="3" a="1"/>
  <c r="G89" i="3" s="1"/>
  <c r="F89" i="3" a="1"/>
  <c r="F89" i="3" s="1"/>
  <c r="E89" i="3" a="1"/>
  <c r="E89" i="3" s="1"/>
  <c r="D89" i="3" a="1"/>
  <c r="D89" i="3" s="1"/>
  <c r="C89" i="3" a="1"/>
  <c r="C89" i="3" s="1"/>
  <c r="B89" i="3" a="1"/>
  <c r="B89" i="3" s="1"/>
  <c r="Q85" i="3" a="1"/>
  <c r="Q85" i="3" s="1"/>
  <c r="P85" i="3" a="1"/>
  <c r="P85" i="3" s="1"/>
  <c r="O85" i="3" a="1"/>
  <c r="O85" i="3" s="1"/>
  <c r="N85" i="3" a="1"/>
  <c r="N85" i="3" s="1"/>
  <c r="M85" i="3" a="1"/>
  <c r="M85" i="3" s="1"/>
  <c r="L85" i="3" a="1"/>
  <c r="L85" i="3" s="1"/>
  <c r="K85" i="3" a="1"/>
  <c r="K85" i="3" s="1"/>
  <c r="J85" i="3" a="1"/>
  <c r="J85" i="3" s="1"/>
  <c r="I85" i="3" a="1"/>
  <c r="I85" i="3" s="1"/>
  <c r="G85" i="3" a="1"/>
  <c r="G85" i="3" s="1"/>
  <c r="F85" i="3" a="1"/>
  <c r="F85" i="3" s="1"/>
  <c r="E85" i="3" a="1"/>
  <c r="E85" i="3" s="1"/>
  <c r="D85" i="3" a="1"/>
  <c r="D85" i="3" s="1"/>
  <c r="C85" i="3" a="1"/>
  <c r="C85" i="3" s="1"/>
  <c r="B85" i="3" a="1"/>
  <c r="B85" i="3" s="1"/>
  <c r="Q84" i="3" a="1"/>
  <c r="Q84" i="3" s="1"/>
  <c r="P84" i="3" a="1"/>
  <c r="P84" i="3" s="1"/>
  <c r="O84" i="3" a="1"/>
  <c r="O84" i="3" s="1"/>
  <c r="N84" i="3" a="1"/>
  <c r="N84" i="3" s="1"/>
  <c r="M84" i="3" a="1"/>
  <c r="M84" i="3" s="1"/>
  <c r="L84" i="3" a="1"/>
  <c r="L84" i="3" s="1"/>
  <c r="K84" i="3" a="1"/>
  <c r="K84" i="3" s="1"/>
  <c r="J84" i="3" a="1"/>
  <c r="J84" i="3" s="1"/>
  <c r="I84" i="3" a="1"/>
  <c r="I84" i="3" s="1"/>
  <c r="G84" i="3" a="1"/>
  <c r="G84" i="3" s="1"/>
  <c r="F84" i="3" a="1"/>
  <c r="F84" i="3" s="1"/>
  <c r="E84" i="3" a="1"/>
  <c r="E84" i="3" s="1"/>
  <c r="D84" i="3" a="1"/>
  <c r="D84" i="3" s="1"/>
  <c r="C84" i="3" a="1"/>
  <c r="C84" i="3" s="1"/>
  <c r="B84" i="3" a="1"/>
  <c r="B84" i="3" s="1"/>
  <c r="T83" i="3" a="1"/>
  <c r="T83" i="3"/>
  <c r="Q83" i="3" a="1"/>
  <c r="Q83" i="3" s="1"/>
  <c r="P83" i="3" a="1"/>
  <c r="P83" i="3" s="1"/>
  <c r="O83" i="3" a="1"/>
  <c r="O83" i="3" s="1"/>
  <c r="N83" i="3" a="1"/>
  <c r="N83" i="3" s="1"/>
  <c r="M83" i="3" a="1"/>
  <c r="M83" i="3" s="1"/>
  <c r="L83" i="3" a="1"/>
  <c r="L83" i="3" s="1"/>
  <c r="K83" i="3" a="1"/>
  <c r="K83" i="3" s="1"/>
  <c r="J83" i="3" a="1"/>
  <c r="J83" i="3" s="1"/>
  <c r="I83" i="3" a="1"/>
  <c r="I83" i="3" s="1"/>
  <c r="G83" i="3" a="1"/>
  <c r="G83" i="3" s="1"/>
  <c r="F83" i="3" a="1"/>
  <c r="F83" i="3" s="1"/>
  <c r="E83" i="3" a="1"/>
  <c r="E83" i="3" s="1"/>
  <c r="D83" i="3" a="1"/>
  <c r="D83" i="3" s="1"/>
  <c r="C83" i="3" a="1"/>
  <c r="C83" i="3" s="1"/>
  <c r="B83" i="3" a="1"/>
  <c r="B83" i="3" s="1"/>
  <c r="Z79" i="3" a="1"/>
  <c r="Z79" i="3" s="1"/>
  <c r="Y79" i="3" a="1"/>
  <c r="Y79" i="3" s="1"/>
  <c r="X79" i="3" a="1"/>
  <c r="X79" i="3" s="1"/>
  <c r="W79" i="3" a="1"/>
  <c r="W79" i="3" s="1"/>
  <c r="V79" i="3" a="1"/>
  <c r="V79" i="3" s="1"/>
  <c r="U79" i="3" a="1"/>
  <c r="U79" i="3" s="1"/>
  <c r="T79" i="3" a="1"/>
  <c r="T79" i="3" s="1"/>
  <c r="S79" i="3" a="1"/>
  <c r="S79" i="3" s="1"/>
  <c r="R79" i="3" a="1"/>
  <c r="R79" i="3" s="1"/>
  <c r="Q79" i="3" a="1"/>
  <c r="Q79" i="3" s="1"/>
  <c r="P79" i="3" a="1"/>
  <c r="P79" i="3" s="1"/>
  <c r="O79" i="3" a="1"/>
  <c r="O79" i="3" s="1"/>
  <c r="N79" i="3" a="1"/>
  <c r="N79" i="3" s="1"/>
  <c r="M79" i="3" a="1"/>
  <c r="M79" i="3" s="1"/>
  <c r="L79" i="3" a="1"/>
  <c r="L79" i="3" s="1"/>
  <c r="K79" i="3" a="1"/>
  <c r="K79" i="3" s="1"/>
  <c r="J79" i="3" a="1"/>
  <c r="J79" i="3" s="1"/>
  <c r="I79" i="3" a="1"/>
  <c r="I79" i="3" s="1"/>
  <c r="G79" i="3" a="1"/>
  <c r="G79" i="3" s="1"/>
  <c r="F79" i="3" a="1"/>
  <c r="F79" i="3" s="1"/>
  <c r="E79" i="3" a="1"/>
  <c r="E79" i="3" s="1"/>
  <c r="D79" i="3" a="1"/>
  <c r="D79" i="3" s="1"/>
  <c r="C79" i="3" a="1"/>
  <c r="C79" i="3" s="1"/>
  <c r="B79" i="3" a="1"/>
  <c r="B79" i="3" s="1"/>
  <c r="Z78" i="3" a="1"/>
  <c r="Z78" i="3" s="1"/>
  <c r="Y78" i="3" a="1"/>
  <c r="Y78" i="3" s="1"/>
  <c r="X78" i="3" a="1"/>
  <c r="X78" i="3" s="1"/>
  <c r="W78" i="3" a="1"/>
  <c r="W78" i="3" s="1"/>
  <c r="V78" i="3" a="1"/>
  <c r="V78" i="3" s="1"/>
  <c r="U78" i="3" a="1"/>
  <c r="U78" i="3" s="1"/>
  <c r="T78" i="3" a="1"/>
  <c r="T78" i="3" s="1"/>
  <c r="S78" i="3" a="1"/>
  <c r="S78" i="3" s="1"/>
  <c r="R78" i="3" a="1"/>
  <c r="R78" i="3" s="1"/>
  <c r="Q78" i="3" a="1"/>
  <c r="Q78" i="3" s="1"/>
  <c r="P78" i="3" a="1"/>
  <c r="P78" i="3" s="1"/>
  <c r="O78" i="3" a="1"/>
  <c r="O78" i="3" s="1"/>
  <c r="N78" i="3" a="1"/>
  <c r="N78" i="3" s="1"/>
  <c r="M78" i="3" a="1"/>
  <c r="M78" i="3" s="1"/>
  <c r="L78" i="3" a="1"/>
  <c r="L78" i="3" s="1"/>
  <c r="K78" i="3" a="1"/>
  <c r="K78" i="3" s="1"/>
  <c r="J78" i="3" a="1"/>
  <c r="J78" i="3" s="1"/>
  <c r="I78" i="3" a="1"/>
  <c r="I78" i="3" s="1"/>
  <c r="G78" i="3" a="1"/>
  <c r="G78" i="3" s="1"/>
  <c r="F78" i="3" a="1"/>
  <c r="F78" i="3" s="1"/>
  <c r="E78" i="3" a="1"/>
  <c r="E78" i="3" s="1"/>
  <c r="D78" i="3" a="1"/>
  <c r="D78" i="3" s="1"/>
  <c r="C78" i="3" a="1"/>
  <c r="C78" i="3" s="1"/>
  <c r="B78" i="3" a="1"/>
  <c r="B78" i="3" s="1"/>
  <c r="Z77" i="3" a="1"/>
  <c r="Z77" i="3" s="1"/>
  <c r="Y77" i="3" a="1"/>
  <c r="Y77" i="3" s="1"/>
  <c r="X77" i="3" a="1"/>
  <c r="X77" i="3" s="1"/>
  <c r="W77" i="3" a="1"/>
  <c r="W77" i="3" s="1"/>
  <c r="V77" i="3" a="1"/>
  <c r="V77" i="3" s="1"/>
  <c r="U77" i="3" a="1"/>
  <c r="U77" i="3" s="1"/>
  <c r="T77" i="3" a="1"/>
  <c r="T77" i="3" s="1"/>
  <c r="S77" i="3" a="1"/>
  <c r="S77" i="3" s="1"/>
  <c r="R77" i="3" a="1"/>
  <c r="R77" i="3" s="1"/>
  <c r="Q77" i="3" a="1"/>
  <c r="Q77" i="3" s="1"/>
  <c r="P77" i="3" a="1"/>
  <c r="P77" i="3" s="1"/>
  <c r="O77" i="3" a="1"/>
  <c r="O77" i="3" s="1"/>
  <c r="N77" i="3" a="1"/>
  <c r="N77" i="3" s="1"/>
  <c r="M77" i="3" a="1"/>
  <c r="M77" i="3" s="1"/>
  <c r="L77" i="3" a="1"/>
  <c r="L77" i="3" s="1"/>
  <c r="K77" i="3" a="1"/>
  <c r="K77" i="3" s="1"/>
  <c r="J77" i="3" a="1"/>
  <c r="J77" i="3" s="1"/>
  <c r="I77" i="3" a="1"/>
  <c r="I77" i="3" s="1"/>
  <c r="G77" i="3" a="1"/>
  <c r="G77" i="3" s="1"/>
  <c r="F77" i="3" a="1"/>
  <c r="F77" i="3" s="1"/>
  <c r="E77" i="3" a="1"/>
  <c r="E77" i="3" s="1"/>
  <c r="D77" i="3" a="1"/>
  <c r="D77" i="3" s="1"/>
  <c r="C77" i="3" a="1"/>
  <c r="C77" i="3" s="1"/>
  <c r="B77" i="3" a="1"/>
  <c r="B77" i="3" s="1"/>
  <c r="Z76" i="3" a="1"/>
  <c r="Z76" i="3" s="1"/>
  <c r="Y76" i="3" a="1"/>
  <c r="Y76" i="3" s="1"/>
  <c r="X76" i="3" a="1"/>
  <c r="X76" i="3" s="1"/>
  <c r="W76" i="3" a="1"/>
  <c r="W76" i="3" s="1"/>
  <c r="V76" i="3" a="1"/>
  <c r="V76" i="3" s="1"/>
  <c r="U76" i="3" a="1"/>
  <c r="U76" i="3" s="1"/>
  <c r="T76" i="3" a="1"/>
  <c r="T76" i="3" s="1"/>
  <c r="S76" i="3" a="1"/>
  <c r="S76" i="3" s="1"/>
  <c r="R76" i="3" a="1"/>
  <c r="R76" i="3" s="1"/>
  <c r="Q76" i="3" a="1"/>
  <c r="Q76" i="3" s="1"/>
  <c r="P76" i="3" a="1"/>
  <c r="P76" i="3" s="1"/>
  <c r="O76" i="3" a="1"/>
  <c r="O76" i="3" s="1"/>
  <c r="N76" i="3" a="1"/>
  <c r="N76" i="3" s="1"/>
  <c r="M76" i="3" a="1"/>
  <c r="M76" i="3" s="1"/>
  <c r="L76" i="3" a="1"/>
  <c r="L76" i="3" s="1"/>
  <c r="K76" i="3" a="1"/>
  <c r="K76" i="3" s="1"/>
  <c r="J76" i="3" a="1"/>
  <c r="J76" i="3" s="1"/>
  <c r="I76" i="3" a="1"/>
  <c r="I76" i="3" s="1"/>
  <c r="G76" i="3" a="1"/>
  <c r="G76" i="3" s="1"/>
  <c r="F76" i="3" a="1"/>
  <c r="F76" i="3" s="1"/>
  <c r="E76" i="3" a="1"/>
  <c r="E76" i="3" s="1"/>
  <c r="D76" i="3" a="1"/>
  <c r="D76" i="3" s="1"/>
  <c r="C76" i="3" a="1"/>
  <c r="C76" i="3" s="1"/>
  <c r="B76" i="3" a="1"/>
  <c r="B76" i="3" s="1"/>
  <c r="Z75" i="3" a="1"/>
  <c r="Z75" i="3" s="1"/>
  <c r="Y75" i="3" a="1"/>
  <c r="Y75" i="3" s="1"/>
  <c r="X75" i="3" a="1"/>
  <c r="X75" i="3" s="1"/>
  <c r="W75" i="3" a="1"/>
  <c r="W75" i="3" s="1"/>
  <c r="V75" i="3" a="1"/>
  <c r="V75" i="3" s="1"/>
  <c r="U75" i="3" a="1"/>
  <c r="U75" i="3" s="1"/>
  <c r="T75" i="3" a="1"/>
  <c r="T75" i="3" s="1"/>
  <c r="S75" i="3" a="1"/>
  <c r="S75" i="3" s="1"/>
  <c r="R75" i="3" a="1"/>
  <c r="R75" i="3" s="1"/>
  <c r="Q75" i="3" a="1"/>
  <c r="Q75" i="3" s="1"/>
  <c r="P75" i="3" a="1"/>
  <c r="P75" i="3" s="1"/>
  <c r="O75" i="3" a="1"/>
  <c r="O75" i="3" s="1"/>
  <c r="N75" i="3" a="1"/>
  <c r="N75" i="3" s="1"/>
  <c r="M75" i="3" a="1"/>
  <c r="M75" i="3" s="1"/>
  <c r="L75" i="3" a="1"/>
  <c r="L75" i="3" s="1"/>
  <c r="K75" i="3" a="1"/>
  <c r="K75" i="3" s="1"/>
  <c r="J75" i="3" a="1"/>
  <c r="J75" i="3" s="1"/>
  <c r="I75" i="3" a="1"/>
  <c r="I75" i="3" s="1"/>
  <c r="G75" i="3" a="1"/>
  <c r="G75" i="3" s="1"/>
  <c r="F75" i="3" a="1"/>
  <c r="F75" i="3" s="1"/>
  <c r="E75" i="3" a="1"/>
  <c r="E75" i="3" s="1"/>
  <c r="D75" i="3" a="1"/>
  <c r="D75" i="3" s="1"/>
  <c r="C75" i="3" a="1"/>
  <c r="C75" i="3" s="1"/>
  <c r="B75" i="3" a="1"/>
  <c r="B75" i="3" s="1"/>
  <c r="Z74" i="3" a="1"/>
  <c r="Z74" i="3" s="1"/>
  <c r="Y74" i="3" a="1"/>
  <c r="Y74" i="3" s="1"/>
  <c r="X74" i="3" a="1"/>
  <c r="X74" i="3" s="1"/>
  <c r="W74" i="3" a="1"/>
  <c r="W74" i="3" s="1"/>
  <c r="V74" i="3" a="1"/>
  <c r="V74" i="3" s="1"/>
  <c r="U74" i="3" a="1"/>
  <c r="U74" i="3" s="1"/>
  <c r="T74" i="3" a="1"/>
  <c r="T74" i="3" s="1"/>
  <c r="S74" i="3" a="1"/>
  <c r="S74" i="3" s="1"/>
  <c r="R74" i="3" a="1"/>
  <c r="R74" i="3" s="1"/>
  <c r="Q74" i="3" a="1"/>
  <c r="Q74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J74" i="3" a="1"/>
  <c r="J74" i="3" s="1"/>
  <c r="I74" i="3" a="1"/>
  <c r="I74" i="3" s="1"/>
  <c r="G74" i="3" a="1"/>
  <c r="G74" i="3" s="1"/>
  <c r="F74" i="3" a="1"/>
  <c r="F74" i="3" s="1"/>
  <c r="E74" i="3" a="1"/>
  <c r="E74" i="3" s="1"/>
  <c r="D74" i="3" a="1"/>
  <c r="D74" i="3" s="1"/>
  <c r="C74" i="3" a="1"/>
  <c r="C74" i="3" s="1"/>
  <c r="B74" i="3" a="1"/>
  <c r="B74" i="3" s="1"/>
  <c r="Z73" i="3" a="1"/>
  <c r="Z73" i="3" s="1"/>
  <c r="Y73" i="3" a="1"/>
  <c r="Y73" i="3" s="1"/>
  <c r="X73" i="3" a="1"/>
  <c r="X73" i="3" s="1"/>
  <c r="W73" i="3" a="1"/>
  <c r="W73" i="3" s="1"/>
  <c r="V73" i="3" a="1"/>
  <c r="V73" i="3" s="1"/>
  <c r="U73" i="3" a="1"/>
  <c r="U73" i="3" s="1"/>
  <c r="T73" i="3" a="1"/>
  <c r="T73" i="3" s="1"/>
  <c r="S73" i="3" a="1"/>
  <c r="S73" i="3" s="1"/>
  <c r="R73" i="3" a="1"/>
  <c r="R73" i="3" s="1"/>
  <c r="Q73" i="3" a="1"/>
  <c r="Q73" i="3" s="1"/>
  <c r="P73" i="3" a="1"/>
  <c r="P73" i="3" s="1"/>
  <c r="O73" i="3" a="1"/>
  <c r="O73" i="3" s="1"/>
  <c r="N73" i="3" a="1"/>
  <c r="N73" i="3" s="1"/>
  <c r="M73" i="3" a="1"/>
  <c r="M73" i="3" s="1"/>
  <c r="L73" i="3" a="1"/>
  <c r="L73" i="3" s="1"/>
  <c r="K73" i="3" a="1"/>
  <c r="K73" i="3" s="1"/>
  <c r="J73" i="3" a="1"/>
  <c r="J73" i="3" s="1"/>
  <c r="I73" i="3" a="1"/>
  <c r="I73" i="3" s="1"/>
  <c r="G73" i="3" a="1"/>
  <c r="G73" i="3" s="1"/>
  <c r="F73" i="3" a="1"/>
  <c r="F73" i="3" s="1"/>
  <c r="E73" i="3" a="1"/>
  <c r="E73" i="3" s="1"/>
  <c r="D73" i="3" a="1"/>
  <c r="D73" i="3" s="1"/>
  <c r="C73" i="3" a="1"/>
  <c r="C73" i="3" s="1"/>
  <c r="B73" i="3" a="1"/>
  <c r="B73" i="3" s="1"/>
  <c r="Z72" i="3" a="1"/>
  <c r="Z72" i="3" s="1"/>
  <c r="Y72" i="3" a="1"/>
  <c r="Y72" i="3" s="1"/>
  <c r="X72" i="3" a="1"/>
  <c r="X72" i="3" s="1"/>
  <c r="W72" i="3" a="1"/>
  <c r="W72" i="3" s="1"/>
  <c r="V72" i="3" a="1"/>
  <c r="V72" i="3" s="1"/>
  <c r="U72" i="3" a="1"/>
  <c r="U72" i="3" s="1"/>
  <c r="T72" i="3" a="1"/>
  <c r="T72" i="3" s="1"/>
  <c r="S72" i="3" a="1"/>
  <c r="S72" i="3" s="1"/>
  <c r="R72" i="3" a="1"/>
  <c r="R72" i="3" s="1"/>
  <c r="Q72" i="3" a="1"/>
  <c r="Q72" i="3" s="1"/>
  <c r="P72" i="3" a="1"/>
  <c r="P72" i="3" s="1"/>
  <c r="O72" i="3" a="1"/>
  <c r="O72" i="3" s="1"/>
  <c r="N72" i="3" a="1"/>
  <c r="N72" i="3" s="1"/>
  <c r="M72" i="3" a="1"/>
  <c r="M72" i="3" s="1"/>
  <c r="L72" i="3" a="1"/>
  <c r="L72" i="3" s="1"/>
  <c r="K72" i="3" a="1"/>
  <c r="K72" i="3" s="1"/>
  <c r="J72" i="3" a="1"/>
  <c r="J72" i="3" s="1"/>
  <c r="I72" i="3" a="1"/>
  <c r="I72" i="3" s="1"/>
  <c r="G72" i="3" a="1"/>
  <c r="G72" i="3" s="1"/>
  <c r="F72" i="3" a="1"/>
  <c r="F72" i="3" s="1"/>
  <c r="E72" i="3" a="1"/>
  <c r="E72" i="3" s="1"/>
  <c r="D72" i="3" a="1"/>
  <c r="D72" i="3" s="1"/>
  <c r="C72" i="3" a="1"/>
  <c r="C72" i="3" s="1"/>
  <c r="B72" i="3" a="1"/>
  <c r="B72" i="3" s="1"/>
  <c r="Z71" i="3" a="1"/>
  <c r="Z71" i="3" s="1"/>
  <c r="Y71" i="3" a="1"/>
  <c r="Y71" i="3" s="1"/>
  <c r="X71" i="3" a="1"/>
  <c r="X71" i="3" s="1"/>
  <c r="W71" i="3" a="1"/>
  <c r="W71" i="3" s="1"/>
  <c r="V71" i="3" a="1"/>
  <c r="V71" i="3" s="1"/>
  <c r="U71" i="3" a="1"/>
  <c r="U71" i="3" s="1"/>
  <c r="T71" i="3" a="1"/>
  <c r="T71" i="3" s="1"/>
  <c r="S71" i="3" a="1"/>
  <c r="S71" i="3" s="1"/>
  <c r="R71" i="3" a="1"/>
  <c r="R71" i="3" s="1"/>
  <c r="Q71" i="3" a="1"/>
  <c r="Q71" i="3" s="1"/>
  <c r="P71" i="3" a="1"/>
  <c r="P71" i="3" s="1"/>
  <c r="O71" i="3" a="1"/>
  <c r="O71" i="3" s="1"/>
  <c r="N71" i="3" a="1"/>
  <c r="N71" i="3" s="1"/>
  <c r="M71" i="3" a="1"/>
  <c r="M71" i="3" s="1"/>
  <c r="L71" i="3" a="1"/>
  <c r="L71" i="3" s="1"/>
  <c r="K71" i="3" a="1"/>
  <c r="K71" i="3" s="1"/>
  <c r="J71" i="3" a="1"/>
  <c r="J71" i="3" s="1"/>
  <c r="I71" i="3" a="1"/>
  <c r="I71" i="3" s="1"/>
  <c r="G71" i="3" a="1"/>
  <c r="G71" i="3" s="1"/>
  <c r="F71" i="3" a="1"/>
  <c r="F71" i="3" s="1"/>
  <c r="E71" i="3" a="1"/>
  <c r="E71" i="3" s="1"/>
  <c r="D71" i="3" a="1"/>
  <c r="D71" i="3" s="1"/>
  <c r="C71" i="3" a="1"/>
  <c r="C71" i="3" s="1"/>
  <c r="B71" i="3" a="1"/>
  <c r="B71" i="3" s="1"/>
  <c r="Z70" i="3" a="1"/>
  <c r="Z70" i="3" s="1"/>
  <c r="Y70" i="3" a="1"/>
  <c r="Y70" i="3" s="1"/>
  <c r="X70" i="3" a="1"/>
  <c r="X70" i="3" s="1"/>
  <c r="W70" i="3" a="1"/>
  <c r="W70" i="3" s="1"/>
  <c r="V70" i="3" a="1"/>
  <c r="V70" i="3" s="1"/>
  <c r="U70" i="3" a="1"/>
  <c r="U70" i="3" s="1"/>
  <c r="T70" i="3" a="1"/>
  <c r="T70" i="3" s="1"/>
  <c r="S70" i="3" a="1"/>
  <c r="S70" i="3" s="1"/>
  <c r="R70" i="3" a="1"/>
  <c r="R70" i="3" s="1"/>
  <c r="Q70" i="3" a="1"/>
  <c r="Q70" i="3" s="1"/>
  <c r="P70" i="3" a="1"/>
  <c r="P70" i="3" s="1"/>
  <c r="O70" i="3" a="1"/>
  <c r="O70" i="3" s="1"/>
  <c r="N70" i="3" a="1"/>
  <c r="N70" i="3" s="1"/>
  <c r="M70" i="3" a="1"/>
  <c r="M70" i="3" s="1"/>
  <c r="L70" i="3" a="1"/>
  <c r="L70" i="3" s="1"/>
  <c r="K70" i="3" a="1"/>
  <c r="K70" i="3" s="1"/>
  <c r="J70" i="3" a="1"/>
  <c r="J70" i="3" s="1"/>
  <c r="I70" i="3" a="1"/>
  <c r="I70" i="3" s="1"/>
  <c r="G70" i="3" a="1"/>
  <c r="G70" i="3" s="1"/>
  <c r="F70" i="3" a="1"/>
  <c r="F70" i="3" s="1"/>
  <c r="E70" i="3" a="1"/>
  <c r="E70" i="3" s="1"/>
  <c r="D70" i="3" a="1"/>
  <c r="D70" i="3" s="1"/>
  <c r="C70" i="3" a="1"/>
  <c r="C70" i="3" s="1"/>
  <c r="B70" i="3" a="1"/>
  <c r="B70" i="3" s="1"/>
  <c r="Z69" i="3" a="1"/>
  <c r="Z69" i="3" s="1"/>
  <c r="Y69" i="3" a="1"/>
  <c r="Y69" i="3" s="1"/>
  <c r="X69" i="3" a="1"/>
  <c r="X69" i="3" s="1"/>
  <c r="W69" i="3" a="1"/>
  <c r="W69" i="3" s="1"/>
  <c r="V69" i="3" a="1"/>
  <c r="V69" i="3" s="1"/>
  <c r="U69" i="3" a="1"/>
  <c r="U69" i="3" s="1"/>
  <c r="T69" i="3" a="1"/>
  <c r="T69" i="3" s="1"/>
  <c r="S69" i="3" a="1"/>
  <c r="S69" i="3" s="1"/>
  <c r="R69" i="3" a="1"/>
  <c r="R69" i="3" s="1"/>
  <c r="Q69" i="3" a="1"/>
  <c r="Q69" i="3" s="1"/>
  <c r="P69" i="3" a="1"/>
  <c r="P69" i="3" s="1"/>
  <c r="O69" i="3" a="1"/>
  <c r="O69" i="3" s="1"/>
  <c r="N69" i="3" a="1"/>
  <c r="N69" i="3" s="1"/>
  <c r="M69" i="3" a="1"/>
  <c r="M69" i="3" s="1"/>
  <c r="L69" i="3" a="1"/>
  <c r="L69" i="3" s="1"/>
  <c r="K69" i="3" a="1"/>
  <c r="K69" i="3" s="1"/>
  <c r="J69" i="3" a="1"/>
  <c r="J69" i="3" s="1"/>
  <c r="I69" i="3" a="1"/>
  <c r="I69" i="3" s="1"/>
  <c r="G69" i="3" a="1"/>
  <c r="G69" i="3" s="1"/>
  <c r="F69" i="3" a="1"/>
  <c r="F69" i="3" s="1"/>
  <c r="E69" i="3" a="1"/>
  <c r="E69" i="3" s="1"/>
  <c r="D69" i="3" a="1"/>
  <c r="D69" i="3" s="1"/>
  <c r="C69" i="3" a="1"/>
  <c r="C69" i="3" s="1"/>
  <c r="B69" i="3" a="1"/>
  <c r="B69" i="3" s="1"/>
  <c r="Z68" i="3" a="1"/>
  <c r="Z68" i="3" s="1"/>
  <c r="Y68" i="3" a="1"/>
  <c r="Y68" i="3" s="1"/>
  <c r="X68" i="3" a="1"/>
  <c r="X68" i="3" s="1"/>
  <c r="W68" i="3" a="1"/>
  <c r="W68" i="3" s="1"/>
  <c r="V68" i="3" a="1"/>
  <c r="V68" i="3" s="1"/>
  <c r="U68" i="3" a="1"/>
  <c r="U68" i="3" s="1"/>
  <c r="T68" i="3" a="1"/>
  <c r="T68" i="3" s="1"/>
  <c r="S68" i="3" a="1"/>
  <c r="S68" i="3" s="1"/>
  <c r="R68" i="3" a="1"/>
  <c r="R68" i="3" s="1"/>
  <c r="Q68" i="3" a="1"/>
  <c r="Q68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J68" i="3" a="1"/>
  <c r="J68" i="3" s="1"/>
  <c r="I68" i="3" a="1"/>
  <c r="I68" i="3" s="1"/>
  <c r="G68" i="3" a="1"/>
  <c r="G68" i="3" s="1"/>
  <c r="F68" i="3" a="1"/>
  <c r="F68" i="3" s="1"/>
  <c r="E68" i="3" a="1"/>
  <c r="E68" i="3" s="1"/>
  <c r="D68" i="3" a="1"/>
  <c r="D68" i="3" s="1"/>
  <c r="C68" i="3" a="1"/>
  <c r="C68" i="3" s="1"/>
  <c r="B68" i="3" a="1"/>
  <c r="B68" i="3" s="1"/>
  <c r="Z67" i="3" a="1"/>
  <c r="Z67" i="3" s="1"/>
  <c r="Y67" i="3" a="1"/>
  <c r="Y67" i="3" s="1"/>
  <c r="X67" i="3" a="1"/>
  <c r="X67" i="3" s="1"/>
  <c r="W67" i="3" a="1"/>
  <c r="W67" i="3" s="1"/>
  <c r="V67" i="3" a="1"/>
  <c r="V67" i="3" s="1"/>
  <c r="U67" i="3" a="1"/>
  <c r="U67" i="3" s="1"/>
  <c r="T67" i="3" a="1"/>
  <c r="T67" i="3" s="1"/>
  <c r="S67" i="3" a="1"/>
  <c r="S67" i="3" s="1"/>
  <c r="R67" i="3" a="1"/>
  <c r="R67" i="3" s="1"/>
  <c r="Q67" i="3" a="1"/>
  <c r="Q67" i="3" s="1"/>
  <c r="P67" i="3" a="1"/>
  <c r="P67" i="3" s="1"/>
  <c r="O67" i="3" a="1"/>
  <c r="O67" i="3" s="1"/>
  <c r="N67" i="3" a="1"/>
  <c r="N67" i="3" s="1"/>
  <c r="M67" i="3" a="1"/>
  <c r="M67" i="3" s="1"/>
  <c r="L67" i="3" a="1"/>
  <c r="L67" i="3" s="1"/>
  <c r="K67" i="3" a="1"/>
  <c r="K67" i="3" s="1"/>
  <c r="J67" i="3" a="1"/>
  <c r="J67" i="3" s="1"/>
  <c r="I67" i="3" a="1"/>
  <c r="I67" i="3" s="1"/>
  <c r="G67" i="3" a="1"/>
  <c r="G67" i="3" s="1"/>
  <c r="F67" i="3" a="1"/>
  <c r="F67" i="3" s="1"/>
  <c r="E67" i="3" a="1"/>
  <c r="E67" i="3" s="1"/>
  <c r="D67" i="3" a="1"/>
  <c r="D67" i="3" s="1"/>
  <c r="C67" i="3" a="1"/>
  <c r="C67" i="3" s="1"/>
  <c r="B67" i="3" a="1"/>
  <c r="B67" i="3" s="1"/>
  <c r="Z66" i="3" a="1"/>
  <c r="Z66" i="3" s="1"/>
  <c r="Y66" i="3" a="1"/>
  <c r="Y66" i="3" s="1"/>
  <c r="X66" i="3" a="1"/>
  <c r="X66" i="3" s="1"/>
  <c r="W66" i="3" a="1"/>
  <c r="W66" i="3" s="1"/>
  <c r="V66" i="3" a="1"/>
  <c r="V66" i="3" s="1"/>
  <c r="U66" i="3" a="1"/>
  <c r="U66" i="3" s="1"/>
  <c r="T66" i="3" a="1"/>
  <c r="T66" i="3" s="1"/>
  <c r="S66" i="3" a="1"/>
  <c r="S66" i="3" s="1"/>
  <c r="R66" i="3" a="1"/>
  <c r="R66" i="3" s="1"/>
  <c r="Q66" i="3" a="1"/>
  <c r="Q66" i="3" s="1"/>
  <c r="P66" i="3" a="1"/>
  <c r="P66" i="3" s="1"/>
  <c r="O66" i="3" a="1"/>
  <c r="O66" i="3" s="1"/>
  <c r="N66" i="3" a="1"/>
  <c r="N66" i="3" s="1"/>
  <c r="M66" i="3" a="1"/>
  <c r="M66" i="3" s="1"/>
  <c r="L66" i="3" a="1"/>
  <c r="L66" i="3" s="1"/>
  <c r="K66" i="3" a="1"/>
  <c r="K66" i="3" s="1"/>
  <c r="J66" i="3" a="1"/>
  <c r="J66" i="3" s="1"/>
  <c r="I66" i="3" a="1"/>
  <c r="I66" i="3" s="1"/>
  <c r="G66" i="3" a="1"/>
  <c r="G66" i="3" s="1"/>
  <c r="F66" i="3" a="1"/>
  <c r="F66" i="3" s="1"/>
  <c r="E66" i="3" a="1"/>
  <c r="E66" i="3" s="1"/>
  <c r="D66" i="3" a="1"/>
  <c r="D66" i="3" s="1"/>
  <c r="C66" i="3" a="1"/>
  <c r="C66" i="3" s="1"/>
  <c r="B66" i="3" a="1"/>
  <c r="B66" i="3" s="1"/>
  <c r="Z65" i="3" a="1"/>
  <c r="Z65" i="3" s="1"/>
  <c r="Y65" i="3" a="1"/>
  <c r="Y65" i="3" s="1"/>
  <c r="X65" i="3" a="1"/>
  <c r="X65" i="3" s="1"/>
  <c r="W65" i="3" a="1"/>
  <c r="W65" i="3" s="1"/>
  <c r="V65" i="3" a="1"/>
  <c r="V65" i="3" s="1"/>
  <c r="U65" i="3" a="1"/>
  <c r="U65" i="3" s="1"/>
  <c r="T65" i="3" a="1"/>
  <c r="T65" i="3" s="1"/>
  <c r="S65" i="3" a="1"/>
  <c r="S65" i="3" s="1"/>
  <c r="R65" i="3" a="1"/>
  <c r="R65" i="3" s="1"/>
  <c r="Q65" i="3" a="1"/>
  <c r="Q65" i="3" s="1"/>
  <c r="P65" i="3" a="1"/>
  <c r="P65" i="3" s="1"/>
  <c r="O65" i="3" a="1"/>
  <c r="O65" i="3" s="1"/>
  <c r="N65" i="3" a="1"/>
  <c r="N65" i="3" s="1"/>
  <c r="M65" i="3" a="1"/>
  <c r="M65" i="3" s="1"/>
  <c r="L65" i="3" a="1"/>
  <c r="L65" i="3" s="1"/>
  <c r="K65" i="3" a="1"/>
  <c r="K65" i="3" s="1"/>
  <c r="J65" i="3" a="1"/>
  <c r="J65" i="3" s="1"/>
  <c r="I65" i="3" a="1"/>
  <c r="I65" i="3" s="1"/>
  <c r="G65" i="3" a="1"/>
  <c r="G65" i="3" s="1"/>
  <c r="F65" i="3" a="1"/>
  <c r="F65" i="3" s="1"/>
  <c r="E65" i="3" a="1"/>
  <c r="E65" i="3" s="1"/>
  <c r="D65" i="3" a="1"/>
  <c r="D65" i="3" s="1"/>
  <c r="C65" i="3" a="1"/>
  <c r="C65" i="3" s="1"/>
  <c r="B65" i="3" a="1"/>
  <c r="B65" i="3" s="1"/>
  <c r="Z64" i="3" a="1"/>
  <c r="Z64" i="3" s="1"/>
  <c r="Y64" i="3" a="1"/>
  <c r="Y64" i="3" s="1"/>
  <c r="X64" i="3" a="1"/>
  <c r="X64" i="3" s="1"/>
  <c r="W64" i="3" a="1"/>
  <c r="W64" i="3" s="1"/>
  <c r="V64" i="3" a="1"/>
  <c r="V64" i="3" s="1"/>
  <c r="U64" i="3" a="1"/>
  <c r="U64" i="3" s="1"/>
  <c r="T64" i="3" a="1"/>
  <c r="T64" i="3" s="1"/>
  <c r="S64" i="3" a="1"/>
  <c r="S64" i="3" s="1"/>
  <c r="R64" i="3" a="1"/>
  <c r="R64" i="3" s="1"/>
  <c r="Q64" i="3" a="1"/>
  <c r="Q64" i="3" s="1"/>
  <c r="P64" i="3" a="1"/>
  <c r="P64" i="3" s="1"/>
  <c r="O64" i="3" a="1"/>
  <c r="O64" i="3" s="1"/>
  <c r="N64" i="3" a="1"/>
  <c r="N64" i="3" s="1"/>
  <c r="M64" i="3" a="1"/>
  <c r="M64" i="3" s="1"/>
  <c r="L64" i="3" a="1"/>
  <c r="L64" i="3" s="1"/>
  <c r="K64" i="3" a="1"/>
  <c r="K64" i="3" s="1"/>
  <c r="J64" i="3" a="1"/>
  <c r="J64" i="3" s="1"/>
  <c r="I64" i="3" a="1"/>
  <c r="I64" i="3" s="1"/>
  <c r="G64" i="3" a="1"/>
  <c r="G64" i="3" s="1"/>
  <c r="F64" i="3" a="1"/>
  <c r="F64" i="3" s="1"/>
  <c r="E64" i="3" a="1"/>
  <c r="E64" i="3" s="1"/>
  <c r="D64" i="3" a="1"/>
  <c r="D64" i="3" s="1"/>
  <c r="C64" i="3" a="1"/>
  <c r="C64" i="3" s="1"/>
  <c r="B64" i="3" a="1"/>
  <c r="B64" i="3" s="1"/>
  <c r="Z63" i="3" a="1"/>
  <c r="Z63" i="3" s="1"/>
  <c r="Y63" i="3" a="1"/>
  <c r="Y63" i="3" s="1"/>
  <c r="X63" i="3" a="1"/>
  <c r="X63" i="3" s="1"/>
  <c r="W63" i="3" a="1"/>
  <c r="W63" i="3" s="1"/>
  <c r="V63" i="3" a="1"/>
  <c r="V63" i="3" s="1"/>
  <c r="U63" i="3" a="1"/>
  <c r="U63" i="3" s="1"/>
  <c r="T63" i="3" a="1"/>
  <c r="T63" i="3" s="1"/>
  <c r="S63" i="3" a="1"/>
  <c r="S63" i="3" s="1"/>
  <c r="R63" i="3" a="1"/>
  <c r="R63" i="3" s="1"/>
  <c r="Q63" i="3" a="1"/>
  <c r="Q63" i="3" s="1"/>
  <c r="P63" i="3" a="1"/>
  <c r="P63" i="3" s="1"/>
  <c r="O63" i="3" a="1"/>
  <c r="O63" i="3" s="1"/>
  <c r="N63" i="3" a="1"/>
  <c r="N63" i="3" s="1"/>
  <c r="M63" i="3" a="1"/>
  <c r="M63" i="3" s="1"/>
  <c r="L63" i="3" a="1"/>
  <c r="L63" i="3" s="1"/>
  <c r="K63" i="3" a="1"/>
  <c r="K63" i="3" s="1"/>
  <c r="J63" i="3" a="1"/>
  <c r="J63" i="3" s="1"/>
  <c r="I63" i="3" a="1"/>
  <c r="I63" i="3" s="1"/>
  <c r="G63" i="3" a="1"/>
  <c r="G63" i="3" s="1"/>
  <c r="F63" i="3" a="1"/>
  <c r="F63" i="3" s="1"/>
  <c r="E63" i="3" a="1"/>
  <c r="E63" i="3" s="1"/>
  <c r="D63" i="3" a="1"/>
  <c r="D63" i="3" s="1"/>
  <c r="C63" i="3" a="1"/>
  <c r="C63" i="3" s="1"/>
  <c r="B63" i="3" a="1"/>
  <c r="B63" i="3" s="1"/>
  <c r="Z62" i="3" a="1"/>
  <c r="Z62" i="3" s="1"/>
  <c r="Y62" i="3" a="1"/>
  <c r="Y62" i="3" s="1"/>
  <c r="X62" i="3" a="1"/>
  <c r="X62" i="3" s="1"/>
  <c r="W62" i="3" a="1"/>
  <c r="W62" i="3" s="1"/>
  <c r="V62" i="3" a="1"/>
  <c r="V62" i="3" s="1"/>
  <c r="U62" i="3" a="1"/>
  <c r="U62" i="3" s="1"/>
  <c r="T62" i="3" a="1"/>
  <c r="T62" i="3" s="1"/>
  <c r="S62" i="3" a="1"/>
  <c r="S62" i="3" s="1"/>
  <c r="R62" i="3" a="1"/>
  <c r="R62" i="3" s="1"/>
  <c r="Q62" i="3" a="1"/>
  <c r="Q62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J62" i="3" a="1"/>
  <c r="J62" i="3" s="1"/>
  <c r="I62" i="3" a="1"/>
  <c r="I62" i="3" s="1"/>
  <c r="G62" i="3" a="1"/>
  <c r="G62" i="3" s="1"/>
  <c r="F62" i="3" a="1"/>
  <c r="F62" i="3" s="1"/>
  <c r="E62" i="3" a="1"/>
  <c r="E62" i="3" s="1"/>
  <c r="D62" i="3" a="1"/>
  <c r="D62" i="3" s="1"/>
  <c r="C62" i="3" a="1"/>
  <c r="C62" i="3" s="1"/>
  <c r="B62" i="3" a="1"/>
  <c r="B62" i="3" s="1"/>
  <c r="Z61" i="3" a="1"/>
  <c r="Z61" i="3" s="1"/>
  <c r="Y61" i="3" a="1"/>
  <c r="Y61" i="3" s="1"/>
  <c r="X61" i="3" a="1"/>
  <c r="X61" i="3" s="1"/>
  <c r="W61" i="3" a="1"/>
  <c r="W61" i="3" s="1"/>
  <c r="V61" i="3" a="1"/>
  <c r="V61" i="3" s="1"/>
  <c r="U61" i="3" a="1"/>
  <c r="U61" i="3" s="1"/>
  <c r="T61" i="3" a="1"/>
  <c r="T61" i="3" s="1"/>
  <c r="S61" i="3" a="1"/>
  <c r="S61" i="3" s="1"/>
  <c r="R61" i="3" a="1"/>
  <c r="R61" i="3" s="1"/>
  <c r="Q61" i="3" a="1"/>
  <c r="Q61" i="3" s="1"/>
  <c r="P61" i="3" a="1"/>
  <c r="P61" i="3" s="1"/>
  <c r="O61" i="3" a="1"/>
  <c r="O61" i="3" s="1"/>
  <c r="N61" i="3" a="1"/>
  <c r="N61" i="3" s="1"/>
  <c r="M61" i="3" a="1"/>
  <c r="M61" i="3" s="1"/>
  <c r="L61" i="3" a="1"/>
  <c r="L61" i="3" s="1"/>
  <c r="K61" i="3" a="1"/>
  <c r="K61" i="3" s="1"/>
  <c r="J61" i="3" a="1"/>
  <c r="J61" i="3" s="1"/>
  <c r="I61" i="3" a="1"/>
  <c r="I61" i="3" s="1"/>
  <c r="G61" i="3" a="1"/>
  <c r="G61" i="3" s="1"/>
  <c r="F61" i="3" a="1"/>
  <c r="F61" i="3" s="1"/>
  <c r="E61" i="3" a="1"/>
  <c r="E61" i="3" s="1"/>
  <c r="D61" i="3" a="1"/>
  <c r="D61" i="3" s="1"/>
  <c r="C61" i="3" a="1"/>
  <c r="C61" i="3" s="1"/>
  <c r="B61" i="3" a="1"/>
  <c r="B61" i="3" s="1"/>
  <c r="Z60" i="3" a="1"/>
  <c r="Z60" i="3" s="1"/>
  <c r="Y60" i="3" a="1"/>
  <c r="Y60" i="3" s="1"/>
  <c r="X60" i="3" a="1"/>
  <c r="X60" i="3" s="1"/>
  <c r="W60" i="3" a="1"/>
  <c r="W60" i="3" s="1"/>
  <c r="V60" i="3" a="1"/>
  <c r="V60" i="3" s="1"/>
  <c r="U60" i="3" a="1"/>
  <c r="U60" i="3" s="1"/>
  <c r="T60" i="3" a="1"/>
  <c r="T60" i="3" s="1"/>
  <c r="S60" i="3" a="1"/>
  <c r="S60" i="3" s="1"/>
  <c r="R60" i="3" a="1"/>
  <c r="R60" i="3" s="1"/>
  <c r="Q60" i="3" a="1"/>
  <c r="Q60" i="3" s="1"/>
  <c r="P60" i="3" a="1"/>
  <c r="P60" i="3" s="1"/>
  <c r="O60" i="3" a="1"/>
  <c r="O60" i="3" s="1"/>
  <c r="N60" i="3" a="1"/>
  <c r="N60" i="3" s="1"/>
  <c r="M60" i="3" a="1"/>
  <c r="M60" i="3" s="1"/>
  <c r="L60" i="3" a="1"/>
  <c r="L60" i="3" s="1"/>
  <c r="K60" i="3" a="1"/>
  <c r="K60" i="3" s="1"/>
  <c r="J60" i="3" a="1"/>
  <c r="J60" i="3" s="1"/>
  <c r="I60" i="3" a="1"/>
  <c r="I60" i="3" s="1"/>
  <c r="G60" i="3" a="1"/>
  <c r="G60" i="3" s="1"/>
  <c r="F60" i="3" a="1"/>
  <c r="F60" i="3" s="1"/>
  <c r="E60" i="3" a="1"/>
  <c r="E60" i="3" s="1"/>
  <c r="D60" i="3" a="1"/>
  <c r="D60" i="3" s="1"/>
  <c r="C60" i="3" a="1"/>
  <c r="C60" i="3" s="1"/>
  <c r="B60" i="3" a="1"/>
  <c r="B60" i="3" s="1"/>
  <c r="Q56" i="3" a="1"/>
  <c r="Q56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J56" i="3" a="1"/>
  <c r="J56" i="3" s="1"/>
  <c r="I56" i="3" a="1"/>
  <c r="I56" i="3" s="1"/>
  <c r="G56" i="3" a="1"/>
  <c r="G56" i="3" s="1"/>
  <c r="F56" i="3" a="1"/>
  <c r="F56" i="3" s="1"/>
  <c r="E56" i="3" a="1"/>
  <c r="E56" i="3" s="1"/>
  <c r="D56" i="3" a="1"/>
  <c r="D56" i="3" s="1"/>
  <c r="C56" i="3" a="1"/>
  <c r="C56" i="3" s="1"/>
  <c r="B56" i="3" a="1"/>
  <c r="B56" i="3" s="1"/>
  <c r="Q55" i="3" a="1"/>
  <c r="Q55" i="3" s="1"/>
  <c r="P55" i="3" a="1"/>
  <c r="P55" i="3" s="1"/>
  <c r="O55" i="3" a="1"/>
  <c r="O55" i="3" s="1"/>
  <c r="N55" i="3" a="1"/>
  <c r="N55" i="3" s="1"/>
  <c r="M55" i="3" a="1"/>
  <c r="M55" i="3" s="1"/>
  <c r="L55" i="3" a="1"/>
  <c r="L55" i="3" s="1"/>
  <c r="K55" i="3" a="1"/>
  <c r="K55" i="3" s="1"/>
  <c r="J55" i="3" a="1"/>
  <c r="J55" i="3" s="1"/>
  <c r="I55" i="3" a="1"/>
  <c r="I55" i="3" s="1"/>
  <c r="G55" i="3" a="1"/>
  <c r="G55" i="3" s="1"/>
  <c r="F55" i="3" a="1"/>
  <c r="F55" i="3" s="1"/>
  <c r="E55" i="3" a="1"/>
  <c r="E55" i="3" s="1"/>
  <c r="D55" i="3" a="1"/>
  <c r="D55" i="3" s="1"/>
  <c r="C55" i="3" a="1"/>
  <c r="C55" i="3" s="1"/>
  <c r="B55" i="3" a="1"/>
  <c r="B55" i="3" s="1"/>
  <c r="T54" i="3" a="1"/>
  <c r="T54" i="3" s="1"/>
  <c r="Q54" i="3" a="1"/>
  <c r="Q54" i="3" s="1"/>
  <c r="P54" i="3" a="1"/>
  <c r="P54" i="3" s="1"/>
  <c r="O54" i="3" a="1"/>
  <c r="O54" i="3" s="1"/>
  <c r="N54" i="3" a="1"/>
  <c r="N54" i="3" s="1"/>
  <c r="M54" i="3" a="1"/>
  <c r="M54" i="3" s="1"/>
  <c r="L54" i="3" a="1"/>
  <c r="L54" i="3" s="1"/>
  <c r="K54" i="3" a="1"/>
  <c r="K54" i="3" s="1"/>
  <c r="J54" i="3" a="1"/>
  <c r="J54" i="3" s="1"/>
  <c r="I54" i="3" a="1"/>
  <c r="I54" i="3" s="1"/>
  <c r="G54" i="3" a="1"/>
  <c r="G54" i="3" s="1"/>
  <c r="F54" i="3" a="1"/>
  <c r="F54" i="3" s="1"/>
  <c r="E54" i="3" a="1"/>
  <c r="E54" i="3" s="1"/>
  <c r="D54" i="3" a="1"/>
  <c r="D54" i="3" s="1"/>
  <c r="C54" i="3" a="1"/>
  <c r="C54" i="3" s="1"/>
  <c r="B54" i="3" a="1"/>
  <c r="B54" i="3" s="1"/>
  <c r="Z50" i="3" a="1"/>
  <c r="Z50" i="3" s="1"/>
  <c r="Y50" i="3" a="1"/>
  <c r="Y50" i="3" s="1"/>
  <c r="X50" i="3" a="1"/>
  <c r="X50" i="3" s="1"/>
  <c r="W50" i="3" a="1"/>
  <c r="W50" i="3" s="1"/>
  <c r="V50" i="3" a="1"/>
  <c r="V50" i="3" s="1"/>
  <c r="U50" i="3" a="1"/>
  <c r="U50" i="3" s="1"/>
  <c r="T50" i="3" a="1"/>
  <c r="T50" i="3" s="1"/>
  <c r="S50" i="3" a="1"/>
  <c r="S50" i="3" s="1"/>
  <c r="R50" i="3" a="1"/>
  <c r="R50" i="3" s="1"/>
  <c r="Q50" i="3" a="1"/>
  <c r="Q50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J50" i="3" a="1"/>
  <c r="J50" i="3" s="1"/>
  <c r="I50" i="3" a="1"/>
  <c r="I50" i="3" s="1"/>
  <c r="G50" i="3" a="1"/>
  <c r="G50" i="3" s="1"/>
  <c r="F50" i="3" a="1"/>
  <c r="F50" i="3" s="1"/>
  <c r="E50" i="3" a="1"/>
  <c r="E50" i="3" s="1"/>
  <c r="D50" i="3" a="1"/>
  <c r="D50" i="3" s="1"/>
  <c r="C50" i="3" a="1"/>
  <c r="C50" i="3" s="1"/>
  <c r="B50" i="3" a="1"/>
  <c r="B50" i="3" s="1"/>
  <c r="Z49" i="3" a="1"/>
  <c r="Z49" i="3" s="1"/>
  <c r="Y49" i="3" a="1"/>
  <c r="Y49" i="3" s="1"/>
  <c r="X49" i="3" a="1"/>
  <c r="X49" i="3" s="1"/>
  <c r="W49" i="3" a="1"/>
  <c r="W49" i="3" s="1"/>
  <c r="V49" i="3" a="1"/>
  <c r="V49" i="3" s="1"/>
  <c r="U49" i="3" a="1"/>
  <c r="U49" i="3" s="1"/>
  <c r="T49" i="3" a="1"/>
  <c r="T49" i="3" s="1"/>
  <c r="S49" i="3" a="1"/>
  <c r="S49" i="3" s="1"/>
  <c r="R49" i="3" a="1"/>
  <c r="R49" i="3" s="1"/>
  <c r="Q49" i="3" a="1"/>
  <c r="Q49" i="3" s="1"/>
  <c r="P49" i="3" a="1"/>
  <c r="P49" i="3" s="1"/>
  <c r="O49" i="3" a="1"/>
  <c r="O49" i="3" s="1"/>
  <c r="N49" i="3" a="1"/>
  <c r="N49" i="3" s="1"/>
  <c r="M49" i="3" a="1"/>
  <c r="M49" i="3" s="1"/>
  <c r="L49" i="3" a="1"/>
  <c r="L49" i="3" s="1"/>
  <c r="K49" i="3" a="1"/>
  <c r="K49" i="3" s="1"/>
  <c r="J49" i="3" a="1"/>
  <c r="J49" i="3" s="1"/>
  <c r="I49" i="3" a="1"/>
  <c r="I49" i="3" s="1"/>
  <c r="G49" i="3" a="1"/>
  <c r="G49" i="3" s="1"/>
  <c r="F49" i="3" a="1"/>
  <c r="F49" i="3" s="1"/>
  <c r="E49" i="3" a="1"/>
  <c r="E49" i="3" s="1"/>
  <c r="D49" i="3" a="1"/>
  <c r="D49" i="3" s="1"/>
  <c r="C49" i="3" a="1"/>
  <c r="C49" i="3" s="1"/>
  <c r="B49" i="3" a="1"/>
  <c r="B49" i="3" s="1"/>
  <c r="Z48" i="3" a="1"/>
  <c r="Z48" i="3" s="1"/>
  <c r="Y48" i="3" a="1"/>
  <c r="Y48" i="3" s="1"/>
  <c r="X48" i="3" a="1"/>
  <c r="X48" i="3" s="1"/>
  <c r="W48" i="3" a="1"/>
  <c r="W48" i="3" s="1"/>
  <c r="V48" i="3" a="1"/>
  <c r="V48" i="3" s="1"/>
  <c r="U48" i="3" a="1"/>
  <c r="U48" i="3" s="1"/>
  <c r="T48" i="3" a="1"/>
  <c r="T48" i="3" s="1"/>
  <c r="S48" i="3" a="1"/>
  <c r="S48" i="3" s="1"/>
  <c r="R48" i="3" a="1"/>
  <c r="R48" i="3" s="1"/>
  <c r="Q48" i="3" a="1"/>
  <c r="Q48" i="3" s="1"/>
  <c r="P48" i="3" a="1"/>
  <c r="P48" i="3" s="1"/>
  <c r="O48" i="3" a="1"/>
  <c r="O48" i="3" s="1"/>
  <c r="N48" i="3" a="1"/>
  <c r="N48" i="3" s="1"/>
  <c r="M48" i="3" a="1"/>
  <c r="M48" i="3" s="1"/>
  <c r="L48" i="3" a="1"/>
  <c r="L48" i="3" s="1"/>
  <c r="K48" i="3" a="1"/>
  <c r="K48" i="3" s="1"/>
  <c r="J48" i="3" a="1"/>
  <c r="J48" i="3" s="1"/>
  <c r="I48" i="3" a="1"/>
  <c r="I48" i="3" s="1"/>
  <c r="G48" i="3" a="1"/>
  <c r="G48" i="3" s="1"/>
  <c r="F48" i="3" a="1"/>
  <c r="F48" i="3" s="1"/>
  <c r="E48" i="3" a="1"/>
  <c r="E48" i="3" s="1"/>
  <c r="D48" i="3" a="1"/>
  <c r="D48" i="3" s="1"/>
  <c r="C48" i="3" a="1"/>
  <c r="C48" i="3" s="1"/>
  <c r="B48" i="3" a="1"/>
  <c r="B48" i="3" s="1"/>
  <c r="Z47" i="3" a="1"/>
  <c r="Z47" i="3" s="1"/>
  <c r="Y47" i="3" a="1"/>
  <c r="Y47" i="3" s="1"/>
  <c r="X47" i="3" a="1"/>
  <c r="X47" i="3" s="1"/>
  <c r="W47" i="3" a="1"/>
  <c r="W47" i="3" s="1"/>
  <c r="V47" i="3" a="1"/>
  <c r="V47" i="3" s="1"/>
  <c r="U47" i="3" a="1"/>
  <c r="U47" i="3" s="1"/>
  <c r="T47" i="3" a="1"/>
  <c r="T47" i="3" s="1"/>
  <c r="S47" i="3" a="1"/>
  <c r="S47" i="3" s="1"/>
  <c r="R47" i="3" a="1"/>
  <c r="R47" i="3" s="1"/>
  <c r="Q47" i="3" a="1"/>
  <c r="Q47" i="3" s="1"/>
  <c r="P47" i="3" a="1"/>
  <c r="P47" i="3" s="1"/>
  <c r="O47" i="3" a="1"/>
  <c r="O47" i="3" s="1"/>
  <c r="N47" i="3" a="1"/>
  <c r="N47" i="3" s="1"/>
  <c r="M47" i="3" a="1"/>
  <c r="M47" i="3" s="1"/>
  <c r="L47" i="3" a="1"/>
  <c r="L47" i="3" s="1"/>
  <c r="K47" i="3" a="1"/>
  <c r="K47" i="3" s="1"/>
  <c r="J47" i="3" a="1"/>
  <c r="J47" i="3" s="1"/>
  <c r="I47" i="3" a="1"/>
  <c r="I47" i="3" s="1"/>
  <c r="G47" i="3" a="1"/>
  <c r="G47" i="3" s="1"/>
  <c r="F47" i="3" a="1"/>
  <c r="F47" i="3" s="1"/>
  <c r="E47" i="3" a="1"/>
  <c r="E47" i="3" s="1"/>
  <c r="D47" i="3" a="1"/>
  <c r="D47" i="3" s="1"/>
  <c r="C47" i="3" a="1"/>
  <c r="C47" i="3" s="1"/>
  <c r="B47" i="3" a="1"/>
  <c r="B47" i="3" s="1"/>
  <c r="Z46" i="3" a="1"/>
  <c r="Z46" i="3" s="1"/>
  <c r="Y46" i="3" a="1"/>
  <c r="Y46" i="3" s="1"/>
  <c r="X46" i="3" a="1"/>
  <c r="X46" i="3" s="1"/>
  <c r="W46" i="3" a="1"/>
  <c r="W46" i="3" s="1"/>
  <c r="V46" i="3" a="1"/>
  <c r="V46" i="3" s="1"/>
  <c r="U46" i="3" a="1"/>
  <c r="U46" i="3" s="1"/>
  <c r="T46" i="3" a="1"/>
  <c r="T46" i="3" s="1"/>
  <c r="S46" i="3" a="1"/>
  <c r="S46" i="3" s="1"/>
  <c r="R46" i="3" a="1"/>
  <c r="R46" i="3" s="1"/>
  <c r="Q46" i="3" a="1"/>
  <c r="Q46" i="3" s="1"/>
  <c r="P46" i="3" a="1"/>
  <c r="P46" i="3" s="1"/>
  <c r="O46" i="3" a="1"/>
  <c r="O46" i="3" s="1"/>
  <c r="N46" i="3" a="1"/>
  <c r="N46" i="3" s="1"/>
  <c r="M46" i="3" a="1"/>
  <c r="M46" i="3" s="1"/>
  <c r="L46" i="3" a="1"/>
  <c r="L46" i="3" s="1"/>
  <c r="K46" i="3" a="1"/>
  <c r="K46" i="3" s="1"/>
  <c r="J46" i="3" a="1"/>
  <c r="J46" i="3" s="1"/>
  <c r="I46" i="3" a="1"/>
  <c r="I46" i="3" s="1"/>
  <c r="G46" i="3" a="1"/>
  <c r="G46" i="3" s="1"/>
  <c r="F46" i="3" a="1"/>
  <c r="F46" i="3" s="1"/>
  <c r="E46" i="3" a="1"/>
  <c r="E46" i="3" s="1"/>
  <c r="D46" i="3" a="1"/>
  <c r="D46" i="3" s="1"/>
  <c r="C46" i="3" a="1"/>
  <c r="C46" i="3" s="1"/>
  <c r="B46" i="3" a="1"/>
  <c r="B46" i="3" s="1"/>
  <c r="Z45" i="3" a="1"/>
  <c r="Z45" i="3" s="1"/>
  <c r="Y45" i="3" a="1"/>
  <c r="Y45" i="3" s="1"/>
  <c r="X45" i="3" a="1"/>
  <c r="X45" i="3" s="1"/>
  <c r="W45" i="3" a="1"/>
  <c r="W45" i="3" s="1"/>
  <c r="V45" i="3" a="1"/>
  <c r="V45" i="3" s="1"/>
  <c r="U45" i="3" a="1"/>
  <c r="U45" i="3" s="1"/>
  <c r="T45" i="3" a="1"/>
  <c r="T45" i="3" s="1"/>
  <c r="S45" i="3" a="1"/>
  <c r="S45" i="3" s="1"/>
  <c r="R45" i="3" a="1"/>
  <c r="R45" i="3" s="1"/>
  <c r="Q45" i="3" a="1"/>
  <c r="Q45" i="3" s="1"/>
  <c r="P45" i="3" a="1"/>
  <c r="P45" i="3" s="1"/>
  <c r="O45" i="3" a="1"/>
  <c r="O45" i="3" s="1"/>
  <c r="N45" i="3" a="1"/>
  <c r="N45" i="3" s="1"/>
  <c r="M45" i="3" a="1"/>
  <c r="M45" i="3" s="1"/>
  <c r="L45" i="3" a="1"/>
  <c r="L45" i="3" s="1"/>
  <c r="K45" i="3" a="1"/>
  <c r="K45" i="3" s="1"/>
  <c r="J45" i="3" a="1"/>
  <c r="J45" i="3" s="1"/>
  <c r="I45" i="3" a="1"/>
  <c r="I45" i="3" s="1"/>
  <c r="G45" i="3" a="1"/>
  <c r="G45" i="3" s="1"/>
  <c r="F45" i="3" a="1"/>
  <c r="F45" i="3" s="1"/>
  <c r="E45" i="3" a="1"/>
  <c r="E45" i="3" s="1"/>
  <c r="D45" i="3" a="1"/>
  <c r="D45" i="3" s="1"/>
  <c r="C45" i="3" a="1"/>
  <c r="C45" i="3" s="1"/>
  <c r="B45" i="3" a="1"/>
  <c r="B45" i="3" s="1"/>
  <c r="Z44" i="3" a="1"/>
  <c r="Z44" i="3" s="1"/>
  <c r="Y44" i="3" a="1"/>
  <c r="Y44" i="3" s="1"/>
  <c r="X44" i="3" a="1"/>
  <c r="X44" i="3" s="1"/>
  <c r="W44" i="3" a="1"/>
  <c r="W44" i="3" s="1"/>
  <c r="V44" i="3" a="1"/>
  <c r="V44" i="3" s="1"/>
  <c r="U44" i="3" a="1"/>
  <c r="U44" i="3" s="1"/>
  <c r="T44" i="3" a="1"/>
  <c r="T44" i="3" s="1"/>
  <c r="S44" i="3" a="1"/>
  <c r="S44" i="3" s="1"/>
  <c r="R44" i="3" a="1"/>
  <c r="R44" i="3" s="1"/>
  <c r="Q44" i="3" a="1"/>
  <c r="Q44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J44" i="3" a="1"/>
  <c r="J44" i="3" s="1"/>
  <c r="I44" i="3" a="1"/>
  <c r="I44" i="3" s="1"/>
  <c r="G44" i="3" a="1"/>
  <c r="G44" i="3" s="1"/>
  <c r="F44" i="3" a="1"/>
  <c r="F44" i="3" s="1"/>
  <c r="E44" i="3" a="1"/>
  <c r="E44" i="3" s="1"/>
  <c r="D44" i="3" a="1"/>
  <c r="D44" i="3" s="1"/>
  <c r="C44" i="3" a="1"/>
  <c r="C44" i="3" s="1"/>
  <c r="B44" i="3" a="1"/>
  <c r="B44" i="3" s="1"/>
  <c r="Z43" i="3" a="1"/>
  <c r="Z43" i="3" s="1"/>
  <c r="Y43" i="3" a="1"/>
  <c r="Y43" i="3" s="1"/>
  <c r="X43" i="3" a="1"/>
  <c r="X43" i="3" s="1"/>
  <c r="W43" i="3" a="1"/>
  <c r="W43" i="3" s="1"/>
  <c r="V43" i="3" a="1"/>
  <c r="V43" i="3" s="1"/>
  <c r="U43" i="3" a="1"/>
  <c r="U43" i="3" s="1"/>
  <c r="T43" i="3" a="1"/>
  <c r="T43" i="3" s="1"/>
  <c r="S43" i="3" a="1"/>
  <c r="S43" i="3" s="1"/>
  <c r="R43" i="3" a="1"/>
  <c r="R43" i="3" s="1"/>
  <c r="Q43" i="3" a="1"/>
  <c r="Q43" i="3" s="1"/>
  <c r="P43" i="3" a="1"/>
  <c r="P43" i="3" s="1"/>
  <c r="O43" i="3" a="1"/>
  <c r="O43" i="3" s="1"/>
  <c r="N43" i="3" a="1"/>
  <c r="N43" i="3" s="1"/>
  <c r="M43" i="3" a="1"/>
  <c r="M43" i="3" s="1"/>
  <c r="L43" i="3" a="1"/>
  <c r="L43" i="3" s="1"/>
  <c r="K43" i="3" a="1"/>
  <c r="K43" i="3" s="1"/>
  <c r="J43" i="3" a="1"/>
  <c r="J43" i="3" s="1"/>
  <c r="I43" i="3" a="1"/>
  <c r="I43" i="3" s="1"/>
  <c r="G43" i="3" a="1"/>
  <c r="G43" i="3" s="1"/>
  <c r="F43" i="3" a="1"/>
  <c r="F43" i="3" s="1"/>
  <c r="E43" i="3" a="1"/>
  <c r="E43" i="3" s="1"/>
  <c r="D43" i="3" a="1"/>
  <c r="D43" i="3" s="1"/>
  <c r="C43" i="3" a="1"/>
  <c r="C43" i="3" s="1"/>
  <c r="B43" i="3" a="1"/>
  <c r="B43" i="3" s="1"/>
  <c r="Z42" i="3" a="1"/>
  <c r="Z42" i="3" s="1"/>
  <c r="Y42" i="3" a="1"/>
  <c r="Y42" i="3" s="1"/>
  <c r="X42" i="3" a="1"/>
  <c r="X42" i="3" s="1"/>
  <c r="W42" i="3" a="1"/>
  <c r="W42" i="3" s="1"/>
  <c r="V42" i="3" a="1"/>
  <c r="V42" i="3" s="1"/>
  <c r="U42" i="3" a="1"/>
  <c r="U42" i="3" s="1"/>
  <c r="T42" i="3" a="1"/>
  <c r="T42" i="3" s="1"/>
  <c r="S42" i="3" a="1"/>
  <c r="S42" i="3" s="1"/>
  <c r="R42" i="3" a="1"/>
  <c r="R42" i="3" s="1"/>
  <c r="Q42" i="3" a="1"/>
  <c r="Q42" i="3" s="1"/>
  <c r="P42" i="3" a="1"/>
  <c r="P42" i="3" s="1"/>
  <c r="O42" i="3" a="1"/>
  <c r="O42" i="3" s="1"/>
  <c r="N42" i="3" a="1"/>
  <c r="N42" i="3" s="1"/>
  <c r="M42" i="3" a="1"/>
  <c r="M42" i="3" s="1"/>
  <c r="L42" i="3" a="1"/>
  <c r="L42" i="3" s="1"/>
  <c r="K42" i="3" a="1"/>
  <c r="K42" i="3" s="1"/>
  <c r="J42" i="3" a="1"/>
  <c r="J42" i="3" s="1"/>
  <c r="I42" i="3" a="1"/>
  <c r="I42" i="3" s="1"/>
  <c r="G42" i="3" a="1"/>
  <c r="G42" i="3" s="1"/>
  <c r="F42" i="3" a="1"/>
  <c r="F42" i="3" s="1"/>
  <c r="E42" i="3" a="1"/>
  <c r="E42" i="3" s="1"/>
  <c r="D42" i="3" a="1"/>
  <c r="D42" i="3" s="1"/>
  <c r="C42" i="3" a="1"/>
  <c r="C42" i="3" s="1"/>
  <c r="B42" i="3" a="1"/>
  <c r="B42" i="3" s="1"/>
  <c r="Z41" i="3" a="1"/>
  <c r="Z41" i="3" s="1"/>
  <c r="Y41" i="3" a="1"/>
  <c r="Y41" i="3" s="1"/>
  <c r="X41" i="3" a="1"/>
  <c r="X41" i="3" s="1"/>
  <c r="W41" i="3" a="1"/>
  <c r="W41" i="3" s="1"/>
  <c r="V41" i="3" a="1"/>
  <c r="V41" i="3" s="1"/>
  <c r="U41" i="3" a="1"/>
  <c r="U41" i="3" s="1"/>
  <c r="T41" i="3" a="1"/>
  <c r="T41" i="3" s="1"/>
  <c r="S41" i="3" a="1"/>
  <c r="S41" i="3" s="1"/>
  <c r="R41" i="3" a="1"/>
  <c r="R41" i="3" s="1"/>
  <c r="Q41" i="3" a="1"/>
  <c r="Q41" i="3" s="1"/>
  <c r="P41" i="3" a="1"/>
  <c r="P41" i="3" s="1"/>
  <c r="O41" i="3" a="1"/>
  <c r="O41" i="3" s="1"/>
  <c r="N41" i="3" a="1"/>
  <c r="N41" i="3" s="1"/>
  <c r="M41" i="3" a="1"/>
  <c r="M41" i="3" s="1"/>
  <c r="L41" i="3" a="1"/>
  <c r="L41" i="3" s="1"/>
  <c r="K41" i="3" a="1"/>
  <c r="K41" i="3" s="1"/>
  <c r="J41" i="3" a="1"/>
  <c r="J41" i="3" s="1"/>
  <c r="I41" i="3" a="1"/>
  <c r="I41" i="3" s="1"/>
  <c r="G41" i="3" a="1"/>
  <c r="G41" i="3" s="1"/>
  <c r="F41" i="3" a="1"/>
  <c r="F41" i="3" s="1"/>
  <c r="E41" i="3" a="1"/>
  <c r="E41" i="3" s="1"/>
  <c r="D41" i="3" a="1"/>
  <c r="D41" i="3" s="1"/>
  <c r="C41" i="3" a="1"/>
  <c r="C41" i="3" s="1"/>
  <c r="B41" i="3" a="1"/>
  <c r="B41" i="3" s="1"/>
  <c r="Z40" i="3" a="1"/>
  <c r="Z40" i="3" s="1"/>
  <c r="Y40" i="3" a="1"/>
  <c r="Y40" i="3" s="1"/>
  <c r="X40" i="3" a="1"/>
  <c r="X40" i="3" s="1"/>
  <c r="W40" i="3" a="1"/>
  <c r="W40" i="3" s="1"/>
  <c r="V40" i="3" a="1"/>
  <c r="V40" i="3" s="1"/>
  <c r="U40" i="3" a="1"/>
  <c r="U40" i="3" s="1"/>
  <c r="T40" i="3" a="1"/>
  <c r="T40" i="3" s="1"/>
  <c r="S40" i="3" a="1"/>
  <c r="S40" i="3" s="1"/>
  <c r="R40" i="3" a="1"/>
  <c r="R40" i="3" s="1"/>
  <c r="Q40" i="3" a="1"/>
  <c r="Q40" i="3" s="1"/>
  <c r="P40" i="3" a="1"/>
  <c r="P40" i="3" s="1"/>
  <c r="O40" i="3" a="1"/>
  <c r="O40" i="3" s="1"/>
  <c r="N40" i="3" a="1"/>
  <c r="N40" i="3" s="1"/>
  <c r="M40" i="3" a="1"/>
  <c r="M40" i="3" s="1"/>
  <c r="L40" i="3" a="1"/>
  <c r="L40" i="3" s="1"/>
  <c r="K40" i="3" a="1"/>
  <c r="K40" i="3" s="1"/>
  <c r="J40" i="3" a="1"/>
  <c r="J40" i="3" s="1"/>
  <c r="I40" i="3" a="1"/>
  <c r="I40" i="3" s="1"/>
  <c r="G40" i="3" a="1"/>
  <c r="G40" i="3" s="1"/>
  <c r="F40" i="3" a="1"/>
  <c r="F40" i="3" s="1"/>
  <c r="E40" i="3" a="1"/>
  <c r="E40" i="3" s="1"/>
  <c r="D40" i="3" a="1"/>
  <c r="D40" i="3" s="1"/>
  <c r="C40" i="3" a="1"/>
  <c r="C40" i="3" s="1"/>
  <c r="B40" i="3" a="1"/>
  <c r="B40" i="3" s="1"/>
  <c r="Z39" i="3" a="1"/>
  <c r="Z39" i="3" s="1"/>
  <c r="Y39" i="3" a="1"/>
  <c r="Y39" i="3" s="1"/>
  <c r="X39" i="3" a="1"/>
  <c r="X39" i="3" s="1"/>
  <c r="W39" i="3" a="1"/>
  <c r="W39" i="3" s="1"/>
  <c r="V39" i="3" a="1"/>
  <c r="V39" i="3" s="1"/>
  <c r="U39" i="3" a="1"/>
  <c r="U39" i="3" s="1"/>
  <c r="T39" i="3" a="1"/>
  <c r="T39" i="3" s="1"/>
  <c r="S39" i="3" a="1"/>
  <c r="S39" i="3" s="1"/>
  <c r="R39" i="3" a="1"/>
  <c r="R39" i="3" s="1"/>
  <c r="Q39" i="3" a="1"/>
  <c r="Q39" i="3" s="1"/>
  <c r="P39" i="3" a="1"/>
  <c r="P39" i="3" s="1"/>
  <c r="O39" i="3" a="1"/>
  <c r="O39" i="3" s="1"/>
  <c r="N39" i="3" a="1"/>
  <c r="N39" i="3" s="1"/>
  <c r="M39" i="3" a="1"/>
  <c r="M39" i="3" s="1"/>
  <c r="L39" i="3" a="1"/>
  <c r="L39" i="3" s="1"/>
  <c r="K39" i="3" a="1"/>
  <c r="K39" i="3" s="1"/>
  <c r="J39" i="3" a="1"/>
  <c r="J39" i="3" s="1"/>
  <c r="I39" i="3" a="1"/>
  <c r="I39" i="3" s="1"/>
  <c r="G39" i="3" a="1"/>
  <c r="G39" i="3" s="1"/>
  <c r="F39" i="3" a="1"/>
  <c r="F39" i="3" s="1"/>
  <c r="E39" i="3" a="1"/>
  <c r="E39" i="3" s="1"/>
  <c r="D39" i="3" a="1"/>
  <c r="D39" i="3" s="1"/>
  <c r="C39" i="3" a="1"/>
  <c r="C39" i="3" s="1"/>
  <c r="B39" i="3" a="1"/>
  <c r="B39" i="3" s="1"/>
  <c r="Z38" i="3" a="1"/>
  <c r="Z38" i="3" s="1"/>
  <c r="Y38" i="3" a="1"/>
  <c r="Y38" i="3" s="1"/>
  <c r="X38" i="3" a="1"/>
  <c r="X38" i="3" s="1"/>
  <c r="W38" i="3" a="1"/>
  <c r="W38" i="3" s="1"/>
  <c r="V38" i="3" a="1"/>
  <c r="V38" i="3" s="1"/>
  <c r="U38" i="3" a="1"/>
  <c r="U38" i="3" s="1"/>
  <c r="T38" i="3" a="1"/>
  <c r="T38" i="3" s="1"/>
  <c r="S38" i="3" a="1"/>
  <c r="S38" i="3" s="1"/>
  <c r="R38" i="3" a="1"/>
  <c r="R38" i="3" s="1"/>
  <c r="Q38" i="3" a="1"/>
  <c r="Q38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J38" i="3" a="1"/>
  <c r="J38" i="3" s="1"/>
  <c r="I38" i="3" a="1"/>
  <c r="I38" i="3" s="1"/>
  <c r="G38" i="3" a="1"/>
  <c r="G38" i="3" s="1"/>
  <c r="F38" i="3" a="1"/>
  <c r="F38" i="3" s="1"/>
  <c r="E38" i="3" a="1"/>
  <c r="E38" i="3" s="1"/>
  <c r="D38" i="3" a="1"/>
  <c r="D38" i="3" s="1"/>
  <c r="C38" i="3" a="1"/>
  <c r="C38" i="3" s="1"/>
  <c r="B38" i="3" a="1"/>
  <c r="B38" i="3" s="1"/>
  <c r="Z37" i="3" a="1"/>
  <c r="Z37" i="3" s="1"/>
  <c r="Y37" i="3" a="1"/>
  <c r="Y37" i="3" s="1"/>
  <c r="X37" i="3" a="1"/>
  <c r="X37" i="3" s="1"/>
  <c r="W37" i="3" a="1"/>
  <c r="W37" i="3" s="1"/>
  <c r="V37" i="3" a="1"/>
  <c r="V37" i="3" s="1"/>
  <c r="U37" i="3" a="1"/>
  <c r="U37" i="3" s="1"/>
  <c r="T37" i="3" a="1"/>
  <c r="T37" i="3" s="1"/>
  <c r="S37" i="3" a="1"/>
  <c r="S37" i="3" s="1"/>
  <c r="R37" i="3" a="1"/>
  <c r="R37" i="3" s="1"/>
  <c r="Q37" i="3" a="1"/>
  <c r="Q37" i="3" s="1"/>
  <c r="P37" i="3" a="1"/>
  <c r="P37" i="3" s="1"/>
  <c r="O37" i="3" a="1"/>
  <c r="O37" i="3" s="1"/>
  <c r="N37" i="3" a="1"/>
  <c r="N37" i="3" s="1"/>
  <c r="M37" i="3" a="1"/>
  <c r="M37" i="3" s="1"/>
  <c r="L37" i="3" a="1"/>
  <c r="L37" i="3" s="1"/>
  <c r="K37" i="3" a="1"/>
  <c r="K37" i="3" s="1"/>
  <c r="J37" i="3" a="1"/>
  <c r="J37" i="3" s="1"/>
  <c r="I37" i="3" a="1"/>
  <c r="I37" i="3" s="1"/>
  <c r="G37" i="3" a="1"/>
  <c r="G37" i="3" s="1"/>
  <c r="F37" i="3" a="1"/>
  <c r="F37" i="3" s="1"/>
  <c r="E37" i="3" a="1"/>
  <c r="E37" i="3" s="1"/>
  <c r="D37" i="3" a="1"/>
  <c r="D37" i="3" s="1"/>
  <c r="C37" i="3" a="1"/>
  <c r="C37" i="3" s="1"/>
  <c r="B37" i="3" a="1"/>
  <c r="B37" i="3" s="1"/>
  <c r="Z36" i="3" a="1"/>
  <c r="Z36" i="3" s="1"/>
  <c r="Y36" i="3" a="1"/>
  <c r="Y36" i="3" s="1"/>
  <c r="X36" i="3" a="1"/>
  <c r="X36" i="3" s="1"/>
  <c r="W36" i="3" a="1"/>
  <c r="W36" i="3" s="1"/>
  <c r="V36" i="3" a="1"/>
  <c r="V36" i="3" s="1"/>
  <c r="U36" i="3" a="1"/>
  <c r="U36" i="3" s="1"/>
  <c r="T36" i="3" a="1"/>
  <c r="T36" i="3" s="1"/>
  <c r="S36" i="3" a="1"/>
  <c r="S36" i="3" s="1"/>
  <c r="R36" i="3" a="1"/>
  <c r="R36" i="3" s="1"/>
  <c r="Q36" i="3" a="1"/>
  <c r="Q36" i="3" s="1"/>
  <c r="P36" i="3" a="1"/>
  <c r="P36" i="3" s="1"/>
  <c r="O36" i="3" a="1"/>
  <c r="O36" i="3" s="1"/>
  <c r="N36" i="3" a="1"/>
  <c r="N36" i="3" s="1"/>
  <c r="M36" i="3" a="1"/>
  <c r="M36" i="3" s="1"/>
  <c r="L36" i="3" a="1"/>
  <c r="L36" i="3" s="1"/>
  <c r="K36" i="3" a="1"/>
  <c r="K36" i="3" s="1"/>
  <c r="J36" i="3" a="1"/>
  <c r="J36" i="3" s="1"/>
  <c r="I36" i="3" a="1"/>
  <c r="I36" i="3" s="1"/>
  <c r="G36" i="3" a="1"/>
  <c r="G36" i="3" s="1"/>
  <c r="F36" i="3" a="1"/>
  <c r="F36" i="3" s="1"/>
  <c r="E36" i="3" a="1"/>
  <c r="E36" i="3" s="1"/>
  <c r="D36" i="3" a="1"/>
  <c r="D36" i="3" s="1"/>
  <c r="C36" i="3" a="1"/>
  <c r="C36" i="3" s="1"/>
  <c r="B36" i="3" a="1"/>
  <c r="B36" i="3" s="1"/>
  <c r="Z35" i="3" a="1"/>
  <c r="Z35" i="3" s="1"/>
  <c r="Y35" i="3" a="1"/>
  <c r="Y35" i="3" s="1"/>
  <c r="X35" i="3" a="1"/>
  <c r="X35" i="3" s="1"/>
  <c r="W35" i="3" a="1"/>
  <c r="W35" i="3" s="1"/>
  <c r="V35" i="3" a="1"/>
  <c r="V35" i="3" s="1"/>
  <c r="U35" i="3" a="1"/>
  <c r="U35" i="3" s="1"/>
  <c r="T35" i="3" a="1"/>
  <c r="T35" i="3" s="1"/>
  <c r="S35" i="3" a="1"/>
  <c r="S35" i="3" s="1"/>
  <c r="R35" i="3" a="1"/>
  <c r="R35" i="3" s="1"/>
  <c r="Q35" i="3" a="1"/>
  <c r="Q35" i="3" s="1"/>
  <c r="P35" i="3" a="1"/>
  <c r="P35" i="3" s="1"/>
  <c r="O35" i="3" a="1"/>
  <c r="O35" i="3" s="1"/>
  <c r="N35" i="3" a="1"/>
  <c r="N35" i="3" s="1"/>
  <c r="M35" i="3" a="1"/>
  <c r="M35" i="3" s="1"/>
  <c r="L35" i="3" a="1"/>
  <c r="L35" i="3" s="1"/>
  <c r="K35" i="3" a="1"/>
  <c r="K35" i="3" s="1"/>
  <c r="J35" i="3" a="1"/>
  <c r="J35" i="3" s="1"/>
  <c r="I35" i="3" a="1"/>
  <c r="I35" i="3" s="1"/>
  <c r="G35" i="3" a="1"/>
  <c r="G35" i="3" s="1"/>
  <c r="F35" i="3" a="1"/>
  <c r="F35" i="3" s="1"/>
  <c r="E35" i="3" a="1"/>
  <c r="E35" i="3" s="1"/>
  <c r="D35" i="3" a="1"/>
  <c r="D35" i="3" s="1"/>
  <c r="C35" i="3" a="1"/>
  <c r="C35" i="3" s="1"/>
  <c r="B35" i="3" a="1"/>
  <c r="B35" i="3" s="1"/>
  <c r="Z34" i="3" a="1"/>
  <c r="Z34" i="3" s="1"/>
  <c r="Y34" i="3" a="1"/>
  <c r="Y34" i="3" s="1"/>
  <c r="X34" i="3" a="1"/>
  <c r="X34" i="3" s="1"/>
  <c r="W34" i="3" a="1"/>
  <c r="W34" i="3" s="1"/>
  <c r="V34" i="3" a="1"/>
  <c r="V34" i="3" s="1"/>
  <c r="U34" i="3" a="1"/>
  <c r="U34" i="3" s="1"/>
  <c r="T34" i="3" a="1"/>
  <c r="T34" i="3" s="1"/>
  <c r="S34" i="3" a="1"/>
  <c r="S34" i="3" s="1"/>
  <c r="R34" i="3" a="1"/>
  <c r="R34" i="3" s="1"/>
  <c r="Q34" i="3" a="1"/>
  <c r="Q34" i="3" s="1"/>
  <c r="P34" i="3" a="1"/>
  <c r="P34" i="3" s="1"/>
  <c r="O34" i="3" a="1"/>
  <c r="O34" i="3" s="1"/>
  <c r="N34" i="3" a="1"/>
  <c r="N34" i="3" s="1"/>
  <c r="M34" i="3" a="1"/>
  <c r="M34" i="3" s="1"/>
  <c r="L34" i="3" a="1"/>
  <c r="L34" i="3" s="1"/>
  <c r="K34" i="3" a="1"/>
  <c r="K34" i="3" s="1"/>
  <c r="J34" i="3" a="1"/>
  <c r="J34" i="3" s="1"/>
  <c r="I34" i="3" a="1"/>
  <c r="I34" i="3" s="1"/>
  <c r="G34" i="3" a="1"/>
  <c r="G34" i="3" s="1"/>
  <c r="F34" i="3" a="1"/>
  <c r="F34" i="3" s="1"/>
  <c r="E34" i="3" a="1"/>
  <c r="E34" i="3" s="1"/>
  <c r="D34" i="3" a="1"/>
  <c r="D34" i="3" s="1"/>
  <c r="C34" i="3" a="1"/>
  <c r="C34" i="3" s="1"/>
  <c r="B34" i="3" a="1"/>
  <c r="B34" i="3" s="1"/>
  <c r="Z33" i="3" a="1"/>
  <c r="Z33" i="3" s="1"/>
  <c r="Y33" i="3" a="1"/>
  <c r="Y33" i="3" s="1"/>
  <c r="X33" i="3" a="1"/>
  <c r="X33" i="3" s="1"/>
  <c r="W33" i="3" a="1"/>
  <c r="W33" i="3" s="1"/>
  <c r="V33" i="3" a="1"/>
  <c r="V33" i="3" s="1"/>
  <c r="U33" i="3" a="1"/>
  <c r="U33" i="3" s="1"/>
  <c r="T33" i="3" a="1"/>
  <c r="T33" i="3" s="1"/>
  <c r="S33" i="3" a="1"/>
  <c r="S33" i="3" s="1"/>
  <c r="R33" i="3" a="1"/>
  <c r="R33" i="3" s="1"/>
  <c r="Q33" i="3" a="1"/>
  <c r="Q33" i="3" s="1"/>
  <c r="P33" i="3" a="1"/>
  <c r="P33" i="3" s="1"/>
  <c r="O33" i="3" a="1"/>
  <c r="O33" i="3" s="1"/>
  <c r="N33" i="3" a="1"/>
  <c r="N33" i="3" s="1"/>
  <c r="M33" i="3" a="1"/>
  <c r="M33" i="3" s="1"/>
  <c r="L33" i="3" a="1"/>
  <c r="L33" i="3" s="1"/>
  <c r="K33" i="3" a="1"/>
  <c r="K33" i="3" s="1"/>
  <c r="J33" i="3" a="1"/>
  <c r="J33" i="3" s="1"/>
  <c r="I33" i="3" a="1"/>
  <c r="I33" i="3" s="1"/>
  <c r="G33" i="3" a="1"/>
  <c r="G33" i="3" s="1"/>
  <c r="F33" i="3" a="1"/>
  <c r="F33" i="3" s="1"/>
  <c r="E33" i="3" a="1"/>
  <c r="E33" i="3" s="1"/>
  <c r="D33" i="3" a="1"/>
  <c r="D33" i="3" s="1"/>
  <c r="C33" i="3" a="1"/>
  <c r="C33" i="3" s="1"/>
  <c r="B33" i="3" a="1"/>
  <c r="B33" i="3" s="1"/>
  <c r="Z32" i="3" a="1"/>
  <c r="Z32" i="3" s="1"/>
  <c r="Y32" i="3" a="1"/>
  <c r="Y32" i="3" s="1"/>
  <c r="X32" i="3" a="1"/>
  <c r="X32" i="3" s="1"/>
  <c r="W32" i="3" a="1"/>
  <c r="W32" i="3" s="1"/>
  <c r="V32" i="3" a="1"/>
  <c r="V32" i="3" s="1"/>
  <c r="U32" i="3" a="1"/>
  <c r="U32" i="3" s="1"/>
  <c r="T32" i="3" a="1"/>
  <c r="T32" i="3" s="1"/>
  <c r="S32" i="3" a="1"/>
  <c r="S32" i="3" s="1"/>
  <c r="R32" i="3" a="1"/>
  <c r="R32" i="3" s="1"/>
  <c r="Q32" i="3" a="1"/>
  <c r="Q32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J32" i="3" a="1"/>
  <c r="J32" i="3" s="1"/>
  <c r="I32" i="3" a="1"/>
  <c r="I32" i="3" s="1"/>
  <c r="G32" i="3" a="1"/>
  <c r="G32" i="3" s="1"/>
  <c r="F32" i="3" a="1"/>
  <c r="F32" i="3" s="1"/>
  <c r="E32" i="3" a="1"/>
  <c r="E32" i="3" s="1"/>
  <c r="D32" i="3" a="1"/>
  <c r="D32" i="3" s="1"/>
  <c r="C32" i="3" a="1"/>
  <c r="C32" i="3" s="1"/>
  <c r="B32" i="3" a="1"/>
  <c r="B32" i="3" s="1"/>
  <c r="Z31" i="3" a="1"/>
  <c r="Z31" i="3" s="1"/>
  <c r="Y31" i="3" a="1"/>
  <c r="Y31" i="3" s="1"/>
  <c r="X31" i="3" a="1"/>
  <c r="X31" i="3" s="1"/>
  <c r="W31" i="3" a="1"/>
  <c r="W31" i="3" s="1"/>
  <c r="V31" i="3" a="1"/>
  <c r="V31" i="3" s="1"/>
  <c r="U31" i="3" a="1"/>
  <c r="U31" i="3" s="1"/>
  <c r="T31" i="3" a="1"/>
  <c r="T31" i="3" s="1"/>
  <c r="S31" i="3" a="1"/>
  <c r="S31" i="3" s="1"/>
  <c r="R31" i="3" a="1"/>
  <c r="R31" i="3" s="1"/>
  <c r="Q31" i="3" a="1"/>
  <c r="Q31" i="3" s="1"/>
  <c r="P31" i="3" a="1"/>
  <c r="P31" i="3" s="1"/>
  <c r="O31" i="3" a="1"/>
  <c r="O31" i="3" s="1"/>
  <c r="N31" i="3" a="1"/>
  <c r="N31" i="3" s="1"/>
  <c r="M31" i="3" a="1"/>
  <c r="M31" i="3" s="1"/>
  <c r="L31" i="3" a="1"/>
  <c r="L31" i="3" s="1"/>
  <c r="K31" i="3" a="1"/>
  <c r="K31" i="3" s="1"/>
  <c r="J31" i="3" a="1"/>
  <c r="J31" i="3" s="1"/>
  <c r="I31" i="3" a="1"/>
  <c r="I31" i="3" s="1"/>
  <c r="G31" i="3" a="1"/>
  <c r="G31" i="3" s="1"/>
  <c r="F31" i="3" a="1"/>
  <c r="F31" i="3" s="1"/>
  <c r="E31" i="3" a="1"/>
  <c r="E31" i="3" s="1"/>
  <c r="D31" i="3" a="1"/>
  <c r="D31" i="3" s="1"/>
  <c r="C31" i="3" a="1"/>
  <c r="C31" i="3" s="1"/>
  <c r="B31" i="3" a="1"/>
  <c r="B31" i="3" s="1"/>
  <c r="Q27" i="3" a="1"/>
  <c r="Q27" i="3" s="1"/>
  <c r="P27" i="3" a="1"/>
  <c r="P27" i="3" s="1"/>
  <c r="O27" i="3" a="1"/>
  <c r="O27" i="3" s="1"/>
  <c r="N27" i="3" a="1"/>
  <c r="N27" i="3" s="1"/>
  <c r="M27" i="3" a="1"/>
  <c r="M27" i="3" s="1"/>
  <c r="L27" i="3" a="1"/>
  <c r="L27" i="3" s="1"/>
  <c r="K27" i="3" a="1"/>
  <c r="K27" i="3" s="1"/>
  <c r="J27" i="3" a="1"/>
  <c r="J27" i="3" s="1"/>
  <c r="I27" i="3" a="1"/>
  <c r="I27" i="3" s="1"/>
  <c r="G27" i="3" a="1"/>
  <c r="G27" i="3" s="1"/>
  <c r="F27" i="3" a="1"/>
  <c r="F27" i="3" s="1"/>
  <c r="E27" i="3" a="1"/>
  <c r="E27" i="3" s="1"/>
  <c r="D27" i="3" a="1"/>
  <c r="D27" i="3" s="1"/>
  <c r="C27" i="3" a="1"/>
  <c r="C27" i="3" s="1"/>
  <c r="B27" i="3" a="1"/>
  <c r="B27" i="3" s="1"/>
  <c r="Q26" i="3" a="1"/>
  <c r="Q26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J26" i="3" a="1"/>
  <c r="J26" i="3" s="1"/>
  <c r="I26" i="3" a="1"/>
  <c r="I26" i="3" s="1"/>
  <c r="G26" i="3" a="1"/>
  <c r="G26" i="3" s="1"/>
  <c r="F26" i="3" a="1"/>
  <c r="F26" i="3" s="1"/>
  <c r="E26" i="3" a="1"/>
  <c r="E26" i="3" s="1"/>
  <c r="D26" i="3" a="1"/>
  <c r="D26" i="3" s="1"/>
  <c r="C26" i="3" a="1"/>
  <c r="C26" i="3" s="1"/>
  <c r="B26" i="3" a="1"/>
  <c r="B26" i="3" s="1"/>
  <c r="T25" i="3" a="1"/>
  <c r="T25" i="3" s="1"/>
  <c r="Z21" i="3" a="1"/>
  <c r="Z21" i="3" s="1"/>
  <c r="Y21" i="3" a="1"/>
  <c r="Y21" i="3" s="1"/>
  <c r="X21" i="3" a="1"/>
  <c r="X21" i="3" s="1"/>
  <c r="W21" i="3" a="1"/>
  <c r="W21" i="3" s="1"/>
  <c r="V21" i="3" a="1"/>
  <c r="V21" i="3" s="1"/>
  <c r="U21" i="3" a="1"/>
  <c r="U21" i="3" s="1"/>
  <c r="T21" i="3" a="1"/>
  <c r="T21" i="3" s="1"/>
  <c r="S21" i="3" a="1"/>
  <c r="S21" i="3" s="1"/>
  <c r="R21" i="3" a="1"/>
  <c r="R21" i="3" s="1"/>
  <c r="Q21" i="3" a="1"/>
  <c r="Q21" i="3" s="1"/>
  <c r="P21" i="3" a="1"/>
  <c r="P21" i="3" s="1"/>
  <c r="O21" i="3" a="1"/>
  <c r="O21" i="3" s="1"/>
  <c r="N21" i="3" a="1"/>
  <c r="N21" i="3" s="1"/>
  <c r="M21" i="3" a="1"/>
  <c r="M21" i="3" s="1"/>
  <c r="L21" i="3" a="1"/>
  <c r="L21" i="3" s="1"/>
  <c r="K21" i="3" a="1"/>
  <c r="K21" i="3" s="1"/>
  <c r="J21" i="3" a="1"/>
  <c r="J21" i="3" s="1"/>
  <c r="I21" i="3" a="1"/>
  <c r="I21" i="3" s="1"/>
  <c r="G21" i="3" a="1"/>
  <c r="G21" i="3" s="1"/>
  <c r="F21" i="3" a="1"/>
  <c r="F21" i="3" s="1"/>
  <c r="E21" i="3" a="1"/>
  <c r="E21" i="3" s="1"/>
  <c r="D21" i="3" a="1"/>
  <c r="D21" i="3" s="1"/>
  <c r="C21" i="3" a="1"/>
  <c r="C21" i="3" s="1"/>
  <c r="B21" i="3" a="1"/>
  <c r="B21" i="3" s="1"/>
  <c r="Z20" i="3" a="1"/>
  <c r="Z20" i="3" s="1"/>
  <c r="Y20" i="3" a="1"/>
  <c r="Y20" i="3" s="1"/>
  <c r="X20" i="3" a="1"/>
  <c r="X20" i="3" s="1"/>
  <c r="W20" i="3" a="1"/>
  <c r="W20" i="3" s="1"/>
  <c r="V20" i="3" a="1"/>
  <c r="V20" i="3" s="1"/>
  <c r="U20" i="3" a="1"/>
  <c r="U20" i="3" s="1"/>
  <c r="T20" i="3" a="1"/>
  <c r="T20" i="3" s="1"/>
  <c r="S20" i="3" a="1"/>
  <c r="S20" i="3" s="1"/>
  <c r="R20" i="3" a="1"/>
  <c r="R20" i="3" s="1"/>
  <c r="Q20" i="3" a="1"/>
  <c r="Q20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J20" i="3" a="1"/>
  <c r="J20" i="3" s="1"/>
  <c r="I20" i="3" a="1"/>
  <c r="I20" i="3" s="1"/>
  <c r="G20" i="3" a="1"/>
  <c r="G20" i="3" s="1"/>
  <c r="F20" i="3" a="1"/>
  <c r="F20" i="3" s="1"/>
  <c r="E20" i="3" a="1"/>
  <c r="E20" i="3" s="1"/>
  <c r="D20" i="3" a="1"/>
  <c r="D20" i="3" s="1"/>
  <c r="C20" i="3" a="1"/>
  <c r="C20" i="3" s="1"/>
  <c r="B20" i="3" a="1"/>
  <c r="B20" i="3" s="1"/>
  <c r="Z19" i="3" a="1"/>
  <c r="Z19" i="3" s="1"/>
  <c r="Y19" i="3" a="1"/>
  <c r="Y19" i="3" s="1"/>
  <c r="X19" i="3" a="1"/>
  <c r="X19" i="3" s="1"/>
  <c r="W19" i="3" a="1"/>
  <c r="W19" i="3" s="1"/>
  <c r="V19" i="3" a="1"/>
  <c r="V19" i="3" s="1"/>
  <c r="U19" i="3" a="1"/>
  <c r="U19" i="3" s="1"/>
  <c r="T19" i="3" a="1"/>
  <c r="T19" i="3" s="1"/>
  <c r="S19" i="3" a="1"/>
  <c r="S19" i="3" s="1"/>
  <c r="R19" i="3" a="1"/>
  <c r="R19" i="3" s="1"/>
  <c r="Q19" i="3" a="1"/>
  <c r="Q19" i="3" s="1"/>
  <c r="P19" i="3" a="1"/>
  <c r="P19" i="3" s="1"/>
  <c r="O19" i="3" a="1"/>
  <c r="O19" i="3" s="1"/>
  <c r="N19" i="3" a="1"/>
  <c r="N19" i="3" s="1"/>
  <c r="M19" i="3" a="1"/>
  <c r="M19" i="3" s="1"/>
  <c r="L19" i="3" a="1"/>
  <c r="L19" i="3" s="1"/>
  <c r="K19" i="3" a="1"/>
  <c r="K19" i="3" s="1"/>
  <c r="J19" i="3" a="1"/>
  <c r="J19" i="3" s="1"/>
  <c r="I19" i="3" a="1"/>
  <c r="I19" i="3" s="1"/>
  <c r="G19" i="3" a="1"/>
  <c r="G19" i="3" s="1"/>
  <c r="F19" i="3" a="1"/>
  <c r="F19" i="3" s="1"/>
  <c r="E19" i="3" a="1"/>
  <c r="E19" i="3" s="1"/>
  <c r="D19" i="3" a="1"/>
  <c r="D19" i="3" s="1"/>
  <c r="C19" i="3" a="1"/>
  <c r="C19" i="3" s="1"/>
  <c r="B19" i="3" a="1"/>
  <c r="B19" i="3" s="1"/>
  <c r="Z18" i="3" a="1"/>
  <c r="Z18" i="3" s="1"/>
  <c r="Y18" i="3" a="1"/>
  <c r="Y18" i="3" s="1"/>
  <c r="X18" i="3" a="1"/>
  <c r="X18" i="3" s="1"/>
  <c r="W18" i="3" a="1"/>
  <c r="W18" i="3" s="1"/>
  <c r="V18" i="3" a="1"/>
  <c r="V18" i="3" s="1"/>
  <c r="U18" i="3" a="1"/>
  <c r="U18" i="3" s="1"/>
  <c r="T18" i="3" a="1"/>
  <c r="T18" i="3" s="1"/>
  <c r="S18" i="3" a="1"/>
  <c r="S18" i="3" s="1"/>
  <c r="R18" i="3" a="1"/>
  <c r="R18" i="3" s="1"/>
  <c r="Q18" i="3" a="1"/>
  <c r="Q18" i="3" s="1"/>
  <c r="P18" i="3" a="1"/>
  <c r="P18" i="3" s="1"/>
  <c r="O18" i="3" a="1"/>
  <c r="O18" i="3" s="1"/>
  <c r="N18" i="3" a="1"/>
  <c r="N18" i="3" s="1"/>
  <c r="M18" i="3" a="1"/>
  <c r="M18" i="3" s="1"/>
  <c r="L18" i="3" a="1"/>
  <c r="L18" i="3" s="1"/>
  <c r="K18" i="3" a="1"/>
  <c r="K18" i="3" s="1"/>
  <c r="J18" i="3" a="1"/>
  <c r="J18" i="3" s="1"/>
  <c r="I18" i="3" a="1"/>
  <c r="I18" i="3" s="1"/>
  <c r="G18" i="3" a="1"/>
  <c r="G18" i="3" s="1"/>
  <c r="F18" i="3" a="1"/>
  <c r="F18" i="3" s="1"/>
  <c r="E18" i="3" a="1"/>
  <c r="E18" i="3" s="1"/>
  <c r="D18" i="3" a="1"/>
  <c r="D18" i="3" s="1"/>
  <c r="C18" i="3" a="1"/>
  <c r="C18" i="3" s="1"/>
  <c r="B18" i="3" a="1"/>
  <c r="B18" i="3" s="1"/>
  <c r="Z17" i="3" a="1"/>
  <c r="Z17" i="3" s="1"/>
  <c r="Y17" i="3" a="1"/>
  <c r="Y17" i="3" s="1"/>
  <c r="X17" i="3" a="1"/>
  <c r="X17" i="3" s="1"/>
  <c r="W17" i="3" a="1"/>
  <c r="W17" i="3" s="1"/>
  <c r="V17" i="3" a="1"/>
  <c r="V17" i="3" s="1"/>
  <c r="U17" i="3" a="1"/>
  <c r="U17" i="3" s="1"/>
  <c r="T17" i="3" a="1"/>
  <c r="T17" i="3" s="1"/>
  <c r="S17" i="3" a="1"/>
  <c r="S17" i="3" s="1"/>
  <c r="R17" i="3" a="1"/>
  <c r="R17" i="3" s="1"/>
  <c r="Q17" i="3" a="1"/>
  <c r="Q17" i="3" s="1"/>
  <c r="P17" i="3" a="1"/>
  <c r="P17" i="3" s="1"/>
  <c r="O17" i="3" a="1"/>
  <c r="O17" i="3" s="1"/>
  <c r="N17" i="3" a="1"/>
  <c r="N17" i="3" s="1"/>
  <c r="M17" i="3" a="1"/>
  <c r="M17" i="3" s="1"/>
  <c r="L17" i="3" a="1"/>
  <c r="L17" i="3" s="1"/>
  <c r="K17" i="3" a="1"/>
  <c r="K17" i="3" s="1"/>
  <c r="J17" i="3" a="1"/>
  <c r="J17" i="3" s="1"/>
  <c r="I17" i="3" a="1"/>
  <c r="I17" i="3" s="1"/>
  <c r="G17" i="3" a="1"/>
  <c r="G17" i="3" s="1"/>
  <c r="F17" i="3" a="1"/>
  <c r="F17" i="3" s="1"/>
  <c r="E17" i="3" a="1"/>
  <c r="E17" i="3" s="1"/>
  <c r="D17" i="3" a="1"/>
  <c r="D17" i="3" s="1"/>
  <c r="C17" i="3" a="1"/>
  <c r="C17" i="3" s="1"/>
  <c r="B17" i="3" a="1"/>
  <c r="B17" i="3" s="1"/>
  <c r="Z16" i="3" a="1"/>
  <c r="Z16" i="3" s="1"/>
  <c r="Y16" i="3" a="1"/>
  <c r="Y16" i="3" s="1"/>
  <c r="X16" i="3" a="1"/>
  <c r="X16" i="3" s="1"/>
  <c r="W16" i="3" a="1"/>
  <c r="W16" i="3" s="1"/>
  <c r="V16" i="3" a="1"/>
  <c r="V16" i="3" s="1"/>
  <c r="U16" i="3" a="1"/>
  <c r="U16" i="3" s="1"/>
  <c r="T16" i="3" a="1"/>
  <c r="T16" i="3" s="1"/>
  <c r="S16" i="3" a="1"/>
  <c r="S16" i="3" s="1"/>
  <c r="R16" i="3" a="1"/>
  <c r="R16" i="3" s="1"/>
  <c r="Q16" i="3" a="1"/>
  <c r="Q16" i="3" s="1"/>
  <c r="P16" i="3" a="1"/>
  <c r="P16" i="3" s="1"/>
  <c r="O16" i="3" a="1"/>
  <c r="O16" i="3" s="1"/>
  <c r="N16" i="3" a="1"/>
  <c r="N16" i="3" s="1"/>
  <c r="M16" i="3" a="1"/>
  <c r="M16" i="3" s="1"/>
  <c r="L16" i="3" a="1"/>
  <c r="L16" i="3" s="1"/>
  <c r="K16" i="3" a="1"/>
  <c r="K16" i="3" s="1"/>
  <c r="J16" i="3" a="1"/>
  <c r="J16" i="3" s="1"/>
  <c r="I16" i="3" a="1"/>
  <c r="I16" i="3" s="1"/>
  <c r="G16" i="3" a="1"/>
  <c r="G16" i="3" s="1"/>
  <c r="F16" i="3" a="1"/>
  <c r="F16" i="3" s="1"/>
  <c r="E16" i="3" a="1"/>
  <c r="E16" i="3" s="1"/>
  <c r="D16" i="3" a="1"/>
  <c r="D16" i="3" s="1"/>
  <c r="C16" i="3" a="1"/>
  <c r="C16" i="3" s="1"/>
  <c r="B16" i="3" a="1"/>
  <c r="B16" i="3" s="1"/>
  <c r="Z15" i="3" a="1"/>
  <c r="Z15" i="3" s="1"/>
  <c r="Y15" i="3" a="1"/>
  <c r="Y15" i="3" s="1"/>
  <c r="X15" i="3" a="1"/>
  <c r="X15" i="3" s="1"/>
  <c r="W15" i="3" a="1"/>
  <c r="W15" i="3" s="1"/>
  <c r="V15" i="3" a="1"/>
  <c r="V15" i="3" s="1"/>
  <c r="U15" i="3" a="1"/>
  <c r="U15" i="3" s="1"/>
  <c r="T15" i="3" a="1"/>
  <c r="T15" i="3" s="1"/>
  <c r="S15" i="3" a="1"/>
  <c r="S15" i="3" s="1"/>
  <c r="R15" i="3" a="1"/>
  <c r="R15" i="3" s="1"/>
  <c r="Q15" i="3" a="1"/>
  <c r="Q15" i="3" s="1"/>
  <c r="P15" i="3" a="1"/>
  <c r="P15" i="3" s="1"/>
  <c r="O15" i="3" a="1"/>
  <c r="O15" i="3" s="1"/>
  <c r="N15" i="3" a="1"/>
  <c r="N15" i="3" s="1"/>
  <c r="M15" i="3" a="1"/>
  <c r="M15" i="3" s="1"/>
  <c r="L15" i="3" a="1"/>
  <c r="L15" i="3" s="1"/>
  <c r="K15" i="3" a="1"/>
  <c r="K15" i="3" s="1"/>
  <c r="J15" i="3" a="1"/>
  <c r="J15" i="3" s="1"/>
  <c r="I15" i="3" a="1"/>
  <c r="I15" i="3" s="1"/>
  <c r="G15" i="3" a="1"/>
  <c r="G15" i="3" s="1"/>
  <c r="F15" i="3" a="1"/>
  <c r="F15" i="3" s="1"/>
  <c r="E15" i="3" a="1"/>
  <c r="E15" i="3" s="1"/>
  <c r="D15" i="3" a="1"/>
  <c r="D15" i="3" s="1"/>
  <c r="C15" i="3" a="1"/>
  <c r="C15" i="3" s="1"/>
  <c r="B15" i="3" a="1"/>
  <c r="B15" i="3" s="1"/>
  <c r="Z13" i="3" a="1"/>
  <c r="Z13" i="3" s="1"/>
  <c r="Y13" i="3" a="1"/>
  <c r="Y13" i="3" s="1"/>
  <c r="X13" i="3" a="1"/>
  <c r="X13" i="3" s="1"/>
  <c r="W13" i="3" a="1"/>
  <c r="W13" i="3" s="1"/>
  <c r="V13" i="3" a="1"/>
  <c r="V13" i="3" s="1"/>
  <c r="U13" i="3" a="1"/>
  <c r="U13" i="3" s="1"/>
  <c r="T13" i="3" a="1"/>
  <c r="T13" i="3" s="1"/>
  <c r="S13" i="3" a="1"/>
  <c r="S13" i="3" s="1"/>
  <c r="R13" i="3" a="1"/>
  <c r="R13" i="3" s="1"/>
  <c r="Q13" i="3" a="1"/>
  <c r="Q13" i="3" s="1"/>
  <c r="P13" i="3" a="1"/>
  <c r="P13" i="3" s="1"/>
  <c r="O13" i="3" a="1"/>
  <c r="O13" i="3" s="1"/>
  <c r="N13" i="3" a="1"/>
  <c r="N13" i="3" s="1"/>
  <c r="M13" i="3" a="1"/>
  <c r="M13" i="3" s="1"/>
  <c r="L13" i="3" a="1"/>
  <c r="L13" i="3" s="1"/>
  <c r="K13" i="3" a="1"/>
  <c r="K13" i="3" s="1"/>
  <c r="J13" i="3" a="1"/>
  <c r="J13" i="3" s="1"/>
  <c r="I13" i="3" a="1"/>
  <c r="I13" i="3" s="1"/>
  <c r="G13" i="3" a="1"/>
  <c r="G13" i="3" s="1"/>
  <c r="F13" i="3" a="1"/>
  <c r="F13" i="3" s="1"/>
  <c r="E13" i="3" a="1"/>
  <c r="E13" i="3" s="1"/>
  <c r="D13" i="3" a="1"/>
  <c r="D13" i="3" s="1"/>
  <c r="C13" i="3" a="1"/>
  <c r="C13" i="3" s="1"/>
  <c r="B13" i="3" a="1"/>
  <c r="B13" i="3" s="1"/>
  <c r="Z12" i="3" a="1"/>
  <c r="Z12" i="3" s="1"/>
  <c r="Y12" i="3" a="1"/>
  <c r="Y12" i="3" s="1"/>
  <c r="X12" i="3" a="1"/>
  <c r="X12" i="3" s="1"/>
  <c r="W12" i="3" a="1"/>
  <c r="W12" i="3" s="1"/>
  <c r="V12" i="3" a="1"/>
  <c r="V12" i="3" s="1"/>
  <c r="U12" i="3" a="1"/>
  <c r="U12" i="3" s="1"/>
  <c r="T12" i="3" a="1"/>
  <c r="T12" i="3" s="1"/>
  <c r="S12" i="3" a="1"/>
  <c r="S12" i="3" s="1"/>
  <c r="R12" i="3" a="1"/>
  <c r="R12" i="3" s="1"/>
  <c r="Q12" i="3" a="1"/>
  <c r="Q12" i="3" s="1"/>
  <c r="P12" i="3" a="1"/>
  <c r="P12" i="3" s="1"/>
  <c r="O12" i="3" a="1"/>
  <c r="O12" i="3" s="1"/>
  <c r="N12" i="3" a="1"/>
  <c r="N12" i="3" s="1"/>
  <c r="M12" i="3" a="1"/>
  <c r="M12" i="3" s="1"/>
  <c r="L12" i="3" a="1"/>
  <c r="L12" i="3" s="1"/>
  <c r="K12" i="3" a="1"/>
  <c r="K12" i="3" s="1"/>
  <c r="J12" i="3" a="1"/>
  <c r="J12" i="3" s="1"/>
  <c r="I12" i="3" a="1"/>
  <c r="I12" i="3" s="1"/>
  <c r="G12" i="3" a="1"/>
  <c r="G12" i="3" s="1"/>
  <c r="F12" i="3" a="1"/>
  <c r="F12" i="3" s="1"/>
  <c r="E12" i="3" a="1"/>
  <c r="E12" i="3" s="1"/>
  <c r="D12" i="3" a="1"/>
  <c r="D12" i="3" s="1"/>
  <c r="C12" i="3" a="1"/>
  <c r="C12" i="3" s="1"/>
  <c r="B12" i="3" a="1"/>
  <c r="B12" i="3" s="1"/>
  <c r="Z11" i="3" a="1"/>
  <c r="Z11" i="3" s="1"/>
  <c r="Y11" i="3" a="1"/>
  <c r="Y11" i="3" s="1"/>
  <c r="X11" i="3" a="1"/>
  <c r="X11" i="3" s="1"/>
  <c r="W11" i="3" a="1"/>
  <c r="W11" i="3" s="1"/>
  <c r="V11" i="3" a="1"/>
  <c r="V11" i="3" s="1"/>
  <c r="U11" i="3" a="1"/>
  <c r="U11" i="3" s="1"/>
  <c r="T11" i="3" a="1"/>
  <c r="T11" i="3" s="1"/>
  <c r="S11" i="3" a="1"/>
  <c r="S11" i="3" s="1"/>
  <c r="R11" i="3" a="1"/>
  <c r="R11" i="3" s="1"/>
  <c r="Q11" i="3" a="1"/>
  <c r="Q11" i="3" s="1"/>
  <c r="P11" i="3" a="1"/>
  <c r="P11" i="3" s="1"/>
  <c r="O11" i="3" a="1"/>
  <c r="O11" i="3" s="1"/>
  <c r="N11" i="3" a="1"/>
  <c r="N11" i="3" s="1"/>
  <c r="M11" i="3" a="1"/>
  <c r="M11" i="3" s="1"/>
  <c r="L11" i="3" a="1"/>
  <c r="L11" i="3" s="1"/>
  <c r="K11" i="3" a="1"/>
  <c r="K11" i="3" s="1"/>
  <c r="J11" i="3" a="1"/>
  <c r="J11" i="3" s="1"/>
  <c r="I11" i="3" a="1"/>
  <c r="I11" i="3" s="1"/>
  <c r="G11" i="3" a="1"/>
  <c r="G11" i="3" s="1"/>
  <c r="F11" i="3" a="1"/>
  <c r="F11" i="3" s="1"/>
  <c r="E11" i="3" a="1"/>
  <c r="E11" i="3" s="1"/>
  <c r="D11" i="3" a="1"/>
  <c r="D11" i="3" s="1"/>
  <c r="C11" i="3" a="1"/>
  <c r="C11" i="3" s="1"/>
  <c r="B11" i="3" a="1"/>
  <c r="B11" i="3" s="1"/>
  <c r="Z9" i="3" a="1"/>
  <c r="Z9" i="3" s="1"/>
  <c r="Y9" i="3" a="1"/>
  <c r="Y9" i="3" s="1"/>
  <c r="X9" i="3" a="1"/>
  <c r="X9" i="3" s="1"/>
  <c r="W9" i="3" a="1"/>
  <c r="W9" i="3" s="1"/>
  <c r="V9" i="3" a="1"/>
  <c r="V9" i="3" s="1"/>
  <c r="U9" i="3" a="1"/>
  <c r="U9" i="3" s="1"/>
  <c r="T9" i="3" a="1"/>
  <c r="T9" i="3" s="1"/>
  <c r="S9" i="3" a="1"/>
  <c r="S9" i="3" s="1"/>
  <c r="R9" i="3" a="1"/>
  <c r="R9" i="3" s="1"/>
  <c r="Q9" i="3" a="1"/>
  <c r="Q9" i="3" s="1"/>
  <c r="P9" i="3" a="1"/>
  <c r="P9" i="3" s="1"/>
  <c r="O9" i="3" a="1"/>
  <c r="O9" i="3" s="1"/>
  <c r="N9" i="3" a="1"/>
  <c r="N9" i="3" s="1"/>
  <c r="M9" i="3" a="1"/>
  <c r="M9" i="3" s="1"/>
  <c r="L9" i="3" a="1"/>
  <c r="L9" i="3" s="1"/>
  <c r="K9" i="3" a="1"/>
  <c r="K9" i="3" s="1"/>
  <c r="J9" i="3" a="1"/>
  <c r="J9" i="3" s="1"/>
  <c r="I9" i="3" a="1"/>
  <c r="I9" i="3" s="1"/>
  <c r="G9" i="3" a="1"/>
  <c r="G9" i="3" s="1"/>
  <c r="F9" i="3" a="1"/>
  <c r="F9" i="3" s="1"/>
  <c r="E9" i="3" a="1"/>
  <c r="E9" i="3" s="1"/>
  <c r="D9" i="3" a="1"/>
  <c r="D9" i="3" s="1"/>
  <c r="C9" i="3" a="1"/>
  <c r="C9" i="3" s="1"/>
  <c r="B9" i="3" a="1"/>
  <c r="B9" i="3" s="1"/>
  <c r="Z8" i="3" a="1"/>
  <c r="Z8" i="3" s="1"/>
  <c r="Y8" i="3" a="1"/>
  <c r="Y8" i="3" s="1"/>
  <c r="X8" i="3" a="1"/>
  <c r="X8" i="3" s="1"/>
  <c r="W8" i="3" a="1"/>
  <c r="W8" i="3" s="1"/>
  <c r="V8" i="3" a="1"/>
  <c r="V8" i="3" s="1"/>
  <c r="U8" i="3" a="1"/>
  <c r="U8" i="3" s="1"/>
  <c r="T8" i="3" a="1"/>
  <c r="T8" i="3" s="1"/>
  <c r="S8" i="3" a="1"/>
  <c r="S8" i="3" s="1"/>
  <c r="R8" i="3" a="1"/>
  <c r="R8" i="3" s="1"/>
  <c r="Q8" i="3" a="1"/>
  <c r="Q8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J8" i="3" a="1"/>
  <c r="J8" i="3" s="1"/>
  <c r="I8" i="3" a="1"/>
  <c r="I8" i="3" s="1"/>
  <c r="G8" i="3" a="1"/>
  <c r="G8" i="3" s="1"/>
  <c r="F8" i="3" a="1"/>
  <c r="F8" i="3" s="1"/>
  <c r="E8" i="3" a="1"/>
  <c r="E8" i="3" s="1"/>
  <c r="D8" i="3" a="1"/>
  <c r="D8" i="3" s="1"/>
  <c r="C8" i="3" a="1"/>
  <c r="C8" i="3" s="1"/>
  <c r="B8" i="3" a="1"/>
  <c r="B8" i="3" s="1"/>
  <c r="Z7" i="3" a="1"/>
  <c r="Z7" i="3" s="1"/>
  <c r="Y7" i="3" a="1"/>
  <c r="Y7" i="3" s="1"/>
  <c r="X7" i="3" a="1"/>
  <c r="X7" i="3" s="1"/>
  <c r="W7" i="3" a="1"/>
  <c r="W7" i="3" s="1"/>
  <c r="V7" i="3" a="1"/>
  <c r="V7" i="3" s="1"/>
  <c r="U7" i="3" a="1"/>
  <c r="U7" i="3" s="1"/>
  <c r="T7" i="3" a="1"/>
  <c r="T7" i="3" s="1"/>
  <c r="S7" i="3" a="1"/>
  <c r="S7" i="3" s="1"/>
  <c r="R7" i="3" a="1"/>
  <c r="R7" i="3" s="1"/>
  <c r="Q7" i="3" a="1"/>
  <c r="Q7" i="3" s="1"/>
  <c r="P7" i="3" a="1"/>
  <c r="P7" i="3" s="1"/>
  <c r="O7" i="3" a="1"/>
  <c r="O7" i="3" s="1"/>
  <c r="N7" i="3" a="1"/>
  <c r="N7" i="3" s="1"/>
  <c r="M7" i="3" a="1"/>
  <c r="M7" i="3" s="1"/>
  <c r="L7" i="3" a="1"/>
  <c r="L7" i="3" s="1"/>
  <c r="K7" i="3" a="1"/>
  <c r="K7" i="3" s="1"/>
  <c r="J7" i="3" a="1"/>
  <c r="J7" i="3" s="1"/>
  <c r="I7" i="3" a="1"/>
  <c r="I7" i="3" s="1"/>
  <c r="G7" i="3" a="1"/>
  <c r="G7" i="3" s="1"/>
  <c r="F7" i="3" a="1"/>
  <c r="F7" i="3" s="1"/>
  <c r="E7" i="3" a="1"/>
  <c r="E7" i="3" s="1"/>
  <c r="D7" i="3" a="1"/>
  <c r="D7" i="3" s="1"/>
  <c r="C7" i="3" a="1"/>
  <c r="C7" i="3" s="1"/>
  <c r="B7" i="3" a="1"/>
  <c r="B7" i="3" s="1"/>
  <c r="Z5" i="3" a="1"/>
  <c r="Z5" i="3" s="1"/>
  <c r="Y5" i="3" a="1"/>
  <c r="Y5" i="3" s="1"/>
  <c r="X5" i="3" a="1"/>
  <c r="X5" i="3" s="1"/>
  <c r="W5" i="3" a="1"/>
  <c r="W5" i="3" s="1"/>
  <c r="V5" i="3" a="1"/>
  <c r="V5" i="3" s="1"/>
  <c r="U5" i="3" a="1"/>
  <c r="U5" i="3" s="1"/>
  <c r="T5" i="3" a="1"/>
  <c r="T5" i="3" s="1"/>
  <c r="S5" i="3" a="1"/>
  <c r="S5" i="3" s="1"/>
  <c r="R5" i="3" a="1"/>
  <c r="R5" i="3" s="1"/>
  <c r="Q5" i="3" a="1"/>
  <c r="Q5" i="3" s="1"/>
  <c r="P5" i="3" a="1"/>
  <c r="P5" i="3" s="1"/>
  <c r="O5" i="3" a="1"/>
  <c r="O5" i="3" s="1"/>
  <c r="N5" i="3" a="1"/>
  <c r="N5" i="3" s="1"/>
  <c r="M5" i="3" a="1"/>
  <c r="M5" i="3" s="1"/>
  <c r="L5" i="3" a="1"/>
  <c r="L5" i="3" s="1"/>
  <c r="K5" i="3" a="1"/>
  <c r="K5" i="3" s="1"/>
  <c r="J5" i="3" a="1"/>
  <c r="J5" i="3" s="1"/>
  <c r="I5" i="3" a="1"/>
  <c r="I5" i="3" s="1"/>
  <c r="G5" i="3" a="1"/>
  <c r="G5" i="3" s="1"/>
  <c r="F5" i="3" a="1"/>
  <c r="F5" i="3" s="1"/>
  <c r="E5" i="3" a="1"/>
  <c r="E5" i="3" s="1"/>
  <c r="D5" i="3" a="1"/>
  <c r="D5" i="3" s="1"/>
  <c r="C5" i="3" a="1"/>
  <c r="C5" i="3" s="1"/>
  <c r="B5" i="3" a="1"/>
  <c r="B5" i="3" s="1"/>
  <c r="Z4" i="3" a="1"/>
  <c r="Z4" i="3" s="1"/>
  <c r="Y4" i="3" a="1"/>
  <c r="Y4" i="3" s="1"/>
  <c r="X4" i="3" a="1"/>
  <c r="X4" i="3" s="1"/>
  <c r="W4" i="3" a="1"/>
  <c r="W4" i="3" s="1"/>
  <c r="V4" i="3" a="1"/>
  <c r="V4" i="3" s="1"/>
  <c r="U4" i="3" a="1"/>
  <c r="U4" i="3" s="1"/>
  <c r="T4" i="3" a="1"/>
  <c r="T4" i="3" s="1"/>
  <c r="S4" i="3" a="1"/>
  <c r="S4" i="3" s="1"/>
  <c r="R4" i="3" a="1"/>
  <c r="R4" i="3" s="1"/>
  <c r="Q4" i="3" a="1"/>
  <c r="Q4" i="3" s="1"/>
  <c r="P4" i="3" a="1"/>
  <c r="P4" i="3" s="1"/>
  <c r="O4" i="3" a="1"/>
  <c r="O4" i="3" s="1"/>
  <c r="N4" i="3" a="1"/>
  <c r="N4" i="3" s="1"/>
  <c r="M4" i="3" a="1"/>
  <c r="M4" i="3" s="1"/>
  <c r="L4" i="3" a="1"/>
  <c r="L4" i="3" s="1"/>
  <c r="K4" i="3" a="1"/>
  <c r="K4" i="3" s="1"/>
  <c r="J4" i="3" a="1"/>
  <c r="J4" i="3" s="1"/>
  <c r="I4" i="3" a="1"/>
  <c r="I4" i="3" s="1"/>
  <c r="G4" i="3" a="1"/>
  <c r="G4" i="3" s="1"/>
  <c r="F4" i="3" a="1"/>
  <c r="F4" i="3" s="1"/>
  <c r="E4" i="3" a="1"/>
  <c r="E4" i="3" s="1"/>
  <c r="D4" i="3" a="1"/>
  <c r="D4" i="3" s="1"/>
  <c r="C4" i="3" a="1"/>
  <c r="C4" i="3" s="1"/>
  <c r="B4" i="3" a="1"/>
  <c r="B4" i="3" s="1"/>
  <c r="Z3" i="3" a="1"/>
  <c r="Z3" i="3" s="1"/>
  <c r="Y3" i="3" a="1"/>
  <c r="Y3" i="3" s="1"/>
  <c r="X3" i="3" a="1"/>
  <c r="X3" i="3" s="1"/>
  <c r="W3" i="3" a="1"/>
  <c r="W3" i="3" s="1"/>
  <c r="V3" i="3" a="1"/>
  <c r="V3" i="3" s="1"/>
  <c r="U3" i="3" a="1"/>
  <c r="U3" i="3" s="1"/>
  <c r="T3" i="3" a="1"/>
  <c r="T3" i="3" s="1"/>
  <c r="S3" i="3" a="1"/>
  <c r="S3" i="3" s="1"/>
  <c r="R3" i="3" a="1"/>
  <c r="R3" i="3" s="1"/>
  <c r="Q3" i="3" a="1"/>
  <c r="Q3" i="3" s="1"/>
  <c r="P3" i="3" a="1"/>
  <c r="P3" i="3" s="1"/>
  <c r="O3" i="3" a="1"/>
  <c r="O3" i="3" s="1"/>
  <c r="N3" i="3" a="1"/>
  <c r="N3" i="3" s="1"/>
  <c r="M3" i="3" a="1"/>
  <c r="M3" i="3" s="1"/>
  <c r="L3" i="3" a="1"/>
  <c r="L3" i="3" s="1"/>
  <c r="K3" i="3" a="1"/>
  <c r="K3" i="3" s="1"/>
  <c r="J3" i="3" a="1"/>
  <c r="J3" i="3" s="1"/>
  <c r="I3" i="3" a="1"/>
  <c r="I3" i="3" s="1"/>
  <c r="G3" i="3" a="1"/>
  <c r="G3" i="3" s="1"/>
  <c r="F3" i="3" a="1"/>
  <c r="F3" i="3" s="1"/>
  <c r="E3" i="3" a="1"/>
  <c r="E3" i="3" s="1"/>
  <c r="D3" i="3" a="1"/>
  <c r="D3" i="3" s="1"/>
  <c r="C3" i="3" a="1"/>
  <c r="C3" i="3" s="1"/>
  <c r="B3" i="3" a="1"/>
  <c r="B3" i="3" s="1"/>
  <c r="AH617" i="2" a="1"/>
  <c r="AH617" i="2" s="1"/>
  <c r="R617" i="2" a="1"/>
  <c r="R617" i="2" s="1"/>
  <c r="Q617" i="2" a="1"/>
  <c r="Q617" i="2" s="1"/>
  <c r="AG617" i="2" s="1" a="1"/>
  <c r="AG617" i="2" s="1"/>
  <c r="P617" i="2" a="1"/>
  <c r="P617" i="2" s="1"/>
  <c r="H617" i="2" a="1"/>
  <c r="H617" i="2" s="1"/>
  <c r="G617" i="2" a="1"/>
  <c r="G617" i="2" s="1"/>
  <c r="F617" i="2" a="1"/>
  <c r="F617" i="2" s="1"/>
  <c r="D617" i="2" a="1"/>
  <c r="D617" i="2" s="1"/>
  <c r="AH621" i="2" a="1"/>
  <c r="AH621" i="2" s="1"/>
  <c r="R621" i="2" a="1"/>
  <c r="R621" i="2" s="1"/>
  <c r="Q621" i="2" a="1"/>
  <c r="Q621" i="2" s="1"/>
  <c r="P621" i="2" a="1"/>
  <c r="P621" i="2" s="1"/>
  <c r="H621" i="2" a="1"/>
  <c r="H621" i="2" s="1"/>
  <c r="G621" i="2" a="1"/>
  <c r="G621" i="2" s="1"/>
  <c r="F621" i="2" a="1"/>
  <c r="F621" i="2" s="1"/>
  <c r="D621" i="2" a="1"/>
  <c r="D621" i="2" s="1"/>
  <c r="AH593" i="2" a="1"/>
  <c r="AH593" i="2" s="1"/>
  <c r="R593" i="2" a="1"/>
  <c r="R593" i="2" s="1"/>
  <c r="Q593" i="2" a="1"/>
  <c r="Q593" i="2" s="1"/>
  <c r="P593" i="2" a="1"/>
  <c r="P593" i="2" s="1"/>
  <c r="H593" i="2" a="1"/>
  <c r="H593" i="2" s="1"/>
  <c r="G593" i="2" a="1"/>
  <c r="G593" i="2" s="1"/>
  <c r="F593" i="2" a="1"/>
  <c r="F593" i="2" s="1"/>
  <c r="D593" i="2" a="1"/>
  <c r="D593" i="2" s="1"/>
  <c r="AH651" i="2" a="1"/>
  <c r="AH651" i="2" s="1"/>
  <c r="R651" i="2" a="1"/>
  <c r="R651" i="2" s="1"/>
  <c r="Q651" i="2" a="1"/>
  <c r="Q651" i="2" s="1"/>
  <c r="AG651" i="2" s="1" a="1"/>
  <c r="AG651" i="2" s="1"/>
  <c r="P651" i="2" a="1"/>
  <c r="P651" i="2" s="1"/>
  <c r="H651" i="2" a="1"/>
  <c r="H651" i="2" s="1"/>
  <c r="G651" i="2" a="1"/>
  <c r="G651" i="2" s="1"/>
  <c r="F651" i="2" a="1"/>
  <c r="F651" i="2" s="1"/>
  <c r="D651" i="2" a="1"/>
  <c r="D651" i="2" s="1"/>
  <c r="AH631" i="2" a="1"/>
  <c r="AH631" i="2" s="1"/>
  <c r="R631" i="2" a="1"/>
  <c r="R631" i="2" s="1"/>
  <c r="Q631" i="2" a="1"/>
  <c r="Q631" i="2" s="1"/>
  <c r="AA631" i="2" s="1" a="1"/>
  <c r="AA631" i="2" s="1"/>
  <c r="P631" i="2" a="1"/>
  <c r="P631" i="2" s="1"/>
  <c r="H631" i="2" a="1"/>
  <c r="H631" i="2" s="1"/>
  <c r="G631" i="2" a="1"/>
  <c r="G631" i="2" s="1"/>
  <c r="F631" i="2" a="1"/>
  <c r="F631" i="2" s="1"/>
  <c r="D631" i="2" a="1"/>
  <c r="D631" i="2" s="1"/>
  <c r="AH639" i="2" a="1"/>
  <c r="AH639" i="2" s="1"/>
  <c r="R639" i="2" a="1"/>
  <c r="R639" i="2" s="1"/>
  <c r="Q639" i="2" a="1"/>
  <c r="Q639" i="2" s="1"/>
  <c r="P639" i="2" a="1"/>
  <c r="P639" i="2" s="1"/>
  <c r="H639" i="2" a="1"/>
  <c r="H639" i="2" s="1"/>
  <c r="G639" i="2" a="1"/>
  <c r="G639" i="2" s="1"/>
  <c r="F639" i="2" a="1"/>
  <c r="F639" i="2" s="1"/>
  <c r="D639" i="2" a="1"/>
  <c r="D639" i="2" s="1"/>
  <c r="AH659" i="2" a="1"/>
  <c r="AH659" i="2" s="1"/>
  <c r="R659" i="2" a="1"/>
  <c r="R659" i="2" s="1"/>
  <c r="Q659" i="2" a="1"/>
  <c r="Q659" i="2" s="1"/>
  <c r="AF659" i="2" s="1" a="1"/>
  <c r="AF659" i="2" s="1"/>
  <c r="P659" i="2" a="1"/>
  <c r="P659" i="2" s="1"/>
  <c r="H659" i="2" a="1"/>
  <c r="H659" i="2" s="1"/>
  <c r="G659" i="2" a="1"/>
  <c r="G659" i="2" s="1"/>
  <c r="F659" i="2" a="1"/>
  <c r="F659" i="2" s="1"/>
  <c r="D659" i="2" a="1"/>
  <c r="D659" i="2" s="1"/>
  <c r="AH649" i="2" a="1"/>
  <c r="AH649" i="2" s="1"/>
  <c r="R649" i="2" a="1"/>
  <c r="R649" i="2" s="1"/>
  <c r="Q649" i="2" a="1"/>
  <c r="Q649" i="2" s="1"/>
  <c r="Y649" i="2" s="1" a="1"/>
  <c r="Y649" i="2" s="1"/>
  <c r="P649" i="2" a="1"/>
  <c r="P649" i="2" s="1"/>
  <c r="H649" i="2" a="1"/>
  <c r="H649" i="2" s="1"/>
  <c r="G649" i="2" a="1"/>
  <c r="G649" i="2" s="1"/>
  <c r="F649" i="2" a="1"/>
  <c r="F649" i="2" s="1"/>
  <c r="D649" i="2" a="1"/>
  <c r="D649" i="2" s="1"/>
  <c r="AH627" i="2" a="1"/>
  <c r="AH627" i="2" s="1"/>
  <c r="R627" i="2" a="1"/>
  <c r="R627" i="2" s="1"/>
  <c r="Q627" i="2" a="1"/>
  <c r="Q627" i="2" s="1"/>
  <c r="P627" i="2" a="1"/>
  <c r="P627" i="2" s="1"/>
  <c r="H627" i="2" a="1"/>
  <c r="H627" i="2" s="1"/>
  <c r="G627" i="2" a="1"/>
  <c r="G627" i="2" s="1"/>
  <c r="F627" i="2" a="1"/>
  <c r="F627" i="2" s="1"/>
  <c r="D627" i="2" a="1"/>
  <c r="D627" i="2" s="1"/>
  <c r="AH668" i="2" a="1"/>
  <c r="AH668" i="2" s="1"/>
  <c r="R668" i="2" a="1"/>
  <c r="R668" i="2" s="1"/>
  <c r="Q668" i="2" a="1"/>
  <c r="Q668" i="2" s="1"/>
  <c r="AA668" i="2" s="1" a="1"/>
  <c r="AA668" i="2" s="1"/>
  <c r="P668" i="2" a="1"/>
  <c r="P668" i="2" s="1"/>
  <c r="H668" i="2" a="1"/>
  <c r="H668" i="2" s="1"/>
  <c r="G668" i="2" a="1"/>
  <c r="G668" i="2" s="1"/>
  <c r="F668" i="2" a="1"/>
  <c r="F668" i="2" s="1"/>
  <c r="D668" i="2" a="1"/>
  <c r="D668" i="2" s="1"/>
  <c r="AH638" i="2" a="1"/>
  <c r="AH638" i="2" s="1"/>
  <c r="R638" i="2" a="1"/>
  <c r="R638" i="2" s="1"/>
  <c r="Q638" i="2" a="1"/>
  <c r="Q638" i="2" s="1"/>
  <c r="AG638" i="2" s="1" a="1"/>
  <c r="AG638" i="2" s="1"/>
  <c r="P638" i="2" a="1"/>
  <c r="P638" i="2" s="1"/>
  <c r="H638" i="2" a="1"/>
  <c r="H638" i="2" s="1"/>
  <c r="G638" i="2" a="1"/>
  <c r="G638" i="2" s="1"/>
  <c r="F638" i="2" a="1"/>
  <c r="F638" i="2" s="1"/>
  <c r="D638" i="2" a="1"/>
  <c r="D638" i="2" s="1"/>
  <c r="AH613" i="2" a="1"/>
  <c r="AH613" i="2" s="1"/>
  <c r="R613" i="2" a="1"/>
  <c r="R613" i="2" s="1"/>
  <c r="Q613" i="2" a="1"/>
  <c r="Q613" i="2" s="1"/>
  <c r="P613" i="2" a="1"/>
  <c r="P613" i="2" s="1"/>
  <c r="H613" i="2" a="1"/>
  <c r="H613" i="2" s="1"/>
  <c r="G613" i="2" a="1"/>
  <c r="G613" i="2" s="1"/>
  <c r="F613" i="2" a="1"/>
  <c r="F613" i="2" s="1"/>
  <c r="D613" i="2" a="1"/>
  <c r="D613" i="2" s="1"/>
  <c r="AH493" i="2" a="1"/>
  <c r="AH493" i="2" s="1"/>
  <c r="R493" i="2" a="1"/>
  <c r="R493" i="2" s="1"/>
  <c r="Q493" i="2" a="1"/>
  <c r="Q493" i="2" s="1"/>
  <c r="Y493" i="2" s="1" a="1"/>
  <c r="Y493" i="2" s="1"/>
  <c r="P493" i="2" a="1"/>
  <c r="P493" i="2" s="1"/>
  <c r="H493" i="2" a="1"/>
  <c r="H493" i="2" s="1"/>
  <c r="G493" i="2" a="1"/>
  <c r="G493" i="2" s="1"/>
  <c r="F493" i="2" a="1"/>
  <c r="F493" i="2" s="1"/>
  <c r="D493" i="2" a="1"/>
  <c r="D493" i="2" s="1"/>
  <c r="AH556" i="2" a="1"/>
  <c r="AH556" i="2" s="1"/>
  <c r="R556" i="2" a="1"/>
  <c r="R556" i="2" s="1"/>
  <c r="Q556" i="2" a="1"/>
  <c r="Q556" i="2" s="1"/>
  <c r="AG556" i="2" s="1" a="1"/>
  <c r="AG556" i="2" s="1"/>
  <c r="P556" i="2" a="1"/>
  <c r="P556" i="2" s="1"/>
  <c r="H556" i="2" a="1"/>
  <c r="H556" i="2" s="1"/>
  <c r="G556" i="2" a="1"/>
  <c r="G556" i="2" s="1"/>
  <c r="F556" i="2" a="1"/>
  <c r="F556" i="2" s="1"/>
  <c r="D556" i="2" a="1"/>
  <c r="D556" i="2" s="1"/>
  <c r="AH610" i="2" a="1"/>
  <c r="AH610" i="2" s="1"/>
  <c r="R610" i="2" a="1"/>
  <c r="R610" i="2" s="1"/>
  <c r="Q610" i="2" a="1"/>
  <c r="Q610" i="2" s="1"/>
  <c r="P610" i="2" a="1"/>
  <c r="P610" i="2" s="1"/>
  <c r="H610" i="2" a="1"/>
  <c r="H610" i="2" s="1"/>
  <c r="G610" i="2" a="1"/>
  <c r="G610" i="2" s="1"/>
  <c r="F610" i="2" a="1"/>
  <c r="F610" i="2" s="1"/>
  <c r="D610" i="2" a="1"/>
  <c r="D610" i="2" s="1"/>
  <c r="AH634" i="2" a="1"/>
  <c r="AH634" i="2" s="1"/>
  <c r="R634" i="2" a="1"/>
  <c r="R634" i="2" s="1"/>
  <c r="Q634" i="2" a="1"/>
  <c r="Q634" i="2" s="1"/>
  <c r="P634" i="2" a="1"/>
  <c r="P634" i="2" s="1"/>
  <c r="H634" i="2" a="1"/>
  <c r="H634" i="2" s="1"/>
  <c r="G634" i="2" a="1"/>
  <c r="G634" i="2" s="1"/>
  <c r="F634" i="2" a="1"/>
  <c r="F634" i="2" s="1"/>
  <c r="D634" i="2" a="1"/>
  <c r="D634" i="2" s="1"/>
  <c r="AH669" i="2" a="1"/>
  <c r="AH669" i="2" s="1"/>
  <c r="R669" i="2" a="1"/>
  <c r="R669" i="2" s="1"/>
  <c r="Q669" i="2" a="1"/>
  <c r="Q669" i="2" s="1"/>
  <c r="P669" i="2" a="1"/>
  <c r="P669" i="2" s="1"/>
  <c r="H669" i="2" a="1"/>
  <c r="H669" i="2" s="1"/>
  <c r="G669" i="2" a="1"/>
  <c r="G669" i="2" s="1"/>
  <c r="F669" i="2" a="1"/>
  <c r="F669" i="2" s="1"/>
  <c r="D669" i="2" a="1"/>
  <c r="D669" i="2" s="1"/>
  <c r="AH666" i="2" a="1"/>
  <c r="AH666" i="2" s="1"/>
  <c r="R666" i="2" a="1"/>
  <c r="R666" i="2" s="1"/>
  <c r="Q666" i="2" a="1"/>
  <c r="Q666" i="2" s="1"/>
  <c r="AB666" i="2" s="1" a="1"/>
  <c r="AB666" i="2" s="1"/>
  <c r="P666" i="2" a="1"/>
  <c r="P666" i="2" s="1"/>
  <c r="H666" i="2" a="1"/>
  <c r="H666" i="2" s="1"/>
  <c r="G666" i="2" a="1"/>
  <c r="G666" i="2" s="1"/>
  <c r="F666" i="2" a="1"/>
  <c r="F666" i="2" s="1"/>
  <c r="D666" i="2" a="1"/>
  <c r="D666" i="2" s="1"/>
  <c r="AH642" i="2" a="1"/>
  <c r="AH642" i="2" s="1"/>
  <c r="R642" i="2" a="1"/>
  <c r="R642" i="2" s="1"/>
  <c r="Q642" i="2" a="1"/>
  <c r="Q642" i="2" s="1"/>
  <c r="P642" i="2" a="1"/>
  <c r="P642" i="2" s="1"/>
  <c r="H642" i="2" a="1"/>
  <c r="H642" i="2" s="1"/>
  <c r="G642" i="2" a="1"/>
  <c r="G642" i="2" s="1"/>
  <c r="F642" i="2" a="1"/>
  <c r="F642" i="2" s="1"/>
  <c r="D642" i="2" a="1"/>
  <c r="D642" i="2" s="1"/>
  <c r="AH637" i="2" a="1"/>
  <c r="AH637" i="2" s="1"/>
  <c r="R637" i="2" a="1"/>
  <c r="R637" i="2" s="1"/>
  <c r="Q637" i="2" a="1"/>
  <c r="Q637" i="2" s="1"/>
  <c r="P637" i="2" a="1"/>
  <c r="P637" i="2" s="1"/>
  <c r="H637" i="2" a="1"/>
  <c r="H637" i="2" s="1"/>
  <c r="G637" i="2" a="1"/>
  <c r="G637" i="2" s="1"/>
  <c r="F637" i="2" a="1"/>
  <c r="F637" i="2" s="1"/>
  <c r="D637" i="2" a="1"/>
  <c r="D637" i="2" s="1"/>
  <c r="AH645" i="2" a="1"/>
  <c r="AH645" i="2" s="1"/>
  <c r="R645" i="2" a="1"/>
  <c r="R645" i="2" s="1"/>
  <c r="Q645" i="2" a="1"/>
  <c r="Q645" i="2" s="1"/>
  <c r="P645" i="2" a="1"/>
  <c r="P645" i="2" s="1"/>
  <c r="H645" i="2" a="1"/>
  <c r="H645" i="2" s="1"/>
  <c r="G645" i="2" a="1"/>
  <c r="G645" i="2" s="1"/>
  <c r="F645" i="2" a="1"/>
  <c r="F645" i="2" s="1"/>
  <c r="D645" i="2" a="1"/>
  <c r="D645" i="2" s="1"/>
  <c r="AH546" i="2" a="1"/>
  <c r="AH546" i="2" s="1"/>
  <c r="R546" i="2" a="1"/>
  <c r="R546" i="2" s="1"/>
  <c r="Q546" i="2" a="1"/>
  <c r="Q546" i="2" s="1"/>
  <c r="P546" i="2" a="1"/>
  <c r="P546" i="2" s="1"/>
  <c r="H546" i="2" a="1"/>
  <c r="H546" i="2" s="1"/>
  <c r="G546" i="2" a="1"/>
  <c r="G546" i="2" s="1"/>
  <c r="F546" i="2" a="1"/>
  <c r="F546" i="2" s="1"/>
  <c r="D546" i="2" a="1"/>
  <c r="D546" i="2" s="1"/>
  <c r="AH632" i="2" a="1"/>
  <c r="AH632" i="2" s="1"/>
  <c r="R632" i="2" a="1"/>
  <c r="R632" i="2" s="1"/>
  <c r="Q632" i="2" a="1"/>
  <c r="Q632" i="2" s="1"/>
  <c r="Y632" i="2" s="1" a="1"/>
  <c r="Y632" i="2" s="1"/>
  <c r="P632" i="2" a="1"/>
  <c r="P632" i="2" s="1"/>
  <c r="H632" i="2" a="1"/>
  <c r="H632" i="2" s="1"/>
  <c r="G632" i="2" a="1"/>
  <c r="G632" i="2" s="1"/>
  <c r="F632" i="2" a="1"/>
  <c r="F632" i="2" s="1"/>
  <c r="D632" i="2" a="1"/>
  <c r="D632" i="2" s="1"/>
  <c r="AH594" i="2" a="1"/>
  <c r="AH594" i="2" s="1"/>
  <c r="R594" i="2" a="1"/>
  <c r="R594" i="2" s="1"/>
  <c r="Q594" i="2" a="1"/>
  <c r="Q594" i="2" s="1"/>
  <c r="P594" i="2" a="1"/>
  <c r="P594" i="2" s="1"/>
  <c r="H594" i="2" a="1"/>
  <c r="H594" i="2" s="1"/>
  <c r="G594" i="2" a="1"/>
  <c r="G594" i="2" s="1"/>
  <c r="F594" i="2" a="1"/>
  <c r="F594" i="2" s="1"/>
  <c r="D594" i="2" a="1"/>
  <c r="D594" i="2" s="1"/>
  <c r="AH614" i="2" a="1"/>
  <c r="AH614" i="2" s="1"/>
  <c r="R614" i="2" a="1"/>
  <c r="R614" i="2" s="1"/>
  <c r="Q614" i="2" a="1"/>
  <c r="Q614" i="2" s="1"/>
  <c r="P614" i="2" a="1"/>
  <c r="P614" i="2" s="1"/>
  <c r="H614" i="2" a="1"/>
  <c r="H614" i="2" s="1"/>
  <c r="G614" i="2" a="1"/>
  <c r="G614" i="2" s="1"/>
  <c r="F614" i="2" a="1"/>
  <c r="F614" i="2" s="1"/>
  <c r="D614" i="2" a="1"/>
  <c r="D614" i="2" s="1"/>
  <c r="AH598" i="2" a="1"/>
  <c r="AH598" i="2" s="1"/>
  <c r="R598" i="2" a="1"/>
  <c r="R598" i="2" s="1"/>
  <c r="Q598" i="2" a="1"/>
  <c r="Q598" i="2" s="1"/>
  <c r="P598" i="2" a="1"/>
  <c r="P598" i="2" s="1"/>
  <c r="H598" i="2" a="1"/>
  <c r="H598" i="2" s="1"/>
  <c r="G598" i="2" a="1"/>
  <c r="G598" i="2" s="1"/>
  <c r="F598" i="2" a="1"/>
  <c r="F598" i="2" s="1"/>
  <c r="D598" i="2" a="1"/>
  <c r="D598" i="2" s="1"/>
  <c r="AH612" i="2" a="1"/>
  <c r="AH612" i="2" s="1"/>
  <c r="R612" i="2" a="1"/>
  <c r="R612" i="2" s="1"/>
  <c r="Q612" i="2" a="1"/>
  <c r="Q612" i="2" s="1"/>
  <c r="P612" i="2" a="1"/>
  <c r="P612" i="2" s="1"/>
  <c r="H612" i="2" a="1"/>
  <c r="H612" i="2" s="1"/>
  <c r="G612" i="2" a="1"/>
  <c r="G612" i="2" s="1"/>
  <c r="F612" i="2" a="1"/>
  <c r="F612" i="2" s="1"/>
  <c r="D612" i="2" a="1"/>
  <c r="D612" i="2" s="1"/>
  <c r="AH586" i="2" a="1"/>
  <c r="AH586" i="2" s="1"/>
  <c r="R586" i="2" a="1"/>
  <c r="R586" i="2" s="1"/>
  <c r="Q586" i="2" a="1"/>
  <c r="Q586" i="2" s="1"/>
  <c r="Y586" i="2" s="1" a="1"/>
  <c r="Y586" i="2" s="1"/>
  <c r="P586" i="2" a="1"/>
  <c r="P586" i="2" s="1"/>
  <c r="H586" i="2" a="1"/>
  <c r="H586" i="2" s="1"/>
  <c r="G586" i="2" a="1"/>
  <c r="G586" i="2" s="1"/>
  <c r="F586" i="2" a="1"/>
  <c r="F586" i="2" s="1"/>
  <c r="D586" i="2" a="1"/>
  <c r="D586" i="2" s="1"/>
  <c r="AH599" i="2" a="1"/>
  <c r="AH599" i="2" s="1"/>
  <c r="R599" i="2" a="1"/>
  <c r="R599" i="2" s="1"/>
  <c r="Q599" i="2" a="1"/>
  <c r="Q599" i="2" s="1"/>
  <c r="AG599" i="2" s="1" a="1"/>
  <c r="AG599" i="2" s="1"/>
  <c r="P599" i="2" a="1"/>
  <c r="P599" i="2" s="1"/>
  <c r="H599" i="2" a="1"/>
  <c r="H599" i="2" s="1"/>
  <c r="G599" i="2" a="1"/>
  <c r="G599" i="2" s="1"/>
  <c r="F599" i="2" a="1"/>
  <c r="F599" i="2" s="1"/>
  <c r="D599" i="2" a="1"/>
  <c r="D599" i="2" s="1"/>
  <c r="AH471" i="2" a="1"/>
  <c r="AH471" i="2" s="1"/>
  <c r="R471" i="2" a="1"/>
  <c r="R471" i="2" s="1"/>
  <c r="Q471" i="2" a="1"/>
  <c r="Q471" i="2" s="1"/>
  <c r="P471" i="2" a="1"/>
  <c r="P471" i="2" s="1"/>
  <c r="H471" i="2" a="1"/>
  <c r="H471" i="2" s="1"/>
  <c r="G471" i="2" a="1"/>
  <c r="G471" i="2" s="1"/>
  <c r="F471" i="2" a="1"/>
  <c r="F471" i="2" s="1"/>
  <c r="D471" i="2" a="1"/>
  <c r="D471" i="2" s="1"/>
  <c r="AH565" i="2" a="1"/>
  <c r="AH565" i="2" s="1"/>
  <c r="R565" i="2" a="1"/>
  <c r="R565" i="2" s="1"/>
  <c r="Q565" i="2" a="1"/>
  <c r="Q565" i="2" s="1"/>
  <c r="P565" i="2" a="1"/>
  <c r="P565" i="2" s="1"/>
  <c r="H565" i="2" a="1"/>
  <c r="H565" i="2" s="1"/>
  <c r="G565" i="2" a="1"/>
  <c r="G565" i="2" s="1"/>
  <c r="F565" i="2" a="1"/>
  <c r="F565" i="2" s="1"/>
  <c r="D565" i="2" a="1"/>
  <c r="D565" i="2" s="1"/>
  <c r="AH655" i="2" a="1"/>
  <c r="AH655" i="2" s="1"/>
  <c r="R655" i="2" a="1"/>
  <c r="R655" i="2" s="1"/>
  <c r="Q655" i="2" a="1"/>
  <c r="Q655" i="2" s="1"/>
  <c r="P655" i="2" a="1"/>
  <c r="P655" i="2" s="1"/>
  <c r="H655" i="2" a="1"/>
  <c r="H655" i="2" s="1"/>
  <c r="G655" i="2" a="1"/>
  <c r="G655" i="2" s="1"/>
  <c r="F655" i="2" a="1"/>
  <c r="F655" i="2" s="1"/>
  <c r="D655" i="2" a="1"/>
  <c r="D655" i="2" s="1"/>
  <c r="AH595" i="2" a="1"/>
  <c r="AH595" i="2" s="1"/>
  <c r="R595" i="2" a="1"/>
  <c r="R595" i="2" s="1"/>
  <c r="Q595" i="2" a="1"/>
  <c r="Q595" i="2" s="1"/>
  <c r="P595" i="2" a="1"/>
  <c r="P595" i="2" s="1"/>
  <c r="H595" i="2" a="1"/>
  <c r="H595" i="2" s="1"/>
  <c r="G595" i="2" a="1"/>
  <c r="G595" i="2" s="1"/>
  <c r="F595" i="2" a="1"/>
  <c r="F595" i="2" s="1"/>
  <c r="D595" i="2" a="1"/>
  <c r="D595" i="2" s="1"/>
  <c r="AH656" i="2" a="1"/>
  <c r="AH656" i="2" s="1"/>
  <c r="R656" i="2" a="1"/>
  <c r="R656" i="2" s="1"/>
  <c r="Q656" i="2" a="1"/>
  <c r="Q656" i="2" s="1"/>
  <c r="AF656" i="2" s="1" a="1"/>
  <c r="AF656" i="2" s="1"/>
  <c r="P656" i="2" a="1"/>
  <c r="P656" i="2" s="1"/>
  <c r="H656" i="2" a="1"/>
  <c r="H656" i="2" s="1"/>
  <c r="G656" i="2" a="1"/>
  <c r="G656" i="2" s="1"/>
  <c r="F656" i="2" a="1"/>
  <c r="F656" i="2" s="1"/>
  <c r="D656" i="2" a="1"/>
  <c r="D656" i="2" s="1"/>
  <c r="AH581" i="2" a="1"/>
  <c r="AH581" i="2" s="1"/>
  <c r="R581" i="2" a="1"/>
  <c r="R581" i="2" s="1"/>
  <c r="Q581" i="2" a="1"/>
  <c r="Q581" i="2" s="1"/>
  <c r="AB581" i="2" s="1" a="1"/>
  <c r="AB581" i="2" s="1"/>
  <c r="P581" i="2" a="1"/>
  <c r="P581" i="2" s="1"/>
  <c r="H581" i="2" a="1"/>
  <c r="H581" i="2" s="1"/>
  <c r="G581" i="2" a="1"/>
  <c r="G581" i="2" s="1"/>
  <c r="F581" i="2" a="1"/>
  <c r="F581" i="2" s="1"/>
  <c r="D581" i="2" a="1"/>
  <c r="D581" i="2" s="1"/>
  <c r="AH616" i="2" a="1"/>
  <c r="AH616" i="2" s="1"/>
  <c r="R616" i="2" a="1"/>
  <c r="R616" i="2" s="1"/>
  <c r="Q616" i="2" a="1"/>
  <c r="Q616" i="2" s="1"/>
  <c r="P616" i="2" a="1"/>
  <c r="P616" i="2" s="1"/>
  <c r="H616" i="2" a="1"/>
  <c r="H616" i="2" s="1"/>
  <c r="G616" i="2" a="1"/>
  <c r="G616" i="2" s="1"/>
  <c r="F616" i="2" a="1"/>
  <c r="F616" i="2" s="1"/>
  <c r="D616" i="2" a="1"/>
  <c r="D616" i="2" s="1"/>
  <c r="AH619" i="2" a="1"/>
  <c r="AH619" i="2" s="1"/>
  <c r="R619" i="2" a="1"/>
  <c r="R619" i="2" s="1"/>
  <c r="Q619" i="2" a="1"/>
  <c r="Q619" i="2" s="1"/>
  <c r="P619" i="2" a="1"/>
  <c r="P619" i="2" s="1"/>
  <c r="H619" i="2" a="1"/>
  <c r="H619" i="2" s="1"/>
  <c r="G619" i="2" a="1"/>
  <c r="G619" i="2" s="1"/>
  <c r="F619" i="2" a="1"/>
  <c r="F619" i="2" s="1"/>
  <c r="D619" i="2" a="1"/>
  <c r="D619" i="2" s="1"/>
  <c r="AH601" i="2" a="1"/>
  <c r="AH601" i="2" s="1"/>
  <c r="R601" i="2" a="1"/>
  <c r="R601" i="2" s="1"/>
  <c r="Q601" i="2" a="1"/>
  <c r="Q601" i="2" s="1"/>
  <c r="AA601" i="2" s="1" a="1"/>
  <c r="AA601" i="2" s="1"/>
  <c r="P601" i="2" a="1"/>
  <c r="P601" i="2" s="1"/>
  <c r="H601" i="2" a="1"/>
  <c r="H601" i="2" s="1"/>
  <c r="G601" i="2" a="1"/>
  <c r="G601" i="2" s="1"/>
  <c r="F601" i="2" a="1"/>
  <c r="F601" i="2" s="1"/>
  <c r="D601" i="2" a="1"/>
  <c r="D601" i="2" s="1"/>
  <c r="AH530" i="2" a="1"/>
  <c r="AH530" i="2" s="1"/>
  <c r="R530" i="2" a="1"/>
  <c r="R530" i="2" s="1"/>
  <c r="Q530" i="2" a="1"/>
  <c r="Q530" i="2" s="1"/>
  <c r="AA530" i="2" s="1" a="1"/>
  <c r="AA530" i="2" s="1"/>
  <c r="P530" i="2" a="1"/>
  <c r="P530" i="2" s="1"/>
  <c r="H530" i="2" a="1"/>
  <c r="H530" i="2" s="1"/>
  <c r="G530" i="2" a="1"/>
  <c r="G530" i="2" s="1"/>
  <c r="F530" i="2" a="1"/>
  <c r="F530" i="2" s="1"/>
  <c r="D530" i="2" a="1"/>
  <c r="D530" i="2" s="1"/>
  <c r="AH653" i="2" a="1"/>
  <c r="AH653" i="2" s="1"/>
  <c r="R653" i="2" a="1"/>
  <c r="R653" i="2" s="1"/>
  <c r="Q653" i="2" a="1"/>
  <c r="Q653" i="2" s="1"/>
  <c r="P653" i="2" a="1"/>
  <c r="P653" i="2" s="1"/>
  <c r="H653" i="2" a="1"/>
  <c r="H653" i="2" s="1"/>
  <c r="G653" i="2" a="1"/>
  <c r="G653" i="2" s="1"/>
  <c r="F653" i="2" a="1"/>
  <c r="F653" i="2" s="1"/>
  <c r="D653" i="2" a="1"/>
  <c r="D653" i="2" s="1"/>
  <c r="AH650" i="2" a="1"/>
  <c r="AH650" i="2" s="1"/>
  <c r="R650" i="2" a="1"/>
  <c r="R650" i="2" s="1"/>
  <c r="Q650" i="2" a="1"/>
  <c r="Q650" i="2" s="1"/>
  <c r="P650" i="2" a="1"/>
  <c r="P650" i="2" s="1"/>
  <c r="H650" i="2" a="1"/>
  <c r="H650" i="2" s="1"/>
  <c r="G650" i="2" a="1"/>
  <c r="G650" i="2" s="1"/>
  <c r="F650" i="2" a="1"/>
  <c r="F650" i="2" s="1"/>
  <c r="D650" i="2" a="1"/>
  <c r="D650" i="2" s="1"/>
  <c r="AH607" i="2" a="1"/>
  <c r="AH607" i="2" s="1"/>
  <c r="R607" i="2" a="1"/>
  <c r="R607" i="2" s="1"/>
  <c r="Q607" i="2" a="1"/>
  <c r="Q607" i="2" s="1"/>
  <c r="AG607" i="2" s="1" a="1"/>
  <c r="AG607" i="2" s="1"/>
  <c r="P607" i="2" a="1"/>
  <c r="P607" i="2" s="1"/>
  <c r="H607" i="2" a="1"/>
  <c r="H607" i="2" s="1"/>
  <c r="G607" i="2" a="1"/>
  <c r="G607" i="2" s="1"/>
  <c r="F607" i="2" a="1"/>
  <c r="F607" i="2" s="1"/>
  <c r="D607" i="2" a="1"/>
  <c r="D607" i="2" s="1"/>
  <c r="AH539" i="2" a="1"/>
  <c r="AH539" i="2" s="1"/>
  <c r="R539" i="2" a="1"/>
  <c r="R539" i="2" s="1"/>
  <c r="Q539" i="2" a="1"/>
  <c r="Q539" i="2" s="1"/>
  <c r="Z539" i="2" s="1" a="1"/>
  <c r="Z539" i="2" s="1"/>
  <c r="P539" i="2" a="1"/>
  <c r="P539" i="2" s="1"/>
  <c r="H539" i="2" a="1"/>
  <c r="H539" i="2" s="1"/>
  <c r="G539" i="2" a="1"/>
  <c r="G539" i="2" s="1"/>
  <c r="F539" i="2" a="1"/>
  <c r="F539" i="2" s="1"/>
  <c r="D539" i="2" a="1"/>
  <c r="D539" i="2" s="1"/>
  <c r="AH654" i="2" a="1"/>
  <c r="AH654" i="2" s="1"/>
  <c r="R654" i="2" a="1"/>
  <c r="R654" i="2" s="1"/>
  <c r="Q654" i="2" a="1"/>
  <c r="Q654" i="2" s="1"/>
  <c r="P654" i="2" a="1"/>
  <c r="P654" i="2" s="1"/>
  <c r="H654" i="2" a="1"/>
  <c r="H654" i="2" s="1"/>
  <c r="G654" i="2" a="1"/>
  <c r="G654" i="2" s="1"/>
  <c r="F654" i="2" a="1"/>
  <c r="F654" i="2" s="1"/>
  <c r="D654" i="2" a="1"/>
  <c r="D654" i="2" s="1"/>
  <c r="AH482" i="2" a="1"/>
  <c r="AH482" i="2" s="1"/>
  <c r="R482" i="2" a="1"/>
  <c r="R482" i="2" s="1"/>
  <c r="Q482" i="2" a="1"/>
  <c r="Q482" i="2" s="1"/>
  <c r="P482" i="2" a="1"/>
  <c r="P482" i="2" s="1"/>
  <c r="H482" i="2" a="1"/>
  <c r="H482" i="2" s="1"/>
  <c r="G482" i="2" a="1"/>
  <c r="G482" i="2" s="1"/>
  <c r="F482" i="2" a="1"/>
  <c r="F482" i="2" s="1"/>
  <c r="D482" i="2" a="1"/>
  <c r="D482" i="2" s="1"/>
  <c r="AH550" i="2" a="1"/>
  <c r="AH550" i="2" s="1"/>
  <c r="R550" i="2" a="1"/>
  <c r="R550" i="2" s="1"/>
  <c r="Q550" i="2" a="1"/>
  <c r="Q550" i="2" s="1"/>
  <c r="P550" i="2" a="1"/>
  <c r="P550" i="2" s="1"/>
  <c r="H550" i="2" a="1"/>
  <c r="H550" i="2" s="1"/>
  <c r="G550" i="2" a="1"/>
  <c r="G550" i="2" s="1"/>
  <c r="F550" i="2" a="1"/>
  <c r="F550" i="2" s="1"/>
  <c r="D550" i="2" a="1"/>
  <c r="D550" i="2" s="1"/>
  <c r="AH426" i="2" a="1"/>
  <c r="AH426" i="2" s="1"/>
  <c r="R426" i="2" a="1"/>
  <c r="R426" i="2" s="1"/>
  <c r="Q426" i="2" a="1"/>
  <c r="Q426" i="2" s="1"/>
  <c r="Z426" i="2" s="1" a="1"/>
  <c r="Z426" i="2" s="1"/>
  <c r="P426" i="2" a="1"/>
  <c r="P426" i="2" s="1"/>
  <c r="H426" i="2" a="1"/>
  <c r="H426" i="2" s="1"/>
  <c r="G426" i="2" a="1"/>
  <c r="G426" i="2" s="1"/>
  <c r="F426" i="2" a="1"/>
  <c r="F426" i="2" s="1"/>
  <c r="D426" i="2" a="1"/>
  <c r="D426" i="2" s="1"/>
  <c r="AH480" i="2" a="1"/>
  <c r="AH480" i="2" s="1"/>
  <c r="R480" i="2" a="1"/>
  <c r="R480" i="2" s="1"/>
  <c r="Q480" i="2" a="1"/>
  <c r="Q480" i="2" s="1"/>
  <c r="AA480" i="2" s="1" a="1"/>
  <c r="AA480" i="2" s="1"/>
  <c r="P480" i="2" a="1"/>
  <c r="P480" i="2" s="1"/>
  <c r="H480" i="2" a="1"/>
  <c r="H480" i="2" s="1"/>
  <c r="G480" i="2" a="1"/>
  <c r="G480" i="2" s="1"/>
  <c r="F480" i="2" a="1"/>
  <c r="F480" i="2" s="1"/>
  <c r="D480" i="2" a="1"/>
  <c r="D480" i="2" s="1"/>
  <c r="AH606" i="2" a="1"/>
  <c r="AH606" i="2" s="1"/>
  <c r="R606" i="2" a="1"/>
  <c r="R606" i="2" s="1"/>
  <c r="Q606" i="2" a="1"/>
  <c r="Q606" i="2" s="1"/>
  <c r="AB606" i="2" s="1" a="1"/>
  <c r="AB606" i="2" s="1"/>
  <c r="P606" i="2" a="1"/>
  <c r="P606" i="2" s="1"/>
  <c r="H606" i="2" a="1"/>
  <c r="H606" i="2" s="1"/>
  <c r="G606" i="2" a="1"/>
  <c r="G606" i="2" s="1"/>
  <c r="F606" i="2" a="1"/>
  <c r="F606" i="2" s="1"/>
  <c r="D606" i="2" a="1"/>
  <c r="D606" i="2" s="1"/>
  <c r="AH622" i="2" a="1"/>
  <c r="AH622" i="2" s="1"/>
  <c r="R622" i="2" a="1"/>
  <c r="R622" i="2" s="1"/>
  <c r="Q622" i="2" a="1"/>
  <c r="Q622" i="2" s="1"/>
  <c r="P622" i="2" a="1"/>
  <c r="P622" i="2" s="1"/>
  <c r="H622" i="2" a="1"/>
  <c r="H622" i="2" s="1"/>
  <c r="G622" i="2" a="1"/>
  <c r="G622" i="2" s="1"/>
  <c r="F622" i="2" a="1"/>
  <c r="F622" i="2" s="1"/>
  <c r="D622" i="2" a="1"/>
  <c r="D622" i="2" s="1"/>
  <c r="AH660" i="2" a="1"/>
  <c r="AH660" i="2" s="1"/>
  <c r="R660" i="2" a="1"/>
  <c r="R660" i="2" s="1"/>
  <c r="Q660" i="2" a="1"/>
  <c r="Q660" i="2" s="1"/>
  <c r="AA660" i="2" s="1" a="1"/>
  <c r="AA660" i="2" s="1"/>
  <c r="P660" i="2" a="1"/>
  <c r="P660" i="2" s="1"/>
  <c r="H660" i="2" a="1"/>
  <c r="H660" i="2" s="1"/>
  <c r="G660" i="2" a="1"/>
  <c r="G660" i="2" s="1"/>
  <c r="F660" i="2" a="1"/>
  <c r="F660" i="2" s="1"/>
  <c r="D660" i="2" a="1"/>
  <c r="D660" i="2" s="1"/>
  <c r="AH624" i="2" a="1"/>
  <c r="AH624" i="2" s="1"/>
  <c r="R624" i="2" a="1"/>
  <c r="R624" i="2" s="1"/>
  <c r="Q624" i="2" a="1"/>
  <c r="Q624" i="2" s="1"/>
  <c r="P624" i="2" a="1"/>
  <c r="P624" i="2" s="1"/>
  <c r="H624" i="2" a="1"/>
  <c r="H624" i="2" s="1"/>
  <c r="G624" i="2" a="1"/>
  <c r="G624" i="2" s="1"/>
  <c r="F624" i="2" a="1"/>
  <c r="F624" i="2" s="1"/>
  <c r="D624" i="2" a="1"/>
  <c r="D624" i="2" s="1"/>
  <c r="AH641" i="2" a="1"/>
  <c r="AH641" i="2" s="1"/>
  <c r="R641" i="2" a="1"/>
  <c r="R641" i="2" s="1"/>
  <c r="Q641" i="2" a="1"/>
  <c r="Q641" i="2" s="1"/>
  <c r="P641" i="2" a="1"/>
  <c r="P641" i="2" s="1"/>
  <c r="H641" i="2" a="1"/>
  <c r="H641" i="2" s="1"/>
  <c r="G641" i="2" a="1"/>
  <c r="G641" i="2" s="1"/>
  <c r="F641" i="2" a="1"/>
  <c r="F641" i="2" s="1"/>
  <c r="D641" i="2" a="1"/>
  <c r="D641" i="2" s="1"/>
  <c r="AH489" i="2" a="1"/>
  <c r="AH489" i="2" s="1"/>
  <c r="R489" i="2" a="1"/>
  <c r="R489" i="2" s="1"/>
  <c r="Q489" i="2" a="1"/>
  <c r="Q489" i="2" s="1"/>
  <c r="P489" i="2" a="1"/>
  <c r="P489" i="2" s="1"/>
  <c r="H489" i="2" a="1"/>
  <c r="H489" i="2" s="1"/>
  <c r="G489" i="2" a="1"/>
  <c r="G489" i="2" s="1"/>
  <c r="F489" i="2" a="1"/>
  <c r="F489" i="2" s="1"/>
  <c r="D489" i="2" a="1"/>
  <c r="D489" i="2" s="1"/>
  <c r="AH626" i="2" a="1"/>
  <c r="AH626" i="2" s="1"/>
  <c r="R626" i="2" a="1"/>
  <c r="R626" i="2" s="1"/>
  <c r="Q626" i="2" a="1"/>
  <c r="Q626" i="2" s="1"/>
  <c r="P626" i="2" a="1"/>
  <c r="P626" i="2" s="1"/>
  <c r="H626" i="2" a="1"/>
  <c r="H626" i="2" s="1"/>
  <c r="G626" i="2" a="1"/>
  <c r="G626" i="2" s="1"/>
  <c r="F626" i="2" a="1"/>
  <c r="F626" i="2" s="1"/>
  <c r="D626" i="2" a="1"/>
  <c r="D626" i="2" s="1"/>
  <c r="AH664" i="2" a="1"/>
  <c r="AH664" i="2" s="1"/>
  <c r="R664" i="2" a="1"/>
  <c r="R664" i="2" s="1"/>
  <c r="Q664" i="2" a="1"/>
  <c r="Q664" i="2" s="1"/>
  <c r="P664" i="2" a="1"/>
  <c r="P664" i="2" s="1"/>
  <c r="H664" i="2" a="1"/>
  <c r="H664" i="2" s="1"/>
  <c r="G664" i="2" a="1"/>
  <c r="G664" i="2" s="1"/>
  <c r="F664" i="2" a="1"/>
  <c r="F664" i="2" s="1"/>
  <c r="D664" i="2" a="1"/>
  <c r="D664" i="2" s="1"/>
  <c r="AH458" i="2" a="1"/>
  <c r="AH458" i="2" s="1"/>
  <c r="R458" i="2" a="1"/>
  <c r="R458" i="2" s="1"/>
  <c r="Q458" i="2" a="1"/>
  <c r="Q458" i="2" s="1"/>
  <c r="AD458" i="2" s="1" a="1"/>
  <c r="AD458" i="2" s="1"/>
  <c r="P458" i="2" a="1"/>
  <c r="P458" i="2" s="1"/>
  <c r="H458" i="2" a="1"/>
  <c r="H458" i="2" s="1"/>
  <c r="G458" i="2" a="1"/>
  <c r="G458" i="2" s="1"/>
  <c r="F458" i="2" a="1"/>
  <c r="F458" i="2" s="1"/>
  <c r="D458" i="2" a="1"/>
  <c r="D458" i="2" s="1"/>
  <c r="AH644" i="2" a="1"/>
  <c r="AH644" i="2" s="1"/>
  <c r="R644" i="2" a="1"/>
  <c r="R644" i="2" s="1"/>
  <c r="Q644" i="2" a="1"/>
  <c r="Q644" i="2" s="1"/>
  <c r="P644" i="2" a="1"/>
  <c r="P644" i="2" s="1"/>
  <c r="H644" i="2" a="1"/>
  <c r="H644" i="2" s="1"/>
  <c r="G644" i="2" a="1"/>
  <c r="G644" i="2" s="1"/>
  <c r="F644" i="2" a="1"/>
  <c r="F644" i="2" s="1"/>
  <c r="D644" i="2" a="1"/>
  <c r="D644" i="2" s="1"/>
  <c r="AH671" i="2" a="1"/>
  <c r="AH671" i="2" s="1"/>
  <c r="R671" i="2" a="1"/>
  <c r="R671" i="2" s="1"/>
  <c r="Q671" i="2" a="1"/>
  <c r="Q671" i="2" s="1"/>
  <c r="P671" i="2" a="1"/>
  <c r="P671" i="2" s="1"/>
  <c r="H671" i="2" a="1"/>
  <c r="H671" i="2" s="1"/>
  <c r="G671" i="2" a="1"/>
  <c r="G671" i="2" s="1"/>
  <c r="F671" i="2" a="1"/>
  <c r="F671" i="2" s="1"/>
  <c r="D671" i="2" a="1"/>
  <c r="D671" i="2" s="1"/>
  <c r="AH583" i="2" a="1"/>
  <c r="AH583" i="2" s="1"/>
  <c r="R583" i="2" a="1"/>
  <c r="R583" i="2" s="1"/>
  <c r="Q583" i="2" a="1"/>
  <c r="Q583" i="2" s="1"/>
  <c r="P583" i="2" a="1"/>
  <c r="P583" i="2" s="1"/>
  <c r="H583" i="2" a="1"/>
  <c r="H583" i="2" s="1"/>
  <c r="G583" i="2" a="1"/>
  <c r="G583" i="2" s="1"/>
  <c r="F583" i="2" a="1"/>
  <c r="F583" i="2" s="1"/>
  <c r="D583" i="2" a="1"/>
  <c r="D583" i="2" s="1"/>
  <c r="AH554" i="2" a="1"/>
  <c r="AH554" i="2" s="1"/>
  <c r="R554" i="2" a="1"/>
  <c r="R554" i="2" s="1"/>
  <c r="Q554" i="2" a="1"/>
  <c r="Q554" i="2" s="1"/>
  <c r="P554" i="2" a="1"/>
  <c r="P554" i="2" s="1"/>
  <c r="H554" i="2" a="1"/>
  <c r="H554" i="2" s="1"/>
  <c r="G554" i="2" a="1"/>
  <c r="G554" i="2" s="1"/>
  <c r="F554" i="2" a="1"/>
  <c r="F554" i="2" s="1"/>
  <c r="D554" i="2" a="1"/>
  <c r="D554" i="2" s="1"/>
  <c r="AH633" i="2" a="1"/>
  <c r="AH633" i="2" s="1"/>
  <c r="R633" i="2" a="1"/>
  <c r="R633" i="2" s="1"/>
  <c r="Q633" i="2" a="1"/>
  <c r="Q633" i="2" s="1"/>
  <c r="AD633" i="2" s="1" a="1"/>
  <c r="AD633" i="2" s="1"/>
  <c r="P633" i="2" a="1"/>
  <c r="P633" i="2" s="1"/>
  <c r="H633" i="2" a="1"/>
  <c r="H633" i="2" s="1"/>
  <c r="G633" i="2" a="1"/>
  <c r="G633" i="2" s="1"/>
  <c r="F633" i="2" a="1"/>
  <c r="F633" i="2" s="1"/>
  <c r="D633" i="2" a="1"/>
  <c r="D633" i="2" s="1"/>
  <c r="AH474" i="2" a="1"/>
  <c r="AH474" i="2" s="1"/>
  <c r="R474" i="2" a="1"/>
  <c r="R474" i="2" s="1"/>
  <c r="Q474" i="2" a="1"/>
  <c r="Q474" i="2" s="1"/>
  <c r="P474" i="2" a="1"/>
  <c r="P474" i="2" s="1"/>
  <c r="H474" i="2" a="1"/>
  <c r="H474" i="2" s="1"/>
  <c r="G474" i="2" a="1"/>
  <c r="G474" i="2" s="1"/>
  <c r="F474" i="2" a="1"/>
  <c r="F474" i="2" s="1"/>
  <c r="D474" i="2" a="1"/>
  <c r="D474" i="2" s="1"/>
  <c r="AH630" i="2" a="1"/>
  <c r="AH630" i="2" s="1"/>
  <c r="R630" i="2" a="1"/>
  <c r="R630" i="2" s="1"/>
  <c r="Q630" i="2" a="1"/>
  <c r="Q630" i="2" s="1"/>
  <c r="P630" i="2" a="1"/>
  <c r="P630" i="2" s="1"/>
  <c r="H630" i="2" a="1"/>
  <c r="H630" i="2" s="1"/>
  <c r="G630" i="2" a="1"/>
  <c r="G630" i="2" s="1"/>
  <c r="F630" i="2" a="1"/>
  <c r="F630" i="2" s="1"/>
  <c r="D630" i="2" a="1"/>
  <c r="D630" i="2" s="1"/>
  <c r="AH574" i="2" a="1"/>
  <c r="AH574" i="2" s="1"/>
  <c r="R574" i="2" a="1"/>
  <c r="R574" i="2" s="1"/>
  <c r="Q574" i="2" a="1"/>
  <c r="Q574" i="2" s="1"/>
  <c r="P574" i="2" a="1"/>
  <c r="P574" i="2" s="1"/>
  <c r="H574" i="2" a="1"/>
  <c r="H574" i="2" s="1"/>
  <c r="G574" i="2" a="1"/>
  <c r="G574" i="2" s="1"/>
  <c r="F574" i="2" a="1"/>
  <c r="F574" i="2" s="1"/>
  <c r="D574" i="2" a="1"/>
  <c r="D574" i="2" s="1"/>
  <c r="AH522" i="2" a="1"/>
  <c r="AH522" i="2" s="1"/>
  <c r="R522" i="2" a="1"/>
  <c r="R522" i="2" s="1"/>
  <c r="Q522" i="2" a="1"/>
  <c r="Q522" i="2" s="1"/>
  <c r="P522" i="2" a="1"/>
  <c r="P522" i="2" s="1"/>
  <c r="H522" i="2" a="1"/>
  <c r="H522" i="2" s="1"/>
  <c r="G522" i="2" a="1"/>
  <c r="G522" i="2" s="1"/>
  <c r="F522" i="2" a="1"/>
  <c r="F522" i="2" s="1"/>
  <c r="D522" i="2" a="1"/>
  <c r="D522" i="2" s="1"/>
  <c r="AH611" i="2" a="1"/>
  <c r="AH611" i="2" s="1"/>
  <c r="R611" i="2" a="1"/>
  <c r="R611" i="2" s="1"/>
  <c r="Q611" i="2" a="1"/>
  <c r="Q611" i="2" s="1"/>
  <c r="AD611" i="2" s="1" a="1"/>
  <c r="AD611" i="2" s="1"/>
  <c r="P611" i="2" a="1"/>
  <c r="P611" i="2" s="1"/>
  <c r="H611" i="2" a="1"/>
  <c r="H611" i="2" s="1"/>
  <c r="G611" i="2" a="1"/>
  <c r="G611" i="2" s="1"/>
  <c r="F611" i="2" a="1"/>
  <c r="F611" i="2" s="1"/>
  <c r="D611" i="2" a="1"/>
  <c r="D611" i="2" s="1"/>
  <c r="AH648" i="2" a="1"/>
  <c r="AH648" i="2" s="1"/>
  <c r="R648" i="2" a="1"/>
  <c r="R648" i="2" s="1"/>
  <c r="Q648" i="2" a="1"/>
  <c r="Q648" i="2" s="1"/>
  <c r="P648" i="2" a="1"/>
  <c r="P648" i="2" s="1"/>
  <c r="H648" i="2" a="1"/>
  <c r="H648" i="2" s="1"/>
  <c r="G648" i="2" a="1"/>
  <c r="G648" i="2" s="1"/>
  <c r="F648" i="2" a="1"/>
  <c r="F648" i="2" s="1"/>
  <c r="D648" i="2" a="1"/>
  <c r="D648" i="2" s="1"/>
  <c r="AH457" i="2" a="1"/>
  <c r="AH457" i="2" s="1"/>
  <c r="R457" i="2" a="1"/>
  <c r="R457" i="2" s="1"/>
  <c r="Q457" i="2" a="1"/>
  <c r="Q457" i="2" s="1"/>
  <c r="P457" i="2" a="1"/>
  <c r="P457" i="2" s="1"/>
  <c r="H457" i="2" a="1"/>
  <c r="H457" i="2" s="1"/>
  <c r="G457" i="2" a="1"/>
  <c r="G457" i="2" s="1"/>
  <c r="F457" i="2" a="1"/>
  <c r="F457" i="2" s="1"/>
  <c r="D457" i="2" a="1"/>
  <c r="D457" i="2" s="1"/>
  <c r="AH548" i="2" a="1"/>
  <c r="AH548" i="2" s="1"/>
  <c r="R548" i="2" a="1"/>
  <c r="R548" i="2" s="1"/>
  <c r="Q548" i="2" a="1"/>
  <c r="Q548" i="2" s="1"/>
  <c r="P548" i="2" a="1"/>
  <c r="P548" i="2" s="1"/>
  <c r="H548" i="2" a="1"/>
  <c r="H548" i="2" s="1"/>
  <c r="G548" i="2" a="1"/>
  <c r="G548" i="2" s="1"/>
  <c r="F548" i="2" a="1"/>
  <c r="F548" i="2" s="1"/>
  <c r="D548" i="2" a="1"/>
  <c r="D548" i="2" s="1"/>
  <c r="AH665" i="2" a="1"/>
  <c r="AH665" i="2" s="1"/>
  <c r="R665" i="2" a="1"/>
  <c r="R665" i="2" s="1"/>
  <c r="Q665" i="2" a="1"/>
  <c r="Q665" i="2" s="1"/>
  <c r="AB665" i="2" s="1" a="1"/>
  <c r="AB665" i="2" s="1"/>
  <c r="P665" i="2" a="1"/>
  <c r="P665" i="2" s="1"/>
  <c r="H665" i="2" a="1"/>
  <c r="H665" i="2" s="1"/>
  <c r="G665" i="2" a="1"/>
  <c r="G665" i="2" s="1"/>
  <c r="F665" i="2" a="1"/>
  <c r="F665" i="2" s="1"/>
  <c r="D665" i="2" a="1"/>
  <c r="D665" i="2" s="1"/>
  <c r="AH568" i="2" a="1"/>
  <c r="AH568" i="2" s="1"/>
  <c r="R568" i="2" a="1"/>
  <c r="R568" i="2" s="1"/>
  <c r="Q568" i="2" a="1"/>
  <c r="Q568" i="2" s="1"/>
  <c r="P568" i="2" a="1"/>
  <c r="P568" i="2" s="1"/>
  <c r="H568" i="2" a="1"/>
  <c r="H568" i="2" s="1"/>
  <c r="G568" i="2" a="1"/>
  <c r="G568" i="2" s="1"/>
  <c r="F568" i="2" a="1"/>
  <c r="F568" i="2" s="1"/>
  <c r="D568" i="2" a="1"/>
  <c r="D568" i="2" s="1"/>
  <c r="AH570" i="2" a="1"/>
  <c r="AH570" i="2" s="1"/>
  <c r="R570" i="2" a="1"/>
  <c r="R570" i="2" s="1"/>
  <c r="Q570" i="2" a="1"/>
  <c r="Q570" i="2" s="1"/>
  <c r="P570" i="2" a="1"/>
  <c r="P570" i="2" s="1"/>
  <c r="H570" i="2" a="1"/>
  <c r="H570" i="2" s="1"/>
  <c r="G570" i="2" a="1"/>
  <c r="G570" i="2" s="1"/>
  <c r="F570" i="2" a="1"/>
  <c r="F570" i="2" s="1"/>
  <c r="D570" i="2" a="1"/>
  <c r="D570" i="2" s="1"/>
  <c r="AH553" i="2" a="1"/>
  <c r="AH553" i="2" s="1"/>
  <c r="R553" i="2" a="1"/>
  <c r="R553" i="2" s="1"/>
  <c r="Q553" i="2" a="1"/>
  <c r="Q553" i="2" s="1"/>
  <c r="P553" i="2" a="1"/>
  <c r="P553" i="2" s="1"/>
  <c r="H553" i="2" a="1"/>
  <c r="H553" i="2" s="1"/>
  <c r="G553" i="2" a="1"/>
  <c r="G553" i="2" s="1"/>
  <c r="F553" i="2" a="1"/>
  <c r="F553" i="2" s="1"/>
  <c r="D553" i="2" a="1"/>
  <c r="D553" i="2" s="1"/>
  <c r="AH533" i="2" a="1"/>
  <c r="AH533" i="2" s="1"/>
  <c r="R533" i="2" a="1"/>
  <c r="R533" i="2" s="1"/>
  <c r="Q533" i="2" a="1"/>
  <c r="Q533" i="2" s="1"/>
  <c r="AD533" i="2" s="1" a="1"/>
  <c r="AD533" i="2" s="1"/>
  <c r="P533" i="2" a="1"/>
  <c r="P533" i="2" s="1"/>
  <c r="H533" i="2" a="1"/>
  <c r="H533" i="2" s="1"/>
  <c r="G533" i="2" a="1"/>
  <c r="G533" i="2" s="1"/>
  <c r="F533" i="2" a="1"/>
  <c r="F533" i="2" s="1"/>
  <c r="D533" i="2" a="1"/>
  <c r="D533" i="2" s="1"/>
  <c r="AH576" i="2" a="1"/>
  <c r="AH576" i="2" s="1"/>
  <c r="R576" i="2" a="1"/>
  <c r="R576" i="2" s="1"/>
  <c r="Q576" i="2" a="1"/>
  <c r="Q576" i="2" s="1"/>
  <c r="P576" i="2" a="1"/>
  <c r="P576" i="2" s="1"/>
  <c r="H576" i="2" a="1"/>
  <c r="H576" i="2" s="1"/>
  <c r="G576" i="2" a="1"/>
  <c r="G576" i="2" s="1"/>
  <c r="F576" i="2" a="1"/>
  <c r="F576" i="2" s="1"/>
  <c r="D576" i="2" a="1"/>
  <c r="D576" i="2" s="1"/>
  <c r="AH558" i="2" a="1"/>
  <c r="AH558" i="2" s="1"/>
  <c r="R558" i="2" a="1"/>
  <c r="R558" i="2" s="1"/>
  <c r="Q558" i="2" a="1"/>
  <c r="Q558" i="2" s="1"/>
  <c r="P558" i="2" a="1"/>
  <c r="P558" i="2" s="1"/>
  <c r="H558" i="2" a="1"/>
  <c r="H558" i="2" s="1"/>
  <c r="G558" i="2" a="1"/>
  <c r="G558" i="2" s="1"/>
  <c r="F558" i="2" a="1"/>
  <c r="F558" i="2" s="1"/>
  <c r="D558" i="2" a="1"/>
  <c r="D558" i="2" s="1"/>
  <c r="AH635" i="2" a="1"/>
  <c r="AH635" i="2" s="1"/>
  <c r="R635" i="2" a="1"/>
  <c r="R635" i="2" s="1"/>
  <c r="Q635" i="2" a="1"/>
  <c r="Q635" i="2" s="1"/>
  <c r="P635" i="2" a="1"/>
  <c r="P635" i="2" s="1"/>
  <c r="H635" i="2" a="1"/>
  <c r="H635" i="2" s="1"/>
  <c r="G635" i="2" a="1"/>
  <c r="G635" i="2" s="1"/>
  <c r="F635" i="2" a="1"/>
  <c r="F635" i="2" s="1"/>
  <c r="D635" i="2" a="1"/>
  <c r="D635" i="2" s="1"/>
  <c r="AH588" i="2" a="1"/>
  <c r="AH588" i="2" s="1"/>
  <c r="R588" i="2" a="1"/>
  <c r="R588" i="2" s="1"/>
  <c r="Q588" i="2" a="1"/>
  <c r="Q588" i="2" s="1"/>
  <c r="P588" i="2" a="1"/>
  <c r="P588" i="2" s="1"/>
  <c r="H588" i="2" a="1"/>
  <c r="H588" i="2" s="1"/>
  <c r="G588" i="2" a="1"/>
  <c r="G588" i="2" s="1"/>
  <c r="F588" i="2" a="1"/>
  <c r="F588" i="2" s="1"/>
  <c r="D588" i="2" a="1"/>
  <c r="D588" i="2" s="1"/>
  <c r="AH502" i="2" a="1"/>
  <c r="AH502" i="2" s="1"/>
  <c r="R502" i="2" a="1"/>
  <c r="R502" i="2" s="1"/>
  <c r="Q502" i="2" a="1"/>
  <c r="Q502" i="2" s="1"/>
  <c r="Y502" i="2" s="1" a="1"/>
  <c r="Y502" i="2" s="1"/>
  <c r="P502" i="2" a="1"/>
  <c r="P502" i="2" s="1"/>
  <c r="H502" i="2" a="1"/>
  <c r="H502" i="2" s="1"/>
  <c r="G502" i="2" a="1"/>
  <c r="G502" i="2" s="1"/>
  <c r="F502" i="2" a="1"/>
  <c r="F502" i="2" s="1"/>
  <c r="D502" i="2" a="1"/>
  <c r="D502" i="2" s="1"/>
  <c r="AH597" i="2" a="1"/>
  <c r="AH597" i="2" s="1"/>
  <c r="R597" i="2" a="1"/>
  <c r="R597" i="2" s="1"/>
  <c r="Q597" i="2" a="1"/>
  <c r="Q597" i="2" s="1"/>
  <c r="AB597" i="2" s="1" a="1"/>
  <c r="AB597" i="2" s="1"/>
  <c r="P597" i="2" a="1"/>
  <c r="P597" i="2" s="1"/>
  <c r="H597" i="2" a="1"/>
  <c r="H597" i="2" s="1"/>
  <c r="G597" i="2" a="1"/>
  <c r="G597" i="2" s="1"/>
  <c r="F597" i="2" a="1"/>
  <c r="F597" i="2" s="1"/>
  <c r="D597" i="2" a="1"/>
  <c r="D597" i="2" s="1"/>
  <c r="AH618" i="2" a="1"/>
  <c r="AH618" i="2" s="1"/>
  <c r="R618" i="2" a="1"/>
  <c r="R618" i="2" s="1"/>
  <c r="Q618" i="2" a="1"/>
  <c r="Q618" i="2" s="1"/>
  <c r="AD618" i="2" s="1" a="1"/>
  <c r="AD618" i="2" s="1"/>
  <c r="P618" i="2" a="1"/>
  <c r="P618" i="2" s="1"/>
  <c r="H618" i="2" a="1"/>
  <c r="H618" i="2" s="1"/>
  <c r="G618" i="2" a="1"/>
  <c r="G618" i="2" s="1"/>
  <c r="F618" i="2" a="1"/>
  <c r="F618" i="2" s="1"/>
  <c r="D618" i="2" a="1"/>
  <c r="D618" i="2" s="1"/>
  <c r="AH510" i="2" a="1"/>
  <c r="AH510" i="2" s="1"/>
  <c r="R510" i="2" a="1"/>
  <c r="R510" i="2" s="1"/>
  <c r="Q510" i="2" a="1"/>
  <c r="Q510" i="2" s="1"/>
  <c r="P510" i="2" a="1"/>
  <c r="P510" i="2" s="1"/>
  <c r="H510" i="2" a="1"/>
  <c r="H510" i="2" s="1"/>
  <c r="G510" i="2" a="1"/>
  <c r="G510" i="2" s="1"/>
  <c r="F510" i="2" a="1"/>
  <c r="F510" i="2" s="1"/>
  <c r="D510" i="2" a="1"/>
  <c r="D510" i="2" s="1"/>
  <c r="AH527" i="2" a="1"/>
  <c r="AH527" i="2" s="1"/>
  <c r="R527" i="2" a="1"/>
  <c r="R527" i="2" s="1"/>
  <c r="Q527" i="2" a="1"/>
  <c r="Q527" i="2" s="1"/>
  <c r="P527" i="2" a="1"/>
  <c r="P527" i="2" s="1"/>
  <c r="H527" i="2" a="1"/>
  <c r="H527" i="2" s="1"/>
  <c r="G527" i="2" a="1"/>
  <c r="G527" i="2" s="1"/>
  <c r="F527" i="2" a="1"/>
  <c r="F527" i="2" s="1"/>
  <c r="D527" i="2" a="1"/>
  <c r="D527" i="2" s="1"/>
  <c r="AH582" i="2" a="1"/>
  <c r="AH582" i="2" s="1"/>
  <c r="R582" i="2" a="1"/>
  <c r="R582" i="2" s="1"/>
  <c r="Q582" i="2" a="1"/>
  <c r="Q582" i="2" s="1"/>
  <c r="AF582" i="2" s="1" a="1"/>
  <c r="AF582" i="2" s="1"/>
  <c r="P582" i="2" a="1"/>
  <c r="P582" i="2" s="1"/>
  <c r="H582" i="2" a="1"/>
  <c r="H582" i="2" s="1"/>
  <c r="G582" i="2" a="1"/>
  <c r="G582" i="2" s="1"/>
  <c r="F582" i="2" a="1"/>
  <c r="F582" i="2" s="1"/>
  <c r="D582" i="2" a="1"/>
  <c r="D582" i="2" s="1"/>
  <c r="AH628" i="2" a="1"/>
  <c r="AH628" i="2" s="1"/>
  <c r="R628" i="2" a="1"/>
  <c r="R628" i="2" s="1"/>
  <c r="Q628" i="2" a="1"/>
  <c r="Q628" i="2" s="1"/>
  <c r="P628" i="2" a="1"/>
  <c r="P628" i="2" s="1"/>
  <c r="H628" i="2" a="1"/>
  <c r="H628" i="2" s="1"/>
  <c r="G628" i="2" a="1"/>
  <c r="G628" i="2" s="1"/>
  <c r="F628" i="2" a="1"/>
  <c r="F628" i="2" s="1"/>
  <c r="D628" i="2" a="1"/>
  <c r="D628" i="2" s="1"/>
  <c r="AH608" i="2" a="1"/>
  <c r="AH608" i="2" s="1"/>
  <c r="R608" i="2" a="1"/>
  <c r="R608" i="2" s="1"/>
  <c r="Q608" i="2" a="1"/>
  <c r="Q608" i="2" s="1"/>
  <c r="AF608" i="2" s="1" a="1"/>
  <c r="AF608" i="2" s="1"/>
  <c r="P608" i="2" a="1"/>
  <c r="P608" i="2" s="1"/>
  <c r="H608" i="2" a="1"/>
  <c r="H608" i="2" s="1"/>
  <c r="G608" i="2" a="1"/>
  <c r="G608" i="2" s="1"/>
  <c r="F608" i="2" a="1"/>
  <c r="F608" i="2" s="1"/>
  <c r="D608" i="2" a="1"/>
  <c r="D608" i="2" s="1"/>
  <c r="AH338" i="2" a="1"/>
  <c r="AH338" i="2" s="1"/>
  <c r="R338" i="2" a="1"/>
  <c r="R338" i="2" s="1"/>
  <c r="Q338" i="2" a="1"/>
  <c r="Q338" i="2" s="1"/>
  <c r="P338" i="2" a="1"/>
  <c r="P338" i="2" s="1"/>
  <c r="H338" i="2" a="1"/>
  <c r="H338" i="2" s="1"/>
  <c r="G338" i="2" a="1"/>
  <c r="G338" i="2" s="1"/>
  <c r="F338" i="2" a="1"/>
  <c r="F338" i="2" s="1"/>
  <c r="D338" i="2" a="1"/>
  <c r="D338" i="2" s="1"/>
  <c r="AH563" i="2" a="1"/>
  <c r="AH563" i="2" s="1"/>
  <c r="R563" i="2" a="1"/>
  <c r="R563" i="2" s="1"/>
  <c r="Q563" i="2" a="1"/>
  <c r="Q563" i="2" s="1"/>
  <c r="P563" i="2" a="1"/>
  <c r="P563" i="2" s="1"/>
  <c r="H563" i="2" a="1"/>
  <c r="H563" i="2" s="1"/>
  <c r="G563" i="2" a="1"/>
  <c r="G563" i="2" s="1"/>
  <c r="F563" i="2" a="1"/>
  <c r="F563" i="2" s="1"/>
  <c r="D563" i="2" a="1"/>
  <c r="D563" i="2" s="1"/>
  <c r="AH623" i="2" a="1"/>
  <c r="AH623" i="2" s="1"/>
  <c r="R623" i="2" a="1"/>
  <c r="R623" i="2" s="1"/>
  <c r="Q623" i="2" a="1"/>
  <c r="Q623" i="2" s="1"/>
  <c r="AF623" i="2" s="1" a="1"/>
  <c r="AF623" i="2" s="1"/>
  <c r="P623" i="2" a="1"/>
  <c r="P623" i="2" s="1"/>
  <c r="H623" i="2" a="1"/>
  <c r="H623" i="2" s="1"/>
  <c r="G623" i="2" a="1"/>
  <c r="G623" i="2" s="1"/>
  <c r="F623" i="2" a="1"/>
  <c r="F623" i="2" s="1"/>
  <c r="D623" i="2" a="1"/>
  <c r="D623" i="2" s="1"/>
  <c r="AH596" i="2" a="1"/>
  <c r="AH596" i="2" s="1"/>
  <c r="R596" i="2" a="1"/>
  <c r="R596" i="2" s="1"/>
  <c r="Q596" i="2" a="1"/>
  <c r="Q596" i="2" s="1"/>
  <c r="P596" i="2" a="1"/>
  <c r="P596" i="2" s="1"/>
  <c r="H596" i="2" a="1"/>
  <c r="H596" i="2" s="1"/>
  <c r="G596" i="2" a="1"/>
  <c r="G596" i="2" s="1"/>
  <c r="F596" i="2" a="1"/>
  <c r="F596" i="2" s="1"/>
  <c r="D596" i="2" a="1"/>
  <c r="D596" i="2" s="1"/>
  <c r="AJ134" i="2" a="1"/>
  <c r="AJ134" i="2" s="1"/>
  <c r="P134" i="2" a="1"/>
  <c r="P134" i="2" s="1"/>
  <c r="H134" i="2" a="1"/>
  <c r="H134" i="2" s="1"/>
  <c r="G134" i="2" a="1"/>
  <c r="G134" i="2" s="1"/>
  <c r="F134" i="2" a="1"/>
  <c r="F134" i="2" s="1"/>
  <c r="D66" i="9" s="1" a="1"/>
  <c r="D66" i="9" s="1"/>
  <c r="D134" i="2" a="1"/>
  <c r="D134" i="2" s="1"/>
  <c r="AH591" i="2" a="1"/>
  <c r="AH591" i="2" s="1"/>
  <c r="R591" i="2" a="1"/>
  <c r="R591" i="2" s="1"/>
  <c r="Q591" i="2" a="1"/>
  <c r="Q591" i="2" s="1"/>
  <c r="P591" i="2" a="1"/>
  <c r="P591" i="2" s="1"/>
  <c r="H591" i="2" a="1"/>
  <c r="H591" i="2" s="1"/>
  <c r="G591" i="2" a="1"/>
  <c r="G591" i="2" s="1"/>
  <c r="F591" i="2" a="1"/>
  <c r="F591" i="2" s="1"/>
  <c r="D591" i="2" a="1"/>
  <c r="D591" i="2" s="1"/>
  <c r="AH647" i="2" a="1"/>
  <c r="AH647" i="2" s="1"/>
  <c r="R647" i="2" a="1"/>
  <c r="R647" i="2" s="1"/>
  <c r="Q647" i="2" a="1"/>
  <c r="Q647" i="2" s="1"/>
  <c r="AD647" i="2" s="1" a="1"/>
  <c r="AD647" i="2" s="1"/>
  <c r="P647" i="2" a="1"/>
  <c r="P647" i="2" s="1"/>
  <c r="H647" i="2" a="1"/>
  <c r="H647" i="2" s="1"/>
  <c r="G647" i="2" a="1"/>
  <c r="G647" i="2" s="1"/>
  <c r="F647" i="2" a="1"/>
  <c r="F647" i="2" s="1"/>
  <c r="D647" i="2" a="1"/>
  <c r="D647" i="2" s="1"/>
  <c r="AH569" i="2" a="1"/>
  <c r="AH569" i="2" s="1"/>
  <c r="R569" i="2" a="1"/>
  <c r="R569" i="2" s="1"/>
  <c r="Q569" i="2" a="1"/>
  <c r="Q569" i="2" s="1"/>
  <c r="Y569" i="2" s="1" a="1"/>
  <c r="Y569" i="2" s="1"/>
  <c r="P569" i="2" a="1"/>
  <c r="P569" i="2" s="1"/>
  <c r="H569" i="2" a="1"/>
  <c r="H569" i="2" s="1"/>
  <c r="G569" i="2" a="1"/>
  <c r="G569" i="2" s="1"/>
  <c r="F569" i="2" a="1"/>
  <c r="F569" i="2" s="1"/>
  <c r="D569" i="2" a="1"/>
  <c r="D569" i="2" s="1"/>
  <c r="AJ445" i="2" a="1"/>
  <c r="AJ445" i="2" s="1"/>
  <c r="P445" i="2" a="1"/>
  <c r="P445" i="2" s="1"/>
  <c r="H445" i="2" a="1"/>
  <c r="H445" i="2" s="1"/>
  <c r="G445" i="2" a="1"/>
  <c r="G445" i="2" s="1"/>
  <c r="F445" i="2" a="1"/>
  <c r="F445" i="2" s="1"/>
  <c r="D65" i="9" s="1" a="1"/>
  <c r="D65" i="9" s="1"/>
  <c r="D445" i="2" a="1"/>
  <c r="D445" i="2" s="1"/>
  <c r="AH557" i="2" a="1"/>
  <c r="AH557" i="2" s="1"/>
  <c r="R557" i="2" a="1"/>
  <c r="R557" i="2" s="1"/>
  <c r="Q557" i="2" a="1"/>
  <c r="Q557" i="2" s="1"/>
  <c r="P557" i="2" a="1"/>
  <c r="P557" i="2" s="1"/>
  <c r="H557" i="2" a="1"/>
  <c r="H557" i="2" s="1"/>
  <c r="G557" i="2" a="1"/>
  <c r="G557" i="2" s="1"/>
  <c r="F557" i="2" a="1"/>
  <c r="F557" i="2" s="1"/>
  <c r="D557" i="2" a="1"/>
  <c r="D557" i="2" s="1"/>
  <c r="AH496" i="2" a="1"/>
  <c r="AH496" i="2" s="1"/>
  <c r="R496" i="2" a="1"/>
  <c r="R496" i="2" s="1"/>
  <c r="Q496" i="2" a="1"/>
  <c r="Q496" i="2" s="1"/>
  <c r="P496" i="2" a="1"/>
  <c r="P496" i="2" s="1"/>
  <c r="H496" i="2" a="1"/>
  <c r="H496" i="2" s="1"/>
  <c r="G496" i="2" a="1"/>
  <c r="G496" i="2" s="1"/>
  <c r="F496" i="2" a="1"/>
  <c r="F496" i="2" s="1"/>
  <c r="D496" i="2" a="1"/>
  <c r="D496" i="2" s="1"/>
  <c r="AH602" i="2" a="1"/>
  <c r="AH602" i="2" s="1"/>
  <c r="R602" i="2" a="1"/>
  <c r="R602" i="2" s="1"/>
  <c r="Q602" i="2" a="1"/>
  <c r="Q602" i="2" s="1"/>
  <c r="P602" i="2" a="1"/>
  <c r="P602" i="2" s="1"/>
  <c r="H602" i="2" a="1"/>
  <c r="H602" i="2" s="1"/>
  <c r="G602" i="2" a="1"/>
  <c r="G602" i="2" s="1"/>
  <c r="F602" i="2" a="1"/>
  <c r="F602" i="2" s="1"/>
  <c r="D602" i="2" a="1"/>
  <c r="D602" i="2" s="1"/>
  <c r="AH625" i="2" a="1"/>
  <c r="AH625" i="2" s="1"/>
  <c r="R625" i="2" a="1"/>
  <c r="R625" i="2" s="1"/>
  <c r="Q625" i="2" a="1"/>
  <c r="Q625" i="2" s="1"/>
  <c r="P625" i="2" a="1"/>
  <c r="P625" i="2" s="1"/>
  <c r="H625" i="2" a="1"/>
  <c r="H625" i="2" s="1"/>
  <c r="G625" i="2" a="1"/>
  <c r="G625" i="2" s="1"/>
  <c r="F625" i="2" a="1"/>
  <c r="F625" i="2" s="1"/>
  <c r="D625" i="2" a="1"/>
  <c r="D625" i="2" s="1"/>
  <c r="AH562" i="2" a="1"/>
  <c r="AH562" i="2" s="1"/>
  <c r="R562" i="2" a="1"/>
  <c r="R562" i="2" s="1"/>
  <c r="Q562" i="2" a="1"/>
  <c r="Q562" i="2" s="1"/>
  <c r="P562" i="2" a="1"/>
  <c r="P562" i="2" s="1"/>
  <c r="H562" i="2" a="1"/>
  <c r="H562" i="2" s="1"/>
  <c r="G562" i="2" a="1"/>
  <c r="G562" i="2" s="1"/>
  <c r="F562" i="2" a="1"/>
  <c r="F562" i="2" s="1"/>
  <c r="D562" i="2" a="1"/>
  <c r="D562" i="2" s="1"/>
  <c r="AH600" i="2" a="1"/>
  <c r="AH600" i="2" s="1"/>
  <c r="R600" i="2" a="1"/>
  <c r="R600" i="2" s="1"/>
  <c r="Q600" i="2" a="1"/>
  <c r="Q600" i="2" s="1"/>
  <c r="P600" i="2" a="1"/>
  <c r="P600" i="2" s="1"/>
  <c r="H600" i="2" a="1"/>
  <c r="H600" i="2" s="1"/>
  <c r="G600" i="2" a="1"/>
  <c r="G600" i="2" s="1"/>
  <c r="F600" i="2" a="1"/>
  <c r="F600" i="2" s="1"/>
  <c r="D600" i="2" a="1"/>
  <c r="D600" i="2" s="1"/>
  <c r="AH604" i="2" a="1"/>
  <c r="AH604" i="2" s="1"/>
  <c r="R604" i="2" a="1"/>
  <c r="R604" i="2" s="1"/>
  <c r="Q604" i="2" a="1"/>
  <c r="Q604" i="2" s="1"/>
  <c r="P604" i="2" a="1"/>
  <c r="P604" i="2" s="1"/>
  <c r="H604" i="2" a="1"/>
  <c r="H604" i="2" s="1"/>
  <c r="G604" i="2" a="1"/>
  <c r="G604" i="2" s="1"/>
  <c r="F604" i="2" a="1"/>
  <c r="F604" i="2" s="1"/>
  <c r="D604" i="2" a="1"/>
  <c r="D604" i="2" s="1"/>
  <c r="AH657" i="2" a="1"/>
  <c r="AH657" i="2" s="1"/>
  <c r="R657" i="2" a="1"/>
  <c r="R657" i="2" s="1"/>
  <c r="Q657" i="2" a="1"/>
  <c r="Q657" i="2" s="1"/>
  <c r="P657" i="2" a="1"/>
  <c r="P657" i="2" s="1"/>
  <c r="H657" i="2" a="1"/>
  <c r="H657" i="2" s="1"/>
  <c r="G657" i="2" a="1"/>
  <c r="G657" i="2" s="1"/>
  <c r="F657" i="2" a="1"/>
  <c r="F657" i="2" s="1"/>
  <c r="D657" i="2" a="1"/>
  <c r="D657" i="2" s="1"/>
  <c r="AH575" i="2" a="1"/>
  <c r="AH575" i="2" s="1"/>
  <c r="R575" i="2" a="1"/>
  <c r="R575" i="2" s="1"/>
  <c r="Q575" i="2" a="1"/>
  <c r="Q575" i="2" s="1"/>
  <c r="AD575" i="2" s="1" a="1"/>
  <c r="AD575" i="2" s="1"/>
  <c r="P575" i="2" a="1"/>
  <c r="P575" i="2" s="1"/>
  <c r="H575" i="2" a="1"/>
  <c r="H575" i="2" s="1"/>
  <c r="G575" i="2" a="1"/>
  <c r="G575" i="2" s="1"/>
  <c r="F575" i="2" a="1"/>
  <c r="F575" i="2" s="1"/>
  <c r="D575" i="2" a="1"/>
  <c r="D575" i="2" s="1"/>
  <c r="AH592" i="2" a="1"/>
  <c r="AH592" i="2" s="1"/>
  <c r="R592" i="2" a="1"/>
  <c r="R592" i="2" s="1"/>
  <c r="Q592" i="2" a="1"/>
  <c r="Q592" i="2" s="1"/>
  <c r="P592" i="2" a="1"/>
  <c r="P592" i="2" s="1"/>
  <c r="H592" i="2" a="1"/>
  <c r="H592" i="2" s="1"/>
  <c r="G592" i="2" a="1"/>
  <c r="G592" i="2" s="1"/>
  <c r="F592" i="2" a="1"/>
  <c r="F592" i="2" s="1"/>
  <c r="D592" i="2" a="1"/>
  <c r="D592" i="2" s="1"/>
  <c r="AH511" i="2" a="1"/>
  <c r="AH511" i="2" s="1"/>
  <c r="R511" i="2" a="1"/>
  <c r="R511" i="2" s="1"/>
  <c r="Q511" i="2" a="1"/>
  <c r="Q511" i="2" s="1"/>
  <c r="P511" i="2" a="1"/>
  <c r="P511" i="2" s="1"/>
  <c r="H511" i="2" a="1"/>
  <c r="H511" i="2" s="1"/>
  <c r="G511" i="2" a="1"/>
  <c r="G511" i="2" s="1"/>
  <c r="F511" i="2" a="1"/>
  <c r="F511" i="2" s="1"/>
  <c r="D511" i="2" a="1"/>
  <c r="D511" i="2" s="1"/>
  <c r="AH518" i="2" a="1"/>
  <c r="AH518" i="2" s="1"/>
  <c r="R518" i="2" a="1"/>
  <c r="R518" i="2" s="1"/>
  <c r="Q518" i="2" a="1"/>
  <c r="Q518" i="2" s="1"/>
  <c r="P518" i="2" a="1"/>
  <c r="P518" i="2" s="1"/>
  <c r="H518" i="2" a="1"/>
  <c r="H518" i="2" s="1"/>
  <c r="G518" i="2" a="1"/>
  <c r="G518" i="2" s="1"/>
  <c r="F518" i="2" a="1"/>
  <c r="F518" i="2" s="1"/>
  <c r="D518" i="2" a="1"/>
  <c r="D518" i="2" s="1"/>
  <c r="AH528" i="2" a="1"/>
  <c r="AH528" i="2" s="1"/>
  <c r="R528" i="2" a="1"/>
  <c r="R528" i="2" s="1"/>
  <c r="Q528" i="2" a="1"/>
  <c r="Q528" i="2" s="1"/>
  <c r="P528" i="2" a="1"/>
  <c r="P528" i="2" s="1"/>
  <c r="H528" i="2" a="1"/>
  <c r="H528" i="2" s="1"/>
  <c r="G528" i="2" a="1"/>
  <c r="G528" i="2" s="1"/>
  <c r="F528" i="2" a="1"/>
  <c r="F528" i="2" s="1"/>
  <c r="D528" i="2" a="1"/>
  <c r="D528" i="2" s="1"/>
  <c r="AH590" i="2" a="1"/>
  <c r="AH590" i="2" s="1"/>
  <c r="R590" i="2" a="1"/>
  <c r="R590" i="2" s="1"/>
  <c r="Q590" i="2" a="1"/>
  <c r="Q590" i="2" s="1"/>
  <c r="AD590" i="2" s="1" a="1"/>
  <c r="AD590" i="2" s="1"/>
  <c r="P590" i="2" a="1"/>
  <c r="P590" i="2" s="1"/>
  <c r="H590" i="2" a="1"/>
  <c r="H590" i="2" s="1"/>
  <c r="G590" i="2" a="1"/>
  <c r="G590" i="2" s="1"/>
  <c r="F590" i="2" a="1"/>
  <c r="F590" i="2" s="1"/>
  <c r="D590" i="2" a="1"/>
  <c r="D590" i="2" s="1"/>
  <c r="AH525" i="2" a="1"/>
  <c r="AH525" i="2" s="1"/>
  <c r="R525" i="2" a="1"/>
  <c r="R525" i="2" s="1"/>
  <c r="Q525" i="2" a="1"/>
  <c r="Q525" i="2" s="1"/>
  <c r="AB525" i="2" s="1" a="1"/>
  <c r="AB525" i="2" s="1"/>
  <c r="P525" i="2" a="1"/>
  <c r="P525" i="2" s="1"/>
  <c r="H525" i="2" a="1"/>
  <c r="H525" i="2" s="1"/>
  <c r="G525" i="2" a="1"/>
  <c r="G525" i="2" s="1"/>
  <c r="F525" i="2" a="1"/>
  <c r="F525" i="2" s="1"/>
  <c r="D525" i="2" a="1"/>
  <c r="D525" i="2" s="1"/>
  <c r="AH667" i="2" a="1"/>
  <c r="AH667" i="2" s="1"/>
  <c r="R667" i="2" a="1"/>
  <c r="R667" i="2" s="1"/>
  <c r="Q667" i="2" a="1"/>
  <c r="Q667" i="2" s="1"/>
  <c r="AB667" i="2" s="1" a="1"/>
  <c r="AB667" i="2" s="1"/>
  <c r="P667" i="2" a="1"/>
  <c r="P667" i="2" s="1"/>
  <c r="H667" i="2" a="1"/>
  <c r="H667" i="2" s="1"/>
  <c r="G667" i="2" a="1"/>
  <c r="G667" i="2" s="1"/>
  <c r="F667" i="2" a="1"/>
  <c r="F667" i="2" s="1"/>
  <c r="D667" i="2" a="1"/>
  <c r="D667" i="2" s="1"/>
  <c r="AH572" i="2" a="1"/>
  <c r="AH572" i="2" s="1"/>
  <c r="R572" i="2" a="1"/>
  <c r="R572" i="2" s="1"/>
  <c r="Q572" i="2" a="1"/>
  <c r="Q572" i="2" s="1"/>
  <c r="AD572" i="2" s="1" a="1"/>
  <c r="AD572" i="2" s="1"/>
  <c r="P572" i="2" a="1"/>
  <c r="P572" i="2" s="1"/>
  <c r="H572" i="2" a="1"/>
  <c r="H572" i="2" s="1"/>
  <c r="G572" i="2" a="1"/>
  <c r="G572" i="2" s="1"/>
  <c r="F572" i="2" a="1"/>
  <c r="F572" i="2" s="1"/>
  <c r="D572" i="2" a="1"/>
  <c r="D572" i="2" s="1"/>
  <c r="AH506" i="2" a="1"/>
  <c r="AH506" i="2" s="1"/>
  <c r="R506" i="2" a="1"/>
  <c r="R506" i="2" s="1"/>
  <c r="Q506" i="2" a="1"/>
  <c r="Q506" i="2" s="1"/>
  <c r="P506" i="2" a="1"/>
  <c r="P506" i="2" s="1"/>
  <c r="H506" i="2" a="1"/>
  <c r="H506" i="2" s="1"/>
  <c r="G506" i="2" a="1"/>
  <c r="G506" i="2" s="1"/>
  <c r="F506" i="2" a="1"/>
  <c r="F506" i="2" s="1"/>
  <c r="D506" i="2" a="1"/>
  <c r="D506" i="2" s="1"/>
  <c r="AH487" i="2" a="1"/>
  <c r="AH487" i="2" s="1"/>
  <c r="R487" i="2" a="1"/>
  <c r="R487" i="2" s="1"/>
  <c r="Q487" i="2" a="1"/>
  <c r="Q487" i="2" s="1"/>
  <c r="AA487" i="2" s="1" a="1"/>
  <c r="AA487" i="2" s="1"/>
  <c r="P487" i="2" a="1"/>
  <c r="P487" i="2" s="1"/>
  <c r="H487" i="2" a="1"/>
  <c r="H487" i="2" s="1"/>
  <c r="G487" i="2" a="1"/>
  <c r="G487" i="2" s="1"/>
  <c r="F487" i="2" a="1"/>
  <c r="F487" i="2" s="1"/>
  <c r="D487" i="2" a="1"/>
  <c r="D487" i="2" s="1"/>
  <c r="AH409" i="2" a="1"/>
  <c r="AH409" i="2" s="1"/>
  <c r="R409" i="2" a="1"/>
  <c r="R409" i="2" s="1"/>
  <c r="Q409" i="2" a="1"/>
  <c r="Q409" i="2" s="1"/>
  <c r="P409" i="2" a="1"/>
  <c r="P409" i="2" s="1"/>
  <c r="H409" i="2" a="1"/>
  <c r="H409" i="2" s="1"/>
  <c r="G409" i="2" a="1"/>
  <c r="G409" i="2" s="1"/>
  <c r="F409" i="2" a="1"/>
  <c r="F409" i="2" s="1"/>
  <c r="D409" i="2" a="1"/>
  <c r="D409" i="2" s="1"/>
  <c r="AH495" i="2" a="1"/>
  <c r="AH495" i="2" s="1"/>
  <c r="R495" i="2" a="1"/>
  <c r="R495" i="2" s="1"/>
  <c r="Q495" i="2" a="1"/>
  <c r="Q495" i="2" s="1"/>
  <c r="P495" i="2" a="1"/>
  <c r="P495" i="2" s="1"/>
  <c r="H495" i="2" a="1"/>
  <c r="H495" i="2" s="1"/>
  <c r="G495" i="2" a="1"/>
  <c r="G495" i="2" s="1"/>
  <c r="F495" i="2" a="1"/>
  <c r="F495" i="2" s="1"/>
  <c r="D495" i="2" a="1"/>
  <c r="D495" i="2" s="1"/>
  <c r="AH662" i="2" a="1"/>
  <c r="AH662" i="2" s="1"/>
  <c r="R662" i="2" a="1"/>
  <c r="R662" i="2" s="1"/>
  <c r="Q662" i="2" a="1"/>
  <c r="Q662" i="2" s="1"/>
  <c r="P662" i="2" a="1"/>
  <c r="P662" i="2" s="1"/>
  <c r="H662" i="2" a="1"/>
  <c r="H662" i="2" s="1"/>
  <c r="G662" i="2" a="1"/>
  <c r="G662" i="2" s="1"/>
  <c r="F662" i="2" a="1"/>
  <c r="F662" i="2" s="1"/>
  <c r="D662" i="2" a="1"/>
  <c r="D662" i="2" s="1"/>
  <c r="AH670" i="2" a="1"/>
  <c r="AH670" i="2" s="1"/>
  <c r="R670" i="2" a="1"/>
  <c r="R670" i="2" s="1"/>
  <c r="Q670" i="2" a="1"/>
  <c r="Q670" i="2" s="1"/>
  <c r="P670" i="2" a="1"/>
  <c r="P670" i="2" s="1"/>
  <c r="H670" i="2" a="1"/>
  <c r="H670" i="2" s="1"/>
  <c r="G670" i="2" a="1"/>
  <c r="G670" i="2" s="1"/>
  <c r="F670" i="2" a="1"/>
  <c r="F670" i="2" s="1"/>
  <c r="D670" i="2" a="1"/>
  <c r="D670" i="2" s="1"/>
  <c r="AH529" i="2" a="1"/>
  <c r="AH529" i="2" s="1"/>
  <c r="R529" i="2" a="1"/>
  <c r="R529" i="2" s="1"/>
  <c r="Q529" i="2" a="1"/>
  <c r="Q529" i="2" s="1"/>
  <c r="P529" i="2" a="1"/>
  <c r="P529" i="2" s="1"/>
  <c r="H529" i="2" a="1"/>
  <c r="H529" i="2" s="1"/>
  <c r="G529" i="2" a="1"/>
  <c r="G529" i="2" s="1"/>
  <c r="F529" i="2" a="1"/>
  <c r="F529" i="2" s="1"/>
  <c r="D529" i="2" a="1"/>
  <c r="D529" i="2" s="1"/>
  <c r="AH629" i="2" a="1"/>
  <c r="AH629" i="2" s="1"/>
  <c r="R629" i="2" a="1"/>
  <c r="R629" i="2" s="1"/>
  <c r="Q629" i="2" a="1"/>
  <c r="Q629" i="2" s="1"/>
  <c r="AG629" i="2" s="1" a="1"/>
  <c r="AG629" i="2" s="1"/>
  <c r="P629" i="2" a="1"/>
  <c r="P629" i="2" s="1"/>
  <c r="H629" i="2" a="1"/>
  <c r="H629" i="2" s="1"/>
  <c r="G629" i="2" a="1"/>
  <c r="G629" i="2" s="1"/>
  <c r="F629" i="2" a="1"/>
  <c r="F629" i="2" s="1"/>
  <c r="D629" i="2" a="1"/>
  <c r="D629" i="2" s="1"/>
  <c r="AH603" i="2" a="1"/>
  <c r="AH603" i="2" s="1"/>
  <c r="R603" i="2" a="1"/>
  <c r="R603" i="2" s="1"/>
  <c r="Q603" i="2" a="1"/>
  <c r="Q603" i="2" s="1"/>
  <c r="AB603" i="2" s="1" a="1"/>
  <c r="AB603" i="2" s="1"/>
  <c r="P603" i="2" a="1"/>
  <c r="P603" i="2" s="1"/>
  <c r="H603" i="2" a="1"/>
  <c r="H603" i="2" s="1"/>
  <c r="G603" i="2" a="1"/>
  <c r="G603" i="2" s="1"/>
  <c r="F603" i="2" a="1"/>
  <c r="F603" i="2" s="1"/>
  <c r="D603" i="2" a="1"/>
  <c r="D603" i="2" s="1"/>
  <c r="AH536" i="2" a="1"/>
  <c r="AH536" i="2" s="1"/>
  <c r="R536" i="2" a="1"/>
  <c r="R536" i="2" s="1"/>
  <c r="Q536" i="2" a="1"/>
  <c r="Q536" i="2" s="1"/>
  <c r="P536" i="2" a="1"/>
  <c r="P536" i="2" s="1"/>
  <c r="H536" i="2" a="1"/>
  <c r="H536" i="2" s="1"/>
  <c r="G536" i="2" a="1"/>
  <c r="G536" i="2" s="1"/>
  <c r="F536" i="2" a="1"/>
  <c r="F536" i="2" s="1"/>
  <c r="D536" i="2" a="1"/>
  <c r="D536" i="2" s="1"/>
  <c r="AH478" i="2" a="1"/>
  <c r="AH478" i="2" s="1"/>
  <c r="R478" i="2" a="1"/>
  <c r="R478" i="2" s="1"/>
  <c r="Q478" i="2" a="1"/>
  <c r="Q478" i="2" s="1"/>
  <c r="P478" i="2" a="1"/>
  <c r="P478" i="2" s="1"/>
  <c r="H478" i="2" a="1"/>
  <c r="H478" i="2" s="1"/>
  <c r="G478" i="2" a="1"/>
  <c r="G478" i="2" s="1"/>
  <c r="F478" i="2" a="1"/>
  <c r="F478" i="2" s="1"/>
  <c r="D478" i="2" a="1"/>
  <c r="D478" i="2" s="1"/>
  <c r="AH566" i="2" a="1"/>
  <c r="AH566" i="2" s="1"/>
  <c r="R566" i="2" a="1"/>
  <c r="R566" i="2" s="1"/>
  <c r="Q566" i="2" a="1"/>
  <c r="Q566" i="2" s="1"/>
  <c r="P566" i="2" a="1"/>
  <c r="P566" i="2" s="1"/>
  <c r="H566" i="2" a="1"/>
  <c r="H566" i="2" s="1"/>
  <c r="G566" i="2" a="1"/>
  <c r="G566" i="2" s="1"/>
  <c r="F566" i="2" a="1"/>
  <c r="F566" i="2" s="1"/>
  <c r="D566" i="2" a="1"/>
  <c r="D566" i="2" s="1"/>
  <c r="AH559" i="2" a="1"/>
  <c r="AH559" i="2" s="1"/>
  <c r="R559" i="2" a="1"/>
  <c r="R559" i="2" s="1"/>
  <c r="Q559" i="2" a="1"/>
  <c r="Q559" i="2" s="1"/>
  <c r="P559" i="2" a="1"/>
  <c r="P559" i="2" s="1"/>
  <c r="H559" i="2" a="1"/>
  <c r="H559" i="2" s="1"/>
  <c r="G559" i="2" a="1"/>
  <c r="G559" i="2" s="1"/>
  <c r="F559" i="2" a="1"/>
  <c r="F559" i="2" s="1"/>
  <c r="D559" i="2" a="1"/>
  <c r="D559" i="2" s="1"/>
  <c r="AH636" i="2" a="1"/>
  <c r="AH636" i="2" s="1"/>
  <c r="R636" i="2" a="1"/>
  <c r="R636" i="2" s="1"/>
  <c r="Q636" i="2" a="1"/>
  <c r="Q636" i="2" s="1"/>
  <c r="P636" i="2" a="1"/>
  <c r="P636" i="2" s="1"/>
  <c r="H636" i="2" a="1"/>
  <c r="H636" i="2" s="1"/>
  <c r="G636" i="2" a="1"/>
  <c r="G636" i="2" s="1"/>
  <c r="F636" i="2" a="1"/>
  <c r="F636" i="2" s="1"/>
  <c r="D636" i="2" a="1"/>
  <c r="D636" i="2" s="1"/>
  <c r="AH466" i="2" a="1"/>
  <c r="AH466" i="2" s="1"/>
  <c r="R466" i="2" a="1"/>
  <c r="R466" i="2" s="1"/>
  <c r="Q466" i="2" a="1"/>
  <c r="Q466" i="2" s="1"/>
  <c r="AD466" i="2" s="1" a="1"/>
  <c r="AD466" i="2" s="1"/>
  <c r="P466" i="2" a="1"/>
  <c r="P466" i="2" s="1"/>
  <c r="H466" i="2" a="1"/>
  <c r="H466" i="2" s="1"/>
  <c r="G466" i="2" a="1"/>
  <c r="G466" i="2" s="1"/>
  <c r="F466" i="2" a="1"/>
  <c r="F466" i="2" s="1"/>
  <c r="D466" i="2" a="1"/>
  <c r="D466" i="2" s="1"/>
  <c r="AH561" i="2" a="1"/>
  <c r="AH561" i="2" s="1"/>
  <c r="R561" i="2" a="1"/>
  <c r="R561" i="2" s="1"/>
  <c r="Q561" i="2" a="1"/>
  <c r="Q561" i="2" s="1"/>
  <c r="P561" i="2" a="1"/>
  <c r="P561" i="2" s="1"/>
  <c r="H561" i="2" a="1"/>
  <c r="H561" i="2" s="1"/>
  <c r="G561" i="2" a="1"/>
  <c r="G561" i="2" s="1"/>
  <c r="F561" i="2" a="1"/>
  <c r="F561" i="2" s="1"/>
  <c r="D561" i="2" a="1"/>
  <c r="D561" i="2" s="1"/>
  <c r="AH397" i="2" a="1"/>
  <c r="AH397" i="2" s="1"/>
  <c r="R397" i="2" a="1"/>
  <c r="R397" i="2" s="1"/>
  <c r="Q397" i="2" a="1"/>
  <c r="Q397" i="2" s="1"/>
  <c r="P397" i="2" a="1"/>
  <c r="P397" i="2" s="1"/>
  <c r="H397" i="2" a="1"/>
  <c r="H397" i="2" s="1"/>
  <c r="G397" i="2" a="1"/>
  <c r="G397" i="2" s="1"/>
  <c r="F397" i="2" a="1"/>
  <c r="F397" i="2" s="1"/>
  <c r="D204" i="8" s="1" a="1"/>
  <c r="D204" i="8" s="1"/>
  <c r="D397" i="2" a="1"/>
  <c r="D397" i="2" s="1"/>
  <c r="B204" i="8" s="1" a="1"/>
  <c r="B204" i="8" s="1"/>
  <c r="AH620" i="2" a="1"/>
  <c r="AH620" i="2" s="1"/>
  <c r="R620" i="2" a="1"/>
  <c r="R620" i="2" s="1"/>
  <c r="Q620" i="2" a="1"/>
  <c r="Q620" i="2" s="1"/>
  <c r="P620" i="2" a="1"/>
  <c r="P620" i="2" s="1"/>
  <c r="H620" i="2" a="1"/>
  <c r="H620" i="2" s="1"/>
  <c r="G620" i="2" a="1"/>
  <c r="G620" i="2" s="1"/>
  <c r="F620" i="2" a="1"/>
  <c r="F620" i="2" s="1"/>
  <c r="D620" i="2" a="1"/>
  <c r="D620" i="2" s="1"/>
  <c r="AH454" i="2" a="1"/>
  <c r="AH454" i="2" s="1"/>
  <c r="R454" i="2" a="1"/>
  <c r="R454" i="2" s="1"/>
  <c r="Q454" i="2" a="1"/>
  <c r="Q454" i="2" s="1"/>
  <c r="P454" i="2" a="1"/>
  <c r="P454" i="2" s="1"/>
  <c r="H454" i="2" a="1"/>
  <c r="H454" i="2" s="1"/>
  <c r="G454" i="2" a="1"/>
  <c r="G454" i="2" s="1"/>
  <c r="F454" i="2" a="1"/>
  <c r="F454" i="2" s="1"/>
  <c r="D454" i="2" a="1"/>
  <c r="D454" i="2" s="1"/>
  <c r="AH517" i="2" a="1"/>
  <c r="AH517" i="2" s="1"/>
  <c r="R517" i="2" a="1"/>
  <c r="R517" i="2" s="1"/>
  <c r="Q517" i="2" a="1"/>
  <c r="Q517" i="2" s="1"/>
  <c r="AD517" i="2" s="1" a="1"/>
  <c r="AD517" i="2" s="1"/>
  <c r="P517" i="2" a="1"/>
  <c r="P517" i="2" s="1"/>
  <c r="H517" i="2" a="1"/>
  <c r="H517" i="2" s="1"/>
  <c r="G517" i="2" a="1"/>
  <c r="G517" i="2" s="1"/>
  <c r="F517" i="2" a="1"/>
  <c r="F517" i="2" s="1"/>
  <c r="D517" i="2" a="1"/>
  <c r="D517" i="2" s="1"/>
  <c r="AH425" i="2" a="1"/>
  <c r="AH425" i="2" s="1"/>
  <c r="R425" i="2" a="1"/>
  <c r="R425" i="2" s="1"/>
  <c r="Q425" i="2" a="1"/>
  <c r="Q425" i="2" s="1"/>
  <c r="P425" i="2" a="1"/>
  <c r="P425" i="2" s="1"/>
  <c r="H425" i="2" a="1"/>
  <c r="H425" i="2" s="1"/>
  <c r="G425" i="2" a="1"/>
  <c r="G425" i="2" s="1"/>
  <c r="F425" i="2" a="1"/>
  <c r="F425" i="2" s="1"/>
  <c r="D425" i="2" a="1"/>
  <c r="D425" i="2" s="1"/>
  <c r="AJ567" i="2" a="1"/>
  <c r="AJ567" i="2" s="1"/>
  <c r="P567" i="2" a="1"/>
  <c r="P567" i="2" s="1"/>
  <c r="H567" i="2" a="1"/>
  <c r="H567" i="2" s="1"/>
  <c r="G567" i="2" a="1"/>
  <c r="G567" i="2" s="1"/>
  <c r="F567" i="2" a="1"/>
  <c r="F567" i="2" s="1"/>
  <c r="D64" i="9" s="1" a="1"/>
  <c r="D64" i="9" s="1"/>
  <c r="D567" i="2" a="1"/>
  <c r="D567" i="2" s="1"/>
  <c r="AH573" i="2" a="1"/>
  <c r="AH573" i="2" s="1"/>
  <c r="R573" i="2" a="1"/>
  <c r="R573" i="2" s="1"/>
  <c r="Q573" i="2" a="1"/>
  <c r="Q573" i="2" s="1"/>
  <c r="P573" i="2" a="1"/>
  <c r="P573" i="2" s="1"/>
  <c r="H573" i="2" a="1"/>
  <c r="H573" i="2" s="1"/>
  <c r="G573" i="2" a="1"/>
  <c r="G573" i="2" s="1"/>
  <c r="F573" i="2" a="1"/>
  <c r="F573" i="2" s="1"/>
  <c r="D573" i="2" a="1"/>
  <c r="D573" i="2" s="1"/>
  <c r="AJ463" i="2" a="1"/>
  <c r="AJ463" i="2" s="1"/>
  <c r="P463" i="2" a="1"/>
  <c r="P463" i="2" s="1"/>
  <c r="H463" i="2" a="1"/>
  <c r="H463" i="2" s="1"/>
  <c r="G463" i="2" a="1"/>
  <c r="G463" i="2" s="1"/>
  <c r="F463" i="2" a="1"/>
  <c r="F463" i="2" s="1"/>
  <c r="D63" i="9" s="1" a="1"/>
  <c r="D63" i="9" s="1"/>
  <c r="D463" i="2" a="1"/>
  <c r="D463" i="2" s="1"/>
  <c r="B63" i="9" s="1" a="1"/>
  <c r="B63" i="9" s="1"/>
  <c r="AJ393" i="2" a="1"/>
  <c r="AJ393" i="2" s="1"/>
  <c r="P393" i="2" a="1"/>
  <c r="P393" i="2" s="1"/>
  <c r="H393" i="2" a="1"/>
  <c r="H393" i="2" s="1"/>
  <c r="G393" i="2" a="1"/>
  <c r="G393" i="2" s="1"/>
  <c r="F393" i="2" a="1"/>
  <c r="F393" i="2" s="1"/>
  <c r="D62" i="9" s="1" a="1"/>
  <c r="D62" i="9" s="1"/>
  <c r="D393" i="2" a="1"/>
  <c r="D393" i="2" s="1"/>
  <c r="B62" i="9" s="1" a="1"/>
  <c r="B62" i="9" s="1"/>
  <c r="AH646" i="2" a="1"/>
  <c r="AH646" i="2" s="1"/>
  <c r="R646" i="2" a="1"/>
  <c r="R646" i="2" s="1"/>
  <c r="Q646" i="2" a="1"/>
  <c r="Q646" i="2" s="1"/>
  <c r="AG646" i="2" s="1" a="1"/>
  <c r="AG646" i="2" s="1"/>
  <c r="P646" i="2" a="1"/>
  <c r="P646" i="2" s="1"/>
  <c r="H646" i="2" a="1"/>
  <c r="H646" i="2" s="1"/>
  <c r="G646" i="2" a="1"/>
  <c r="G646" i="2" s="1"/>
  <c r="F646" i="2" a="1"/>
  <c r="F646" i="2" s="1"/>
  <c r="D646" i="2" a="1"/>
  <c r="D646" i="2" s="1"/>
  <c r="AH532" i="2" a="1"/>
  <c r="AH532" i="2" s="1"/>
  <c r="R532" i="2" a="1"/>
  <c r="R532" i="2" s="1"/>
  <c r="Q532" i="2" a="1"/>
  <c r="Q532" i="2" s="1"/>
  <c r="P532" i="2" a="1"/>
  <c r="P532" i="2" s="1"/>
  <c r="H532" i="2" a="1"/>
  <c r="H532" i="2" s="1"/>
  <c r="G532" i="2" a="1"/>
  <c r="G532" i="2" s="1"/>
  <c r="F532" i="2" a="1"/>
  <c r="F532" i="2" s="1"/>
  <c r="D532" i="2" a="1"/>
  <c r="D532" i="2" s="1"/>
  <c r="AH497" i="2" a="1"/>
  <c r="AH497" i="2" s="1"/>
  <c r="R497" i="2" a="1"/>
  <c r="R497" i="2" s="1"/>
  <c r="Q497" i="2" a="1"/>
  <c r="Q497" i="2" s="1"/>
  <c r="P497" i="2" a="1"/>
  <c r="P497" i="2" s="1"/>
  <c r="H497" i="2" a="1"/>
  <c r="H497" i="2" s="1"/>
  <c r="G497" i="2" a="1"/>
  <c r="G497" i="2" s="1"/>
  <c r="F497" i="2" a="1"/>
  <c r="F497" i="2" s="1"/>
  <c r="D497" i="2" a="1"/>
  <c r="D497" i="2" s="1"/>
  <c r="AJ391" i="2" a="1"/>
  <c r="AJ391" i="2" s="1"/>
  <c r="AM391" i="2" s="1" a="1"/>
  <c r="AM391" i="2" s="1"/>
  <c r="P391" i="2" a="1"/>
  <c r="P391" i="2" s="1"/>
  <c r="H391" i="2" a="1"/>
  <c r="H391" i="2" s="1"/>
  <c r="G391" i="2" a="1"/>
  <c r="G391" i="2" s="1"/>
  <c r="F391" i="2" a="1"/>
  <c r="F391" i="2" s="1"/>
  <c r="D61" i="9" s="1" a="1"/>
  <c r="D61" i="9" s="1"/>
  <c r="D391" i="2" a="1"/>
  <c r="D391" i="2" s="1"/>
  <c r="B61" i="9" s="1" a="1"/>
  <c r="B61" i="9" s="1"/>
  <c r="AH552" i="2" a="1"/>
  <c r="AH552" i="2" s="1"/>
  <c r="R552" i="2" a="1"/>
  <c r="R552" i="2" s="1"/>
  <c r="Q552" i="2" a="1"/>
  <c r="Q552" i="2" s="1"/>
  <c r="P552" i="2" a="1"/>
  <c r="P552" i="2" s="1"/>
  <c r="H552" i="2" a="1"/>
  <c r="H552" i="2" s="1"/>
  <c r="G552" i="2" a="1"/>
  <c r="G552" i="2" s="1"/>
  <c r="F552" i="2" a="1"/>
  <c r="F552" i="2" s="1"/>
  <c r="D552" i="2" a="1"/>
  <c r="D552" i="2" s="1"/>
  <c r="AH564" i="2" a="1"/>
  <c r="AH564" i="2" s="1"/>
  <c r="R564" i="2" a="1"/>
  <c r="R564" i="2" s="1"/>
  <c r="Q564" i="2" a="1"/>
  <c r="Q564" i="2" s="1"/>
  <c r="P564" i="2" a="1"/>
  <c r="P564" i="2" s="1"/>
  <c r="H564" i="2" a="1"/>
  <c r="H564" i="2" s="1"/>
  <c r="G564" i="2" a="1"/>
  <c r="G564" i="2" s="1"/>
  <c r="F564" i="2" a="1"/>
  <c r="F564" i="2" s="1"/>
  <c r="D564" i="2" a="1"/>
  <c r="D564" i="2" s="1"/>
  <c r="AJ514" i="2" a="1"/>
  <c r="AJ514" i="2" s="1"/>
  <c r="P514" i="2" a="1"/>
  <c r="P514" i="2" s="1"/>
  <c r="H514" i="2" a="1"/>
  <c r="H514" i="2" s="1"/>
  <c r="G514" i="2" a="1"/>
  <c r="G514" i="2" s="1"/>
  <c r="F514" i="2" a="1"/>
  <c r="F514" i="2" s="1"/>
  <c r="D60" i="9" s="1" a="1"/>
  <c r="D60" i="9" s="1"/>
  <c r="D514" i="2" a="1"/>
  <c r="D514" i="2" s="1"/>
  <c r="AJ322" i="2" a="1"/>
  <c r="AJ322" i="2" s="1"/>
  <c r="P322" i="2" a="1"/>
  <c r="P322" i="2" s="1"/>
  <c r="H322" i="2" a="1"/>
  <c r="H322" i="2" s="1"/>
  <c r="G322" i="2" a="1"/>
  <c r="G322" i="2" s="1"/>
  <c r="F322" i="2" a="1"/>
  <c r="F322" i="2" s="1"/>
  <c r="D59" i="9" s="1" a="1"/>
  <c r="D59" i="9" s="1"/>
  <c r="D322" i="2" a="1"/>
  <c r="D322" i="2" s="1"/>
  <c r="B59" i="9" s="1" a="1"/>
  <c r="B59" i="9" s="1"/>
  <c r="AJ377" i="2" a="1"/>
  <c r="AJ377" i="2" s="1"/>
  <c r="P377" i="2" a="1"/>
  <c r="P377" i="2" s="1"/>
  <c r="H377" i="2" a="1"/>
  <c r="H377" i="2" s="1"/>
  <c r="G377" i="2" a="1"/>
  <c r="G377" i="2" s="1"/>
  <c r="F377" i="2" a="1"/>
  <c r="F377" i="2" s="1"/>
  <c r="D58" i="9" s="1" a="1"/>
  <c r="D58" i="9" s="1"/>
  <c r="D377" i="2" a="1"/>
  <c r="D377" i="2" s="1"/>
  <c r="B58" i="9" s="1" a="1"/>
  <c r="B58" i="9" s="1"/>
  <c r="AH491" i="2" a="1"/>
  <c r="AH491" i="2" s="1"/>
  <c r="R491" i="2" a="1"/>
  <c r="R491" i="2" s="1"/>
  <c r="Q491" i="2" a="1"/>
  <c r="Q491" i="2" s="1"/>
  <c r="P491" i="2" a="1"/>
  <c r="P491" i="2" s="1"/>
  <c r="H491" i="2" a="1"/>
  <c r="H491" i="2" s="1"/>
  <c r="G491" i="2" a="1"/>
  <c r="G491" i="2" s="1"/>
  <c r="F491" i="2" a="1"/>
  <c r="F491" i="2" s="1"/>
  <c r="D491" i="2" a="1"/>
  <c r="D491" i="2" s="1"/>
  <c r="AJ372" i="2" a="1"/>
  <c r="AJ372" i="2" s="1"/>
  <c r="P372" i="2" a="1"/>
  <c r="P372" i="2" s="1"/>
  <c r="H372" i="2" a="1"/>
  <c r="H372" i="2" s="1"/>
  <c r="G372" i="2" a="1"/>
  <c r="G372" i="2" s="1"/>
  <c r="F372" i="2" a="1"/>
  <c r="F372" i="2" s="1"/>
  <c r="D57" i="9" s="1" a="1"/>
  <c r="D57" i="9" s="1"/>
  <c r="D372" i="2" a="1"/>
  <c r="D372" i="2" s="1"/>
  <c r="AH658" i="2" a="1"/>
  <c r="AH658" i="2" s="1"/>
  <c r="R658" i="2" a="1"/>
  <c r="R658" i="2" s="1"/>
  <c r="Q658" i="2" a="1"/>
  <c r="Q658" i="2" s="1"/>
  <c r="AG658" i="2" s="1" a="1"/>
  <c r="AG658" i="2" s="1"/>
  <c r="P658" i="2" a="1"/>
  <c r="P658" i="2" s="1"/>
  <c r="H658" i="2" a="1"/>
  <c r="H658" i="2" s="1"/>
  <c r="G658" i="2" a="1"/>
  <c r="G658" i="2" s="1"/>
  <c r="F658" i="2" a="1"/>
  <c r="F658" i="2" s="1"/>
  <c r="D658" i="2" a="1"/>
  <c r="D658" i="2" s="1"/>
  <c r="AH413" i="2" a="1"/>
  <c r="AH413" i="2" s="1"/>
  <c r="R413" i="2" a="1"/>
  <c r="R413" i="2" s="1"/>
  <c r="Q413" i="2" a="1"/>
  <c r="Q413" i="2" s="1"/>
  <c r="P413" i="2" a="1"/>
  <c r="P413" i="2" s="1"/>
  <c r="H413" i="2" a="1"/>
  <c r="H413" i="2" s="1"/>
  <c r="G413" i="2" a="1"/>
  <c r="G413" i="2" s="1"/>
  <c r="F413" i="2" a="1"/>
  <c r="F413" i="2" s="1"/>
  <c r="D413" i="2" a="1"/>
  <c r="D413" i="2" s="1"/>
  <c r="AH541" i="2" a="1"/>
  <c r="AH541" i="2" s="1"/>
  <c r="R541" i="2" a="1"/>
  <c r="R541" i="2" s="1"/>
  <c r="Q541" i="2" a="1"/>
  <c r="Q541" i="2" s="1"/>
  <c r="P541" i="2" a="1"/>
  <c r="P541" i="2" s="1"/>
  <c r="H541" i="2" a="1"/>
  <c r="H541" i="2" s="1"/>
  <c r="G541" i="2" a="1"/>
  <c r="G541" i="2" s="1"/>
  <c r="F541" i="2" a="1"/>
  <c r="F541" i="2" s="1"/>
  <c r="D541" i="2" a="1"/>
  <c r="D541" i="2" s="1"/>
  <c r="AH535" i="2" a="1"/>
  <c r="AH535" i="2" s="1"/>
  <c r="R535" i="2" a="1"/>
  <c r="R535" i="2" s="1"/>
  <c r="Q535" i="2" a="1"/>
  <c r="Q535" i="2" s="1"/>
  <c r="P535" i="2" a="1"/>
  <c r="P535" i="2" s="1"/>
  <c r="H535" i="2" a="1"/>
  <c r="H535" i="2" s="1"/>
  <c r="G535" i="2" a="1"/>
  <c r="G535" i="2" s="1"/>
  <c r="F535" i="2" a="1"/>
  <c r="F535" i="2" s="1"/>
  <c r="D535" i="2" a="1"/>
  <c r="D535" i="2" s="1"/>
  <c r="AH383" i="2" a="1"/>
  <c r="AH383" i="2" s="1"/>
  <c r="R383" i="2" a="1"/>
  <c r="R383" i="2" s="1"/>
  <c r="Q383" i="2" a="1"/>
  <c r="Q383" i="2" s="1"/>
  <c r="AA383" i="2" s="1" a="1"/>
  <c r="AA383" i="2" s="1"/>
  <c r="P383" i="2" a="1"/>
  <c r="P383" i="2" s="1"/>
  <c r="H383" i="2" a="1"/>
  <c r="H383" i="2" s="1"/>
  <c r="G383" i="2" a="1"/>
  <c r="G383" i="2" s="1"/>
  <c r="F383" i="2" a="1"/>
  <c r="F383" i="2" s="1"/>
  <c r="D383" i="2" a="1"/>
  <c r="D383" i="2" s="1"/>
  <c r="AH534" i="2" a="1"/>
  <c r="AH534" i="2" s="1"/>
  <c r="R534" i="2" a="1"/>
  <c r="R534" i="2" s="1"/>
  <c r="Q534" i="2" a="1"/>
  <c r="Q534" i="2" s="1"/>
  <c r="P534" i="2" a="1"/>
  <c r="P534" i="2" s="1"/>
  <c r="H534" i="2" a="1"/>
  <c r="H534" i="2" s="1"/>
  <c r="G534" i="2" a="1"/>
  <c r="G534" i="2" s="1"/>
  <c r="F534" i="2" a="1"/>
  <c r="F534" i="2" s="1"/>
  <c r="D534" i="2" a="1"/>
  <c r="D534" i="2" s="1"/>
  <c r="AH503" i="2" a="1"/>
  <c r="AH503" i="2" s="1"/>
  <c r="R503" i="2" a="1"/>
  <c r="R503" i="2" s="1"/>
  <c r="Q503" i="2" a="1"/>
  <c r="Q503" i="2" s="1"/>
  <c r="P503" i="2" a="1"/>
  <c r="P503" i="2" s="1"/>
  <c r="H503" i="2" a="1"/>
  <c r="H503" i="2" s="1"/>
  <c r="G503" i="2" a="1"/>
  <c r="G503" i="2" s="1"/>
  <c r="F503" i="2" a="1"/>
  <c r="F503" i="2" s="1"/>
  <c r="D503" i="2" a="1"/>
  <c r="D503" i="2" s="1"/>
  <c r="AH531" i="2" a="1"/>
  <c r="AH531" i="2" s="1"/>
  <c r="R531" i="2" a="1"/>
  <c r="R531" i="2" s="1"/>
  <c r="Q531" i="2" a="1"/>
  <c r="Q531" i="2" s="1"/>
  <c r="Z531" i="2" s="1" a="1"/>
  <c r="Z531" i="2" s="1"/>
  <c r="P531" i="2" a="1"/>
  <c r="P531" i="2" s="1"/>
  <c r="H531" i="2" a="1"/>
  <c r="H531" i="2" s="1"/>
  <c r="G531" i="2" a="1"/>
  <c r="G531" i="2" s="1"/>
  <c r="F531" i="2" a="1"/>
  <c r="F531" i="2" s="1"/>
  <c r="D531" i="2" a="1"/>
  <c r="D531" i="2" s="1"/>
  <c r="AH640" i="2" a="1"/>
  <c r="AH640" i="2" s="1"/>
  <c r="R640" i="2" a="1"/>
  <c r="R640" i="2" s="1"/>
  <c r="Q640" i="2" a="1"/>
  <c r="Q640" i="2" s="1"/>
  <c r="P640" i="2" a="1"/>
  <c r="P640" i="2" s="1"/>
  <c r="H640" i="2" a="1"/>
  <c r="H640" i="2" s="1"/>
  <c r="G640" i="2" a="1"/>
  <c r="G640" i="2" s="1"/>
  <c r="F640" i="2" a="1"/>
  <c r="F640" i="2" s="1"/>
  <c r="D640" i="2" a="1"/>
  <c r="D640" i="2" s="1"/>
  <c r="AH475" i="2" a="1"/>
  <c r="AH475" i="2" s="1"/>
  <c r="R475" i="2" a="1"/>
  <c r="R475" i="2" s="1"/>
  <c r="Q475" i="2" a="1"/>
  <c r="Q475" i="2" s="1"/>
  <c r="Z475" i="2" s="1" a="1"/>
  <c r="Z475" i="2" s="1"/>
  <c r="P475" i="2" a="1"/>
  <c r="P475" i="2" s="1"/>
  <c r="H475" i="2" a="1"/>
  <c r="H475" i="2" s="1"/>
  <c r="G475" i="2" a="1"/>
  <c r="G475" i="2" s="1"/>
  <c r="F475" i="2" a="1"/>
  <c r="F475" i="2" s="1"/>
  <c r="D475" i="2" a="1"/>
  <c r="D475" i="2" s="1"/>
  <c r="AH584" i="2" a="1"/>
  <c r="AH584" i="2" s="1"/>
  <c r="R584" i="2" a="1"/>
  <c r="R584" i="2" s="1"/>
  <c r="Q584" i="2" a="1"/>
  <c r="Q584" i="2" s="1"/>
  <c r="AA584" i="2" s="1" a="1"/>
  <c r="AA584" i="2" s="1"/>
  <c r="P584" i="2" a="1"/>
  <c r="P584" i="2" s="1"/>
  <c r="H584" i="2" a="1"/>
  <c r="H584" i="2" s="1"/>
  <c r="G584" i="2" a="1"/>
  <c r="G584" i="2" s="1"/>
  <c r="F584" i="2" a="1"/>
  <c r="F584" i="2" s="1"/>
  <c r="D584" i="2" a="1"/>
  <c r="D584" i="2" s="1"/>
  <c r="AH467" i="2" a="1"/>
  <c r="AH467" i="2" s="1"/>
  <c r="R467" i="2" a="1"/>
  <c r="R467" i="2" s="1"/>
  <c r="Q467" i="2" a="1"/>
  <c r="Q467" i="2" s="1"/>
  <c r="P467" i="2" a="1"/>
  <c r="P467" i="2" s="1"/>
  <c r="H467" i="2" a="1"/>
  <c r="H467" i="2" s="1"/>
  <c r="G467" i="2" a="1"/>
  <c r="G467" i="2" s="1"/>
  <c r="F467" i="2" a="1"/>
  <c r="F467" i="2" s="1"/>
  <c r="D467" i="2" a="1"/>
  <c r="D467" i="2" s="1"/>
  <c r="AJ434" i="2" a="1"/>
  <c r="AJ434" i="2" s="1"/>
  <c r="AN434" i="2" s="1" a="1"/>
  <c r="AN434" i="2" s="1"/>
  <c r="P434" i="2" a="1"/>
  <c r="P434" i="2" s="1"/>
  <c r="H434" i="2" a="1"/>
  <c r="H434" i="2" s="1"/>
  <c r="G434" i="2" a="1"/>
  <c r="G434" i="2" s="1"/>
  <c r="F434" i="2" a="1"/>
  <c r="F434" i="2" s="1"/>
  <c r="D56" i="9" s="1" a="1"/>
  <c r="D56" i="9" s="1"/>
  <c r="D434" i="2" a="1"/>
  <c r="D434" i="2" s="1"/>
  <c r="AH465" i="2" a="1"/>
  <c r="AH465" i="2" s="1"/>
  <c r="R465" i="2" a="1"/>
  <c r="R465" i="2" s="1"/>
  <c r="Q465" i="2" a="1"/>
  <c r="Q465" i="2" s="1"/>
  <c r="P465" i="2" a="1"/>
  <c r="P465" i="2" s="1"/>
  <c r="H465" i="2" a="1"/>
  <c r="H465" i="2" s="1"/>
  <c r="G465" i="2" a="1"/>
  <c r="G465" i="2" s="1"/>
  <c r="F465" i="2" a="1"/>
  <c r="F465" i="2" s="1"/>
  <c r="D465" i="2" a="1"/>
  <c r="D465" i="2" s="1"/>
  <c r="AH453" i="2" a="1"/>
  <c r="AH453" i="2" s="1"/>
  <c r="R453" i="2" a="1"/>
  <c r="R453" i="2" s="1"/>
  <c r="Q453" i="2" a="1"/>
  <c r="Q453" i="2" s="1"/>
  <c r="P453" i="2" a="1"/>
  <c r="P453" i="2" s="1"/>
  <c r="H453" i="2" a="1"/>
  <c r="H453" i="2" s="1"/>
  <c r="G453" i="2" a="1"/>
  <c r="G453" i="2" s="1"/>
  <c r="F453" i="2" a="1"/>
  <c r="F453" i="2" s="1"/>
  <c r="D453" i="2" a="1"/>
  <c r="D453" i="2" s="1"/>
  <c r="AJ255" i="2" a="1"/>
  <c r="AJ255" i="2" s="1"/>
  <c r="P255" i="2" a="1"/>
  <c r="P255" i="2" s="1"/>
  <c r="H255" i="2" a="1"/>
  <c r="H255" i="2" s="1"/>
  <c r="G255" i="2" a="1"/>
  <c r="G255" i="2" s="1"/>
  <c r="F255" i="2" a="1"/>
  <c r="F255" i="2" s="1"/>
  <c r="D55" i="9" s="1" a="1"/>
  <c r="D55" i="9" s="1"/>
  <c r="D255" i="2" a="1"/>
  <c r="D255" i="2" s="1"/>
  <c r="AH513" i="2" a="1"/>
  <c r="AH513" i="2" s="1"/>
  <c r="R513" i="2" a="1"/>
  <c r="R513" i="2" s="1"/>
  <c r="Q513" i="2" a="1"/>
  <c r="Q513" i="2" s="1"/>
  <c r="AB513" i="2" s="1" a="1"/>
  <c r="AB513" i="2" s="1"/>
  <c r="P513" i="2" a="1"/>
  <c r="P513" i="2" s="1"/>
  <c r="H513" i="2" a="1"/>
  <c r="H513" i="2" s="1"/>
  <c r="G513" i="2" a="1"/>
  <c r="G513" i="2" s="1"/>
  <c r="F513" i="2" a="1"/>
  <c r="F513" i="2" s="1"/>
  <c r="D513" i="2" a="1"/>
  <c r="D513" i="2" s="1"/>
  <c r="AH452" i="2" a="1"/>
  <c r="AH452" i="2" s="1"/>
  <c r="R452" i="2" a="1"/>
  <c r="R452" i="2" s="1"/>
  <c r="Q452" i="2" a="1"/>
  <c r="Q452" i="2" s="1"/>
  <c r="P452" i="2" a="1"/>
  <c r="P452" i="2" s="1"/>
  <c r="H452" i="2" a="1"/>
  <c r="H452" i="2" s="1"/>
  <c r="G452" i="2" a="1"/>
  <c r="G452" i="2" s="1"/>
  <c r="F452" i="2" a="1"/>
  <c r="F452" i="2" s="1"/>
  <c r="D203" i="8" s="1" a="1"/>
  <c r="D203" i="8" s="1"/>
  <c r="D452" i="2" a="1"/>
  <c r="D452" i="2" s="1"/>
  <c r="B203" i="8" s="1" a="1"/>
  <c r="B203" i="8" s="1"/>
  <c r="AH414" i="2" a="1"/>
  <c r="AH414" i="2" s="1"/>
  <c r="R414" i="2" a="1"/>
  <c r="R414" i="2" s="1"/>
  <c r="Q414" i="2" a="1"/>
  <c r="Q414" i="2" s="1"/>
  <c r="P414" i="2" a="1"/>
  <c r="P414" i="2" s="1"/>
  <c r="H414" i="2" a="1"/>
  <c r="H414" i="2" s="1"/>
  <c r="G414" i="2" a="1"/>
  <c r="G414" i="2" s="1"/>
  <c r="F414" i="2" a="1"/>
  <c r="F414" i="2" s="1"/>
  <c r="D202" i="8" s="1" a="1"/>
  <c r="D202" i="8" s="1"/>
  <c r="D414" i="2" a="1"/>
  <c r="D414" i="2" s="1"/>
  <c r="B202" i="8" s="1" a="1"/>
  <c r="B202" i="8" s="1"/>
  <c r="AH543" i="2" a="1"/>
  <c r="AH543" i="2" s="1"/>
  <c r="R543" i="2" a="1"/>
  <c r="R543" i="2" s="1"/>
  <c r="Q543" i="2" a="1"/>
  <c r="Q543" i="2" s="1"/>
  <c r="AA543" i="2" s="1" a="1"/>
  <c r="AA543" i="2" s="1"/>
  <c r="P543" i="2" a="1"/>
  <c r="P543" i="2" s="1"/>
  <c r="H543" i="2" a="1"/>
  <c r="H543" i="2" s="1"/>
  <c r="G543" i="2" a="1"/>
  <c r="G543" i="2" s="1"/>
  <c r="F543" i="2" a="1"/>
  <c r="F543" i="2" s="1"/>
  <c r="D543" i="2" a="1"/>
  <c r="D543" i="2" s="1"/>
  <c r="AH520" i="2" a="1"/>
  <c r="AH520" i="2" s="1"/>
  <c r="R520" i="2" a="1"/>
  <c r="R520" i="2" s="1"/>
  <c r="Q520" i="2" a="1"/>
  <c r="Q520" i="2" s="1"/>
  <c r="P520" i="2" a="1"/>
  <c r="P520" i="2" s="1"/>
  <c r="H520" i="2" a="1"/>
  <c r="H520" i="2" s="1"/>
  <c r="G520" i="2" a="1"/>
  <c r="G520" i="2" s="1"/>
  <c r="F520" i="2" a="1"/>
  <c r="F520" i="2" s="1"/>
  <c r="D520" i="2" a="1"/>
  <c r="D520" i="2" s="1"/>
  <c r="AH451" i="2" a="1"/>
  <c r="AH451" i="2" s="1"/>
  <c r="R451" i="2" a="1"/>
  <c r="R451" i="2" s="1"/>
  <c r="Q451" i="2" a="1"/>
  <c r="Q451" i="2" s="1"/>
  <c r="P451" i="2" a="1"/>
  <c r="P451" i="2" s="1"/>
  <c r="H451" i="2" a="1"/>
  <c r="H451" i="2" s="1"/>
  <c r="G451" i="2" a="1"/>
  <c r="G451" i="2" s="1"/>
  <c r="F451" i="2" a="1"/>
  <c r="F451" i="2" s="1"/>
  <c r="D451" i="2" a="1"/>
  <c r="D451" i="2" s="1"/>
  <c r="AH609" i="2" a="1"/>
  <c r="AH609" i="2" s="1"/>
  <c r="R609" i="2" a="1"/>
  <c r="R609" i="2" s="1"/>
  <c r="Q609" i="2" a="1"/>
  <c r="Q609" i="2" s="1"/>
  <c r="P609" i="2" a="1"/>
  <c r="P609" i="2" s="1"/>
  <c r="H609" i="2" a="1"/>
  <c r="H609" i="2" s="1"/>
  <c r="G609" i="2" a="1"/>
  <c r="G609" i="2" s="1"/>
  <c r="F609" i="2" a="1"/>
  <c r="F609" i="2" s="1"/>
  <c r="D609" i="2" a="1"/>
  <c r="D609" i="2" s="1"/>
  <c r="AH542" i="2" a="1"/>
  <c r="AH542" i="2" s="1"/>
  <c r="R542" i="2" a="1"/>
  <c r="R542" i="2" s="1"/>
  <c r="Q542" i="2" a="1"/>
  <c r="Q542" i="2" s="1"/>
  <c r="Y542" i="2" s="1" a="1"/>
  <c r="Y542" i="2" s="1"/>
  <c r="P542" i="2" a="1"/>
  <c r="P542" i="2" s="1"/>
  <c r="H542" i="2" a="1"/>
  <c r="H542" i="2" s="1"/>
  <c r="G542" i="2" a="1"/>
  <c r="G542" i="2" s="1"/>
  <c r="F542" i="2" a="1"/>
  <c r="F542" i="2" s="1"/>
  <c r="D542" i="2" a="1"/>
  <c r="D542" i="2" s="1"/>
  <c r="AH401" i="2" a="1"/>
  <c r="AH401" i="2" s="1"/>
  <c r="R401" i="2" a="1"/>
  <c r="R401" i="2" s="1"/>
  <c r="Q401" i="2" a="1"/>
  <c r="Q401" i="2" s="1"/>
  <c r="P401" i="2" a="1"/>
  <c r="P401" i="2" s="1"/>
  <c r="H401" i="2" a="1"/>
  <c r="H401" i="2" s="1"/>
  <c r="G401" i="2" a="1"/>
  <c r="G401" i="2" s="1"/>
  <c r="F401" i="2" a="1"/>
  <c r="F401" i="2" s="1"/>
  <c r="D201" i="8" s="1" a="1"/>
  <c r="D201" i="8" s="1"/>
  <c r="D401" i="2" a="1"/>
  <c r="D401" i="2" s="1"/>
  <c r="AH580" i="2" a="1"/>
  <c r="AH580" i="2" s="1"/>
  <c r="R580" i="2" a="1"/>
  <c r="R580" i="2" s="1"/>
  <c r="Q580" i="2" a="1"/>
  <c r="Q580" i="2" s="1"/>
  <c r="P580" i="2" a="1"/>
  <c r="P580" i="2" s="1"/>
  <c r="H580" i="2" a="1"/>
  <c r="H580" i="2" s="1"/>
  <c r="G580" i="2" a="1"/>
  <c r="G580" i="2" s="1"/>
  <c r="F580" i="2" a="1"/>
  <c r="F580" i="2" s="1"/>
  <c r="D580" i="2" a="1"/>
  <c r="D580" i="2" s="1"/>
  <c r="AH526" i="2" a="1"/>
  <c r="AH526" i="2" s="1"/>
  <c r="R526" i="2" a="1"/>
  <c r="R526" i="2" s="1"/>
  <c r="Q526" i="2" a="1"/>
  <c r="Q526" i="2" s="1"/>
  <c r="Z526" i="2" s="1" a="1"/>
  <c r="Z526" i="2" s="1"/>
  <c r="P526" i="2" a="1"/>
  <c r="P526" i="2" s="1"/>
  <c r="H526" i="2" a="1"/>
  <c r="H526" i="2" s="1"/>
  <c r="G526" i="2" a="1"/>
  <c r="G526" i="2" s="1"/>
  <c r="F526" i="2" a="1"/>
  <c r="F526" i="2" s="1"/>
  <c r="D526" i="2" a="1"/>
  <c r="D526" i="2" s="1"/>
  <c r="AH362" i="2" a="1"/>
  <c r="AH362" i="2" s="1"/>
  <c r="R362" i="2" a="1"/>
  <c r="R362" i="2" s="1"/>
  <c r="Q362" i="2" a="1"/>
  <c r="Q362" i="2" s="1"/>
  <c r="P362" i="2" a="1"/>
  <c r="P362" i="2" s="1"/>
  <c r="H362" i="2" a="1"/>
  <c r="H362" i="2" s="1"/>
  <c r="G362" i="2" a="1"/>
  <c r="G362" i="2" s="1"/>
  <c r="F362" i="2" a="1"/>
  <c r="F362" i="2" s="1"/>
  <c r="D200" i="8" s="1" a="1"/>
  <c r="D200" i="8" s="1"/>
  <c r="D362" i="2" a="1"/>
  <c r="D362" i="2" s="1"/>
  <c r="AH309" i="2" a="1"/>
  <c r="AH309" i="2" s="1"/>
  <c r="R309" i="2" a="1"/>
  <c r="R309" i="2" s="1"/>
  <c r="Q309" i="2" a="1"/>
  <c r="Q309" i="2" s="1"/>
  <c r="P309" i="2" a="1"/>
  <c r="P309" i="2" s="1"/>
  <c r="H309" i="2" a="1"/>
  <c r="H309" i="2" s="1"/>
  <c r="G309" i="2" a="1"/>
  <c r="G309" i="2" s="1"/>
  <c r="F309" i="2" a="1"/>
  <c r="F309" i="2" s="1"/>
  <c r="D199" i="8" s="1" a="1"/>
  <c r="D199" i="8" s="1"/>
  <c r="D309" i="2" a="1"/>
  <c r="D309" i="2" s="1"/>
  <c r="B199" i="8" s="1" a="1"/>
  <c r="B199" i="8" s="1"/>
  <c r="AH587" i="2" a="1"/>
  <c r="AH587" i="2" s="1"/>
  <c r="R587" i="2" a="1"/>
  <c r="R587" i="2" s="1"/>
  <c r="Q587" i="2" a="1"/>
  <c r="Q587" i="2" s="1"/>
  <c r="P587" i="2" a="1"/>
  <c r="P587" i="2" s="1"/>
  <c r="H587" i="2" a="1"/>
  <c r="H587" i="2" s="1"/>
  <c r="G587" i="2" a="1"/>
  <c r="G587" i="2" s="1"/>
  <c r="F587" i="2" a="1"/>
  <c r="F587" i="2" s="1"/>
  <c r="D587" i="2" a="1"/>
  <c r="D587" i="2" s="1"/>
  <c r="AH661" i="2" a="1"/>
  <c r="AH661" i="2" s="1"/>
  <c r="R661" i="2" a="1"/>
  <c r="R661" i="2" s="1"/>
  <c r="Q661" i="2" a="1"/>
  <c r="Q661" i="2" s="1"/>
  <c r="P661" i="2" a="1"/>
  <c r="P661" i="2" s="1"/>
  <c r="H661" i="2" a="1"/>
  <c r="H661" i="2" s="1"/>
  <c r="G661" i="2" a="1"/>
  <c r="G661" i="2" s="1"/>
  <c r="F661" i="2" a="1"/>
  <c r="F661" i="2" s="1"/>
  <c r="D661" i="2" a="1"/>
  <c r="D661" i="2" s="1"/>
  <c r="AH494" i="2" a="1"/>
  <c r="AH494" i="2" s="1"/>
  <c r="R494" i="2" a="1"/>
  <c r="R494" i="2" s="1"/>
  <c r="Q494" i="2" a="1"/>
  <c r="Q494" i="2" s="1"/>
  <c r="P494" i="2" a="1"/>
  <c r="P494" i="2" s="1"/>
  <c r="H494" i="2" a="1"/>
  <c r="H494" i="2" s="1"/>
  <c r="G494" i="2" a="1"/>
  <c r="G494" i="2" s="1"/>
  <c r="F494" i="2" a="1"/>
  <c r="F494" i="2" s="1"/>
  <c r="D494" i="2" a="1"/>
  <c r="D494" i="2" s="1"/>
  <c r="AJ365" i="2" a="1"/>
  <c r="AJ365" i="2" s="1"/>
  <c r="P365" i="2" a="1"/>
  <c r="P365" i="2" s="1"/>
  <c r="H365" i="2" a="1"/>
  <c r="H365" i="2" s="1"/>
  <c r="G365" i="2" a="1"/>
  <c r="G365" i="2" s="1"/>
  <c r="F365" i="2" a="1"/>
  <c r="F365" i="2" s="1"/>
  <c r="D54" i="9" s="1" a="1"/>
  <c r="D54" i="9" s="1"/>
  <c r="D365" i="2" a="1"/>
  <c r="D365" i="2" s="1"/>
  <c r="B54" i="9" s="1" a="1"/>
  <c r="B54" i="9" s="1"/>
  <c r="AJ261" i="2" a="1"/>
  <c r="AJ261" i="2" s="1"/>
  <c r="P261" i="2" a="1"/>
  <c r="P261" i="2" s="1"/>
  <c r="H261" i="2" a="1"/>
  <c r="H261" i="2" s="1"/>
  <c r="G261" i="2" a="1"/>
  <c r="G261" i="2" s="1"/>
  <c r="F261" i="2" a="1"/>
  <c r="F261" i="2" s="1"/>
  <c r="D53" i="9" s="1" a="1"/>
  <c r="D53" i="9" s="1"/>
  <c r="D261" i="2" a="1"/>
  <c r="D261" i="2" s="1"/>
  <c r="B53" i="9" s="1" a="1"/>
  <c r="B53" i="9" s="1"/>
  <c r="AH512" i="2" a="1"/>
  <c r="AH512" i="2" s="1"/>
  <c r="R512" i="2" a="1"/>
  <c r="R512" i="2" s="1"/>
  <c r="Q512" i="2" a="1"/>
  <c r="Q512" i="2" s="1"/>
  <c r="P512" i="2" a="1"/>
  <c r="P512" i="2" s="1"/>
  <c r="H512" i="2" a="1"/>
  <c r="H512" i="2" s="1"/>
  <c r="G512" i="2" a="1"/>
  <c r="G512" i="2" s="1"/>
  <c r="F512" i="2" a="1"/>
  <c r="F512" i="2" s="1"/>
  <c r="D512" i="2" a="1"/>
  <c r="D512" i="2" s="1"/>
  <c r="AH488" i="2" a="1"/>
  <c r="AH488" i="2" s="1"/>
  <c r="R488" i="2" a="1"/>
  <c r="R488" i="2" s="1"/>
  <c r="Q488" i="2" a="1"/>
  <c r="Q488" i="2" s="1"/>
  <c r="AG488" i="2" s="1" a="1"/>
  <c r="AG488" i="2" s="1"/>
  <c r="P488" i="2" a="1"/>
  <c r="P488" i="2" s="1"/>
  <c r="H488" i="2" a="1"/>
  <c r="H488" i="2" s="1"/>
  <c r="G488" i="2" a="1"/>
  <c r="G488" i="2" s="1"/>
  <c r="F488" i="2" a="1"/>
  <c r="F488" i="2" s="1"/>
  <c r="D488" i="2" a="1"/>
  <c r="D488" i="2" s="1"/>
  <c r="AH340" i="2" a="1"/>
  <c r="AH340" i="2" s="1"/>
  <c r="R340" i="2" a="1"/>
  <c r="R340" i="2" s="1"/>
  <c r="Q340" i="2" a="1"/>
  <c r="Q340" i="2" s="1"/>
  <c r="P340" i="2" a="1"/>
  <c r="P340" i="2" s="1"/>
  <c r="H340" i="2" a="1"/>
  <c r="H340" i="2" s="1"/>
  <c r="G340" i="2" a="1"/>
  <c r="G340" i="2" s="1"/>
  <c r="F340" i="2" a="1"/>
  <c r="F340" i="2" s="1"/>
  <c r="D198" i="8" s="1" a="1"/>
  <c r="D198" i="8" s="1"/>
  <c r="D340" i="2" a="1"/>
  <c r="D340" i="2" s="1"/>
  <c r="B198" i="8" s="1" a="1"/>
  <c r="B198" i="8" s="1"/>
  <c r="AJ228" i="2" a="1"/>
  <c r="AJ228" i="2" s="1"/>
  <c r="P228" i="2" a="1"/>
  <c r="P228" i="2" s="1"/>
  <c r="H228" i="2" a="1"/>
  <c r="H228" i="2" s="1"/>
  <c r="G228" i="2" a="1"/>
  <c r="G228" i="2" s="1"/>
  <c r="F228" i="2" a="1"/>
  <c r="F228" i="2" s="1"/>
  <c r="D52" i="9" s="1" a="1"/>
  <c r="D52" i="9" s="1"/>
  <c r="D228" i="2" a="1"/>
  <c r="D228" i="2" s="1"/>
  <c r="B52" i="9" s="1" a="1"/>
  <c r="B52" i="9" s="1"/>
  <c r="AH501" i="2" a="1"/>
  <c r="AH501" i="2" s="1"/>
  <c r="R501" i="2" a="1"/>
  <c r="R501" i="2" s="1"/>
  <c r="Q501" i="2" a="1"/>
  <c r="Q501" i="2" s="1"/>
  <c r="AD501" i="2" s="1" a="1"/>
  <c r="AD501" i="2" s="1"/>
  <c r="P501" i="2" a="1"/>
  <c r="P501" i="2" s="1"/>
  <c r="H501" i="2" a="1"/>
  <c r="H501" i="2" s="1"/>
  <c r="G501" i="2" a="1"/>
  <c r="G501" i="2" s="1"/>
  <c r="F501" i="2" a="1"/>
  <c r="F501" i="2" s="1"/>
  <c r="D501" i="2" a="1"/>
  <c r="D501" i="2" s="1"/>
  <c r="AH481" i="2" a="1"/>
  <c r="AH481" i="2" s="1"/>
  <c r="R481" i="2" a="1"/>
  <c r="R481" i="2" s="1"/>
  <c r="Q481" i="2" a="1"/>
  <c r="Q481" i="2" s="1"/>
  <c r="AB481" i="2" s="1" a="1"/>
  <c r="AB481" i="2" s="1"/>
  <c r="P481" i="2" a="1"/>
  <c r="P481" i="2" s="1"/>
  <c r="H481" i="2" a="1"/>
  <c r="H481" i="2" s="1"/>
  <c r="G481" i="2" a="1"/>
  <c r="G481" i="2" s="1"/>
  <c r="F481" i="2" a="1"/>
  <c r="F481" i="2" s="1"/>
  <c r="D481" i="2" a="1"/>
  <c r="D481" i="2" s="1"/>
  <c r="AH367" i="2" a="1"/>
  <c r="AH367" i="2" s="1"/>
  <c r="R367" i="2" a="1"/>
  <c r="R367" i="2" s="1"/>
  <c r="Q367" i="2" a="1"/>
  <c r="Q367" i="2" s="1"/>
  <c r="P367" i="2" a="1"/>
  <c r="P367" i="2" s="1"/>
  <c r="H367" i="2" a="1"/>
  <c r="H367" i="2" s="1"/>
  <c r="G367" i="2" a="1"/>
  <c r="G367" i="2" s="1"/>
  <c r="F367" i="2" a="1"/>
  <c r="F367" i="2" s="1"/>
  <c r="D197" i="8" s="1" a="1"/>
  <c r="D197" i="8" s="1"/>
  <c r="D367" i="2" a="1"/>
  <c r="D367" i="2" s="1"/>
  <c r="B197" i="8" s="1" a="1"/>
  <c r="B197" i="8" s="1"/>
  <c r="AH605" i="2" a="1"/>
  <c r="AH605" i="2" s="1"/>
  <c r="R605" i="2" a="1"/>
  <c r="R605" i="2" s="1"/>
  <c r="Q605" i="2" a="1"/>
  <c r="Q605" i="2" s="1"/>
  <c r="P605" i="2" a="1"/>
  <c r="P605" i="2" s="1"/>
  <c r="H605" i="2" a="1"/>
  <c r="H605" i="2" s="1"/>
  <c r="G605" i="2" a="1"/>
  <c r="G605" i="2" s="1"/>
  <c r="F605" i="2" a="1"/>
  <c r="F605" i="2" s="1"/>
  <c r="D605" i="2" a="1"/>
  <c r="D605" i="2" s="1"/>
  <c r="AH242" i="2" a="1"/>
  <c r="AH242" i="2" s="1"/>
  <c r="R242" i="2" a="1"/>
  <c r="R242" i="2" s="1"/>
  <c r="Q242" i="2" a="1"/>
  <c r="Q242" i="2" s="1"/>
  <c r="P242" i="2" a="1"/>
  <c r="P242" i="2" s="1"/>
  <c r="H242" i="2" a="1"/>
  <c r="H242" i="2" s="1"/>
  <c r="G242" i="2" a="1"/>
  <c r="G242" i="2" s="1"/>
  <c r="F242" i="2" a="1"/>
  <c r="F242" i="2" s="1"/>
  <c r="D196" i="8" s="1" a="1"/>
  <c r="D196" i="8" s="1"/>
  <c r="D242" i="2" a="1"/>
  <c r="D242" i="2" s="1"/>
  <c r="B196" i="8" s="1" a="1"/>
  <c r="B196" i="8" s="1"/>
  <c r="AJ297" i="2" a="1"/>
  <c r="AJ297" i="2" s="1"/>
  <c r="AN297" i="2" s="1" a="1"/>
  <c r="AN297" i="2" s="1"/>
  <c r="P297" i="2" a="1"/>
  <c r="P297" i="2" s="1"/>
  <c r="H297" i="2" a="1"/>
  <c r="H297" i="2" s="1"/>
  <c r="G297" i="2" a="1"/>
  <c r="G297" i="2" s="1"/>
  <c r="F297" i="2" a="1"/>
  <c r="F297" i="2" s="1"/>
  <c r="D51" i="9" s="1" a="1"/>
  <c r="D51" i="9" s="1"/>
  <c r="D297" i="2" a="1"/>
  <c r="D297" i="2" s="1"/>
  <c r="AH390" i="2" a="1"/>
  <c r="AH390" i="2" s="1"/>
  <c r="R390" i="2" a="1"/>
  <c r="R390" i="2" s="1"/>
  <c r="Q390" i="2" a="1"/>
  <c r="Q390" i="2" s="1"/>
  <c r="P390" i="2" a="1"/>
  <c r="P390" i="2" s="1"/>
  <c r="H390" i="2" a="1"/>
  <c r="H390" i="2" s="1"/>
  <c r="G390" i="2" a="1"/>
  <c r="G390" i="2" s="1"/>
  <c r="F390" i="2" a="1"/>
  <c r="F390" i="2" s="1"/>
  <c r="D390" i="2" a="1"/>
  <c r="D390" i="2" s="1"/>
  <c r="AH589" i="2" a="1"/>
  <c r="AH589" i="2" s="1"/>
  <c r="R589" i="2" a="1"/>
  <c r="R589" i="2" s="1"/>
  <c r="Q589" i="2" a="1"/>
  <c r="Q589" i="2" s="1"/>
  <c r="P589" i="2" a="1"/>
  <c r="P589" i="2" s="1"/>
  <c r="H589" i="2" a="1"/>
  <c r="H589" i="2" s="1"/>
  <c r="G589" i="2" a="1"/>
  <c r="G589" i="2" s="1"/>
  <c r="F589" i="2" a="1"/>
  <c r="F589" i="2" s="1"/>
  <c r="D589" i="2" a="1"/>
  <c r="D589" i="2" s="1"/>
  <c r="AH537" i="2" a="1"/>
  <c r="AH537" i="2" s="1"/>
  <c r="R537" i="2" a="1"/>
  <c r="R537" i="2" s="1"/>
  <c r="Q537" i="2" a="1"/>
  <c r="Q537" i="2" s="1"/>
  <c r="P537" i="2" a="1"/>
  <c r="P537" i="2" s="1"/>
  <c r="H537" i="2" a="1"/>
  <c r="H537" i="2" s="1"/>
  <c r="G537" i="2" a="1"/>
  <c r="G537" i="2" s="1"/>
  <c r="F537" i="2" a="1"/>
  <c r="F537" i="2" s="1"/>
  <c r="D537" i="2" a="1"/>
  <c r="D537" i="2" s="1"/>
  <c r="AH555" i="2" a="1"/>
  <c r="AH555" i="2" s="1"/>
  <c r="R555" i="2" a="1"/>
  <c r="R555" i="2" s="1"/>
  <c r="Q555" i="2" a="1"/>
  <c r="Q555" i="2" s="1"/>
  <c r="AA555" i="2" s="1" a="1"/>
  <c r="AA555" i="2" s="1"/>
  <c r="P555" i="2" a="1"/>
  <c r="P555" i="2" s="1"/>
  <c r="H555" i="2" a="1"/>
  <c r="H555" i="2" s="1"/>
  <c r="G555" i="2" a="1"/>
  <c r="G555" i="2" s="1"/>
  <c r="F555" i="2" a="1"/>
  <c r="F555" i="2" s="1"/>
  <c r="D555" i="2" a="1"/>
  <c r="D555" i="2" s="1"/>
  <c r="AH364" i="2" a="1"/>
  <c r="AH364" i="2" s="1"/>
  <c r="R364" i="2" a="1"/>
  <c r="R364" i="2" s="1"/>
  <c r="Q364" i="2" a="1"/>
  <c r="Q364" i="2" s="1"/>
  <c r="P364" i="2" a="1"/>
  <c r="P364" i="2" s="1"/>
  <c r="H364" i="2" a="1"/>
  <c r="H364" i="2" s="1"/>
  <c r="G364" i="2" a="1"/>
  <c r="G364" i="2" s="1"/>
  <c r="F364" i="2" a="1"/>
  <c r="F364" i="2" s="1"/>
  <c r="D195" i="8" s="1" a="1"/>
  <c r="D195" i="8" s="1"/>
  <c r="D364" i="2" a="1"/>
  <c r="D364" i="2" s="1"/>
  <c r="AH652" i="2" a="1"/>
  <c r="AH652" i="2" s="1"/>
  <c r="R652" i="2" a="1"/>
  <c r="R652" i="2" s="1"/>
  <c r="Q652" i="2" a="1"/>
  <c r="Q652" i="2" s="1"/>
  <c r="AD652" i="2" s="1" a="1"/>
  <c r="AD652" i="2" s="1"/>
  <c r="P652" i="2" a="1"/>
  <c r="P652" i="2" s="1"/>
  <c r="H652" i="2" a="1"/>
  <c r="H652" i="2" s="1"/>
  <c r="G652" i="2" a="1"/>
  <c r="G652" i="2" s="1"/>
  <c r="F652" i="2" a="1"/>
  <c r="F652" i="2" s="1"/>
  <c r="D652" i="2" a="1"/>
  <c r="D652" i="2" s="1"/>
  <c r="AH643" i="2" a="1"/>
  <c r="AH643" i="2" s="1"/>
  <c r="R643" i="2" a="1"/>
  <c r="R643" i="2" s="1"/>
  <c r="Q643" i="2" a="1"/>
  <c r="Q643" i="2" s="1"/>
  <c r="P643" i="2" a="1"/>
  <c r="P643" i="2" s="1"/>
  <c r="H643" i="2" a="1"/>
  <c r="H643" i="2" s="1"/>
  <c r="G643" i="2" a="1"/>
  <c r="G643" i="2" s="1"/>
  <c r="F643" i="2" a="1"/>
  <c r="F643" i="2" s="1"/>
  <c r="D643" i="2" a="1"/>
  <c r="D643" i="2" s="1"/>
  <c r="AH423" i="2" a="1"/>
  <c r="AH423" i="2" s="1"/>
  <c r="R423" i="2" a="1"/>
  <c r="R423" i="2" s="1"/>
  <c r="Q423" i="2" a="1"/>
  <c r="Q423" i="2" s="1"/>
  <c r="P423" i="2" a="1"/>
  <c r="P423" i="2" s="1"/>
  <c r="H423" i="2" a="1"/>
  <c r="H423" i="2" s="1"/>
  <c r="G423" i="2" a="1"/>
  <c r="G423" i="2" s="1"/>
  <c r="F423" i="2" a="1"/>
  <c r="F423" i="2" s="1"/>
  <c r="D423" i="2" a="1"/>
  <c r="D423" i="2" s="1"/>
  <c r="AH544" i="2" a="1"/>
  <c r="AH544" i="2" s="1"/>
  <c r="R544" i="2" a="1"/>
  <c r="R544" i="2" s="1"/>
  <c r="Q544" i="2" a="1"/>
  <c r="Q544" i="2" s="1"/>
  <c r="P544" i="2" a="1"/>
  <c r="P544" i="2" s="1"/>
  <c r="H544" i="2" a="1"/>
  <c r="H544" i="2" s="1"/>
  <c r="G544" i="2" a="1"/>
  <c r="G544" i="2" s="1"/>
  <c r="F544" i="2" a="1"/>
  <c r="F544" i="2" s="1"/>
  <c r="D544" i="2" a="1"/>
  <c r="D544" i="2" s="1"/>
  <c r="AH448" i="2" a="1"/>
  <c r="AH448" i="2" s="1"/>
  <c r="R448" i="2" a="1"/>
  <c r="R448" i="2" s="1"/>
  <c r="Q448" i="2" a="1"/>
  <c r="Q448" i="2" s="1"/>
  <c r="P448" i="2" a="1"/>
  <c r="P448" i="2" s="1"/>
  <c r="H448" i="2" a="1"/>
  <c r="H448" i="2" s="1"/>
  <c r="G448" i="2" a="1"/>
  <c r="G448" i="2" s="1"/>
  <c r="F448" i="2" a="1"/>
  <c r="F448" i="2" s="1"/>
  <c r="D448" i="2" a="1"/>
  <c r="D448" i="2" s="1"/>
  <c r="AH490" i="2" a="1"/>
  <c r="AH490" i="2" s="1"/>
  <c r="R490" i="2" a="1"/>
  <c r="R490" i="2" s="1"/>
  <c r="Q490" i="2" a="1"/>
  <c r="Q490" i="2" s="1"/>
  <c r="AD490" i="2" s="1" a="1"/>
  <c r="AD490" i="2" s="1"/>
  <c r="P490" i="2" a="1"/>
  <c r="P490" i="2" s="1"/>
  <c r="H490" i="2" a="1"/>
  <c r="H490" i="2" s="1"/>
  <c r="G490" i="2" a="1"/>
  <c r="G490" i="2" s="1"/>
  <c r="F490" i="2" a="1"/>
  <c r="F490" i="2" s="1"/>
  <c r="D490" i="2" a="1"/>
  <c r="D490" i="2" s="1"/>
  <c r="AH276" i="2" a="1"/>
  <c r="AH276" i="2" s="1"/>
  <c r="R276" i="2" a="1"/>
  <c r="R276" i="2" s="1"/>
  <c r="Q276" i="2" a="1"/>
  <c r="Q276" i="2" s="1"/>
  <c r="P276" i="2" a="1"/>
  <c r="P276" i="2" s="1"/>
  <c r="H276" i="2" a="1"/>
  <c r="H276" i="2" s="1"/>
  <c r="G276" i="2" a="1"/>
  <c r="G276" i="2" s="1"/>
  <c r="F276" i="2" a="1"/>
  <c r="F276" i="2" s="1"/>
  <c r="D194" i="8" s="1" a="1"/>
  <c r="D194" i="8" s="1"/>
  <c r="D276" i="2" a="1"/>
  <c r="D276" i="2" s="1"/>
  <c r="B194" i="8" s="1" a="1"/>
  <c r="B194" i="8" s="1"/>
  <c r="AH473" i="2" a="1"/>
  <c r="AH473" i="2" s="1"/>
  <c r="R473" i="2" a="1"/>
  <c r="R473" i="2" s="1"/>
  <c r="Q473" i="2" a="1"/>
  <c r="Q473" i="2" s="1"/>
  <c r="P473" i="2" a="1"/>
  <c r="P473" i="2" s="1"/>
  <c r="H473" i="2" a="1"/>
  <c r="H473" i="2" s="1"/>
  <c r="G473" i="2" a="1"/>
  <c r="G473" i="2" s="1"/>
  <c r="F473" i="2" a="1"/>
  <c r="F473" i="2" s="1"/>
  <c r="D473" i="2" a="1"/>
  <c r="D473" i="2" s="1"/>
  <c r="AH402" i="2" a="1"/>
  <c r="AH402" i="2" s="1"/>
  <c r="R402" i="2" a="1"/>
  <c r="R402" i="2" s="1"/>
  <c r="Q402" i="2" a="1"/>
  <c r="Q402" i="2" s="1"/>
  <c r="P402" i="2" a="1"/>
  <c r="P402" i="2" s="1"/>
  <c r="H402" i="2" a="1"/>
  <c r="H402" i="2" s="1"/>
  <c r="G402" i="2" a="1"/>
  <c r="G402" i="2" s="1"/>
  <c r="F402" i="2" a="1"/>
  <c r="F402" i="2" s="1"/>
  <c r="D193" i="8" s="1" a="1"/>
  <c r="D193" i="8" s="1"/>
  <c r="D402" i="2" a="1"/>
  <c r="D402" i="2" s="1"/>
  <c r="AH585" i="2" a="1"/>
  <c r="AH585" i="2" s="1"/>
  <c r="R585" i="2" a="1"/>
  <c r="R585" i="2" s="1"/>
  <c r="Q585" i="2" a="1"/>
  <c r="Q585" i="2" s="1"/>
  <c r="AD585" i="2" s="1" a="1"/>
  <c r="AD585" i="2" s="1"/>
  <c r="P585" i="2" a="1"/>
  <c r="P585" i="2" s="1"/>
  <c r="H585" i="2" a="1"/>
  <c r="H585" i="2" s="1"/>
  <c r="G585" i="2" a="1"/>
  <c r="G585" i="2" s="1"/>
  <c r="F585" i="2" a="1"/>
  <c r="F585" i="2" s="1"/>
  <c r="D585" i="2" a="1"/>
  <c r="D585" i="2" s="1"/>
  <c r="AH472" i="2" a="1"/>
  <c r="AH472" i="2" s="1"/>
  <c r="R472" i="2" a="1"/>
  <c r="R472" i="2" s="1"/>
  <c r="Q472" i="2" a="1"/>
  <c r="Q472" i="2" s="1"/>
  <c r="AF472" i="2" s="1" a="1"/>
  <c r="AF472" i="2" s="1"/>
  <c r="P472" i="2" a="1"/>
  <c r="P472" i="2" s="1"/>
  <c r="H472" i="2" a="1"/>
  <c r="H472" i="2" s="1"/>
  <c r="G472" i="2" a="1"/>
  <c r="G472" i="2" s="1"/>
  <c r="F472" i="2" a="1"/>
  <c r="F472" i="2" s="1"/>
  <c r="D472" i="2" a="1"/>
  <c r="D472" i="2" s="1"/>
  <c r="AH406" i="2" a="1"/>
  <c r="AH406" i="2" s="1"/>
  <c r="R406" i="2" a="1"/>
  <c r="R406" i="2" s="1"/>
  <c r="Q406" i="2" a="1"/>
  <c r="Q406" i="2" s="1"/>
  <c r="P406" i="2" a="1"/>
  <c r="P406" i="2" s="1"/>
  <c r="H406" i="2" a="1"/>
  <c r="H406" i="2" s="1"/>
  <c r="G406" i="2" a="1"/>
  <c r="G406" i="2" s="1"/>
  <c r="F406" i="2" a="1"/>
  <c r="F406" i="2" s="1"/>
  <c r="D406" i="2" a="1"/>
  <c r="D406" i="2" s="1"/>
  <c r="AH371" i="2" a="1"/>
  <c r="AH371" i="2" s="1"/>
  <c r="R371" i="2" a="1"/>
  <c r="R371" i="2" s="1"/>
  <c r="Q371" i="2" a="1"/>
  <c r="Q371" i="2" s="1"/>
  <c r="P371" i="2" a="1"/>
  <c r="P371" i="2" s="1"/>
  <c r="H371" i="2" a="1"/>
  <c r="H371" i="2" s="1"/>
  <c r="G371" i="2" a="1"/>
  <c r="G371" i="2" s="1"/>
  <c r="F371" i="2" a="1"/>
  <c r="F371" i="2" s="1"/>
  <c r="D192" i="8" s="1" a="1"/>
  <c r="D192" i="8" s="1"/>
  <c r="D371" i="2" a="1"/>
  <c r="D371" i="2" s="1"/>
  <c r="B192" i="8" s="1" a="1"/>
  <c r="B192" i="8" s="1"/>
  <c r="AH663" i="2" a="1"/>
  <c r="AH663" i="2" s="1"/>
  <c r="R663" i="2" a="1"/>
  <c r="R663" i="2" s="1"/>
  <c r="Q663" i="2" a="1"/>
  <c r="Q663" i="2" s="1"/>
  <c r="P663" i="2" a="1"/>
  <c r="P663" i="2" s="1"/>
  <c r="H663" i="2" a="1"/>
  <c r="H663" i="2" s="1"/>
  <c r="G663" i="2" a="1"/>
  <c r="G663" i="2" s="1"/>
  <c r="F663" i="2" a="1"/>
  <c r="F663" i="2" s="1"/>
  <c r="D663" i="2" a="1"/>
  <c r="D663" i="2" s="1"/>
  <c r="AH500" i="2" a="1"/>
  <c r="AH500" i="2" s="1"/>
  <c r="R500" i="2" a="1"/>
  <c r="R500" i="2" s="1"/>
  <c r="Q500" i="2" a="1"/>
  <c r="Q500" i="2" s="1"/>
  <c r="AD500" i="2" s="1" a="1"/>
  <c r="AD500" i="2" s="1"/>
  <c r="P500" i="2" a="1"/>
  <c r="P500" i="2" s="1"/>
  <c r="H500" i="2" a="1"/>
  <c r="H500" i="2" s="1"/>
  <c r="G500" i="2" a="1"/>
  <c r="G500" i="2" s="1"/>
  <c r="F500" i="2" a="1"/>
  <c r="F500" i="2" s="1"/>
  <c r="D500" i="2" a="1"/>
  <c r="D500" i="2" s="1"/>
  <c r="AH316" i="2" a="1"/>
  <c r="AH316" i="2" s="1"/>
  <c r="R316" i="2" a="1"/>
  <c r="R316" i="2" s="1"/>
  <c r="Q316" i="2" a="1"/>
  <c r="Q316" i="2" s="1"/>
  <c r="P316" i="2" a="1"/>
  <c r="P316" i="2" s="1"/>
  <c r="H316" i="2" a="1"/>
  <c r="H316" i="2" s="1"/>
  <c r="G316" i="2" a="1"/>
  <c r="G316" i="2" s="1"/>
  <c r="F316" i="2" a="1"/>
  <c r="F316" i="2" s="1"/>
  <c r="D191" i="8" s="1" a="1"/>
  <c r="D191" i="8" s="1"/>
  <c r="D316" i="2" a="1"/>
  <c r="D316" i="2" s="1"/>
  <c r="B191" i="8" s="1" a="1"/>
  <c r="B191" i="8" s="1"/>
  <c r="AH411" i="2" a="1"/>
  <c r="AH411" i="2" s="1"/>
  <c r="R411" i="2" a="1"/>
  <c r="R411" i="2" s="1"/>
  <c r="Q411" i="2" a="1"/>
  <c r="Q411" i="2" s="1"/>
  <c r="P411" i="2" a="1"/>
  <c r="P411" i="2" s="1"/>
  <c r="H411" i="2" a="1"/>
  <c r="H411" i="2" s="1"/>
  <c r="G411" i="2" a="1"/>
  <c r="G411" i="2" s="1"/>
  <c r="F411" i="2" a="1"/>
  <c r="F411" i="2" s="1"/>
  <c r="D411" i="2" a="1"/>
  <c r="D411" i="2" s="1"/>
  <c r="AH172" i="2" a="1"/>
  <c r="AH172" i="2" s="1"/>
  <c r="R172" i="2" a="1"/>
  <c r="R172" i="2" s="1"/>
  <c r="Q172" i="2" a="1"/>
  <c r="Q172" i="2" s="1"/>
  <c r="P172" i="2" a="1"/>
  <c r="P172" i="2" s="1"/>
  <c r="H172" i="2" a="1"/>
  <c r="H172" i="2" s="1"/>
  <c r="G172" i="2" a="1"/>
  <c r="G172" i="2" s="1"/>
  <c r="F172" i="2" a="1"/>
  <c r="F172" i="2" s="1"/>
  <c r="D190" i="8" s="1" a="1"/>
  <c r="D190" i="8" s="1"/>
  <c r="D172" i="2" a="1"/>
  <c r="D172" i="2" s="1"/>
  <c r="B190" i="8" s="1" a="1"/>
  <c r="B190" i="8" s="1"/>
  <c r="AH498" i="2" a="1"/>
  <c r="AH498" i="2" s="1"/>
  <c r="R498" i="2" a="1"/>
  <c r="R498" i="2" s="1"/>
  <c r="Q498" i="2" a="1"/>
  <c r="Q498" i="2" s="1"/>
  <c r="P498" i="2" a="1"/>
  <c r="P498" i="2" s="1"/>
  <c r="H498" i="2" a="1"/>
  <c r="H498" i="2" s="1"/>
  <c r="G498" i="2" a="1"/>
  <c r="G498" i="2" s="1"/>
  <c r="F498" i="2" a="1"/>
  <c r="F498" i="2" s="1"/>
  <c r="D498" i="2" a="1"/>
  <c r="D498" i="2" s="1"/>
  <c r="AH450" i="2" a="1"/>
  <c r="AH450" i="2" s="1"/>
  <c r="R450" i="2" a="1"/>
  <c r="R450" i="2" s="1"/>
  <c r="Q450" i="2" a="1"/>
  <c r="Q450" i="2" s="1"/>
  <c r="P450" i="2" a="1"/>
  <c r="P450" i="2" s="1"/>
  <c r="H450" i="2" a="1"/>
  <c r="H450" i="2" s="1"/>
  <c r="G450" i="2" a="1"/>
  <c r="G450" i="2" s="1"/>
  <c r="F450" i="2" a="1"/>
  <c r="F450" i="2" s="1"/>
  <c r="D450" i="2" a="1"/>
  <c r="D450" i="2" s="1"/>
  <c r="AH318" i="2" a="1"/>
  <c r="AH318" i="2" s="1"/>
  <c r="R318" i="2" a="1"/>
  <c r="R318" i="2" s="1"/>
  <c r="Q318" i="2" a="1"/>
  <c r="Q318" i="2" s="1"/>
  <c r="P318" i="2" a="1"/>
  <c r="P318" i="2" s="1"/>
  <c r="H318" i="2" a="1"/>
  <c r="H318" i="2" s="1"/>
  <c r="G318" i="2" a="1"/>
  <c r="G318" i="2" s="1"/>
  <c r="F318" i="2" a="1"/>
  <c r="F318" i="2" s="1"/>
  <c r="D318" i="2" a="1"/>
  <c r="D318" i="2" s="1"/>
  <c r="AH286" i="2" a="1"/>
  <c r="AH286" i="2" s="1"/>
  <c r="R286" i="2" a="1"/>
  <c r="R286" i="2" s="1"/>
  <c r="Q286" i="2" a="1"/>
  <c r="Q286" i="2" s="1"/>
  <c r="AA286" i="2" s="1" a="1"/>
  <c r="AA286" i="2" s="1"/>
  <c r="P286" i="2" a="1"/>
  <c r="P286" i="2" s="1"/>
  <c r="H286" i="2" a="1"/>
  <c r="H286" i="2" s="1"/>
  <c r="G286" i="2" a="1"/>
  <c r="G286" i="2" s="1"/>
  <c r="F286" i="2" a="1"/>
  <c r="F286" i="2" s="1"/>
  <c r="D189" i="8" s="1" a="1"/>
  <c r="D189" i="8" s="1"/>
  <c r="D286" i="2" a="1"/>
  <c r="D286" i="2" s="1"/>
  <c r="B189" i="8" s="1" a="1"/>
  <c r="B189" i="8" s="1"/>
  <c r="AH469" i="2" a="1"/>
  <c r="AH469" i="2" s="1"/>
  <c r="R469" i="2" a="1"/>
  <c r="R469" i="2" s="1"/>
  <c r="Q469" i="2" a="1"/>
  <c r="Q469" i="2" s="1"/>
  <c r="P469" i="2" a="1"/>
  <c r="P469" i="2" s="1"/>
  <c r="H469" i="2" a="1"/>
  <c r="H469" i="2" s="1"/>
  <c r="G469" i="2" a="1"/>
  <c r="G469" i="2" s="1"/>
  <c r="F469" i="2" a="1"/>
  <c r="F469" i="2" s="1"/>
  <c r="D469" i="2" a="1"/>
  <c r="D469" i="2" s="1"/>
  <c r="AH476" i="2" a="1"/>
  <c r="AH476" i="2" s="1"/>
  <c r="R476" i="2" a="1"/>
  <c r="R476" i="2" s="1"/>
  <c r="Q476" i="2" a="1"/>
  <c r="Q476" i="2" s="1"/>
  <c r="P476" i="2" a="1"/>
  <c r="P476" i="2" s="1"/>
  <c r="H476" i="2" a="1"/>
  <c r="H476" i="2" s="1"/>
  <c r="G476" i="2" a="1"/>
  <c r="G476" i="2" s="1"/>
  <c r="F476" i="2" a="1"/>
  <c r="F476" i="2" s="1"/>
  <c r="D476" i="2" a="1"/>
  <c r="D476" i="2" s="1"/>
  <c r="AH507" i="2" a="1"/>
  <c r="AH507" i="2" s="1"/>
  <c r="R507" i="2" a="1"/>
  <c r="R507" i="2" s="1"/>
  <c r="Q507" i="2" a="1"/>
  <c r="Q507" i="2" s="1"/>
  <c r="P507" i="2" a="1"/>
  <c r="P507" i="2" s="1"/>
  <c r="H507" i="2" a="1"/>
  <c r="H507" i="2" s="1"/>
  <c r="G507" i="2" a="1"/>
  <c r="G507" i="2" s="1"/>
  <c r="F507" i="2" a="1"/>
  <c r="F507" i="2" s="1"/>
  <c r="D507" i="2" a="1"/>
  <c r="D507" i="2" s="1"/>
  <c r="AH516" i="2" a="1"/>
  <c r="AH516" i="2" s="1"/>
  <c r="R516" i="2" a="1"/>
  <c r="R516" i="2" s="1"/>
  <c r="Q516" i="2" a="1"/>
  <c r="Q516" i="2" s="1"/>
  <c r="P516" i="2" a="1"/>
  <c r="P516" i="2" s="1"/>
  <c r="H516" i="2" a="1"/>
  <c r="H516" i="2" s="1"/>
  <c r="G516" i="2" a="1"/>
  <c r="G516" i="2" s="1"/>
  <c r="F516" i="2" a="1"/>
  <c r="F516" i="2" s="1"/>
  <c r="D516" i="2" a="1"/>
  <c r="D516" i="2" s="1"/>
  <c r="AH353" i="2" a="1"/>
  <c r="AH353" i="2" s="1"/>
  <c r="R353" i="2" a="1"/>
  <c r="R353" i="2" s="1"/>
  <c r="Q353" i="2" a="1"/>
  <c r="Q353" i="2" s="1"/>
  <c r="P353" i="2" a="1"/>
  <c r="P353" i="2" s="1"/>
  <c r="H353" i="2" a="1"/>
  <c r="H353" i="2" s="1"/>
  <c r="G353" i="2" a="1"/>
  <c r="G353" i="2" s="1"/>
  <c r="F353" i="2" a="1"/>
  <c r="F353" i="2" s="1"/>
  <c r="D188" i="8" s="1" a="1"/>
  <c r="D188" i="8" s="1"/>
  <c r="D353" i="2" a="1"/>
  <c r="D353" i="2" s="1"/>
  <c r="AH415" i="2" a="1"/>
  <c r="AH415" i="2" s="1"/>
  <c r="R415" i="2" a="1"/>
  <c r="R415" i="2" s="1"/>
  <c r="Q415" i="2" a="1"/>
  <c r="Q415" i="2" s="1"/>
  <c r="P415" i="2" a="1"/>
  <c r="P415" i="2" s="1"/>
  <c r="H415" i="2" a="1"/>
  <c r="H415" i="2" s="1"/>
  <c r="G415" i="2" a="1"/>
  <c r="G415" i="2" s="1"/>
  <c r="F415" i="2" a="1"/>
  <c r="F415" i="2" s="1"/>
  <c r="D415" i="2" a="1"/>
  <c r="D415" i="2" s="1"/>
  <c r="AH549" i="2" a="1"/>
  <c r="AH549" i="2" s="1"/>
  <c r="R549" i="2" a="1"/>
  <c r="R549" i="2" s="1"/>
  <c r="Q549" i="2" a="1"/>
  <c r="Q549" i="2" s="1"/>
  <c r="AB549" i="2" s="1" a="1"/>
  <c r="AB549" i="2" s="1"/>
  <c r="P549" i="2" a="1"/>
  <c r="P549" i="2" s="1"/>
  <c r="H549" i="2" a="1"/>
  <c r="H549" i="2" s="1"/>
  <c r="G549" i="2" a="1"/>
  <c r="G549" i="2" s="1"/>
  <c r="F549" i="2" a="1"/>
  <c r="F549" i="2" s="1"/>
  <c r="D549" i="2" a="1"/>
  <c r="D549" i="2" s="1"/>
  <c r="AH538" i="2" a="1"/>
  <c r="AH538" i="2" s="1"/>
  <c r="R538" i="2" a="1"/>
  <c r="R538" i="2" s="1"/>
  <c r="Q538" i="2" a="1"/>
  <c r="Q538" i="2" s="1"/>
  <c r="P538" i="2" a="1"/>
  <c r="P538" i="2" s="1"/>
  <c r="H538" i="2" a="1"/>
  <c r="H538" i="2" s="1"/>
  <c r="G538" i="2" a="1"/>
  <c r="G538" i="2" s="1"/>
  <c r="F538" i="2" a="1"/>
  <c r="F538" i="2" s="1"/>
  <c r="D538" i="2" a="1"/>
  <c r="D538" i="2" s="1"/>
  <c r="AH479" i="2" a="1"/>
  <c r="AH479" i="2" s="1"/>
  <c r="R479" i="2" a="1"/>
  <c r="R479" i="2" s="1"/>
  <c r="Q479" i="2" a="1"/>
  <c r="Q479" i="2" s="1"/>
  <c r="AD479" i="2" s="1" a="1"/>
  <c r="AD479" i="2" s="1"/>
  <c r="P479" i="2" a="1"/>
  <c r="P479" i="2" s="1"/>
  <c r="H479" i="2" a="1"/>
  <c r="H479" i="2" s="1"/>
  <c r="G479" i="2" a="1"/>
  <c r="G479" i="2" s="1"/>
  <c r="F479" i="2" a="1"/>
  <c r="F479" i="2" s="1"/>
  <c r="D479" i="2" a="1"/>
  <c r="D479" i="2" s="1"/>
  <c r="AH424" i="2" a="1"/>
  <c r="AH424" i="2" s="1"/>
  <c r="R424" i="2" a="1"/>
  <c r="R424" i="2" s="1"/>
  <c r="Q424" i="2" a="1"/>
  <c r="Q424" i="2" s="1"/>
  <c r="AG424" i="2" s="1" a="1"/>
  <c r="AG424" i="2" s="1"/>
  <c r="P424" i="2" a="1"/>
  <c r="P424" i="2" s="1"/>
  <c r="H424" i="2" a="1"/>
  <c r="H424" i="2" s="1"/>
  <c r="G424" i="2" a="1"/>
  <c r="G424" i="2" s="1"/>
  <c r="F424" i="2" a="1"/>
  <c r="F424" i="2" s="1"/>
  <c r="D424" i="2" a="1"/>
  <c r="D424" i="2" s="1"/>
  <c r="AH455" i="2" a="1"/>
  <c r="AH455" i="2" s="1"/>
  <c r="R455" i="2" a="1"/>
  <c r="R455" i="2" s="1"/>
  <c r="Q455" i="2" a="1"/>
  <c r="Q455" i="2" s="1"/>
  <c r="P455" i="2" a="1"/>
  <c r="P455" i="2" s="1"/>
  <c r="H455" i="2" a="1"/>
  <c r="H455" i="2" s="1"/>
  <c r="G455" i="2" a="1"/>
  <c r="G455" i="2" s="1"/>
  <c r="F455" i="2" a="1"/>
  <c r="F455" i="2" s="1"/>
  <c r="D455" i="2" a="1"/>
  <c r="D455" i="2" s="1"/>
  <c r="AH264" i="2" a="1"/>
  <c r="AH264" i="2" s="1"/>
  <c r="R264" i="2" a="1"/>
  <c r="R264" i="2" s="1"/>
  <c r="Q264" i="2" a="1"/>
  <c r="Q264" i="2" s="1"/>
  <c r="P264" i="2" a="1"/>
  <c r="P264" i="2" s="1"/>
  <c r="H264" i="2" a="1"/>
  <c r="H264" i="2" s="1"/>
  <c r="G264" i="2" a="1"/>
  <c r="G264" i="2" s="1"/>
  <c r="F264" i="2" a="1"/>
  <c r="F264" i="2" s="1"/>
  <c r="D187" i="8" s="1" a="1"/>
  <c r="D187" i="8" s="1"/>
  <c r="D264" i="2" a="1"/>
  <c r="D264" i="2" s="1"/>
  <c r="AH470" i="2" a="1"/>
  <c r="AH470" i="2" s="1"/>
  <c r="R470" i="2" a="1"/>
  <c r="R470" i="2" s="1"/>
  <c r="Q470" i="2" a="1"/>
  <c r="Q470" i="2" s="1"/>
  <c r="Y470" i="2" s="1" a="1"/>
  <c r="Y470" i="2" s="1"/>
  <c r="P470" i="2" a="1"/>
  <c r="P470" i="2" s="1"/>
  <c r="H470" i="2" a="1"/>
  <c r="H470" i="2" s="1"/>
  <c r="G470" i="2" a="1"/>
  <c r="G470" i="2" s="1"/>
  <c r="F470" i="2" a="1"/>
  <c r="F470" i="2" s="1"/>
  <c r="D470" i="2" a="1"/>
  <c r="D470" i="2" s="1"/>
  <c r="AH366" i="2" a="1"/>
  <c r="AH366" i="2" s="1"/>
  <c r="R366" i="2" a="1"/>
  <c r="R366" i="2" s="1"/>
  <c r="Q366" i="2" a="1"/>
  <c r="Q366" i="2" s="1"/>
  <c r="AB366" i="2" s="1" a="1"/>
  <c r="AB366" i="2" s="1"/>
  <c r="P366" i="2" a="1"/>
  <c r="P366" i="2" s="1"/>
  <c r="H366" i="2" a="1"/>
  <c r="H366" i="2" s="1"/>
  <c r="G366" i="2" a="1"/>
  <c r="G366" i="2" s="1"/>
  <c r="F366" i="2" a="1"/>
  <c r="F366" i="2" s="1"/>
  <c r="D366" i="2" a="1"/>
  <c r="D366" i="2" s="1"/>
  <c r="AH360" i="2" a="1"/>
  <c r="AH360" i="2" s="1"/>
  <c r="R360" i="2" a="1"/>
  <c r="R360" i="2" s="1"/>
  <c r="Q360" i="2" a="1"/>
  <c r="Q360" i="2" s="1"/>
  <c r="P360" i="2" a="1"/>
  <c r="P360" i="2" s="1"/>
  <c r="H360" i="2" a="1"/>
  <c r="H360" i="2" s="1"/>
  <c r="G360" i="2" a="1"/>
  <c r="G360" i="2" s="1"/>
  <c r="F360" i="2" a="1"/>
  <c r="F360" i="2" s="1"/>
  <c r="D186" i="8" s="1" a="1"/>
  <c r="D186" i="8" s="1"/>
  <c r="D360" i="2" a="1"/>
  <c r="D360" i="2" s="1"/>
  <c r="AH291" i="2" a="1"/>
  <c r="AH291" i="2" s="1"/>
  <c r="R291" i="2" a="1"/>
  <c r="R291" i="2" s="1"/>
  <c r="Q291" i="2" a="1"/>
  <c r="Q291" i="2" s="1"/>
  <c r="P291" i="2" a="1"/>
  <c r="P291" i="2" s="1"/>
  <c r="H291" i="2" a="1"/>
  <c r="H291" i="2" s="1"/>
  <c r="G291" i="2" a="1"/>
  <c r="G291" i="2" s="1"/>
  <c r="F291" i="2" a="1"/>
  <c r="F291" i="2" s="1"/>
  <c r="D185" i="8" s="1" a="1"/>
  <c r="D185" i="8" s="1"/>
  <c r="D291" i="2" a="1"/>
  <c r="D291" i="2" s="1"/>
  <c r="AH308" i="2" a="1"/>
  <c r="AH308" i="2" s="1"/>
  <c r="R308" i="2" a="1"/>
  <c r="R308" i="2" s="1"/>
  <c r="Q308" i="2" a="1"/>
  <c r="Q308" i="2" s="1"/>
  <c r="P308" i="2" a="1"/>
  <c r="P308" i="2" s="1"/>
  <c r="H308" i="2" a="1"/>
  <c r="H308" i="2" s="1"/>
  <c r="G308" i="2" a="1"/>
  <c r="G308" i="2" s="1"/>
  <c r="F308" i="2" a="1"/>
  <c r="F308" i="2" s="1"/>
  <c r="D184" i="8" s="1" a="1"/>
  <c r="D184" i="8" s="1"/>
  <c r="D308" i="2" a="1"/>
  <c r="D308" i="2" s="1"/>
  <c r="AH515" i="2" a="1"/>
  <c r="AH515" i="2" s="1"/>
  <c r="R515" i="2" a="1"/>
  <c r="R515" i="2" s="1"/>
  <c r="Q515" i="2" a="1"/>
  <c r="Q515" i="2" s="1"/>
  <c r="AG515" i="2" s="1" a="1"/>
  <c r="AG515" i="2" s="1"/>
  <c r="P515" i="2" a="1"/>
  <c r="P515" i="2" s="1"/>
  <c r="H515" i="2" a="1"/>
  <c r="H515" i="2" s="1"/>
  <c r="G515" i="2" a="1"/>
  <c r="G515" i="2" s="1"/>
  <c r="F515" i="2" a="1"/>
  <c r="F515" i="2" s="1"/>
  <c r="D515" i="2" a="1"/>
  <c r="D515" i="2" s="1"/>
  <c r="AJ313" i="2" a="1"/>
  <c r="AJ313" i="2" s="1"/>
  <c r="P313" i="2" a="1"/>
  <c r="P313" i="2" s="1"/>
  <c r="H313" i="2" a="1"/>
  <c r="H313" i="2" s="1"/>
  <c r="G313" i="2" a="1"/>
  <c r="G313" i="2" s="1"/>
  <c r="F313" i="2" a="1"/>
  <c r="F313" i="2" s="1"/>
  <c r="D50" i="9" s="1" a="1"/>
  <c r="D50" i="9" s="1"/>
  <c r="D313" i="2" a="1"/>
  <c r="D313" i="2" s="1"/>
  <c r="AH194" i="2" a="1"/>
  <c r="AH194" i="2" s="1"/>
  <c r="R194" i="2" a="1"/>
  <c r="R194" i="2" s="1"/>
  <c r="Q194" i="2" a="1"/>
  <c r="Q194" i="2" s="1"/>
  <c r="P194" i="2" a="1"/>
  <c r="P194" i="2" s="1"/>
  <c r="H194" i="2" a="1"/>
  <c r="H194" i="2" s="1"/>
  <c r="G194" i="2" a="1"/>
  <c r="G194" i="2" s="1"/>
  <c r="F194" i="2" a="1"/>
  <c r="F194" i="2" s="1"/>
  <c r="D183" i="8" s="1" a="1"/>
  <c r="D183" i="8" s="1"/>
  <c r="D194" i="2" a="1"/>
  <c r="D194" i="2" s="1"/>
  <c r="AH379" i="2" a="1"/>
  <c r="AH379" i="2" s="1"/>
  <c r="R379" i="2" a="1"/>
  <c r="R379" i="2" s="1"/>
  <c r="Q379" i="2" a="1"/>
  <c r="Q379" i="2" s="1"/>
  <c r="P379" i="2" a="1"/>
  <c r="P379" i="2" s="1"/>
  <c r="H379" i="2" a="1"/>
  <c r="H379" i="2" s="1"/>
  <c r="G379" i="2" a="1"/>
  <c r="G379" i="2" s="1"/>
  <c r="F379" i="2" a="1"/>
  <c r="F379" i="2" s="1"/>
  <c r="D182" i="8" s="1" a="1"/>
  <c r="D182" i="8" s="1"/>
  <c r="D379" i="2" a="1"/>
  <c r="D379" i="2" s="1"/>
  <c r="B182" i="8" s="1" a="1"/>
  <c r="B182" i="8" s="1"/>
  <c r="AH492" i="2" a="1"/>
  <c r="AH492" i="2" s="1"/>
  <c r="R492" i="2" a="1"/>
  <c r="R492" i="2" s="1"/>
  <c r="Q492" i="2" a="1"/>
  <c r="Q492" i="2" s="1"/>
  <c r="AG492" i="2" s="1" a="1"/>
  <c r="AG492" i="2" s="1"/>
  <c r="P492" i="2" a="1"/>
  <c r="P492" i="2" s="1"/>
  <c r="H492" i="2" a="1"/>
  <c r="H492" i="2" s="1"/>
  <c r="G492" i="2" a="1"/>
  <c r="G492" i="2" s="1"/>
  <c r="F492" i="2" a="1"/>
  <c r="F492" i="2" s="1"/>
  <c r="D492" i="2" a="1"/>
  <c r="D492" i="2" s="1"/>
  <c r="AH278" i="2" a="1"/>
  <c r="AH278" i="2" s="1"/>
  <c r="R278" i="2" a="1"/>
  <c r="R278" i="2" s="1"/>
  <c r="Q278" i="2" a="1"/>
  <c r="Q278" i="2" s="1"/>
  <c r="P278" i="2" a="1"/>
  <c r="P278" i="2" s="1"/>
  <c r="H278" i="2" a="1"/>
  <c r="H278" i="2" s="1"/>
  <c r="G278" i="2" a="1"/>
  <c r="G278" i="2" s="1"/>
  <c r="F278" i="2" a="1"/>
  <c r="F278" i="2" s="1"/>
  <c r="D181" i="8" s="1" a="1"/>
  <c r="D181" i="8" s="1"/>
  <c r="D278" i="2" a="1"/>
  <c r="D278" i="2" s="1"/>
  <c r="B181" i="8" s="1" a="1"/>
  <c r="B181" i="8" s="1"/>
  <c r="AH477" i="2" a="1"/>
  <c r="AH477" i="2" s="1"/>
  <c r="R477" i="2" a="1"/>
  <c r="R477" i="2" s="1"/>
  <c r="Q477" i="2" a="1"/>
  <c r="Q477" i="2" s="1"/>
  <c r="P477" i="2" a="1"/>
  <c r="P477" i="2" s="1"/>
  <c r="H477" i="2" a="1"/>
  <c r="H477" i="2" s="1"/>
  <c r="G477" i="2" a="1"/>
  <c r="G477" i="2" s="1"/>
  <c r="F477" i="2" a="1"/>
  <c r="F477" i="2" s="1"/>
  <c r="D477" i="2" a="1"/>
  <c r="D477" i="2" s="1"/>
  <c r="AJ509" i="2" a="1"/>
  <c r="AJ509" i="2" s="1"/>
  <c r="P509" i="2" a="1"/>
  <c r="P509" i="2" s="1"/>
  <c r="H509" i="2" a="1"/>
  <c r="H509" i="2" s="1"/>
  <c r="G509" i="2" a="1"/>
  <c r="G509" i="2" s="1"/>
  <c r="F509" i="2" a="1"/>
  <c r="F509" i="2" s="1"/>
  <c r="D49" i="9" s="1" a="1"/>
  <c r="D49" i="9" s="1"/>
  <c r="D509" i="2" a="1"/>
  <c r="D509" i="2" s="1"/>
  <c r="B49" i="9" s="1" a="1"/>
  <c r="B49" i="9" s="1"/>
  <c r="AH447" i="2" a="1"/>
  <c r="AH447" i="2" s="1"/>
  <c r="R447" i="2" a="1"/>
  <c r="R447" i="2" s="1"/>
  <c r="Q447" i="2" a="1"/>
  <c r="Q447" i="2" s="1"/>
  <c r="P447" i="2" a="1"/>
  <c r="P447" i="2" s="1"/>
  <c r="H447" i="2" a="1"/>
  <c r="H447" i="2" s="1"/>
  <c r="G447" i="2" a="1"/>
  <c r="G447" i="2" s="1"/>
  <c r="F447" i="2" a="1"/>
  <c r="F447" i="2" s="1"/>
  <c r="D447" i="2" a="1"/>
  <c r="D447" i="2" s="1"/>
  <c r="AH341" i="2" a="1"/>
  <c r="AH341" i="2" s="1"/>
  <c r="R341" i="2" a="1"/>
  <c r="R341" i="2" s="1"/>
  <c r="Q341" i="2" a="1"/>
  <c r="Q341" i="2" s="1"/>
  <c r="AG341" i="2" s="1" a="1"/>
  <c r="AG341" i="2" s="1"/>
  <c r="P341" i="2" a="1"/>
  <c r="P341" i="2" s="1"/>
  <c r="H341" i="2" a="1"/>
  <c r="H341" i="2" s="1"/>
  <c r="G341" i="2" a="1"/>
  <c r="G341" i="2" s="1"/>
  <c r="F341" i="2" a="1"/>
  <c r="F341" i="2" s="1"/>
  <c r="D180" i="8" s="1" a="1"/>
  <c r="D180" i="8" s="1"/>
  <c r="D341" i="2" a="1"/>
  <c r="D341" i="2" s="1"/>
  <c r="B180" i="8" s="1" a="1"/>
  <c r="B180" i="8" s="1"/>
  <c r="AH247" i="2" a="1"/>
  <c r="AH247" i="2" s="1"/>
  <c r="R247" i="2" a="1"/>
  <c r="R247" i="2" s="1"/>
  <c r="Q247" i="2" a="1"/>
  <c r="Q247" i="2" s="1"/>
  <c r="AB247" i="2" s="1" a="1"/>
  <c r="AB247" i="2" s="1"/>
  <c r="P247" i="2" a="1"/>
  <c r="P247" i="2" s="1"/>
  <c r="H247" i="2" a="1"/>
  <c r="H247" i="2" s="1"/>
  <c r="G247" i="2" a="1"/>
  <c r="G247" i="2" s="1"/>
  <c r="F247" i="2" a="1"/>
  <c r="F247" i="2" s="1"/>
  <c r="D179" i="8" s="1" a="1"/>
  <c r="D179" i="8" s="1"/>
  <c r="D247" i="2" a="1"/>
  <c r="D247" i="2" s="1"/>
  <c r="AH385" i="2" a="1"/>
  <c r="AH385" i="2" s="1"/>
  <c r="R385" i="2" a="1"/>
  <c r="R385" i="2" s="1"/>
  <c r="Q385" i="2" a="1"/>
  <c r="Q385" i="2" s="1"/>
  <c r="P385" i="2" a="1"/>
  <c r="P385" i="2" s="1"/>
  <c r="H385" i="2" a="1"/>
  <c r="H385" i="2" s="1"/>
  <c r="G385" i="2" a="1"/>
  <c r="G385" i="2" s="1"/>
  <c r="F385" i="2" a="1"/>
  <c r="F385" i="2" s="1"/>
  <c r="D178" i="8" s="1" a="1"/>
  <c r="D178" i="8" s="1"/>
  <c r="D385" i="2" a="1"/>
  <c r="D385" i="2" s="1"/>
  <c r="B178" i="8" s="1" a="1"/>
  <c r="B178" i="8" s="1"/>
  <c r="AH462" i="2" a="1"/>
  <c r="AH462" i="2" s="1"/>
  <c r="R462" i="2" a="1"/>
  <c r="R462" i="2" s="1"/>
  <c r="Q462" i="2" a="1"/>
  <c r="Q462" i="2" s="1"/>
  <c r="AB462" i="2" s="1" a="1"/>
  <c r="AB462" i="2" s="1"/>
  <c r="P462" i="2" a="1"/>
  <c r="P462" i="2" s="1"/>
  <c r="H462" i="2" a="1"/>
  <c r="H462" i="2" s="1"/>
  <c r="G462" i="2" a="1"/>
  <c r="G462" i="2" s="1"/>
  <c r="F462" i="2" a="1"/>
  <c r="F462" i="2" s="1"/>
  <c r="D462" i="2" a="1"/>
  <c r="D462" i="2" s="1"/>
  <c r="AH271" i="2" a="1"/>
  <c r="AH271" i="2" s="1"/>
  <c r="R271" i="2" a="1"/>
  <c r="R271" i="2" s="1"/>
  <c r="Q271" i="2" a="1"/>
  <c r="Q271" i="2" s="1"/>
  <c r="P271" i="2" a="1"/>
  <c r="P271" i="2" s="1"/>
  <c r="H271" i="2" a="1"/>
  <c r="H271" i="2" s="1"/>
  <c r="G271" i="2" a="1"/>
  <c r="G271" i="2" s="1"/>
  <c r="F271" i="2" a="1"/>
  <c r="F271" i="2" s="1"/>
  <c r="D177" i="8" s="1" a="1"/>
  <c r="D177" i="8" s="1"/>
  <c r="D271" i="2" a="1"/>
  <c r="D271" i="2" s="1"/>
  <c r="B177" i="8" s="1" a="1"/>
  <c r="B177" i="8" s="1"/>
  <c r="AH504" i="2" a="1"/>
  <c r="AH504" i="2" s="1"/>
  <c r="R504" i="2" a="1"/>
  <c r="R504" i="2" s="1"/>
  <c r="Q504" i="2" a="1"/>
  <c r="Q504" i="2" s="1"/>
  <c r="P504" i="2" a="1"/>
  <c r="P504" i="2" s="1"/>
  <c r="H504" i="2" a="1"/>
  <c r="H504" i="2" s="1"/>
  <c r="G504" i="2" a="1"/>
  <c r="G504" i="2" s="1"/>
  <c r="F504" i="2" a="1"/>
  <c r="F504" i="2" s="1"/>
  <c r="D504" i="2" a="1"/>
  <c r="D504" i="2" s="1"/>
  <c r="AH349" i="2" a="1"/>
  <c r="AH349" i="2" s="1"/>
  <c r="R349" i="2" a="1"/>
  <c r="R349" i="2" s="1"/>
  <c r="Q349" i="2" a="1"/>
  <c r="Q349" i="2" s="1"/>
  <c r="P349" i="2" a="1"/>
  <c r="P349" i="2" s="1"/>
  <c r="H349" i="2" a="1"/>
  <c r="H349" i="2" s="1"/>
  <c r="G349" i="2" a="1"/>
  <c r="G349" i="2" s="1"/>
  <c r="F349" i="2" a="1"/>
  <c r="F349" i="2" s="1"/>
  <c r="D176" i="8" s="1" a="1"/>
  <c r="D176" i="8" s="1"/>
  <c r="D349" i="2" a="1"/>
  <c r="D349" i="2" s="1"/>
  <c r="AH131" i="2" a="1"/>
  <c r="AH131" i="2" s="1"/>
  <c r="R131" i="2" a="1"/>
  <c r="R131" i="2" s="1"/>
  <c r="Q131" i="2" a="1"/>
  <c r="Q131" i="2" s="1"/>
  <c r="P131" i="2" a="1"/>
  <c r="P131" i="2" s="1"/>
  <c r="H131" i="2" a="1"/>
  <c r="H131" i="2" s="1"/>
  <c r="G131" i="2" a="1"/>
  <c r="G131" i="2" s="1"/>
  <c r="F131" i="2" a="1"/>
  <c r="F131" i="2" s="1"/>
  <c r="D175" i="8" s="1" a="1"/>
  <c r="D175" i="8" s="1"/>
  <c r="D131" i="2" a="1"/>
  <c r="D131" i="2" s="1"/>
  <c r="B175" i="8" s="1" a="1"/>
  <c r="B175" i="8" s="1"/>
  <c r="AH484" i="2" a="1"/>
  <c r="AH484" i="2" s="1"/>
  <c r="R484" i="2" a="1"/>
  <c r="R484" i="2" s="1"/>
  <c r="Q484" i="2" a="1"/>
  <c r="Q484" i="2" s="1"/>
  <c r="P484" i="2" a="1"/>
  <c r="P484" i="2" s="1"/>
  <c r="H484" i="2" a="1"/>
  <c r="H484" i="2" s="1"/>
  <c r="G484" i="2" a="1"/>
  <c r="G484" i="2" s="1"/>
  <c r="F484" i="2" a="1"/>
  <c r="F484" i="2" s="1"/>
  <c r="D484" i="2" a="1"/>
  <c r="D484" i="2" s="1"/>
  <c r="AH523" i="2" a="1"/>
  <c r="AH523" i="2" s="1"/>
  <c r="R523" i="2" a="1"/>
  <c r="R523" i="2" s="1"/>
  <c r="Q523" i="2" a="1"/>
  <c r="Q523" i="2" s="1"/>
  <c r="AD523" i="2" s="1" a="1"/>
  <c r="AD523" i="2" s="1"/>
  <c r="P523" i="2" a="1"/>
  <c r="P523" i="2" s="1"/>
  <c r="H523" i="2" a="1"/>
  <c r="H523" i="2" s="1"/>
  <c r="G523" i="2" a="1"/>
  <c r="G523" i="2" s="1"/>
  <c r="F523" i="2" a="1"/>
  <c r="F523" i="2" s="1"/>
  <c r="D523" i="2" a="1"/>
  <c r="D523" i="2" s="1"/>
  <c r="AH456" i="2" a="1"/>
  <c r="AH456" i="2" s="1"/>
  <c r="R456" i="2" a="1"/>
  <c r="R456" i="2" s="1"/>
  <c r="Q456" i="2" a="1"/>
  <c r="Q456" i="2" s="1"/>
  <c r="AG456" i="2" s="1" a="1"/>
  <c r="AG456" i="2" s="1"/>
  <c r="P456" i="2" a="1"/>
  <c r="P456" i="2" s="1"/>
  <c r="H456" i="2" a="1"/>
  <c r="H456" i="2" s="1"/>
  <c r="G456" i="2" a="1"/>
  <c r="G456" i="2" s="1"/>
  <c r="F456" i="2" a="1"/>
  <c r="F456" i="2" s="1"/>
  <c r="D456" i="2" a="1"/>
  <c r="D456" i="2" s="1"/>
  <c r="AH389" i="2" a="1"/>
  <c r="AH389" i="2" s="1"/>
  <c r="R389" i="2" a="1"/>
  <c r="R389" i="2" s="1"/>
  <c r="Q389" i="2" a="1"/>
  <c r="Q389" i="2" s="1"/>
  <c r="Y389" i="2" s="1" a="1"/>
  <c r="Y389" i="2" s="1"/>
  <c r="P389" i="2" a="1"/>
  <c r="P389" i="2" s="1"/>
  <c r="H389" i="2" a="1"/>
  <c r="H389" i="2" s="1"/>
  <c r="G389" i="2" a="1"/>
  <c r="G389" i="2" s="1"/>
  <c r="F389" i="2" a="1"/>
  <c r="F389" i="2" s="1"/>
  <c r="D389" i="2" a="1"/>
  <c r="D389" i="2" s="1"/>
  <c r="AH418" i="2" a="1"/>
  <c r="AH418" i="2" s="1"/>
  <c r="R418" i="2" a="1"/>
  <c r="R418" i="2" s="1"/>
  <c r="Q418" i="2" a="1"/>
  <c r="Q418" i="2" s="1"/>
  <c r="AG418" i="2" s="1" a="1"/>
  <c r="AG418" i="2" s="1"/>
  <c r="P418" i="2" a="1"/>
  <c r="P418" i="2" s="1"/>
  <c r="H418" i="2" a="1"/>
  <c r="H418" i="2" s="1"/>
  <c r="G418" i="2" a="1"/>
  <c r="G418" i="2" s="1"/>
  <c r="F418" i="2" a="1"/>
  <c r="F418" i="2" s="1"/>
  <c r="D418" i="2" a="1"/>
  <c r="D418" i="2" s="1"/>
  <c r="AH422" i="2" a="1"/>
  <c r="AH422" i="2" s="1"/>
  <c r="R422" i="2" a="1"/>
  <c r="R422" i="2" s="1"/>
  <c r="Q422" i="2" a="1"/>
  <c r="Q422" i="2" s="1"/>
  <c r="P422" i="2" a="1"/>
  <c r="P422" i="2" s="1"/>
  <c r="H422" i="2" a="1"/>
  <c r="H422" i="2" s="1"/>
  <c r="G422" i="2" a="1"/>
  <c r="G422" i="2" s="1"/>
  <c r="F422" i="2" a="1"/>
  <c r="F422" i="2" s="1"/>
  <c r="D422" i="2" a="1"/>
  <c r="D422" i="2" s="1"/>
  <c r="AH368" i="2" a="1"/>
  <c r="AH368" i="2" s="1"/>
  <c r="R368" i="2" a="1"/>
  <c r="R368" i="2" s="1"/>
  <c r="Q368" i="2" a="1"/>
  <c r="Q368" i="2" s="1"/>
  <c r="P368" i="2" a="1"/>
  <c r="P368" i="2" s="1"/>
  <c r="H368" i="2" a="1"/>
  <c r="H368" i="2" s="1"/>
  <c r="G368" i="2" a="1"/>
  <c r="G368" i="2" s="1"/>
  <c r="F368" i="2" a="1"/>
  <c r="F368" i="2" s="1"/>
  <c r="D174" i="8" s="1" a="1"/>
  <c r="D174" i="8" s="1"/>
  <c r="D368" i="2" a="1"/>
  <c r="D368" i="2" s="1"/>
  <c r="B174" i="8" s="1" a="1"/>
  <c r="B174" i="8" s="1"/>
  <c r="AJ354" i="2" a="1"/>
  <c r="AJ354" i="2" s="1"/>
  <c r="P354" i="2" a="1"/>
  <c r="P354" i="2" s="1"/>
  <c r="H354" i="2" a="1"/>
  <c r="H354" i="2" s="1"/>
  <c r="G354" i="2" a="1"/>
  <c r="G354" i="2" s="1"/>
  <c r="F354" i="2" a="1"/>
  <c r="F354" i="2" s="1"/>
  <c r="D48" i="9" s="1" a="1"/>
  <c r="D48" i="9" s="1"/>
  <c r="D354" i="2" a="1"/>
  <c r="D354" i="2" s="1"/>
  <c r="AH238" i="2" a="1"/>
  <c r="AH238" i="2" s="1"/>
  <c r="R238" i="2" a="1"/>
  <c r="R238" i="2" s="1"/>
  <c r="Q238" i="2" a="1"/>
  <c r="Q238" i="2" s="1"/>
  <c r="P238" i="2" a="1"/>
  <c r="P238" i="2" s="1"/>
  <c r="H238" i="2" a="1"/>
  <c r="H238" i="2" s="1"/>
  <c r="G238" i="2" a="1"/>
  <c r="G238" i="2" s="1"/>
  <c r="F238" i="2" a="1"/>
  <c r="F238" i="2" s="1"/>
  <c r="D173" i="8" s="1" a="1"/>
  <c r="D173" i="8" s="1"/>
  <c r="D238" i="2" a="1"/>
  <c r="D238" i="2" s="1"/>
  <c r="AH547" i="2" a="1"/>
  <c r="AH547" i="2" s="1"/>
  <c r="R547" i="2" a="1"/>
  <c r="R547" i="2" s="1"/>
  <c r="Q547" i="2" a="1"/>
  <c r="Q547" i="2" s="1"/>
  <c r="Y547" i="2" s="1" a="1"/>
  <c r="Y547" i="2" s="1"/>
  <c r="P547" i="2" a="1"/>
  <c r="P547" i="2" s="1"/>
  <c r="H547" i="2" a="1"/>
  <c r="H547" i="2" s="1"/>
  <c r="G547" i="2" a="1"/>
  <c r="G547" i="2" s="1"/>
  <c r="F547" i="2" a="1"/>
  <c r="F547" i="2" s="1"/>
  <c r="D547" i="2" a="1"/>
  <c r="D547" i="2" s="1"/>
  <c r="AH578" i="2" a="1"/>
  <c r="AH578" i="2" s="1"/>
  <c r="R578" i="2" a="1"/>
  <c r="R578" i="2" s="1"/>
  <c r="Q578" i="2" a="1"/>
  <c r="Q578" i="2" s="1"/>
  <c r="Y578" i="2" s="1" a="1"/>
  <c r="Y578" i="2" s="1"/>
  <c r="P578" i="2" a="1"/>
  <c r="P578" i="2" s="1"/>
  <c r="H578" i="2" a="1"/>
  <c r="H578" i="2" s="1"/>
  <c r="G578" i="2" a="1"/>
  <c r="G578" i="2" s="1"/>
  <c r="F578" i="2" a="1"/>
  <c r="F578" i="2" s="1"/>
  <c r="D578" i="2" a="1"/>
  <c r="D578" i="2" s="1"/>
  <c r="AH435" i="2" a="1"/>
  <c r="AH435" i="2" s="1"/>
  <c r="R435" i="2" a="1"/>
  <c r="R435" i="2" s="1"/>
  <c r="Q435" i="2" a="1"/>
  <c r="Q435" i="2" s="1"/>
  <c r="AD435" i="2" s="1" a="1"/>
  <c r="AD435" i="2" s="1"/>
  <c r="P435" i="2" a="1"/>
  <c r="P435" i="2" s="1"/>
  <c r="H435" i="2" a="1"/>
  <c r="H435" i="2" s="1"/>
  <c r="G435" i="2" a="1"/>
  <c r="G435" i="2" s="1"/>
  <c r="F435" i="2" a="1"/>
  <c r="F435" i="2" s="1"/>
  <c r="D435" i="2" a="1"/>
  <c r="D435" i="2" s="1"/>
  <c r="AJ256" i="2" a="1"/>
  <c r="AJ256" i="2" s="1"/>
  <c r="P256" i="2" a="1"/>
  <c r="P256" i="2" s="1"/>
  <c r="H256" i="2" a="1"/>
  <c r="H256" i="2" s="1"/>
  <c r="G256" i="2" a="1"/>
  <c r="G256" i="2" s="1"/>
  <c r="F256" i="2" a="1"/>
  <c r="F256" i="2" s="1"/>
  <c r="D47" i="9" s="1" a="1"/>
  <c r="D47" i="9" s="1"/>
  <c r="D256" i="2" a="1"/>
  <c r="D256" i="2" s="1"/>
  <c r="AH433" i="2" a="1"/>
  <c r="AH433" i="2" s="1"/>
  <c r="R433" i="2" a="1"/>
  <c r="R433" i="2" s="1"/>
  <c r="Q433" i="2" a="1"/>
  <c r="Q433" i="2" s="1"/>
  <c r="P433" i="2" a="1"/>
  <c r="P433" i="2" s="1"/>
  <c r="H433" i="2" a="1"/>
  <c r="H433" i="2" s="1"/>
  <c r="G433" i="2" a="1"/>
  <c r="G433" i="2" s="1"/>
  <c r="F433" i="2" a="1"/>
  <c r="F433" i="2" s="1"/>
  <c r="D433" i="2" a="1"/>
  <c r="D433" i="2" s="1"/>
  <c r="AH404" i="2" a="1"/>
  <c r="AH404" i="2" s="1"/>
  <c r="R404" i="2" a="1"/>
  <c r="R404" i="2" s="1"/>
  <c r="Q404" i="2" a="1"/>
  <c r="Q404" i="2" s="1"/>
  <c r="Z404" i="2" s="1" a="1"/>
  <c r="Z404" i="2" s="1"/>
  <c r="P404" i="2" a="1"/>
  <c r="P404" i="2" s="1"/>
  <c r="H404" i="2" a="1"/>
  <c r="H404" i="2" s="1"/>
  <c r="G404" i="2" a="1"/>
  <c r="G404" i="2" s="1"/>
  <c r="F404" i="2" a="1"/>
  <c r="F404" i="2" s="1"/>
  <c r="D404" i="2" a="1"/>
  <c r="D404" i="2" s="1"/>
  <c r="AH545" i="2" a="1"/>
  <c r="AH545" i="2" s="1"/>
  <c r="R545" i="2" a="1"/>
  <c r="R545" i="2" s="1"/>
  <c r="Q545" i="2" a="1"/>
  <c r="Q545" i="2" s="1"/>
  <c r="P545" i="2" a="1"/>
  <c r="P545" i="2" s="1"/>
  <c r="H545" i="2" a="1"/>
  <c r="H545" i="2" s="1"/>
  <c r="G545" i="2" a="1"/>
  <c r="G545" i="2" s="1"/>
  <c r="F545" i="2" a="1"/>
  <c r="F545" i="2" s="1"/>
  <c r="D545" i="2" a="1"/>
  <c r="D545" i="2" s="1"/>
  <c r="AH384" i="2" a="1"/>
  <c r="AH384" i="2" s="1"/>
  <c r="R384" i="2" a="1"/>
  <c r="R384" i="2" s="1"/>
  <c r="Q384" i="2" a="1"/>
  <c r="Q384" i="2" s="1"/>
  <c r="P384" i="2" a="1"/>
  <c r="P384" i="2" s="1"/>
  <c r="H384" i="2" a="1"/>
  <c r="H384" i="2" s="1"/>
  <c r="G384" i="2" a="1"/>
  <c r="G384" i="2" s="1"/>
  <c r="F384" i="2" a="1"/>
  <c r="F384" i="2" s="1"/>
  <c r="D172" i="8" s="1" a="1"/>
  <c r="D172" i="8" s="1"/>
  <c r="D384" i="2" a="1"/>
  <c r="D384" i="2" s="1"/>
  <c r="B172" i="8" s="1" a="1"/>
  <c r="B172" i="8" s="1"/>
  <c r="AH251" i="2" a="1"/>
  <c r="AH251" i="2" s="1"/>
  <c r="R251" i="2" a="1"/>
  <c r="R251" i="2" s="1"/>
  <c r="Q251" i="2" a="1"/>
  <c r="Q251" i="2" s="1"/>
  <c r="AA251" i="2" s="1" a="1"/>
  <c r="AA251" i="2" s="1"/>
  <c r="P251" i="2" a="1"/>
  <c r="P251" i="2" s="1"/>
  <c r="H251" i="2" a="1"/>
  <c r="H251" i="2" s="1"/>
  <c r="G251" i="2" a="1"/>
  <c r="G251" i="2" s="1"/>
  <c r="F251" i="2" a="1"/>
  <c r="F251" i="2" s="1"/>
  <c r="D171" i="8" s="1" a="1"/>
  <c r="D171" i="8" s="1"/>
  <c r="D251" i="2" a="1"/>
  <c r="D251" i="2" s="1"/>
  <c r="AH347" i="2" a="1"/>
  <c r="AH347" i="2" s="1"/>
  <c r="R347" i="2" a="1"/>
  <c r="R347" i="2" s="1"/>
  <c r="Q347" i="2" a="1"/>
  <c r="Q347" i="2" s="1"/>
  <c r="P347" i="2" a="1"/>
  <c r="P347" i="2" s="1"/>
  <c r="H347" i="2" a="1"/>
  <c r="H347" i="2" s="1"/>
  <c r="G347" i="2" a="1"/>
  <c r="G347" i="2" s="1"/>
  <c r="F347" i="2" a="1"/>
  <c r="F347" i="2" s="1"/>
  <c r="D347" i="2" a="1"/>
  <c r="D347" i="2" s="1"/>
  <c r="AH248" i="2" a="1"/>
  <c r="AH248" i="2" s="1"/>
  <c r="R248" i="2" a="1"/>
  <c r="R248" i="2" s="1"/>
  <c r="Q248" i="2" a="1"/>
  <c r="Q248" i="2" s="1"/>
  <c r="Y248" i="2" s="1" a="1"/>
  <c r="Y248" i="2" s="1"/>
  <c r="P248" i="2" a="1"/>
  <c r="P248" i="2" s="1"/>
  <c r="H248" i="2" a="1"/>
  <c r="H248" i="2" s="1"/>
  <c r="G248" i="2" a="1"/>
  <c r="G248" i="2" s="1"/>
  <c r="F248" i="2" a="1"/>
  <c r="F248" i="2" s="1"/>
  <c r="D170" i="8" s="1" a="1"/>
  <c r="D170" i="8" s="1"/>
  <c r="D248" i="2" a="1"/>
  <c r="D248" i="2" s="1"/>
  <c r="B170" i="8" s="1" a="1"/>
  <c r="B170" i="8" s="1"/>
  <c r="AH289" i="2" a="1"/>
  <c r="AH289" i="2" s="1"/>
  <c r="R289" i="2" a="1"/>
  <c r="R289" i="2" s="1"/>
  <c r="Q289" i="2" a="1"/>
  <c r="Q289" i="2" s="1"/>
  <c r="P289" i="2" a="1"/>
  <c r="P289" i="2" s="1"/>
  <c r="H289" i="2" a="1"/>
  <c r="H289" i="2" s="1"/>
  <c r="G289" i="2" a="1"/>
  <c r="G289" i="2" s="1"/>
  <c r="F289" i="2" a="1"/>
  <c r="F289" i="2" s="1"/>
  <c r="D169" i="8" s="1" a="1"/>
  <c r="D169" i="8" s="1"/>
  <c r="D289" i="2" a="1"/>
  <c r="D289" i="2" s="1"/>
  <c r="B169" i="8" s="1" a="1"/>
  <c r="B169" i="8" s="1"/>
  <c r="AH615" i="2" a="1"/>
  <c r="AH615" i="2" s="1"/>
  <c r="R615" i="2" a="1"/>
  <c r="R615" i="2" s="1"/>
  <c r="Q615" i="2" a="1"/>
  <c r="Q615" i="2" s="1"/>
  <c r="P615" i="2" a="1"/>
  <c r="P615" i="2" s="1"/>
  <c r="H615" i="2" a="1"/>
  <c r="H615" i="2" s="1"/>
  <c r="G615" i="2" a="1"/>
  <c r="G615" i="2" s="1"/>
  <c r="F615" i="2" a="1"/>
  <c r="F615" i="2" s="1"/>
  <c r="D615" i="2" a="1"/>
  <c r="D615" i="2" s="1"/>
  <c r="AH373" i="2" a="1"/>
  <c r="AH373" i="2" s="1"/>
  <c r="R373" i="2" a="1"/>
  <c r="R373" i="2" s="1"/>
  <c r="Q373" i="2" a="1"/>
  <c r="Q373" i="2" s="1"/>
  <c r="P373" i="2" a="1"/>
  <c r="P373" i="2" s="1"/>
  <c r="H373" i="2" a="1"/>
  <c r="H373" i="2" s="1"/>
  <c r="G373" i="2" a="1"/>
  <c r="G373" i="2" s="1"/>
  <c r="F373" i="2" a="1"/>
  <c r="F373" i="2" s="1"/>
  <c r="D168" i="8" s="1" a="1"/>
  <c r="D168" i="8" s="1"/>
  <c r="D373" i="2" a="1"/>
  <c r="D373" i="2" s="1"/>
  <c r="AH441" i="2" a="1"/>
  <c r="AH441" i="2" s="1"/>
  <c r="R441" i="2" a="1"/>
  <c r="R441" i="2" s="1"/>
  <c r="Q441" i="2" a="1"/>
  <c r="Q441" i="2" s="1"/>
  <c r="P441" i="2" a="1"/>
  <c r="P441" i="2" s="1"/>
  <c r="H441" i="2" a="1"/>
  <c r="H441" i="2" s="1"/>
  <c r="G441" i="2" a="1"/>
  <c r="G441" i="2" s="1"/>
  <c r="F441" i="2" a="1"/>
  <c r="F441" i="2" s="1"/>
  <c r="D441" i="2" a="1"/>
  <c r="D441" i="2" s="1"/>
  <c r="AH449" i="2" a="1"/>
  <c r="AH449" i="2" s="1"/>
  <c r="R449" i="2" a="1"/>
  <c r="R449" i="2" s="1"/>
  <c r="Q449" i="2" a="1"/>
  <c r="Q449" i="2" s="1"/>
  <c r="P449" i="2" a="1"/>
  <c r="P449" i="2" s="1"/>
  <c r="H449" i="2" a="1"/>
  <c r="H449" i="2" s="1"/>
  <c r="G449" i="2" a="1"/>
  <c r="G449" i="2" s="1"/>
  <c r="F449" i="2" a="1"/>
  <c r="F449" i="2" s="1"/>
  <c r="D449" i="2" a="1"/>
  <c r="D449" i="2" s="1"/>
  <c r="AH345" i="2" a="1"/>
  <c r="AH345" i="2" s="1"/>
  <c r="R345" i="2" a="1"/>
  <c r="R345" i="2" s="1"/>
  <c r="Q345" i="2" a="1"/>
  <c r="Q345" i="2" s="1"/>
  <c r="AG345" i="2" s="1" a="1"/>
  <c r="AG345" i="2" s="1"/>
  <c r="P345" i="2" a="1"/>
  <c r="P345" i="2" s="1"/>
  <c r="H345" i="2" a="1"/>
  <c r="H345" i="2" s="1"/>
  <c r="G345" i="2" a="1"/>
  <c r="G345" i="2" s="1"/>
  <c r="F345" i="2" a="1"/>
  <c r="F345" i="2" s="1"/>
  <c r="D167" i="8" s="1" a="1"/>
  <c r="D167" i="8" s="1"/>
  <c r="D345" i="2" a="1"/>
  <c r="D345" i="2" s="1"/>
  <c r="B167" i="8" s="1" a="1"/>
  <c r="B167" i="8" s="1"/>
  <c r="AH429" i="2" a="1"/>
  <c r="AH429" i="2" s="1"/>
  <c r="R429" i="2" a="1"/>
  <c r="R429" i="2" s="1"/>
  <c r="Q429" i="2" a="1"/>
  <c r="Q429" i="2" s="1"/>
  <c r="P429" i="2" a="1"/>
  <c r="P429" i="2" s="1"/>
  <c r="H429" i="2" a="1"/>
  <c r="H429" i="2" s="1"/>
  <c r="G429" i="2" a="1"/>
  <c r="G429" i="2" s="1"/>
  <c r="F429" i="2" a="1"/>
  <c r="F429" i="2" s="1"/>
  <c r="D429" i="2" a="1"/>
  <c r="D429" i="2" s="1"/>
  <c r="AH279" i="2" a="1"/>
  <c r="AH279" i="2" s="1"/>
  <c r="R279" i="2" a="1"/>
  <c r="R279" i="2" s="1"/>
  <c r="Q279" i="2" a="1"/>
  <c r="Q279" i="2" s="1"/>
  <c r="P279" i="2" a="1"/>
  <c r="P279" i="2" s="1"/>
  <c r="H279" i="2" a="1"/>
  <c r="H279" i="2" s="1"/>
  <c r="G279" i="2" a="1"/>
  <c r="G279" i="2" s="1"/>
  <c r="F279" i="2" a="1"/>
  <c r="F279" i="2" s="1"/>
  <c r="D166" i="8" s="1" a="1"/>
  <c r="D166" i="8" s="1"/>
  <c r="D279" i="2" a="1"/>
  <c r="D279" i="2" s="1"/>
  <c r="AJ136" i="2" a="1"/>
  <c r="AJ136" i="2" s="1"/>
  <c r="P136" i="2" a="1"/>
  <c r="P136" i="2" s="1"/>
  <c r="H136" i="2" a="1"/>
  <c r="H136" i="2" s="1"/>
  <c r="G136" i="2" a="1"/>
  <c r="G136" i="2" s="1"/>
  <c r="F136" i="2" a="1"/>
  <c r="F136" i="2" s="1"/>
  <c r="D46" i="9" s="1" a="1"/>
  <c r="D46" i="9" s="1"/>
  <c r="D136" i="2" a="1"/>
  <c r="D136" i="2" s="1"/>
  <c r="B46" i="9" s="1" a="1"/>
  <c r="B46" i="9" s="1"/>
  <c r="AH258" i="2" a="1"/>
  <c r="AH258" i="2" s="1"/>
  <c r="R258" i="2" a="1"/>
  <c r="R258" i="2" s="1"/>
  <c r="Q258" i="2" a="1"/>
  <c r="Q258" i="2" s="1"/>
  <c r="P258" i="2" a="1"/>
  <c r="P258" i="2" s="1"/>
  <c r="H258" i="2" a="1"/>
  <c r="H258" i="2" s="1"/>
  <c r="G258" i="2" a="1"/>
  <c r="G258" i="2" s="1"/>
  <c r="F258" i="2" a="1"/>
  <c r="F258" i="2" s="1"/>
  <c r="D165" i="8" s="1" a="1"/>
  <c r="D165" i="8" s="1"/>
  <c r="D258" i="2" a="1"/>
  <c r="D258" i="2" s="1"/>
  <c r="B165" i="8" s="1" a="1"/>
  <c r="B165" i="8" s="1"/>
  <c r="AH392" i="2" a="1"/>
  <c r="AH392" i="2" s="1"/>
  <c r="R392" i="2" a="1"/>
  <c r="R392" i="2" s="1"/>
  <c r="Q392" i="2" a="1"/>
  <c r="Q392" i="2" s="1"/>
  <c r="P392" i="2" a="1"/>
  <c r="P392" i="2" s="1"/>
  <c r="H392" i="2" a="1"/>
  <c r="H392" i="2" s="1"/>
  <c r="G392" i="2" a="1"/>
  <c r="G392" i="2" s="1"/>
  <c r="F392" i="2" a="1"/>
  <c r="F392" i="2" s="1"/>
  <c r="D164" i="8" s="1" a="1"/>
  <c r="D164" i="8" s="1"/>
  <c r="D392" i="2" a="1"/>
  <c r="D392" i="2" s="1"/>
  <c r="AH405" i="2" a="1"/>
  <c r="AH405" i="2" s="1"/>
  <c r="R405" i="2" a="1"/>
  <c r="R405" i="2" s="1"/>
  <c r="Q405" i="2" a="1"/>
  <c r="Q405" i="2" s="1"/>
  <c r="P405" i="2" a="1"/>
  <c r="P405" i="2" s="1"/>
  <c r="H405" i="2" a="1"/>
  <c r="H405" i="2" s="1"/>
  <c r="G405" i="2" a="1"/>
  <c r="G405" i="2" s="1"/>
  <c r="F405" i="2" a="1"/>
  <c r="F405" i="2" s="1"/>
  <c r="D405" i="2" a="1"/>
  <c r="D405" i="2" s="1"/>
  <c r="AJ186" i="2" a="1"/>
  <c r="AJ186" i="2" s="1"/>
  <c r="P186" i="2" a="1"/>
  <c r="P186" i="2" s="1"/>
  <c r="H186" i="2" a="1"/>
  <c r="H186" i="2" s="1"/>
  <c r="G186" i="2" a="1"/>
  <c r="G186" i="2" s="1"/>
  <c r="F186" i="2" a="1"/>
  <c r="F186" i="2" s="1"/>
  <c r="D45" i="9" s="1" a="1"/>
  <c r="D45" i="9" s="1"/>
  <c r="D186" i="2" a="1"/>
  <c r="D186" i="2" s="1"/>
  <c r="AH412" i="2" a="1"/>
  <c r="AH412" i="2" s="1"/>
  <c r="R412" i="2" a="1"/>
  <c r="R412" i="2" s="1"/>
  <c r="Q412" i="2" a="1"/>
  <c r="Q412" i="2" s="1"/>
  <c r="AB412" i="2" s="1" a="1"/>
  <c r="AB412" i="2" s="1"/>
  <c r="P412" i="2" a="1"/>
  <c r="P412" i="2" s="1"/>
  <c r="H412" i="2" a="1"/>
  <c r="H412" i="2" s="1"/>
  <c r="G412" i="2" a="1"/>
  <c r="G412" i="2" s="1"/>
  <c r="F412" i="2" a="1"/>
  <c r="F412" i="2" s="1"/>
  <c r="D163" i="8" s="1" a="1"/>
  <c r="D163" i="8" s="1"/>
  <c r="D412" i="2" a="1"/>
  <c r="D412" i="2" s="1"/>
  <c r="B163" i="8" s="1" a="1"/>
  <c r="B163" i="8" s="1"/>
  <c r="AH483" i="2" a="1"/>
  <c r="AH483" i="2" s="1"/>
  <c r="R483" i="2" a="1"/>
  <c r="R483" i="2" s="1"/>
  <c r="Q483" i="2" a="1"/>
  <c r="Q483" i="2" s="1"/>
  <c r="P483" i="2" a="1"/>
  <c r="P483" i="2" s="1"/>
  <c r="H483" i="2" a="1"/>
  <c r="H483" i="2" s="1"/>
  <c r="G483" i="2" a="1"/>
  <c r="G483" i="2" s="1"/>
  <c r="F483" i="2" a="1"/>
  <c r="F483" i="2" s="1"/>
  <c r="D483" i="2" a="1"/>
  <c r="D483" i="2" s="1"/>
  <c r="AH339" i="2" a="1"/>
  <c r="AH339" i="2" s="1"/>
  <c r="R339" i="2" a="1"/>
  <c r="R339" i="2" s="1"/>
  <c r="Q339" i="2" a="1"/>
  <c r="Q339" i="2" s="1"/>
  <c r="P339" i="2" a="1"/>
  <c r="P339" i="2" s="1"/>
  <c r="H339" i="2" a="1"/>
  <c r="H339" i="2" s="1"/>
  <c r="G339" i="2" a="1"/>
  <c r="G339" i="2" s="1"/>
  <c r="F339" i="2" a="1"/>
  <c r="F339" i="2" s="1"/>
  <c r="D162" i="8" s="1" a="1"/>
  <c r="D162" i="8" s="1"/>
  <c r="D339" i="2" a="1"/>
  <c r="D339" i="2" s="1"/>
  <c r="B162" i="8" s="1" a="1"/>
  <c r="B162" i="8" s="1"/>
  <c r="AJ233" i="2" a="1"/>
  <c r="AJ233" i="2" s="1"/>
  <c r="AN233" i="2" s="1" a="1"/>
  <c r="AN233" i="2" s="1"/>
  <c r="P233" i="2" a="1"/>
  <c r="P233" i="2" s="1"/>
  <c r="H233" i="2" a="1"/>
  <c r="H233" i="2" s="1"/>
  <c r="G233" i="2" a="1"/>
  <c r="G233" i="2" s="1"/>
  <c r="F233" i="2" a="1"/>
  <c r="F233" i="2" s="1"/>
  <c r="D44" i="9" s="1" a="1"/>
  <c r="D44" i="9" s="1"/>
  <c r="D233" i="2" a="1"/>
  <c r="D233" i="2" s="1"/>
  <c r="AH370" i="2" a="1"/>
  <c r="AH370" i="2" s="1"/>
  <c r="R370" i="2" a="1"/>
  <c r="R370" i="2" s="1"/>
  <c r="Q370" i="2" a="1"/>
  <c r="Q370" i="2" s="1"/>
  <c r="AF370" i="2" s="1" a="1"/>
  <c r="AF370" i="2" s="1"/>
  <c r="P370" i="2" a="1"/>
  <c r="P370" i="2" s="1"/>
  <c r="H370" i="2" a="1"/>
  <c r="H370" i="2" s="1"/>
  <c r="G370" i="2" a="1"/>
  <c r="G370" i="2" s="1"/>
  <c r="F370" i="2" a="1"/>
  <c r="F370" i="2" s="1"/>
  <c r="D161" i="8" s="1" a="1"/>
  <c r="D161" i="8" s="1"/>
  <c r="D370" i="2" a="1"/>
  <c r="D370" i="2" s="1"/>
  <c r="AJ326" i="2" a="1"/>
  <c r="AJ326" i="2" s="1"/>
  <c r="P326" i="2" a="1"/>
  <c r="P326" i="2" s="1"/>
  <c r="H326" i="2" a="1"/>
  <c r="H326" i="2" s="1"/>
  <c r="G326" i="2" a="1"/>
  <c r="G326" i="2" s="1"/>
  <c r="F326" i="2" a="1"/>
  <c r="F326" i="2" s="1"/>
  <c r="D43" i="9" s="1" a="1"/>
  <c r="D43" i="9" s="1"/>
  <c r="D326" i="2" a="1"/>
  <c r="D326" i="2" s="1"/>
  <c r="B43" i="9" s="1" a="1"/>
  <c r="B43" i="9" s="1"/>
  <c r="AH428" i="2" a="1"/>
  <c r="AH428" i="2" s="1"/>
  <c r="R428" i="2" a="1"/>
  <c r="R428" i="2" s="1"/>
  <c r="Q428" i="2" a="1"/>
  <c r="Q428" i="2" s="1"/>
  <c r="P428" i="2" a="1"/>
  <c r="P428" i="2" s="1"/>
  <c r="H428" i="2" a="1"/>
  <c r="H428" i="2" s="1"/>
  <c r="G428" i="2" a="1"/>
  <c r="G428" i="2" s="1"/>
  <c r="F428" i="2" a="1"/>
  <c r="F428" i="2" s="1"/>
  <c r="D428" i="2" a="1"/>
  <c r="D428" i="2" s="1"/>
  <c r="AJ403" i="2" a="1"/>
  <c r="AJ403" i="2" s="1"/>
  <c r="AM403" i="2" s="1" a="1"/>
  <c r="AM403" i="2" s="1"/>
  <c r="P403" i="2" a="1"/>
  <c r="P403" i="2" s="1"/>
  <c r="H403" i="2" a="1"/>
  <c r="H403" i="2" s="1"/>
  <c r="G403" i="2" a="1"/>
  <c r="G403" i="2" s="1"/>
  <c r="F403" i="2" a="1"/>
  <c r="F403" i="2" s="1"/>
  <c r="D42" i="9" s="1" a="1"/>
  <c r="D42" i="9" s="1"/>
  <c r="D403" i="2" a="1"/>
  <c r="D403" i="2" s="1"/>
  <c r="AH319" i="2" a="1"/>
  <c r="AH319" i="2" s="1"/>
  <c r="R319" i="2" a="1"/>
  <c r="R319" i="2" s="1"/>
  <c r="Q319" i="2" a="1"/>
  <c r="Q319" i="2" s="1"/>
  <c r="P319" i="2" a="1"/>
  <c r="P319" i="2" s="1"/>
  <c r="H319" i="2" a="1"/>
  <c r="H319" i="2" s="1"/>
  <c r="G319" i="2" a="1"/>
  <c r="G319" i="2" s="1"/>
  <c r="F319" i="2" a="1"/>
  <c r="F319" i="2" s="1"/>
  <c r="D160" i="8" s="1" a="1"/>
  <c r="D160" i="8" s="1"/>
  <c r="D319" i="2" a="1"/>
  <c r="D319" i="2" s="1"/>
  <c r="AH327" i="2" a="1"/>
  <c r="AH327" i="2" s="1"/>
  <c r="R327" i="2" a="1"/>
  <c r="R327" i="2" s="1"/>
  <c r="Q327" i="2" a="1"/>
  <c r="Q327" i="2" s="1"/>
  <c r="P327" i="2" a="1"/>
  <c r="P327" i="2" s="1"/>
  <c r="H327" i="2" a="1"/>
  <c r="H327" i="2" s="1"/>
  <c r="G327" i="2" a="1"/>
  <c r="G327" i="2" s="1"/>
  <c r="F327" i="2" a="1"/>
  <c r="F327" i="2" s="1"/>
  <c r="D159" i="8" s="1" a="1"/>
  <c r="D159" i="8" s="1"/>
  <c r="D327" i="2" a="1"/>
  <c r="D327" i="2" s="1"/>
  <c r="AH369" i="2" a="1"/>
  <c r="AH369" i="2" s="1"/>
  <c r="R369" i="2" a="1"/>
  <c r="R369" i="2" s="1"/>
  <c r="Q369" i="2" a="1"/>
  <c r="Q369" i="2" s="1"/>
  <c r="P369" i="2" a="1"/>
  <c r="P369" i="2" s="1"/>
  <c r="H369" i="2" a="1"/>
  <c r="H369" i="2" s="1"/>
  <c r="G369" i="2" a="1"/>
  <c r="G369" i="2" s="1"/>
  <c r="F369" i="2" a="1"/>
  <c r="F369" i="2" s="1"/>
  <c r="D369" i="2" a="1"/>
  <c r="D369" i="2" s="1"/>
  <c r="AH524" i="2" a="1"/>
  <c r="AH524" i="2" s="1"/>
  <c r="R524" i="2" a="1"/>
  <c r="R524" i="2" s="1"/>
  <c r="Q524" i="2" a="1"/>
  <c r="Q524" i="2" s="1"/>
  <c r="P524" i="2" a="1"/>
  <c r="P524" i="2" s="1"/>
  <c r="H524" i="2" a="1"/>
  <c r="H524" i="2" s="1"/>
  <c r="G524" i="2" a="1"/>
  <c r="G524" i="2" s="1"/>
  <c r="F524" i="2" a="1"/>
  <c r="F524" i="2" s="1"/>
  <c r="D524" i="2" a="1"/>
  <c r="D524" i="2" s="1"/>
  <c r="AH459" i="2" a="1"/>
  <c r="AH459" i="2" s="1"/>
  <c r="R459" i="2" a="1"/>
  <c r="R459" i="2" s="1"/>
  <c r="Q459" i="2" a="1"/>
  <c r="Q459" i="2" s="1"/>
  <c r="AG459" i="2" s="1" a="1"/>
  <c r="AG459" i="2" s="1"/>
  <c r="P459" i="2" a="1"/>
  <c r="P459" i="2" s="1"/>
  <c r="H459" i="2" a="1"/>
  <c r="H459" i="2" s="1"/>
  <c r="G459" i="2" a="1"/>
  <c r="G459" i="2" s="1"/>
  <c r="F459" i="2" a="1"/>
  <c r="F459" i="2" s="1"/>
  <c r="D459" i="2" a="1"/>
  <c r="D459" i="2" s="1"/>
  <c r="AH427" i="2" a="1"/>
  <c r="AH427" i="2" s="1"/>
  <c r="R427" i="2" a="1"/>
  <c r="R427" i="2" s="1"/>
  <c r="Q427" i="2" a="1"/>
  <c r="Q427" i="2" s="1"/>
  <c r="AG427" i="2" s="1" a="1"/>
  <c r="AG427" i="2" s="1"/>
  <c r="P427" i="2" a="1"/>
  <c r="P427" i="2" s="1"/>
  <c r="H427" i="2" a="1"/>
  <c r="H427" i="2" s="1"/>
  <c r="G427" i="2" a="1"/>
  <c r="G427" i="2" s="1"/>
  <c r="F427" i="2" a="1"/>
  <c r="F427" i="2" s="1"/>
  <c r="D427" i="2" a="1"/>
  <c r="D427" i="2" s="1"/>
  <c r="AH485" i="2" a="1"/>
  <c r="AH485" i="2" s="1"/>
  <c r="R485" i="2" a="1"/>
  <c r="R485" i="2" s="1"/>
  <c r="Q485" i="2" a="1"/>
  <c r="Q485" i="2" s="1"/>
  <c r="P485" i="2" a="1"/>
  <c r="P485" i="2" s="1"/>
  <c r="H485" i="2" a="1"/>
  <c r="H485" i="2" s="1"/>
  <c r="G485" i="2" a="1"/>
  <c r="G485" i="2" s="1"/>
  <c r="F485" i="2" a="1"/>
  <c r="F485" i="2" s="1"/>
  <c r="D485" i="2" a="1"/>
  <c r="D485" i="2" s="1"/>
  <c r="AH460" i="2" a="1"/>
  <c r="AH460" i="2" s="1"/>
  <c r="R460" i="2" a="1"/>
  <c r="R460" i="2" s="1"/>
  <c r="Q460" i="2" a="1"/>
  <c r="Q460" i="2" s="1"/>
  <c r="P460" i="2" a="1"/>
  <c r="P460" i="2" s="1"/>
  <c r="H460" i="2" a="1"/>
  <c r="H460" i="2" s="1"/>
  <c r="G460" i="2" a="1"/>
  <c r="G460" i="2" s="1"/>
  <c r="F460" i="2" a="1"/>
  <c r="F460" i="2" s="1"/>
  <c r="D460" i="2" a="1"/>
  <c r="D460" i="2" s="1"/>
  <c r="AJ217" i="2" a="1"/>
  <c r="AJ217" i="2" s="1"/>
  <c r="P217" i="2" a="1"/>
  <c r="P217" i="2" s="1"/>
  <c r="H217" i="2" a="1"/>
  <c r="H217" i="2" s="1"/>
  <c r="G217" i="2" a="1"/>
  <c r="G217" i="2" s="1"/>
  <c r="F217" i="2" a="1"/>
  <c r="F217" i="2" s="1"/>
  <c r="D41" i="9" s="1" a="1"/>
  <c r="D41" i="9" s="1"/>
  <c r="D217" i="2" a="1"/>
  <c r="D217" i="2" s="1"/>
  <c r="AH151" i="2" a="1"/>
  <c r="AH151" i="2" s="1"/>
  <c r="R151" i="2" a="1"/>
  <c r="R151" i="2" s="1"/>
  <c r="Q151" i="2" a="1"/>
  <c r="Q151" i="2" s="1"/>
  <c r="P151" i="2" a="1"/>
  <c r="P151" i="2" s="1"/>
  <c r="H151" i="2" a="1"/>
  <c r="H151" i="2" s="1"/>
  <c r="G151" i="2" a="1"/>
  <c r="G151" i="2" s="1"/>
  <c r="F151" i="2" a="1"/>
  <c r="F151" i="2" s="1"/>
  <c r="D158" i="8" s="1" a="1"/>
  <c r="D158" i="8" s="1"/>
  <c r="D151" i="2" a="1"/>
  <c r="D151" i="2" s="1"/>
  <c r="AH306" i="2" a="1"/>
  <c r="AH306" i="2" s="1"/>
  <c r="R306" i="2" a="1"/>
  <c r="R306" i="2" s="1"/>
  <c r="Q306" i="2" a="1"/>
  <c r="Q306" i="2" s="1"/>
  <c r="P306" i="2" a="1"/>
  <c r="P306" i="2" s="1"/>
  <c r="H306" i="2" a="1"/>
  <c r="H306" i="2" s="1"/>
  <c r="G306" i="2" a="1"/>
  <c r="G306" i="2" s="1"/>
  <c r="F306" i="2" a="1"/>
  <c r="F306" i="2" s="1"/>
  <c r="D157" i="8" s="1" a="1"/>
  <c r="D157" i="8" s="1"/>
  <c r="D306" i="2" a="1"/>
  <c r="D306" i="2" s="1"/>
  <c r="AH442" i="2" a="1"/>
  <c r="AH442" i="2" s="1"/>
  <c r="R442" i="2" a="1"/>
  <c r="R442" i="2" s="1"/>
  <c r="Q442" i="2" a="1"/>
  <c r="Q442" i="2" s="1"/>
  <c r="P442" i="2" a="1"/>
  <c r="P442" i="2" s="1"/>
  <c r="H442" i="2" a="1"/>
  <c r="H442" i="2" s="1"/>
  <c r="G442" i="2" a="1"/>
  <c r="G442" i="2" s="1"/>
  <c r="F442" i="2" a="1"/>
  <c r="F442" i="2" s="1"/>
  <c r="D442" i="2" a="1"/>
  <c r="D442" i="2" s="1"/>
  <c r="AH540" i="2" a="1"/>
  <c r="AH540" i="2" s="1"/>
  <c r="R540" i="2" a="1"/>
  <c r="R540" i="2" s="1"/>
  <c r="Q540" i="2" a="1"/>
  <c r="Q540" i="2" s="1"/>
  <c r="P540" i="2" a="1"/>
  <c r="P540" i="2" s="1"/>
  <c r="H540" i="2" a="1"/>
  <c r="H540" i="2" s="1"/>
  <c r="G540" i="2" a="1"/>
  <c r="G540" i="2" s="1"/>
  <c r="F540" i="2" a="1"/>
  <c r="F540" i="2" s="1"/>
  <c r="D540" i="2" a="1"/>
  <c r="D540" i="2" s="1"/>
  <c r="AH280" i="2" a="1"/>
  <c r="AH280" i="2" s="1"/>
  <c r="R280" i="2" a="1"/>
  <c r="R280" i="2" s="1"/>
  <c r="Q280" i="2" a="1"/>
  <c r="Q280" i="2" s="1"/>
  <c r="Z280" i="2" s="1" a="1"/>
  <c r="Z280" i="2" s="1"/>
  <c r="P280" i="2" a="1"/>
  <c r="P280" i="2" s="1"/>
  <c r="H280" i="2" a="1"/>
  <c r="H280" i="2" s="1"/>
  <c r="G280" i="2" a="1"/>
  <c r="G280" i="2" s="1"/>
  <c r="F280" i="2" a="1"/>
  <c r="F280" i="2" s="1"/>
  <c r="D156" i="8" s="1" a="1"/>
  <c r="D156" i="8" s="1"/>
  <c r="D280" i="2" a="1"/>
  <c r="D280" i="2" s="1"/>
  <c r="AH420" i="2" a="1"/>
  <c r="AH420" i="2" s="1"/>
  <c r="R420" i="2" a="1"/>
  <c r="R420" i="2" s="1"/>
  <c r="Q420" i="2" a="1"/>
  <c r="Q420" i="2" s="1"/>
  <c r="P420" i="2" a="1"/>
  <c r="P420" i="2" s="1"/>
  <c r="H420" i="2" a="1"/>
  <c r="H420" i="2" s="1"/>
  <c r="G420" i="2" a="1"/>
  <c r="G420" i="2" s="1"/>
  <c r="F420" i="2" a="1"/>
  <c r="F420" i="2" s="1"/>
  <c r="D155" i="8" s="1" a="1"/>
  <c r="D155" i="8" s="1"/>
  <c r="D420" i="2" a="1"/>
  <c r="D420" i="2" s="1"/>
  <c r="AH275" i="2" a="1"/>
  <c r="AH275" i="2" s="1"/>
  <c r="R275" i="2" a="1"/>
  <c r="R275" i="2" s="1"/>
  <c r="Q275" i="2" a="1"/>
  <c r="Q275" i="2" s="1"/>
  <c r="P275" i="2" a="1"/>
  <c r="P275" i="2" s="1"/>
  <c r="H275" i="2" a="1"/>
  <c r="H275" i="2" s="1"/>
  <c r="G275" i="2" a="1"/>
  <c r="G275" i="2" s="1"/>
  <c r="F275" i="2" a="1"/>
  <c r="F275" i="2" s="1"/>
  <c r="D154" i="8" s="1" a="1"/>
  <c r="D154" i="8" s="1"/>
  <c r="D275" i="2" a="1"/>
  <c r="D275" i="2" s="1"/>
  <c r="AH375" i="2" a="1"/>
  <c r="AH375" i="2" s="1"/>
  <c r="R375" i="2" a="1"/>
  <c r="R375" i="2" s="1"/>
  <c r="Q375" i="2" a="1"/>
  <c r="Q375" i="2" s="1"/>
  <c r="AD375" i="2" s="1" a="1"/>
  <c r="AD375" i="2" s="1"/>
  <c r="P375" i="2" a="1"/>
  <c r="P375" i="2" s="1"/>
  <c r="H375" i="2" a="1"/>
  <c r="H375" i="2" s="1"/>
  <c r="G375" i="2" a="1"/>
  <c r="G375" i="2" s="1"/>
  <c r="F375" i="2" a="1"/>
  <c r="F375" i="2" s="1"/>
  <c r="D375" i="2" a="1"/>
  <c r="D375" i="2" s="1"/>
  <c r="AH165" i="2" a="1"/>
  <c r="AH165" i="2" s="1"/>
  <c r="R165" i="2" a="1"/>
  <c r="R165" i="2" s="1"/>
  <c r="Q165" i="2" a="1"/>
  <c r="Q165" i="2" s="1"/>
  <c r="P165" i="2" a="1"/>
  <c r="P165" i="2" s="1"/>
  <c r="H165" i="2" a="1"/>
  <c r="H165" i="2" s="1"/>
  <c r="G165" i="2" a="1"/>
  <c r="G165" i="2" s="1"/>
  <c r="F165" i="2" a="1"/>
  <c r="F165" i="2" s="1"/>
  <c r="D153" i="8" s="1" a="1"/>
  <c r="D153" i="8" s="1"/>
  <c r="D165" i="2" a="1"/>
  <c r="D165" i="2" s="1"/>
  <c r="AH358" i="2" a="1"/>
  <c r="AH358" i="2" s="1"/>
  <c r="R358" i="2" a="1"/>
  <c r="R358" i="2" s="1"/>
  <c r="Q358" i="2" a="1"/>
  <c r="Q358" i="2" s="1"/>
  <c r="P358" i="2" a="1"/>
  <c r="P358" i="2" s="1"/>
  <c r="H358" i="2" a="1"/>
  <c r="H358" i="2" s="1"/>
  <c r="G358" i="2" a="1"/>
  <c r="G358" i="2" s="1"/>
  <c r="F358" i="2" a="1"/>
  <c r="F358" i="2" s="1"/>
  <c r="D152" i="8" s="1" a="1"/>
  <c r="D152" i="8" s="1"/>
  <c r="D358" i="2" a="1"/>
  <c r="D358" i="2" s="1"/>
  <c r="AH430" i="2" a="1"/>
  <c r="AH430" i="2" s="1"/>
  <c r="R430" i="2" a="1"/>
  <c r="R430" i="2" s="1"/>
  <c r="Q430" i="2" a="1"/>
  <c r="Q430" i="2" s="1"/>
  <c r="P430" i="2" a="1"/>
  <c r="P430" i="2" s="1"/>
  <c r="H430" i="2" a="1"/>
  <c r="H430" i="2" s="1"/>
  <c r="G430" i="2" a="1"/>
  <c r="G430" i="2" s="1"/>
  <c r="F430" i="2" a="1"/>
  <c r="F430" i="2" s="1"/>
  <c r="D430" i="2" a="1"/>
  <c r="D430" i="2" s="1"/>
  <c r="AH298" i="2" a="1"/>
  <c r="AH298" i="2" s="1"/>
  <c r="R298" i="2" a="1"/>
  <c r="R298" i="2" s="1"/>
  <c r="Q298" i="2" a="1"/>
  <c r="Q298" i="2" s="1"/>
  <c r="P298" i="2" a="1"/>
  <c r="P298" i="2" s="1"/>
  <c r="H298" i="2" a="1"/>
  <c r="H298" i="2" s="1"/>
  <c r="G298" i="2" a="1"/>
  <c r="G298" i="2" s="1"/>
  <c r="F298" i="2" a="1"/>
  <c r="F298" i="2" s="1"/>
  <c r="D151" i="8" s="1" a="1"/>
  <c r="D151" i="8" s="1"/>
  <c r="D298" i="2" a="1"/>
  <c r="D298" i="2" s="1"/>
  <c r="AJ378" i="2" a="1"/>
  <c r="AJ378" i="2" s="1"/>
  <c r="P378" i="2" a="1"/>
  <c r="P378" i="2" s="1"/>
  <c r="H378" i="2" a="1"/>
  <c r="H378" i="2" s="1"/>
  <c r="G378" i="2" a="1"/>
  <c r="G378" i="2" s="1"/>
  <c r="F378" i="2" a="1"/>
  <c r="F378" i="2" s="1"/>
  <c r="D40" i="9" s="1" a="1"/>
  <c r="D40" i="9" s="1"/>
  <c r="D378" i="2" a="1"/>
  <c r="D378" i="2" s="1"/>
  <c r="B40" i="9" s="1" a="1"/>
  <c r="B40" i="9" s="1"/>
  <c r="AH287" i="2" a="1"/>
  <c r="AH287" i="2" s="1"/>
  <c r="R287" i="2" a="1"/>
  <c r="R287" i="2" s="1"/>
  <c r="Q287" i="2" a="1"/>
  <c r="Q287" i="2" s="1"/>
  <c r="P287" i="2" a="1"/>
  <c r="P287" i="2" s="1"/>
  <c r="H287" i="2" a="1"/>
  <c r="H287" i="2" s="1"/>
  <c r="G287" i="2" a="1"/>
  <c r="G287" i="2" s="1"/>
  <c r="F287" i="2" a="1"/>
  <c r="F287" i="2" s="1"/>
  <c r="D150" i="8" s="1" a="1"/>
  <c r="D150" i="8" s="1"/>
  <c r="D287" i="2" a="1"/>
  <c r="D287" i="2" s="1"/>
  <c r="AH396" i="2" a="1"/>
  <c r="AH396" i="2" s="1"/>
  <c r="R396" i="2" a="1"/>
  <c r="R396" i="2" s="1"/>
  <c r="Q396" i="2" a="1"/>
  <c r="Q396" i="2" s="1"/>
  <c r="P396" i="2" a="1"/>
  <c r="P396" i="2" s="1"/>
  <c r="H396" i="2" a="1"/>
  <c r="H396" i="2" s="1"/>
  <c r="G396" i="2" a="1"/>
  <c r="G396" i="2" s="1"/>
  <c r="F396" i="2" a="1"/>
  <c r="F396" i="2" s="1"/>
  <c r="D149" i="8" s="1" a="1"/>
  <c r="D149" i="8" s="1"/>
  <c r="D396" i="2" a="1"/>
  <c r="D396" i="2" s="1"/>
  <c r="B149" i="8" s="1" a="1"/>
  <c r="B149" i="8" s="1"/>
  <c r="AH179" i="2" a="1"/>
  <c r="AH179" i="2" s="1"/>
  <c r="R179" i="2" a="1"/>
  <c r="R179" i="2" s="1"/>
  <c r="Q179" i="2" a="1"/>
  <c r="Q179" i="2" s="1"/>
  <c r="AD179" i="2" s="1" a="1"/>
  <c r="AD179" i="2" s="1"/>
  <c r="P179" i="2" a="1"/>
  <c r="P179" i="2" s="1"/>
  <c r="H179" i="2" a="1"/>
  <c r="H179" i="2" s="1"/>
  <c r="G179" i="2" a="1"/>
  <c r="G179" i="2" s="1"/>
  <c r="F179" i="2" a="1"/>
  <c r="F179" i="2" s="1"/>
  <c r="D148" i="8" s="1" a="1"/>
  <c r="D148" i="8" s="1"/>
  <c r="D179" i="2" a="1"/>
  <c r="D179" i="2" s="1"/>
  <c r="B148" i="8" s="1" a="1"/>
  <c r="B148" i="8" s="1"/>
  <c r="AH342" i="2" a="1"/>
  <c r="AH342" i="2" s="1"/>
  <c r="R342" i="2" a="1"/>
  <c r="R342" i="2" s="1"/>
  <c r="Q342" i="2" a="1"/>
  <c r="Q342" i="2" s="1"/>
  <c r="P342" i="2" a="1"/>
  <c r="P342" i="2" s="1"/>
  <c r="H342" i="2" a="1"/>
  <c r="H342" i="2" s="1"/>
  <c r="G342" i="2" a="1"/>
  <c r="G342" i="2" s="1"/>
  <c r="F342" i="2" a="1"/>
  <c r="F342" i="2" s="1"/>
  <c r="D147" i="8" s="1" a="1"/>
  <c r="D147" i="8" s="1"/>
  <c r="D342" i="2" a="1"/>
  <c r="D342" i="2" s="1"/>
  <c r="B147" i="8" s="1" a="1"/>
  <c r="B147" i="8" s="1"/>
  <c r="AH579" i="2" a="1"/>
  <c r="AH579" i="2" s="1"/>
  <c r="R579" i="2" a="1"/>
  <c r="R579" i="2" s="1"/>
  <c r="Q579" i="2" a="1"/>
  <c r="Q579" i="2" s="1"/>
  <c r="P579" i="2" a="1"/>
  <c r="P579" i="2" s="1"/>
  <c r="H579" i="2" a="1"/>
  <c r="H579" i="2" s="1"/>
  <c r="G579" i="2" a="1"/>
  <c r="G579" i="2" s="1"/>
  <c r="F579" i="2" a="1"/>
  <c r="F579" i="2" s="1"/>
  <c r="D579" i="2" a="1"/>
  <c r="D579" i="2" s="1"/>
  <c r="AH315" i="2" a="1"/>
  <c r="AH315" i="2" s="1"/>
  <c r="R315" i="2" a="1"/>
  <c r="R315" i="2" s="1"/>
  <c r="Q315" i="2" a="1"/>
  <c r="Q315" i="2" s="1"/>
  <c r="Y315" i="2" s="1" a="1"/>
  <c r="Y315" i="2" s="1"/>
  <c r="P315" i="2" a="1"/>
  <c r="P315" i="2" s="1"/>
  <c r="H315" i="2" a="1"/>
  <c r="H315" i="2" s="1"/>
  <c r="G315" i="2" a="1"/>
  <c r="G315" i="2" s="1"/>
  <c r="F315" i="2" a="1"/>
  <c r="F315" i="2" s="1"/>
  <c r="D146" i="8" s="1" a="1"/>
  <c r="D146" i="8" s="1"/>
  <c r="D315" i="2" a="1"/>
  <c r="D315" i="2" s="1"/>
  <c r="AH508" i="2" a="1"/>
  <c r="AH508" i="2" s="1"/>
  <c r="R508" i="2" a="1"/>
  <c r="R508" i="2" s="1"/>
  <c r="Q508" i="2" a="1"/>
  <c r="Q508" i="2" s="1"/>
  <c r="AA508" i="2" s="1" a="1"/>
  <c r="AA508" i="2" s="1"/>
  <c r="P508" i="2" a="1"/>
  <c r="P508" i="2" s="1"/>
  <c r="H508" i="2" a="1"/>
  <c r="H508" i="2" s="1"/>
  <c r="G508" i="2" a="1"/>
  <c r="G508" i="2" s="1"/>
  <c r="F508" i="2" a="1"/>
  <c r="F508" i="2" s="1"/>
  <c r="D508" i="2" a="1"/>
  <c r="D508" i="2" s="1"/>
  <c r="AH253" i="2" a="1"/>
  <c r="AH253" i="2" s="1"/>
  <c r="R253" i="2" a="1"/>
  <c r="R253" i="2" s="1"/>
  <c r="Q253" i="2" a="1"/>
  <c r="Q253" i="2" s="1"/>
  <c r="AD253" i="2" s="1" a="1"/>
  <c r="AD253" i="2" s="1"/>
  <c r="P253" i="2" a="1"/>
  <c r="P253" i="2" s="1"/>
  <c r="H253" i="2" a="1"/>
  <c r="H253" i="2" s="1"/>
  <c r="G253" i="2" a="1"/>
  <c r="G253" i="2" s="1"/>
  <c r="F253" i="2" a="1"/>
  <c r="F253" i="2" s="1"/>
  <c r="D253" i="2" a="1"/>
  <c r="D253" i="2" s="1"/>
  <c r="AH215" i="2" a="1"/>
  <c r="AH215" i="2" s="1"/>
  <c r="R215" i="2" a="1"/>
  <c r="R215" i="2" s="1"/>
  <c r="Q215" i="2" a="1"/>
  <c r="Q215" i="2" s="1"/>
  <c r="Z215" i="2" s="1" a="1"/>
  <c r="Z215" i="2" s="1"/>
  <c r="P215" i="2" a="1"/>
  <c r="P215" i="2" s="1"/>
  <c r="H215" i="2" a="1"/>
  <c r="H215" i="2" s="1"/>
  <c r="G215" i="2" a="1"/>
  <c r="G215" i="2" s="1"/>
  <c r="F215" i="2" a="1"/>
  <c r="F215" i="2" s="1"/>
  <c r="D145" i="8" s="1" a="1"/>
  <c r="D145" i="8" s="1"/>
  <c r="D215" i="2" a="1"/>
  <c r="D215" i="2" s="1"/>
  <c r="B145" i="8" s="1" a="1"/>
  <c r="B145" i="8" s="1"/>
  <c r="AH521" i="2" a="1"/>
  <c r="AH521" i="2" s="1"/>
  <c r="R521" i="2" a="1"/>
  <c r="R521" i="2" s="1"/>
  <c r="Q521" i="2" a="1"/>
  <c r="Q521" i="2" s="1"/>
  <c r="P521" i="2" a="1"/>
  <c r="P521" i="2" s="1"/>
  <c r="H521" i="2" a="1"/>
  <c r="H521" i="2" s="1"/>
  <c r="G521" i="2" a="1"/>
  <c r="G521" i="2" s="1"/>
  <c r="F521" i="2" a="1"/>
  <c r="F521" i="2" s="1"/>
  <c r="D521" i="2" a="1"/>
  <c r="D521" i="2" s="1"/>
  <c r="AH560" i="2" a="1"/>
  <c r="AH560" i="2" s="1"/>
  <c r="R560" i="2" a="1"/>
  <c r="R560" i="2" s="1"/>
  <c r="Q560" i="2" a="1"/>
  <c r="Q560" i="2" s="1"/>
  <c r="Y560" i="2" s="1" a="1"/>
  <c r="Y560" i="2" s="1"/>
  <c r="P560" i="2" a="1"/>
  <c r="P560" i="2" s="1"/>
  <c r="H560" i="2" a="1"/>
  <c r="H560" i="2" s="1"/>
  <c r="G560" i="2" a="1"/>
  <c r="G560" i="2" s="1"/>
  <c r="F560" i="2" a="1"/>
  <c r="F560" i="2" s="1"/>
  <c r="D560" i="2" a="1"/>
  <c r="D560" i="2" s="1"/>
  <c r="AH395" i="2" a="1"/>
  <c r="AH395" i="2" s="1"/>
  <c r="R395" i="2" a="1"/>
  <c r="R395" i="2" s="1"/>
  <c r="Q395" i="2" a="1"/>
  <c r="Q395" i="2" s="1"/>
  <c r="P395" i="2" a="1"/>
  <c r="P395" i="2" s="1"/>
  <c r="H395" i="2" a="1"/>
  <c r="H395" i="2" s="1"/>
  <c r="G395" i="2" a="1"/>
  <c r="G395" i="2" s="1"/>
  <c r="F395" i="2" a="1"/>
  <c r="F395" i="2" s="1"/>
  <c r="D395" i="2" a="1"/>
  <c r="D395" i="2" s="1"/>
  <c r="AH312" i="2" a="1"/>
  <c r="AH312" i="2" s="1"/>
  <c r="R312" i="2" a="1"/>
  <c r="R312" i="2" s="1"/>
  <c r="Q312" i="2" a="1"/>
  <c r="Q312" i="2" s="1"/>
  <c r="AD312" i="2" s="1" a="1"/>
  <c r="AD312" i="2" s="1"/>
  <c r="P312" i="2" a="1"/>
  <c r="P312" i="2" s="1"/>
  <c r="H312" i="2" a="1"/>
  <c r="H312" i="2" s="1"/>
  <c r="G312" i="2" a="1"/>
  <c r="G312" i="2" s="1"/>
  <c r="F312" i="2" a="1"/>
  <c r="F312" i="2" s="1"/>
  <c r="D144" i="8" s="1" a="1"/>
  <c r="D144" i="8" s="1"/>
  <c r="D312" i="2" a="1"/>
  <c r="D312" i="2" s="1"/>
  <c r="B144" i="8" s="1" a="1"/>
  <c r="B144" i="8" s="1"/>
  <c r="AH174" i="2" a="1"/>
  <c r="AH174" i="2" s="1"/>
  <c r="R174" i="2" a="1"/>
  <c r="R174" i="2" s="1"/>
  <c r="Q174" i="2" a="1"/>
  <c r="Q174" i="2" s="1"/>
  <c r="P174" i="2" a="1"/>
  <c r="P174" i="2" s="1"/>
  <c r="H174" i="2" a="1"/>
  <c r="H174" i="2" s="1"/>
  <c r="G174" i="2" a="1"/>
  <c r="G174" i="2" s="1"/>
  <c r="F174" i="2" a="1"/>
  <c r="F174" i="2" s="1"/>
  <c r="D143" i="8" s="1" a="1"/>
  <c r="D143" i="8" s="1"/>
  <c r="D174" i="2" a="1"/>
  <c r="D174" i="2" s="1"/>
  <c r="B143" i="8" s="1" a="1"/>
  <c r="B143" i="8" s="1"/>
  <c r="AH333" i="2" a="1"/>
  <c r="AH333" i="2" s="1"/>
  <c r="R333" i="2" a="1"/>
  <c r="R333" i="2" s="1"/>
  <c r="Q333" i="2" a="1"/>
  <c r="Q333" i="2" s="1"/>
  <c r="P333" i="2" a="1"/>
  <c r="P333" i="2" s="1"/>
  <c r="H333" i="2" a="1"/>
  <c r="H333" i="2" s="1"/>
  <c r="G333" i="2" a="1"/>
  <c r="G333" i="2" s="1"/>
  <c r="F333" i="2" a="1"/>
  <c r="F333" i="2" s="1"/>
  <c r="D142" i="8" s="1" a="1"/>
  <c r="D142" i="8" s="1"/>
  <c r="D333" i="2" a="1"/>
  <c r="D333" i="2" s="1"/>
  <c r="B142" i="8" s="1" a="1"/>
  <c r="B142" i="8" s="1"/>
  <c r="AH204" i="2" a="1"/>
  <c r="AH204" i="2" s="1"/>
  <c r="R204" i="2" a="1"/>
  <c r="R204" i="2" s="1"/>
  <c r="Q204" i="2" a="1"/>
  <c r="Q204" i="2" s="1"/>
  <c r="AA204" i="2" s="1" a="1"/>
  <c r="AA204" i="2" s="1"/>
  <c r="P204" i="2" a="1"/>
  <c r="P204" i="2" s="1"/>
  <c r="H204" i="2" a="1"/>
  <c r="H204" i="2" s="1"/>
  <c r="G204" i="2" a="1"/>
  <c r="G204" i="2" s="1"/>
  <c r="F204" i="2" a="1"/>
  <c r="F204" i="2" s="1"/>
  <c r="D141" i="8" s="1" a="1"/>
  <c r="D141" i="8" s="1"/>
  <c r="D204" i="2" a="1"/>
  <c r="D204" i="2" s="1"/>
  <c r="AH198" i="2" a="1"/>
  <c r="AH198" i="2" s="1"/>
  <c r="R198" i="2" a="1"/>
  <c r="R198" i="2" s="1"/>
  <c r="Q198" i="2" a="1"/>
  <c r="Q198" i="2" s="1"/>
  <c r="Y198" i="2" s="1" a="1"/>
  <c r="Y198" i="2" s="1"/>
  <c r="P198" i="2" a="1"/>
  <c r="P198" i="2" s="1"/>
  <c r="H198" i="2" a="1"/>
  <c r="H198" i="2" s="1"/>
  <c r="G198" i="2" a="1"/>
  <c r="G198" i="2" s="1"/>
  <c r="F198" i="2" a="1"/>
  <c r="F198" i="2" s="1"/>
  <c r="D140" i="8" s="1" a="1"/>
  <c r="D140" i="8" s="1"/>
  <c r="D198" i="2" a="1"/>
  <c r="D198" i="2" s="1"/>
  <c r="B140" i="8" s="1" a="1"/>
  <c r="B140" i="8" s="1"/>
  <c r="AH374" i="2" a="1"/>
  <c r="AH374" i="2" s="1"/>
  <c r="R374" i="2" a="1"/>
  <c r="R374" i="2" s="1"/>
  <c r="Q374" i="2" a="1"/>
  <c r="Q374" i="2" s="1"/>
  <c r="P374" i="2" a="1"/>
  <c r="P374" i="2" s="1"/>
  <c r="H374" i="2" a="1"/>
  <c r="H374" i="2" s="1"/>
  <c r="G374" i="2" a="1"/>
  <c r="G374" i="2" s="1"/>
  <c r="F374" i="2" a="1"/>
  <c r="F374" i="2" s="1"/>
  <c r="D374" i="2" a="1"/>
  <c r="D374" i="2" s="1"/>
  <c r="AH236" i="2" a="1"/>
  <c r="AH236" i="2" s="1"/>
  <c r="R236" i="2" a="1"/>
  <c r="R236" i="2" s="1"/>
  <c r="Q236" i="2" a="1"/>
  <c r="Q236" i="2" s="1"/>
  <c r="P236" i="2" a="1"/>
  <c r="P236" i="2" s="1"/>
  <c r="H236" i="2" a="1"/>
  <c r="H236" i="2" s="1"/>
  <c r="G236" i="2" a="1"/>
  <c r="G236" i="2" s="1"/>
  <c r="F236" i="2" a="1"/>
  <c r="F236" i="2" s="1"/>
  <c r="D139" i="8" s="1" a="1"/>
  <c r="D139" i="8" s="1"/>
  <c r="D236" i="2" a="1"/>
  <c r="D236" i="2" s="1"/>
  <c r="AH551" i="2" a="1"/>
  <c r="AH551" i="2" s="1"/>
  <c r="R551" i="2" a="1"/>
  <c r="R551" i="2" s="1"/>
  <c r="Q551" i="2" a="1"/>
  <c r="Q551" i="2" s="1"/>
  <c r="P551" i="2" a="1"/>
  <c r="P551" i="2" s="1"/>
  <c r="H551" i="2" a="1"/>
  <c r="H551" i="2" s="1"/>
  <c r="G551" i="2" a="1"/>
  <c r="G551" i="2" s="1"/>
  <c r="F551" i="2" a="1"/>
  <c r="F551" i="2" s="1"/>
  <c r="D551" i="2" a="1"/>
  <c r="D551" i="2" s="1"/>
  <c r="AH232" i="2" a="1"/>
  <c r="AH232" i="2" s="1"/>
  <c r="R232" i="2" a="1"/>
  <c r="R232" i="2" s="1"/>
  <c r="Q232" i="2" a="1"/>
  <c r="Q232" i="2" s="1"/>
  <c r="P232" i="2" a="1"/>
  <c r="P232" i="2" s="1"/>
  <c r="H232" i="2" a="1"/>
  <c r="H232" i="2" s="1"/>
  <c r="G232" i="2" a="1"/>
  <c r="G232" i="2" s="1"/>
  <c r="F232" i="2" a="1"/>
  <c r="F232" i="2" s="1"/>
  <c r="D138" i="8" s="1" a="1"/>
  <c r="D138" i="8" s="1"/>
  <c r="D232" i="2" a="1"/>
  <c r="D232" i="2" s="1"/>
  <c r="AJ142" i="2" a="1"/>
  <c r="AJ142" i="2" s="1"/>
  <c r="AN142" i="2" s="1" a="1"/>
  <c r="AN142" i="2" s="1"/>
  <c r="P142" i="2" a="1"/>
  <c r="P142" i="2" s="1"/>
  <c r="H142" i="2" a="1"/>
  <c r="H142" i="2" s="1"/>
  <c r="G142" i="2" a="1"/>
  <c r="G142" i="2" s="1"/>
  <c r="F142" i="2" a="1"/>
  <c r="F142" i="2" s="1"/>
  <c r="D39" i="9" s="1" a="1"/>
  <c r="D39" i="9" s="1"/>
  <c r="D142" i="2" a="1"/>
  <c r="D142" i="2" s="1"/>
  <c r="AH196" i="2" a="1"/>
  <c r="AH196" i="2" s="1"/>
  <c r="R196" i="2" a="1"/>
  <c r="R196" i="2" s="1"/>
  <c r="Q196" i="2" a="1"/>
  <c r="Q196" i="2" s="1"/>
  <c r="P196" i="2" a="1"/>
  <c r="P196" i="2" s="1"/>
  <c r="H196" i="2" a="1"/>
  <c r="H196" i="2" s="1"/>
  <c r="G196" i="2" a="1"/>
  <c r="G196" i="2" s="1"/>
  <c r="F196" i="2" a="1"/>
  <c r="F196" i="2" s="1"/>
  <c r="D137" i="8" s="1" a="1"/>
  <c r="D137" i="8" s="1"/>
  <c r="D196" i="2" a="1"/>
  <c r="D196" i="2" s="1"/>
  <c r="AH273" i="2" a="1"/>
  <c r="AH273" i="2" s="1"/>
  <c r="R273" i="2" a="1"/>
  <c r="R273" i="2" s="1"/>
  <c r="Q273" i="2" a="1"/>
  <c r="Q273" i="2" s="1"/>
  <c r="P273" i="2" a="1"/>
  <c r="P273" i="2" s="1"/>
  <c r="H273" i="2" a="1"/>
  <c r="H273" i="2" s="1"/>
  <c r="G273" i="2" a="1"/>
  <c r="G273" i="2" s="1"/>
  <c r="F273" i="2" a="1"/>
  <c r="F273" i="2" s="1"/>
  <c r="D136" i="8" s="1" a="1"/>
  <c r="D136" i="8" s="1"/>
  <c r="D273" i="2" a="1"/>
  <c r="D273" i="2" s="1"/>
  <c r="AH311" i="2" a="1"/>
  <c r="AH311" i="2" s="1"/>
  <c r="R311" i="2" a="1"/>
  <c r="R311" i="2" s="1"/>
  <c r="Q311" i="2" a="1"/>
  <c r="Q311" i="2" s="1"/>
  <c r="AG311" i="2" s="1" a="1"/>
  <c r="AG311" i="2" s="1"/>
  <c r="P311" i="2" a="1"/>
  <c r="P311" i="2" s="1"/>
  <c r="H311" i="2" a="1"/>
  <c r="H311" i="2" s="1"/>
  <c r="G311" i="2" a="1"/>
  <c r="G311" i="2" s="1"/>
  <c r="F311" i="2" a="1"/>
  <c r="F311" i="2" s="1"/>
  <c r="D311" i="2" a="1"/>
  <c r="D311" i="2" s="1"/>
  <c r="AH259" i="2" a="1"/>
  <c r="AH259" i="2" s="1"/>
  <c r="R259" i="2" a="1"/>
  <c r="R259" i="2" s="1"/>
  <c r="Q259" i="2" a="1"/>
  <c r="Q259" i="2" s="1"/>
  <c r="P259" i="2" a="1"/>
  <c r="P259" i="2" s="1"/>
  <c r="H259" i="2" a="1"/>
  <c r="H259" i="2" s="1"/>
  <c r="G259" i="2" a="1"/>
  <c r="G259" i="2" s="1"/>
  <c r="F259" i="2" a="1"/>
  <c r="F259" i="2" s="1"/>
  <c r="D135" i="8" s="1" a="1"/>
  <c r="D135" i="8" s="1"/>
  <c r="D259" i="2" a="1"/>
  <c r="D259" i="2" s="1"/>
  <c r="AH185" i="2" a="1"/>
  <c r="AH185" i="2" s="1"/>
  <c r="R185" i="2" a="1"/>
  <c r="R185" i="2" s="1"/>
  <c r="Q185" i="2" a="1"/>
  <c r="Q185" i="2" s="1"/>
  <c r="AG185" i="2" s="1" a="1"/>
  <c r="AG185" i="2" s="1"/>
  <c r="P185" i="2" a="1"/>
  <c r="P185" i="2" s="1"/>
  <c r="H185" i="2" a="1"/>
  <c r="H185" i="2" s="1"/>
  <c r="G185" i="2" a="1"/>
  <c r="G185" i="2" s="1"/>
  <c r="F185" i="2" a="1"/>
  <c r="F185" i="2" s="1"/>
  <c r="D134" i="8" s="1" a="1"/>
  <c r="D134" i="8" s="1"/>
  <c r="D185" i="2" a="1"/>
  <c r="D185" i="2" s="1"/>
  <c r="AH486" i="2" a="1"/>
  <c r="AH486" i="2" s="1"/>
  <c r="R486" i="2" a="1"/>
  <c r="R486" i="2" s="1"/>
  <c r="Q486" i="2" a="1"/>
  <c r="Q486" i="2" s="1"/>
  <c r="AD486" i="2" s="1" a="1"/>
  <c r="AD486" i="2" s="1"/>
  <c r="P486" i="2" a="1"/>
  <c r="P486" i="2" s="1"/>
  <c r="H486" i="2" a="1"/>
  <c r="H486" i="2" s="1"/>
  <c r="G486" i="2" a="1"/>
  <c r="G486" i="2" s="1"/>
  <c r="F486" i="2" a="1"/>
  <c r="F486" i="2" s="1"/>
  <c r="D486" i="2" a="1"/>
  <c r="D486" i="2" s="1"/>
  <c r="AH388" i="2" a="1"/>
  <c r="AH388" i="2" s="1"/>
  <c r="R388" i="2" a="1"/>
  <c r="R388" i="2" s="1"/>
  <c r="Q388" i="2" a="1"/>
  <c r="Q388" i="2" s="1"/>
  <c r="AB388" i="2" s="1" a="1"/>
  <c r="AB388" i="2" s="1"/>
  <c r="P388" i="2" a="1"/>
  <c r="P388" i="2" s="1"/>
  <c r="H388" i="2" a="1"/>
  <c r="H388" i="2" s="1"/>
  <c r="G388" i="2" a="1"/>
  <c r="G388" i="2" s="1"/>
  <c r="F388" i="2" a="1"/>
  <c r="F388" i="2" s="1"/>
  <c r="D388" i="2" a="1"/>
  <c r="D388" i="2" s="1"/>
  <c r="AH348" i="2" a="1"/>
  <c r="AH348" i="2" s="1"/>
  <c r="R348" i="2" a="1"/>
  <c r="R348" i="2" s="1"/>
  <c r="Q348" i="2" a="1"/>
  <c r="Q348" i="2" s="1"/>
  <c r="AA348" i="2" s="1" a="1"/>
  <c r="AA348" i="2" s="1"/>
  <c r="P348" i="2" a="1"/>
  <c r="P348" i="2" s="1"/>
  <c r="H348" i="2" a="1"/>
  <c r="H348" i="2" s="1"/>
  <c r="G348" i="2" a="1"/>
  <c r="G348" i="2" s="1"/>
  <c r="F348" i="2" a="1"/>
  <c r="F348" i="2" s="1"/>
  <c r="D348" i="2" a="1"/>
  <c r="D348" i="2" s="1"/>
  <c r="AJ207" i="2" a="1"/>
  <c r="AJ207" i="2" s="1"/>
  <c r="P207" i="2" a="1"/>
  <c r="P207" i="2" s="1"/>
  <c r="H207" i="2" a="1"/>
  <c r="H207" i="2" s="1"/>
  <c r="G207" i="2" a="1"/>
  <c r="G207" i="2" s="1"/>
  <c r="F207" i="2" a="1"/>
  <c r="F207" i="2" s="1"/>
  <c r="D38" i="9" s="1" a="1"/>
  <c r="D38" i="9" s="1"/>
  <c r="D207" i="2" a="1"/>
  <c r="D207" i="2" s="1"/>
  <c r="B38" i="9" s="1" a="1"/>
  <c r="B38" i="9" s="1"/>
  <c r="AH356" i="2" a="1"/>
  <c r="AH356" i="2" s="1"/>
  <c r="R356" i="2" a="1"/>
  <c r="R356" i="2" s="1"/>
  <c r="Q356" i="2" a="1"/>
  <c r="Q356" i="2" s="1"/>
  <c r="P356" i="2" a="1"/>
  <c r="P356" i="2" s="1"/>
  <c r="H356" i="2" a="1"/>
  <c r="H356" i="2" s="1"/>
  <c r="G356" i="2" a="1"/>
  <c r="G356" i="2" s="1"/>
  <c r="F356" i="2" a="1"/>
  <c r="F356" i="2" s="1"/>
  <c r="D356" i="2" a="1"/>
  <c r="D356" i="2" s="1"/>
  <c r="AH227" i="2" a="1"/>
  <c r="AH227" i="2" s="1"/>
  <c r="R227" i="2" a="1"/>
  <c r="R227" i="2" s="1"/>
  <c r="Q227" i="2" a="1"/>
  <c r="Q227" i="2" s="1"/>
  <c r="P227" i="2" a="1"/>
  <c r="P227" i="2" s="1"/>
  <c r="H227" i="2" a="1"/>
  <c r="H227" i="2" s="1"/>
  <c r="G227" i="2" a="1"/>
  <c r="G227" i="2" s="1"/>
  <c r="F227" i="2" a="1"/>
  <c r="F227" i="2" s="1"/>
  <c r="D133" i="8" s="1" a="1"/>
  <c r="D133" i="8" s="1"/>
  <c r="D227" i="2" a="1"/>
  <c r="D227" i="2" s="1"/>
  <c r="AH323" i="2" a="1"/>
  <c r="AH323" i="2" s="1"/>
  <c r="R323" i="2" a="1"/>
  <c r="R323" i="2" s="1"/>
  <c r="Q323" i="2" a="1"/>
  <c r="Q323" i="2" s="1"/>
  <c r="P323" i="2" a="1"/>
  <c r="P323" i="2" s="1"/>
  <c r="H323" i="2" a="1"/>
  <c r="H323" i="2" s="1"/>
  <c r="G323" i="2" a="1"/>
  <c r="G323" i="2" s="1"/>
  <c r="F323" i="2" a="1"/>
  <c r="F323" i="2" s="1"/>
  <c r="D323" i="2" a="1"/>
  <c r="D323" i="2" s="1"/>
  <c r="AH237" i="2" a="1"/>
  <c r="AH237" i="2" s="1"/>
  <c r="R237" i="2" a="1"/>
  <c r="R237" i="2" s="1"/>
  <c r="Q237" i="2" a="1"/>
  <c r="Q237" i="2" s="1"/>
  <c r="P237" i="2" a="1"/>
  <c r="P237" i="2" s="1"/>
  <c r="H237" i="2" a="1"/>
  <c r="H237" i="2" s="1"/>
  <c r="G237" i="2" a="1"/>
  <c r="G237" i="2" s="1"/>
  <c r="F237" i="2" a="1"/>
  <c r="F237" i="2" s="1"/>
  <c r="D132" i="8" s="1" a="1"/>
  <c r="D132" i="8" s="1"/>
  <c r="D237" i="2" a="1"/>
  <c r="D237" i="2" s="1"/>
  <c r="AH292" i="2" a="1"/>
  <c r="AH292" i="2" s="1"/>
  <c r="R292" i="2" a="1"/>
  <c r="R292" i="2" s="1"/>
  <c r="Q292" i="2" a="1"/>
  <c r="Q292" i="2" s="1"/>
  <c r="Z292" i="2" s="1" a="1"/>
  <c r="Z292" i="2" s="1"/>
  <c r="P292" i="2" a="1"/>
  <c r="P292" i="2" s="1"/>
  <c r="H292" i="2" a="1"/>
  <c r="H292" i="2" s="1"/>
  <c r="G292" i="2" a="1"/>
  <c r="G292" i="2" s="1"/>
  <c r="F292" i="2" a="1"/>
  <c r="F292" i="2" s="1"/>
  <c r="D131" i="8" s="1" a="1"/>
  <c r="D131" i="8" s="1"/>
  <c r="D292" i="2" a="1"/>
  <c r="D292" i="2" s="1"/>
  <c r="AH400" i="2" a="1"/>
  <c r="AH400" i="2" s="1"/>
  <c r="R400" i="2" a="1"/>
  <c r="R400" i="2" s="1"/>
  <c r="Q400" i="2" a="1"/>
  <c r="Q400" i="2" s="1"/>
  <c r="AF400" i="2" s="1" a="1"/>
  <c r="AF400" i="2" s="1"/>
  <c r="P400" i="2" a="1"/>
  <c r="P400" i="2" s="1"/>
  <c r="H400" i="2" a="1"/>
  <c r="H400" i="2" s="1"/>
  <c r="G400" i="2" a="1"/>
  <c r="G400" i="2" s="1"/>
  <c r="F400" i="2" a="1"/>
  <c r="F400" i="2" s="1"/>
  <c r="D400" i="2" a="1"/>
  <c r="D400" i="2" s="1"/>
  <c r="AH305" i="2" a="1"/>
  <c r="AH305" i="2" s="1"/>
  <c r="R305" i="2" a="1"/>
  <c r="R305" i="2" s="1"/>
  <c r="Q305" i="2" a="1"/>
  <c r="Q305" i="2" s="1"/>
  <c r="P305" i="2" a="1"/>
  <c r="P305" i="2" s="1"/>
  <c r="H305" i="2" a="1"/>
  <c r="H305" i="2" s="1"/>
  <c r="G305" i="2" a="1"/>
  <c r="G305" i="2" s="1"/>
  <c r="F305" i="2" a="1"/>
  <c r="F305" i="2" s="1"/>
  <c r="D305" i="2" a="1"/>
  <c r="D305" i="2" s="1"/>
  <c r="AH443" i="2" a="1"/>
  <c r="AH443" i="2" s="1"/>
  <c r="R443" i="2" a="1"/>
  <c r="R443" i="2" s="1"/>
  <c r="Q443" i="2" a="1"/>
  <c r="Q443" i="2" s="1"/>
  <c r="AB443" i="2" s="1" a="1"/>
  <c r="AB443" i="2" s="1"/>
  <c r="P443" i="2" a="1"/>
  <c r="P443" i="2" s="1"/>
  <c r="H443" i="2" a="1"/>
  <c r="H443" i="2" s="1"/>
  <c r="G443" i="2" a="1"/>
  <c r="G443" i="2" s="1"/>
  <c r="F443" i="2" a="1"/>
  <c r="F443" i="2" s="1"/>
  <c r="D443" i="2" a="1"/>
  <c r="D443" i="2" s="1"/>
  <c r="AH437" i="2" a="1"/>
  <c r="AH437" i="2" s="1"/>
  <c r="R437" i="2" a="1"/>
  <c r="R437" i="2" s="1"/>
  <c r="Q437" i="2" a="1"/>
  <c r="Q437" i="2" s="1"/>
  <c r="AA437" i="2" s="1" a="1"/>
  <c r="AA437" i="2" s="1"/>
  <c r="P437" i="2" a="1"/>
  <c r="P437" i="2" s="1"/>
  <c r="H437" i="2" a="1"/>
  <c r="H437" i="2" s="1"/>
  <c r="G437" i="2" a="1"/>
  <c r="G437" i="2" s="1"/>
  <c r="F437" i="2" a="1"/>
  <c r="F437" i="2" s="1"/>
  <c r="D437" i="2" a="1"/>
  <c r="D437" i="2" s="1"/>
  <c r="AH288" i="2" a="1"/>
  <c r="AH288" i="2" s="1"/>
  <c r="R288" i="2" a="1"/>
  <c r="R288" i="2" s="1"/>
  <c r="Q288" i="2" a="1"/>
  <c r="Q288" i="2" s="1"/>
  <c r="P288" i="2" a="1"/>
  <c r="P288" i="2" s="1"/>
  <c r="H288" i="2" a="1"/>
  <c r="H288" i="2" s="1"/>
  <c r="G288" i="2" a="1"/>
  <c r="G288" i="2" s="1"/>
  <c r="F288" i="2" a="1"/>
  <c r="F288" i="2" s="1"/>
  <c r="D130" i="8" s="1" a="1"/>
  <c r="D130" i="8" s="1"/>
  <c r="D288" i="2" a="1"/>
  <c r="D288" i="2" s="1"/>
  <c r="B130" i="8" s="1" a="1"/>
  <c r="B130" i="8" s="1"/>
  <c r="AH464" i="2" a="1"/>
  <c r="AH464" i="2" s="1"/>
  <c r="R464" i="2" a="1"/>
  <c r="R464" i="2" s="1"/>
  <c r="Q464" i="2" a="1"/>
  <c r="Q464" i="2" s="1"/>
  <c r="Z464" i="2" s="1" a="1"/>
  <c r="Z464" i="2" s="1"/>
  <c r="P464" i="2" a="1"/>
  <c r="P464" i="2" s="1"/>
  <c r="H464" i="2" a="1"/>
  <c r="H464" i="2" s="1"/>
  <c r="G464" i="2" a="1"/>
  <c r="G464" i="2" s="1"/>
  <c r="F464" i="2" a="1"/>
  <c r="F464" i="2" s="1"/>
  <c r="D464" i="2" a="1"/>
  <c r="D464" i="2" s="1"/>
  <c r="AH381" i="2" a="1"/>
  <c r="AH381" i="2" s="1"/>
  <c r="R381" i="2" a="1"/>
  <c r="R381" i="2" s="1"/>
  <c r="Q381" i="2" a="1"/>
  <c r="Q381" i="2" s="1"/>
  <c r="P381" i="2" a="1"/>
  <c r="P381" i="2" s="1"/>
  <c r="H381" i="2" a="1"/>
  <c r="H381" i="2" s="1"/>
  <c r="G381" i="2" a="1"/>
  <c r="G381" i="2" s="1"/>
  <c r="F381" i="2" a="1"/>
  <c r="F381" i="2" s="1"/>
  <c r="D129" i="8" s="1" a="1"/>
  <c r="D129" i="8" s="1"/>
  <c r="D381" i="2" a="1"/>
  <c r="D381" i="2" s="1"/>
  <c r="AH239" i="2" a="1"/>
  <c r="AH239" i="2" s="1"/>
  <c r="R239" i="2" a="1"/>
  <c r="R239" i="2" s="1"/>
  <c r="Q239" i="2" a="1"/>
  <c r="Q239" i="2" s="1"/>
  <c r="AA239" i="2" s="1" a="1"/>
  <c r="AA239" i="2" s="1"/>
  <c r="P239" i="2" a="1"/>
  <c r="P239" i="2" s="1"/>
  <c r="H239" i="2" a="1"/>
  <c r="H239" i="2" s="1"/>
  <c r="G239" i="2" a="1"/>
  <c r="G239" i="2" s="1"/>
  <c r="F239" i="2" a="1"/>
  <c r="F239" i="2" s="1"/>
  <c r="D128" i="8" s="1" a="1"/>
  <c r="D128" i="8" s="1"/>
  <c r="D239" i="2" a="1"/>
  <c r="D239" i="2" s="1"/>
  <c r="B128" i="8" s="1" a="1"/>
  <c r="B128" i="8" s="1"/>
  <c r="AH394" i="2" a="1"/>
  <c r="AH394" i="2" s="1"/>
  <c r="R394" i="2" a="1"/>
  <c r="R394" i="2" s="1"/>
  <c r="Q394" i="2" a="1"/>
  <c r="Q394" i="2" s="1"/>
  <c r="Z394" i="2" s="1" a="1"/>
  <c r="Z394" i="2" s="1"/>
  <c r="P394" i="2" a="1"/>
  <c r="P394" i="2" s="1"/>
  <c r="H394" i="2" a="1"/>
  <c r="H394" i="2" s="1"/>
  <c r="G394" i="2" a="1"/>
  <c r="G394" i="2" s="1"/>
  <c r="F394" i="2" a="1"/>
  <c r="F394" i="2" s="1"/>
  <c r="D394" i="2" a="1"/>
  <c r="D394" i="2" s="1"/>
  <c r="AH277" i="2" a="1"/>
  <c r="AH277" i="2" s="1"/>
  <c r="R277" i="2" a="1"/>
  <c r="R277" i="2" s="1"/>
  <c r="Q277" i="2" a="1"/>
  <c r="Q277" i="2" s="1"/>
  <c r="P277" i="2" a="1"/>
  <c r="P277" i="2" s="1"/>
  <c r="H277" i="2" a="1"/>
  <c r="H277" i="2" s="1"/>
  <c r="G277" i="2" a="1"/>
  <c r="G277" i="2" s="1"/>
  <c r="F277" i="2" a="1"/>
  <c r="F277" i="2" s="1"/>
  <c r="D127" i="8" s="1" a="1"/>
  <c r="D127" i="8" s="1"/>
  <c r="D277" i="2" a="1"/>
  <c r="D277" i="2" s="1"/>
  <c r="AH352" i="2" a="1"/>
  <c r="AH352" i="2" s="1"/>
  <c r="R352" i="2" a="1"/>
  <c r="R352" i="2" s="1"/>
  <c r="Q352" i="2" a="1"/>
  <c r="Q352" i="2" s="1"/>
  <c r="P352" i="2" a="1"/>
  <c r="P352" i="2" s="1"/>
  <c r="H352" i="2" a="1"/>
  <c r="H352" i="2" s="1"/>
  <c r="G352" i="2" a="1"/>
  <c r="G352" i="2" s="1"/>
  <c r="F352" i="2" a="1"/>
  <c r="F352" i="2" s="1"/>
  <c r="D126" i="8" s="1" a="1"/>
  <c r="D126" i="8" s="1"/>
  <c r="D352" i="2" a="1"/>
  <c r="D352" i="2" s="1"/>
  <c r="B126" i="8" s="1" a="1"/>
  <c r="B126" i="8" s="1"/>
  <c r="AH246" i="2" a="1"/>
  <c r="AH246" i="2" s="1"/>
  <c r="R246" i="2" a="1"/>
  <c r="R246" i="2" s="1"/>
  <c r="Q246" i="2" a="1"/>
  <c r="Q246" i="2" s="1"/>
  <c r="P246" i="2" a="1"/>
  <c r="P246" i="2" s="1"/>
  <c r="H246" i="2" a="1"/>
  <c r="H246" i="2" s="1"/>
  <c r="G246" i="2" a="1"/>
  <c r="G246" i="2" s="1"/>
  <c r="F246" i="2" a="1"/>
  <c r="F246" i="2" s="1"/>
  <c r="D125" i="8" s="1" a="1"/>
  <c r="D125" i="8" s="1"/>
  <c r="D246" i="2" a="1"/>
  <c r="D246" i="2" s="1"/>
  <c r="B125" i="8" s="1" a="1"/>
  <c r="B125" i="8" s="1"/>
  <c r="AJ167" i="2" a="1"/>
  <c r="AJ167" i="2" s="1"/>
  <c r="P167" i="2" a="1"/>
  <c r="P167" i="2" s="1"/>
  <c r="H167" i="2" a="1"/>
  <c r="H167" i="2" s="1"/>
  <c r="G167" i="2" a="1"/>
  <c r="G167" i="2" s="1"/>
  <c r="F167" i="2" a="1"/>
  <c r="F167" i="2" s="1"/>
  <c r="D37" i="9" s="1" a="1"/>
  <c r="D37" i="9" s="1"/>
  <c r="D167" i="2" a="1"/>
  <c r="D167" i="2" s="1"/>
  <c r="AH571" i="2" a="1"/>
  <c r="AH571" i="2" s="1"/>
  <c r="R571" i="2" a="1"/>
  <c r="R571" i="2" s="1"/>
  <c r="Q571" i="2" a="1"/>
  <c r="Q571" i="2" s="1"/>
  <c r="AA571" i="2" s="1" a="1"/>
  <c r="AA571" i="2" s="1"/>
  <c r="P571" i="2" a="1"/>
  <c r="P571" i="2" s="1"/>
  <c r="H571" i="2" a="1"/>
  <c r="H571" i="2" s="1"/>
  <c r="G571" i="2" a="1"/>
  <c r="G571" i="2" s="1"/>
  <c r="F571" i="2" a="1"/>
  <c r="F571" i="2" s="1"/>
  <c r="D571" i="2" a="1"/>
  <c r="D571" i="2" s="1"/>
  <c r="AH190" i="2" a="1"/>
  <c r="AH190" i="2" s="1"/>
  <c r="R190" i="2" a="1"/>
  <c r="R190" i="2" s="1"/>
  <c r="Q190" i="2" a="1"/>
  <c r="Q190" i="2" s="1"/>
  <c r="P190" i="2" a="1"/>
  <c r="P190" i="2" s="1"/>
  <c r="H190" i="2" a="1"/>
  <c r="H190" i="2" s="1"/>
  <c r="G190" i="2" a="1"/>
  <c r="G190" i="2" s="1"/>
  <c r="F190" i="2" a="1"/>
  <c r="F190" i="2" s="1"/>
  <c r="D124" i="8" s="1" a="1"/>
  <c r="D124" i="8" s="1"/>
  <c r="D190" i="2" a="1"/>
  <c r="D190" i="2" s="1"/>
  <c r="AJ121" i="2" a="1"/>
  <c r="AJ121" i="2" s="1"/>
  <c r="P121" i="2" a="1"/>
  <c r="P121" i="2" s="1"/>
  <c r="H121" i="2" a="1"/>
  <c r="H121" i="2" s="1"/>
  <c r="G121" i="2" a="1"/>
  <c r="G121" i="2" s="1"/>
  <c r="F121" i="2" a="1"/>
  <c r="F121" i="2" s="1"/>
  <c r="D36" i="9" s="1" a="1"/>
  <c r="D36" i="9" s="1"/>
  <c r="D121" i="2" a="1"/>
  <c r="D121" i="2" s="1"/>
  <c r="AH235" i="2" a="1"/>
  <c r="AH235" i="2" s="1"/>
  <c r="R235" i="2" a="1"/>
  <c r="R235" i="2" s="1"/>
  <c r="Q235" i="2" a="1"/>
  <c r="Q235" i="2" s="1"/>
  <c r="AB235" i="2" s="1" a="1"/>
  <c r="AB235" i="2" s="1"/>
  <c r="P235" i="2" a="1"/>
  <c r="P235" i="2" s="1"/>
  <c r="H235" i="2" a="1"/>
  <c r="H235" i="2" s="1"/>
  <c r="G235" i="2" a="1"/>
  <c r="G235" i="2" s="1"/>
  <c r="F235" i="2" a="1"/>
  <c r="F235" i="2" s="1"/>
  <c r="D123" i="8" s="1" a="1"/>
  <c r="D123" i="8" s="1"/>
  <c r="D235" i="2" a="1"/>
  <c r="D235" i="2" s="1"/>
  <c r="AH376" i="2" a="1"/>
  <c r="AH376" i="2" s="1"/>
  <c r="R376" i="2" a="1"/>
  <c r="R376" i="2" s="1"/>
  <c r="Q376" i="2" a="1"/>
  <c r="Q376" i="2" s="1"/>
  <c r="P376" i="2" a="1"/>
  <c r="P376" i="2" s="1"/>
  <c r="H376" i="2" a="1"/>
  <c r="H376" i="2" s="1"/>
  <c r="G376" i="2" a="1"/>
  <c r="G376" i="2" s="1"/>
  <c r="F376" i="2" a="1"/>
  <c r="F376" i="2" s="1"/>
  <c r="D376" i="2" a="1"/>
  <c r="D376" i="2" s="1"/>
  <c r="AH438" i="2" a="1"/>
  <c r="AH438" i="2" s="1"/>
  <c r="R438" i="2" a="1"/>
  <c r="R438" i="2" s="1"/>
  <c r="Q438" i="2" a="1"/>
  <c r="Q438" i="2" s="1"/>
  <c r="P438" i="2" a="1"/>
  <c r="P438" i="2" s="1"/>
  <c r="H438" i="2" a="1"/>
  <c r="H438" i="2" s="1"/>
  <c r="G438" i="2" a="1"/>
  <c r="G438" i="2" s="1"/>
  <c r="F438" i="2" a="1"/>
  <c r="F438" i="2" s="1"/>
  <c r="D438" i="2" a="1"/>
  <c r="D438" i="2" s="1"/>
  <c r="AJ143" i="2" a="1"/>
  <c r="AJ143" i="2" s="1"/>
  <c r="P143" i="2" a="1"/>
  <c r="P143" i="2" s="1"/>
  <c r="H143" i="2" a="1"/>
  <c r="H143" i="2" s="1"/>
  <c r="G143" i="2" a="1"/>
  <c r="G143" i="2" s="1"/>
  <c r="F143" i="2" a="1"/>
  <c r="F143" i="2" s="1"/>
  <c r="D35" i="9" s="1" a="1"/>
  <c r="D35" i="9" s="1"/>
  <c r="D143" i="2" a="1"/>
  <c r="D143" i="2" s="1"/>
  <c r="B35" i="9" s="1" a="1"/>
  <c r="B35" i="9" s="1"/>
  <c r="AH336" i="2" a="1"/>
  <c r="AH336" i="2" s="1"/>
  <c r="R336" i="2" a="1"/>
  <c r="R336" i="2" s="1"/>
  <c r="Q336" i="2" a="1"/>
  <c r="Q336" i="2" s="1"/>
  <c r="P336" i="2" a="1"/>
  <c r="P336" i="2" s="1"/>
  <c r="H336" i="2" a="1"/>
  <c r="H336" i="2" s="1"/>
  <c r="G336" i="2" a="1"/>
  <c r="G336" i="2" s="1"/>
  <c r="F336" i="2" a="1"/>
  <c r="F336" i="2" s="1"/>
  <c r="D122" i="8" s="1" a="1"/>
  <c r="D122" i="8" s="1"/>
  <c r="D336" i="2" a="1"/>
  <c r="D336" i="2" s="1"/>
  <c r="B122" i="8" s="1" a="1"/>
  <c r="B122" i="8" s="1"/>
  <c r="AH250" i="2" a="1"/>
  <c r="AH250" i="2" s="1"/>
  <c r="R250" i="2" a="1"/>
  <c r="R250" i="2" s="1"/>
  <c r="Q250" i="2" a="1"/>
  <c r="Q250" i="2" s="1"/>
  <c r="AF250" i="2" s="1" a="1"/>
  <c r="AF250" i="2" s="1"/>
  <c r="P250" i="2" a="1"/>
  <c r="P250" i="2" s="1"/>
  <c r="H250" i="2" a="1"/>
  <c r="H250" i="2" s="1"/>
  <c r="G250" i="2" a="1"/>
  <c r="G250" i="2" s="1"/>
  <c r="F250" i="2" a="1"/>
  <c r="F250" i="2" s="1"/>
  <c r="D121" i="8" s="1" a="1"/>
  <c r="D121" i="8" s="1"/>
  <c r="D250" i="2" a="1"/>
  <c r="D250" i="2" s="1"/>
  <c r="AH274" i="2" a="1"/>
  <c r="AH274" i="2" s="1"/>
  <c r="R274" i="2" a="1"/>
  <c r="R274" i="2" s="1"/>
  <c r="Q274" i="2" a="1"/>
  <c r="Q274" i="2" s="1"/>
  <c r="Z274" i="2" s="1" a="1"/>
  <c r="Z274" i="2" s="1"/>
  <c r="P274" i="2" a="1"/>
  <c r="P274" i="2" s="1"/>
  <c r="H274" i="2" a="1"/>
  <c r="H274" i="2" s="1"/>
  <c r="G274" i="2" a="1"/>
  <c r="G274" i="2" s="1"/>
  <c r="F274" i="2" a="1"/>
  <c r="F274" i="2" s="1"/>
  <c r="D120" i="8" s="1" a="1"/>
  <c r="D120" i="8" s="1"/>
  <c r="D274" i="2" a="1"/>
  <c r="D274" i="2" s="1"/>
  <c r="AH439" i="2" a="1"/>
  <c r="AH439" i="2" s="1"/>
  <c r="R439" i="2" a="1"/>
  <c r="R439" i="2" s="1"/>
  <c r="Q439" i="2" a="1"/>
  <c r="Q439" i="2" s="1"/>
  <c r="P439" i="2" a="1"/>
  <c r="P439" i="2" s="1"/>
  <c r="H439" i="2" a="1"/>
  <c r="H439" i="2" s="1"/>
  <c r="G439" i="2" a="1"/>
  <c r="G439" i="2" s="1"/>
  <c r="F439" i="2" a="1"/>
  <c r="F439" i="2" s="1"/>
  <c r="D439" i="2" a="1"/>
  <c r="D439" i="2" s="1"/>
  <c r="AH505" i="2" a="1"/>
  <c r="AH505" i="2" s="1"/>
  <c r="R505" i="2" a="1"/>
  <c r="R505" i="2" s="1"/>
  <c r="Q505" i="2" a="1"/>
  <c r="Q505" i="2" s="1"/>
  <c r="P505" i="2" a="1"/>
  <c r="P505" i="2" s="1"/>
  <c r="H505" i="2" a="1"/>
  <c r="H505" i="2" s="1"/>
  <c r="G505" i="2" a="1"/>
  <c r="G505" i="2" s="1"/>
  <c r="F505" i="2" a="1"/>
  <c r="F505" i="2" s="1"/>
  <c r="D505" i="2" a="1"/>
  <c r="D505" i="2" s="1"/>
  <c r="AH263" i="2" a="1"/>
  <c r="AH263" i="2" s="1"/>
  <c r="R263" i="2" a="1"/>
  <c r="R263" i="2" s="1"/>
  <c r="Q263" i="2" a="1"/>
  <c r="Q263" i="2" s="1"/>
  <c r="P263" i="2" a="1"/>
  <c r="P263" i="2" s="1"/>
  <c r="H263" i="2" a="1"/>
  <c r="H263" i="2" s="1"/>
  <c r="G263" i="2" a="1"/>
  <c r="G263" i="2" s="1"/>
  <c r="F263" i="2" a="1"/>
  <c r="F263" i="2" s="1"/>
  <c r="D263" i="2" a="1"/>
  <c r="D263" i="2" s="1"/>
  <c r="AH243" i="2" a="1"/>
  <c r="AH243" i="2" s="1"/>
  <c r="R243" i="2" a="1"/>
  <c r="R243" i="2" s="1"/>
  <c r="Q243" i="2" a="1"/>
  <c r="Q243" i="2" s="1"/>
  <c r="P243" i="2" a="1"/>
  <c r="P243" i="2" s="1"/>
  <c r="H243" i="2" a="1"/>
  <c r="H243" i="2" s="1"/>
  <c r="G243" i="2" a="1"/>
  <c r="G243" i="2" s="1"/>
  <c r="F243" i="2" a="1"/>
  <c r="F243" i="2" s="1"/>
  <c r="D119" i="8" s="1" a="1"/>
  <c r="D119" i="8" s="1"/>
  <c r="D243" i="2" a="1"/>
  <c r="D243" i="2" s="1"/>
  <c r="B119" i="8" s="1" a="1"/>
  <c r="B119" i="8" s="1"/>
  <c r="AH436" i="2" a="1"/>
  <c r="AH436" i="2" s="1"/>
  <c r="R436" i="2" a="1"/>
  <c r="R436" i="2" s="1"/>
  <c r="Q436" i="2" a="1"/>
  <c r="Q436" i="2" s="1"/>
  <c r="P436" i="2" a="1"/>
  <c r="P436" i="2" s="1"/>
  <c r="H436" i="2" a="1"/>
  <c r="H436" i="2" s="1"/>
  <c r="G436" i="2" a="1"/>
  <c r="G436" i="2" s="1"/>
  <c r="F436" i="2" a="1"/>
  <c r="F436" i="2" s="1"/>
  <c r="D436" i="2" a="1"/>
  <c r="D436" i="2" s="1"/>
  <c r="AH444" i="2" a="1"/>
  <c r="AH444" i="2" s="1"/>
  <c r="R444" i="2" a="1"/>
  <c r="R444" i="2" s="1"/>
  <c r="Q444" i="2" a="1"/>
  <c r="Q444" i="2" s="1"/>
  <c r="P444" i="2" a="1"/>
  <c r="P444" i="2" s="1"/>
  <c r="H444" i="2" a="1"/>
  <c r="H444" i="2" s="1"/>
  <c r="G444" i="2" a="1"/>
  <c r="G444" i="2" s="1"/>
  <c r="F444" i="2" a="1"/>
  <c r="F444" i="2" s="1"/>
  <c r="D444" i="2" a="1"/>
  <c r="D444" i="2" s="1"/>
  <c r="AJ87" i="2" a="1"/>
  <c r="AJ87" i="2" s="1"/>
  <c r="AN87" i="2" s="1" a="1"/>
  <c r="AN87" i="2" s="1"/>
  <c r="P87" i="2" a="1"/>
  <c r="P87" i="2" s="1"/>
  <c r="H87" i="2" a="1"/>
  <c r="H87" i="2" s="1"/>
  <c r="G87" i="2" a="1"/>
  <c r="G87" i="2" s="1"/>
  <c r="F87" i="2" a="1"/>
  <c r="F87" i="2" s="1"/>
  <c r="D34" i="9" s="1" a="1"/>
  <c r="D34" i="9" s="1"/>
  <c r="D87" i="2" a="1"/>
  <c r="D87" i="2" s="1"/>
  <c r="B34" i="9" s="1" a="1"/>
  <c r="B34" i="9" s="1"/>
  <c r="AH164" i="2" a="1"/>
  <c r="AH164" i="2" s="1"/>
  <c r="R164" i="2" a="1"/>
  <c r="R164" i="2" s="1"/>
  <c r="Q164" i="2" a="1"/>
  <c r="Q164" i="2" s="1"/>
  <c r="P164" i="2" a="1"/>
  <c r="P164" i="2" s="1"/>
  <c r="H164" i="2" a="1"/>
  <c r="H164" i="2" s="1"/>
  <c r="G164" i="2" a="1"/>
  <c r="G164" i="2" s="1"/>
  <c r="F164" i="2" a="1"/>
  <c r="F164" i="2" s="1"/>
  <c r="D118" i="8" s="1" a="1"/>
  <c r="D118" i="8" s="1"/>
  <c r="D164" i="2" a="1"/>
  <c r="D164" i="2" s="1"/>
  <c r="B118" i="8" s="1" a="1"/>
  <c r="B118" i="8" s="1"/>
  <c r="AH296" i="2" a="1"/>
  <c r="AH296" i="2" s="1"/>
  <c r="R296" i="2" a="1"/>
  <c r="R296" i="2" s="1"/>
  <c r="Q296" i="2" a="1"/>
  <c r="Q296" i="2" s="1"/>
  <c r="P296" i="2" a="1"/>
  <c r="P296" i="2" s="1"/>
  <c r="H296" i="2" a="1"/>
  <c r="H296" i="2" s="1"/>
  <c r="G296" i="2" a="1"/>
  <c r="G296" i="2" s="1"/>
  <c r="F296" i="2" a="1"/>
  <c r="F296" i="2" s="1"/>
  <c r="D296" i="2" a="1"/>
  <c r="D296" i="2" s="1"/>
  <c r="AH344" i="2" a="1"/>
  <c r="AH344" i="2" s="1"/>
  <c r="R344" i="2" a="1"/>
  <c r="R344" i="2" s="1"/>
  <c r="Q344" i="2" a="1"/>
  <c r="Q344" i="2" s="1"/>
  <c r="AF344" i="2" s="1" a="1"/>
  <c r="AF344" i="2" s="1"/>
  <c r="P344" i="2" a="1"/>
  <c r="P344" i="2" s="1"/>
  <c r="H344" i="2" a="1"/>
  <c r="H344" i="2" s="1"/>
  <c r="G344" i="2" a="1"/>
  <c r="G344" i="2" s="1"/>
  <c r="F344" i="2" a="1"/>
  <c r="F344" i="2" s="1"/>
  <c r="D117" i="8" s="1" a="1"/>
  <c r="D117" i="8" s="1"/>
  <c r="D344" i="2" a="1"/>
  <c r="D344" i="2" s="1"/>
  <c r="B117" i="8" s="1" a="1"/>
  <c r="B117" i="8" s="1"/>
  <c r="AH577" i="2" a="1"/>
  <c r="AH577" i="2" s="1"/>
  <c r="R577" i="2" a="1"/>
  <c r="R577" i="2" s="1"/>
  <c r="Q577" i="2" a="1"/>
  <c r="Q577" i="2" s="1"/>
  <c r="Z577" i="2" s="1" a="1"/>
  <c r="Z577" i="2" s="1"/>
  <c r="P577" i="2" a="1"/>
  <c r="P577" i="2" s="1"/>
  <c r="H577" i="2" a="1"/>
  <c r="H577" i="2" s="1"/>
  <c r="G577" i="2" a="1"/>
  <c r="G577" i="2" s="1"/>
  <c r="F577" i="2" a="1"/>
  <c r="F577" i="2" s="1"/>
  <c r="D577" i="2" a="1"/>
  <c r="D577" i="2" s="1"/>
  <c r="AH432" i="2" a="1"/>
  <c r="AH432" i="2" s="1"/>
  <c r="R432" i="2" a="1"/>
  <c r="R432" i="2" s="1"/>
  <c r="Q432" i="2" a="1"/>
  <c r="Q432" i="2" s="1"/>
  <c r="AF432" i="2" s="1" a="1"/>
  <c r="AF432" i="2" s="1"/>
  <c r="P432" i="2" a="1"/>
  <c r="P432" i="2" s="1"/>
  <c r="H432" i="2" a="1"/>
  <c r="H432" i="2" s="1"/>
  <c r="G432" i="2" a="1"/>
  <c r="G432" i="2" s="1"/>
  <c r="F432" i="2" a="1"/>
  <c r="F432" i="2" s="1"/>
  <c r="D432" i="2" a="1"/>
  <c r="D432" i="2" s="1"/>
  <c r="AH299" i="2" a="1"/>
  <c r="AH299" i="2" s="1"/>
  <c r="R299" i="2" a="1"/>
  <c r="R299" i="2" s="1"/>
  <c r="Q299" i="2" a="1"/>
  <c r="Q299" i="2" s="1"/>
  <c r="AA299" i="2" s="1" a="1"/>
  <c r="AA299" i="2" s="1"/>
  <c r="P299" i="2" a="1"/>
  <c r="P299" i="2" s="1"/>
  <c r="H299" i="2" a="1"/>
  <c r="H299" i="2" s="1"/>
  <c r="G299" i="2" a="1"/>
  <c r="G299" i="2" s="1"/>
  <c r="F299" i="2" a="1"/>
  <c r="F299" i="2" s="1"/>
  <c r="D116" i="8" s="1" a="1"/>
  <c r="D116" i="8" s="1"/>
  <c r="D299" i="2" a="1"/>
  <c r="D299" i="2" s="1"/>
  <c r="B116" i="8" s="1" a="1"/>
  <c r="B116" i="8" s="1"/>
  <c r="AH334" i="2" a="1"/>
  <c r="AH334" i="2" s="1"/>
  <c r="R334" i="2" a="1"/>
  <c r="R334" i="2" s="1"/>
  <c r="Q334" i="2" a="1"/>
  <c r="Q334" i="2" s="1"/>
  <c r="P334" i="2" a="1"/>
  <c r="P334" i="2" s="1"/>
  <c r="H334" i="2" a="1"/>
  <c r="H334" i="2" s="1"/>
  <c r="G334" i="2" a="1"/>
  <c r="G334" i="2" s="1"/>
  <c r="F334" i="2" a="1"/>
  <c r="F334" i="2" s="1"/>
  <c r="D115" i="8" s="1" a="1"/>
  <c r="D115" i="8" s="1"/>
  <c r="D334" i="2" a="1"/>
  <c r="D334" i="2" s="1"/>
  <c r="B115" i="8" s="1" a="1"/>
  <c r="B115" i="8" s="1"/>
  <c r="AH330" i="2" a="1"/>
  <c r="AH330" i="2" s="1"/>
  <c r="R330" i="2" a="1"/>
  <c r="R330" i="2" s="1"/>
  <c r="Q330" i="2" a="1"/>
  <c r="Q330" i="2" s="1"/>
  <c r="AF330" i="2" s="1" a="1"/>
  <c r="AF330" i="2" s="1"/>
  <c r="P330" i="2" a="1"/>
  <c r="P330" i="2" s="1"/>
  <c r="H330" i="2" a="1"/>
  <c r="H330" i="2" s="1"/>
  <c r="G330" i="2" a="1"/>
  <c r="G330" i="2" s="1"/>
  <c r="F330" i="2" a="1"/>
  <c r="F330" i="2" s="1"/>
  <c r="D114" i="8" s="1" a="1"/>
  <c r="D114" i="8" s="1"/>
  <c r="D330" i="2" a="1"/>
  <c r="D330" i="2" s="1"/>
  <c r="B114" i="8" s="1" a="1"/>
  <c r="B114" i="8" s="1"/>
  <c r="AH440" i="2" a="1"/>
  <c r="AH440" i="2" s="1"/>
  <c r="R440" i="2" a="1"/>
  <c r="R440" i="2" s="1"/>
  <c r="Q440" i="2" a="1"/>
  <c r="Q440" i="2" s="1"/>
  <c r="AF440" i="2" s="1" a="1"/>
  <c r="AF440" i="2" s="1"/>
  <c r="P440" i="2" a="1"/>
  <c r="P440" i="2" s="1"/>
  <c r="H440" i="2" a="1"/>
  <c r="H440" i="2" s="1"/>
  <c r="G440" i="2" a="1"/>
  <c r="G440" i="2" s="1"/>
  <c r="F440" i="2" a="1"/>
  <c r="F440" i="2" s="1"/>
  <c r="D440" i="2" a="1"/>
  <c r="D440" i="2" s="1"/>
  <c r="AH294" i="2" a="1"/>
  <c r="AH294" i="2" s="1"/>
  <c r="R294" i="2" a="1"/>
  <c r="R294" i="2" s="1"/>
  <c r="Q294" i="2" a="1"/>
  <c r="Q294" i="2" s="1"/>
  <c r="P294" i="2" a="1"/>
  <c r="P294" i="2" s="1"/>
  <c r="H294" i="2" a="1"/>
  <c r="H294" i="2" s="1"/>
  <c r="G294" i="2" a="1"/>
  <c r="G294" i="2" s="1"/>
  <c r="F294" i="2" a="1"/>
  <c r="F294" i="2" s="1"/>
  <c r="D113" i="8" s="1" a="1"/>
  <c r="D113" i="8" s="1"/>
  <c r="D294" i="2" a="1"/>
  <c r="D294" i="2" s="1"/>
  <c r="B113" i="8" s="1" a="1"/>
  <c r="B113" i="8" s="1"/>
  <c r="AH200" i="2" a="1"/>
  <c r="AH200" i="2" s="1"/>
  <c r="R200" i="2" a="1"/>
  <c r="R200" i="2" s="1"/>
  <c r="Q200" i="2" a="1"/>
  <c r="Q200" i="2" s="1"/>
  <c r="AF200" i="2" s="1" a="1"/>
  <c r="AF200" i="2" s="1"/>
  <c r="P200" i="2" a="1"/>
  <c r="P200" i="2" s="1"/>
  <c r="H200" i="2" a="1"/>
  <c r="H200" i="2" s="1"/>
  <c r="G200" i="2" a="1"/>
  <c r="G200" i="2" s="1"/>
  <c r="F200" i="2" a="1"/>
  <c r="F200" i="2" s="1"/>
  <c r="D200" i="2" a="1"/>
  <c r="D200" i="2" s="1"/>
  <c r="AH223" i="2" a="1"/>
  <c r="AH223" i="2" s="1"/>
  <c r="R223" i="2" a="1"/>
  <c r="R223" i="2" s="1"/>
  <c r="Q223" i="2" a="1"/>
  <c r="Q223" i="2" s="1"/>
  <c r="AA223" i="2" s="1" a="1"/>
  <c r="AA223" i="2" s="1"/>
  <c r="P223" i="2" a="1"/>
  <c r="P223" i="2" s="1"/>
  <c r="H223" i="2" a="1"/>
  <c r="H223" i="2" s="1"/>
  <c r="G223" i="2" a="1"/>
  <c r="G223" i="2" s="1"/>
  <c r="F223" i="2" a="1"/>
  <c r="F223" i="2" s="1"/>
  <c r="D112" i="8" s="1" a="1"/>
  <c r="D112" i="8" s="1"/>
  <c r="D223" i="2" a="1"/>
  <c r="D223" i="2" s="1"/>
  <c r="B112" i="8" s="1" a="1"/>
  <c r="B112" i="8" s="1"/>
  <c r="AH387" i="2" a="1"/>
  <c r="AH387" i="2" s="1"/>
  <c r="R387" i="2" a="1"/>
  <c r="R387" i="2" s="1"/>
  <c r="Q387" i="2" a="1"/>
  <c r="Q387" i="2" s="1"/>
  <c r="P387" i="2" a="1"/>
  <c r="P387" i="2" s="1"/>
  <c r="H387" i="2" a="1"/>
  <c r="H387" i="2" s="1"/>
  <c r="G387" i="2" a="1"/>
  <c r="G387" i="2" s="1"/>
  <c r="F387" i="2" a="1"/>
  <c r="F387" i="2" s="1"/>
  <c r="D387" i="2" a="1"/>
  <c r="D387" i="2" s="1"/>
  <c r="AH128" i="2" a="1"/>
  <c r="AH128" i="2" s="1"/>
  <c r="R128" i="2" a="1"/>
  <c r="R128" i="2" s="1"/>
  <c r="Q128" i="2" a="1"/>
  <c r="Q128" i="2" s="1"/>
  <c r="AF128" i="2" s="1" a="1"/>
  <c r="AF128" i="2" s="1"/>
  <c r="P128" i="2" a="1"/>
  <c r="P128" i="2" s="1"/>
  <c r="H128" i="2" a="1"/>
  <c r="H128" i="2" s="1"/>
  <c r="G128" i="2" a="1"/>
  <c r="G128" i="2" s="1"/>
  <c r="F128" i="2" a="1"/>
  <c r="F128" i="2" s="1"/>
  <c r="D111" i="8" s="1" a="1"/>
  <c r="D111" i="8" s="1"/>
  <c r="D128" i="2" a="1"/>
  <c r="D128" i="2" s="1"/>
  <c r="B111" i="8" s="1" a="1"/>
  <c r="B111" i="8" s="1"/>
  <c r="AH230" i="2" a="1"/>
  <c r="AH230" i="2" s="1"/>
  <c r="R230" i="2" a="1"/>
  <c r="R230" i="2" s="1"/>
  <c r="Q230" i="2" a="1"/>
  <c r="Q230" i="2" s="1"/>
  <c r="AF230" i="2" s="1" a="1"/>
  <c r="AF230" i="2" s="1"/>
  <c r="P230" i="2" a="1"/>
  <c r="P230" i="2" s="1"/>
  <c r="H230" i="2" a="1"/>
  <c r="H230" i="2" s="1"/>
  <c r="G230" i="2" a="1"/>
  <c r="G230" i="2" s="1"/>
  <c r="F230" i="2" a="1"/>
  <c r="F230" i="2" s="1"/>
  <c r="D110" i="8" s="1" a="1"/>
  <c r="D110" i="8" s="1"/>
  <c r="D230" i="2" a="1"/>
  <c r="D230" i="2" s="1"/>
  <c r="B110" i="8" s="1" a="1"/>
  <c r="B110" i="8" s="1"/>
  <c r="AH468" i="2" a="1"/>
  <c r="AH468" i="2" s="1"/>
  <c r="R468" i="2" a="1"/>
  <c r="R468" i="2" s="1"/>
  <c r="Q468" i="2" a="1"/>
  <c r="Q468" i="2" s="1"/>
  <c r="AF468" i="2" s="1" a="1"/>
  <c r="AF468" i="2" s="1"/>
  <c r="P468" i="2" a="1"/>
  <c r="P468" i="2" s="1"/>
  <c r="H468" i="2" a="1"/>
  <c r="H468" i="2" s="1"/>
  <c r="G468" i="2" a="1"/>
  <c r="G468" i="2" s="1"/>
  <c r="F468" i="2" a="1"/>
  <c r="F468" i="2" s="1"/>
  <c r="D468" i="2" a="1"/>
  <c r="D468" i="2" s="1"/>
  <c r="AH317" i="2" a="1"/>
  <c r="AH317" i="2" s="1"/>
  <c r="R317" i="2" a="1"/>
  <c r="R317" i="2" s="1"/>
  <c r="Q317" i="2" a="1"/>
  <c r="Q317" i="2" s="1"/>
  <c r="AF317" i="2" s="1" a="1"/>
  <c r="AF317" i="2" s="1"/>
  <c r="P317" i="2" a="1"/>
  <c r="P317" i="2" s="1"/>
  <c r="H317" i="2" a="1"/>
  <c r="H317" i="2" s="1"/>
  <c r="G317" i="2" a="1"/>
  <c r="G317" i="2" s="1"/>
  <c r="F317" i="2" a="1"/>
  <c r="F317" i="2" s="1"/>
  <c r="D109" i="8" s="1" a="1"/>
  <c r="D109" i="8" s="1"/>
  <c r="D317" i="2" a="1"/>
  <c r="D317" i="2" s="1"/>
  <c r="AJ91" i="2" a="1"/>
  <c r="AJ91" i="2" s="1"/>
  <c r="P91" i="2" a="1"/>
  <c r="P91" i="2" s="1"/>
  <c r="H91" i="2" a="1"/>
  <c r="H91" i="2" s="1"/>
  <c r="G91" i="2" a="1"/>
  <c r="G91" i="2" s="1"/>
  <c r="F91" i="2" a="1"/>
  <c r="F91" i="2" s="1"/>
  <c r="D33" i="9" s="1" a="1"/>
  <c r="D33" i="9" s="1"/>
  <c r="D91" i="2" a="1"/>
  <c r="D91" i="2" s="1"/>
  <c r="AH283" i="2" a="1"/>
  <c r="AH283" i="2" s="1"/>
  <c r="R283" i="2" a="1"/>
  <c r="R283" i="2" s="1"/>
  <c r="Q283" i="2" a="1"/>
  <c r="Q283" i="2" s="1"/>
  <c r="AB283" i="2" s="1" a="1"/>
  <c r="AB283" i="2" s="1"/>
  <c r="P283" i="2" a="1"/>
  <c r="P283" i="2" s="1"/>
  <c r="H283" i="2" a="1"/>
  <c r="H283" i="2" s="1"/>
  <c r="G283" i="2" a="1"/>
  <c r="G283" i="2" s="1"/>
  <c r="F283" i="2" a="1"/>
  <c r="F283" i="2" s="1"/>
  <c r="D108" i="8" s="1" a="1"/>
  <c r="D108" i="8" s="1"/>
  <c r="D283" i="2" a="1"/>
  <c r="D283" i="2" s="1"/>
  <c r="AH293" i="2" a="1"/>
  <c r="AH293" i="2" s="1"/>
  <c r="R293" i="2" a="1"/>
  <c r="R293" i="2" s="1"/>
  <c r="Q293" i="2" a="1"/>
  <c r="Q293" i="2" s="1"/>
  <c r="P293" i="2" a="1"/>
  <c r="P293" i="2" s="1"/>
  <c r="H293" i="2" a="1"/>
  <c r="H293" i="2" s="1"/>
  <c r="G293" i="2" a="1"/>
  <c r="G293" i="2" s="1"/>
  <c r="F293" i="2" a="1"/>
  <c r="F293" i="2" s="1"/>
  <c r="D107" i="8" s="1" a="1"/>
  <c r="D107" i="8" s="1"/>
  <c r="D293" i="2" a="1"/>
  <c r="D293" i="2" s="1"/>
  <c r="B107" i="8" s="1" a="1"/>
  <c r="B107" i="8" s="1"/>
  <c r="AH218" i="2" a="1"/>
  <c r="AH218" i="2" s="1"/>
  <c r="R218" i="2" a="1"/>
  <c r="R218" i="2" s="1"/>
  <c r="Q218" i="2" a="1"/>
  <c r="Q218" i="2" s="1"/>
  <c r="P218" i="2" a="1"/>
  <c r="P218" i="2" s="1"/>
  <c r="H218" i="2" a="1"/>
  <c r="H218" i="2" s="1"/>
  <c r="G218" i="2" a="1"/>
  <c r="G218" i="2" s="1"/>
  <c r="F218" i="2" a="1"/>
  <c r="F218" i="2" s="1"/>
  <c r="D106" i="8" s="1" a="1"/>
  <c r="D106" i="8" s="1"/>
  <c r="D218" i="2" a="1"/>
  <c r="D218" i="2" s="1"/>
  <c r="AH519" i="2" a="1"/>
  <c r="AH519" i="2" s="1"/>
  <c r="R519" i="2" a="1"/>
  <c r="R519" i="2" s="1"/>
  <c r="Q519" i="2" a="1"/>
  <c r="Q519" i="2" s="1"/>
  <c r="AG519" i="2" s="1" a="1"/>
  <c r="AG519" i="2" s="1"/>
  <c r="P519" i="2" a="1"/>
  <c r="P519" i="2" s="1"/>
  <c r="H519" i="2" a="1"/>
  <c r="H519" i="2" s="1"/>
  <c r="G519" i="2" a="1"/>
  <c r="G519" i="2" s="1"/>
  <c r="F519" i="2" a="1"/>
  <c r="F519" i="2" s="1"/>
  <c r="D519" i="2" a="1"/>
  <c r="D519" i="2" s="1"/>
  <c r="AH206" i="2" a="1"/>
  <c r="AH206" i="2" s="1"/>
  <c r="R206" i="2" a="1"/>
  <c r="R206" i="2" s="1"/>
  <c r="Q206" i="2" a="1"/>
  <c r="Q206" i="2" s="1"/>
  <c r="P206" i="2" a="1"/>
  <c r="P206" i="2" s="1"/>
  <c r="H206" i="2" a="1"/>
  <c r="H206" i="2" s="1"/>
  <c r="G206" i="2" a="1"/>
  <c r="G206" i="2" s="1"/>
  <c r="F206" i="2" a="1"/>
  <c r="F206" i="2" s="1"/>
  <c r="D105" i="8" s="1" a="1"/>
  <c r="D105" i="8" s="1"/>
  <c r="D206" i="2" a="1"/>
  <c r="D206" i="2" s="1"/>
  <c r="AJ282" i="2" a="1"/>
  <c r="AJ282" i="2" s="1"/>
  <c r="P282" i="2" a="1"/>
  <c r="P282" i="2" s="1"/>
  <c r="H282" i="2" a="1"/>
  <c r="H282" i="2" s="1"/>
  <c r="G282" i="2" a="1"/>
  <c r="G282" i="2" s="1"/>
  <c r="F282" i="2" a="1"/>
  <c r="F282" i="2" s="1"/>
  <c r="D32" i="9" s="1" a="1"/>
  <c r="D32" i="9" s="1"/>
  <c r="D282" i="2" a="1"/>
  <c r="D282" i="2" s="1"/>
  <c r="B32" i="9" s="1" a="1"/>
  <c r="B32" i="9" s="1"/>
  <c r="AH270" i="2" a="1"/>
  <c r="AH270" i="2" s="1"/>
  <c r="R270" i="2" a="1"/>
  <c r="R270" i="2" s="1"/>
  <c r="Q270" i="2" a="1"/>
  <c r="Q270" i="2" s="1"/>
  <c r="AF270" i="2" s="1" a="1"/>
  <c r="AF270" i="2" s="1"/>
  <c r="P270" i="2" a="1"/>
  <c r="P270" i="2" s="1"/>
  <c r="H270" i="2" a="1"/>
  <c r="H270" i="2" s="1"/>
  <c r="G270" i="2" a="1"/>
  <c r="G270" i="2" s="1"/>
  <c r="F270" i="2" a="1"/>
  <c r="F270" i="2" s="1"/>
  <c r="D104" i="8" s="1" a="1"/>
  <c r="D104" i="8" s="1"/>
  <c r="D270" i="2" a="1"/>
  <c r="D270" i="2" s="1"/>
  <c r="B104" i="8" s="1" a="1"/>
  <c r="B104" i="8" s="1"/>
  <c r="AH241" i="2" a="1"/>
  <c r="AH241" i="2" s="1"/>
  <c r="R241" i="2" a="1"/>
  <c r="R241" i="2" s="1"/>
  <c r="Q241" i="2" a="1"/>
  <c r="Q241" i="2" s="1"/>
  <c r="Y241" i="2" s="1" a="1"/>
  <c r="Y241" i="2" s="1"/>
  <c r="P241" i="2" a="1"/>
  <c r="P241" i="2" s="1"/>
  <c r="H241" i="2" a="1"/>
  <c r="H241" i="2" s="1"/>
  <c r="G241" i="2" a="1"/>
  <c r="G241" i="2" s="1"/>
  <c r="F241" i="2" a="1"/>
  <c r="F241" i="2" s="1"/>
  <c r="D241" i="2" a="1"/>
  <c r="D241" i="2" s="1"/>
  <c r="AH193" i="2" a="1"/>
  <c r="AH193" i="2" s="1"/>
  <c r="R193" i="2" a="1"/>
  <c r="R193" i="2" s="1"/>
  <c r="Q193" i="2" a="1"/>
  <c r="Q193" i="2" s="1"/>
  <c r="P193" i="2" a="1"/>
  <c r="P193" i="2" s="1"/>
  <c r="H193" i="2" a="1"/>
  <c r="H193" i="2" s="1"/>
  <c r="G193" i="2" a="1"/>
  <c r="G193" i="2" s="1"/>
  <c r="F193" i="2" a="1"/>
  <c r="F193" i="2" s="1"/>
  <c r="D103" i="8" s="1" a="1"/>
  <c r="D103" i="8" s="1"/>
  <c r="D193" i="2" a="1"/>
  <c r="D193" i="2" s="1"/>
  <c r="B103" i="8" s="1" a="1"/>
  <c r="B103" i="8" s="1"/>
  <c r="AH304" i="2" a="1"/>
  <c r="AH304" i="2" s="1"/>
  <c r="R304" i="2" a="1"/>
  <c r="R304" i="2" s="1"/>
  <c r="Q304" i="2" a="1"/>
  <c r="Q304" i="2" s="1"/>
  <c r="AA304" i="2" s="1" a="1"/>
  <c r="AA304" i="2" s="1"/>
  <c r="P304" i="2" a="1"/>
  <c r="P304" i="2" s="1"/>
  <c r="H304" i="2" a="1"/>
  <c r="H304" i="2" s="1"/>
  <c r="G304" i="2" a="1"/>
  <c r="G304" i="2" s="1"/>
  <c r="F304" i="2" a="1"/>
  <c r="F304" i="2" s="1"/>
  <c r="D304" i="2" a="1"/>
  <c r="D304" i="2" s="1"/>
  <c r="AJ346" i="2" a="1"/>
  <c r="AJ346" i="2" s="1"/>
  <c r="AM346" i="2" s="1" a="1"/>
  <c r="AM346" i="2" s="1"/>
  <c r="P346" i="2" a="1"/>
  <c r="P346" i="2" s="1"/>
  <c r="H346" i="2" a="1"/>
  <c r="H346" i="2" s="1"/>
  <c r="G346" i="2" a="1"/>
  <c r="G346" i="2" s="1"/>
  <c r="F346" i="2" a="1"/>
  <c r="F346" i="2" s="1"/>
  <c r="D31" i="9" s="1" a="1"/>
  <c r="D31" i="9" s="1"/>
  <c r="D346" i="2" a="1"/>
  <c r="D346" i="2" s="1"/>
  <c r="AH267" i="2" a="1"/>
  <c r="AH267" i="2" s="1"/>
  <c r="R267" i="2" a="1"/>
  <c r="R267" i="2" s="1"/>
  <c r="Q267" i="2" a="1"/>
  <c r="Q267" i="2" s="1"/>
  <c r="P267" i="2" a="1"/>
  <c r="P267" i="2" s="1"/>
  <c r="H267" i="2" a="1"/>
  <c r="H267" i="2" s="1"/>
  <c r="G267" i="2" a="1"/>
  <c r="G267" i="2" s="1"/>
  <c r="F267" i="2" a="1"/>
  <c r="F267" i="2" s="1"/>
  <c r="D102" i="8" s="1" a="1"/>
  <c r="D102" i="8" s="1"/>
  <c r="D267" i="2" a="1"/>
  <c r="D267" i="2" s="1"/>
  <c r="AH303" i="2" a="1"/>
  <c r="AH303" i="2" s="1"/>
  <c r="R303" i="2" a="1"/>
  <c r="R303" i="2" s="1"/>
  <c r="Q303" i="2" a="1"/>
  <c r="Q303" i="2" s="1"/>
  <c r="P303" i="2" a="1"/>
  <c r="P303" i="2" s="1"/>
  <c r="H303" i="2" a="1"/>
  <c r="H303" i="2" s="1"/>
  <c r="G303" i="2" a="1"/>
  <c r="G303" i="2" s="1"/>
  <c r="F303" i="2" a="1"/>
  <c r="F303" i="2" s="1"/>
  <c r="D303" i="2" a="1"/>
  <c r="D303" i="2" s="1"/>
  <c r="AH262" i="2" a="1"/>
  <c r="AH262" i="2" s="1"/>
  <c r="R262" i="2" a="1"/>
  <c r="R262" i="2" s="1"/>
  <c r="Q262" i="2" a="1"/>
  <c r="Q262" i="2" s="1"/>
  <c r="AD262" i="2" s="1" a="1"/>
  <c r="AD262" i="2" s="1"/>
  <c r="P262" i="2" a="1"/>
  <c r="P262" i="2" s="1"/>
  <c r="H262" i="2" a="1"/>
  <c r="H262" i="2" s="1"/>
  <c r="G262" i="2" a="1"/>
  <c r="G262" i="2" s="1"/>
  <c r="F262" i="2" a="1"/>
  <c r="F262" i="2" s="1"/>
  <c r="D101" i="8" s="1" a="1"/>
  <c r="D101" i="8" s="1"/>
  <c r="D262" i="2" a="1"/>
  <c r="D262" i="2" s="1"/>
  <c r="AH189" i="2" a="1"/>
  <c r="AH189" i="2" s="1"/>
  <c r="R189" i="2" a="1"/>
  <c r="R189" i="2" s="1"/>
  <c r="Q189" i="2" a="1"/>
  <c r="Q189" i="2" s="1"/>
  <c r="Y189" i="2" s="1" a="1"/>
  <c r="Y189" i="2" s="1"/>
  <c r="P189" i="2" a="1"/>
  <c r="P189" i="2" s="1"/>
  <c r="H189" i="2" a="1"/>
  <c r="H189" i="2" s="1"/>
  <c r="G189" i="2" a="1"/>
  <c r="G189" i="2" s="1"/>
  <c r="F189" i="2" a="1"/>
  <c r="F189" i="2" s="1"/>
  <c r="D100" i="8" s="1" a="1"/>
  <c r="D100" i="8" s="1"/>
  <c r="D189" i="2" a="1"/>
  <c r="D189" i="2" s="1"/>
  <c r="AH199" i="2" a="1"/>
  <c r="AH199" i="2" s="1"/>
  <c r="R199" i="2" a="1"/>
  <c r="R199" i="2" s="1"/>
  <c r="Q199" i="2" a="1"/>
  <c r="Q199" i="2" s="1"/>
  <c r="Y199" i="2" s="1" a="1"/>
  <c r="Y199" i="2" s="1"/>
  <c r="P199" i="2" a="1"/>
  <c r="P199" i="2" s="1"/>
  <c r="H199" i="2" a="1"/>
  <c r="H199" i="2" s="1"/>
  <c r="G199" i="2" a="1"/>
  <c r="G199" i="2" s="1"/>
  <c r="F199" i="2" a="1"/>
  <c r="F199" i="2" s="1"/>
  <c r="D99" i="8" s="1" a="1"/>
  <c r="D99" i="8" s="1"/>
  <c r="D199" i="2" a="1"/>
  <c r="D199" i="2" s="1"/>
  <c r="AH320" i="2" a="1"/>
  <c r="AH320" i="2" s="1"/>
  <c r="R320" i="2" a="1"/>
  <c r="R320" i="2" s="1"/>
  <c r="Q320" i="2" a="1"/>
  <c r="Q320" i="2" s="1"/>
  <c r="P320" i="2" a="1"/>
  <c r="P320" i="2" s="1"/>
  <c r="H320" i="2" a="1"/>
  <c r="H320" i="2" s="1"/>
  <c r="G320" i="2" a="1"/>
  <c r="G320" i="2" s="1"/>
  <c r="F320" i="2" a="1"/>
  <c r="F320" i="2" s="1"/>
  <c r="D98" i="8" s="1" a="1"/>
  <c r="D98" i="8" s="1"/>
  <c r="D320" i="2" a="1"/>
  <c r="D320" i="2" s="1"/>
  <c r="AH158" i="2" a="1"/>
  <c r="AH158" i="2" s="1"/>
  <c r="R158" i="2" a="1"/>
  <c r="R158" i="2" s="1"/>
  <c r="Q158" i="2" a="1"/>
  <c r="Q158" i="2" s="1"/>
  <c r="AG158" i="2" s="1" a="1"/>
  <c r="AG158" i="2" s="1"/>
  <c r="P158" i="2" a="1"/>
  <c r="P158" i="2" s="1"/>
  <c r="H158" i="2" a="1"/>
  <c r="H158" i="2" s="1"/>
  <c r="G158" i="2" a="1"/>
  <c r="G158" i="2" s="1"/>
  <c r="F158" i="2" a="1"/>
  <c r="F158" i="2" s="1"/>
  <c r="D97" i="8" s="1" a="1"/>
  <c r="D97" i="8" s="1"/>
  <c r="D158" i="2" a="1"/>
  <c r="D158" i="2" s="1"/>
  <c r="AH399" i="2" a="1"/>
  <c r="AH399" i="2" s="1"/>
  <c r="R399" i="2" a="1"/>
  <c r="R399" i="2" s="1"/>
  <c r="Q399" i="2" a="1"/>
  <c r="Q399" i="2" s="1"/>
  <c r="P399" i="2" a="1"/>
  <c r="P399" i="2" s="1"/>
  <c r="H399" i="2" a="1"/>
  <c r="H399" i="2" s="1"/>
  <c r="G399" i="2" a="1"/>
  <c r="G399" i="2" s="1"/>
  <c r="F399" i="2" a="1"/>
  <c r="F399" i="2" s="1"/>
  <c r="D399" i="2" a="1"/>
  <c r="D399" i="2" s="1"/>
  <c r="AH408" i="2" a="1"/>
  <c r="AH408" i="2" s="1"/>
  <c r="R408" i="2" a="1"/>
  <c r="R408" i="2" s="1"/>
  <c r="Q408" i="2" a="1"/>
  <c r="Q408" i="2" s="1"/>
  <c r="Y408" i="2" s="1" a="1"/>
  <c r="Y408" i="2" s="1"/>
  <c r="P408" i="2" a="1"/>
  <c r="P408" i="2" s="1"/>
  <c r="H408" i="2" a="1"/>
  <c r="H408" i="2" s="1"/>
  <c r="G408" i="2" a="1"/>
  <c r="G408" i="2" s="1"/>
  <c r="F408" i="2" a="1"/>
  <c r="F408" i="2" s="1"/>
  <c r="D96" i="8" s="1" a="1"/>
  <c r="D96" i="8" s="1"/>
  <c r="D408" i="2" a="1"/>
  <c r="D408" i="2" s="1"/>
  <c r="AH337" i="2" a="1"/>
  <c r="AH337" i="2" s="1"/>
  <c r="R337" i="2" a="1"/>
  <c r="R337" i="2" s="1"/>
  <c r="Q337" i="2" a="1"/>
  <c r="Q337" i="2" s="1"/>
  <c r="AG337" i="2" s="1" a="1"/>
  <c r="AG337" i="2" s="1"/>
  <c r="P337" i="2" a="1"/>
  <c r="P337" i="2" s="1"/>
  <c r="H337" i="2" a="1"/>
  <c r="H337" i="2" s="1"/>
  <c r="G337" i="2" a="1"/>
  <c r="G337" i="2" s="1"/>
  <c r="F337" i="2" a="1"/>
  <c r="F337" i="2" s="1"/>
  <c r="D95" i="8" s="1" a="1"/>
  <c r="D95" i="8" s="1"/>
  <c r="D337" i="2" a="1"/>
  <c r="D337" i="2" s="1"/>
  <c r="AH284" i="2" a="1"/>
  <c r="AH284" i="2" s="1"/>
  <c r="R284" i="2" a="1"/>
  <c r="R284" i="2" s="1"/>
  <c r="Q284" i="2" a="1"/>
  <c r="Q284" i="2" s="1"/>
  <c r="P284" i="2" a="1"/>
  <c r="P284" i="2" s="1"/>
  <c r="H284" i="2" a="1"/>
  <c r="H284" i="2" s="1"/>
  <c r="G284" i="2" a="1"/>
  <c r="G284" i="2" s="1"/>
  <c r="F284" i="2" a="1"/>
  <c r="F284" i="2" s="1"/>
  <c r="D94" i="8" s="1" a="1"/>
  <c r="D94" i="8" s="1"/>
  <c r="D284" i="2" a="1"/>
  <c r="D284" i="2" s="1"/>
  <c r="AH328" i="2" a="1"/>
  <c r="AH328" i="2" s="1"/>
  <c r="R328" i="2" a="1"/>
  <c r="R328" i="2" s="1"/>
  <c r="Q328" i="2" a="1"/>
  <c r="Q328" i="2" s="1"/>
  <c r="AB328" i="2" s="1" a="1"/>
  <c r="AB328" i="2" s="1"/>
  <c r="P328" i="2" a="1"/>
  <c r="P328" i="2" s="1"/>
  <c r="H328" i="2" a="1"/>
  <c r="H328" i="2" s="1"/>
  <c r="G328" i="2" a="1"/>
  <c r="G328" i="2" s="1"/>
  <c r="F328" i="2" a="1"/>
  <c r="F328" i="2" s="1"/>
  <c r="D93" i="8" s="1" a="1"/>
  <c r="D93" i="8" s="1"/>
  <c r="D328" i="2" a="1"/>
  <c r="D328" i="2" s="1"/>
  <c r="AH380" i="2" a="1"/>
  <c r="AH380" i="2" s="1"/>
  <c r="R380" i="2" a="1"/>
  <c r="R380" i="2" s="1"/>
  <c r="Q380" i="2" a="1"/>
  <c r="Q380" i="2" s="1"/>
  <c r="P380" i="2" a="1"/>
  <c r="P380" i="2" s="1"/>
  <c r="H380" i="2" a="1"/>
  <c r="H380" i="2" s="1"/>
  <c r="G380" i="2" a="1"/>
  <c r="G380" i="2" s="1"/>
  <c r="F380" i="2" a="1"/>
  <c r="F380" i="2" s="1"/>
  <c r="D380" i="2" a="1"/>
  <c r="D380" i="2" s="1"/>
  <c r="AH329" i="2" a="1"/>
  <c r="AH329" i="2" s="1"/>
  <c r="R329" i="2" a="1"/>
  <c r="R329" i="2" s="1"/>
  <c r="Q329" i="2" a="1"/>
  <c r="Q329" i="2" s="1"/>
  <c r="P329" i="2" a="1"/>
  <c r="P329" i="2" s="1"/>
  <c r="H329" i="2" a="1"/>
  <c r="H329" i="2" s="1"/>
  <c r="G329" i="2" a="1"/>
  <c r="G329" i="2" s="1"/>
  <c r="F329" i="2" a="1"/>
  <c r="F329" i="2" s="1"/>
  <c r="D329" i="2" a="1"/>
  <c r="D329" i="2" s="1"/>
  <c r="AH269" i="2" a="1"/>
  <c r="AH269" i="2" s="1"/>
  <c r="R269" i="2" a="1"/>
  <c r="R269" i="2" s="1"/>
  <c r="Q269" i="2" a="1"/>
  <c r="Q269" i="2" s="1"/>
  <c r="P269" i="2" a="1"/>
  <c r="P269" i="2" s="1"/>
  <c r="H269" i="2" a="1"/>
  <c r="H269" i="2" s="1"/>
  <c r="G269" i="2" a="1"/>
  <c r="G269" i="2" s="1"/>
  <c r="F269" i="2" a="1"/>
  <c r="F269" i="2" s="1"/>
  <c r="D269" i="2" a="1"/>
  <c r="D269" i="2" s="1"/>
  <c r="AH382" i="2" a="1"/>
  <c r="AH382" i="2" s="1"/>
  <c r="R382" i="2" a="1"/>
  <c r="R382" i="2" s="1"/>
  <c r="Q382" i="2" a="1"/>
  <c r="Q382" i="2" s="1"/>
  <c r="P382" i="2" a="1"/>
  <c r="P382" i="2" s="1"/>
  <c r="H382" i="2" a="1"/>
  <c r="H382" i="2" s="1"/>
  <c r="G382" i="2" a="1"/>
  <c r="G382" i="2" s="1"/>
  <c r="F382" i="2" a="1"/>
  <c r="F382" i="2" s="1"/>
  <c r="D382" i="2" a="1"/>
  <c r="D382" i="2" s="1"/>
  <c r="AH139" i="2" a="1"/>
  <c r="AH139" i="2" s="1"/>
  <c r="R139" i="2" a="1"/>
  <c r="R139" i="2" s="1"/>
  <c r="Q139" i="2" a="1"/>
  <c r="Q139" i="2" s="1"/>
  <c r="AB139" i="2" s="1" a="1"/>
  <c r="AB139" i="2" s="1"/>
  <c r="P139" i="2" a="1"/>
  <c r="P139" i="2" s="1"/>
  <c r="H139" i="2" a="1"/>
  <c r="H139" i="2" s="1"/>
  <c r="G139" i="2" a="1"/>
  <c r="G139" i="2" s="1"/>
  <c r="F139" i="2" a="1"/>
  <c r="F139" i="2" s="1"/>
  <c r="D92" i="8" s="1" a="1"/>
  <c r="D92" i="8" s="1"/>
  <c r="D139" i="2" a="1"/>
  <c r="D139" i="2" s="1"/>
  <c r="AH417" i="2" a="1"/>
  <c r="AH417" i="2" s="1"/>
  <c r="R417" i="2" a="1"/>
  <c r="R417" i="2" s="1"/>
  <c r="Q417" i="2" a="1"/>
  <c r="Q417" i="2" s="1"/>
  <c r="P417" i="2" a="1"/>
  <c r="P417" i="2" s="1"/>
  <c r="H417" i="2" a="1"/>
  <c r="H417" i="2" s="1"/>
  <c r="G417" i="2" a="1"/>
  <c r="G417" i="2" s="1"/>
  <c r="F417" i="2" a="1"/>
  <c r="F417" i="2" s="1"/>
  <c r="D91" i="8" s="1" a="1"/>
  <c r="D91" i="8" s="1"/>
  <c r="D417" i="2" a="1"/>
  <c r="D417" i="2" s="1"/>
  <c r="B91" i="8" s="1" a="1"/>
  <c r="B91" i="8" s="1"/>
  <c r="AH350" i="2" a="1"/>
  <c r="AH350" i="2" s="1"/>
  <c r="R350" i="2" a="1"/>
  <c r="R350" i="2" s="1"/>
  <c r="Q350" i="2" a="1"/>
  <c r="Q350" i="2" s="1"/>
  <c r="AF350" i="2" s="1" a="1"/>
  <c r="AF350" i="2" s="1"/>
  <c r="P350" i="2" a="1"/>
  <c r="P350" i="2" s="1"/>
  <c r="H350" i="2" a="1"/>
  <c r="H350" i="2" s="1"/>
  <c r="G350" i="2" a="1"/>
  <c r="G350" i="2" s="1"/>
  <c r="F350" i="2" a="1"/>
  <c r="F350" i="2" s="1"/>
  <c r="D350" i="2" a="1"/>
  <c r="D350" i="2" s="1"/>
  <c r="AH146" i="2" a="1"/>
  <c r="AH146" i="2" s="1"/>
  <c r="R146" i="2" a="1"/>
  <c r="R146" i="2" s="1"/>
  <c r="Q146" i="2" a="1"/>
  <c r="Q146" i="2" s="1"/>
  <c r="P146" i="2" a="1"/>
  <c r="P146" i="2" s="1"/>
  <c r="H146" i="2" a="1"/>
  <c r="H146" i="2" s="1"/>
  <c r="G146" i="2" a="1"/>
  <c r="G146" i="2" s="1"/>
  <c r="F146" i="2" a="1"/>
  <c r="F146" i="2" s="1"/>
  <c r="D90" i="8" s="1" a="1"/>
  <c r="D90" i="8" s="1"/>
  <c r="D146" i="2" a="1"/>
  <c r="D146" i="2" s="1"/>
  <c r="B90" i="8" s="1" a="1"/>
  <c r="B90" i="8" s="1"/>
  <c r="AH324" i="2" a="1"/>
  <c r="AH324" i="2" s="1"/>
  <c r="R324" i="2" a="1"/>
  <c r="R324" i="2" s="1"/>
  <c r="Q324" i="2" a="1"/>
  <c r="Q324" i="2" s="1"/>
  <c r="P324" i="2" a="1"/>
  <c r="P324" i="2" s="1"/>
  <c r="H324" i="2" a="1"/>
  <c r="H324" i="2" s="1"/>
  <c r="G324" i="2" a="1"/>
  <c r="G324" i="2" s="1"/>
  <c r="F324" i="2" a="1"/>
  <c r="F324" i="2" s="1"/>
  <c r="D324" i="2" a="1"/>
  <c r="D324" i="2" s="1"/>
  <c r="AH398" i="2" a="1"/>
  <c r="AH398" i="2" s="1"/>
  <c r="R398" i="2" a="1"/>
  <c r="R398" i="2" s="1"/>
  <c r="Q398" i="2" a="1"/>
  <c r="Q398" i="2" s="1"/>
  <c r="P398" i="2" a="1"/>
  <c r="P398" i="2" s="1"/>
  <c r="H398" i="2" a="1"/>
  <c r="H398" i="2" s="1"/>
  <c r="G398" i="2" a="1"/>
  <c r="G398" i="2" s="1"/>
  <c r="F398" i="2" a="1"/>
  <c r="F398" i="2" s="1"/>
  <c r="D398" i="2" a="1"/>
  <c r="D398" i="2" s="1"/>
  <c r="AH295" i="2" a="1"/>
  <c r="AH295" i="2" s="1"/>
  <c r="R295" i="2" a="1"/>
  <c r="R295" i="2" s="1"/>
  <c r="Q295" i="2" a="1"/>
  <c r="Q295" i="2" s="1"/>
  <c r="Z295" i="2" s="1" a="1"/>
  <c r="Z295" i="2" s="1"/>
  <c r="P295" i="2" a="1"/>
  <c r="P295" i="2" s="1"/>
  <c r="H295" i="2" a="1"/>
  <c r="H295" i="2" s="1"/>
  <c r="G295" i="2" a="1"/>
  <c r="G295" i="2" s="1"/>
  <c r="F295" i="2" a="1"/>
  <c r="F295" i="2" s="1"/>
  <c r="D295" i="2" a="1"/>
  <c r="D295" i="2" s="1"/>
  <c r="AH197" i="2" a="1"/>
  <c r="AH197" i="2" s="1"/>
  <c r="R197" i="2" a="1"/>
  <c r="R197" i="2" s="1"/>
  <c r="Q197" i="2" a="1"/>
  <c r="Q197" i="2" s="1"/>
  <c r="P197" i="2" a="1"/>
  <c r="P197" i="2" s="1"/>
  <c r="H197" i="2" a="1"/>
  <c r="H197" i="2" s="1"/>
  <c r="G197" i="2" a="1"/>
  <c r="G197" i="2" s="1"/>
  <c r="F197" i="2" a="1"/>
  <c r="F197" i="2" s="1"/>
  <c r="D89" i="8" s="1" a="1"/>
  <c r="D89" i="8" s="1"/>
  <c r="D197" i="2" a="1"/>
  <c r="D197" i="2" s="1"/>
  <c r="B89" i="8" s="1" a="1"/>
  <c r="B89" i="8" s="1"/>
  <c r="AH290" i="2" a="1"/>
  <c r="AH290" i="2" s="1"/>
  <c r="R290" i="2" a="1"/>
  <c r="R290" i="2" s="1"/>
  <c r="Q290" i="2" a="1"/>
  <c r="Q290" i="2" s="1"/>
  <c r="Z290" i="2" s="1" a="1"/>
  <c r="Z290" i="2" s="1"/>
  <c r="P290" i="2" a="1"/>
  <c r="P290" i="2" s="1"/>
  <c r="H290" i="2" a="1"/>
  <c r="H290" i="2" s="1"/>
  <c r="G290" i="2" a="1"/>
  <c r="G290" i="2" s="1"/>
  <c r="F290" i="2" a="1"/>
  <c r="F290" i="2" s="1"/>
  <c r="D290" i="2" a="1"/>
  <c r="D290" i="2" s="1"/>
  <c r="AH84" i="2" a="1"/>
  <c r="AH84" i="2" s="1"/>
  <c r="R84" i="2" a="1"/>
  <c r="R84" i="2" s="1"/>
  <c r="Q84" i="2" a="1"/>
  <c r="Q84" i="2" s="1"/>
  <c r="P84" i="2" a="1"/>
  <c r="P84" i="2" s="1"/>
  <c r="H84" i="2" a="1"/>
  <c r="H84" i="2" s="1"/>
  <c r="G84" i="2" a="1"/>
  <c r="G84" i="2" s="1"/>
  <c r="F84" i="2" a="1"/>
  <c r="F84" i="2" s="1"/>
  <c r="D88" i="8" s="1" a="1"/>
  <c r="D88" i="8" s="1"/>
  <c r="D84" i="2" a="1"/>
  <c r="D84" i="2" s="1"/>
  <c r="AH144" i="2" a="1"/>
  <c r="AH144" i="2" s="1"/>
  <c r="R144" i="2" a="1"/>
  <c r="R144" i="2" s="1"/>
  <c r="Q144" i="2" a="1"/>
  <c r="Q144" i="2" s="1"/>
  <c r="P144" i="2" a="1"/>
  <c r="P144" i="2" s="1"/>
  <c r="H144" i="2" a="1"/>
  <c r="H144" i="2" s="1"/>
  <c r="G144" i="2" a="1"/>
  <c r="G144" i="2" s="1"/>
  <c r="F144" i="2" a="1"/>
  <c r="F144" i="2" s="1"/>
  <c r="D87" i="8" s="1" a="1"/>
  <c r="D87" i="8" s="1"/>
  <c r="D144" i="2" a="1"/>
  <c r="D144" i="2" s="1"/>
  <c r="AH153" i="2" a="1"/>
  <c r="AH153" i="2" s="1"/>
  <c r="R153" i="2" a="1"/>
  <c r="R153" i="2" s="1"/>
  <c r="Q153" i="2" a="1"/>
  <c r="Q153" i="2" s="1"/>
  <c r="P153" i="2" a="1"/>
  <c r="P153" i="2" s="1"/>
  <c r="H153" i="2" a="1"/>
  <c r="H153" i="2" s="1"/>
  <c r="G153" i="2" a="1"/>
  <c r="G153" i="2" s="1"/>
  <c r="F153" i="2" a="1"/>
  <c r="F153" i="2" s="1"/>
  <c r="D86" i="8" s="1" a="1"/>
  <c r="D86" i="8" s="1"/>
  <c r="D153" i="2" a="1"/>
  <c r="D153" i="2" s="1"/>
  <c r="B86" i="8" s="1" a="1"/>
  <c r="B86" i="8" s="1"/>
  <c r="AH214" i="2" a="1"/>
  <c r="AH214" i="2" s="1"/>
  <c r="R214" i="2" a="1"/>
  <c r="R214" i="2" s="1"/>
  <c r="Q214" i="2" a="1"/>
  <c r="Q214" i="2" s="1"/>
  <c r="P214" i="2" a="1"/>
  <c r="P214" i="2" s="1"/>
  <c r="H214" i="2" a="1"/>
  <c r="H214" i="2" s="1"/>
  <c r="G214" i="2" a="1"/>
  <c r="G214" i="2" s="1"/>
  <c r="F214" i="2" a="1"/>
  <c r="F214" i="2" s="1"/>
  <c r="D214" i="2" a="1"/>
  <c r="D214" i="2" s="1"/>
  <c r="AH145" i="2" a="1"/>
  <c r="AH145" i="2" s="1"/>
  <c r="R145" i="2" a="1"/>
  <c r="R145" i="2" s="1"/>
  <c r="Q145" i="2" a="1"/>
  <c r="Q145" i="2" s="1"/>
  <c r="AG145" i="2" s="1" a="1"/>
  <c r="AG145" i="2" s="1"/>
  <c r="P145" i="2" a="1"/>
  <c r="P145" i="2" s="1"/>
  <c r="H145" i="2" a="1"/>
  <c r="H145" i="2" s="1"/>
  <c r="G145" i="2" a="1"/>
  <c r="G145" i="2" s="1"/>
  <c r="F145" i="2" a="1"/>
  <c r="F145" i="2" s="1"/>
  <c r="D85" i="8" s="1" a="1"/>
  <c r="D85" i="8" s="1"/>
  <c r="D145" i="2" a="1"/>
  <c r="D145" i="2" s="1"/>
  <c r="AH410" i="2" a="1"/>
  <c r="AH410" i="2" s="1"/>
  <c r="R410" i="2" a="1"/>
  <c r="R410" i="2" s="1"/>
  <c r="Q410" i="2" a="1"/>
  <c r="Q410" i="2" s="1"/>
  <c r="P410" i="2" a="1"/>
  <c r="P410" i="2" s="1"/>
  <c r="H410" i="2" a="1"/>
  <c r="H410" i="2" s="1"/>
  <c r="G410" i="2" a="1"/>
  <c r="G410" i="2" s="1"/>
  <c r="F410" i="2" a="1"/>
  <c r="F410" i="2" s="1"/>
  <c r="D410" i="2" a="1"/>
  <c r="D410" i="2" s="1"/>
  <c r="AH268" i="2" a="1"/>
  <c r="AH268" i="2" s="1"/>
  <c r="R268" i="2" a="1"/>
  <c r="R268" i="2" s="1"/>
  <c r="Q268" i="2" a="1"/>
  <c r="Q268" i="2" s="1"/>
  <c r="P268" i="2" a="1"/>
  <c r="P268" i="2" s="1"/>
  <c r="H268" i="2" a="1"/>
  <c r="H268" i="2" s="1"/>
  <c r="G268" i="2" a="1"/>
  <c r="G268" i="2" s="1"/>
  <c r="F268" i="2" a="1"/>
  <c r="F268" i="2" s="1"/>
  <c r="D268" i="2" a="1"/>
  <c r="D268" i="2" s="1"/>
  <c r="AH104" i="2" a="1"/>
  <c r="AH104" i="2" s="1"/>
  <c r="R104" i="2" a="1"/>
  <c r="R104" i="2" s="1"/>
  <c r="Q104" i="2" a="1"/>
  <c r="Q104" i="2" s="1"/>
  <c r="P104" i="2" a="1"/>
  <c r="P104" i="2" s="1"/>
  <c r="H104" i="2" a="1"/>
  <c r="H104" i="2" s="1"/>
  <c r="G104" i="2" a="1"/>
  <c r="G104" i="2" s="1"/>
  <c r="F104" i="2" a="1"/>
  <c r="F104" i="2" s="1"/>
  <c r="D84" i="8" s="1" a="1"/>
  <c r="D84" i="8" s="1"/>
  <c r="D104" i="2" a="1"/>
  <c r="D104" i="2" s="1"/>
  <c r="B84" i="8" s="1" a="1"/>
  <c r="B84" i="8" s="1"/>
  <c r="AH171" i="2" a="1"/>
  <c r="AH171" i="2" s="1"/>
  <c r="R171" i="2" a="1"/>
  <c r="R171" i="2" s="1"/>
  <c r="Q171" i="2" a="1"/>
  <c r="Q171" i="2" s="1"/>
  <c r="P171" i="2" a="1"/>
  <c r="P171" i="2" s="1"/>
  <c r="H171" i="2" a="1"/>
  <c r="H171" i="2" s="1"/>
  <c r="G171" i="2" a="1"/>
  <c r="G171" i="2" s="1"/>
  <c r="F171" i="2" a="1"/>
  <c r="F171" i="2" s="1"/>
  <c r="D83" i="8" s="1" a="1"/>
  <c r="D83" i="8" s="1"/>
  <c r="D171" i="2" a="1"/>
  <c r="D171" i="2" s="1"/>
  <c r="B83" i="8" s="1" a="1"/>
  <c r="B83" i="8" s="1"/>
  <c r="AH202" i="2" a="1"/>
  <c r="AH202" i="2" s="1"/>
  <c r="R202" i="2" a="1"/>
  <c r="R202" i="2" s="1"/>
  <c r="Q202" i="2" a="1"/>
  <c r="Q202" i="2" s="1"/>
  <c r="AA202" i="2" s="1" a="1"/>
  <c r="AA202" i="2" s="1"/>
  <c r="P202" i="2" a="1"/>
  <c r="P202" i="2" s="1"/>
  <c r="H202" i="2" a="1"/>
  <c r="H202" i="2" s="1"/>
  <c r="G202" i="2" a="1"/>
  <c r="G202" i="2" s="1"/>
  <c r="F202" i="2" a="1"/>
  <c r="F202" i="2" s="1"/>
  <c r="D82" i="8" s="1" a="1"/>
  <c r="D82" i="8" s="1"/>
  <c r="D202" i="2" a="1"/>
  <c r="D202" i="2" s="1"/>
  <c r="AH205" i="2" a="1"/>
  <c r="AH205" i="2" s="1"/>
  <c r="R205" i="2" a="1"/>
  <c r="R205" i="2" s="1"/>
  <c r="Q205" i="2" a="1"/>
  <c r="Q205" i="2" s="1"/>
  <c r="P205" i="2" a="1"/>
  <c r="P205" i="2" s="1"/>
  <c r="H205" i="2" a="1"/>
  <c r="H205" i="2" s="1"/>
  <c r="G205" i="2" a="1"/>
  <c r="G205" i="2" s="1"/>
  <c r="F205" i="2" a="1"/>
  <c r="F205" i="2" s="1"/>
  <c r="D81" i="8" s="1" a="1"/>
  <c r="D81" i="8" s="1"/>
  <c r="D205" i="2" a="1"/>
  <c r="D205" i="2" s="1"/>
  <c r="AH201" i="2" a="1"/>
  <c r="AH201" i="2" s="1"/>
  <c r="R201" i="2" a="1"/>
  <c r="R201" i="2" s="1"/>
  <c r="Q201" i="2" a="1"/>
  <c r="Q201" i="2" s="1"/>
  <c r="AF201" i="2" s="1" a="1"/>
  <c r="AF201" i="2" s="1"/>
  <c r="P201" i="2" a="1"/>
  <c r="P201" i="2" s="1"/>
  <c r="H201" i="2" a="1"/>
  <c r="H201" i="2" s="1"/>
  <c r="G201" i="2" a="1"/>
  <c r="G201" i="2" s="1"/>
  <c r="F201" i="2" a="1"/>
  <c r="F201" i="2" s="1"/>
  <c r="D80" i="8" s="1" a="1"/>
  <c r="D80" i="8" s="1"/>
  <c r="D201" i="2" a="1"/>
  <c r="D201" i="2" s="1"/>
  <c r="AH461" i="2" a="1"/>
  <c r="AH461" i="2" s="1"/>
  <c r="R461" i="2" a="1"/>
  <c r="R461" i="2" s="1"/>
  <c r="Q461" i="2" a="1"/>
  <c r="Q461" i="2" s="1"/>
  <c r="Y461" i="2" s="1" a="1"/>
  <c r="Y461" i="2" s="1"/>
  <c r="P461" i="2" a="1"/>
  <c r="P461" i="2" s="1"/>
  <c r="H461" i="2" a="1"/>
  <c r="H461" i="2" s="1"/>
  <c r="G461" i="2" a="1"/>
  <c r="G461" i="2" s="1"/>
  <c r="F461" i="2" a="1"/>
  <c r="F461" i="2" s="1"/>
  <c r="D461" i="2" a="1"/>
  <c r="D461" i="2" s="1"/>
  <c r="AH127" i="2" a="1"/>
  <c r="AH127" i="2" s="1"/>
  <c r="R127" i="2" a="1"/>
  <c r="R127" i="2" s="1"/>
  <c r="Q127" i="2" a="1"/>
  <c r="Q127" i="2" s="1"/>
  <c r="AG127" i="2" s="1" a="1"/>
  <c r="AG127" i="2" s="1"/>
  <c r="P127" i="2" a="1"/>
  <c r="P127" i="2" s="1"/>
  <c r="H127" i="2" a="1"/>
  <c r="H127" i="2" s="1"/>
  <c r="G127" i="2" a="1"/>
  <c r="G127" i="2" s="1"/>
  <c r="F127" i="2" a="1"/>
  <c r="F127" i="2" s="1"/>
  <c r="D79" i="8" s="1" a="1"/>
  <c r="D79" i="8" s="1"/>
  <c r="D127" i="2" a="1"/>
  <c r="D127" i="2" s="1"/>
  <c r="B79" i="8" s="1" a="1"/>
  <c r="B79" i="8" s="1"/>
  <c r="AH94" i="2" a="1"/>
  <c r="AH94" i="2" s="1"/>
  <c r="R94" i="2" a="1"/>
  <c r="R94" i="2" s="1"/>
  <c r="Q94" i="2" a="1"/>
  <c r="Q94" i="2" s="1"/>
  <c r="P94" i="2" a="1"/>
  <c r="P94" i="2" s="1"/>
  <c r="H94" i="2" a="1"/>
  <c r="H94" i="2" s="1"/>
  <c r="G94" i="2" a="1"/>
  <c r="G94" i="2" s="1"/>
  <c r="F94" i="2" a="1"/>
  <c r="F94" i="2" s="1"/>
  <c r="D78" i="8" s="1" a="1"/>
  <c r="D78" i="8" s="1"/>
  <c r="D94" i="2" a="1"/>
  <c r="D94" i="2" s="1"/>
  <c r="AH225" i="2" a="1"/>
  <c r="AH225" i="2" s="1"/>
  <c r="R225" i="2" a="1"/>
  <c r="R225" i="2" s="1"/>
  <c r="Q225" i="2" a="1"/>
  <c r="Q225" i="2" s="1"/>
  <c r="P225" i="2" a="1"/>
  <c r="P225" i="2" s="1"/>
  <c r="H225" i="2" a="1"/>
  <c r="H225" i="2" s="1"/>
  <c r="G225" i="2" a="1"/>
  <c r="G225" i="2" s="1"/>
  <c r="F225" i="2" a="1"/>
  <c r="F225" i="2" s="1"/>
  <c r="D225" i="2" a="1"/>
  <c r="D225" i="2" s="1"/>
  <c r="AH213" i="2" a="1"/>
  <c r="AH213" i="2" s="1"/>
  <c r="R213" i="2" a="1"/>
  <c r="R213" i="2" s="1"/>
  <c r="Q213" i="2" a="1"/>
  <c r="Q213" i="2" s="1"/>
  <c r="Z213" i="2" s="1" a="1"/>
  <c r="Z213" i="2" s="1"/>
  <c r="P213" i="2" a="1"/>
  <c r="P213" i="2" s="1"/>
  <c r="H213" i="2" a="1"/>
  <c r="H213" i="2" s="1"/>
  <c r="G213" i="2" a="1"/>
  <c r="G213" i="2" s="1"/>
  <c r="F213" i="2" a="1"/>
  <c r="F213" i="2" s="1"/>
  <c r="D77" i="8" s="1" a="1"/>
  <c r="D77" i="8" s="1"/>
  <c r="D213" i="2" a="1"/>
  <c r="D213" i="2" s="1"/>
  <c r="AH216" i="2" a="1"/>
  <c r="AH216" i="2" s="1"/>
  <c r="R216" i="2" a="1"/>
  <c r="R216" i="2" s="1"/>
  <c r="Q216" i="2" a="1"/>
  <c r="Q216" i="2" s="1"/>
  <c r="P216" i="2" a="1"/>
  <c r="P216" i="2" s="1"/>
  <c r="H216" i="2" a="1"/>
  <c r="H216" i="2" s="1"/>
  <c r="G216" i="2" a="1"/>
  <c r="G216" i="2" s="1"/>
  <c r="F216" i="2" a="1"/>
  <c r="F216" i="2" s="1"/>
  <c r="D216" i="2" a="1"/>
  <c r="D216" i="2" s="1"/>
  <c r="AH221" i="2" a="1"/>
  <c r="AH221" i="2" s="1"/>
  <c r="R221" i="2" a="1"/>
  <c r="R221" i="2" s="1"/>
  <c r="Q221" i="2" a="1"/>
  <c r="Q221" i="2" s="1"/>
  <c r="Y221" i="2" s="1" a="1"/>
  <c r="Y221" i="2" s="1"/>
  <c r="P221" i="2" a="1"/>
  <c r="P221" i="2" s="1"/>
  <c r="H221" i="2" a="1"/>
  <c r="H221" i="2" s="1"/>
  <c r="G221" i="2" a="1"/>
  <c r="G221" i="2" s="1"/>
  <c r="F221" i="2" a="1"/>
  <c r="F221" i="2" s="1"/>
  <c r="D76" i="8" s="1" a="1"/>
  <c r="D76" i="8" s="1"/>
  <c r="D221" i="2" a="1"/>
  <c r="D221" i="2" s="1"/>
  <c r="B76" i="8" s="1" a="1"/>
  <c r="B76" i="8" s="1"/>
  <c r="AH257" i="2" a="1"/>
  <c r="AH257" i="2" s="1"/>
  <c r="R257" i="2" a="1"/>
  <c r="R257" i="2" s="1"/>
  <c r="Q257" i="2" a="1"/>
  <c r="Q257" i="2" s="1"/>
  <c r="AA257" i="2" s="1" a="1"/>
  <c r="AA257" i="2" s="1"/>
  <c r="P257" i="2" a="1"/>
  <c r="P257" i="2" s="1"/>
  <c r="H257" i="2" a="1"/>
  <c r="H257" i="2" s="1"/>
  <c r="G257" i="2" a="1"/>
  <c r="G257" i="2" s="1"/>
  <c r="F257" i="2" a="1"/>
  <c r="F257" i="2" s="1"/>
  <c r="D75" i="8" s="1" a="1"/>
  <c r="D75" i="8" s="1"/>
  <c r="D257" i="2" a="1"/>
  <c r="D257" i="2" s="1"/>
  <c r="AJ53" i="2" a="1"/>
  <c r="AJ53" i="2" s="1"/>
  <c r="AN53" i="2" s="1" a="1"/>
  <c r="AN53" i="2" s="1"/>
  <c r="P53" i="2" a="1"/>
  <c r="P53" i="2" s="1"/>
  <c r="H53" i="2" a="1"/>
  <c r="H53" i="2" s="1"/>
  <c r="G53" i="2" a="1"/>
  <c r="G53" i="2" s="1"/>
  <c r="F53" i="2" a="1"/>
  <c r="F53" i="2" s="1"/>
  <c r="D30" i="9" s="1" a="1"/>
  <c r="D30" i="9" s="1"/>
  <c r="D53" i="2" a="1"/>
  <c r="D53" i="2" s="1"/>
  <c r="AH254" i="2" a="1"/>
  <c r="AH254" i="2" s="1"/>
  <c r="R254" i="2" a="1"/>
  <c r="R254" i="2" s="1"/>
  <c r="Q254" i="2" a="1"/>
  <c r="Q254" i="2" s="1"/>
  <c r="P254" i="2" a="1"/>
  <c r="P254" i="2" s="1"/>
  <c r="H254" i="2" a="1"/>
  <c r="H254" i="2" s="1"/>
  <c r="G254" i="2" a="1"/>
  <c r="G254" i="2" s="1"/>
  <c r="F254" i="2" a="1"/>
  <c r="F254" i="2" s="1"/>
  <c r="D254" i="2" a="1"/>
  <c r="D254" i="2" s="1"/>
  <c r="AJ156" i="2" a="1"/>
  <c r="AJ156" i="2" s="1"/>
  <c r="P156" i="2" a="1"/>
  <c r="P156" i="2" s="1"/>
  <c r="H156" i="2" a="1"/>
  <c r="H156" i="2" s="1"/>
  <c r="G156" i="2" a="1"/>
  <c r="G156" i="2" s="1"/>
  <c r="F156" i="2" a="1"/>
  <c r="F156" i="2" s="1"/>
  <c r="D29" i="9" s="1" a="1"/>
  <c r="D29" i="9" s="1"/>
  <c r="D156" i="2" a="1"/>
  <c r="D156" i="2" s="1"/>
  <c r="AH170" i="2" a="1"/>
  <c r="AH170" i="2" s="1"/>
  <c r="R170" i="2" a="1"/>
  <c r="R170" i="2" s="1"/>
  <c r="Q170" i="2" a="1"/>
  <c r="Q170" i="2" s="1"/>
  <c r="Z170" i="2" s="1" a="1"/>
  <c r="Z170" i="2" s="1"/>
  <c r="P170" i="2" a="1"/>
  <c r="P170" i="2" s="1"/>
  <c r="H170" i="2" a="1"/>
  <c r="H170" i="2" s="1"/>
  <c r="G170" i="2" a="1"/>
  <c r="G170" i="2" s="1"/>
  <c r="F170" i="2" a="1"/>
  <c r="F170" i="2" s="1"/>
  <c r="D74" i="8" s="1" a="1"/>
  <c r="D74" i="8" s="1"/>
  <c r="D170" i="2" a="1"/>
  <c r="D170" i="2" s="1"/>
  <c r="AH446" i="2" a="1"/>
  <c r="AH446" i="2" s="1"/>
  <c r="R446" i="2" a="1"/>
  <c r="R446" i="2" s="1"/>
  <c r="Q446" i="2" a="1"/>
  <c r="Q446" i="2" s="1"/>
  <c r="Z446" i="2" s="1" a="1"/>
  <c r="Z446" i="2" s="1"/>
  <c r="P446" i="2" a="1"/>
  <c r="P446" i="2" s="1"/>
  <c r="H446" i="2" a="1"/>
  <c r="H446" i="2" s="1"/>
  <c r="G446" i="2" a="1"/>
  <c r="G446" i="2" s="1"/>
  <c r="F446" i="2" a="1"/>
  <c r="F446" i="2" s="1"/>
  <c r="D446" i="2" a="1"/>
  <c r="D446" i="2" s="1"/>
  <c r="AH135" i="2" a="1"/>
  <c r="AH135" i="2" s="1"/>
  <c r="R135" i="2" a="1"/>
  <c r="R135" i="2" s="1"/>
  <c r="Q135" i="2" a="1"/>
  <c r="Q135" i="2" s="1"/>
  <c r="Y135" i="2" s="1" a="1"/>
  <c r="Y135" i="2" s="1"/>
  <c r="P135" i="2" a="1"/>
  <c r="P135" i="2" s="1"/>
  <c r="H135" i="2" a="1"/>
  <c r="H135" i="2" s="1"/>
  <c r="G135" i="2" a="1"/>
  <c r="G135" i="2" s="1"/>
  <c r="F135" i="2" a="1"/>
  <c r="F135" i="2" s="1"/>
  <c r="D73" i="8" s="1" a="1"/>
  <c r="D73" i="8" s="1"/>
  <c r="D135" i="2" a="1"/>
  <c r="D135" i="2" s="1"/>
  <c r="B73" i="8" s="1" a="1"/>
  <c r="B73" i="8" s="1"/>
  <c r="AH331" i="2" a="1"/>
  <c r="AH331" i="2" s="1"/>
  <c r="R331" i="2" a="1"/>
  <c r="R331" i="2" s="1"/>
  <c r="Q331" i="2" a="1"/>
  <c r="Q331" i="2" s="1"/>
  <c r="Y331" i="2" s="1" a="1"/>
  <c r="Y331" i="2" s="1"/>
  <c r="P331" i="2" a="1"/>
  <c r="P331" i="2" s="1"/>
  <c r="H331" i="2" a="1"/>
  <c r="H331" i="2" s="1"/>
  <c r="G331" i="2" a="1"/>
  <c r="G331" i="2" s="1"/>
  <c r="F331" i="2" a="1"/>
  <c r="F331" i="2" s="1"/>
  <c r="D331" i="2" a="1"/>
  <c r="D331" i="2" s="1"/>
  <c r="AH419" i="2" a="1"/>
  <c r="AH419" i="2" s="1"/>
  <c r="R419" i="2" a="1"/>
  <c r="R419" i="2" s="1"/>
  <c r="Q419" i="2" a="1"/>
  <c r="Q419" i="2" s="1"/>
  <c r="P419" i="2" a="1"/>
  <c r="P419" i="2" s="1"/>
  <c r="H419" i="2" a="1"/>
  <c r="H419" i="2" s="1"/>
  <c r="G419" i="2" a="1"/>
  <c r="G419" i="2" s="1"/>
  <c r="F419" i="2" a="1"/>
  <c r="F419" i="2" s="1"/>
  <c r="D419" i="2" a="1"/>
  <c r="D419" i="2" s="1"/>
  <c r="AH310" i="2" a="1"/>
  <c r="AH310" i="2" s="1"/>
  <c r="R310" i="2" a="1"/>
  <c r="R310" i="2" s="1"/>
  <c r="Q310" i="2" a="1"/>
  <c r="Q310" i="2" s="1"/>
  <c r="P310" i="2" a="1"/>
  <c r="P310" i="2" s="1"/>
  <c r="H310" i="2" a="1"/>
  <c r="H310" i="2" s="1"/>
  <c r="G310" i="2" a="1"/>
  <c r="G310" i="2" s="1"/>
  <c r="F310" i="2" a="1"/>
  <c r="F310" i="2" s="1"/>
  <c r="D310" i="2" a="1"/>
  <c r="D310" i="2" s="1"/>
  <c r="AH416" i="2" a="1"/>
  <c r="AH416" i="2" s="1"/>
  <c r="R416" i="2" a="1"/>
  <c r="R416" i="2" s="1"/>
  <c r="Q416" i="2" a="1"/>
  <c r="Q416" i="2" s="1"/>
  <c r="Z416" i="2" s="1" a="1"/>
  <c r="Z416" i="2" s="1"/>
  <c r="P416" i="2" a="1"/>
  <c r="P416" i="2" s="1"/>
  <c r="H416" i="2" a="1"/>
  <c r="H416" i="2" s="1"/>
  <c r="G416" i="2" a="1"/>
  <c r="G416" i="2" s="1"/>
  <c r="F416" i="2" a="1"/>
  <c r="F416" i="2" s="1"/>
  <c r="D416" i="2" a="1"/>
  <c r="D416" i="2" s="1"/>
  <c r="AH260" i="2" a="1"/>
  <c r="AH260" i="2" s="1"/>
  <c r="R260" i="2" a="1"/>
  <c r="R260" i="2" s="1"/>
  <c r="Q260" i="2" a="1"/>
  <c r="Q260" i="2" s="1"/>
  <c r="AA260" i="2" s="1" a="1"/>
  <c r="AA260" i="2" s="1"/>
  <c r="P260" i="2" a="1"/>
  <c r="P260" i="2" s="1"/>
  <c r="H260" i="2" a="1"/>
  <c r="H260" i="2" s="1"/>
  <c r="G260" i="2" a="1"/>
  <c r="G260" i="2" s="1"/>
  <c r="F260" i="2" a="1"/>
  <c r="F260" i="2" s="1"/>
  <c r="D260" i="2" a="1"/>
  <c r="D260" i="2" s="1"/>
  <c r="AH173" i="2" a="1"/>
  <c r="AH173" i="2" s="1"/>
  <c r="R173" i="2" a="1"/>
  <c r="R173" i="2" s="1"/>
  <c r="Q173" i="2" a="1"/>
  <c r="Q173" i="2" s="1"/>
  <c r="P173" i="2" a="1"/>
  <c r="P173" i="2" s="1"/>
  <c r="H173" i="2" a="1"/>
  <c r="H173" i="2" s="1"/>
  <c r="G173" i="2" a="1"/>
  <c r="G173" i="2" s="1"/>
  <c r="F173" i="2" a="1"/>
  <c r="F173" i="2" s="1"/>
  <c r="D72" i="8" s="1" a="1"/>
  <c r="D72" i="8" s="1"/>
  <c r="D173" i="2" a="1"/>
  <c r="D173" i="2" s="1"/>
  <c r="B72" i="8" s="1" a="1"/>
  <c r="B72" i="8" s="1"/>
  <c r="AH321" i="2" a="1"/>
  <c r="AH321" i="2" s="1"/>
  <c r="R321" i="2" a="1"/>
  <c r="R321" i="2" s="1"/>
  <c r="Q321" i="2" a="1"/>
  <c r="Q321" i="2" s="1"/>
  <c r="P321" i="2" a="1"/>
  <c r="P321" i="2" s="1"/>
  <c r="H321" i="2" a="1"/>
  <c r="H321" i="2" s="1"/>
  <c r="G321" i="2" a="1"/>
  <c r="G321" i="2" s="1"/>
  <c r="F321" i="2" a="1"/>
  <c r="F321" i="2" s="1"/>
  <c r="D321" i="2" a="1"/>
  <c r="D321" i="2" s="1"/>
  <c r="AH76" i="2" a="1"/>
  <c r="AH76" i="2" s="1"/>
  <c r="R76" i="2" a="1"/>
  <c r="R76" i="2" s="1"/>
  <c r="Q76" i="2" a="1"/>
  <c r="Q76" i="2" s="1"/>
  <c r="P76" i="2" a="1"/>
  <c r="P76" i="2" s="1"/>
  <c r="H76" i="2" a="1"/>
  <c r="H76" i="2" s="1"/>
  <c r="G76" i="2" a="1"/>
  <c r="G76" i="2" s="1"/>
  <c r="F76" i="2" a="1"/>
  <c r="F76" i="2" s="1"/>
  <c r="D71" i="8" s="1" a="1"/>
  <c r="D71" i="8" s="1"/>
  <c r="D76" i="2" a="1"/>
  <c r="D76" i="2" s="1"/>
  <c r="AH351" i="2" a="1"/>
  <c r="AH351" i="2" s="1"/>
  <c r="R351" i="2" a="1"/>
  <c r="R351" i="2" s="1"/>
  <c r="Q351" i="2" a="1"/>
  <c r="Q351" i="2" s="1"/>
  <c r="P351" i="2" a="1"/>
  <c r="P351" i="2" s="1"/>
  <c r="H351" i="2" a="1"/>
  <c r="H351" i="2" s="1"/>
  <c r="G351" i="2" a="1"/>
  <c r="G351" i="2" s="1"/>
  <c r="F351" i="2" a="1"/>
  <c r="F351" i="2" s="1"/>
  <c r="D351" i="2" a="1"/>
  <c r="D351" i="2" s="1"/>
  <c r="AJ359" i="2" a="1"/>
  <c r="AJ359" i="2" s="1"/>
  <c r="P359" i="2" a="1"/>
  <c r="P359" i="2" s="1"/>
  <c r="H359" i="2" a="1"/>
  <c r="H359" i="2" s="1"/>
  <c r="G359" i="2" a="1"/>
  <c r="G359" i="2" s="1"/>
  <c r="F359" i="2" a="1"/>
  <c r="F359" i="2" s="1"/>
  <c r="D28" i="9" s="1" a="1"/>
  <c r="D28" i="9" s="1"/>
  <c r="D359" i="2" a="1"/>
  <c r="D359" i="2" s="1"/>
  <c r="B28" i="9" s="1" a="1"/>
  <c r="B28" i="9" s="1"/>
  <c r="AH300" i="2" a="1"/>
  <c r="AH300" i="2" s="1"/>
  <c r="R300" i="2" a="1"/>
  <c r="R300" i="2" s="1"/>
  <c r="Q300" i="2" a="1"/>
  <c r="Q300" i="2" s="1"/>
  <c r="Z300" i="2" s="1" a="1"/>
  <c r="Z300" i="2" s="1"/>
  <c r="P300" i="2" a="1"/>
  <c r="P300" i="2" s="1"/>
  <c r="H300" i="2" a="1"/>
  <c r="H300" i="2" s="1"/>
  <c r="G300" i="2" a="1"/>
  <c r="G300" i="2" s="1"/>
  <c r="F300" i="2" a="1"/>
  <c r="F300" i="2" s="1"/>
  <c r="D70" i="8" s="1" a="1"/>
  <c r="D70" i="8" s="1"/>
  <c r="D300" i="2" a="1"/>
  <c r="D300" i="2" s="1"/>
  <c r="B70" i="8" s="1" a="1"/>
  <c r="B70" i="8" s="1"/>
  <c r="AH160" i="2" a="1"/>
  <c r="AH160" i="2" s="1"/>
  <c r="R160" i="2" a="1"/>
  <c r="R160" i="2" s="1"/>
  <c r="Q160" i="2" a="1"/>
  <c r="Q160" i="2" s="1"/>
  <c r="P160" i="2" a="1"/>
  <c r="P160" i="2" s="1"/>
  <c r="H160" i="2" a="1"/>
  <c r="H160" i="2" s="1"/>
  <c r="G160" i="2" a="1"/>
  <c r="G160" i="2" s="1"/>
  <c r="F160" i="2" a="1"/>
  <c r="F160" i="2" s="1"/>
  <c r="D69" i="8" s="1" a="1"/>
  <c r="D69" i="8" s="1"/>
  <c r="D160" i="2" a="1"/>
  <c r="D160" i="2" s="1"/>
  <c r="AH166" i="2" a="1"/>
  <c r="AH166" i="2" s="1"/>
  <c r="R166" i="2" a="1"/>
  <c r="R166" i="2" s="1"/>
  <c r="Q166" i="2" a="1"/>
  <c r="Q166" i="2" s="1"/>
  <c r="P166" i="2" a="1"/>
  <c r="P166" i="2" s="1"/>
  <c r="H166" i="2" a="1"/>
  <c r="H166" i="2" s="1"/>
  <c r="G166" i="2" a="1"/>
  <c r="G166" i="2" s="1"/>
  <c r="F166" i="2" a="1"/>
  <c r="F166" i="2" s="1"/>
  <c r="D68" i="8" s="1" a="1"/>
  <c r="D68" i="8" s="1"/>
  <c r="D166" i="2" a="1"/>
  <c r="D166" i="2" s="1"/>
  <c r="AH210" i="2" a="1"/>
  <c r="AH210" i="2" s="1"/>
  <c r="R210" i="2" a="1"/>
  <c r="R210" i="2" s="1"/>
  <c r="Q210" i="2" a="1"/>
  <c r="Q210" i="2" s="1"/>
  <c r="P210" i="2" a="1"/>
  <c r="P210" i="2" s="1"/>
  <c r="H210" i="2" a="1"/>
  <c r="H210" i="2" s="1"/>
  <c r="G210" i="2" a="1"/>
  <c r="G210" i="2" s="1"/>
  <c r="F210" i="2" a="1"/>
  <c r="F210" i="2" s="1"/>
  <c r="D67" i="8" s="1" a="1"/>
  <c r="D67" i="8" s="1"/>
  <c r="D210" i="2" a="1"/>
  <c r="D210" i="2" s="1"/>
  <c r="B67" i="8" s="1" a="1"/>
  <c r="B67" i="8" s="1"/>
  <c r="AH386" i="2" a="1"/>
  <c r="AH386" i="2" s="1"/>
  <c r="R386" i="2" a="1"/>
  <c r="R386" i="2" s="1"/>
  <c r="Q386" i="2" a="1"/>
  <c r="Q386" i="2" s="1"/>
  <c r="AB386" i="2" s="1" a="1"/>
  <c r="AB386" i="2" s="1"/>
  <c r="P386" i="2" a="1"/>
  <c r="P386" i="2" s="1"/>
  <c r="H386" i="2" a="1"/>
  <c r="H386" i="2" s="1"/>
  <c r="G386" i="2" a="1"/>
  <c r="G386" i="2" s="1"/>
  <c r="F386" i="2" a="1"/>
  <c r="F386" i="2" s="1"/>
  <c r="D386" i="2" a="1"/>
  <c r="D386" i="2" s="1"/>
  <c r="AH363" i="2" a="1"/>
  <c r="AH363" i="2" s="1"/>
  <c r="R363" i="2" a="1"/>
  <c r="R363" i="2" s="1"/>
  <c r="Q363" i="2" a="1"/>
  <c r="Q363" i="2" s="1"/>
  <c r="P363" i="2" a="1"/>
  <c r="P363" i="2" s="1"/>
  <c r="H363" i="2" a="1"/>
  <c r="H363" i="2" s="1"/>
  <c r="G363" i="2" a="1"/>
  <c r="G363" i="2" s="1"/>
  <c r="F363" i="2" a="1"/>
  <c r="F363" i="2" s="1"/>
  <c r="D363" i="2" a="1"/>
  <c r="D363" i="2" s="1"/>
  <c r="AH431" i="2" a="1"/>
  <c r="AH431" i="2" s="1"/>
  <c r="R431" i="2" a="1"/>
  <c r="R431" i="2" s="1"/>
  <c r="Q431" i="2" a="1"/>
  <c r="Q431" i="2" s="1"/>
  <c r="P431" i="2" a="1"/>
  <c r="P431" i="2" s="1"/>
  <c r="H431" i="2" a="1"/>
  <c r="H431" i="2" s="1"/>
  <c r="G431" i="2" a="1"/>
  <c r="G431" i="2" s="1"/>
  <c r="F431" i="2" a="1"/>
  <c r="F431" i="2" s="1"/>
  <c r="D431" i="2" a="1"/>
  <c r="D431" i="2" s="1"/>
  <c r="AH157" i="2" a="1"/>
  <c r="AH157" i="2" s="1"/>
  <c r="R157" i="2" a="1"/>
  <c r="R157" i="2" s="1"/>
  <c r="Q157" i="2" a="1"/>
  <c r="Q157" i="2" s="1"/>
  <c r="AD157" i="2" s="1" a="1"/>
  <c r="AD157" i="2" s="1"/>
  <c r="P157" i="2" a="1"/>
  <c r="P157" i="2" s="1"/>
  <c r="H157" i="2" a="1"/>
  <c r="H157" i="2" s="1"/>
  <c r="G157" i="2" a="1"/>
  <c r="G157" i="2" s="1"/>
  <c r="F157" i="2" a="1"/>
  <c r="F157" i="2" s="1"/>
  <c r="D157" i="2" a="1"/>
  <c r="D157" i="2" s="1"/>
  <c r="AJ73" i="2" a="1"/>
  <c r="AJ73" i="2" s="1"/>
  <c r="P73" i="2" a="1"/>
  <c r="P73" i="2" s="1"/>
  <c r="H73" i="2" a="1"/>
  <c r="H73" i="2" s="1"/>
  <c r="G73" i="2" a="1"/>
  <c r="G73" i="2" s="1"/>
  <c r="F73" i="2" a="1"/>
  <c r="F73" i="2" s="1"/>
  <c r="D27" i="9" s="1" a="1"/>
  <c r="D27" i="9" s="1"/>
  <c r="D73" i="2" a="1"/>
  <c r="D73" i="2" s="1"/>
  <c r="AH222" i="2" a="1"/>
  <c r="AH222" i="2" s="1"/>
  <c r="R222" i="2" a="1"/>
  <c r="R222" i="2" s="1"/>
  <c r="Q222" i="2" a="1"/>
  <c r="Q222" i="2" s="1"/>
  <c r="AG222" i="2" s="1" a="1"/>
  <c r="AG222" i="2" s="1"/>
  <c r="P222" i="2" a="1"/>
  <c r="P222" i="2" s="1"/>
  <c r="H222" i="2" a="1"/>
  <c r="H222" i="2" s="1"/>
  <c r="G222" i="2" a="1"/>
  <c r="G222" i="2" s="1"/>
  <c r="F222" i="2" a="1"/>
  <c r="F222" i="2" s="1"/>
  <c r="D66" i="8" s="1" a="1"/>
  <c r="D66" i="8" s="1"/>
  <c r="D222" i="2" a="1"/>
  <c r="D222" i="2" s="1"/>
  <c r="AH421" i="2" a="1"/>
  <c r="AH421" i="2" s="1"/>
  <c r="R421" i="2" a="1"/>
  <c r="R421" i="2" s="1"/>
  <c r="Q421" i="2" a="1"/>
  <c r="Q421" i="2" s="1"/>
  <c r="P421" i="2" a="1"/>
  <c r="P421" i="2" s="1"/>
  <c r="H421" i="2" a="1"/>
  <c r="H421" i="2" s="1"/>
  <c r="G421" i="2" a="1"/>
  <c r="G421" i="2" s="1"/>
  <c r="F421" i="2" a="1"/>
  <c r="F421" i="2" s="1"/>
  <c r="D421" i="2" a="1"/>
  <c r="D421" i="2" s="1"/>
  <c r="AH343" i="2" a="1"/>
  <c r="AH343" i="2" s="1"/>
  <c r="R343" i="2" a="1"/>
  <c r="R343" i="2" s="1"/>
  <c r="Q343" i="2" a="1"/>
  <c r="Q343" i="2" s="1"/>
  <c r="P343" i="2" a="1"/>
  <c r="P343" i="2" s="1"/>
  <c r="H343" i="2" a="1"/>
  <c r="H343" i="2" s="1"/>
  <c r="G343" i="2" a="1"/>
  <c r="G343" i="2" s="1"/>
  <c r="F343" i="2" a="1"/>
  <c r="F343" i="2" s="1"/>
  <c r="D343" i="2" a="1"/>
  <c r="D343" i="2" s="1"/>
  <c r="AH150" i="2" a="1"/>
  <c r="AH150" i="2" s="1"/>
  <c r="R150" i="2" a="1"/>
  <c r="R150" i="2" s="1"/>
  <c r="Q150" i="2" a="1"/>
  <c r="Q150" i="2" s="1"/>
  <c r="AD150" i="2" s="1" a="1"/>
  <c r="AD150" i="2" s="1"/>
  <c r="P150" i="2" a="1"/>
  <c r="P150" i="2" s="1"/>
  <c r="H150" i="2" a="1"/>
  <c r="H150" i="2" s="1"/>
  <c r="G150" i="2" a="1"/>
  <c r="G150" i="2" s="1"/>
  <c r="F150" i="2" a="1"/>
  <c r="F150" i="2" s="1"/>
  <c r="D65" i="8" s="1" a="1"/>
  <c r="D65" i="8" s="1"/>
  <c r="D150" i="2" a="1"/>
  <c r="D150" i="2" s="1"/>
  <c r="B65" i="8" s="1" a="1"/>
  <c r="B65" i="8" s="1"/>
  <c r="AH407" i="2" a="1"/>
  <c r="AH407" i="2" s="1"/>
  <c r="R407" i="2" a="1"/>
  <c r="R407" i="2" s="1"/>
  <c r="Q407" i="2" a="1"/>
  <c r="Q407" i="2" s="1"/>
  <c r="P407" i="2" a="1"/>
  <c r="P407" i="2" s="1"/>
  <c r="H407" i="2" a="1"/>
  <c r="H407" i="2" s="1"/>
  <c r="G407" i="2" a="1"/>
  <c r="G407" i="2" s="1"/>
  <c r="F407" i="2" a="1"/>
  <c r="F407" i="2" s="1"/>
  <c r="D407" i="2" a="1"/>
  <c r="D407" i="2" s="1"/>
  <c r="AH138" i="2" a="1"/>
  <c r="AH138" i="2" s="1"/>
  <c r="R138" i="2" a="1"/>
  <c r="R138" i="2" s="1"/>
  <c r="Q138" i="2" a="1"/>
  <c r="Q138" i="2" s="1"/>
  <c r="Z138" i="2" s="1" a="1"/>
  <c r="Z138" i="2" s="1"/>
  <c r="P138" i="2" a="1"/>
  <c r="P138" i="2" s="1"/>
  <c r="H138" i="2" a="1"/>
  <c r="H138" i="2" s="1"/>
  <c r="G138" i="2" a="1"/>
  <c r="G138" i="2" s="1"/>
  <c r="F138" i="2" a="1"/>
  <c r="F138" i="2" s="1"/>
  <c r="D64" i="8" s="1" a="1"/>
  <c r="D64" i="8" s="1"/>
  <c r="D138" i="2" a="1"/>
  <c r="D138" i="2" s="1"/>
  <c r="AJ245" i="2" a="1"/>
  <c r="AJ245" i="2" s="1"/>
  <c r="P245" i="2" a="1"/>
  <c r="P245" i="2" s="1"/>
  <c r="H245" i="2" a="1"/>
  <c r="H245" i="2" s="1"/>
  <c r="G245" i="2" a="1"/>
  <c r="G245" i="2" s="1"/>
  <c r="F245" i="2" a="1"/>
  <c r="F245" i="2" s="1"/>
  <c r="D26" i="9" s="1" a="1"/>
  <c r="D26" i="9" s="1"/>
  <c r="D245" i="2" a="1"/>
  <c r="D245" i="2" s="1"/>
  <c r="B26" i="9" s="1" a="1"/>
  <c r="B26" i="9" s="1"/>
  <c r="AH100" i="2" a="1"/>
  <c r="AH100" i="2" s="1"/>
  <c r="R100" i="2" a="1"/>
  <c r="R100" i="2" s="1"/>
  <c r="Q100" i="2" a="1"/>
  <c r="Q100" i="2" s="1"/>
  <c r="AF100" i="2" s="1" a="1"/>
  <c r="AF100" i="2" s="1"/>
  <c r="P100" i="2" a="1"/>
  <c r="P100" i="2" s="1"/>
  <c r="H100" i="2" a="1"/>
  <c r="H100" i="2" s="1"/>
  <c r="G100" i="2" a="1"/>
  <c r="G100" i="2" s="1"/>
  <c r="F100" i="2" a="1"/>
  <c r="F100" i="2" s="1"/>
  <c r="D63" i="8" s="1" a="1"/>
  <c r="D63" i="8" s="1"/>
  <c r="D100" i="2" a="1"/>
  <c r="D100" i="2" s="1"/>
  <c r="AH281" i="2" a="1"/>
  <c r="AH281" i="2" s="1"/>
  <c r="R281" i="2" a="1"/>
  <c r="R281" i="2" s="1"/>
  <c r="Q281" i="2" a="1"/>
  <c r="Q281" i="2" s="1"/>
  <c r="P281" i="2" a="1"/>
  <c r="P281" i="2" s="1"/>
  <c r="H281" i="2" a="1"/>
  <c r="H281" i="2" s="1"/>
  <c r="G281" i="2" a="1"/>
  <c r="G281" i="2" s="1"/>
  <c r="F281" i="2" a="1"/>
  <c r="F281" i="2" s="1"/>
  <c r="D281" i="2" a="1"/>
  <c r="D281" i="2" s="1"/>
  <c r="AJ85" i="2" a="1"/>
  <c r="AJ85" i="2" s="1"/>
  <c r="P85" i="2" a="1"/>
  <c r="P85" i="2" s="1"/>
  <c r="H85" i="2" a="1"/>
  <c r="H85" i="2" s="1"/>
  <c r="G85" i="2" a="1"/>
  <c r="G85" i="2" s="1"/>
  <c r="F85" i="2" a="1"/>
  <c r="F85" i="2" s="1"/>
  <c r="D25" i="9" s="1" a="1"/>
  <c r="D25" i="9" s="1"/>
  <c r="D85" i="2" a="1"/>
  <c r="D85" i="2" s="1"/>
  <c r="B25" i="9" s="1" a="1"/>
  <c r="B25" i="9" s="1"/>
  <c r="AH178" i="2" a="1"/>
  <c r="AH178" i="2" s="1"/>
  <c r="R178" i="2" a="1"/>
  <c r="R178" i="2" s="1"/>
  <c r="Q178" i="2" a="1"/>
  <c r="Q178" i="2" s="1"/>
  <c r="AG178" i="2" s="1" a="1"/>
  <c r="AG178" i="2" s="1"/>
  <c r="P178" i="2" a="1"/>
  <c r="P178" i="2" s="1"/>
  <c r="H178" i="2" a="1"/>
  <c r="H178" i="2" s="1"/>
  <c r="G178" i="2" a="1"/>
  <c r="G178" i="2" s="1"/>
  <c r="F178" i="2" a="1"/>
  <c r="F178" i="2" s="1"/>
  <c r="D62" i="8" s="1" a="1"/>
  <c r="D62" i="8" s="1"/>
  <c r="D178" i="2" a="1"/>
  <c r="D178" i="2" s="1"/>
  <c r="B62" i="8" s="1" a="1"/>
  <c r="B62" i="8" s="1"/>
  <c r="AH209" i="2" a="1"/>
  <c r="AH209" i="2" s="1"/>
  <c r="R209" i="2" a="1"/>
  <c r="R209" i="2" s="1"/>
  <c r="Q209" i="2" a="1"/>
  <c r="Q209" i="2" s="1"/>
  <c r="P209" i="2" a="1"/>
  <c r="P209" i="2" s="1"/>
  <c r="H209" i="2" a="1"/>
  <c r="H209" i="2" s="1"/>
  <c r="G209" i="2" a="1"/>
  <c r="G209" i="2" s="1"/>
  <c r="F209" i="2" a="1"/>
  <c r="F209" i="2" s="1"/>
  <c r="D61" i="8" s="1" a="1"/>
  <c r="D61" i="8" s="1"/>
  <c r="D209" i="2" a="1"/>
  <c r="D209" i="2" s="1"/>
  <c r="AH180" i="2" a="1"/>
  <c r="AH180" i="2" s="1"/>
  <c r="R180" i="2" a="1"/>
  <c r="R180" i="2" s="1"/>
  <c r="Q180" i="2" a="1"/>
  <c r="Q180" i="2" s="1"/>
  <c r="AG180" i="2" s="1" a="1"/>
  <c r="AG180" i="2" s="1"/>
  <c r="P180" i="2" a="1"/>
  <c r="P180" i="2" s="1"/>
  <c r="H180" i="2" a="1"/>
  <c r="H180" i="2" s="1"/>
  <c r="G180" i="2" a="1"/>
  <c r="G180" i="2" s="1"/>
  <c r="F180" i="2" a="1"/>
  <c r="F180" i="2" s="1"/>
  <c r="D60" i="8" s="1" a="1"/>
  <c r="D60" i="8" s="1"/>
  <c r="D180" i="2" a="1"/>
  <c r="D180" i="2" s="1"/>
  <c r="AH314" i="2" a="1"/>
  <c r="AH314" i="2" s="1"/>
  <c r="R314" i="2" a="1"/>
  <c r="R314" i="2" s="1"/>
  <c r="Q314" i="2" a="1"/>
  <c r="Q314" i="2" s="1"/>
  <c r="AF314" i="2" s="1" a="1"/>
  <c r="AF314" i="2" s="1"/>
  <c r="P314" i="2" a="1"/>
  <c r="P314" i="2" s="1"/>
  <c r="H314" i="2" a="1"/>
  <c r="H314" i="2" s="1"/>
  <c r="G314" i="2" a="1"/>
  <c r="G314" i="2" s="1"/>
  <c r="F314" i="2" a="1"/>
  <c r="F314" i="2" s="1"/>
  <c r="D314" i="2" a="1"/>
  <c r="D314" i="2" s="1"/>
  <c r="AH118" i="2" a="1"/>
  <c r="AH118" i="2" s="1"/>
  <c r="R118" i="2" a="1"/>
  <c r="R118" i="2" s="1"/>
  <c r="Q118" i="2" a="1"/>
  <c r="Q118" i="2" s="1"/>
  <c r="P118" i="2" a="1"/>
  <c r="P118" i="2" s="1"/>
  <c r="H118" i="2" a="1"/>
  <c r="H118" i="2" s="1"/>
  <c r="G118" i="2" a="1"/>
  <c r="G118" i="2" s="1"/>
  <c r="F118" i="2" a="1"/>
  <c r="F118" i="2" s="1"/>
  <c r="D59" i="8" s="1" a="1"/>
  <c r="D59" i="8" s="1"/>
  <c r="D118" i="2" a="1"/>
  <c r="D118" i="2" s="1"/>
  <c r="B59" i="8" s="1" a="1"/>
  <c r="B59" i="8" s="1"/>
  <c r="AH176" i="2" a="1"/>
  <c r="AH176" i="2" s="1"/>
  <c r="R176" i="2" a="1"/>
  <c r="R176" i="2" s="1"/>
  <c r="Q176" i="2" a="1"/>
  <c r="Q176" i="2" s="1"/>
  <c r="P176" i="2" a="1"/>
  <c r="P176" i="2" s="1"/>
  <c r="H176" i="2" a="1"/>
  <c r="H176" i="2" s="1"/>
  <c r="G176" i="2" a="1"/>
  <c r="G176" i="2" s="1"/>
  <c r="F176" i="2" a="1"/>
  <c r="F176" i="2" s="1"/>
  <c r="D58" i="8" s="1" a="1"/>
  <c r="D58" i="8" s="1"/>
  <c r="D176" i="2" a="1"/>
  <c r="D176" i="2" s="1"/>
  <c r="B58" i="8" s="1" a="1"/>
  <c r="B58" i="8" s="1"/>
  <c r="AH181" i="2" a="1"/>
  <c r="AH181" i="2" s="1"/>
  <c r="R181" i="2" a="1"/>
  <c r="R181" i="2" s="1"/>
  <c r="Q181" i="2" a="1"/>
  <c r="Q181" i="2" s="1"/>
  <c r="AG181" i="2" s="1" a="1"/>
  <c r="AG181" i="2" s="1"/>
  <c r="P181" i="2" a="1"/>
  <c r="P181" i="2" s="1"/>
  <c r="H181" i="2" a="1"/>
  <c r="H181" i="2" s="1"/>
  <c r="G181" i="2" a="1"/>
  <c r="G181" i="2" s="1"/>
  <c r="F181" i="2" a="1"/>
  <c r="F181" i="2" s="1"/>
  <c r="D181" i="2" a="1"/>
  <c r="D181" i="2" s="1"/>
  <c r="AH252" i="2" a="1"/>
  <c r="AH252" i="2" s="1"/>
  <c r="R252" i="2" a="1"/>
  <c r="R252" i="2" s="1"/>
  <c r="Q252" i="2" a="1"/>
  <c r="Q252" i="2" s="1"/>
  <c r="AG252" i="2" s="1" a="1"/>
  <c r="AG252" i="2" s="1"/>
  <c r="P252" i="2" a="1"/>
  <c r="P252" i="2" s="1"/>
  <c r="H252" i="2" a="1"/>
  <c r="H252" i="2" s="1"/>
  <c r="G252" i="2" a="1"/>
  <c r="G252" i="2" s="1"/>
  <c r="F252" i="2" a="1"/>
  <c r="F252" i="2" s="1"/>
  <c r="D252" i="2" a="1"/>
  <c r="D252" i="2" s="1"/>
  <c r="AH332" i="2" a="1"/>
  <c r="AH332" i="2" s="1"/>
  <c r="R332" i="2" a="1"/>
  <c r="R332" i="2" s="1"/>
  <c r="Q332" i="2" a="1"/>
  <c r="Q332" i="2" s="1"/>
  <c r="AD332" i="2" s="1" a="1"/>
  <c r="AD332" i="2" s="1"/>
  <c r="P332" i="2" a="1"/>
  <c r="P332" i="2" s="1"/>
  <c r="H332" i="2" a="1"/>
  <c r="H332" i="2" s="1"/>
  <c r="G332" i="2" a="1"/>
  <c r="G332" i="2" s="1"/>
  <c r="F332" i="2" a="1"/>
  <c r="F332" i="2" s="1"/>
  <c r="D332" i="2" a="1"/>
  <c r="D332" i="2" s="1"/>
  <c r="AJ86" i="2" a="1"/>
  <c r="AJ86" i="2" s="1"/>
  <c r="P86" i="2" a="1"/>
  <c r="P86" i="2" s="1"/>
  <c r="H86" i="2" a="1"/>
  <c r="H86" i="2" s="1"/>
  <c r="G86" i="2" a="1"/>
  <c r="G86" i="2" s="1"/>
  <c r="F86" i="2" a="1"/>
  <c r="F86" i="2" s="1"/>
  <c r="D24" i="9" s="1" a="1"/>
  <c r="D24" i="9" s="1"/>
  <c r="D86" i="2" a="1"/>
  <c r="D86" i="2" s="1"/>
  <c r="B24" i="9" s="1" a="1"/>
  <c r="B24" i="9" s="1"/>
  <c r="AH67" i="2" a="1"/>
  <c r="AH67" i="2" s="1"/>
  <c r="R67" i="2" a="1"/>
  <c r="R67" i="2" s="1"/>
  <c r="Q67" i="2" a="1"/>
  <c r="Q67" i="2" s="1"/>
  <c r="AG67" i="2" s="1" a="1"/>
  <c r="AG67" i="2" s="1"/>
  <c r="P67" i="2" a="1"/>
  <c r="P67" i="2" s="1"/>
  <c r="H67" i="2" a="1"/>
  <c r="H67" i="2" s="1"/>
  <c r="G67" i="2" a="1"/>
  <c r="G67" i="2" s="1"/>
  <c r="F67" i="2" a="1"/>
  <c r="F67" i="2" s="1"/>
  <c r="D57" i="8" s="1" a="1"/>
  <c r="D57" i="8" s="1"/>
  <c r="D67" i="2" a="1"/>
  <c r="D67" i="2" s="1"/>
  <c r="AH307" i="2" a="1"/>
  <c r="AH307" i="2" s="1"/>
  <c r="R307" i="2" a="1"/>
  <c r="R307" i="2" s="1"/>
  <c r="Q307" i="2" a="1"/>
  <c r="Q307" i="2" s="1"/>
  <c r="Z307" i="2" s="1" a="1"/>
  <c r="Z307" i="2" s="1"/>
  <c r="P307" i="2" a="1"/>
  <c r="P307" i="2" s="1"/>
  <c r="H307" i="2" a="1"/>
  <c r="H307" i="2" s="1"/>
  <c r="G307" i="2" a="1"/>
  <c r="G307" i="2" s="1"/>
  <c r="F307" i="2" a="1"/>
  <c r="F307" i="2" s="1"/>
  <c r="D307" i="2" a="1"/>
  <c r="D307" i="2" s="1"/>
  <c r="AH234" i="2" a="1"/>
  <c r="AH234" i="2" s="1"/>
  <c r="R234" i="2" a="1"/>
  <c r="R234" i="2" s="1"/>
  <c r="Q234" i="2" a="1"/>
  <c r="Q234" i="2" s="1"/>
  <c r="AD234" i="2" s="1" a="1"/>
  <c r="AD234" i="2" s="1"/>
  <c r="P234" i="2" a="1"/>
  <c r="P234" i="2" s="1"/>
  <c r="H234" i="2" a="1"/>
  <c r="H234" i="2" s="1"/>
  <c r="G234" i="2" a="1"/>
  <c r="G234" i="2" s="1"/>
  <c r="F234" i="2" a="1"/>
  <c r="F234" i="2" s="1"/>
  <c r="D234" i="2" a="1"/>
  <c r="D234" i="2" s="1"/>
  <c r="AH103" i="2" a="1"/>
  <c r="AH103" i="2" s="1"/>
  <c r="R103" i="2" a="1"/>
  <c r="R103" i="2" s="1"/>
  <c r="Q103" i="2" a="1"/>
  <c r="Q103" i="2" s="1"/>
  <c r="P103" i="2" a="1"/>
  <c r="P103" i="2" s="1"/>
  <c r="H103" i="2" a="1"/>
  <c r="H103" i="2" s="1"/>
  <c r="G103" i="2" a="1"/>
  <c r="G103" i="2" s="1"/>
  <c r="F103" i="2" a="1"/>
  <c r="F103" i="2" s="1"/>
  <c r="D103" i="2" a="1"/>
  <c r="D103" i="2" s="1"/>
  <c r="AH82" i="2" a="1"/>
  <c r="AH82" i="2" s="1"/>
  <c r="R82" i="2" a="1"/>
  <c r="R82" i="2" s="1"/>
  <c r="Q82" i="2" a="1"/>
  <c r="Q82" i="2" s="1"/>
  <c r="P82" i="2" a="1"/>
  <c r="P82" i="2" s="1"/>
  <c r="H82" i="2" a="1"/>
  <c r="H82" i="2" s="1"/>
  <c r="G82" i="2" a="1"/>
  <c r="G82" i="2" s="1"/>
  <c r="F82" i="2" a="1"/>
  <c r="F82" i="2" s="1"/>
  <c r="D82" i="2" a="1"/>
  <c r="D82" i="2" s="1"/>
  <c r="AH168" i="2" a="1"/>
  <c r="AH168" i="2" s="1"/>
  <c r="R168" i="2" a="1"/>
  <c r="R168" i="2" s="1"/>
  <c r="Q168" i="2" a="1"/>
  <c r="Q168" i="2" s="1"/>
  <c r="P168" i="2" a="1"/>
  <c r="P168" i="2" s="1"/>
  <c r="H168" i="2" a="1"/>
  <c r="H168" i="2" s="1"/>
  <c r="G168" i="2" a="1"/>
  <c r="G168" i="2" s="1"/>
  <c r="F168" i="2" a="1"/>
  <c r="F168" i="2" s="1"/>
  <c r="D56" i="8" s="1" a="1"/>
  <c r="D56" i="8" s="1"/>
  <c r="D168" i="2" a="1"/>
  <c r="D168" i="2" s="1"/>
  <c r="AH59" i="2" a="1"/>
  <c r="AH59" i="2" s="1"/>
  <c r="R59" i="2" a="1"/>
  <c r="R59" i="2" s="1"/>
  <c r="Q59" i="2" a="1"/>
  <c r="Q59" i="2" s="1"/>
  <c r="P59" i="2" a="1"/>
  <c r="P59" i="2" s="1"/>
  <c r="H59" i="2" a="1"/>
  <c r="H59" i="2" s="1"/>
  <c r="G59" i="2" a="1"/>
  <c r="G59" i="2" s="1"/>
  <c r="F59" i="2" a="1"/>
  <c r="F59" i="2" s="1"/>
  <c r="D55" i="8" s="1" a="1"/>
  <c r="D55" i="8" s="1"/>
  <c r="D59" i="2" a="1"/>
  <c r="D59" i="2" s="1"/>
  <c r="AH169" i="2" a="1"/>
  <c r="AH169" i="2" s="1"/>
  <c r="R169" i="2" a="1"/>
  <c r="R169" i="2" s="1"/>
  <c r="Q169" i="2" a="1"/>
  <c r="Q169" i="2" s="1"/>
  <c r="Y169" i="2" s="1" a="1"/>
  <c r="Y169" i="2" s="1"/>
  <c r="P169" i="2" a="1"/>
  <c r="P169" i="2" s="1"/>
  <c r="H169" i="2" a="1"/>
  <c r="H169" i="2" s="1"/>
  <c r="G169" i="2" a="1"/>
  <c r="G169" i="2" s="1"/>
  <c r="F169" i="2" a="1"/>
  <c r="F169" i="2" s="1"/>
  <c r="D54" i="8" s="1" a="1"/>
  <c r="D54" i="8" s="1"/>
  <c r="D169" i="2" a="1"/>
  <c r="D169" i="2" s="1"/>
  <c r="B54" i="8" s="1" a="1"/>
  <c r="B54" i="8" s="1"/>
  <c r="AH195" i="2" a="1"/>
  <c r="AH195" i="2" s="1"/>
  <c r="R195" i="2" a="1"/>
  <c r="R195" i="2" s="1"/>
  <c r="Q195" i="2" a="1"/>
  <c r="Q195" i="2" s="1"/>
  <c r="P195" i="2" a="1"/>
  <c r="P195" i="2" s="1"/>
  <c r="H195" i="2" a="1"/>
  <c r="H195" i="2" s="1"/>
  <c r="G195" i="2" a="1"/>
  <c r="G195" i="2" s="1"/>
  <c r="F195" i="2" a="1"/>
  <c r="F195" i="2" s="1"/>
  <c r="D53" i="8" s="1" a="1"/>
  <c r="D53" i="8" s="1"/>
  <c r="D195" i="2" a="1"/>
  <c r="D195" i="2" s="1"/>
  <c r="B53" i="8" s="1" a="1"/>
  <c r="B53" i="8" s="1"/>
  <c r="AH355" i="2" a="1"/>
  <c r="AH355" i="2" s="1"/>
  <c r="R355" i="2" a="1"/>
  <c r="R355" i="2" s="1"/>
  <c r="Q355" i="2" a="1"/>
  <c r="Q355" i="2" s="1"/>
  <c r="P355" i="2" a="1"/>
  <c r="P355" i="2" s="1"/>
  <c r="H355" i="2" a="1"/>
  <c r="H355" i="2" s="1"/>
  <c r="G355" i="2" a="1"/>
  <c r="G355" i="2" s="1"/>
  <c r="F355" i="2" a="1"/>
  <c r="F355" i="2" s="1"/>
  <c r="D355" i="2" a="1"/>
  <c r="D355" i="2" s="1"/>
  <c r="AH152" i="2" a="1"/>
  <c r="AH152" i="2" s="1"/>
  <c r="R152" i="2" a="1"/>
  <c r="R152" i="2" s="1"/>
  <c r="Q152" i="2" a="1"/>
  <c r="Q152" i="2" s="1"/>
  <c r="P152" i="2" a="1"/>
  <c r="P152" i="2" s="1"/>
  <c r="H152" i="2" a="1"/>
  <c r="H152" i="2" s="1"/>
  <c r="G152" i="2" a="1"/>
  <c r="G152" i="2" s="1"/>
  <c r="F152" i="2" a="1"/>
  <c r="F152" i="2" s="1"/>
  <c r="D52" i="8" s="1" a="1"/>
  <c r="D52" i="8" s="1"/>
  <c r="D152" i="2" a="1"/>
  <c r="D152" i="2" s="1"/>
  <c r="AH188" i="2" a="1"/>
  <c r="AH188" i="2" s="1"/>
  <c r="R188" i="2" a="1"/>
  <c r="R188" i="2" s="1"/>
  <c r="Q188" i="2" a="1"/>
  <c r="Q188" i="2" s="1"/>
  <c r="P188" i="2" a="1"/>
  <c r="P188" i="2" s="1"/>
  <c r="H188" i="2" a="1"/>
  <c r="H188" i="2" s="1"/>
  <c r="G188" i="2" a="1"/>
  <c r="G188" i="2" s="1"/>
  <c r="F188" i="2" a="1"/>
  <c r="F188" i="2" s="1"/>
  <c r="D188" i="2" a="1"/>
  <c r="D188" i="2" s="1"/>
  <c r="AH96" i="2" a="1"/>
  <c r="AH96" i="2" s="1"/>
  <c r="R96" i="2" a="1"/>
  <c r="R96" i="2" s="1"/>
  <c r="Q96" i="2" a="1"/>
  <c r="Q96" i="2" s="1"/>
  <c r="AA96" i="2" s="1" a="1"/>
  <c r="AA96" i="2" s="1"/>
  <c r="P96" i="2" a="1"/>
  <c r="P96" i="2" s="1"/>
  <c r="H96" i="2" a="1"/>
  <c r="H96" i="2" s="1"/>
  <c r="G96" i="2" a="1"/>
  <c r="G96" i="2" s="1"/>
  <c r="F96" i="2" a="1"/>
  <c r="F96" i="2" s="1"/>
  <c r="D51" i="8" s="1" a="1"/>
  <c r="D51" i="8" s="1"/>
  <c r="D96" i="2" a="1"/>
  <c r="D96" i="2" s="1"/>
  <c r="B51" i="8" s="1" a="1"/>
  <c r="B51" i="8" s="1"/>
  <c r="AH240" i="2" a="1"/>
  <c r="AH240" i="2" s="1"/>
  <c r="R240" i="2" a="1"/>
  <c r="R240" i="2" s="1"/>
  <c r="Q240" i="2" a="1"/>
  <c r="Q240" i="2" s="1"/>
  <c r="P240" i="2" a="1"/>
  <c r="P240" i="2" s="1"/>
  <c r="H240" i="2" a="1"/>
  <c r="H240" i="2" s="1"/>
  <c r="G240" i="2" a="1"/>
  <c r="G240" i="2" s="1"/>
  <c r="F240" i="2" a="1"/>
  <c r="F240" i="2" s="1"/>
  <c r="D240" i="2" a="1"/>
  <c r="D240" i="2" s="1"/>
  <c r="AH159" i="2" a="1"/>
  <c r="AH159" i="2" s="1"/>
  <c r="R159" i="2" a="1"/>
  <c r="R159" i="2" s="1"/>
  <c r="Q159" i="2" a="1"/>
  <c r="Q159" i="2" s="1"/>
  <c r="P159" i="2" a="1"/>
  <c r="P159" i="2" s="1"/>
  <c r="H159" i="2" a="1"/>
  <c r="H159" i="2" s="1"/>
  <c r="G159" i="2" a="1"/>
  <c r="G159" i="2" s="1"/>
  <c r="F159" i="2" a="1"/>
  <c r="F159" i="2" s="1"/>
  <c r="D159" i="2" a="1"/>
  <c r="D159" i="2" s="1"/>
  <c r="AH137" i="2" a="1"/>
  <c r="AH137" i="2" s="1"/>
  <c r="R137" i="2" a="1"/>
  <c r="R137" i="2" s="1"/>
  <c r="Q137" i="2" a="1"/>
  <c r="Q137" i="2" s="1"/>
  <c r="P137" i="2" a="1"/>
  <c r="P137" i="2" s="1"/>
  <c r="H137" i="2" a="1"/>
  <c r="H137" i="2" s="1"/>
  <c r="G137" i="2" a="1"/>
  <c r="G137" i="2" s="1"/>
  <c r="F137" i="2" a="1"/>
  <c r="F137" i="2" s="1"/>
  <c r="D137" i="2" a="1"/>
  <c r="D137" i="2" s="1"/>
  <c r="AJ117" i="2" a="1"/>
  <c r="AJ117" i="2" s="1"/>
  <c r="P117" i="2" a="1"/>
  <c r="P117" i="2" s="1"/>
  <c r="H117" i="2" a="1"/>
  <c r="H117" i="2" s="1"/>
  <c r="G117" i="2" a="1"/>
  <c r="G117" i="2" s="1"/>
  <c r="F117" i="2" a="1"/>
  <c r="F117" i="2" s="1"/>
  <c r="D23" i="9" s="1" a="1"/>
  <c r="D23" i="9" s="1"/>
  <c r="D117" i="2" a="1"/>
  <c r="D117" i="2" s="1"/>
  <c r="B23" i="9" s="1" a="1"/>
  <c r="B23" i="9" s="1"/>
  <c r="AH211" i="2" a="1"/>
  <c r="AH211" i="2" s="1"/>
  <c r="R211" i="2" a="1"/>
  <c r="R211" i="2" s="1"/>
  <c r="Q211" i="2" a="1"/>
  <c r="Q211" i="2" s="1"/>
  <c r="P211" i="2" a="1"/>
  <c r="P211" i="2" s="1"/>
  <c r="H211" i="2" a="1"/>
  <c r="H211" i="2" s="1"/>
  <c r="G211" i="2" a="1"/>
  <c r="G211" i="2" s="1"/>
  <c r="F211" i="2" a="1"/>
  <c r="F211" i="2" s="1"/>
  <c r="D211" i="2" a="1"/>
  <c r="D211" i="2" s="1"/>
  <c r="AH285" i="2" a="1"/>
  <c r="AH285" i="2" s="1"/>
  <c r="R285" i="2" a="1"/>
  <c r="R285" i="2" s="1"/>
  <c r="Q285" i="2" a="1"/>
  <c r="Q285" i="2" s="1"/>
  <c r="P285" i="2" a="1"/>
  <c r="P285" i="2" s="1"/>
  <c r="H285" i="2" a="1"/>
  <c r="H285" i="2" s="1"/>
  <c r="G285" i="2" a="1"/>
  <c r="G285" i="2" s="1"/>
  <c r="F285" i="2" a="1"/>
  <c r="F285" i="2" s="1"/>
  <c r="D285" i="2" a="1"/>
  <c r="D285" i="2" s="1"/>
  <c r="AH184" i="2" a="1"/>
  <c r="AH184" i="2" s="1"/>
  <c r="R184" i="2" a="1"/>
  <c r="R184" i="2" s="1"/>
  <c r="Q184" i="2" a="1"/>
  <c r="Q184" i="2" s="1"/>
  <c r="P184" i="2" a="1"/>
  <c r="P184" i="2" s="1"/>
  <c r="H184" i="2" a="1"/>
  <c r="H184" i="2" s="1"/>
  <c r="G184" i="2" a="1"/>
  <c r="G184" i="2" s="1"/>
  <c r="F184" i="2" a="1"/>
  <c r="F184" i="2" s="1"/>
  <c r="D184" i="2" a="1"/>
  <c r="D184" i="2" s="1"/>
  <c r="AH266" i="2" a="1"/>
  <c r="AH266" i="2" s="1"/>
  <c r="R266" i="2" a="1"/>
  <c r="R266" i="2" s="1"/>
  <c r="Q266" i="2" a="1"/>
  <c r="Q266" i="2" s="1"/>
  <c r="AB266" i="2" s="1" a="1"/>
  <c r="AB266" i="2" s="1"/>
  <c r="P266" i="2" a="1"/>
  <c r="P266" i="2" s="1"/>
  <c r="H266" i="2" a="1"/>
  <c r="H266" i="2" s="1"/>
  <c r="G266" i="2" a="1"/>
  <c r="G266" i="2" s="1"/>
  <c r="F266" i="2" a="1"/>
  <c r="F266" i="2" s="1"/>
  <c r="D266" i="2" a="1"/>
  <c r="D266" i="2" s="1"/>
  <c r="AH187" i="2" a="1"/>
  <c r="AH187" i="2" s="1"/>
  <c r="R187" i="2" a="1"/>
  <c r="R187" i="2" s="1"/>
  <c r="Q187" i="2" a="1"/>
  <c r="Q187" i="2" s="1"/>
  <c r="AA187" i="2" s="1" a="1"/>
  <c r="AA187" i="2" s="1"/>
  <c r="P187" i="2" a="1"/>
  <c r="P187" i="2" s="1"/>
  <c r="H187" i="2" a="1"/>
  <c r="H187" i="2" s="1"/>
  <c r="G187" i="2" a="1"/>
  <c r="G187" i="2" s="1"/>
  <c r="F187" i="2" a="1"/>
  <c r="F187" i="2" s="1"/>
  <c r="D187" i="2" a="1"/>
  <c r="D187" i="2" s="1"/>
  <c r="AH272" i="2" a="1"/>
  <c r="AH272" i="2" s="1"/>
  <c r="R272" i="2" a="1"/>
  <c r="R272" i="2" s="1"/>
  <c r="Q272" i="2" a="1"/>
  <c r="Q272" i="2" s="1"/>
  <c r="P272" i="2" a="1"/>
  <c r="P272" i="2" s="1"/>
  <c r="H272" i="2" a="1"/>
  <c r="H272" i="2" s="1"/>
  <c r="G272" i="2" a="1"/>
  <c r="G272" i="2" s="1"/>
  <c r="F272" i="2" a="1"/>
  <c r="F272" i="2" s="1"/>
  <c r="D272" i="2" a="1"/>
  <c r="D272" i="2" s="1"/>
  <c r="AJ69" i="2" a="1"/>
  <c r="AJ69" i="2" s="1"/>
  <c r="AN69" i="2" s="1" a="1"/>
  <c r="AN69" i="2" s="1"/>
  <c r="P69" i="2" a="1"/>
  <c r="P69" i="2" s="1"/>
  <c r="H69" i="2" a="1"/>
  <c r="H69" i="2" s="1"/>
  <c r="G69" i="2" a="1"/>
  <c r="G69" i="2" s="1"/>
  <c r="F69" i="2" a="1"/>
  <c r="F69" i="2" s="1"/>
  <c r="D22" i="9" s="1" a="1"/>
  <c r="D22" i="9" s="1"/>
  <c r="D69" i="2" a="1"/>
  <c r="D69" i="2" s="1"/>
  <c r="AH182" i="2" a="1"/>
  <c r="AH182" i="2" s="1"/>
  <c r="R182" i="2" a="1"/>
  <c r="R182" i="2" s="1"/>
  <c r="Q182" i="2" a="1"/>
  <c r="Q182" i="2" s="1"/>
  <c r="P182" i="2" a="1"/>
  <c r="P182" i="2" s="1"/>
  <c r="H182" i="2" a="1"/>
  <c r="H182" i="2" s="1"/>
  <c r="G182" i="2" a="1"/>
  <c r="G182" i="2" s="1"/>
  <c r="F182" i="2" a="1"/>
  <c r="F182" i="2" s="1"/>
  <c r="D50" i="8" s="1" a="1"/>
  <c r="D50" i="8" s="1"/>
  <c r="D182" i="2" a="1"/>
  <c r="D182" i="2" s="1"/>
  <c r="B50" i="8" s="1" a="1"/>
  <c r="B50" i="8" s="1"/>
  <c r="AH79" i="2" a="1"/>
  <c r="AH79" i="2" s="1"/>
  <c r="R79" i="2" a="1"/>
  <c r="R79" i="2" s="1"/>
  <c r="Q79" i="2" a="1"/>
  <c r="Q79" i="2" s="1"/>
  <c r="Y79" i="2" s="1" a="1"/>
  <c r="Y79" i="2" s="1"/>
  <c r="P79" i="2" a="1"/>
  <c r="P79" i="2" s="1"/>
  <c r="H79" i="2" a="1"/>
  <c r="H79" i="2" s="1"/>
  <c r="G79" i="2" a="1"/>
  <c r="G79" i="2" s="1"/>
  <c r="F79" i="2" a="1"/>
  <c r="F79" i="2" s="1"/>
  <c r="D49" i="8" s="1" a="1"/>
  <c r="D49" i="8" s="1"/>
  <c r="D79" i="2" a="1"/>
  <c r="D79" i="2" s="1"/>
  <c r="B49" i="8" s="1" a="1"/>
  <c r="B49" i="8" s="1"/>
  <c r="AH111" i="2" a="1"/>
  <c r="AH111" i="2" s="1"/>
  <c r="R111" i="2" a="1"/>
  <c r="R111" i="2" s="1"/>
  <c r="Q111" i="2" a="1"/>
  <c r="Q111" i="2" s="1"/>
  <c r="AG111" i="2" s="1" a="1"/>
  <c r="AG111" i="2" s="1"/>
  <c r="P111" i="2" a="1"/>
  <c r="P111" i="2" s="1"/>
  <c r="H111" i="2" a="1"/>
  <c r="H111" i="2" s="1"/>
  <c r="G111" i="2" a="1"/>
  <c r="G111" i="2" s="1"/>
  <c r="F111" i="2" a="1"/>
  <c r="F111" i="2" s="1"/>
  <c r="D111" i="2" a="1"/>
  <c r="D111" i="2" s="1"/>
  <c r="AH161" i="2" a="1"/>
  <c r="AH161" i="2" s="1"/>
  <c r="R161" i="2" a="1"/>
  <c r="R161" i="2" s="1"/>
  <c r="Q161" i="2" a="1"/>
  <c r="Q161" i="2" s="1"/>
  <c r="AG161" i="2" s="1" a="1"/>
  <c r="AG161" i="2" s="1"/>
  <c r="P161" i="2" a="1"/>
  <c r="P161" i="2" s="1"/>
  <c r="H161" i="2" a="1"/>
  <c r="H161" i="2" s="1"/>
  <c r="G161" i="2" a="1"/>
  <c r="G161" i="2" s="1"/>
  <c r="F161" i="2" a="1"/>
  <c r="F161" i="2" s="1"/>
  <c r="D48" i="8" s="1" a="1"/>
  <c r="D48" i="8" s="1"/>
  <c r="D161" i="2" a="1"/>
  <c r="D161" i="2" s="1"/>
  <c r="B48" i="8" s="1" a="1"/>
  <c r="B48" i="8" s="1"/>
  <c r="AH147" i="2" a="1"/>
  <c r="AH147" i="2" s="1"/>
  <c r="R147" i="2" a="1"/>
  <c r="R147" i="2" s="1"/>
  <c r="Q147" i="2" a="1"/>
  <c r="Q147" i="2" s="1"/>
  <c r="AB147" i="2" s="1" a="1"/>
  <c r="AB147" i="2" s="1"/>
  <c r="P147" i="2" a="1"/>
  <c r="P147" i="2" s="1"/>
  <c r="H147" i="2" a="1"/>
  <c r="H147" i="2" s="1"/>
  <c r="G147" i="2" a="1"/>
  <c r="G147" i="2" s="1"/>
  <c r="F147" i="2" a="1"/>
  <c r="F147" i="2" s="1"/>
  <c r="D147" i="2" a="1"/>
  <c r="D147" i="2" s="1"/>
  <c r="AH191" i="2" a="1"/>
  <c r="AH191" i="2" s="1"/>
  <c r="R191" i="2" a="1"/>
  <c r="R191" i="2" s="1"/>
  <c r="Q191" i="2" a="1"/>
  <c r="Q191" i="2" s="1"/>
  <c r="AG191" i="2" s="1" a="1"/>
  <c r="AG191" i="2" s="1"/>
  <c r="P191" i="2" a="1"/>
  <c r="P191" i="2" s="1"/>
  <c r="H191" i="2" a="1"/>
  <c r="H191" i="2" s="1"/>
  <c r="G191" i="2" a="1"/>
  <c r="G191" i="2" s="1"/>
  <c r="F191" i="2" a="1"/>
  <c r="F191" i="2" s="1"/>
  <c r="D47" i="8" s="1" a="1"/>
  <c r="D47" i="8" s="1"/>
  <c r="D191" i="2" a="1"/>
  <c r="D191" i="2" s="1"/>
  <c r="B47" i="8" s="1" a="1"/>
  <c r="B47" i="8" s="1"/>
  <c r="AH231" i="2" a="1"/>
  <c r="AH231" i="2" s="1"/>
  <c r="R231" i="2" a="1"/>
  <c r="R231" i="2" s="1"/>
  <c r="Q231" i="2" a="1"/>
  <c r="Q231" i="2" s="1"/>
  <c r="Y231" i="2" s="1" a="1"/>
  <c r="Y231" i="2" s="1"/>
  <c r="P231" i="2" a="1"/>
  <c r="P231" i="2" s="1"/>
  <c r="H231" i="2" a="1"/>
  <c r="H231" i="2" s="1"/>
  <c r="G231" i="2" a="1"/>
  <c r="G231" i="2" s="1"/>
  <c r="F231" i="2" a="1"/>
  <c r="F231" i="2" s="1"/>
  <c r="D231" i="2" a="1"/>
  <c r="D231" i="2" s="1"/>
  <c r="AH219" i="2" a="1"/>
  <c r="AH219" i="2" s="1"/>
  <c r="R219" i="2" a="1"/>
  <c r="R219" i="2" s="1"/>
  <c r="Q219" i="2" a="1"/>
  <c r="Q219" i="2" s="1"/>
  <c r="Y219" i="2" s="1" a="1"/>
  <c r="Y219" i="2" s="1"/>
  <c r="P219" i="2" a="1"/>
  <c r="P219" i="2" s="1"/>
  <c r="H219" i="2" a="1"/>
  <c r="H219" i="2" s="1"/>
  <c r="G219" i="2" a="1"/>
  <c r="G219" i="2" s="1"/>
  <c r="F219" i="2" a="1"/>
  <c r="F219" i="2" s="1"/>
  <c r="D219" i="2" a="1"/>
  <c r="D219" i="2" s="1"/>
  <c r="AH265" i="2" a="1"/>
  <c r="AH265" i="2" s="1"/>
  <c r="R265" i="2" a="1"/>
  <c r="R265" i="2" s="1"/>
  <c r="Q265" i="2" a="1"/>
  <c r="Q265" i="2" s="1"/>
  <c r="Y265" i="2" s="1" a="1"/>
  <c r="Y265" i="2" s="1"/>
  <c r="P265" i="2" a="1"/>
  <c r="P265" i="2" s="1"/>
  <c r="H265" i="2" a="1"/>
  <c r="H265" i="2" s="1"/>
  <c r="G265" i="2" a="1"/>
  <c r="G265" i="2" s="1"/>
  <c r="F265" i="2" a="1"/>
  <c r="F265" i="2" s="1"/>
  <c r="D265" i="2" a="1"/>
  <c r="D265" i="2" s="1"/>
  <c r="AJ38" i="2" a="1"/>
  <c r="AJ38" i="2" s="1"/>
  <c r="AM38" i="2" s="1" a="1"/>
  <c r="AM38" i="2" s="1"/>
  <c r="P38" i="2" a="1"/>
  <c r="P38" i="2" s="1"/>
  <c r="H38" i="2" a="1"/>
  <c r="H38" i="2" s="1"/>
  <c r="G38" i="2" a="1"/>
  <c r="G38" i="2" s="1"/>
  <c r="F38" i="2" a="1"/>
  <c r="F38" i="2" s="1"/>
  <c r="D21" i="9" s="1" a="1"/>
  <c r="D21" i="9" s="1"/>
  <c r="D38" i="2" a="1"/>
  <c r="D38" i="2" s="1"/>
  <c r="AJ47" i="2" a="1"/>
  <c r="AJ47" i="2" s="1"/>
  <c r="P47" i="2" a="1"/>
  <c r="P47" i="2" s="1"/>
  <c r="H47" i="2" a="1"/>
  <c r="H47" i="2" s="1"/>
  <c r="G47" i="2" a="1"/>
  <c r="G47" i="2" s="1"/>
  <c r="F47" i="2" a="1"/>
  <c r="F47" i="2" s="1"/>
  <c r="D20" i="9" s="1" a="1"/>
  <c r="D20" i="9" s="1"/>
  <c r="D47" i="2" a="1"/>
  <c r="D47" i="2" s="1"/>
  <c r="B20" i="9" s="1" a="1"/>
  <c r="B20" i="9" s="1"/>
  <c r="AH208" i="2" a="1"/>
  <c r="AH208" i="2" s="1"/>
  <c r="R208" i="2" a="1"/>
  <c r="R208" i="2" s="1"/>
  <c r="Q208" i="2" a="1"/>
  <c r="Q208" i="2" s="1"/>
  <c r="P208" i="2" a="1"/>
  <c r="P208" i="2" s="1"/>
  <c r="H208" i="2" a="1"/>
  <c r="H208" i="2" s="1"/>
  <c r="G208" i="2" a="1"/>
  <c r="G208" i="2" s="1"/>
  <c r="F208" i="2" a="1"/>
  <c r="F208" i="2" s="1"/>
  <c r="D208" i="2" a="1"/>
  <c r="D208" i="2" s="1"/>
  <c r="AH80" i="2" a="1"/>
  <c r="AH80" i="2" s="1"/>
  <c r="R80" i="2" a="1"/>
  <c r="R80" i="2" s="1"/>
  <c r="Q80" i="2" a="1"/>
  <c r="Q80" i="2" s="1"/>
  <c r="AD80" i="2" s="1" a="1"/>
  <c r="AD80" i="2" s="1"/>
  <c r="P80" i="2" a="1"/>
  <c r="P80" i="2" s="1"/>
  <c r="H80" i="2" a="1"/>
  <c r="H80" i="2" s="1"/>
  <c r="G80" i="2" a="1"/>
  <c r="G80" i="2" s="1"/>
  <c r="F80" i="2" a="1"/>
  <c r="F80" i="2" s="1"/>
  <c r="D80" i="2" a="1"/>
  <c r="D80" i="2" s="1"/>
  <c r="AH192" i="2" a="1"/>
  <c r="AH192" i="2" s="1"/>
  <c r="R192" i="2" a="1"/>
  <c r="R192" i="2" s="1"/>
  <c r="Q192" i="2" a="1"/>
  <c r="Q192" i="2" s="1"/>
  <c r="P192" i="2" a="1"/>
  <c r="P192" i="2" s="1"/>
  <c r="H192" i="2" a="1"/>
  <c r="H192" i="2" s="1"/>
  <c r="G192" i="2" a="1"/>
  <c r="G192" i="2" s="1"/>
  <c r="F192" i="2" a="1"/>
  <c r="F192" i="2" s="1"/>
  <c r="D192" i="2" a="1"/>
  <c r="D192" i="2" s="1"/>
  <c r="AH132" i="2" a="1"/>
  <c r="AH132" i="2" s="1"/>
  <c r="R132" i="2" a="1"/>
  <c r="R132" i="2" s="1"/>
  <c r="Q132" i="2" a="1"/>
  <c r="Q132" i="2" s="1"/>
  <c r="AB132" i="2" s="1" a="1"/>
  <c r="AB132" i="2" s="1"/>
  <c r="P132" i="2" a="1"/>
  <c r="P132" i="2" s="1"/>
  <c r="H132" i="2" a="1"/>
  <c r="H132" i="2" s="1"/>
  <c r="G132" i="2" a="1"/>
  <c r="G132" i="2" s="1"/>
  <c r="F132" i="2" a="1"/>
  <c r="F132" i="2" s="1"/>
  <c r="D46" i="8" s="1" a="1"/>
  <c r="D46" i="8" s="1"/>
  <c r="D132" i="2" a="1"/>
  <c r="D132" i="2" s="1"/>
  <c r="B46" i="8" s="1" a="1"/>
  <c r="B46" i="8" s="1"/>
  <c r="AH163" i="2" a="1"/>
  <c r="AH163" i="2" s="1"/>
  <c r="R163" i="2" a="1"/>
  <c r="R163" i="2" s="1"/>
  <c r="Q163" i="2" a="1"/>
  <c r="Q163" i="2" s="1"/>
  <c r="Y163" i="2" s="1" a="1"/>
  <c r="Y163" i="2" s="1"/>
  <c r="P163" i="2" a="1"/>
  <c r="P163" i="2" s="1"/>
  <c r="H163" i="2" a="1"/>
  <c r="H163" i="2" s="1"/>
  <c r="G163" i="2" a="1"/>
  <c r="G163" i="2" s="1"/>
  <c r="F163" i="2" a="1"/>
  <c r="F163" i="2" s="1"/>
  <c r="D163" i="2" a="1"/>
  <c r="D163" i="2" s="1"/>
  <c r="AH224" i="2" a="1"/>
  <c r="AH224" i="2" s="1"/>
  <c r="R224" i="2" a="1"/>
  <c r="R224" i="2" s="1"/>
  <c r="Q224" i="2" a="1"/>
  <c r="Q224" i="2" s="1"/>
  <c r="P224" i="2" a="1"/>
  <c r="P224" i="2" s="1"/>
  <c r="H224" i="2" a="1"/>
  <c r="H224" i="2" s="1"/>
  <c r="G224" i="2" a="1"/>
  <c r="G224" i="2" s="1"/>
  <c r="F224" i="2" a="1"/>
  <c r="F224" i="2" s="1"/>
  <c r="D224" i="2" a="1"/>
  <c r="D224" i="2" s="1"/>
  <c r="AH249" i="2" a="1"/>
  <c r="AH249" i="2" s="1"/>
  <c r="R249" i="2" a="1"/>
  <c r="R249" i="2" s="1"/>
  <c r="Q249" i="2" a="1"/>
  <c r="Q249" i="2" s="1"/>
  <c r="P249" i="2" a="1"/>
  <c r="P249" i="2" s="1"/>
  <c r="H249" i="2" a="1"/>
  <c r="H249" i="2" s="1"/>
  <c r="G249" i="2" a="1"/>
  <c r="G249" i="2" s="1"/>
  <c r="F249" i="2" a="1"/>
  <c r="F249" i="2" s="1"/>
  <c r="D45" i="8" s="1" a="1"/>
  <c r="D45" i="8" s="1"/>
  <c r="D249" i="2" a="1"/>
  <c r="D249" i="2" s="1"/>
  <c r="B45" i="8" s="1" a="1"/>
  <c r="B45" i="8" s="1"/>
  <c r="AH93" i="2" a="1"/>
  <c r="AH93" i="2" s="1"/>
  <c r="R93" i="2" a="1"/>
  <c r="R93" i="2" s="1"/>
  <c r="Q93" i="2" a="1"/>
  <c r="Q93" i="2" s="1"/>
  <c r="Z93" i="2" s="1" a="1"/>
  <c r="Z93" i="2" s="1"/>
  <c r="P93" i="2" a="1"/>
  <c r="P93" i="2" s="1"/>
  <c r="H93" i="2" a="1"/>
  <c r="H93" i="2" s="1"/>
  <c r="G93" i="2" a="1"/>
  <c r="G93" i="2" s="1"/>
  <c r="F93" i="2" a="1"/>
  <c r="F93" i="2" s="1"/>
  <c r="D44" i="8" s="1" a="1"/>
  <c r="D44" i="8" s="1"/>
  <c r="D93" i="2" a="1"/>
  <c r="D93" i="2" s="1"/>
  <c r="B44" i="8" s="1" a="1"/>
  <c r="B44" i="8" s="1"/>
  <c r="AH325" i="2" a="1"/>
  <c r="AH325" i="2" s="1"/>
  <c r="R325" i="2" a="1"/>
  <c r="R325" i="2" s="1"/>
  <c r="Q325" i="2" a="1"/>
  <c r="Q325" i="2" s="1"/>
  <c r="P325" i="2" a="1"/>
  <c r="P325" i="2" s="1"/>
  <c r="H325" i="2" a="1"/>
  <c r="H325" i="2" s="1"/>
  <c r="G325" i="2" a="1"/>
  <c r="G325" i="2" s="1"/>
  <c r="F325" i="2" a="1"/>
  <c r="F325" i="2" s="1"/>
  <c r="D325" i="2" a="1"/>
  <c r="D325" i="2" s="1"/>
  <c r="AH301" i="2" a="1"/>
  <c r="AH301" i="2" s="1"/>
  <c r="R301" i="2" a="1"/>
  <c r="R301" i="2" s="1"/>
  <c r="Q301" i="2" a="1"/>
  <c r="Q301" i="2" s="1"/>
  <c r="Y301" i="2" s="1" a="1"/>
  <c r="Y301" i="2" s="1"/>
  <c r="P301" i="2" a="1"/>
  <c r="P301" i="2" s="1"/>
  <c r="H301" i="2" a="1"/>
  <c r="H301" i="2" s="1"/>
  <c r="G301" i="2" a="1"/>
  <c r="G301" i="2" s="1"/>
  <c r="F301" i="2" a="1"/>
  <c r="F301" i="2" s="1"/>
  <c r="D301" i="2" a="1"/>
  <c r="D301" i="2" s="1"/>
  <c r="AH203" i="2" a="1"/>
  <c r="AH203" i="2" s="1"/>
  <c r="R203" i="2" a="1"/>
  <c r="R203" i="2" s="1"/>
  <c r="Q203" i="2" a="1"/>
  <c r="Q203" i="2" s="1"/>
  <c r="AA203" i="2" s="1" a="1"/>
  <c r="AA203" i="2" s="1"/>
  <c r="P203" i="2" a="1"/>
  <c r="P203" i="2" s="1"/>
  <c r="H203" i="2" a="1"/>
  <c r="H203" i="2" s="1"/>
  <c r="G203" i="2" a="1"/>
  <c r="G203" i="2" s="1"/>
  <c r="F203" i="2" a="1"/>
  <c r="F203" i="2" s="1"/>
  <c r="D203" i="2" a="1"/>
  <c r="D203" i="2" s="1"/>
  <c r="AH212" i="2" a="1"/>
  <c r="AH212" i="2" s="1"/>
  <c r="R212" i="2" a="1"/>
  <c r="R212" i="2" s="1"/>
  <c r="Q212" i="2" a="1"/>
  <c r="Q212" i="2" s="1"/>
  <c r="P212" i="2" a="1"/>
  <c r="P212" i="2" s="1"/>
  <c r="H212" i="2" a="1"/>
  <c r="H212" i="2" s="1"/>
  <c r="G212" i="2" a="1"/>
  <c r="G212" i="2" s="1"/>
  <c r="F212" i="2" a="1"/>
  <c r="F212" i="2" s="1"/>
  <c r="D212" i="2" a="1"/>
  <c r="D212" i="2" s="1"/>
  <c r="AH114" i="2" a="1"/>
  <c r="AH114" i="2" s="1"/>
  <c r="R114" i="2" a="1"/>
  <c r="R114" i="2" s="1"/>
  <c r="Q114" i="2" a="1"/>
  <c r="Q114" i="2" s="1"/>
  <c r="AB114" i="2" s="1" a="1"/>
  <c r="AB114" i="2" s="1"/>
  <c r="P114" i="2" a="1"/>
  <c r="P114" i="2" s="1"/>
  <c r="H114" i="2" a="1"/>
  <c r="H114" i="2" s="1"/>
  <c r="G114" i="2" a="1"/>
  <c r="G114" i="2" s="1"/>
  <c r="F114" i="2" a="1"/>
  <c r="F114" i="2" s="1"/>
  <c r="D43" i="8" s="1" a="1"/>
  <c r="D43" i="8" s="1"/>
  <c r="D114" i="2" a="1"/>
  <c r="D114" i="2" s="1"/>
  <c r="B43" i="8" s="1" a="1"/>
  <c r="B43" i="8" s="1"/>
  <c r="AH183" i="2" a="1"/>
  <c r="AH183" i="2" s="1"/>
  <c r="R183" i="2" a="1"/>
  <c r="R183" i="2" s="1"/>
  <c r="Q183" i="2" a="1"/>
  <c r="Q183" i="2" s="1"/>
  <c r="Y183" i="2" s="1" a="1"/>
  <c r="Y183" i="2" s="1"/>
  <c r="P183" i="2" a="1"/>
  <c r="P183" i="2" s="1"/>
  <c r="H183" i="2" a="1"/>
  <c r="H183" i="2" s="1"/>
  <c r="G183" i="2" a="1"/>
  <c r="G183" i="2" s="1"/>
  <c r="F183" i="2" a="1"/>
  <c r="F183" i="2" s="1"/>
  <c r="D183" i="2" a="1"/>
  <c r="D183" i="2" s="1"/>
  <c r="AH108" i="2" a="1"/>
  <c r="AH108" i="2" s="1"/>
  <c r="R108" i="2" a="1"/>
  <c r="R108" i="2" s="1"/>
  <c r="Q108" i="2" a="1"/>
  <c r="Q108" i="2" s="1"/>
  <c r="P108" i="2" a="1"/>
  <c r="P108" i="2" s="1"/>
  <c r="H108" i="2" a="1"/>
  <c r="H108" i="2" s="1"/>
  <c r="G108" i="2" a="1"/>
  <c r="G108" i="2" s="1"/>
  <c r="F108" i="2" a="1"/>
  <c r="F108" i="2" s="1"/>
  <c r="D108" i="2" a="1"/>
  <c r="D108" i="2" s="1"/>
  <c r="AH110" i="2" a="1"/>
  <c r="AH110" i="2" s="1"/>
  <c r="R110" i="2" a="1"/>
  <c r="R110" i="2" s="1"/>
  <c r="Q110" i="2" a="1"/>
  <c r="Q110" i="2" s="1"/>
  <c r="P110" i="2" a="1"/>
  <c r="P110" i="2" s="1"/>
  <c r="H110" i="2" a="1"/>
  <c r="H110" i="2" s="1"/>
  <c r="G110" i="2" a="1"/>
  <c r="G110" i="2" s="1"/>
  <c r="F110" i="2" a="1"/>
  <c r="F110" i="2" s="1"/>
  <c r="D42" i="8" s="1" a="1"/>
  <c r="D42" i="8" s="1"/>
  <c r="D110" i="2" a="1"/>
  <c r="D110" i="2" s="1"/>
  <c r="AH244" i="2" a="1"/>
  <c r="AH244" i="2" s="1"/>
  <c r="R244" i="2" a="1"/>
  <c r="R244" i="2" s="1"/>
  <c r="Q244" i="2" a="1"/>
  <c r="Q244" i="2" s="1"/>
  <c r="P244" i="2" a="1"/>
  <c r="P244" i="2" s="1"/>
  <c r="H244" i="2" a="1"/>
  <c r="H244" i="2" s="1"/>
  <c r="G244" i="2" a="1"/>
  <c r="G244" i="2" s="1"/>
  <c r="F244" i="2" a="1"/>
  <c r="F244" i="2" s="1"/>
  <c r="D244" i="2" a="1"/>
  <c r="D244" i="2" s="1"/>
  <c r="AJ102" i="2" a="1"/>
  <c r="AJ102" i="2" s="1"/>
  <c r="P102" i="2" a="1"/>
  <c r="P102" i="2" s="1"/>
  <c r="H102" i="2" a="1"/>
  <c r="H102" i="2" s="1"/>
  <c r="G102" i="2" a="1"/>
  <c r="G102" i="2" s="1"/>
  <c r="F102" i="2" a="1"/>
  <c r="F102" i="2" s="1"/>
  <c r="D19" i="9" s="1" a="1"/>
  <c r="D19" i="9" s="1"/>
  <c r="D102" i="2" a="1"/>
  <c r="D102" i="2" s="1"/>
  <c r="B19" i="9" s="1" a="1"/>
  <c r="B19" i="9" s="1"/>
  <c r="AH148" i="2" a="1"/>
  <c r="AH148" i="2" s="1"/>
  <c r="R148" i="2" a="1"/>
  <c r="R148" i="2" s="1"/>
  <c r="Q148" i="2" a="1"/>
  <c r="Q148" i="2" s="1"/>
  <c r="Y148" i="2" s="1" a="1"/>
  <c r="Y148" i="2" s="1"/>
  <c r="P148" i="2" a="1"/>
  <c r="P148" i="2" s="1"/>
  <c r="H148" i="2" a="1"/>
  <c r="H148" i="2" s="1"/>
  <c r="G148" i="2" a="1"/>
  <c r="G148" i="2" s="1"/>
  <c r="F148" i="2" a="1"/>
  <c r="F148" i="2" s="1"/>
  <c r="D41" i="8" s="1" a="1"/>
  <c r="D41" i="8" s="1"/>
  <c r="D148" i="2" a="1"/>
  <c r="D148" i="2" s="1"/>
  <c r="AH109" i="2" a="1"/>
  <c r="AH109" i="2" s="1"/>
  <c r="R109" i="2" a="1"/>
  <c r="R109" i="2" s="1"/>
  <c r="Q109" i="2" a="1"/>
  <c r="Q109" i="2" s="1"/>
  <c r="P109" i="2" a="1"/>
  <c r="P109" i="2" s="1"/>
  <c r="H109" i="2" a="1"/>
  <c r="H109" i="2" s="1"/>
  <c r="G109" i="2" a="1"/>
  <c r="G109" i="2" s="1"/>
  <c r="F109" i="2" a="1"/>
  <c r="F109" i="2" s="1"/>
  <c r="D109" i="2" a="1"/>
  <c r="D109" i="2" s="1"/>
  <c r="AH48" i="2" a="1"/>
  <c r="AH48" i="2" s="1"/>
  <c r="R48" i="2" a="1"/>
  <c r="R48" i="2" s="1"/>
  <c r="Q48" i="2" a="1"/>
  <c r="Q48" i="2" s="1"/>
  <c r="AF48" i="2" s="1" a="1"/>
  <c r="AF48" i="2" s="1"/>
  <c r="P48" i="2" a="1"/>
  <c r="P48" i="2" s="1"/>
  <c r="H48" i="2" a="1"/>
  <c r="H48" i="2" s="1"/>
  <c r="G48" i="2" a="1"/>
  <c r="G48" i="2" s="1"/>
  <c r="F48" i="2" a="1"/>
  <c r="F48" i="2" s="1"/>
  <c r="D40" i="8" s="1" a="1"/>
  <c r="D40" i="8" s="1"/>
  <c r="D48" i="2" a="1"/>
  <c r="D48" i="2" s="1"/>
  <c r="B40" i="8" s="1" a="1"/>
  <c r="B40" i="8" s="1"/>
  <c r="AH98" i="2" a="1"/>
  <c r="AH98" i="2" s="1"/>
  <c r="R98" i="2" a="1"/>
  <c r="R98" i="2" s="1"/>
  <c r="Q98" i="2" a="1"/>
  <c r="Q98" i="2" s="1"/>
  <c r="AB98" i="2" s="1" a="1"/>
  <c r="AB98" i="2" s="1"/>
  <c r="P98" i="2" a="1"/>
  <c r="P98" i="2" s="1"/>
  <c r="H98" i="2" a="1"/>
  <c r="H98" i="2" s="1"/>
  <c r="G98" i="2" a="1"/>
  <c r="G98" i="2" s="1"/>
  <c r="F98" i="2" a="1"/>
  <c r="F98" i="2" s="1"/>
  <c r="D39" i="8" s="1" a="1"/>
  <c r="D39" i="8" s="1"/>
  <c r="D98" i="2" a="1"/>
  <c r="D98" i="2" s="1"/>
  <c r="B39" i="8" s="1" a="1"/>
  <c r="B39" i="8" s="1"/>
  <c r="AH175" i="2" a="1"/>
  <c r="AH175" i="2" s="1"/>
  <c r="R175" i="2" a="1"/>
  <c r="R175" i="2" s="1"/>
  <c r="Q175" i="2" a="1"/>
  <c r="Q175" i="2" s="1"/>
  <c r="P175" i="2" a="1"/>
  <c r="P175" i="2" s="1"/>
  <c r="H175" i="2" a="1"/>
  <c r="H175" i="2" s="1"/>
  <c r="G175" i="2" a="1"/>
  <c r="G175" i="2" s="1"/>
  <c r="F175" i="2" a="1"/>
  <c r="F175" i="2" s="1"/>
  <c r="D175" i="2" a="1"/>
  <c r="D175" i="2" s="1"/>
  <c r="AH116" i="2" a="1"/>
  <c r="AH116" i="2" s="1"/>
  <c r="R116" i="2" a="1"/>
  <c r="R116" i="2" s="1"/>
  <c r="Q116" i="2" a="1"/>
  <c r="Q116" i="2" s="1"/>
  <c r="P116" i="2" a="1"/>
  <c r="P116" i="2" s="1"/>
  <c r="H116" i="2" a="1"/>
  <c r="H116" i="2" s="1"/>
  <c r="G116" i="2" a="1"/>
  <c r="G116" i="2" s="1"/>
  <c r="F116" i="2" a="1"/>
  <c r="F116" i="2" s="1"/>
  <c r="D116" i="2" a="1"/>
  <c r="D116" i="2" s="1"/>
  <c r="AH357" i="2" a="1"/>
  <c r="AH357" i="2" s="1"/>
  <c r="R357" i="2" a="1"/>
  <c r="R357" i="2" s="1"/>
  <c r="Q357" i="2" a="1"/>
  <c r="Q357" i="2" s="1"/>
  <c r="AA357" i="2" s="1" a="1"/>
  <c r="AA357" i="2" s="1"/>
  <c r="P357" i="2" a="1"/>
  <c r="P357" i="2" s="1"/>
  <c r="H357" i="2" a="1"/>
  <c r="H357" i="2" s="1"/>
  <c r="G357" i="2" a="1"/>
  <c r="G357" i="2" s="1"/>
  <c r="F357" i="2" a="1"/>
  <c r="F357" i="2" s="1"/>
  <c r="D357" i="2" a="1"/>
  <c r="D357" i="2" s="1"/>
  <c r="AJ32" i="2" a="1"/>
  <c r="AJ32" i="2" s="1"/>
  <c r="P32" i="2" a="1"/>
  <c r="P32" i="2" s="1"/>
  <c r="H32" i="2" a="1"/>
  <c r="H32" i="2" s="1"/>
  <c r="G32" i="2" a="1"/>
  <c r="G32" i="2" s="1"/>
  <c r="F32" i="2" a="1"/>
  <c r="F32" i="2" s="1"/>
  <c r="D18" i="9" s="1" a="1"/>
  <c r="D18" i="9" s="1"/>
  <c r="D32" i="2" a="1"/>
  <c r="D32" i="2" s="1"/>
  <c r="B18" i="9" s="1" a="1"/>
  <c r="B18" i="9" s="1"/>
  <c r="AJ61" i="2" a="1"/>
  <c r="AJ61" i="2" s="1"/>
  <c r="AM61" i="2" s="1" a="1"/>
  <c r="AM61" i="2" s="1"/>
  <c r="P61" i="2" a="1"/>
  <c r="P61" i="2" s="1"/>
  <c r="H61" i="2" a="1"/>
  <c r="H61" i="2" s="1"/>
  <c r="G61" i="2" a="1"/>
  <c r="G61" i="2" s="1"/>
  <c r="F61" i="2" a="1"/>
  <c r="F61" i="2" s="1"/>
  <c r="D17" i="9" s="1" a="1"/>
  <c r="D17" i="9" s="1"/>
  <c r="D61" i="2" a="1"/>
  <c r="D61" i="2" s="1"/>
  <c r="B17" i="9" s="1" a="1"/>
  <c r="B17" i="9" s="1"/>
  <c r="AH361" i="2" a="1"/>
  <c r="AH361" i="2" s="1"/>
  <c r="R361" i="2" a="1"/>
  <c r="R361" i="2" s="1"/>
  <c r="Q361" i="2" a="1"/>
  <c r="Q361" i="2" s="1"/>
  <c r="P361" i="2" a="1"/>
  <c r="P361" i="2" s="1"/>
  <c r="H361" i="2" a="1"/>
  <c r="H361" i="2" s="1"/>
  <c r="G361" i="2" a="1"/>
  <c r="G361" i="2" s="1"/>
  <c r="F361" i="2" a="1"/>
  <c r="F361" i="2" s="1"/>
  <c r="D361" i="2" a="1"/>
  <c r="D361" i="2" s="1"/>
  <c r="AH101" i="2" a="1"/>
  <c r="AH101" i="2" s="1"/>
  <c r="R101" i="2" a="1"/>
  <c r="R101" i="2" s="1"/>
  <c r="Q101" i="2" a="1"/>
  <c r="Q101" i="2" s="1"/>
  <c r="AD101" i="2" s="1" a="1"/>
  <c r="AD101" i="2" s="1"/>
  <c r="P101" i="2" a="1"/>
  <c r="P101" i="2" s="1"/>
  <c r="H101" i="2" a="1"/>
  <c r="H101" i="2" s="1"/>
  <c r="G101" i="2" a="1"/>
  <c r="G101" i="2" s="1"/>
  <c r="F101" i="2" a="1"/>
  <c r="F101" i="2" s="1"/>
  <c r="D38" i="8" s="1" a="1"/>
  <c r="D38" i="8" s="1"/>
  <c r="D101" i="2" a="1"/>
  <c r="D101" i="2" s="1"/>
  <c r="AH65" i="2" a="1"/>
  <c r="AH65" i="2" s="1"/>
  <c r="R65" i="2" a="1"/>
  <c r="R65" i="2" s="1"/>
  <c r="Q65" i="2" a="1"/>
  <c r="Q65" i="2" s="1"/>
  <c r="AB65" i="2" s="1" a="1"/>
  <c r="AB65" i="2" s="1"/>
  <c r="P65" i="2" a="1"/>
  <c r="P65" i="2" s="1"/>
  <c r="H65" i="2" a="1"/>
  <c r="H65" i="2" s="1"/>
  <c r="G65" i="2" a="1"/>
  <c r="G65" i="2" s="1"/>
  <c r="F65" i="2" a="1"/>
  <c r="F65" i="2" s="1"/>
  <c r="D37" i="8" s="1" a="1"/>
  <c r="D37" i="8" s="1"/>
  <c r="D65" i="2" a="1"/>
  <c r="D65" i="2" s="1"/>
  <c r="AH123" i="2" a="1"/>
  <c r="AH123" i="2" s="1"/>
  <c r="R123" i="2" a="1"/>
  <c r="R123" i="2" s="1"/>
  <c r="Q123" i="2" a="1"/>
  <c r="Q123" i="2" s="1"/>
  <c r="P123" i="2" a="1"/>
  <c r="P123" i="2" s="1"/>
  <c r="H123" i="2" a="1"/>
  <c r="H123" i="2" s="1"/>
  <c r="G123" i="2" a="1"/>
  <c r="G123" i="2" s="1"/>
  <c r="F123" i="2" a="1"/>
  <c r="F123" i="2" s="1"/>
  <c r="D36" i="8" s="1" a="1"/>
  <c r="D36" i="8" s="1"/>
  <c r="D123" i="2" a="1"/>
  <c r="D123" i="2" s="1"/>
  <c r="B36" i="8" s="1" a="1"/>
  <c r="B36" i="8" s="1"/>
  <c r="AH126" i="2" a="1"/>
  <c r="AH126" i="2" s="1"/>
  <c r="R126" i="2" a="1"/>
  <c r="R126" i="2" s="1"/>
  <c r="Q126" i="2" a="1"/>
  <c r="Q126" i="2" s="1"/>
  <c r="Y126" i="2" s="1" a="1"/>
  <c r="Y126" i="2" s="1"/>
  <c r="P126" i="2" a="1"/>
  <c r="P126" i="2" s="1"/>
  <c r="H126" i="2" a="1"/>
  <c r="H126" i="2" s="1"/>
  <c r="G126" i="2" a="1"/>
  <c r="G126" i="2" s="1"/>
  <c r="F126" i="2" a="1"/>
  <c r="F126" i="2" s="1"/>
  <c r="D126" i="2" a="1"/>
  <c r="D126" i="2" s="1"/>
  <c r="AH140" i="2" a="1"/>
  <c r="AH140" i="2" s="1"/>
  <c r="R140" i="2" a="1"/>
  <c r="R140" i="2" s="1"/>
  <c r="Q140" i="2" a="1"/>
  <c r="Q140" i="2" s="1"/>
  <c r="AG140" i="2" s="1" a="1"/>
  <c r="AG140" i="2" s="1"/>
  <c r="P140" i="2" a="1"/>
  <c r="P140" i="2" s="1"/>
  <c r="H140" i="2" a="1"/>
  <c r="H140" i="2" s="1"/>
  <c r="G140" i="2" a="1"/>
  <c r="G140" i="2" s="1"/>
  <c r="F140" i="2" a="1"/>
  <c r="F140" i="2" s="1"/>
  <c r="D140" i="2" a="1"/>
  <c r="D140" i="2" s="1"/>
  <c r="AH29" i="2" a="1"/>
  <c r="AH29" i="2" s="1"/>
  <c r="R29" i="2" a="1"/>
  <c r="R29" i="2" s="1"/>
  <c r="Q29" i="2" a="1"/>
  <c r="Q29" i="2" s="1"/>
  <c r="AD29" i="2" s="1" a="1"/>
  <c r="AD29" i="2" s="1"/>
  <c r="P29" i="2" a="1"/>
  <c r="P29" i="2" s="1"/>
  <c r="H29" i="2" a="1"/>
  <c r="H29" i="2" s="1"/>
  <c r="G29" i="2" a="1"/>
  <c r="G29" i="2" s="1"/>
  <c r="F29" i="2" a="1"/>
  <c r="F29" i="2" s="1"/>
  <c r="D29" i="2" a="1"/>
  <c r="D29" i="2" s="1"/>
  <c r="AH115" i="2" a="1"/>
  <c r="AH115" i="2" s="1"/>
  <c r="R115" i="2" a="1"/>
  <c r="R115" i="2" s="1"/>
  <c r="Q115" i="2" a="1"/>
  <c r="Q115" i="2" s="1"/>
  <c r="AF115" i="2" s="1" a="1"/>
  <c r="AF115" i="2" s="1"/>
  <c r="P115" i="2" a="1"/>
  <c r="P115" i="2" s="1"/>
  <c r="H115" i="2" a="1"/>
  <c r="H115" i="2" s="1"/>
  <c r="G115" i="2" a="1"/>
  <c r="G115" i="2" s="1"/>
  <c r="F115" i="2" a="1"/>
  <c r="F115" i="2" s="1"/>
  <c r="D115" i="2" a="1"/>
  <c r="D115" i="2" s="1"/>
  <c r="AH68" i="2" a="1"/>
  <c r="AH68" i="2" s="1"/>
  <c r="R68" i="2" a="1"/>
  <c r="R68" i="2" s="1"/>
  <c r="Q68" i="2" a="1"/>
  <c r="Q68" i="2" s="1"/>
  <c r="Y68" i="2" s="1" a="1"/>
  <c r="Y68" i="2" s="1"/>
  <c r="P68" i="2" a="1"/>
  <c r="P68" i="2" s="1"/>
  <c r="H68" i="2" a="1"/>
  <c r="H68" i="2" s="1"/>
  <c r="G68" i="2" a="1"/>
  <c r="G68" i="2" s="1"/>
  <c r="F68" i="2" a="1"/>
  <c r="F68" i="2" s="1"/>
  <c r="D35" i="8" s="1" a="1"/>
  <c r="D35" i="8" s="1"/>
  <c r="D68" i="2" a="1"/>
  <c r="D68" i="2" s="1"/>
  <c r="AH335" i="2" a="1"/>
  <c r="AH335" i="2" s="1"/>
  <c r="R335" i="2" a="1"/>
  <c r="R335" i="2" s="1"/>
  <c r="Q335" i="2" a="1"/>
  <c r="Q335" i="2" s="1"/>
  <c r="Y335" i="2" s="1" a="1"/>
  <c r="Y335" i="2" s="1"/>
  <c r="P335" i="2" a="1"/>
  <c r="P335" i="2" s="1"/>
  <c r="H335" i="2" a="1"/>
  <c r="H335" i="2" s="1"/>
  <c r="G335" i="2" a="1"/>
  <c r="G335" i="2" s="1"/>
  <c r="F335" i="2" a="1"/>
  <c r="F335" i="2" s="1"/>
  <c r="D335" i="2" a="1"/>
  <c r="D335" i="2" s="1"/>
  <c r="AJ177" i="2" a="1"/>
  <c r="AJ177" i="2" s="1"/>
  <c r="P177" i="2" a="1"/>
  <c r="P177" i="2" s="1"/>
  <c r="H177" i="2" a="1"/>
  <c r="H177" i="2" s="1"/>
  <c r="G177" i="2" a="1"/>
  <c r="G177" i="2" s="1"/>
  <c r="F177" i="2" a="1"/>
  <c r="F177" i="2" s="1"/>
  <c r="D16" i="9" s="1" a="1"/>
  <c r="D16" i="9" s="1"/>
  <c r="D177" i="2" a="1"/>
  <c r="D177" i="2" s="1"/>
  <c r="B16" i="9" s="1" a="1"/>
  <c r="B16" i="9" s="1"/>
  <c r="AH226" i="2" a="1"/>
  <c r="AH226" i="2" s="1"/>
  <c r="R226" i="2" a="1"/>
  <c r="R226" i="2" s="1"/>
  <c r="Q226" i="2" a="1"/>
  <c r="Q226" i="2" s="1"/>
  <c r="P226" i="2" a="1"/>
  <c r="P226" i="2" s="1"/>
  <c r="H226" i="2" a="1"/>
  <c r="H226" i="2" s="1"/>
  <c r="G226" i="2" a="1"/>
  <c r="G226" i="2" s="1"/>
  <c r="F226" i="2" a="1"/>
  <c r="F226" i="2" s="1"/>
  <c r="D226" i="2" a="1"/>
  <c r="D226" i="2" s="1"/>
  <c r="AH106" i="2" a="1"/>
  <c r="AH106" i="2" s="1"/>
  <c r="R106" i="2" a="1"/>
  <c r="R106" i="2" s="1"/>
  <c r="Q106" i="2" a="1"/>
  <c r="Q106" i="2" s="1"/>
  <c r="P106" i="2" a="1"/>
  <c r="P106" i="2" s="1"/>
  <c r="H106" i="2" a="1"/>
  <c r="H106" i="2" s="1"/>
  <c r="G106" i="2" a="1"/>
  <c r="G106" i="2" s="1"/>
  <c r="F106" i="2" a="1"/>
  <c r="F106" i="2" s="1"/>
  <c r="D106" i="2" a="1"/>
  <c r="D106" i="2" s="1"/>
  <c r="AH229" i="2" a="1"/>
  <c r="AH229" i="2" s="1"/>
  <c r="R229" i="2" a="1"/>
  <c r="R229" i="2" s="1"/>
  <c r="Q229" i="2" a="1"/>
  <c r="Q229" i="2" s="1"/>
  <c r="P229" i="2" a="1"/>
  <c r="P229" i="2" s="1"/>
  <c r="H229" i="2" a="1"/>
  <c r="H229" i="2" s="1"/>
  <c r="G229" i="2" a="1"/>
  <c r="G229" i="2" s="1"/>
  <c r="F229" i="2" a="1"/>
  <c r="F229" i="2" s="1"/>
  <c r="D229" i="2" a="1"/>
  <c r="D229" i="2" s="1"/>
  <c r="AH71" i="2" a="1"/>
  <c r="AH71" i="2" s="1"/>
  <c r="R71" i="2" a="1"/>
  <c r="R71" i="2" s="1"/>
  <c r="Q71" i="2" a="1"/>
  <c r="Q71" i="2" s="1"/>
  <c r="P71" i="2" a="1"/>
  <c r="P71" i="2" s="1"/>
  <c r="H71" i="2" a="1"/>
  <c r="H71" i="2" s="1"/>
  <c r="G71" i="2" a="1"/>
  <c r="G71" i="2" s="1"/>
  <c r="F71" i="2" a="1"/>
  <c r="F71" i="2" s="1"/>
  <c r="D34" i="8" s="1" a="1"/>
  <c r="D34" i="8" s="1"/>
  <c r="D71" i="2" a="1"/>
  <c r="D71" i="2" s="1"/>
  <c r="B34" i="8" s="1" a="1"/>
  <c r="B34" i="8" s="1"/>
  <c r="AH99" i="2" a="1"/>
  <c r="AH99" i="2" s="1"/>
  <c r="R99" i="2" a="1"/>
  <c r="R99" i="2" s="1"/>
  <c r="Q99" i="2" a="1"/>
  <c r="Q99" i="2" s="1"/>
  <c r="Z99" i="2" s="1" a="1"/>
  <c r="Z99" i="2" s="1"/>
  <c r="P99" i="2" a="1"/>
  <c r="P99" i="2" s="1"/>
  <c r="H99" i="2" a="1"/>
  <c r="H99" i="2" s="1"/>
  <c r="G99" i="2" a="1"/>
  <c r="G99" i="2" s="1"/>
  <c r="F99" i="2" a="1"/>
  <c r="F99" i="2" s="1"/>
  <c r="D33" i="8" s="1" a="1"/>
  <c r="D33" i="8" s="1"/>
  <c r="D99" i="2" a="1"/>
  <c r="D99" i="2" s="1"/>
  <c r="B33" i="8" s="1" a="1"/>
  <c r="B33" i="8" s="1"/>
  <c r="AJ72" i="2" a="1"/>
  <c r="AJ72" i="2" s="1"/>
  <c r="P72" i="2" a="1"/>
  <c r="P72" i="2" s="1"/>
  <c r="H72" i="2" a="1"/>
  <c r="H72" i="2" s="1"/>
  <c r="G72" i="2" a="1"/>
  <c r="G72" i="2" s="1"/>
  <c r="F72" i="2" a="1"/>
  <c r="F72" i="2" s="1"/>
  <c r="D15" i="9" s="1" a="1"/>
  <c r="D15" i="9" s="1"/>
  <c r="D72" i="2" a="1"/>
  <c r="D72" i="2" s="1"/>
  <c r="AH125" i="2" a="1"/>
  <c r="AH125" i="2" s="1"/>
  <c r="R125" i="2" a="1"/>
  <c r="R125" i="2" s="1"/>
  <c r="Q125" i="2" a="1"/>
  <c r="Q125" i="2" s="1"/>
  <c r="AA125" i="2" s="1" a="1"/>
  <c r="AA125" i="2" s="1"/>
  <c r="P125" i="2" a="1"/>
  <c r="P125" i="2" s="1"/>
  <c r="H125" i="2" a="1"/>
  <c r="H125" i="2" s="1"/>
  <c r="G125" i="2" a="1"/>
  <c r="G125" i="2" s="1"/>
  <c r="F125" i="2" a="1"/>
  <c r="F125" i="2" s="1"/>
  <c r="D32" i="8" s="1" a="1"/>
  <c r="D32" i="8" s="1"/>
  <c r="D125" i="2" a="1"/>
  <c r="D125" i="2" s="1"/>
  <c r="AH35" i="2" a="1"/>
  <c r="AH35" i="2" s="1"/>
  <c r="R35" i="2" a="1"/>
  <c r="R35" i="2" s="1"/>
  <c r="Q35" i="2" a="1"/>
  <c r="Q35" i="2" s="1"/>
  <c r="P35" i="2" a="1"/>
  <c r="P35" i="2" s="1"/>
  <c r="H35" i="2" a="1"/>
  <c r="H35" i="2" s="1"/>
  <c r="G35" i="2" a="1"/>
  <c r="G35" i="2" s="1"/>
  <c r="F35" i="2" a="1"/>
  <c r="F35" i="2" s="1"/>
  <c r="D31" i="8" s="1" a="1"/>
  <c r="D31" i="8" s="1"/>
  <c r="D35" i="2" a="1"/>
  <c r="D35" i="2" s="1"/>
  <c r="B31" i="8" s="1" a="1"/>
  <c r="B31" i="8" s="1"/>
  <c r="AH133" i="2" a="1"/>
  <c r="AH133" i="2" s="1"/>
  <c r="R133" i="2" a="1"/>
  <c r="R133" i="2" s="1"/>
  <c r="Q133" i="2" a="1"/>
  <c r="Q133" i="2" s="1"/>
  <c r="Z133" i="2" s="1" a="1"/>
  <c r="Z133" i="2" s="1"/>
  <c r="P133" i="2" a="1"/>
  <c r="P133" i="2" s="1"/>
  <c r="H133" i="2" a="1"/>
  <c r="H133" i="2" s="1"/>
  <c r="G133" i="2" a="1"/>
  <c r="G133" i="2" s="1"/>
  <c r="F133" i="2" a="1"/>
  <c r="F133" i="2" s="1"/>
  <c r="D133" i="2" a="1"/>
  <c r="D133" i="2" s="1"/>
  <c r="AH302" i="2" a="1"/>
  <c r="AH302" i="2" s="1"/>
  <c r="R302" i="2" a="1"/>
  <c r="R302" i="2" s="1"/>
  <c r="Q302" i="2" a="1"/>
  <c r="Q302" i="2" s="1"/>
  <c r="P302" i="2" a="1"/>
  <c r="P302" i="2" s="1"/>
  <c r="H302" i="2" a="1"/>
  <c r="H302" i="2" s="1"/>
  <c r="G302" i="2" a="1"/>
  <c r="G302" i="2" s="1"/>
  <c r="F302" i="2" a="1"/>
  <c r="F302" i="2" s="1"/>
  <c r="D302" i="2" a="1"/>
  <c r="D302" i="2" s="1"/>
  <c r="AH43" i="2" a="1"/>
  <c r="AH43" i="2" s="1"/>
  <c r="R43" i="2" a="1"/>
  <c r="R43" i="2" s="1"/>
  <c r="Q43" i="2" a="1"/>
  <c r="Q43" i="2" s="1"/>
  <c r="P43" i="2" a="1"/>
  <c r="P43" i="2" s="1"/>
  <c r="H43" i="2" a="1"/>
  <c r="H43" i="2" s="1"/>
  <c r="G43" i="2" a="1"/>
  <c r="G43" i="2" s="1"/>
  <c r="F43" i="2" a="1"/>
  <c r="F43" i="2" s="1"/>
  <c r="D30" i="8" s="1" a="1"/>
  <c r="D30" i="8" s="1"/>
  <c r="D43" i="2" a="1"/>
  <c r="D43" i="2" s="1"/>
  <c r="AH129" i="2" a="1"/>
  <c r="AH129" i="2" s="1"/>
  <c r="R129" i="2" a="1"/>
  <c r="R129" i="2" s="1"/>
  <c r="Q129" i="2" a="1"/>
  <c r="Q129" i="2" s="1"/>
  <c r="P129" i="2" a="1"/>
  <c r="P129" i="2" s="1"/>
  <c r="H129" i="2" a="1"/>
  <c r="H129" i="2" s="1"/>
  <c r="G129" i="2" a="1"/>
  <c r="G129" i="2" s="1"/>
  <c r="F129" i="2" a="1"/>
  <c r="F129" i="2" s="1"/>
  <c r="D129" i="2" a="1"/>
  <c r="D129" i="2" s="1"/>
  <c r="AH105" i="2" a="1"/>
  <c r="AH105" i="2" s="1"/>
  <c r="R105" i="2" a="1"/>
  <c r="R105" i="2" s="1"/>
  <c r="Q105" i="2" a="1"/>
  <c r="Q105" i="2" s="1"/>
  <c r="P105" i="2" a="1"/>
  <c r="P105" i="2" s="1"/>
  <c r="H105" i="2" a="1"/>
  <c r="H105" i="2" s="1"/>
  <c r="G105" i="2" a="1"/>
  <c r="G105" i="2" s="1"/>
  <c r="F105" i="2" a="1"/>
  <c r="F105" i="2" s="1"/>
  <c r="D105" i="2" a="1"/>
  <c r="D105" i="2" s="1"/>
  <c r="AH88" i="2" a="1"/>
  <c r="AH88" i="2" s="1"/>
  <c r="R88" i="2" a="1"/>
  <c r="R88" i="2" s="1"/>
  <c r="Q88" i="2" a="1"/>
  <c r="Q88" i="2" s="1"/>
  <c r="P88" i="2" a="1"/>
  <c r="P88" i="2" s="1"/>
  <c r="H88" i="2" a="1"/>
  <c r="H88" i="2" s="1"/>
  <c r="G88" i="2" a="1"/>
  <c r="G88" i="2" s="1"/>
  <c r="F88" i="2" a="1"/>
  <c r="F88" i="2" s="1"/>
  <c r="D88" i="2" a="1"/>
  <c r="D88" i="2" s="1"/>
  <c r="AH122" i="2" a="1"/>
  <c r="AH122" i="2" s="1"/>
  <c r="R122" i="2" a="1"/>
  <c r="R122" i="2" s="1"/>
  <c r="Q122" i="2" a="1"/>
  <c r="Q122" i="2" s="1"/>
  <c r="P122" i="2" a="1"/>
  <c r="P122" i="2" s="1"/>
  <c r="H122" i="2" a="1"/>
  <c r="H122" i="2" s="1"/>
  <c r="G122" i="2" a="1"/>
  <c r="G122" i="2" s="1"/>
  <c r="F122" i="2" a="1"/>
  <c r="F122" i="2" s="1"/>
  <c r="D122" i="2" a="1"/>
  <c r="D122" i="2" s="1"/>
  <c r="AJ55" i="2" a="1"/>
  <c r="AJ55" i="2" s="1"/>
  <c r="P55" i="2" a="1"/>
  <c r="P55" i="2" s="1"/>
  <c r="H55" i="2" a="1"/>
  <c r="H55" i="2" s="1"/>
  <c r="G55" i="2" a="1"/>
  <c r="G55" i="2" s="1"/>
  <c r="F55" i="2" a="1"/>
  <c r="F55" i="2" s="1"/>
  <c r="D14" i="9" s="1" a="1"/>
  <c r="D14" i="9" s="1"/>
  <c r="D55" i="2" a="1"/>
  <c r="D55" i="2" s="1"/>
  <c r="AJ74" i="2" a="1"/>
  <c r="AJ74" i="2" s="1"/>
  <c r="P74" i="2" a="1"/>
  <c r="P74" i="2" s="1"/>
  <c r="H74" i="2" a="1"/>
  <c r="H74" i="2" s="1"/>
  <c r="G74" i="2" a="1"/>
  <c r="G74" i="2" s="1"/>
  <c r="F74" i="2" a="1"/>
  <c r="F74" i="2" s="1"/>
  <c r="D13" i="9" s="1" a="1"/>
  <c r="D13" i="9" s="1"/>
  <c r="D74" i="2" a="1"/>
  <c r="D74" i="2" s="1"/>
  <c r="B13" i="9" s="1" a="1"/>
  <c r="B13" i="9" s="1"/>
  <c r="AH113" i="2" a="1"/>
  <c r="AH113" i="2" s="1"/>
  <c r="R113" i="2" a="1"/>
  <c r="R113" i="2" s="1"/>
  <c r="Q113" i="2" a="1"/>
  <c r="Q113" i="2" s="1"/>
  <c r="P113" i="2" a="1"/>
  <c r="P113" i="2" s="1"/>
  <c r="H113" i="2" a="1"/>
  <c r="H113" i="2" s="1"/>
  <c r="G113" i="2" a="1"/>
  <c r="G113" i="2" s="1"/>
  <c r="F113" i="2" a="1"/>
  <c r="F113" i="2" s="1"/>
  <c r="D113" i="2" a="1"/>
  <c r="D113" i="2" s="1"/>
  <c r="AH75" i="2" a="1"/>
  <c r="AH75" i="2" s="1"/>
  <c r="R75" i="2" a="1"/>
  <c r="R75" i="2" s="1"/>
  <c r="Q75" i="2" a="1"/>
  <c r="Q75" i="2" s="1"/>
  <c r="P75" i="2" a="1"/>
  <c r="P75" i="2" s="1"/>
  <c r="H75" i="2" a="1"/>
  <c r="H75" i="2" s="1"/>
  <c r="G75" i="2" a="1"/>
  <c r="G75" i="2" s="1"/>
  <c r="F75" i="2" a="1"/>
  <c r="F75" i="2" s="1"/>
  <c r="D29" i="8" s="1" a="1"/>
  <c r="D29" i="8" s="1"/>
  <c r="D75" i="2" a="1"/>
  <c r="D75" i="2" s="1"/>
  <c r="AJ162" i="2" a="1"/>
  <c r="AJ162" i="2" s="1"/>
  <c r="AM162" i="2" s="1" a="1"/>
  <c r="AM162" i="2" s="1"/>
  <c r="P162" i="2" a="1"/>
  <c r="P162" i="2" s="1"/>
  <c r="H162" i="2" a="1"/>
  <c r="H162" i="2" s="1"/>
  <c r="G162" i="2" a="1"/>
  <c r="G162" i="2" s="1"/>
  <c r="F162" i="2" a="1"/>
  <c r="F162" i="2" s="1"/>
  <c r="D12" i="9" s="1" a="1"/>
  <c r="D12" i="9" s="1"/>
  <c r="D162" i="2" a="1"/>
  <c r="D162" i="2" s="1"/>
  <c r="B12" i="9" s="1" a="1"/>
  <c r="B12" i="9" s="1"/>
  <c r="AH499" i="2" a="1"/>
  <c r="AH499" i="2" s="1"/>
  <c r="R499" i="2" a="1"/>
  <c r="R499" i="2" s="1"/>
  <c r="Q499" i="2" a="1"/>
  <c r="Q499" i="2" s="1"/>
  <c r="AG499" i="2" s="1" a="1"/>
  <c r="AG499" i="2" s="1"/>
  <c r="P499" i="2" a="1"/>
  <c r="P499" i="2" s="1"/>
  <c r="H499" i="2" a="1"/>
  <c r="H499" i="2" s="1"/>
  <c r="G499" i="2" a="1"/>
  <c r="G499" i="2" s="1"/>
  <c r="F499" i="2" a="1"/>
  <c r="F499" i="2" s="1"/>
  <c r="D499" i="2" a="1"/>
  <c r="D499" i="2" s="1"/>
  <c r="AH154" i="2" a="1"/>
  <c r="AH154" i="2" s="1"/>
  <c r="R154" i="2" a="1"/>
  <c r="R154" i="2" s="1"/>
  <c r="Q154" i="2" a="1"/>
  <c r="Q154" i="2" s="1"/>
  <c r="AG154" i="2" s="1" a="1"/>
  <c r="AG154" i="2" s="1"/>
  <c r="P154" i="2" a="1"/>
  <c r="P154" i="2" s="1"/>
  <c r="H154" i="2" a="1"/>
  <c r="H154" i="2" s="1"/>
  <c r="G154" i="2" a="1"/>
  <c r="G154" i="2" s="1"/>
  <c r="F154" i="2" a="1"/>
  <c r="F154" i="2" s="1"/>
  <c r="D154" i="2" a="1"/>
  <c r="D154" i="2" s="1"/>
  <c r="AH120" i="2" a="1"/>
  <c r="AH120" i="2" s="1"/>
  <c r="R120" i="2" a="1"/>
  <c r="R120" i="2" s="1"/>
  <c r="Q120" i="2" a="1"/>
  <c r="Q120" i="2" s="1"/>
  <c r="P120" i="2" a="1"/>
  <c r="P120" i="2" s="1"/>
  <c r="H120" i="2" a="1"/>
  <c r="H120" i="2" s="1"/>
  <c r="G120" i="2" a="1"/>
  <c r="G120" i="2" s="1"/>
  <c r="F120" i="2" a="1"/>
  <c r="F120" i="2" s="1"/>
  <c r="D28" i="8" s="1" a="1"/>
  <c r="D28" i="8" s="1"/>
  <c r="D120" i="2" a="1"/>
  <c r="D120" i="2" s="1"/>
  <c r="B28" i="8" s="1" a="1"/>
  <c r="B28" i="8" s="1"/>
  <c r="AH89" i="2" a="1"/>
  <c r="AH89" i="2" s="1"/>
  <c r="R89" i="2" a="1"/>
  <c r="R89" i="2" s="1"/>
  <c r="Q89" i="2" a="1"/>
  <c r="Q89" i="2" s="1"/>
  <c r="AG89" i="2" s="1" a="1"/>
  <c r="AG89" i="2" s="1"/>
  <c r="P89" i="2" a="1"/>
  <c r="P89" i="2" s="1"/>
  <c r="H89" i="2" a="1"/>
  <c r="H89" i="2" s="1"/>
  <c r="G89" i="2" a="1"/>
  <c r="G89" i="2" s="1"/>
  <c r="F89" i="2" a="1"/>
  <c r="F89" i="2" s="1"/>
  <c r="D89" i="2" a="1"/>
  <c r="D89" i="2" s="1"/>
  <c r="AH50" i="2" a="1"/>
  <c r="AH50" i="2" s="1"/>
  <c r="R50" i="2" a="1"/>
  <c r="R50" i="2" s="1"/>
  <c r="Q50" i="2" a="1"/>
  <c r="Q50" i="2" s="1"/>
  <c r="Y50" i="2" s="1" a="1"/>
  <c r="Y50" i="2" s="1"/>
  <c r="P50" i="2" a="1"/>
  <c r="P50" i="2" s="1"/>
  <c r="H50" i="2" a="1"/>
  <c r="H50" i="2" s="1"/>
  <c r="G50" i="2" a="1"/>
  <c r="G50" i="2" s="1"/>
  <c r="F50" i="2" a="1"/>
  <c r="F50" i="2" s="1"/>
  <c r="D27" i="8" s="1" a="1"/>
  <c r="D27" i="8" s="1"/>
  <c r="D50" i="2" a="1"/>
  <c r="D50" i="2" s="1"/>
  <c r="B27" i="8" s="1" a="1"/>
  <c r="B27" i="8" s="1"/>
  <c r="AJ220" i="2" a="1"/>
  <c r="AJ220" i="2" s="1"/>
  <c r="P220" i="2" a="1"/>
  <c r="P220" i="2" s="1"/>
  <c r="H220" i="2" a="1"/>
  <c r="H220" i="2" s="1"/>
  <c r="G220" i="2" a="1"/>
  <c r="G220" i="2" s="1"/>
  <c r="F220" i="2" a="1"/>
  <c r="F220" i="2" s="1"/>
  <c r="D11" i="9" s="1" a="1"/>
  <c r="D11" i="9" s="1"/>
  <c r="D220" i="2" a="1"/>
  <c r="D220" i="2" s="1"/>
  <c r="AH124" i="2" a="1"/>
  <c r="AH124" i="2" s="1"/>
  <c r="R124" i="2" a="1"/>
  <c r="R124" i="2" s="1"/>
  <c r="Q124" i="2" a="1"/>
  <c r="Q124" i="2" s="1"/>
  <c r="P124" i="2" a="1"/>
  <c r="P124" i="2" s="1"/>
  <c r="H124" i="2" a="1"/>
  <c r="H124" i="2" s="1"/>
  <c r="G124" i="2" a="1"/>
  <c r="G124" i="2" s="1"/>
  <c r="F124" i="2" a="1"/>
  <c r="F124" i="2" s="1"/>
  <c r="D124" i="2" a="1"/>
  <c r="D124" i="2" s="1"/>
  <c r="AH70" i="2" a="1"/>
  <c r="AH70" i="2" s="1"/>
  <c r="R70" i="2" a="1"/>
  <c r="R70" i="2" s="1"/>
  <c r="Q70" i="2" a="1"/>
  <c r="Q70" i="2" s="1"/>
  <c r="P70" i="2" a="1"/>
  <c r="P70" i="2" s="1"/>
  <c r="H70" i="2" a="1"/>
  <c r="H70" i="2" s="1"/>
  <c r="G70" i="2" a="1"/>
  <c r="G70" i="2" s="1"/>
  <c r="F70" i="2" a="1"/>
  <c r="F70" i="2" s="1"/>
  <c r="D70" i="2" a="1"/>
  <c r="D70" i="2" s="1"/>
  <c r="AH130" i="2" a="1"/>
  <c r="AH130" i="2" s="1"/>
  <c r="R130" i="2" a="1"/>
  <c r="R130" i="2" s="1"/>
  <c r="Q130" i="2" a="1"/>
  <c r="Q130" i="2" s="1"/>
  <c r="P130" i="2" a="1"/>
  <c r="P130" i="2" s="1"/>
  <c r="H130" i="2" a="1"/>
  <c r="H130" i="2" s="1"/>
  <c r="G130" i="2" a="1"/>
  <c r="G130" i="2" s="1"/>
  <c r="F130" i="2" a="1"/>
  <c r="F130" i="2" s="1"/>
  <c r="D130" i="2" a="1"/>
  <c r="D130" i="2" s="1"/>
  <c r="AH62" i="2" a="1"/>
  <c r="AH62" i="2" s="1"/>
  <c r="R62" i="2" a="1"/>
  <c r="R62" i="2" s="1"/>
  <c r="Q62" i="2" a="1"/>
  <c r="Q62" i="2" s="1"/>
  <c r="P62" i="2" a="1"/>
  <c r="P62" i="2" s="1"/>
  <c r="H62" i="2" a="1"/>
  <c r="H62" i="2" s="1"/>
  <c r="G62" i="2" a="1"/>
  <c r="G62" i="2" s="1"/>
  <c r="F62" i="2" a="1"/>
  <c r="F62" i="2" s="1"/>
  <c r="D62" i="2" a="1"/>
  <c r="D62" i="2" s="1"/>
  <c r="AJ20" i="2" a="1"/>
  <c r="AJ20" i="2" s="1"/>
  <c r="P20" i="2" a="1"/>
  <c r="P20" i="2" s="1"/>
  <c r="H20" i="2" a="1"/>
  <c r="H20" i="2" s="1"/>
  <c r="G20" i="2" a="1"/>
  <c r="G20" i="2" s="1"/>
  <c r="F20" i="2" a="1"/>
  <c r="F20" i="2" s="1"/>
  <c r="D10" i="9" s="1" a="1"/>
  <c r="D10" i="9" s="1"/>
  <c r="D20" i="2" a="1"/>
  <c r="D20" i="2" s="1"/>
  <c r="AH149" i="2" a="1"/>
  <c r="AH149" i="2" s="1"/>
  <c r="R149" i="2" a="1"/>
  <c r="R149" i="2" s="1"/>
  <c r="Q149" i="2" a="1"/>
  <c r="Q149" i="2" s="1"/>
  <c r="P149" i="2" a="1"/>
  <c r="P149" i="2" s="1"/>
  <c r="H149" i="2" a="1"/>
  <c r="H149" i="2" s="1"/>
  <c r="G149" i="2" a="1"/>
  <c r="G149" i="2" s="1"/>
  <c r="F149" i="2" a="1"/>
  <c r="F149" i="2" s="1"/>
  <c r="D149" i="2" a="1"/>
  <c r="D149" i="2" s="1"/>
  <c r="AH66" i="2" a="1"/>
  <c r="AH66" i="2" s="1"/>
  <c r="R66" i="2" a="1"/>
  <c r="R66" i="2" s="1"/>
  <c r="Q66" i="2" a="1"/>
  <c r="Q66" i="2" s="1"/>
  <c r="P66" i="2" a="1"/>
  <c r="P66" i="2" s="1"/>
  <c r="H66" i="2" a="1"/>
  <c r="H66" i="2" s="1"/>
  <c r="G66" i="2" a="1"/>
  <c r="G66" i="2" s="1"/>
  <c r="F66" i="2" a="1"/>
  <c r="F66" i="2" s="1"/>
  <c r="D66" i="2" a="1"/>
  <c r="D66" i="2" s="1"/>
  <c r="AJ92" i="2" a="1"/>
  <c r="AJ92" i="2" s="1"/>
  <c r="P92" i="2" a="1"/>
  <c r="P92" i="2" s="1"/>
  <c r="H92" i="2" a="1"/>
  <c r="H92" i="2" s="1"/>
  <c r="G92" i="2" a="1"/>
  <c r="G92" i="2" s="1"/>
  <c r="F92" i="2" a="1"/>
  <c r="F92" i="2" s="1"/>
  <c r="D9" i="9" s="1" a="1"/>
  <c r="D9" i="9" s="1"/>
  <c r="D92" i="2" a="1"/>
  <c r="D92" i="2" s="1"/>
  <c r="AH81" i="2" a="1"/>
  <c r="AH81" i="2" s="1"/>
  <c r="R81" i="2" a="1"/>
  <c r="R81" i="2" s="1"/>
  <c r="Q81" i="2" a="1"/>
  <c r="Q81" i="2" s="1"/>
  <c r="P81" i="2" a="1"/>
  <c r="P81" i="2" s="1"/>
  <c r="H81" i="2" a="1"/>
  <c r="H81" i="2" s="1"/>
  <c r="G81" i="2" a="1"/>
  <c r="G81" i="2" s="1"/>
  <c r="F81" i="2" a="1"/>
  <c r="F81" i="2" s="1"/>
  <c r="D81" i="2" a="1"/>
  <c r="D81" i="2" s="1"/>
  <c r="AH42" i="2" a="1"/>
  <c r="AH42" i="2" s="1"/>
  <c r="R42" i="2" a="1"/>
  <c r="R42" i="2" s="1"/>
  <c r="Q42" i="2" a="1"/>
  <c r="Q42" i="2" s="1"/>
  <c r="P42" i="2" a="1"/>
  <c r="P42" i="2" s="1"/>
  <c r="H42" i="2" a="1"/>
  <c r="H42" i="2" s="1"/>
  <c r="G42" i="2" a="1"/>
  <c r="G42" i="2" s="1"/>
  <c r="F42" i="2" a="1"/>
  <c r="F42" i="2" s="1"/>
  <c r="D26" i="8" s="1" a="1"/>
  <c r="D26" i="8" s="1"/>
  <c r="D42" i="2" a="1"/>
  <c r="D42" i="2" s="1"/>
  <c r="B26" i="8" s="1" a="1"/>
  <c r="B26" i="8" s="1"/>
  <c r="AH97" i="2" a="1"/>
  <c r="AH97" i="2" s="1"/>
  <c r="R97" i="2" a="1"/>
  <c r="R97" i="2" s="1"/>
  <c r="Q97" i="2" a="1"/>
  <c r="Q97" i="2" s="1"/>
  <c r="P97" i="2" a="1"/>
  <c r="P97" i="2" s="1"/>
  <c r="H97" i="2" a="1"/>
  <c r="H97" i="2" s="1"/>
  <c r="G97" i="2" a="1"/>
  <c r="G97" i="2" s="1"/>
  <c r="F97" i="2" a="1"/>
  <c r="F97" i="2" s="1"/>
  <c r="D97" i="2" a="1"/>
  <c r="D97" i="2" s="1"/>
  <c r="AH44" i="2" a="1"/>
  <c r="AH44" i="2" s="1"/>
  <c r="R44" i="2" a="1"/>
  <c r="R44" i="2" s="1"/>
  <c r="Q44" i="2" a="1"/>
  <c r="Q44" i="2" s="1"/>
  <c r="P44" i="2" a="1"/>
  <c r="P44" i="2" s="1"/>
  <c r="H44" i="2" a="1"/>
  <c r="H44" i="2" s="1"/>
  <c r="G44" i="2" a="1"/>
  <c r="G44" i="2" s="1"/>
  <c r="F44" i="2" a="1"/>
  <c r="F44" i="2" s="1"/>
  <c r="D25" i="8" s="1" a="1"/>
  <c r="D25" i="8" s="1"/>
  <c r="D44" i="2" a="1"/>
  <c r="D44" i="2" s="1"/>
  <c r="AH57" i="2" a="1"/>
  <c r="AH57" i="2" s="1"/>
  <c r="R57" i="2" a="1"/>
  <c r="R57" i="2" s="1"/>
  <c r="Q57" i="2" a="1"/>
  <c r="Q57" i="2" s="1"/>
  <c r="P57" i="2" a="1"/>
  <c r="P57" i="2" s="1"/>
  <c r="H57" i="2" a="1"/>
  <c r="H57" i="2" s="1"/>
  <c r="G57" i="2" a="1"/>
  <c r="G57" i="2" s="1"/>
  <c r="F57" i="2" a="1"/>
  <c r="F57" i="2" s="1"/>
  <c r="D24" i="8" s="1" a="1"/>
  <c r="D24" i="8" s="1"/>
  <c r="D57" i="2" a="1"/>
  <c r="D57" i="2" s="1"/>
  <c r="AH54" i="2" a="1"/>
  <c r="AH54" i="2" s="1"/>
  <c r="R54" i="2" a="1"/>
  <c r="R54" i="2" s="1"/>
  <c r="Q54" i="2" a="1"/>
  <c r="Q54" i="2" s="1"/>
  <c r="P54" i="2" a="1"/>
  <c r="P54" i="2" s="1"/>
  <c r="H54" i="2" a="1"/>
  <c r="H54" i="2" s="1"/>
  <c r="G54" i="2" a="1"/>
  <c r="G54" i="2" s="1"/>
  <c r="F54" i="2" a="1"/>
  <c r="F54" i="2" s="1"/>
  <c r="D54" i="2" a="1"/>
  <c r="D54" i="2" s="1"/>
  <c r="AH24" i="2" a="1"/>
  <c r="AH24" i="2" s="1"/>
  <c r="R24" i="2" a="1"/>
  <c r="R24" i="2" s="1"/>
  <c r="Q24" i="2" a="1"/>
  <c r="Q24" i="2" s="1"/>
  <c r="P24" i="2" a="1"/>
  <c r="P24" i="2" s="1"/>
  <c r="H24" i="2" a="1"/>
  <c r="H24" i="2" s="1"/>
  <c r="G24" i="2" a="1"/>
  <c r="G24" i="2" s="1"/>
  <c r="F24" i="2" a="1"/>
  <c r="F24" i="2" s="1"/>
  <c r="D23" i="8" s="1" a="1"/>
  <c r="D23" i="8" s="1"/>
  <c r="D24" i="2" a="1"/>
  <c r="D24" i="2" s="1"/>
  <c r="B23" i="8" s="1" a="1"/>
  <c r="B23" i="8" s="1"/>
  <c r="AH119" i="2" a="1"/>
  <c r="AH119" i="2" s="1"/>
  <c r="R119" i="2" a="1"/>
  <c r="R119" i="2" s="1"/>
  <c r="Q119" i="2" a="1"/>
  <c r="Q119" i="2" s="1"/>
  <c r="Z119" i="2" s="1" a="1"/>
  <c r="Z119" i="2" s="1"/>
  <c r="P119" i="2" a="1"/>
  <c r="P119" i="2" s="1"/>
  <c r="H119" i="2" a="1"/>
  <c r="H119" i="2" s="1"/>
  <c r="G119" i="2" a="1"/>
  <c r="G119" i="2" s="1"/>
  <c r="F119" i="2" a="1"/>
  <c r="F119" i="2" s="1"/>
  <c r="D119" i="2" a="1"/>
  <c r="D119" i="2" s="1"/>
  <c r="AH141" i="2" a="1"/>
  <c r="AH141" i="2" s="1"/>
  <c r="R141" i="2" a="1"/>
  <c r="R141" i="2" s="1"/>
  <c r="Q141" i="2" a="1"/>
  <c r="Q141" i="2" s="1"/>
  <c r="P141" i="2" a="1"/>
  <c r="P141" i="2" s="1"/>
  <c r="H141" i="2" a="1"/>
  <c r="H141" i="2" s="1"/>
  <c r="G141" i="2" a="1"/>
  <c r="G141" i="2" s="1"/>
  <c r="F141" i="2" a="1"/>
  <c r="F141" i="2" s="1"/>
  <c r="D141" i="2" a="1"/>
  <c r="D141" i="2" s="1"/>
  <c r="AH60" i="2" a="1"/>
  <c r="AH60" i="2" s="1"/>
  <c r="R60" i="2" a="1"/>
  <c r="R60" i="2" s="1"/>
  <c r="Q60" i="2" a="1"/>
  <c r="Q60" i="2" s="1"/>
  <c r="P60" i="2" a="1"/>
  <c r="P60" i="2" s="1"/>
  <c r="H60" i="2" a="1"/>
  <c r="H60" i="2" s="1"/>
  <c r="G60" i="2" a="1"/>
  <c r="G60" i="2" s="1"/>
  <c r="F60" i="2" a="1"/>
  <c r="F60" i="2" s="1"/>
  <c r="D22" i="8" s="1" a="1"/>
  <c r="D22" i="8" s="1"/>
  <c r="D60" i="2" a="1"/>
  <c r="D60" i="2" s="1"/>
  <c r="AH58" i="2" a="1"/>
  <c r="AH58" i="2" s="1"/>
  <c r="R58" i="2" a="1"/>
  <c r="R58" i="2" s="1"/>
  <c r="Q58" i="2" a="1"/>
  <c r="Q58" i="2" s="1"/>
  <c r="P58" i="2" a="1"/>
  <c r="P58" i="2" s="1"/>
  <c r="H58" i="2" a="1"/>
  <c r="H58" i="2" s="1"/>
  <c r="G58" i="2" a="1"/>
  <c r="G58" i="2" s="1"/>
  <c r="F58" i="2" a="1"/>
  <c r="F58" i="2" s="1"/>
  <c r="D58" i="2" a="1"/>
  <c r="D58" i="2" s="1"/>
  <c r="AH36" i="2" a="1"/>
  <c r="AH36" i="2" s="1"/>
  <c r="R36" i="2" a="1"/>
  <c r="R36" i="2" s="1"/>
  <c r="Q36" i="2" a="1"/>
  <c r="Q36" i="2" s="1"/>
  <c r="P36" i="2" a="1"/>
  <c r="P36" i="2" s="1"/>
  <c r="H36" i="2" a="1"/>
  <c r="H36" i="2" s="1"/>
  <c r="G36" i="2" a="1"/>
  <c r="G36" i="2" s="1"/>
  <c r="F36" i="2" a="1"/>
  <c r="F36" i="2" s="1"/>
  <c r="D21" i="8" s="1" a="1"/>
  <c r="D21" i="8" s="1"/>
  <c r="D36" i="2" a="1"/>
  <c r="D36" i="2" s="1"/>
  <c r="B21" i="8" s="1" a="1"/>
  <c r="B21" i="8" s="1"/>
  <c r="AJ27" i="2" a="1"/>
  <c r="AJ27" i="2" s="1"/>
  <c r="P27" i="2" a="1"/>
  <c r="P27" i="2" s="1"/>
  <c r="H27" i="2" a="1"/>
  <c r="H27" i="2" s="1"/>
  <c r="G27" i="2" a="1"/>
  <c r="G27" i="2" s="1"/>
  <c r="F27" i="2" a="1"/>
  <c r="F27" i="2" s="1"/>
  <c r="D8" i="9" s="1" a="1"/>
  <c r="D8" i="9" s="1"/>
  <c r="D27" i="2" a="1"/>
  <c r="D27" i="2" s="1"/>
  <c r="B8" i="9" s="1" a="1"/>
  <c r="B8" i="9" s="1"/>
  <c r="AH112" i="2" a="1"/>
  <c r="AH112" i="2" s="1"/>
  <c r="R112" i="2" a="1"/>
  <c r="R112" i="2" s="1"/>
  <c r="Q112" i="2" a="1"/>
  <c r="Q112" i="2" s="1"/>
  <c r="P112" i="2" a="1"/>
  <c r="P112" i="2" s="1"/>
  <c r="H112" i="2" a="1"/>
  <c r="H112" i="2" s="1"/>
  <c r="G112" i="2" a="1"/>
  <c r="G112" i="2" s="1"/>
  <c r="F112" i="2" a="1"/>
  <c r="F112" i="2" s="1"/>
  <c r="D112" i="2" a="1"/>
  <c r="D112" i="2" s="1"/>
  <c r="AH90" i="2" a="1"/>
  <c r="AH90" i="2" s="1"/>
  <c r="R90" i="2" a="1"/>
  <c r="R90" i="2" s="1"/>
  <c r="Q90" i="2" a="1"/>
  <c r="Q90" i="2" s="1"/>
  <c r="P90" i="2" a="1"/>
  <c r="P90" i="2" s="1"/>
  <c r="H90" i="2" a="1"/>
  <c r="H90" i="2" s="1"/>
  <c r="G90" i="2" a="1"/>
  <c r="G90" i="2" s="1"/>
  <c r="F90" i="2" a="1"/>
  <c r="F90" i="2" s="1"/>
  <c r="D90" i="2" a="1"/>
  <c r="D90" i="2" s="1"/>
  <c r="AJ64" i="2" a="1"/>
  <c r="AJ64" i="2" s="1"/>
  <c r="AN64" i="2" s="1" a="1"/>
  <c r="AN64" i="2" s="1"/>
  <c r="P64" i="2" a="1"/>
  <c r="P64" i="2" s="1"/>
  <c r="H64" i="2" a="1"/>
  <c r="H64" i="2" s="1"/>
  <c r="G64" i="2" a="1"/>
  <c r="G64" i="2" s="1"/>
  <c r="F64" i="2" a="1"/>
  <c r="F64" i="2" s="1"/>
  <c r="D7" i="9" s="1" a="1"/>
  <c r="D7" i="9" s="1"/>
  <c r="D64" i="2" a="1"/>
  <c r="D64" i="2" s="1"/>
  <c r="B7" i="9" s="1" a="1"/>
  <c r="B7" i="9" s="1"/>
  <c r="AH56" i="2" a="1"/>
  <c r="AH56" i="2" s="1"/>
  <c r="R56" i="2" a="1"/>
  <c r="R56" i="2" s="1"/>
  <c r="Q56" i="2" a="1"/>
  <c r="Q56" i="2" s="1"/>
  <c r="P56" i="2" a="1"/>
  <c r="P56" i="2" s="1"/>
  <c r="H56" i="2" a="1"/>
  <c r="H56" i="2" s="1"/>
  <c r="G56" i="2" a="1"/>
  <c r="G56" i="2" s="1"/>
  <c r="F56" i="2" a="1"/>
  <c r="F56" i="2" s="1"/>
  <c r="D56" i="2" a="1"/>
  <c r="D56" i="2" s="1"/>
  <c r="AJ26" i="2" a="1"/>
  <c r="AJ26" i="2" s="1"/>
  <c r="P26" i="2" a="1"/>
  <c r="P26" i="2" s="1"/>
  <c r="H26" i="2" a="1"/>
  <c r="H26" i="2" s="1"/>
  <c r="G26" i="2" a="1"/>
  <c r="G26" i="2" s="1"/>
  <c r="F26" i="2" a="1"/>
  <c r="F26" i="2" s="1"/>
  <c r="D6" i="9" s="1" a="1"/>
  <c r="D6" i="9" s="1"/>
  <c r="D26" i="2" a="1"/>
  <c r="D26" i="2" s="1"/>
  <c r="B6" i="9" s="1" a="1"/>
  <c r="B6" i="9" s="1"/>
  <c r="AH77" i="2" a="1"/>
  <c r="AH77" i="2" s="1"/>
  <c r="R77" i="2" a="1"/>
  <c r="R77" i="2" s="1"/>
  <c r="Q77" i="2" a="1"/>
  <c r="Q77" i="2" s="1"/>
  <c r="AF77" i="2" s="1" a="1"/>
  <c r="AF77" i="2" s="1"/>
  <c r="P77" i="2" a="1"/>
  <c r="P77" i="2" s="1"/>
  <c r="H77" i="2" a="1"/>
  <c r="H77" i="2" s="1"/>
  <c r="G77" i="2" a="1"/>
  <c r="G77" i="2" s="1"/>
  <c r="F77" i="2" a="1"/>
  <c r="F77" i="2" s="1"/>
  <c r="D77" i="2" a="1"/>
  <c r="D77" i="2" s="1"/>
  <c r="AH34" i="2" a="1"/>
  <c r="AH34" i="2" s="1"/>
  <c r="R34" i="2" a="1"/>
  <c r="R34" i="2" s="1"/>
  <c r="Q34" i="2" a="1"/>
  <c r="Q34" i="2" s="1"/>
  <c r="P34" i="2" a="1"/>
  <c r="P34" i="2" s="1"/>
  <c r="H34" i="2" a="1"/>
  <c r="H34" i="2" s="1"/>
  <c r="G34" i="2" a="1"/>
  <c r="G34" i="2" s="1"/>
  <c r="F34" i="2" a="1"/>
  <c r="F34" i="2" s="1"/>
  <c r="D20" i="8" s="1" a="1"/>
  <c r="D20" i="8" s="1"/>
  <c r="D34" i="2" a="1"/>
  <c r="D34" i="2" s="1"/>
  <c r="B20" i="8" s="1" a="1"/>
  <c r="B20" i="8" s="1"/>
  <c r="AH107" i="2" a="1"/>
  <c r="AH107" i="2" s="1"/>
  <c r="R107" i="2" a="1"/>
  <c r="R107" i="2" s="1"/>
  <c r="Q107" i="2" a="1"/>
  <c r="Q107" i="2" s="1"/>
  <c r="Y107" i="2" s="1" a="1"/>
  <c r="Y107" i="2" s="1"/>
  <c r="P107" i="2" a="1"/>
  <c r="P107" i="2" s="1"/>
  <c r="H107" i="2" a="1"/>
  <c r="H107" i="2" s="1"/>
  <c r="G107" i="2" a="1"/>
  <c r="G107" i="2" s="1"/>
  <c r="F107" i="2" a="1"/>
  <c r="F107" i="2" s="1"/>
  <c r="D107" i="2" a="1"/>
  <c r="D107" i="2" s="1"/>
  <c r="AH63" i="2" a="1"/>
  <c r="AH63" i="2" s="1"/>
  <c r="R63" i="2" a="1"/>
  <c r="R63" i="2" s="1"/>
  <c r="Q63" i="2" a="1"/>
  <c r="Q63" i="2" s="1"/>
  <c r="AB63" i="2" s="1" a="1"/>
  <c r="AB63" i="2" s="1"/>
  <c r="P63" i="2" a="1"/>
  <c r="P63" i="2" s="1"/>
  <c r="H63" i="2" a="1"/>
  <c r="H63" i="2" s="1"/>
  <c r="G63" i="2" a="1"/>
  <c r="G63" i="2" s="1"/>
  <c r="F63" i="2" a="1"/>
  <c r="F63" i="2" s="1"/>
  <c r="D63" i="2" a="1"/>
  <c r="D63" i="2" s="1"/>
  <c r="AH45" i="2" a="1"/>
  <c r="AH45" i="2" s="1"/>
  <c r="R45" i="2" a="1"/>
  <c r="R45" i="2" s="1"/>
  <c r="Q45" i="2" a="1"/>
  <c r="Q45" i="2" s="1"/>
  <c r="P45" i="2" a="1"/>
  <c r="P45" i="2" s="1"/>
  <c r="H45" i="2" a="1"/>
  <c r="H45" i="2" s="1"/>
  <c r="G45" i="2" a="1"/>
  <c r="G45" i="2" s="1"/>
  <c r="F45" i="2" a="1"/>
  <c r="F45" i="2" s="1"/>
  <c r="D19" i="8" s="1" a="1"/>
  <c r="D19" i="8" s="1"/>
  <c r="D45" i="2" a="1"/>
  <c r="D45" i="2" s="1"/>
  <c r="B19" i="8" s="1" a="1"/>
  <c r="B19" i="8" s="1"/>
  <c r="AJ17" i="2" a="1"/>
  <c r="AJ17" i="2" s="1"/>
  <c r="P17" i="2" a="1"/>
  <c r="P17" i="2" s="1"/>
  <c r="H17" i="2" a="1"/>
  <c r="H17" i="2" s="1"/>
  <c r="G17" i="2" a="1"/>
  <c r="G17" i="2" s="1"/>
  <c r="F17" i="2" a="1"/>
  <c r="F17" i="2" s="1"/>
  <c r="D5" i="9" s="1" a="1"/>
  <c r="D5" i="9" s="1"/>
  <c r="D17" i="2" a="1"/>
  <c r="D17" i="2" s="1"/>
  <c r="AH155" i="2" a="1"/>
  <c r="AH155" i="2" s="1"/>
  <c r="R155" i="2" a="1"/>
  <c r="R155" i="2" s="1"/>
  <c r="Q155" i="2" a="1"/>
  <c r="Q155" i="2" s="1"/>
  <c r="P155" i="2" a="1"/>
  <c r="P155" i="2" s="1"/>
  <c r="H155" i="2" a="1"/>
  <c r="H155" i="2" s="1"/>
  <c r="G155" i="2" a="1"/>
  <c r="G155" i="2" s="1"/>
  <c r="F155" i="2" a="1"/>
  <c r="F155" i="2" s="1"/>
  <c r="D155" i="2" a="1"/>
  <c r="D155" i="2" s="1"/>
  <c r="AH52" i="2" a="1"/>
  <c r="AH52" i="2" s="1"/>
  <c r="R52" i="2" a="1"/>
  <c r="R52" i="2" s="1"/>
  <c r="Q52" i="2" a="1"/>
  <c r="Q52" i="2" s="1"/>
  <c r="AA52" i="2" s="1" a="1"/>
  <c r="AA52" i="2" s="1"/>
  <c r="P52" i="2" a="1"/>
  <c r="P52" i="2" s="1"/>
  <c r="H52" i="2" a="1"/>
  <c r="H52" i="2" s="1"/>
  <c r="G52" i="2" a="1"/>
  <c r="G52" i="2" s="1"/>
  <c r="F52" i="2" a="1"/>
  <c r="F52" i="2" s="1"/>
  <c r="D52" i="2" a="1"/>
  <c r="D52" i="2" s="1"/>
  <c r="AH31" i="2" a="1"/>
  <c r="AH31" i="2" s="1"/>
  <c r="R31" i="2" a="1"/>
  <c r="R31" i="2" s="1"/>
  <c r="Q31" i="2" a="1"/>
  <c r="Q31" i="2" s="1"/>
  <c r="Z31" i="2" s="1" a="1"/>
  <c r="Z31" i="2" s="1"/>
  <c r="P31" i="2" a="1"/>
  <c r="P31" i="2" s="1"/>
  <c r="H31" i="2" a="1"/>
  <c r="H31" i="2" s="1"/>
  <c r="G31" i="2" a="1"/>
  <c r="G31" i="2" s="1"/>
  <c r="F31" i="2" a="1"/>
  <c r="F31" i="2" s="1"/>
  <c r="D18" i="8" s="1" a="1"/>
  <c r="D18" i="8" s="1"/>
  <c r="D31" i="2" a="1"/>
  <c r="D31" i="2" s="1"/>
  <c r="B18" i="8" s="1" a="1"/>
  <c r="B18" i="8" s="1"/>
  <c r="AH78" i="2" a="1"/>
  <c r="AH78" i="2" s="1"/>
  <c r="R78" i="2" a="1"/>
  <c r="R78" i="2" s="1"/>
  <c r="Q78" i="2" a="1"/>
  <c r="Q78" i="2" s="1"/>
  <c r="P78" i="2" a="1"/>
  <c r="P78" i="2" s="1"/>
  <c r="H78" i="2" a="1"/>
  <c r="H78" i="2" s="1"/>
  <c r="G78" i="2" a="1"/>
  <c r="G78" i="2" s="1"/>
  <c r="F78" i="2" a="1"/>
  <c r="F78" i="2" s="1"/>
  <c r="D78" i="2" a="1"/>
  <c r="D78" i="2" s="1"/>
  <c r="AH46" i="2" a="1"/>
  <c r="AH46" i="2" s="1"/>
  <c r="R46" i="2" a="1"/>
  <c r="R46" i="2" s="1"/>
  <c r="Q46" i="2" a="1"/>
  <c r="Q46" i="2" s="1"/>
  <c r="P46" i="2" a="1"/>
  <c r="P46" i="2" s="1"/>
  <c r="H46" i="2" a="1"/>
  <c r="H46" i="2" s="1"/>
  <c r="G46" i="2" a="1"/>
  <c r="G46" i="2" s="1"/>
  <c r="F46" i="2" a="1"/>
  <c r="F46" i="2" s="1"/>
  <c r="D16" i="8" s="1" a="1"/>
  <c r="D16" i="8" s="1"/>
  <c r="D46" i="2" a="1"/>
  <c r="D46" i="2" s="1"/>
  <c r="AH14" i="2" a="1"/>
  <c r="AH14" i="2" s="1"/>
  <c r="R14" i="2" a="1"/>
  <c r="R14" i="2" s="1"/>
  <c r="Q14" i="2" a="1"/>
  <c r="Q14" i="2" s="1"/>
  <c r="P14" i="2" a="1"/>
  <c r="P14" i="2" s="1"/>
  <c r="H14" i="2" a="1"/>
  <c r="H14" i="2" s="1"/>
  <c r="G14" i="2" a="1"/>
  <c r="G14" i="2" s="1"/>
  <c r="F14" i="2" a="1"/>
  <c r="F14" i="2" s="1"/>
  <c r="D15" i="8" s="1" a="1"/>
  <c r="D15" i="8" s="1"/>
  <c r="D14" i="2" a="1"/>
  <c r="D14" i="2" s="1"/>
  <c r="AH95" i="2" a="1"/>
  <c r="AH95" i="2" s="1"/>
  <c r="R95" i="2" a="1"/>
  <c r="R95" i="2" s="1"/>
  <c r="Q95" i="2" a="1"/>
  <c r="Q95" i="2" s="1"/>
  <c r="P95" i="2" a="1"/>
  <c r="P95" i="2" s="1"/>
  <c r="H95" i="2" a="1"/>
  <c r="H95" i="2" s="1"/>
  <c r="G95" i="2" a="1"/>
  <c r="G95" i="2" s="1"/>
  <c r="F95" i="2" a="1"/>
  <c r="F95" i="2" s="1"/>
  <c r="D95" i="2" a="1"/>
  <c r="D95" i="2" s="1"/>
  <c r="AH18" i="2" a="1"/>
  <c r="AH18" i="2" s="1"/>
  <c r="R18" i="2" a="1"/>
  <c r="R18" i="2" s="1"/>
  <c r="Q18" i="2" a="1"/>
  <c r="Q18" i="2" s="1"/>
  <c r="P18" i="2" a="1"/>
  <c r="P18" i="2" s="1"/>
  <c r="H18" i="2" a="1"/>
  <c r="H18" i="2" s="1"/>
  <c r="G18" i="2" a="1"/>
  <c r="G18" i="2" s="1"/>
  <c r="F18" i="2" a="1"/>
  <c r="F18" i="2" s="1"/>
  <c r="D14" i="8" s="1" a="1"/>
  <c r="D14" i="8" s="1"/>
  <c r="D18" i="2" a="1"/>
  <c r="D18" i="2" s="1"/>
  <c r="B14" i="8" s="1" a="1"/>
  <c r="B14" i="8" s="1"/>
  <c r="AH41" i="2" a="1"/>
  <c r="AH41" i="2" s="1"/>
  <c r="R41" i="2" a="1"/>
  <c r="R41" i="2" s="1"/>
  <c r="Q41" i="2" a="1"/>
  <c r="Q41" i="2" s="1"/>
  <c r="P41" i="2" a="1"/>
  <c r="P41" i="2" s="1"/>
  <c r="H41" i="2" a="1"/>
  <c r="H41" i="2" s="1"/>
  <c r="G41" i="2" a="1"/>
  <c r="G41" i="2" s="1"/>
  <c r="F41" i="2" a="1"/>
  <c r="F41" i="2" s="1"/>
  <c r="D13" i="8" s="1" a="1"/>
  <c r="D13" i="8" s="1"/>
  <c r="D41" i="2" a="1"/>
  <c r="D41" i="2" s="1"/>
  <c r="B13" i="8" s="1" a="1"/>
  <c r="B13" i="8" s="1"/>
  <c r="AH49" i="2" a="1"/>
  <c r="AH49" i="2" s="1"/>
  <c r="R49" i="2" a="1"/>
  <c r="R49" i="2" s="1"/>
  <c r="Q49" i="2" a="1"/>
  <c r="Q49" i="2" s="1"/>
  <c r="Y49" i="2" s="1" a="1"/>
  <c r="Y49" i="2" s="1"/>
  <c r="P49" i="2" a="1"/>
  <c r="P49" i="2" s="1"/>
  <c r="H49" i="2" a="1"/>
  <c r="H49" i="2" s="1"/>
  <c r="G49" i="2" a="1"/>
  <c r="G49" i="2" s="1"/>
  <c r="F49" i="2" a="1"/>
  <c r="F49" i="2" s="1"/>
  <c r="D49" i="2" a="1"/>
  <c r="D49" i="2" s="1"/>
  <c r="AH83" i="2" a="1"/>
  <c r="AH83" i="2" s="1"/>
  <c r="R83" i="2" a="1"/>
  <c r="R83" i="2" s="1"/>
  <c r="Q83" i="2" a="1"/>
  <c r="Q83" i="2" s="1"/>
  <c r="P83" i="2" a="1"/>
  <c r="P83" i="2" s="1"/>
  <c r="H83" i="2" a="1"/>
  <c r="H83" i="2" s="1"/>
  <c r="G83" i="2" a="1"/>
  <c r="G83" i="2" s="1"/>
  <c r="F83" i="2" a="1"/>
  <c r="F83" i="2" s="1"/>
  <c r="D83" i="2" a="1"/>
  <c r="D83" i="2" s="1"/>
  <c r="AH33" i="2" a="1"/>
  <c r="AH33" i="2" s="1"/>
  <c r="R33" i="2" a="1"/>
  <c r="R33" i="2" s="1"/>
  <c r="Q33" i="2" a="1"/>
  <c r="Q33" i="2" s="1"/>
  <c r="P33" i="2" a="1"/>
  <c r="P33" i="2" s="1"/>
  <c r="H33" i="2" a="1"/>
  <c r="H33" i="2" s="1"/>
  <c r="G33" i="2" a="1"/>
  <c r="G33" i="2" s="1"/>
  <c r="F33" i="2" a="1"/>
  <c r="F33" i="2" s="1"/>
  <c r="D33" i="2" a="1"/>
  <c r="D33" i="2" s="1"/>
  <c r="AJ10" i="2" a="1"/>
  <c r="AJ10" i="2" s="1"/>
  <c r="AN10" i="2" s="1" a="1"/>
  <c r="AN10" i="2" s="1"/>
  <c r="P10" i="2" a="1"/>
  <c r="P10" i="2" s="1"/>
  <c r="H10" i="2" a="1"/>
  <c r="H10" i="2" s="1"/>
  <c r="G10" i="2" a="1"/>
  <c r="G10" i="2" s="1"/>
  <c r="F10" i="2" a="1"/>
  <c r="F10" i="2" s="1"/>
  <c r="D4" i="9" s="1" a="1"/>
  <c r="D4" i="9" s="1"/>
  <c r="D10" i="2" a="1"/>
  <c r="D10" i="2" s="1"/>
  <c r="B4" i="9" s="1" a="1"/>
  <c r="B4" i="9" s="1"/>
  <c r="AH25" i="2" a="1"/>
  <c r="AH25" i="2" s="1"/>
  <c r="R25" i="2" a="1"/>
  <c r="R25" i="2" s="1"/>
  <c r="Q25" i="2" a="1"/>
  <c r="Q25" i="2" s="1"/>
  <c r="P25" i="2" a="1"/>
  <c r="P25" i="2" s="1"/>
  <c r="H25" i="2" a="1"/>
  <c r="H25" i="2" s="1"/>
  <c r="G25" i="2" a="1"/>
  <c r="G25" i="2" s="1"/>
  <c r="F25" i="2" a="1"/>
  <c r="F25" i="2" s="1"/>
  <c r="D12" i="8" s="1" a="1"/>
  <c r="D12" i="8" s="1"/>
  <c r="D25" i="2" a="1"/>
  <c r="D25" i="2" s="1"/>
  <c r="B12" i="8" s="1" a="1"/>
  <c r="B12" i="8" s="1"/>
  <c r="AJ15" i="2" a="1"/>
  <c r="AJ15" i="2" s="1"/>
  <c r="P15" i="2" a="1"/>
  <c r="P15" i="2" s="1"/>
  <c r="H15" i="2" a="1"/>
  <c r="H15" i="2" s="1"/>
  <c r="G15" i="2" a="1"/>
  <c r="G15" i="2" s="1"/>
  <c r="E25" i="3" s="1" a="1"/>
  <c r="E25" i="3" s="1"/>
  <c r="F15" i="2" a="1"/>
  <c r="F15" i="2" s="1"/>
  <c r="D15" i="2" a="1"/>
  <c r="D15" i="2" s="1"/>
  <c r="AH19" i="2" a="1"/>
  <c r="AH19" i="2" s="1"/>
  <c r="R19" i="2" a="1"/>
  <c r="R19" i="2" s="1"/>
  <c r="Q19" i="2" a="1"/>
  <c r="Q19" i="2" s="1"/>
  <c r="P19" i="2" a="1"/>
  <c r="P19" i="2" s="1"/>
  <c r="H19" i="2" a="1"/>
  <c r="H19" i="2" s="1"/>
  <c r="G19" i="2" a="1"/>
  <c r="G19" i="2" s="1"/>
  <c r="F19" i="2" a="1"/>
  <c r="F19" i="2" s="1"/>
  <c r="D11" i="8" s="1" a="1"/>
  <c r="D11" i="8" s="1"/>
  <c r="D19" i="2" a="1"/>
  <c r="D19" i="2" s="1"/>
  <c r="B11" i="8" s="1" a="1"/>
  <c r="B11" i="8" s="1"/>
  <c r="AH40" i="2" a="1"/>
  <c r="AH40" i="2" s="1"/>
  <c r="R40" i="2" a="1"/>
  <c r="R40" i="2" s="1"/>
  <c r="Q40" i="2" a="1"/>
  <c r="Q40" i="2" s="1"/>
  <c r="AF40" i="2" s="1" a="1"/>
  <c r="AF40" i="2" s="1"/>
  <c r="P40" i="2" a="1"/>
  <c r="P40" i="2" s="1"/>
  <c r="H40" i="2" a="1"/>
  <c r="H40" i="2" s="1"/>
  <c r="G40" i="2" a="1"/>
  <c r="G40" i="2" s="1"/>
  <c r="F40" i="2" a="1"/>
  <c r="F40" i="2" s="1"/>
  <c r="D40" i="2" a="1"/>
  <c r="D40" i="2" s="1"/>
  <c r="AH30" i="2" a="1"/>
  <c r="AH30" i="2" s="1"/>
  <c r="R30" i="2" a="1"/>
  <c r="R30" i="2" s="1"/>
  <c r="Q30" i="2" a="1"/>
  <c r="Q30" i="2" s="1"/>
  <c r="P30" i="2" a="1"/>
  <c r="P30" i="2" s="1"/>
  <c r="H30" i="2" a="1"/>
  <c r="H30" i="2" s="1"/>
  <c r="G30" i="2" a="1"/>
  <c r="G30" i="2" s="1"/>
  <c r="F30" i="2" a="1"/>
  <c r="F30" i="2" s="1"/>
  <c r="D30" i="2" a="1"/>
  <c r="D30" i="2" s="1"/>
  <c r="AH11" i="2" a="1"/>
  <c r="AH11" i="2" s="1"/>
  <c r="R11" i="2" a="1"/>
  <c r="R11" i="2" s="1"/>
  <c r="Q11" i="2" a="1"/>
  <c r="Q11" i="2" s="1"/>
  <c r="Y11" i="2" s="1" a="1"/>
  <c r="Y11" i="2" s="1"/>
  <c r="P11" i="2" a="1"/>
  <c r="P11" i="2" s="1"/>
  <c r="H11" i="2" a="1"/>
  <c r="H11" i="2" s="1"/>
  <c r="G11" i="2" a="1"/>
  <c r="G11" i="2" s="1"/>
  <c r="F11" i="2" a="1"/>
  <c r="F11" i="2" s="1"/>
  <c r="D10" i="8" s="1" a="1"/>
  <c r="D10" i="8" s="1"/>
  <c r="D11" i="2" a="1"/>
  <c r="D11" i="2" s="1"/>
  <c r="B10" i="8" s="1" a="1"/>
  <c r="B10" i="8" s="1"/>
  <c r="AH13" i="2" a="1"/>
  <c r="AH13" i="2" s="1"/>
  <c r="R13" i="2" a="1"/>
  <c r="R13" i="2" s="1"/>
  <c r="Q13" i="2" a="1"/>
  <c r="Q13" i="2" s="1"/>
  <c r="P13" i="2" a="1"/>
  <c r="P13" i="2" s="1"/>
  <c r="H13" i="2" a="1"/>
  <c r="H13" i="2" s="1"/>
  <c r="G13" i="2" a="1"/>
  <c r="G13" i="2" s="1"/>
  <c r="F13" i="2" a="1"/>
  <c r="F13" i="2" s="1"/>
  <c r="D9" i="8" s="1" a="1"/>
  <c r="D9" i="8" s="1"/>
  <c r="D13" i="2" a="1"/>
  <c r="D13" i="2" s="1"/>
  <c r="AH21" i="2" a="1"/>
  <c r="AH21" i="2" s="1"/>
  <c r="R21" i="2" a="1"/>
  <c r="R21" i="2" s="1"/>
  <c r="Q21" i="2" a="1"/>
  <c r="Q21" i="2" s="1"/>
  <c r="P21" i="2" a="1"/>
  <c r="P21" i="2" s="1"/>
  <c r="H21" i="2" a="1"/>
  <c r="H21" i="2" s="1"/>
  <c r="G21" i="2" a="1"/>
  <c r="G21" i="2" s="1"/>
  <c r="E6" i="3" s="1" a="1"/>
  <c r="E6" i="3" s="1"/>
  <c r="F21" i="2" a="1"/>
  <c r="F21" i="2" s="1"/>
  <c r="D21" i="2" a="1"/>
  <c r="D21" i="2" s="1"/>
  <c r="AH39" i="2" a="1"/>
  <c r="AH39" i="2" s="1"/>
  <c r="R39" i="2" a="1"/>
  <c r="R39" i="2" s="1"/>
  <c r="Q39" i="2" a="1"/>
  <c r="Q39" i="2" s="1"/>
  <c r="AF39" i="2" s="1" a="1"/>
  <c r="AF39" i="2" s="1"/>
  <c r="P39" i="2" a="1"/>
  <c r="P39" i="2" s="1"/>
  <c r="H39" i="2" a="1"/>
  <c r="H39" i="2" s="1"/>
  <c r="G39" i="2" a="1"/>
  <c r="G39" i="2" s="1"/>
  <c r="F39" i="2" a="1"/>
  <c r="F39" i="2" s="1"/>
  <c r="D39" i="2" a="1"/>
  <c r="D39" i="2" s="1"/>
  <c r="AH51" i="2" a="1"/>
  <c r="AH51" i="2" s="1"/>
  <c r="R51" i="2" a="1"/>
  <c r="R51" i="2" s="1"/>
  <c r="Q51" i="2" a="1"/>
  <c r="Q51" i="2" s="1"/>
  <c r="AB51" i="2" s="1" a="1"/>
  <c r="AB51" i="2" s="1"/>
  <c r="P51" i="2" a="1"/>
  <c r="P51" i="2" s="1"/>
  <c r="H51" i="2" a="1"/>
  <c r="H51" i="2" s="1"/>
  <c r="G51" i="2" a="1"/>
  <c r="G51" i="2" s="1"/>
  <c r="F51" i="2" a="1"/>
  <c r="F51" i="2" s="1"/>
  <c r="D51" i="2" a="1"/>
  <c r="D51" i="2" s="1"/>
  <c r="AH16" i="2" a="1"/>
  <c r="AH16" i="2" s="1"/>
  <c r="R16" i="2" a="1"/>
  <c r="R16" i="2" s="1"/>
  <c r="Q16" i="2" a="1"/>
  <c r="Q16" i="2" s="1"/>
  <c r="P16" i="2" a="1"/>
  <c r="P16" i="2" s="1"/>
  <c r="H16" i="2" a="1"/>
  <c r="H16" i="2" s="1"/>
  <c r="G16" i="2" a="1"/>
  <c r="G16" i="2" s="1"/>
  <c r="F16" i="2" a="1"/>
  <c r="F16" i="2" s="1"/>
  <c r="D8" i="8" s="1" a="1"/>
  <c r="D8" i="8" s="1"/>
  <c r="D16" i="2" a="1"/>
  <c r="D16" i="2" s="1"/>
  <c r="B8" i="8" s="1" a="1"/>
  <c r="B8" i="8" s="1"/>
  <c r="AH37" i="2" a="1"/>
  <c r="AH37" i="2" s="1"/>
  <c r="R37" i="2" a="1"/>
  <c r="R37" i="2" s="1"/>
  <c r="Q37" i="2" a="1"/>
  <c r="Q37" i="2" s="1"/>
  <c r="AB37" i="2" s="1" a="1"/>
  <c r="AB37" i="2" s="1"/>
  <c r="P37" i="2" a="1"/>
  <c r="P37" i="2" s="1"/>
  <c r="H37" i="2" a="1"/>
  <c r="H37" i="2" s="1"/>
  <c r="G37" i="2" a="1"/>
  <c r="G37" i="2" s="1"/>
  <c r="F37" i="2" a="1"/>
  <c r="F37" i="2" s="1"/>
  <c r="D37" i="2" a="1"/>
  <c r="D37" i="2" s="1"/>
  <c r="AH23" i="2" a="1"/>
  <c r="AH23" i="2" s="1"/>
  <c r="R23" i="2" a="1"/>
  <c r="R23" i="2" s="1"/>
  <c r="Q23" i="2" a="1"/>
  <c r="Q23" i="2" s="1"/>
  <c r="P23" i="2" a="1"/>
  <c r="P23" i="2" s="1"/>
  <c r="H23" i="2" a="1"/>
  <c r="H23" i="2" s="1"/>
  <c r="G23" i="2" a="1"/>
  <c r="G23" i="2" s="1"/>
  <c r="F23" i="2" a="1"/>
  <c r="F23" i="2" s="1"/>
  <c r="D23" i="2" a="1"/>
  <c r="D23" i="2" s="1"/>
  <c r="AH12" i="2" a="1"/>
  <c r="AH12" i="2" s="1"/>
  <c r="R12" i="2" a="1"/>
  <c r="R12" i="2" s="1"/>
  <c r="Q12" i="2" a="1"/>
  <c r="Q12" i="2" s="1"/>
  <c r="AA12" i="2" s="1" a="1"/>
  <c r="AA12" i="2" s="1"/>
  <c r="P12" i="2" a="1"/>
  <c r="P12" i="2" s="1"/>
  <c r="H12" i="2" a="1"/>
  <c r="H12" i="2" s="1"/>
  <c r="G12" i="2" a="1"/>
  <c r="G12" i="2" s="1"/>
  <c r="F12" i="2" a="1"/>
  <c r="F12" i="2" s="1"/>
  <c r="D12" i="2" a="1"/>
  <c r="D12" i="2" s="1"/>
  <c r="AH8" i="2" a="1"/>
  <c r="AH8" i="2" s="1"/>
  <c r="R8" i="2" a="1"/>
  <c r="R8" i="2" s="1"/>
  <c r="Q8" i="2" a="1"/>
  <c r="Q8" i="2" s="1"/>
  <c r="P8" i="2" a="1"/>
  <c r="P8" i="2" s="1"/>
  <c r="H8" i="2" a="1"/>
  <c r="H8" i="2" s="1"/>
  <c r="G8" i="2" a="1"/>
  <c r="G8" i="2" s="1"/>
  <c r="F8" i="2" a="1"/>
  <c r="F8" i="2" s="1"/>
  <c r="D7" i="8" s="1" a="1"/>
  <c r="D7" i="8" s="1"/>
  <c r="D8" i="2" a="1"/>
  <c r="D8" i="2" s="1"/>
  <c r="B7" i="8" s="1" a="1"/>
  <c r="B7" i="8" s="1"/>
  <c r="AH28" i="2" a="1"/>
  <c r="AH28" i="2" s="1"/>
  <c r="R28" i="2" a="1"/>
  <c r="R28" i="2" s="1"/>
  <c r="Q28" i="2" a="1"/>
  <c r="Q28" i="2" s="1"/>
  <c r="P28" i="2" a="1"/>
  <c r="P28" i="2" s="1"/>
  <c r="H28" i="2" a="1"/>
  <c r="H28" i="2" s="1"/>
  <c r="G28" i="2" a="1"/>
  <c r="G28" i="2" s="1"/>
  <c r="F28" i="2" a="1"/>
  <c r="F28" i="2" s="1"/>
  <c r="D28" i="2" a="1"/>
  <c r="D28" i="2" s="1"/>
  <c r="AH5" i="2" a="1"/>
  <c r="AH5" i="2" s="1"/>
  <c r="R5" i="2" a="1"/>
  <c r="R5" i="2" s="1"/>
  <c r="Q5" i="2" a="1"/>
  <c r="Q5" i="2" s="1"/>
  <c r="P5" i="2" a="1"/>
  <c r="P5" i="2" s="1"/>
  <c r="H5" i="2" a="1"/>
  <c r="H5" i="2" s="1"/>
  <c r="G5" i="2" a="1"/>
  <c r="G5" i="2" s="1"/>
  <c r="F5" i="2" a="1"/>
  <c r="F5" i="2" s="1"/>
  <c r="D6" i="8" s="1" a="1"/>
  <c r="D6" i="8" s="1"/>
  <c r="D5" i="2" a="1"/>
  <c r="D5" i="2" s="1"/>
  <c r="AH22" i="2" a="1"/>
  <c r="AH22" i="2" s="1"/>
  <c r="R22" i="2" a="1"/>
  <c r="R22" i="2" s="1"/>
  <c r="Q22" i="2" a="1"/>
  <c r="Q22" i="2" s="1"/>
  <c r="P22" i="2" a="1"/>
  <c r="P22" i="2" s="1"/>
  <c r="H22" i="2" a="1"/>
  <c r="H22" i="2" s="1"/>
  <c r="G22" i="2" a="1"/>
  <c r="G22" i="2" s="1"/>
  <c r="F22" i="2" a="1"/>
  <c r="F22" i="2" s="1"/>
  <c r="D22" i="2" a="1"/>
  <c r="D22" i="2" s="1"/>
  <c r="AH6" i="2" a="1"/>
  <c r="AH6" i="2" s="1"/>
  <c r="R6" i="2" a="1"/>
  <c r="R6" i="2" s="1"/>
  <c r="Q6" i="2" a="1"/>
  <c r="Q6" i="2" s="1"/>
  <c r="P6" i="2" a="1"/>
  <c r="P6" i="2" s="1"/>
  <c r="H6" i="2" a="1"/>
  <c r="H6" i="2" s="1"/>
  <c r="G6" i="2" a="1"/>
  <c r="G6" i="2" s="1"/>
  <c r="F6" i="2" a="1"/>
  <c r="F6" i="2" s="1"/>
  <c r="D5" i="8" s="1" a="1"/>
  <c r="D5" i="8" s="1"/>
  <c r="D6" i="2" a="1"/>
  <c r="D6" i="2" s="1"/>
  <c r="B5" i="8" s="1" a="1"/>
  <c r="B5" i="8" s="1"/>
  <c r="AH2" i="2" a="1"/>
  <c r="AH2" i="2" s="1"/>
  <c r="R2" i="2" a="1"/>
  <c r="R2" i="2" s="1"/>
  <c r="Q2" i="2" a="1"/>
  <c r="Q2" i="2" s="1"/>
  <c r="P2" i="2" a="1"/>
  <c r="P2" i="2" s="1"/>
  <c r="H2" i="2" a="1"/>
  <c r="H2" i="2" s="1"/>
  <c r="G2" i="2" a="1"/>
  <c r="G2" i="2" s="1"/>
  <c r="E14" i="3" s="1" a="1"/>
  <c r="E14" i="3" s="1"/>
  <c r="F2" i="2" a="1"/>
  <c r="F2" i="2" s="1"/>
  <c r="D2" i="2" a="1"/>
  <c r="D2" i="2" s="1"/>
  <c r="AH7" i="2" a="1"/>
  <c r="AH7" i="2" s="1"/>
  <c r="R7" i="2" a="1"/>
  <c r="R7" i="2" s="1"/>
  <c r="Q7" i="2" a="1"/>
  <c r="Q7" i="2" s="1"/>
  <c r="P7" i="2" a="1"/>
  <c r="P7" i="2" s="1"/>
  <c r="H7" i="2" a="1"/>
  <c r="H7" i="2" s="1"/>
  <c r="G7" i="2" a="1"/>
  <c r="G7" i="2" s="1"/>
  <c r="F7" i="2" a="1"/>
  <c r="F7" i="2" s="1"/>
  <c r="D3" i="8" s="1" a="1"/>
  <c r="D3" i="8" s="1"/>
  <c r="D7" i="2" a="1"/>
  <c r="D7" i="2" s="1"/>
  <c r="B3" i="8" s="1" a="1"/>
  <c r="B3" i="8" s="1"/>
  <c r="AH9" i="2" a="1"/>
  <c r="AH9" i="2" s="1"/>
  <c r="R9" i="2" a="1"/>
  <c r="R9" i="2" s="1"/>
  <c r="Q9" i="2" a="1"/>
  <c r="Q9" i="2" s="1"/>
  <c r="P9" i="2" a="1"/>
  <c r="P9" i="2" s="1"/>
  <c r="H9" i="2" a="1"/>
  <c r="H9" i="2" s="1"/>
  <c r="G9" i="2" a="1"/>
  <c r="G9" i="2" s="1"/>
  <c r="E10" i="3" s="1" a="1"/>
  <c r="E10" i="3" s="1"/>
  <c r="F9" i="2" a="1"/>
  <c r="F9" i="2" s="1"/>
  <c r="D9" i="2" a="1"/>
  <c r="D9" i="2" s="1"/>
  <c r="AH4" i="2" a="1"/>
  <c r="AH4" i="2" s="1"/>
  <c r="R4" i="2" a="1"/>
  <c r="R4" i="2" s="1"/>
  <c r="Q4" i="2" a="1"/>
  <c r="Q4" i="2" s="1"/>
  <c r="P4" i="2" a="1"/>
  <c r="P4" i="2" s="1"/>
  <c r="H4" i="2" a="1"/>
  <c r="H4" i="2" s="1"/>
  <c r="G4" i="2" a="1"/>
  <c r="G4" i="2" s="1"/>
  <c r="E2" i="3" s="1" a="1"/>
  <c r="E2" i="3" s="1"/>
  <c r="F4" i="2" a="1"/>
  <c r="F4" i="2" s="1"/>
  <c r="D4" i="2" a="1"/>
  <c r="D4" i="2" s="1"/>
  <c r="AH3" i="2" a="1"/>
  <c r="AH3" i="2" s="1"/>
  <c r="R3" i="2" a="1"/>
  <c r="R3" i="2" s="1"/>
  <c r="Q3" i="2" a="1"/>
  <c r="Q3" i="2" s="1"/>
  <c r="P3" i="2" a="1"/>
  <c r="P3" i="2" s="1"/>
  <c r="H3" i="2" a="1"/>
  <c r="H3" i="2" s="1"/>
  <c r="G3" i="2" a="1"/>
  <c r="G3" i="2" s="1"/>
  <c r="F3" i="2" a="1"/>
  <c r="F3" i="2" s="1"/>
  <c r="D3" i="2" a="1"/>
  <c r="D3" i="2" s="1"/>
  <c r="I6" i="1" a="1"/>
  <c r="I6" i="1" s="1"/>
  <c r="F6" i="1" a="1"/>
  <c r="F6" i="1" s="1"/>
  <c r="B2" i="9" s="1" a="1"/>
  <c r="B2" i="9" s="1"/>
  <c r="I5" i="1" a="1"/>
  <c r="I5" i="1" s="1"/>
  <c r="F5" i="1" a="1"/>
  <c r="F5" i="1" s="1"/>
  <c r="B2" i="8" s="1" a="1"/>
  <c r="B2" i="8" s="1"/>
  <c r="I4" i="1" a="1"/>
  <c r="I4" i="1" s="1"/>
  <c r="F4" i="1" a="1"/>
  <c r="F4" i="1" s="1"/>
  <c r="B2" i="7" s="1" a="1"/>
  <c r="B2" i="7" s="1"/>
  <c r="I3" i="1" a="1"/>
  <c r="I3" i="1"/>
  <c r="F3" i="1" a="1"/>
  <c r="F3" i="1" s="1"/>
  <c r="B2" i="6" s="1" a="1"/>
  <c r="B2" i="6" s="1"/>
  <c r="I2" i="1" a="1"/>
  <c r="I2" i="1" s="1"/>
  <c r="F2" i="1" a="1"/>
  <c r="F2" i="1" s="1"/>
  <c r="W223" i="2" l="1" a="1"/>
  <c r="W223" i="2" s="1"/>
  <c r="S595" i="2" a="1"/>
  <c r="S595" i="2" s="1"/>
  <c r="AB383" i="2" a="1"/>
  <c r="AB383" i="2" s="1"/>
  <c r="AA370" i="2" a="1"/>
  <c r="AA370" i="2" s="1"/>
  <c r="AB299" i="2" a="1"/>
  <c r="AB299" i="2" s="1"/>
  <c r="T39" i="2" a="1"/>
  <c r="T39" i="2" s="1"/>
  <c r="AF311" i="2" a="1"/>
  <c r="AF311" i="2" s="1"/>
  <c r="AB223" i="2" a="1"/>
  <c r="AB223" i="2" s="1"/>
  <c r="S111" i="2" a="1"/>
  <c r="S111" i="2" s="1"/>
  <c r="AP73" i="2" a="1"/>
  <c r="AP73" i="2" s="1"/>
  <c r="S490" i="2" a="1"/>
  <c r="S490" i="2" s="1"/>
  <c r="T215" i="2" a="1"/>
  <c r="T215" i="2" s="1"/>
  <c r="AE342" i="2" a="1"/>
  <c r="AE342" i="2" s="1"/>
  <c r="Y490" i="2" a="1"/>
  <c r="Y490" i="2" s="1"/>
  <c r="S219" i="2" a="1"/>
  <c r="S219" i="2" s="1"/>
  <c r="T198" i="2" a="1"/>
  <c r="T198" i="2" s="1"/>
  <c r="X545" i="2" a="1"/>
  <c r="X545" i="2" s="1"/>
  <c r="X556" i="2" a="1"/>
  <c r="X556" i="2" s="1"/>
  <c r="AA219" i="2" a="1"/>
  <c r="AA219" i="2" s="1"/>
  <c r="AF556" i="2" a="1"/>
  <c r="AF556" i="2" s="1"/>
  <c r="T349" i="2" a="1"/>
  <c r="T349" i="2" s="1"/>
  <c r="AO313" i="2" a="1"/>
  <c r="AO313" i="2" s="1"/>
  <c r="Y366" i="2" a="1"/>
  <c r="Y366" i="2" s="1"/>
  <c r="AC29" i="2" a="1"/>
  <c r="AC29" i="2" s="1"/>
  <c r="T350" i="2" a="1"/>
  <c r="T350" i="2" s="1"/>
  <c r="Z286" i="2" a="1"/>
  <c r="Z286" i="2" s="1"/>
  <c r="AB590" i="2" a="1"/>
  <c r="AB590" i="2" s="1"/>
  <c r="W584" i="2" a="1"/>
  <c r="W584" i="2" s="1"/>
  <c r="Y572" i="2" a="1"/>
  <c r="Y572" i="2" s="1"/>
  <c r="AF219" i="2" a="1"/>
  <c r="AF219" i="2" s="1"/>
  <c r="T586" i="2" a="1"/>
  <c r="T586" i="2" s="1"/>
  <c r="AC612" i="2" a="1"/>
  <c r="AC612" i="2" s="1"/>
  <c r="AB468" i="2" a="1"/>
  <c r="AB468" i="2" s="1"/>
  <c r="Z586" i="2" a="1"/>
  <c r="Z586" i="2" s="1"/>
  <c r="S376" i="2" a="1"/>
  <c r="S376" i="2" s="1"/>
  <c r="Y590" i="2" a="1"/>
  <c r="Y590" i="2" s="1"/>
  <c r="W482" i="2" a="1"/>
  <c r="W482" i="2" s="1"/>
  <c r="AA586" i="2" a="1"/>
  <c r="AA586" i="2" s="1"/>
  <c r="AA652" i="2" a="1"/>
  <c r="AA652" i="2" s="1"/>
  <c r="AF488" i="2" a="1"/>
  <c r="AF488" i="2" s="1"/>
  <c r="T238" i="2" a="1"/>
  <c r="T238" i="2" s="1"/>
  <c r="Z525" i="2" a="1"/>
  <c r="Z525" i="2" s="1"/>
  <c r="AD328" i="2" a="1"/>
  <c r="AD328" i="2" s="1"/>
  <c r="V428" i="2" a="1"/>
  <c r="V428" i="2" s="1"/>
  <c r="Y647" i="2" a="1"/>
  <c r="Y647" i="2" s="1"/>
  <c r="AC565" i="2" a="1"/>
  <c r="AC565" i="2" s="1"/>
  <c r="AF493" i="2" a="1"/>
  <c r="AF493" i="2" s="1"/>
  <c r="AG493" i="2" a="1"/>
  <c r="AG493" i="2" s="1"/>
  <c r="AE583" i="2" a="1"/>
  <c r="AE583" i="2" s="1"/>
  <c r="AE34" i="2" a="1"/>
  <c r="AE34" i="2" s="1"/>
  <c r="W84" i="2" a="1"/>
  <c r="W84" i="2" s="1"/>
  <c r="T269" i="2" a="1"/>
  <c r="T269" i="2" s="1"/>
  <c r="V283" i="2" a="1"/>
  <c r="V283" i="2" s="1"/>
  <c r="AO142" i="2" a="1"/>
  <c r="AO142" i="2" s="1"/>
  <c r="X441" i="2" a="1"/>
  <c r="X441" i="2" s="1"/>
  <c r="Z490" i="2" a="1"/>
  <c r="Z490" i="2" s="1"/>
  <c r="AG328" i="2" a="1"/>
  <c r="AG328" i="2" s="1"/>
  <c r="AF260" i="2" a="1"/>
  <c r="AF260" i="2" s="1"/>
  <c r="AA388" i="2" a="1"/>
  <c r="AA388" i="2" s="1"/>
  <c r="AA490" i="2" a="1"/>
  <c r="AA490" i="2" s="1"/>
  <c r="Z629" i="2" a="1"/>
  <c r="Z629" i="2" s="1"/>
  <c r="S90" i="2" a="1"/>
  <c r="S90" i="2" s="1"/>
  <c r="W40" i="2" a="1"/>
  <c r="W40" i="2" s="1"/>
  <c r="AD388" i="2" a="1"/>
  <c r="AD388" i="2" s="1"/>
  <c r="AF490" i="2" a="1"/>
  <c r="AF490" i="2" s="1"/>
  <c r="AF629" i="2" a="1"/>
  <c r="AF629" i="2" s="1"/>
  <c r="AG539" i="2" a="1"/>
  <c r="AG539" i="2" s="1"/>
  <c r="AE424" i="2" a="1"/>
  <c r="AE424" i="2" s="1"/>
  <c r="Y538" i="2" a="1"/>
  <c r="Y538" i="2" s="1"/>
  <c r="AD538" i="2" a="1"/>
  <c r="AD538" i="2" s="1"/>
  <c r="Z538" i="2" a="1"/>
  <c r="Z538" i="2" s="1"/>
  <c r="Z486" i="2" a="1"/>
  <c r="Z486" i="2" s="1"/>
  <c r="Z185" i="2" a="1"/>
  <c r="Z185" i="2" s="1"/>
  <c r="AD578" i="2" a="1"/>
  <c r="AD578" i="2" s="1"/>
  <c r="AB538" i="2" a="1"/>
  <c r="AB538" i="2" s="1"/>
  <c r="Z18" i="2" a="1"/>
  <c r="Z18" i="2" s="1"/>
  <c r="AF18" i="2" a="1"/>
  <c r="AF18" i="2" s="1"/>
  <c r="AF424" i="2" a="1"/>
  <c r="AF424" i="2" s="1"/>
  <c r="AB479" i="2" a="1"/>
  <c r="AB479" i="2" s="1"/>
  <c r="AG538" i="2" a="1"/>
  <c r="AG538" i="2" s="1"/>
  <c r="AA161" i="2" a="1"/>
  <c r="AA161" i="2" s="1"/>
  <c r="AF486" i="2" a="1"/>
  <c r="AF486" i="2" s="1"/>
  <c r="AA185" i="2" a="1"/>
  <c r="AA185" i="2" s="1"/>
  <c r="W577" i="2" a="1"/>
  <c r="W577" i="2" s="1"/>
  <c r="V25" i="2" a="1"/>
  <c r="V25" i="2" s="1"/>
  <c r="AF290" i="2" a="1"/>
  <c r="AF290" i="2" s="1"/>
  <c r="AA577" i="2" a="1"/>
  <c r="AA577" i="2" s="1"/>
  <c r="AF589" i="2" a="1"/>
  <c r="AF589" i="2" s="1"/>
  <c r="AB589" i="2" a="1"/>
  <c r="AB589" i="2" s="1"/>
  <c r="AK15" i="2" a="1"/>
  <c r="AK15" i="2" s="1"/>
  <c r="AF182" i="2" a="1"/>
  <c r="AF182" i="2" s="1"/>
  <c r="X182" i="2" a="1"/>
  <c r="X182" i="2" s="1"/>
  <c r="X382" i="2" a="1"/>
  <c r="X382" i="2" s="1"/>
  <c r="AB381" i="2" a="1"/>
  <c r="AB381" i="2" s="1"/>
  <c r="AA381" i="2" a="1"/>
  <c r="AA381" i="2" s="1"/>
  <c r="S487" i="2" a="1"/>
  <c r="S487" i="2" s="1"/>
  <c r="Z98" i="2" a="1"/>
  <c r="Z98" i="2" s="1"/>
  <c r="AM463" i="2" a="1"/>
  <c r="AM463" i="2" s="1"/>
  <c r="AN463" i="2" a="1"/>
  <c r="AN463" i="2" s="1"/>
  <c r="S618" i="2" a="1"/>
  <c r="S618" i="2" s="1"/>
  <c r="AE618" i="2" a="1"/>
  <c r="AE618" i="2" s="1"/>
  <c r="W4" i="2" a="1"/>
  <c r="W4" i="2" s="1"/>
  <c r="AD140" i="2" a="1"/>
  <c r="AD140" i="2" s="1"/>
  <c r="AD311" i="2" a="1"/>
  <c r="AD311" i="2" s="1"/>
  <c r="Z311" i="2" a="1"/>
  <c r="Z311" i="2" s="1"/>
  <c r="Y286" i="2" a="1"/>
  <c r="Y286" i="2" s="1"/>
  <c r="AP255" i="2" a="1"/>
  <c r="AP255" i="2" s="1"/>
  <c r="AG409" i="2" a="1"/>
  <c r="AG409" i="2" s="1"/>
  <c r="AF409" i="2" a="1"/>
  <c r="AF409" i="2" s="1"/>
  <c r="V37" i="2" a="1"/>
  <c r="V37" i="2" s="1"/>
  <c r="AD158" i="2" a="1"/>
  <c r="AD158" i="2" s="1"/>
  <c r="AD169" i="2" a="1"/>
  <c r="AD169" i="2" s="1"/>
  <c r="AB12" i="2" a="1"/>
  <c r="AB12" i="2" s="1"/>
  <c r="AC3" i="2" a="1"/>
  <c r="AC3" i="2" s="1"/>
  <c r="AA3" i="2" a="1"/>
  <c r="AA3" i="2" s="1"/>
  <c r="AE183" i="2" a="1"/>
  <c r="AE183" i="2" s="1"/>
  <c r="Z201" i="2" a="1"/>
  <c r="Z201" i="2" s="1"/>
  <c r="AD201" i="2" a="1"/>
  <c r="AD201" i="2" s="1"/>
  <c r="AG370" i="2" a="1"/>
  <c r="AG370" i="2" s="1"/>
  <c r="AB370" i="2" a="1"/>
  <c r="AB370" i="2" s="1"/>
  <c r="AE462" i="2" a="1"/>
  <c r="AE462" i="2" s="1"/>
  <c r="V538" i="2" a="1"/>
  <c r="V538" i="2" s="1"/>
  <c r="S451" i="2" a="1"/>
  <c r="S451" i="2" s="1"/>
  <c r="Y603" i="2" a="1"/>
  <c r="Y603" i="2" s="1"/>
  <c r="AF546" i="2" a="1"/>
  <c r="AF546" i="2" s="1"/>
  <c r="AD546" i="2" a="1"/>
  <c r="AD546" i="2" s="1"/>
  <c r="X518" i="2" a="1"/>
  <c r="X518" i="2" s="1"/>
  <c r="AD493" i="2" a="1"/>
  <c r="AD493" i="2" s="1"/>
  <c r="X649" i="2" a="1"/>
  <c r="X649" i="2" s="1"/>
  <c r="S268" i="2" a="1"/>
  <c r="S268" i="2" s="1"/>
  <c r="S84" i="2" a="1"/>
  <c r="S84" i="2" s="1"/>
  <c r="V290" i="2" a="1"/>
  <c r="V290" i="2" s="1"/>
  <c r="AC447" i="2" a="1"/>
  <c r="AC447" i="2" s="1"/>
  <c r="W406" i="2" a="1"/>
  <c r="W406" i="2" s="1"/>
  <c r="AC537" i="2" a="1"/>
  <c r="AC537" i="2" s="1"/>
  <c r="AK134" i="2" a="1"/>
  <c r="AK134" i="2" s="1"/>
  <c r="AB586" i="2" a="1"/>
  <c r="AB586" i="2" s="1"/>
  <c r="V668" i="2" a="1"/>
  <c r="V668" i="2" s="1"/>
  <c r="AD586" i="2" a="1"/>
  <c r="AD586" i="2" s="1"/>
  <c r="Y111" i="2" a="1"/>
  <c r="Y111" i="2" s="1"/>
  <c r="V348" i="2" a="1"/>
  <c r="V348" i="2" s="1"/>
  <c r="AA547" i="2" a="1"/>
  <c r="AA547" i="2" s="1"/>
  <c r="AC654" i="2" a="1"/>
  <c r="AC654" i="2" s="1"/>
  <c r="AF586" i="2" a="1"/>
  <c r="AF586" i="2" s="1"/>
  <c r="AD52" i="2" a="1"/>
  <c r="AD52" i="2" s="1"/>
  <c r="W56" i="2" a="1"/>
  <c r="W56" i="2" s="1"/>
  <c r="AG50" i="2" a="1"/>
  <c r="AG50" i="2" s="1"/>
  <c r="Y89" i="2" a="1"/>
  <c r="Y89" i="2" s="1"/>
  <c r="AA147" i="2" a="1"/>
  <c r="AA147" i="2" s="1"/>
  <c r="T166" i="2" a="1"/>
  <c r="T166" i="2" s="1"/>
  <c r="AK346" i="2" a="1"/>
  <c r="AK346" i="2" s="1"/>
  <c r="Z223" i="2" a="1"/>
  <c r="Z223" i="2" s="1"/>
  <c r="AC477" i="2" a="1"/>
  <c r="AC477" i="2" s="1"/>
  <c r="AO297" i="2" a="1"/>
  <c r="AO297" i="2" s="1"/>
  <c r="X558" i="2" a="1"/>
  <c r="X558" i="2" s="1"/>
  <c r="AG665" i="2" a="1"/>
  <c r="AG665" i="2" s="1"/>
  <c r="T654" i="2" a="1"/>
  <c r="T654" i="2" s="1"/>
  <c r="X614" i="2" a="1"/>
  <c r="X614" i="2" s="1"/>
  <c r="W529" i="2" a="1"/>
  <c r="W529" i="2" s="1"/>
  <c r="AB493" i="2" a="1"/>
  <c r="AB493" i="2" s="1"/>
  <c r="Z617" i="2" a="1"/>
  <c r="Z617" i="2" s="1"/>
  <c r="AB302" i="2" a="1"/>
  <c r="AB302" i="2" s="1"/>
  <c r="T302" i="2" a="1"/>
  <c r="T302" i="2" s="1"/>
  <c r="AB100" i="2" a="1"/>
  <c r="AB100" i="2" s="1"/>
  <c r="AC37" i="2" a="1"/>
  <c r="AC37" i="2" s="1"/>
  <c r="AA50" i="2" a="1"/>
  <c r="AA50" i="2" s="1"/>
  <c r="V154" i="2" a="1"/>
  <c r="V154" i="2" s="1"/>
  <c r="AP74" i="2" a="1"/>
  <c r="AP74" i="2" s="1"/>
  <c r="AR74" i="2" s="1" a="1"/>
  <c r="AR74" i="2" s="1"/>
  <c r="AG182" i="2" a="1"/>
  <c r="AG182" i="2" s="1"/>
  <c r="AE187" i="2" a="1"/>
  <c r="AE187" i="2" s="1"/>
  <c r="AD100" i="2" a="1"/>
  <c r="AD100" i="2" s="1"/>
  <c r="W334" i="2" a="1"/>
  <c r="W334" i="2" s="1"/>
  <c r="T551" i="2" a="1"/>
  <c r="T551" i="2" s="1"/>
  <c r="AD547" i="2" a="1"/>
  <c r="AD547" i="2" s="1"/>
  <c r="W617" i="2" a="1"/>
  <c r="W617" i="2" s="1"/>
  <c r="S617" i="2" a="1"/>
  <c r="S617" i="2" s="1"/>
  <c r="V11" i="2" a="1"/>
  <c r="V11" i="2" s="1"/>
  <c r="AC40" i="2" a="1"/>
  <c r="AC40" i="2" s="1"/>
  <c r="AA31" i="2" a="1"/>
  <c r="AA31" i="2" s="1"/>
  <c r="AC66" i="2" a="1"/>
  <c r="AC66" i="2" s="1"/>
  <c r="Z89" i="2" a="1"/>
  <c r="Z89" i="2" s="1"/>
  <c r="AC355" i="2" a="1"/>
  <c r="AC355" i="2" s="1"/>
  <c r="AF299" i="2" a="1"/>
  <c r="AF299" i="2" s="1"/>
  <c r="V196" i="2" a="1"/>
  <c r="V196" i="2" s="1"/>
  <c r="T151" i="2" a="1"/>
  <c r="T151" i="2" s="1"/>
  <c r="AP326" i="2" a="1"/>
  <c r="AP326" i="2" s="1"/>
  <c r="Z187" i="2" a="1"/>
  <c r="Z187" i="2" s="1"/>
  <c r="AA330" i="2" a="1"/>
  <c r="AA330" i="2" s="1"/>
  <c r="Z196" i="2" a="1"/>
  <c r="Z196" i="2" s="1"/>
  <c r="AG196" i="2" a="1"/>
  <c r="AG196" i="2" s="1"/>
  <c r="AF247" i="2" a="1"/>
  <c r="AF247" i="2" s="1"/>
  <c r="AC247" i="2" a="1"/>
  <c r="AC247" i="2" s="1"/>
  <c r="AA402" i="2" a="1"/>
  <c r="AA402" i="2" s="1"/>
  <c r="AG402" i="2" a="1"/>
  <c r="AG402" i="2" s="1"/>
  <c r="AD402" i="2" a="1"/>
  <c r="AD402" i="2" s="1"/>
  <c r="Z402" i="2" a="1"/>
  <c r="Z402" i="2" s="1"/>
  <c r="Y402" i="2" a="1"/>
  <c r="Y402" i="2" s="1"/>
  <c r="AF541" i="2" a="1"/>
  <c r="AF541" i="2" s="1"/>
  <c r="S541" i="2" a="1"/>
  <c r="S541" i="2" s="1"/>
  <c r="AB234" i="2" a="1"/>
  <c r="AB234" i="2" s="1"/>
  <c r="AA234" i="2" a="1"/>
  <c r="AA234" i="2" s="1"/>
  <c r="S138" i="2" a="1"/>
  <c r="S138" i="2" s="1"/>
  <c r="AA216" i="2" a="1"/>
  <c r="AA216" i="2" s="1"/>
  <c r="Y216" i="2" a="1"/>
  <c r="Y216" i="2" s="1"/>
  <c r="AB350" i="2" a="1"/>
  <c r="AB350" i="2" s="1"/>
  <c r="Z337" i="2" a="1"/>
  <c r="Z337" i="2" s="1"/>
  <c r="AE293" i="2" a="1"/>
  <c r="AE293" i="2" s="1"/>
  <c r="AA311" i="2" a="1"/>
  <c r="AA311" i="2" s="1"/>
  <c r="AC397" i="2" a="1"/>
  <c r="AC397" i="2" s="1"/>
  <c r="S397" i="2" a="1"/>
  <c r="S397" i="2" s="1"/>
  <c r="AB613" i="2" a="1"/>
  <c r="AB613" i="2" s="1"/>
  <c r="V613" i="2" a="1"/>
  <c r="V613" i="2" s="1"/>
  <c r="AE621" i="2" a="1"/>
  <c r="AE621" i="2" s="1"/>
  <c r="AG621" i="2" a="1"/>
  <c r="AG621" i="2" s="1"/>
  <c r="AF621" i="2" a="1"/>
  <c r="AF621" i="2" s="1"/>
  <c r="Z621" i="2" a="1"/>
  <c r="Z621" i="2" s="1"/>
  <c r="Z115" i="2" a="1"/>
  <c r="Z115" i="2" s="1"/>
  <c r="W100" i="2" a="1"/>
  <c r="W100" i="2" s="1"/>
  <c r="AF157" i="2" a="1"/>
  <c r="AF157" i="2" s="1"/>
  <c r="AA128" i="2" a="1"/>
  <c r="AA128" i="2" s="1"/>
  <c r="AB128" i="2" a="1"/>
  <c r="AB128" i="2" s="1"/>
  <c r="AA196" i="2" a="1"/>
  <c r="AA196" i="2" s="1"/>
  <c r="AC115" i="2" a="1"/>
  <c r="AC115" i="2" s="1"/>
  <c r="S79" i="2" a="1"/>
  <c r="S79" i="2" s="1"/>
  <c r="AK69" i="2" a="1"/>
  <c r="AK69" i="2" s="1"/>
  <c r="AK73" i="2" a="1"/>
  <c r="AK73" i="2" s="1"/>
  <c r="Z388" i="2" a="1"/>
  <c r="Z388" i="2" s="1"/>
  <c r="AG388" i="2" a="1"/>
  <c r="AG388" i="2" s="1"/>
  <c r="AD196" i="2" a="1"/>
  <c r="AD196" i="2" s="1"/>
  <c r="T298" i="2" a="1"/>
  <c r="T298" i="2" s="1"/>
  <c r="AE389" i="2" a="1"/>
  <c r="AE389" i="2" s="1"/>
  <c r="AG512" i="2" a="1"/>
  <c r="AG512" i="2" s="1"/>
  <c r="AD512" i="2" a="1"/>
  <c r="AD512" i="2" s="1"/>
  <c r="AB93" i="2" a="1"/>
  <c r="AB93" i="2" s="1"/>
  <c r="AF222" i="2" a="1"/>
  <c r="AF222" i="2" s="1"/>
  <c r="Y222" i="2" a="1"/>
  <c r="Y222" i="2" s="1"/>
  <c r="AB515" i="2" a="1"/>
  <c r="AB515" i="2" s="1"/>
  <c r="Z101" i="2" a="1"/>
  <c r="Z101" i="2" s="1"/>
  <c r="AA361" i="2" a="1"/>
  <c r="AA361" i="2" s="1"/>
  <c r="AD361" i="2" a="1"/>
  <c r="AD361" i="2" s="1"/>
  <c r="Y39" i="2" a="1"/>
  <c r="Y39" i="2" s="1"/>
  <c r="AC49" i="2" a="1"/>
  <c r="AC49" i="2" s="1"/>
  <c r="AP27" i="2" a="1"/>
  <c r="AP27" i="2" s="1"/>
  <c r="AR27" i="2" s="1" a="1"/>
  <c r="AR27" i="2" s="1"/>
  <c r="AF133" i="2" a="1"/>
  <c r="AF133" i="2" s="1"/>
  <c r="AA126" i="2" a="1"/>
  <c r="AA126" i="2" s="1"/>
  <c r="AG101" i="2" a="1"/>
  <c r="AG101" i="2" s="1"/>
  <c r="Y80" i="2" a="1"/>
  <c r="Y80" i="2" s="1"/>
  <c r="Z182" i="2" a="1"/>
  <c r="Z182" i="2" s="1"/>
  <c r="AE159" i="2" a="1"/>
  <c r="AE159" i="2" s="1"/>
  <c r="V398" i="2" a="1"/>
  <c r="V398" i="2" s="1"/>
  <c r="AF223" i="2" a="1"/>
  <c r="AF223" i="2" s="1"/>
  <c r="V381" i="2" a="1"/>
  <c r="V381" i="2" s="1"/>
  <c r="AO207" i="2" a="1"/>
  <c r="AO207" i="2" s="1"/>
  <c r="AF348" i="2" a="1"/>
  <c r="AF348" i="2" s="1"/>
  <c r="T486" i="2" a="1"/>
  <c r="T486" i="2" s="1"/>
  <c r="AE215" i="2" a="1"/>
  <c r="AE215" i="2" s="1"/>
  <c r="AA578" i="2" a="1"/>
  <c r="AA578" i="2" s="1"/>
  <c r="AD515" i="2" a="1"/>
  <c r="AD515" i="2" s="1"/>
  <c r="AB512" i="2" a="1"/>
  <c r="AB512" i="2" s="1"/>
  <c r="AG534" i="2" a="1"/>
  <c r="AG534" i="2" s="1"/>
  <c r="AF534" i="2" a="1"/>
  <c r="AF534" i="2" s="1"/>
  <c r="AD534" i="2" a="1"/>
  <c r="AD534" i="2" s="1"/>
  <c r="AA534" i="2" a="1"/>
  <c r="AA534" i="2" s="1"/>
  <c r="Z534" i="2" a="1"/>
  <c r="Z534" i="2" s="1"/>
  <c r="AB622" i="2" a="1"/>
  <c r="AB622" i="2" s="1"/>
  <c r="AD622" i="2" a="1"/>
  <c r="AD622" i="2" s="1"/>
  <c r="T154" i="2" a="1"/>
  <c r="T154" i="2" s="1"/>
  <c r="AG126" i="2" a="1"/>
  <c r="AG126" i="2" s="1"/>
  <c r="AG361" i="2" a="1"/>
  <c r="AG361" i="2" s="1"/>
  <c r="AF577" i="2" a="1"/>
  <c r="AF577" i="2" s="1"/>
  <c r="AB577" i="2" a="1"/>
  <c r="AB577" i="2" s="1"/>
  <c r="AG486" i="2" a="1"/>
  <c r="AG486" i="2" s="1"/>
  <c r="AB486" i="2" a="1"/>
  <c r="AB486" i="2" s="1"/>
  <c r="AP136" i="2" a="1"/>
  <c r="AP136" i="2" s="1"/>
  <c r="AF238" i="2" a="1"/>
  <c r="AF238" i="2" s="1"/>
  <c r="Z194" i="2" a="1"/>
  <c r="Z194" i="2" s="1"/>
  <c r="AD194" i="2" a="1"/>
  <c r="AD194" i="2" s="1"/>
  <c r="AB194" i="2" a="1"/>
  <c r="AB194" i="2" s="1"/>
  <c r="AF542" i="2" a="1"/>
  <c r="AF542" i="2" s="1"/>
  <c r="AB542" i="2" a="1"/>
  <c r="AB542" i="2" s="1"/>
  <c r="X631" i="2" a="1"/>
  <c r="X631" i="2" s="1"/>
  <c r="W631" i="2" a="1"/>
  <c r="W631" i="2" s="1"/>
  <c r="V631" i="2" a="1"/>
  <c r="V631" i="2" s="1"/>
  <c r="S631" i="2" a="1"/>
  <c r="S631" i="2" s="1"/>
  <c r="W182" i="2" a="1"/>
  <c r="W182" i="2" s="1"/>
  <c r="W260" i="2" a="1"/>
  <c r="W260" i="2" s="1"/>
  <c r="V263" i="2" a="1"/>
  <c r="V263" i="2" s="1"/>
  <c r="S402" i="2" a="1"/>
  <c r="S402" i="2" s="1"/>
  <c r="W580" i="2" a="1"/>
  <c r="W580" i="2" s="1"/>
  <c r="Z409" i="2" a="1"/>
  <c r="Z409" i="2" s="1"/>
  <c r="X510" i="2" a="1"/>
  <c r="X510" i="2" s="1"/>
  <c r="X570" i="2" a="1"/>
  <c r="X570" i="2" s="1"/>
  <c r="AA493" i="2" a="1"/>
  <c r="AA493" i="2" s="1"/>
  <c r="X613" i="2" a="1"/>
  <c r="X613" i="2" s="1"/>
  <c r="AC621" i="2" a="1"/>
  <c r="AC621" i="2" s="1"/>
  <c r="AO228" i="2" a="1"/>
  <c r="AO228" i="2" s="1"/>
  <c r="S611" i="2" a="1"/>
  <c r="S611" i="2" s="1"/>
  <c r="AC671" i="2" a="1"/>
  <c r="AC671" i="2" s="1"/>
  <c r="S414" i="2" a="1"/>
  <c r="S414" i="2" s="1"/>
  <c r="AD513" i="2" a="1"/>
  <c r="AD513" i="2" s="1"/>
  <c r="V454" i="2" a="1"/>
  <c r="V454" i="2" s="1"/>
  <c r="X632" i="2" a="1"/>
  <c r="X632" i="2" s="1"/>
  <c r="Y589" i="2" a="1"/>
  <c r="Y589" i="2" s="1"/>
  <c r="AC390" i="2" a="1"/>
  <c r="AC390" i="2" s="1"/>
  <c r="AC543" i="2" a="1"/>
  <c r="AC543" i="2" s="1"/>
  <c r="AC278" i="2" a="1"/>
  <c r="AC278" i="2" s="1"/>
  <c r="Z589" i="2" a="1"/>
  <c r="Z589" i="2" s="1"/>
  <c r="V635" i="2" a="1"/>
  <c r="V635" i="2" s="1"/>
  <c r="T558" i="2" a="1"/>
  <c r="T558" i="2" s="1"/>
  <c r="Y656" i="2" a="1"/>
  <c r="Y656" i="2" s="1"/>
  <c r="AE627" i="2" a="1"/>
  <c r="AE627" i="2" s="1"/>
  <c r="Z631" i="2" a="1"/>
  <c r="Z631" i="2" s="1"/>
  <c r="AA617" i="2" a="1"/>
  <c r="AA617" i="2" s="1"/>
  <c r="AE88" i="2" a="1"/>
  <c r="AE88" i="2" s="1"/>
  <c r="AK177" i="2" a="1"/>
  <c r="AK177" i="2" s="1"/>
  <c r="AE116" i="2" a="1"/>
  <c r="AE116" i="2" s="1"/>
  <c r="AK85" i="2" a="1"/>
  <c r="AK85" i="2" s="1"/>
  <c r="V396" i="2" a="1"/>
  <c r="V396" i="2" s="1"/>
  <c r="V429" i="2" a="1"/>
  <c r="V429" i="2" s="1"/>
  <c r="AA424" i="2" a="1"/>
  <c r="AA424" i="2" s="1"/>
  <c r="T498" i="2" a="1"/>
  <c r="T498" i="2" s="1"/>
  <c r="Z652" i="2" a="1"/>
  <c r="Z652" i="2" s="1"/>
  <c r="AA589" i="2" a="1"/>
  <c r="AA589" i="2" s="1"/>
  <c r="W340" i="2" a="1"/>
  <c r="W340" i="2" s="1"/>
  <c r="AP514" i="2" a="1"/>
  <c r="AP514" i="2" s="1"/>
  <c r="AE502" i="2" a="1"/>
  <c r="AE502" i="2" s="1"/>
  <c r="AD558" i="2" a="1"/>
  <c r="AD558" i="2" s="1"/>
  <c r="AC630" i="2" a="1"/>
  <c r="AC630" i="2" s="1"/>
  <c r="Z649" i="2" a="1"/>
  <c r="Z649" i="2" s="1"/>
  <c r="AB631" i="2" a="1"/>
  <c r="AB631" i="2" s="1"/>
  <c r="AB617" i="2" a="1"/>
  <c r="AB617" i="2" s="1"/>
  <c r="Z493" i="2" a="1"/>
  <c r="Z493" i="2" s="1"/>
  <c r="T133" i="2" a="1"/>
  <c r="T133" i="2" s="1"/>
  <c r="AE133" i="2" a="1"/>
  <c r="AE133" i="2" s="1"/>
  <c r="AC133" i="2" a="1"/>
  <c r="AC133" i="2" s="1"/>
  <c r="AG2" i="2" a="1"/>
  <c r="AG2" i="2" s="1"/>
  <c r="Y14" i="3" s="1" a="1"/>
  <c r="Y14" i="3" s="1"/>
  <c r="V2" i="2" a="1"/>
  <c r="V2" i="2" s="1"/>
  <c r="AB2" i="2" a="1"/>
  <c r="AB2" i="2" s="1"/>
  <c r="AG71" i="2" a="1"/>
  <c r="AG71" i="2" s="1"/>
  <c r="AA71" i="2" a="1"/>
  <c r="AA71" i="2" s="1"/>
  <c r="AA9" i="2" a="1"/>
  <c r="AA9" i="2" s="1"/>
  <c r="AD9" i="2" a="1"/>
  <c r="AD9" i="2" s="1"/>
  <c r="AC9" i="2" a="1"/>
  <c r="AC9" i="2" s="1"/>
  <c r="AB9" i="2" a="1"/>
  <c r="AB9" i="2" s="1"/>
  <c r="T10" i="3" s="1" a="1"/>
  <c r="T10" i="3" s="1"/>
  <c r="V9" i="2" a="1"/>
  <c r="V9" i="2" s="1"/>
  <c r="AE320" i="2" a="1"/>
  <c r="AE320" i="2" s="1"/>
  <c r="AC320" i="2" a="1"/>
  <c r="AC320" i="2" s="1"/>
  <c r="AC14" i="2" a="1"/>
  <c r="AC14" i="2" s="1"/>
  <c r="AG14" i="2" a="1"/>
  <c r="AG14" i="2" s="1"/>
  <c r="AA14" i="2" a="1"/>
  <c r="AA14" i="2" s="1"/>
  <c r="AB212" i="2" a="1"/>
  <c r="AB212" i="2" s="1"/>
  <c r="Y212" i="2" a="1"/>
  <c r="Y212" i="2" s="1"/>
  <c r="Z212" i="2" a="1"/>
  <c r="Z212" i="2" s="1"/>
  <c r="AA212" i="2" a="1"/>
  <c r="AA212" i="2" s="1"/>
  <c r="AF105" i="2" a="1"/>
  <c r="AF105" i="2" s="1"/>
  <c r="AA105" i="2" a="1"/>
  <c r="AA105" i="2" s="1"/>
  <c r="AG438" i="2" a="1"/>
  <c r="AG438" i="2" s="1"/>
  <c r="AC438" i="2" a="1"/>
  <c r="AC438" i="2" s="1"/>
  <c r="Z438" i="2" a="1"/>
  <c r="Z438" i="2" s="1"/>
  <c r="W438" i="2" a="1"/>
  <c r="W438" i="2" s="1"/>
  <c r="AG382" i="2" a="1"/>
  <c r="AG382" i="2" s="1"/>
  <c r="S382" i="2" a="1"/>
  <c r="S382" i="2" s="1"/>
  <c r="AG190" i="2" a="1"/>
  <c r="AG190" i="2" s="1"/>
  <c r="AB190" i="2" a="1"/>
  <c r="AB190" i="2" s="1"/>
  <c r="AA190" i="2" a="1"/>
  <c r="AA190" i="2" s="1"/>
  <c r="Y190" i="2" a="1"/>
  <c r="Y190" i="2" s="1"/>
  <c r="AG248" i="2" a="1"/>
  <c r="AG248" i="2" s="1"/>
  <c r="AD248" i="2" a="1"/>
  <c r="AD248" i="2" s="1"/>
  <c r="Z248" i="2" a="1"/>
  <c r="Z248" i="2" s="1"/>
  <c r="AB362" i="2" a="1"/>
  <c r="AB362" i="2" s="1"/>
  <c r="Y362" i="2" a="1"/>
  <c r="Y362" i="2" s="1"/>
  <c r="AA610" i="2" a="1"/>
  <c r="AA610" i="2" s="1"/>
  <c r="AG610" i="2" a="1"/>
  <c r="AG610" i="2" s="1"/>
  <c r="AD610" i="2" a="1"/>
  <c r="AD610" i="2" s="1"/>
  <c r="AB610" i="2" a="1"/>
  <c r="AB610" i="2" s="1"/>
  <c r="Z610" i="2" a="1"/>
  <c r="Z610" i="2" s="1"/>
  <c r="T610" i="2" a="1"/>
  <c r="T610" i="2" s="1"/>
  <c r="AF296" i="2" a="1"/>
  <c r="AF296" i="2" s="1"/>
  <c r="AB296" i="2" a="1"/>
  <c r="AB296" i="2" s="1"/>
  <c r="AA296" i="2" a="1"/>
  <c r="AA296" i="2" s="1"/>
  <c r="Z296" i="2" a="1"/>
  <c r="Z296" i="2" s="1"/>
  <c r="AC191" i="2" a="1"/>
  <c r="AC191" i="2" s="1"/>
  <c r="AE211" i="2" a="1"/>
  <c r="AE211" i="2" s="1"/>
  <c r="AC82" i="2" a="1"/>
  <c r="AC82" i="2" s="1"/>
  <c r="AA314" i="2" a="1"/>
  <c r="AA314" i="2" s="1"/>
  <c r="Z150" i="2" a="1"/>
  <c r="Z150" i="2" s="1"/>
  <c r="AG419" i="2" a="1"/>
  <c r="AG419" i="2" s="1"/>
  <c r="Z419" i="2" a="1"/>
  <c r="Z419" i="2" s="1"/>
  <c r="W410" i="2" a="1"/>
  <c r="W410" i="2" s="1"/>
  <c r="X356" i="2" a="1"/>
  <c r="X356" i="2" s="1"/>
  <c r="W88" i="2" a="1"/>
  <c r="W88" i="2" s="1"/>
  <c r="S71" i="2" a="1"/>
  <c r="S71" i="2" s="1"/>
  <c r="Z39" i="2" a="1"/>
  <c r="Z39" i="2" s="1"/>
  <c r="W31" i="2" a="1"/>
  <c r="W31" i="2" s="1"/>
  <c r="AA119" i="2" a="1"/>
  <c r="AA119" i="2" s="1"/>
  <c r="AE99" i="2" a="1"/>
  <c r="AE99" i="2" s="1"/>
  <c r="X140" i="2" a="1"/>
  <c r="X140" i="2" s="1"/>
  <c r="AN61" i="2" a="1"/>
  <c r="AN61" i="2" s="1"/>
  <c r="X212" i="2" a="1"/>
  <c r="X212" i="2" s="1"/>
  <c r="AG80" i="2" a="1"/>
  <c r="AG80" i="2" s="1"/>
  <c r="AF191" i="2" a="1"/>
  <c r="AF191" i="2" s="1"/>
  <c r="AC147" i="2" a="1"/>
  <c r="AC147" i="2" s="1"/>
  <c r="AE161" i="2" a="1"/>
  <c r="AE161" i="2" s="1"/>
  <c r="AC182" i="2" a="1"/>
  <c r="AC182" i="2" s="1"/>
  <c r="S182" i="2" a="1"/>
  <c r="S182" i="2" s="1"/>
  <c r="AE234" i="2" a="1"/>
  <c r="AE234" i="2" s="1"/>
  <c r="T332" i="2" a="1"/>
  <c r="T332" i="2" s="1"/>
  <c r="T100" i="2" a="1"/>
  <c r="T100" i="2" s="1"/>
  <c r="S351" i="2" a="1"/>
  <c r="S351" i="2" s="1"/>
  <c r="Z268" i="2" a="1"/>
  <c r="Z268" i="2" s="1"/>
  <c r="AD268" i="2" a="1"/>
  <c r="AD268" i="2" s="1"/>
  <c r="Y268" i="2" a="1"/>
  <c r="Y268" i="2" s="1"/>
  <c r="Y382" i="2" a="1"/>
  <c r="Y382" i="2" s="1"/>
  <c r="AE337" i="2" a="1"/>
  <c r="AE337" i="2" s="1"/>
  <c r="AD367" i="2" a="1"/>
  <c r="AD367" i="2" s="1"/>
  <c r="AF367" i="2" a="1"/>
  <c r="AF367" i="2" s="1"/>
  <c r="AE127" i="2" a="1"/>
  <c r="AE127" i="2" s="1"/>
  <c r="X127" i="2" a="1"/>
  <c r="X127" i="2" s="1"/>
  <c r="W24" i="2" a="1"/>
  <c r="W24" i="2" s="1"/>
  <c r="AA39" i="2" a="1"/>
  <c r="AA39" i="2" s="1"/>
  <c r="AA29" i="2" a="1"/>
  <c r="AA29" i="2" s="1"/>
  <c r="T101" i="2" a="1"/>
  <c r="T101" i="2" s="1"/>
  <c r="AG219" i="2" a="1"/>
  <c r="AG219" i="2" s="1"/>
  <c r="AB219" i="2" a="1"/>
  <c r="AB219" i="2" s="1"/>
  <c r="AB161" i="2" a="1"/>
  <c r="AB161" i="2" s="1"/>
  <c r="Y161" i="2" a="1"/>
  <c r="Y161" i="2" s="1"/>
  <c r="AA138" i="2" a="1"/>
  <c r="AA138" i="2" s="1"/>
  <c r="AG273" i="2" a="1"/>
  <c r="AG273" i="2" s="1"/>
  <c r="AF273" i="2" a="1"/>
  <c r="AF273" i="2" s="1"/>
  <c r="AD273" i="2" a="1"/>
  <c r="AD273" i="2" s="1"/>
  <c r="AB273" i="2" a="1"/>
  <c r="AB273" i="2" s="1"/>
  <c r="AA273" i="2" a="1"/>
  <c r="AA273" i="2" s="1"/>
  <c r="Z333" i="2" a="1"/>
  <c r="Z333" i="2" s="1"/>
  <c r="AE333" i="2" a="1"/>
  <c r="AE333" i="2" s="1"/>
  <c r="AE174" i="2" a="1"/>
  <c r="AE174" i="2" s="1"/>
  <c r="Z174" i="2" a="1"/>
  <c r="Z174" i="2" s="1"/>
  <c r="T174" i="2" a="1"/>
  <c r="T174" i="2" s="1"/>
  <c r="AD358" i="2" a="1"/>
  <c r="AD358" i="2" s="1"/>
  <c r="Y358" i="2" a="1"/>
  <c r="Y358" i="2" s="1"/>
  <c r="X605" i="2" a="1"/>
  <c r="X605" i="2" s="1"/>
  <c r="Z605" i="2" a="1"/>
  <c r="Z605" i="2" s="1"/>
  <c r="Y648" i="2" a="1"/>
  <c r="Y648" i="2" s="1"/>
  <c r="AF648" i="2" a="1"/>
  <c r="AF648" i="2" s="1"/>
  <c r="Z648" i="2" a="1"/>
  <c r="Z648" i="2" s="1"/>
  <c r="AG214" i="2" a="1"/>
  <c r="AG214" i="2" s="1"/>
  <c r="X214" i="2" a="1"/>
  <c r="X214" i="2" s="1"/>
  <c r="AC2" i="2" a="1"/>
  <c r="AC2" i="2" s="1"/>
  <c r="U14" i="3" s="1" a="1"/>
  <c r="U14" i="3" s="1"/>
  <c r="T49" i="2" a="1"/>
  <c r="T49" i="2" s="1"/>
  <c r="AB119" i="2" a="1"/>
  <c r="AB119" i="2" s="1"/>
  <c r="AE3" i="2" a="1"/>
  <c r="AE3" i="2" s="1"/>
  <c r="AB39" i="2" a="1"/>
  <c r="AB39" i="2" s="1"/>
  <c r="AB49" i="2" a="1"/>
  <c r="AB49" i="2" s="1"/>
  <c r="Y18" i="2" a="1"/>
  <c r="Y18" i="2" s="1"/>
  <c r="AF119" i="2" a="1"/>
  <c r="AF119" i="2" s="1"/>
  <c r="AK74" i="2" a="1"/>
  <c r="AK74" i="2" s="1"/>
  <c r="AA140" i="2" a="1"/>
  <c r="AA140" i="2" s="1"/>
  <c r="X101" i="2" a="1"/>
  <c r="X101" i="2" s="1"/>
  <c r="Y147" i="2" a="1"/>
  <c r="Y147" i="2" s="1"/>
  <c r="Z82" i="2" a="1"/>
  <c r="Z82" i="2" s="1"/>
  <c r="AP86" i="2" a="1"/>
  <c r="AP86" i="2" s="1"/>
  <c r="AR86" i="2" s="1" a="1"/>
  <c r="AR86" i="2" s="1"/>
  <c r="AO245" i="2" a="1"/>
  <c r="AO245" i="2" s="1"/>
  <c r="AD138" i="2" a="1"/>
  <c r="AD138" i="2" s="1"/>
  <c r="AB351" i="2" a="1"/>
  <c r="AB351" i="2" s="1"/>
  <c r="X410" i="2" a="1"/>
  <c r="X410" i="2" s="1"/>
  <c r="Y328" i="2" a="1"/>
  <c r="Y328" i="2" s="1"/>
  <c r="Z328" i="2" a="1"/>
  <c r="Z328" i="2" s="1"/>
  <c r="AF464" i="2" a="1"/>
  <c r="AF464" i="2" s="1"/>
  <c r="AB464" i="2" a="1"/>
  <c r="AB464" i="2" s="1"/>
  <c r="Z367" i="2" a="1"/>
  <c r="Z367" i="2" s="1"/>
  <c r="V554" i="2" a="1"/>
  <c r="V554" i="2" s="1"/>
  <c r="V28" i="2" a="1"/>
  <c r="V28" i="2" s="1"/>
  <c r="AF49" i="2" a="1"/>
  <c r="AF49" i="2" s="1"/>
  <c r="AA18" i="2" a="1"/>
  <c r="AA18" i="2" s="1"/>
  <c r="AN74" i="2" a="1"/>
  <c r="AN74" i="2" s="1"/>
  <c r="AF99" i="2" a="1"/>
  <c r="AF99" i="2" s="1"/>
  <c r="Y101" i="2" a="1"/>
  <c r="Y101" i="2" s="1"/>
  <c r="X48" i="2" a="1"/>
  <c r="X48" i="2" s="1"/>
  <c r="T183" i="2" a="1"/>
  <c r="T183" i="2" s="1"/>
  <c r="W93" i="2" a="1"/>
  <c r="W93" i="2" s="1"/>
  <c r="V219" i="2" a="1"/>
  <c r="V219" i="2" s="1"/>
  <c r="V161" i="2" a="1"/>
  <c r="V161" i="2" s="1"/>
  <c r="V182" i="2" a="1"/>
  <c r="V182" i="2" s="1"/>
  <c r="AA82" i="2" a="1"/>
  <c r="AA82" i="2" s="1"/>
  <c r="AG84" i="2" a="1"/>
  <c r="AG84" i="2" s="1"/>
  <c r="AC84" i="2" a="1"/>
  <c r="AC84" i="2" s="1"/>
  <c r="AA84" i="2" a="1"/>
  <c r="AA84" i="2" s="1"/>
  <c r="Y84" i="2" a="1"/>
  <c r="Y84" i="2" s="1"/>
  <c r="Y337" i="2" a="1"/>
  <c r="Y337" i="2" s="1"/>
  <c r="AF294" i="2" a="1"/>
  <c r="AF294" i="2" s="1"/>
  <c r="AB294" i="2" a="1"/>
  <c r="AB294" i="2" s="1"/>
  <c r="AA294" i="2" a="1"/>
  <c r="AA294" i="2" s="1"/>
  <c r="Z294" i="2" a="1"/>
  <c r="Z294" i="2" s="1"/>
  <c r="Z273" i="2" a="1"/>
  <c r="Z273" i="2" s="1"/>
  <c r="W605" i="2" a="1"/>
  <c r="W605" i="2" s="1"/>
  <c r="T152" i="2" a="1"/>
  <c r="T152" i="2" s="1"/>
  <c r="AD82" i="2" a="1"/>
  <c r="AD82" i="2" s="1"/>
  <c r="AE300" i="2" a="1"/>
  <c r="AE300" i="2" s="1"/>
  <c r="AA300" i="2" a="1"/>
  <c r="AA300" i="2" s="1"/>
  <c r="T300" i="2" a="1"/>
  <c r="T300" i="2" s="1"/>
  <c r="S300" i="2" a="1"/>
  <c r="S300" i="2" s="1"/>
  <c r="AA422" i="2" a="1"/>
  <c r="AA422" i="2" s="1"/>
  <c r="Y422" i="2" a="1"/>
  <c r="Y422" i="2" s="1"/>
  <c r="Z316" i="2" a="1"/>
  <c r="Z316" i="2" s="1"/>
  <c r="Y316" i="2" a="1"/>
  <c r="Y316" i="2" s="1"/>
  <c r="Z80" i="2" a="1"/>
  <c r="Z80" i="2" s="1"/>
  <c r="AB80" i="2" a="1"/>
  <c r="AB80" i="2" s="1"/>
  <c r="S19" i="2" a="1"/>
  <c r="S19" i="2" s="1"/>
  <c r="AG18" i="2" a="1"/>
  <c r="AG18" i="2" s="1"/>
  <c r="AD31" i="2" a="1"/>
  <c r="AD31" i="2" s="1"/>
  <c r="X77" i="2" a="1"/>
  <c r="X77" i="2" s="1"/>
  <c r="W42" i="2" a="1"/>
  <c r="W42" i="2" s="1"/>
  <c r="AO162" i="2" a="1"/>
  <c r="AO162" i="2" s="1"/>
  <c r="AC101" i="2" a="1"/>
  <c r="AC101" i="2" s="1"/>
  <c r="Z219" i="2" a="1"/>
  <c r="Z219" i="2" s="1"/>
  <c r="Z161" i="2" a="1"/>
  <c r="Z161" i="2" s="1"/>
  <c r="W180" i="2" a="1"/>
  <c r="W180" i="2" s="1"/>
  <c r="X160" i="2" a="1"/>
  <c r="X160" i="2" s="1"/>
  <c r="AA197" i="2" a="1"/>
  <c r="AA197" i="2" s="1"/>
  <c r="W197" i="2" a="1"/>
  <c r="W197" i="2" s="1"/>
  <c r="AB384" i="2" a="1"/>
  <c r="AB384" i="2" s="1"/>
  <c r="V384" i="2" a="1"/>
  <c r="V384" i="2" s="1"/>
  <c r="AG31" i="2" a="1"/>
  <c r="AG31" i="2" s="1"/>
  <c r="AE107" i="2" a="1"/>
  <c r="AE107" i="2" s="1"/>
  <c r="AP64" i="2" a="1"/>
  <c r="AP64" i="2" s="1"/>
  <c r="AR64" i="2" s="1" a="1"/>
  <c r="AR64" i="2" s="1"/>
  <c r="W97" i="2" a="1"/>
  <c r="W97" i="2" s="1"/>
  <c r="W499" i="2" a="1"/>
  <c r="W499" i="2" s="1"/>
  <c r="AE101" i="2" a="1"/>
  <c r="AE101" i="2" s="1"/>
  <c r="T208" i="2" a="1"/>
  <c r="T208" i="2" s="1"/>
  <c r="S150" i="2" a="1"/>
  <c r="S150" i="2" s="1"/>
  <c r="AC127" i="2" a="1"/>
  <c r="AC127" i="2" s="1"/>
  <c r="AC461" i="2" a="1"/>
  <c r="AC461" i="2" s="1"/>
  <c r="W461" i="2" a="1"/>
  <c r="W461" i="2" s="1"/>
  <c r="AE264" i="2" a="1"/>
  <c r="AE264" i="2" s="1"/>
  <c r="S264" i="2" a="1"/>
  <c r="S264" i="2" s="1"/>
  <c r="AF411" i="2" a="1"/>
  <c r="AF411" i="2" s="1"/>
  <c r="AA411" i="2" a="1"/>
  <c r="AA411" i="2" s="1"/>
  <c r="AD496" i="2" a="1"/>
  <c r="AD496" i="2" s="1"/>
  <c r="Z496" i="2" a="1"/>
  <c r="Z496" i="2" s="1"/>
  <c r="AP207" i="2" a="1"/>
  <c r="AP207" i="2" s="1"/>
  <c r="AF388" i="2" a="1"/>
  <c r="AF388" i="2" s="1"/>
  <c r="AA395" i="2" a="1"/>
  <c r="AA395" i="2" s="1"/>
  <c r="T395" i="2" a="1"/>
  <c r="T395" i="2" s="1"/>
  <c r="AB612" i="2" a="1"/>
  <c r="AB612" i="2" s="1"/>
  <c r="AF612" i="2" a="1"/>
  <c r="AF612" i="2" s="1"/>
  <c r="AE612" i="2" a="1"/>
  <c r="AE612" i="2" s="1"/>
  <c r="AD612" i="2" a="1"/>
  <c r="AD612" i="2" s="1"/>
  <c r="V612" i="2" a="1"/>
  <c r="V612" i="2" s="1"/>
  <c r="AG634" i="2" a="1"/>
  <c r="AG634" i="2" s="1"/>
  <c r="AA634" i="2" a="1"/>
  <c r="AA634" i="2" s="1"/>
  <c r="Z634" i="2" a="1"/>
  <c r="Z634" i="2" s="1"/>
  <c r="AF449" i="2" a="1"/>
  <c r="AF449" i="2" s="1"/>
  <c r="AD449" i="2" a="1"/>
  <c r="AD449" i="2" s="1"/>
  <c r="AF643" i="2" a="1"/>
  <c r="AF643" i="2" s="1"/>
  <c r="AB643" i="2" a="1"/>
  <c r="AB643" i="2" s="1"/>
  <c r="AA643" i="2" a="1"/>
  <c r="AA643" i="2" s="1"/>
  <c r="Z643" i="2" a="1"/>
  <c r="Z643" i="2" s="1"/>
  <c r="Y643" i="2" a="1"/>
  <c r="Y643" i="2" s="1"/>
  <c r="AG494" i="2" a="1"/>
  <c r="AG494" i="2" s="1"/>
  <c r="X494" i="2" a="1"/>
  <c r="X494" i="2" s="1"/>
  <c r="AB576" i="2" a="1"/>
  <c r="AB576" i="2" s="1"/>
  <c r="AF576" i="2" a="1"/>
  <c r="AF576" i="2" s="1"/>
  <c r="Y474" i="2" a="1"/>
  <c r="Y474" i="2" s="1"/>
  <c r="AF474" i="2" a="1"/>
  <c r="AF474" i="2" s="1"/>
  <c r="Z474" i="2" a="1"/>
  <c r="Z474" i="2" s="1"/>
  <c r="AE624" i="2" a="1"/>
  <c r="AE624" i="2" s="1"/>
  <c r="Y593" i="2" a="1"/>
  <c r="Y593" i="2" s="1"/>
  <c r="AG593" i="2" a="1"/>
  <c r="AG593" i="2" s="1"/>
  <c r="AF593" i="2" a="1"/>
  <c r="AF593" i="2" s="1"/>
  <c r="AD593" i="2" a="1"/>
  <c r="AD593" i="2" s="1"/>
  <c r="AB593" i="2" a="1"/>
  <c r="AB593" i="2" s="1"/>
  <c r="AA593" i="2" a="1"/>
  <c r="AA593" i="2" s="1"/>
  <c r="Z593" i="2" a="1"/>
  <c r="Z593" i="2" s="1"/>
  <c r="W386" i="2" a="1"/>
  <c r="W386" i="2" s="1"/>
  <c r="AP359" i="2" a="1"/>
  <c r="AP359" i="2" s="1"/>
  <c r="AR359" i="2" s="1" a="1"/>
  <c r="AR359" i="2" s="1"/>
  <c r="AE419" i="2" a="1"/>
  <c r="AE419" i="2" s="1"/>
  <c r="X221" i="2" a="1"/>
  <c r="X221" i="2" s="1"/>
  <c r="W201" i="2" a="1"/>
  <c r="W201" i="2" s="1"/>
  <c r="X145" i="2" a="1"/>
  <c r="X145" i="2" s="1"/>
  <c r="Z468" i="2" a="1"/>
  <c r="Z468" i="2" s="1"/>
  <c r="AA400" i="2" a="1"/>
  <c r="AA400" i="2" s="1"/>
  <c r="AD348" i="2" a="1"/>
  <c r="AD348" i="2" s="1"/>
  <c r="V388" i="2" a="1"/>
  <c r="V388" i="2" s="1"/>
  <c r="Y395" i="2" a="1"/>
  <c r="Y395" i="2" s="1"/>
  <c r="AF264" i="2" a="1"/>
  <c r="AF264" i="2" s="1"/>
  <c r="AD264" i="2" a="1"/>
  <c r="AD264" i="2" s="1"/>
  <c r="Z264" i="2" a="1"/>
  <c r="Z264" i="2" s="1"/>
  <c r="Y264" i="2" a="1"/>
  <c r="Y264" i="2" s="1"/>
  <c r="X450" i="2" a="1"/>
  <c r="X450" i="2" s="1"/>
  <c r="AD450" i="2" a="1"/>
  <c r="AD450" i="2" s="1"/>
  <c r="AD472" i="2" a="1"/>
  <c r="AD472" i="2" s="1"/>
  <c r="AA472" i="2" a="1"/>
  <c r="AA472" i="2" s="1"/>
  <c r="Z472" i="2" a="1"/>
  <c r="Z472" i="2" s="1"/>
  <c r="S472" i="2" a="1"/>
  <c r="S472" i="2" s="1"/>
  <c r="AC423" i="2" a="1"/>
  <c r="AC423" i="2" s="1"/>
  <c r="AC566" i="2" a="1"/>
  <c r="AC566" i="2" s="1"/>
  <c r="AD566" i="2" a="1"/>
  <c r="AD566" i="2" s="1"/>
  <c r="AB566" i="2" a="1"/>
  <c r="AB566" i="2" s="1"/>
  <c r="AA566" i="2" a="1"/>
  <c r="AA566" i="2" s="1"/>
  <c r="Z566" i="2" a="1"/>
  <c r="Z566" i="2" s="1"/>
  <c r="S566" i="2" a="1"/>
  <c r="S566" i="2" s="1"/>
  <c r="AG669" i="2" a="1"/>
  <c r="AG669" i="2" s="1"/>
  <c r="AB669" i="2" a="1"/>
  <c r="AB669" i="2" s="1"/>
  <c r="X651" i="2" a="1"/>
  <c r="X651" i="2" s="1"/>
  <c r="W173" i="2" a="1"/>
  <c r="W173" i="2" s="1"/>
  <c r="Z350" i="2" a="1"/>
  <c r="Z350" i="2" s="1"/>
  <c r="S283" i="2" a="1"/>
  <c r="S283" i="2" s="1"/>
  <c r="AA468" i="2" a="1"/>
  <c r="AA468" i="2" s="1"/>
  <c r="Z330" i="2" a="1"/>
  <c r="Z330" i="2" s="1"/>
  <c r="AF443" i="2" a="1"/>
  <c r="AF443" i="2" s="1"/>
  <c r="AD412" i="2" a="1"/>
  <c r="AD412" i="2" s="1"/>
  <c r="Y544" i="2" a="1"/>
  <c r="Y544" i="2" s="1"/>
  <c r="Z544" i="2" a="1"/>
  <c r="Z544" i="2" s="1"/>
  <c r="Z390" i="2" a="1"/>
  <c r="Z390" i="2" s="1"/>
  <c r="T196" i="2" a="1"/>
  <c r="T196" i="2" s="1"/>
  <c r="AF318" i="2" a="1"/>
  <c r="AF318" i="2" s="1"/>
  <c r="Y318" i="2" a="1"/>
  <c r="Y318" i="2" s="1"/>
  <c r="S318" i="2" a="1"/>
  <c r="S318" i="2" s="1"/>
  <c r="AF406" i="2" a="1"/>
  <c r="AF406" i="2" s="1"/>
  <c r="AC406" i="2" a="1"/>
  <c r="AC406" i="2" s="1"/>
  <c r="Y406" i="2" a="1"/>
  <c r="Y406" i="2" s="1"/>
  <c r="AO445" i="2" a="1"/>
  <c r="AO445" i="2" s="1"/>
  <c r="AN445" i="2" a="1"/>
  <c r="AN445" i="2" s="1"/>
  <c r="T502" i="2" a="1"/>
  <c r="T502" i="2" s="1"/>
  <c r="AE108" i="2" a="1"/>
  <c r="AE108" i="2" s="1"/>
  <c r="W191" i="2" a="1"/>
  <c r="W191" i="2" s="1"/>
  <c r="S281" i="2" a="1"/>
  <c r="S281" i="2" s="1"/>
  <c r="Y213" i="2" a="1"/>
  <c r="Y213" i="2" s="1"/>
  <c r="Y201" i="2" a="1"/>
  <c r="Y201" i="2" s="1"/>
  <c r="AD350" i="2" a="1"/>
  <c r="AD350" i="2" s="1"/>
  <c r="W283" i="2" a="1"/>
  <c r="W283" i="2" s="1"/>
  <c r="Z128" i="2" a="1"/>
  <c r="Z128" i="2" s="1"/>
  <c r="AB330" i="2" a="1"/>
  <c r="AB330" i="2" s="1"/>
  <c r="Z299" i="2" a="1"/>
  <c r="Z299" i="2" s="1"/>
  <c r="AA486" i="2" a="1"/>
  <c r="AA486" i="2" s="1"/>
  <c r="V185" i="2" a="1"/>
  <c r="V185" i="2" s="1"/>
  <c r="AB311" i="2" a="1"/>
  <c r="AB311" i="2" s="1"/>
  <c r="V253" i="2" a="1"/>
  <c r="V253" i="2" s="1"/>
  <c r="S430" i="2" a="1"/>
  <c r="S430" i="2" s="1"/>
  <c r="T165" i="2" a="1"/>
  <c r="T165" i="2" s="1"/>
  <c r="AC516" i="2" a="1"/>
  <c r="AC516" i="2" s="1"/>
  <c r="V500" i="2" a="1"/>
  <c r="V500" i="2" s="1"/>
  <c r="AB340" i="2" a="1"/>
  <c r="AB340" i="2" s="1"/>
  <c r="AG340" i="2" a="1"/>
  <c r="AG340" i="2" s="1"/>
  <c r="AD340" i="2" a="1"/>
  <c r="AD340" i="2" s="1"/>
  <c r="AE414" i="2" a="1"/>
  <c r="AE414" i="2" s="1"/>
  <c r="AB467" i="2" a="1"/>
  <c r="AB467" i="2" s="1"/>
  <c r="AA467" i="2" a="1"/>
  <c r="AA467" i="2" s="1"/>
  <c r="AM445" i="2" a="1"/>
  <c r="AM445" i="2" s="1"/>
  <c r="AE103" i="2" a="1"/>
  <c r="AE103" i="2" s="1"/>
  <c r="AE222" i="2" a="1"/>
  <c r="AE222" i="2" s="1"/>
  <c r="AD213" i="2" a="1"/>
  <c r="AD213" i="2" s="1"/>
  <c r="S320" i="2" a="1"/>
  <c r="S320" i="2" s="1"/>
  <c r="X283" i="2" a="1"/>
  <c r="X283" i="2" s="1"/>
  <c r="V273" i="2" a="1"/>
  <c r="V273" i="2" s="1"/>
  <c r="X485" i="2" a="1"/>
  <c r="X485" i="2" s="1"/>
  <c r="AK403" i="2" a="1"/>
  <c r="AK403" i="2" s="1"/>
  <c r="Z370" i="2" a="1"/>
  <c r="Z370" i="2" s="1"/>
  <c r="AA258" i="2" a="1"/>
  <c r="AA258" i="2" s="1"/>
  <c r="W258" i="2" a="1"/>
  <c r="W258" i="2" s="1"/>
  <c r="S248" i="2" a="1"/>
  <c r="S248" i="2" s="1"/>
  <c r="AF545" i="2" a="1"/>
  <c r="AF545" i="2" s="1"/>
  <c r="AG545" i="2" a="1"/>
  <c r="AG545" i="2" s="1"/>
  <c r="AA545" i="2" a="1"/>
  <c r="AA545" i="2" s="1"/>
  <c r="AG663" i="2" a="1"/>
  <c r="AG663" i="2" s="1"/>
  <c r="AA663" i="2" a="1"/>
  <c r="AA663" i="2" s="1"/>
  <c r="T663" i="2" a="1"/>
  <c r="T663" i="2" s="1"/>
  <c r="AO434" i="2" a="1"/>
  <c r="AO434" i="2" s="1"/>
  <c r="V636" i="2" a="1"/>
  <c r="V636" i="2" s="1"/>
  <c r="AB636" i="2" a="1"/>
  <c r="AB636" i="2" s="1"/>
  <c r="Y636" i="2" a="1"/>
  <c r="Y636" i="2" s="1"/>
  <c r="S496" i="2" a="1"/>
  <c r="S496" i="2" s="1"/>
  <c r="AA614" i="2" a="1"/>
  <c r="AA614" i="2" s="1"/>
  <c r="AG614" i="2" a="1"/>
  <c r="AG614" i="2" s="1"/>
  <c r="AD614" i="2" a="1"/>
  <c r="AD614" i="2" s="1"/>
  <c r="AC614" i="2" a="1"/>
  <c r="AC614" i="2" s="1"/>
  <c r="S614" i="2" a="1"/>
  <c r="S614" i="2" s="1"/>
  <c r="AF286" i="2" a="1"/>
  <c r="AF286" i="2" s="1"/>
  <c r="AE542" i="2" a="1"/>
  <c r="AE542" i="2" s="1"/>
  <c r="Z658" i="2" a="1"/>
  <c r="Z658" i="2" s="1"/>
  <c r="AC552" i="2" a="1"/>
  <c r="AC552" i="2" s="1"/>
  <c r="Y397" i="2" a="1"/>
  <c r="Y397" i="2" s="1"/>
  <c r="AE562" i="2" a="1"/>
  <c r="AE562" i="2" s="1"/>
  <c r="AE625" i="2" a="1"/>
  <c r="AE625" i="2" s="1"/>
  <c r="AC656" i="2" a="1"/>
  <c r="AC656" i="2" s="1"/>
  <c r="AE642" i="2" a="1"/>
  <c r="AE642" i="2" s="1"/>
  <c r="AC613" i="2" a="1"/>
  <c r="AC613" i="2" s="1"/>
  <c r="Z668" i="2" a="1"/>
  <c r="Z668" i="2" s="1"/>
  <c r="AB649" i="2" a="1"/>
  <c r="AB649" i="2" s="1"/>
  <c r="V504" i="2" a="1"/>
  <c r="V504" i="2" s="1"/>
  <c r="V585" i="2" a="1"/>
  <c r="V585" i="2" s="1"/>
  <c r="AD658" i="2" a="1"/>
  <c r="AD658" i="2" s="1"/>
  <c r="Z397" i="2" a="1"/>
  <c r="Z397" i="2" s="1"/>
  <c r="X604" i="2" a="1"/>
  <c r="X604" i="2" s="1"/>
  <c r="T660" i="2" a="1"/>
  <c r="T660" i="2" s="1"/>
  <c r="X493" i="2" a="1"/>
  <c r="X493" i="2" s="1"/>
  <c r="AD613" i="2" a="1"/>
  <c r="AD613" i="2" s="1"/>
  <c r="AC631" i="2" a="1"/>
  <c r="AC631" i="2" s="1"/>
  <c r="AE617" i="2" a="1"/>
  <c r="AE617" i="2" s="1"/>
  <c r="W194" i="2" a="1"/>
  <c r="W194" i="2" s="1"/>
  <c r="X366" i="2" a="1"/>
  <c r="X366" i="2" s="1"/>
  <c r="AF658" i="2" a="1"/>
  <c r="AF658" i="2" s="1"/>
  <c r="AC618" i="2" a="1"/>
  <c r="AC618" i="2" s="1"/>
  <c r="X568" i="2" a="1"/>
  <c r="X568" i="2" s="1"/>
  <c r="T583" i="2" a="1"/>
  <c r="T583" i="2" s="1"/>
  <c r="AE626" i="2" a="1"/>
  <c r="AE626" i="2" s="1"/>
  <c r="X650" i="2" a="1"/>
  <c r="X650" i="2" s="1"/>
  <c r="Z601" i="2" a="1"/>
  <c r="Z601" i="2" s="1"/>
  <c r="AG586" i="2" a="1"/>
  <c r="AG586" i="2" s="1"/>
  <c r="AA632" i="2" a="1"/>
  <c r="AA632" i="2" s="1"/>
  <c r="V546" i="2" a="1"/>
  <c r="V546" i="2" s="1"/>
  <c r="AG613" i="2" a="1"/>
  <c r="AG613" i="2" s="1"/>
  <c r="AD631" i="2" a="1"/>
  <c r="AD631" i="2" s="1"/>
  <c r="AC617" i="2" a="1"/>
  <c r="AC617" i="2" s="1"/>
  <c r="AC286" i="2" a="1"/>
  <c r="AC286" i="2" s="1"/>
  <c r="AC531" i="2" a="1"/>
  <c r="AC531" i="2" s="1"/>
  <c r="Y583" i="2" a="1"/>
  <c r="Y583" i="2" s="1"/>
  <c r="AG632" i="2" a="1"/>
  <c r="AG632" i="2" s="1"/>
  <c r="Z546" i="2" a="1"/>
  <c r="Z546" i="2" s="1"/>
  <c r="Z542" i="2" a="1"/>
  <c r="Z542" i="2" s="1"/>
  <c r="V609" i="2" a="1"/>
  <c r="V609" i="2" s="1"/>
  <c r="AC451" i="2" a="1"/>
  <c r="AC451" i="2" s="1"/>
  <c r="Y534" i="2" a="1"/>
  <c r="Y534" i="2" s="1"/>
  <c r="S383" i="2" a="1"/>
  <c r="S383" i="2" s="1"/>
  <c r="AC608" i="2" a="1"/>
  <c r="AC608" i="2" s="1"/>
  <c r="AB660" i="2" a="1"/>
  <c r="AB660" i="2" s="1"/>
  <c r="AC606" i="2" a="1"/>
  <c r="AC606" i="2" s="1"/>
  <c r="X599" i="2" a="1"/>
  <c r="X599" i="2" s="1"/>
  <c r="AB546" i="2" a="1"/>
  <c r="AB546" i="2" s="1"/>
  <c r="S493" i="2" a="1"/>
  <c r="S493" i="2" s="1"/>
  <c r="Y512" i="2" a="1"/>
  <c r="Y512" i="2" s="1"/>
  <c r="AP261" i="2" a="1"/>
  <c r="AP261" i="2" s="1"/>
  <c r="S646" i="2" a="1"/>
  <c r="S646" i="2" s="1"/>
  <c r="AP463" i="2" a="1"/>
  <c r="AP463" i="2" s="1"/>
  <c r="F86" i="3" a="1"/>
  <c r="F86" i="3" s="1"/>
  <c r="L463" i="3" a="1"/>
  <c r="L463" i="3" s="1"/>
  <c r="F173" i="3" a="1"/>
  <c r="F173" i="3" s="1"/>
  <c r="V52" i="2" a="1"/>
  <c r="V52" i="2" s="1"/>
  <c r="T52" i="2" a="1"/>
  <c r="T52" i="2" s="1"/>
  <c r="W119" i="2" a="1"/>
  <c r="W119" i="2" s="1"/>
  <c r="T119" i="2" a="1"/>
  <c r="T119" i="2" s="1"/>
  <c r="AP10" i="2" a="1"/>
  <c r="AP10" i="2" s="1"/>
  <c r="AR10" i="2" s="1" a="1"/>
  <c r="AR10" i="2" s="1"/>
  <c r="T41" i="2" a="1"/>
  <c r="T41" i="2" s="1"/>
  <c r="AD41" i="2" a="1"/>
  <c r="AD41" i="2" s="1"/>
  <c r="S36" i="2" a="1"/>
  <c r="S36" i="2" s="1"/>
  <c r="V35" i="2" a="1"/>
  <c r="V35" i="2" s="1"/>
  <c r="Y125" i="2" a="1"/>
  <c r="Y125" i="2" s="1"/>
  <c r="AG125" i="2" a="1"/>
  <c r="AG125" i="2" s="1"/>
  <c r="AB244" i="2" a="1"/>
  <c r="AB244" i="2" s="1"/>
  <c r="Z244" i="2" a="1"/>
  <c r="Z244" i="2" s="1"/>
  <c r="AF244" i="2" a="1"/>
  <c r="AF244" i="2" s="1"/>
  <c r="AD244" i="2" a="1"/>
  <c r="AD244" i="2" s="1"/>
  <c r="AA244" i="2" a="1"/>
  <c r="AA244" i="2" s="1"/>
  <c r="Y244" i="2" a="1"/>
  <c r="Y244" i="2" s="1"/>
  <c r="X110" i="2" a="1"/>
  <c r="X110" i="2" s="1"/>
  <c r="AA110" i="2" a="1"/>
  <c r="AA110" i="2" s="1"/>
  <c r="S110" i="2" a="1"/>
  <c r="S110" i="2" s="1"/>
  <c r="AG110" i="2" a="1"/>
  <c r="AG110" i="2" s="1"/>
  <c r="AG22" i="2" a="1"/>
  <c r="AG22" i="2" s="1"/>
  <c r="AA22" i="2" a="1"/>
  <c r="AA22" i="2" s="1"/>
  <c r="AM10" i="2" a="1"/>
  <c r="AM10" i="2" s="1"/>
  <c r="AB42" i="2" a="1"/>
  <c r="AB42" i="2" s="1"/>
  <c r="AA42" i="2" a="1"/>
  <c r="AA42" i="2" s="1"/>
  <c r="Z42" i="2" a="1"/>
  <c r="Z42" i="2" s="1"/>
  <c r="Y42" i="2" a="1"/>
  <c r="Y42" i="2" s="1"/>
  <c r="S42" i="2" a="1"/>
  <c r="S42" i="2" s="1"/>
  <c r="AF42" i="2" a="1"/>
  <c r="AF42" i="2" s="1"/>
  <c r="AC42" i="2" a="1"/>
  <c r="AC42" i="2" s="1"/>
  <c r="AB149" i="2" a="1"/>
  <c r="AB149" i="2" s="1"/>
  <c r="AF149" i="2" a="1"/>
  <c r="AF149" i="2" s="1"/>
  <c r="AD149" i="2" a="1"/>
  <c r="AD149" i="2" s="1"/>
  <c r="AA149" i="2" a="1"/>
  <c r="AA149" i="2" s="1"/>
  <c r="X149" i="2" a="1"/>
  <c r="X149" i="2" s="1"/>
  <c r="AB249" i="2" a="1"/>
  <c r="AB249" i="2" s="1"/>
  <c r="AA249" i="2" a="1"/>
  <c r="AA249" i="2" s="1"/>
  <c r="Z249" i="2" a="1"/>
  <c r="Z249" i="2" s="1"/>
  <c r="Y249" i="2" a="1"/>
  <c r="Y249" i="2" s="1"/>
  <c r="AF249" i="2" a="1"/>
  <c r="AF249" i="2" s="1"/>
  <c r="AD249" i="2" a="1"/>
  <c r="AD249" i="2" s="1"/>
  <c r="X249" i="2" a="1"/>
  <c r="X249" i="2" s="1"/>
  <c r="AD35" i="2" a="1"/>
  <c r="AD35" i="2" s="1"/>
  <c r="AA35" i="2" a="1"/>
  <c r="AA35" i="2" s="1"/>
  <c r="AF35" i="2" a="1"/>
  <c r="AF35" i="2" s="1"/>
  <c r="AD224" i="2" a="1"/>
  <c r="AD224" i="2" s="1"/>
  <c r="AA224" i="2" a="1"/>
  <c r="AA224" i="2" s="1"/>
  <c r="X224" i="2" a="1"/>
  <c r="X224" i="2" s="1"/>
  <c r="V224" i="2" a="1"/>
  <c r="V224" i="2" s="1"/>
  <c r="X431" i="2" a="1"/>
  <c r="X431" i="2" s="1"/>
  <c r="AG431" i="2" a="1"/>
  <c r="AG431" i="2" s="1"/>
  <c r="X23" i="2" a="1"/>
  <c r="X23" i="2" s="1"/>
  <c r="AG23" i="2" a="1"/>
  <c r="AG23" i="2" s="1"/>
  <c r="S23" i="2" a="1"/>
  <c r="S23" i="2" s="1"/>
  <c r="AF23" i="2" a="1"/>
  <c r="AF23" i="2" s="1"/>
  <c r="AD23" i="2" a="1"/>
  <c r="AD23" i="2" s="1"/>
  <c r="Z23" i="2" a="1"/>
  <c r="Z23" i="2" s="1"/>
  <c r="AG45" i="2" a="1"/>
  <c r="AG45" i="2" s="1"/>
  <c r="AB45" i="2" a="1"/>
  <c r="AB45" i="2" s="1"/>
  <c r="AA45" i="2" a="1"/>
  <c r="AA45" i="2" s="1"/>
  <c r="Z45" i="2" a="1"/>
  <c r="Z45" i="2" s="1"/>
  <c r="Z34" i="2" a="1"/>
  <c r="Z34" i="2" s="1"/>
  <c r="Y34" i="2" a="1"/>
  <c r="Y34" i="2" s="1"/>
  <c r="W34" i="2" a="1"/>
  <c r="W34" i="2" s="1"/>
  <c r="AF34" i="2" a="1"/>
  <c r="AF34" i="2" s="1"/>
  <c r="AD109" i="2" a="1"/>
  <c r="AD109" i="2" s="1"/>
  <c r="X109" i="2" a="1"/>
  <c r="X109" i="2" s="1"/>
  <c r="AA109" i="2" a="1"/>
  <c r="AA109" i="2" s="1"/>
  <c r="AG109" i="2" a="1"/>
  <c r="AG109" i="2" s="1"/>
  <c r="AB36" i="2" a="1"/>
  <c r="AB36" i="2" s="1"/>
  <c r="AD36" i="2" a="1"/>
  <c r="AD36" i="2" s="1"/>
  <c r="AA36" i="2" a="1"/>
  <c r="AA36" i="2" s="1"/>
  <c r="Z36" i="2" a="1"/>
  <c r="Z36" i="2" s="1"/>
  <c r="Y36" i="2" a="1"/>
  <c r="Y36" i="2" s="1"/>
  <c r="W141" i="2" a="1"/>
  <c r="W141" i="2" s="1"/>
  <c r="V141" i="2" a="1"/>
  <c r="V141" i="2" s="1"/>
  <c r="T141" i="2" a="1"/>
  <c r="T141" i="2" s="1"/>
  <c r="S141" i="2" a="1"/>
  <c r="S141" i="2" s="1"/>
  <c r="AC141" i="2" a="1"/>
  <c r="AC141" i="2" s="1"/>
  <c r="AE141" i="2" a="1"/>
  <c r="AE141" i="2" s="1"/>
  <c r="Z141" i="2" a="1"/>
  <c r="Z141" i="2" s="1"/>
  <c r="AA28" i="2" a="1"/>
  <c r="AA28" i="2" s="1"/>
  <c r="AB28" i="2" a="1"/>
  <c r="AB28" i="2" s="1"/>
  <c r="T28" i="2" a="1"/>
  <c r="T28" i="2" s="1"/>
  <c r="T19" i="2" a="1"/>
  <c r="T19" i="2" s="1"/>
  <c r="U113" i="12" a="1"/>
  <c r="U113" i="12" s="1"/>
  <c r="W107" i="2" a="1"/>
  <c r="W107" i="2" s="1"/>
  <c r="AF36" i="2" a="1"/>
  <c r="AF36" i="2" s="1"/>
  <c r="AB141" i="2" a="1"/>
  <c r="AB141" i="2" s="1"/>
  <c r="Y149" i="2" a="1"/>
  <c r="Y149" i="2" s="1"/>
  <c r="X12" i="2" a="1"/>
  <c r="X12" i="2" s="1"/>
  <c r="AC12" i="2" a="1"/>
  <c r="AC12" i="2" s="1"/>
  <c r="Y229" i="2" a="1"/>
  <c r="Y229" i="2" s="1"/>
  <c r="AF229" i="2" a="1"/>
  <c r="AF229" i="2" s="1"/>
  <c r="AG229" i="2" a="1"/>
  <c r="AG229" i="2" s="1"/>
  <c r="X21" i="2" a="1"/>
  <c r="X21" i="2" s="1"/>
  <c r="P6" i="3" s="1" a="1"/>
  <c r="P6" i="3" s="1"/>
  <c r="AC21" i="2" a="1"/>
  <c r="AC21" i="2" s="1"/>
  <c r="U6" i="3" s="1" a="1"/>
  <c r="U6" i="3" s="1"/>
  <c r="AD42" i="2" a="1"/>
  <c r="AD42" i="2" s="1"/>
  <c r="AD81" i="2" a="1"/>
  <c r="AD81" i="2" s="1"/>
  <c r="V81" i="2" a="1"/>
  <c r="V81" i="2" s="1"/>
  <c r="Z149" i="2" a="1"/>
  <c r="Z149" i="2" s="1"/>
  <c r="AF3" i="2" a="1"/>
  <c r="AF3" i="2" s="1"/>
  <c r="AB3" i="2" a="1"/>
  <c r="AB3" i="2" s="1"/>
  <c r="Z3" i="2" a="1"/>
  <c r="Z3" i="2" s="1"/>
  <c r="T3" i="2" a="1"/>
  <c r="T3" i="2" s="1"/>
  <c r="AC46" i="2" a="1"/>
  <c r="AC46" i="2" s="1"/>
  <c r="W46" i="2" a="1"/>
  <c r="W46" i="2" s="1"/>
  <c r="S31" i="2" a="1"/>
  <c r="S31" i="2" s="1"/>
  <c r="AB24" i="2" a="1"/>
  <c r="AB24" i="2" s="1"/>
  <c r="AD24" i="2" a="1"/>
  <c r="AD24" i="2" s="1"/>
  <c r="AA24" i="2" a="1"/>
  <c r="AA24" i="2" s="1"/>
  <c r="Z24" i="2" a="1"/>
  <c r="Z24" i="2" s="1"/>
  <c r="Y24" i="2" a="1"/>
  <c r="Y24" i="2" s="1"/>
  <c r="S24" i="2" a="1"/>
  <c r="S24" i="2" s="1"/>
  <c r="AF24" i="2" a="1"/>
  <c r="AF24" i="2" s="1"/>
  <c r="AC130" i="2" a="1"/>
  <c r="AC130" i="2" s="1"/>
  <c r="AD70" i="2" a="1"/>
  <c r="AD70" i="2" s="1"/>
  <c r="AA70" i="2" a="1"/>
  <c r="AA70" i="2" s="1"/>
  <c r="Z70" i="2" a="1"/>
  <c r="Z70" i="2" s="1"/>
  <c r="Y70" i="2" a="1"/>
  <c r="Y70" i="2" s="1"/>
  <c r="AG70" i="2" a="1"/>
  <c r="AG70" i="2" s="1"/>
  <c r="AF70" i="2" a="1"/>
  <c r="AF70" i="2" s="1"/>
  <c r="AC192" i="2" a="1"/>
  <c r="AC192" i="2" s="1"/>
  <c r="AB192" i="2" a="1"/>
  <c r="AB192" i="2" s="1"/>
  <c r="Z192" i="2" a="1"/>
  <c r="Z192" i="2" s="1"/>
  <c r="W192" i="2" a="1"/>
  <c r="W192" i="2" s="1"/>
  <c r="X19" i="2" a="1"/>
  <c r="X19" i="2" s="1"/>
  <c r="AG19" i="2" a="1"/>
  <c r="AG19" i="2" s="1"/>
  <c r="AF19" i="2" a="1"/>
  <c r="AF19" i="2" s="1"/>
  <c r="AC19" i="2" a="1"/>
  <c r="AC19" i="2" s="1"/>
  <c r="AA19" i="2" a="1"/>
  <c r="AA19" i="2" s="1"/>
  <c r="Z19" i="2" a="1"/>
  <c r="Z19" i="2" s="1"/>
  <c r="T22" i="2" a="1"/>
  <c r="T22" i="2" s="1"/>
  <c r="AE78" i="2" a="1"/>
  <c r="AE78" i="2" s="1"/>
  <c r="AB78" i="2" a="1"/>
  <c r="AB78" i="2" s="1"/>
  <c r="V22" i="2" a="1"/>
  <c r="V22" i="2" s="1"/>
  <c r="T23" i="2" a="1"/>
  <c r="T23" i="2" s="1"/>
  <c r="AO26" i="2" a="1"/>
  <c r="AO26" i="2" s="1"/>
  <c r="X39" i="2" a="1"/>
  <c r="X39" i="2" s="1"/>
  <c r="AC39" i="2" a="1"/>
  <c r="AC39" i="2" s="1"/>
  <c r="Y83" i="2" a="1"/>
  <c r="Y83" i="2" s="1"/>
  <c r="V83" i="2" a="1"/>
  <c r="V83" i="2" s="1"/>
  <c r="Y52" i="2" a="1"/>
  <c r="Y52" i="2" s="1"/>
  <c r="S52" i="2" a="1"/>
  <c r="S52" i="2" s="1"/>
  <c r="AG52" i="2" a="1"/>
  <c r="AG52" i="2" s="1"/>
  <c r="AE62" i="2" a="1"/>
  <c r="AE62" i="2" s="1"/>
  <c r="W62" i="2" a="1"/>
  <c r="W62" i="2" s="1"/>
  <c r="W115" i="2" a="1"/>
  <c r="W115" i="2" s="1"/>
  <c r="T115" i="2" a="1"/>
  <c r="T115" i="2" s="1"/>
  <c r="AE115" i="2" a="1"/>
  <c r="AE115" i="2" s="1"/>
  <c r="AE175" i="2" a="1"/>
  <c r="AE175" i="2" s="1"/>
  <c r="W175" i="2" a="1"/>
  <c r="W175" i="2" s="1"/>
  <c r="S95" i="2" a="1"/>
  <c r="S95" i="2" s="1"/>
  <c r="AD95" i="2" a="1"/>
  <c r="AD95" i="2" s="1"/>
  <c r="T51" i="2" a="1"/>
  <c r="T51" i="2" s="1"/>
  <c r="V51" i="2" a="1"/>
  <c r="V51" i="2" s="1"/>
  <c r="AC51" i="2" a="1"/>
  <c r="AC51" i="2" s="1"/>
  <c r="AA23" i="2" a="1"/>
  <c r="AA23" i="2" s="1"/>
  <c r="AC25" i="2" a="1"/>
  <c r="AC25" i="2" s="1"/>
  <c r="AG129" i="2" a="1"/>
  <c r="AG129" i="2" s="1"/>
  <c r="AA129" i="2" a="1"/>
  <c r="AA129" i="2" s="1"/>
  <c r="Y129" i="2" a="1"/>
  <c r="Y129" i="2" s="1"/>
  <c r="V125" i="2" a="1"/>
  <c r="V125" i="2" s="1"/>
  <c r="AO72" i="2" a="1"/>
  <c r="AO72" i="2" s="1"/>
  <c r="AM72" i="2" a="1"/>
  <c r="AM72" i="2" s="1"/>
  <c r="AG208" i="2" a="1"/>
  <c r="AG208" i="2" s="1"/>
  <c r="Z208" i="2" a="1"/>
  <c r="Z208" i="2" s="1"/>
  <c r="Y208" i="2" a="1"/>
  <c r="Y208" i="2" s="1"/>
  <c r="AB208" i="2" a="1"/>
  <c r="AB208" i="2" s="1"/>
  <c r="AC83" i="2" a="1"/>
  <c r="AC83" i="2" s="1"/>
  <c r="Z14" i="2" a="1"/>
  <c r="Z14" i="2" s="1"/>
  <c r="T499" i="2" a="1"/>
  <c r="T499" i="2" s="1"/>
  <c r="AN162" i="2" a="1"/>
  <c r="AN162" i="2" s="1"/>
  <c r="W133" i="2" a="1"/>
  <c r="W133" i="2" s="1"/>
  <c r="AO61" i="2" a="1"/>
  <c r="AO61" i="2" s="1"/>
  <c r="AD357" i="2" a="1"/>
  <c r="AD357" i="2" s="1"/>
  <c r="S203" i="2" a="1"/>
  <c r="S203" i="2" s="1"/>
  <c r="AB265" i="2" a="1"/>
  <c r="AB265" i="2" s="1"/>
  <c r="W265" i="2" a="1"/>
  <c r="W265" i="2" s="1"/>
  <c r="AG265" i="2" a="1"/>
  <c r="AG265" i="2" s="1"/>
  <c r="S265" i="2" a="1"/>
  <c r="S265" i="2" s="1"/>
  <c r="AF265" i="2" a="1"/>
  <c r="AF265" i="2" s="1"/>
  <c r="V240" i="2" a="1"/>
  <c r="V240" i="2" s="1"/>
  <c r="AA240" i="2" a="1"/>
  <c r="AA240" i="2" s="1"/>
  <c r="AG176" i="2" a="1"/>
  <c r="AG176" i="2" s="1"/>
  <c r="AD176" i="2" a="1"/>
  <c r="AD176" i="2" s="1"/>
  <c r="AC176" i="2" a="1"/>
  <c r="AC176" i="2" s="1"/>
  <c r="Z176" i="2" a="1"/>
  <c r="Z176" i="2" s="1"/>
  <c r="W176" i="2" a="1"/>
  <c r="W176" i="2" s="1"/>
  <c r="V176" i="2" a="1"/>
  <c r="V176" i="2" s="1"/>
  <c r="AO85" i="2" a="1"/>
  <c r="AO85" i="2" s="1"/>
  <c r="AN85" i="2" a="1"/>
  <c r="AN85" i="2" s="1"/>
  <c r="AM85" i="2" a="1"/>
  <c r="AM85" i="2" s="1"/>
  <c r="AB123" i="2" a="1"/>
  <c r="AB123" i="2" s="1"/>
  <c r="Y123" i="2" a="1"/>
  <c r="Y123" i="2" s="1"/>
  <c r="Y48" i="2" a="1"/>
  <c r="Y48" i="2" s="1"/>
  <c r="AO156" i="2" a="1"/>
  <c r="AO156" i="2" s="1"/>
  <c r="AM156" i="2" a="1"/>
  <c r="AM156" i="2" s="1"/>
  <c r="AG144" i="2" a="1"/>
  <c r="AG144" i="2" s="1"/>
  <c r="AF144" i="2" a="1"/>
  <c r="AF144" i="2" s="1"/>
  <c r="AA144" i="2" a="1"/>
  <c r="AA144" i="2" s="1"/>
  <c r="Z144" i="2" a="1"/>
  <c r="Z144" i="2" s="1"/>
  <c r="T144" i="2" a="1"/>
  <c r="T144" i="2" s="1"/>
  <c r="S144" i="2" a="1"/>
  <c r="S144" i="2" s="1"/>
  <c r="AC304" i="2" a="1"/>
  <c r="AC304" i="2" s="1"/>
  <c r="X304" i="2" a="1"/>
  <c r="X304" i="2" s="1"/>
  <c r="V304" i="2" a="1"/>
  <c r="V304" i="2" s="1"/>
  <c r="Y287" i="2" a="1"/>
  <c r="Y287" i="2" s="1"/>
  <c r="AF287" i="2" a="1"/>
  <c r="AF287" i="2" s="1"/>
  <c r="Y285" i="2" a="1"/>
  <c r="Y285" i="2" s="1"/>
  <c r="T285" i="2" a="1"/>
  <c r="T285" i="2" s="1"/>
  <c r="Z285" i="2" a="1"/>
  <c r="Z285" i="2" s="1"/>
  <c r="W118" i="2" a="1"/>
  <c r="W118" i="2" s="1"/>
  <c r="AG118" i="2" a="1"/>
  <c r="AG118" i="2" s="1"/>
  <c r="AA321" i="2" a="1"/>
  <c r="AA321" i="2" s="1"/>
  <c r="Z321" i="2" a="1"/>
  <c r="Z321" i="2" s="1"/>
  <c r="S321" i="2" a="1"/>
  <c r="S321" i="2" s="1"/>
  <c r="AG49" i="2" a="1"/>
  <c r="AG49" i="2" s="1"/>
  <c r="AE56" i="2" a="1"/>
  <c r="AE56" i="2" s="1"/>
  <c r="Z50" i="2" a="1"/>
  <c r="Z50" i="2" s="1"/>
  <c r="AA89" i="2" a="1"/>
  <c r="AA89" i="2" s="1"/>
  <c r="Y154" i="2" a="1"/>
  <c r="Y154" i="2" s="1"/>
  <c r="X499" i="2" a="1"/>
  <c r="X499" i="2" s="1"/>
  <c r="AM74" i="2" a="1"/>
  <c r="AM74" i="2" s="1"/>
  <c r="AD105" i="2" a="1"/>
  <c r="AD105" i="2" s="1"/>
  <c r="V302" i="2" a="1"/>
  <c r="V302" i="2" s="1"/>
  <c r="W68" i="2" a="1"/>
  <c r="W68" i="2" s="1"/>
  <c r="V101" i="2" a="1"/>
  <c r="V101" i="2" s="1"/>
  <c r="AB175" i="2" a="1"/>
  <c r="AB175" i="2" s="1"/>
  <c r="S175" i="2" a="1"/>
  <c r="S175" i="2" s="1"/>
  <c r="AA48" i="2" a="1"/>
  <c r="AA48" i="2" s="1"/>
  <c r="W183" i="2" a="1"/>
  <c r="W183" i="2" s="1"/>
  <c r="AD203" i="2" a="1"/>
  <c r="AD203" i="2" s="1"/>
  <c r="AF79" i="2" a="1"/>
  <c r="AF79" i="2" s="1"/>
  <c r="AE79" i="2" a="1"/>
  <c r="AE79" i="2" s="1"/>
  <c r="AB79" i="2" a="1"/>
  <c r="AB79" i="2" s="1"/>
  <c r="AA79" i="2" a="1"/>
  <c r="AA79" i="2" s="1"/>
  <c r="AD355" i="2" a="1"/>
  <c r="AD355" i="2" s="1"/>
  <c r="AA355" i="2" a="1"/>
  <c r="AA355" i="2" s="1"/>
  <c r="Z355" i="2" a="1"/>
  <c r="Z355" i="2" s="1"/>
  <c r="X355" i="2" a="1"/>
  <c r="X355" i="2" s="1"/>
  <c r="V355" i="2" a="1"/>
  <c r="V355" i="2" s="1"/>
  <c r="AG355" i="2" a="1"/>
  <c r="AG355" i="2" s="1"/>
  <c r="AG103" i="2" a="1"/>
  <c r="AG103" i="2" s="1"/>
  <c r="AA103" i="2" a="1"/>
  <c r="AA103" i="2" s="1"/>
  <c r="AA153" i="2" a="1"/>
  <c r="AA153" i="2" s="1"/>
  <c r="Y153" i="2" a="1"/>
  <c r="Y153" i="2" s="1"/>
  <c r="W153" i="2" a="1"/>
  <c r="W153" i="2" s="1"/>
  <c r="AC153" i="2" a="1"/>
  <c r="AC153" i="2" s="1"/>
  <c r="AG153" i="2" a="1"/>
  <c r="AG153" i="2" s="1"/>
  <c r="AF153" i="2" a="1"/>
  <c r="AF153" i="2" s="1"/>
  <c r="AD71" i="2" a="1"/>
  <c r="AD71" i="2" s="1"/>
  <c r="AB68" i="2" a="1"/>
  <c r="AB68" i="2" s="1"/>
  <c r="AB29" i="2" a="1"/>
  <c r="AB29" i="2" s="1"/>
  <c r="Z29" i="2" a="1"/>
  <c r="Z29" i="2" s="1"/>
  <c r="AE29" i="2" a="1"/>
  <c r="AE29" i="2" s="1"/>
  <c r="AD48" i="2" a="1"/>
  <c r="AD48" i="2" s="1"/>
  <c r="AB325" i="2" a="1"/>
  <c r="AB325" i="2" s="1"/>
  <c r="AE325" i="2" a="1"/>
  <c r="AE325" i="2" s="1"/>
  <c r="W325" i="2" a="1"/>
  <c r="W325" i="2" s="1"/>
  <c r="Z265" i="2" a="1"/>
  <c r="Z265" i="2" s="1"/>
  <c r="X285" i="2" a="1"/>
  <c r="X285" i="2" s="1"/>
  <c r="S176" i="2" a="1"/>
  <c r="S176" i="2" s="1"/>
  <c r="S180" i="2" a="1"/>
  <c r="S180" i="2" s="1"/>
  <c r="X157" i="2" a="1"/>
  <c r="X157" i="2" s="1"/>
  <c r="S157" i="2" a="1"/>
  <c r="S157" i="2" s="1"/>
  <c r="X94" i="2" a="1"/>
  <c r="X94" i="2" s="1"/>
  <c r="AG94" i="2" a="1"/>
  <c r="AG94" i="2" s="1"/>
  <c r="V311" i="2" a="1"/>
  <c r="V311" i="2" s="1"/>
  <c r="T311" i="2" a="1"/>
  <c r="T311" i="2" s="1"/>
  <c r="Y499" i="2" a="1"/>
  <c r="Y499" i="2" s="1"/>
  <c r="W302" i="2" a="1"/>
  <c r="W302" i="2" s="1"/>
  <c r="S149" i="2" a="1"/>
  <c r="S149" i="2" s="1"/>
  <c r="AF89" i="2" a="1"/>
  <c r="AF89" i="2" s="1"/>
  <c r="AE154" i="2" a="1"/>
  <c r="AE154" i="2" s="1"/>
  <c r="Z499" i="2" a="1"/>
  <c r="Z499" i="2" s="1"/>
  <c r="AC302" i="2" a="1"/>
  <c r="AC302" i="2" s="1"/>
  <c r="T99" i="2" a="1"/>
  <c r="T99" i="2" s="1"/>
  <c r="AF71" i="2" a="1"/>
  <c r="AF71" i="2" s="1"/>
  <c r="V229" i="2" a="1"/>
  <c r="V229" i="2" s="1"/>
  <c r="AF29" i="2" a="1"/>
  <c r="AF29" i="2" s="1"/>
  <c r="S140" i="2" a="1"/>
  <c r="S140" i="2" s="1"/>
  <c r="AB101" i="2" a="1"/>
  <c r="AB101" i="2" s="1"/>
  <c r="AA101" i="2" a="1"/>
  <c r="AA101" i="2" s="1"/>
  <c r="AF101" i="2" a="1"/>
  <c r="AF101" i="2" s="1"/>
  <c r="V109" i="2" a="1"/>
  <c r="V109" i="2" s="1"/>
  <c r="AG203" i="2" a="1"/>
  <c r="AG203" i="2" s="1"/>
  <c r="AA265" i="2" a="1"/>
  <c r="AA265" i="2" s="1"/>
  <c r="V147" i="2" a="1"/>
  <c r="V147" i="2" s="1"/>
  <c r="AG147" i="2" a="1"/>
  <c r="AG147" i="2" s="1"/>
  <c r="T147" i="2" a="1"/>
  <c r="T147" i="2" s="1"/>
  <c r="AF147" i="2" a="1"/>
  <c r="AF147" i="2" s="1"/>
  <c r="AE176" i="2" a="1"/>
  <c r="AE176" i="2" s="1"/>
  <c r="AE321" i="2" a="1"/>
  <c r="AE321" i="2" s="1"/>
  <c r="Y303" i="2" a="1"/>
  <c r="Y303" i="2" s="1"/>
  <c r="S303" i="2" a="1"/>
  <c r="S303" i="2" s="1"/>
  <c r="AG303" i="2" a="1"/>
  <c r="AG303" i="2" s="1"/>
  <c r="Z303" i="2" a="1"/>
  <c r="Z303" i="2" s="1"/>
  <c r="AE303" i="2" a="1"/>
  <c r="AE303" i="2" s="1"/>
  <c r="AD303" i="2" a="1"/>
  <c r="AD303" i="2" s="1"/>
  <c r="AB303" i="2" a="1"/>
  <c r="AB303" i="2" s="1"/>
  <c r="AF206" i="2" a="1"/>
  <c r="AF206" i="2" s="1"/>
  <c r="Z206" i="2" a="1"/>
  <c r="Z206" i="2" s="1"/>
  <c r="X206" i="2" a="1"/>
  <c r="X206" i="2" s="1"/>
  <c r="W206" i="2" a="1"/>
  <c r="W206" i="2" s="1"/>
  <c r="AD89" i="2" a="1"/>
  <c r="AD89" i="2" s="1"/>
  <c r="AB154" i="2" a="1"/>
  <c r="AB154" i="2" s="1"/>
  <c r="AC22" i="2" a="1"/>
  <c r="AC22" i="2" s="1"/>
  <c r="V19" i="2" a="1"/>
  <c r="V19" i="2" s="1"/>
  <c r="Z66" i="2" a="1"/>
  <c r="Z66" i="2" s="1"/>
  <c r="AD50" i="2" a="1"/>
  <c r="AD50" i="2" s="1"/>
  <c r="AF154" i="2" a="1"/>
  <c r="AF154" i="2" s="1"/>
  <c r="AE302" i="2" a="1"/>
  <c r="AE302" i="2" s="1"/>
  <c r="AC99" i="2" a="1"/>
  <c r="AC99" i="2" s="1"/>
  <c r="T29" i="2" a="1"/>
  <c r="T29" i="2" s="1"/>
  <c r="AA231" i="2" a="1"/>
  <c r="AA231" i="2" s="1"/>
  <c r="AF231" i="2" a="1"/>
  <c r="AF231" i="2" s="1"/>
  <c r="AB231" i="2" a="1"/>
  <c r="AB231" i="2" s="1"/>
  <c r="Z231" i="2" a="1"/>
  <c r="Z231" i="2" s="1"/>
  <c r="AG285" i="2" a="1"/>
  <c r="AG285" i="2" s="1"/>
  <c r="AE195" i="2" a="1"/>
  <c r="AE195" i="2" s="1"/>
  <c r="AC195" i="2" a="1"/>
  <c r="AC195" i="2" s="1"/>
  <c r="Y195" i="2" a="1"/>
  <c r="Y195" i="2" s="1"/>
  <c r="AB307" i="2" a="1"/>
  <c r="AB307" i="2" s="1"/>
  <c r="AD307" i="2" a="1"/>
  <c r="AD307" i="2" s="1"/>
  <c r="W225" i="2" a="1"/>
  <c r="W225" i="2" s="1"/>
  <c r="X225" i="2" a="1"/>
  <c r="X225" i="2" s="1"/>
  <c r="AB218" i="2" a="1"/>
  <c r="AB218" i="2" s="1"/>
  <c r="X218" i="2" a="1"/>
  <c r="X218" i="2" s="1"/>
  <c r="X88" i="2" a="1"/>
  <c r="X88" i="2" s="1"/>
  <c r="AF66" i="2" a="1"/>
  <c r="AF66" i="2" s="1"/>
  <c r="AF50" i="2" a="1"/>
  <c r="AF50" i="2" s="1"/>
  <c r="W154" i="2" a="1"/>
  <c r="W154" i="2" s="1"/>
  <c r="AC499" i="2" a="1"/>
  <c r="AC499" i="2" s="1"/>
  <c r="Z88" i="2" a="1"/>
  <c r="Z88" i="2" s="1"/>
  <c r="AG302" i="2" a="1"/>
  <c r="AG302" i="2" s="1"/>
  <c r="X29" i="2" a="1"/>
  <c r="X29" i="2" s="1"/>
  <c r="AG29" i="2" a="1"/>
  <c r="AG29" i="2" s="1"/>
  <c r="AD265" i="2" a="1"/>
  <c r="AD265" i="2" s="1"/>
  <c r="AF111" i="2" a="1"/>
  <c r="AF111" i="2" s="1"/>
  <c r="AB111" i="2" a="1"/>
  <c r="AB111" i="2" s="1"/>
  <c r="Z111" i="2" a="1"/>
  <c r="Z111" i="2" s="1"/>
  <c r="W407" i="2" a="1"/>
  <c r="W407" i="2" s="1"/>
  <c r="AD407" i="2" a="1"/>
  <c r="AD407" i="2" s="1"/>
  <c r="AC157" i="2" a="1"/>
  <c r="AC157" i="2" s="1"/>
  <c r="S201" i="2" a="1"/>
  <c r="S201" i="2" s="1"/>
  <c r="X417" i="2" a="1"/>
  <c r="X417" i="2" s="1"/>
  <c r="Y417" i="2" a="1"/>
  <c r="Y417" i="2" s="1"/>
  <c r="AF181" i="2" a="1"/>
  <c r="AF181" i="2" s="1"/>
  <c r="AB181" i="2" a="1"/>
  <c r="AB181" i="2" s="1"/>
  <c r="T181" i="2" a="1"/>
  <c r="T181" i="2" s="1"/>
  <c r="S181" i="2" a="1"/>
  <c r="S181" i="2" s="1"/>
  <c r="AP85" i="2" a="1"/>
  <c r="AP85" i="2" s="1"/>
  <c r="AR85" i="2" s="1" a="1"/>
  <c r="AR85" i="2" s="1"/>
  <c r="X343" i="2" a="1"/>
  <c r="X343" i="2" s="1"/>
  <c r="AD343" i="2" a="1"/>
  <c r="AD343" i="2" s="1"/>
  <c r="V363" i="2" a="1"/>
  <c r="V363" i="2" s="1"/>
  <c r="S363" i="2" a="1"/>
  <c r="S363" i="2" s="1"/>
  <c r="AG363" i="2" a="1"/>
  <c r="AG363" i="2" s="1"/>
  <c r="AE363" i="2" a="1"/>
  <c r="AE363" i="2" s="1"/>
  <c r="AD363" i="2" a="1"/>
  <c r="AD363" i="2" s="1"/>
  <c r="AC363" i="2" a="1"/>
  <c r="AC363" i="2" s="1"/>
  <c r="AA363" i="2" a="1"/>
  <c r="AA363" i="2" s="1"/>
  <c r="T363" i="2" a="1"/>
  <c r="T363" i="2" s="1"/>
  <c r="Y269" i="2" a="1"/>
  <c r="Y269" i="2" s="1"/>
  <c r="AB269" i="2" a="1"/>
  <c r="AB269" i="2" s="1"/>
  <c r="Z269" i="2" a="1"/>
  <c r="Z269" i="2" s="1"/>
  <c r="T399" i="2" a="1"/>
  <c r="T399" i="2" s="1"/>
  <c r="AE499" i="2" a="1"/>
  <c r="AE499" i="2" s="1"/>
  <c r="AB48" i="2" a="1"/>
  <c r="AB48" i="2" s="1"/>
  <c r="Z48" i="2" a="1"/>
  <c r="Z48" i="2" s="1"/>
  <c r="X244" i="2" a="1"/>
  <c r="X244" i="2" s="1"/>
  <c r="T2" i="2" a="1"/>
  <c r="T2" i="2" s="1"/>
  <c r="L14" i="3" s="1" a="1"/>
  <c r="L14" i="3" s="1"/>
  <c r="V21" i="2" a="1"/>
  <c r="V21" i="2" s="1"/>
  <c r="N6" i="3" s="1" a="1"/>
  <c r="N6" i="3" s="1"/>
  <c r="Z49" i="2" a="1"/>
  <c r="Z49" i="2" s="1"/>
  <c r="T14" i="2" a="1"/>
  <c r="T14" i="2" s="1"/>
  <c r="AE77" i="2" a="1"/>
  <c r="AE77" i="2" s="1"/>
  <c r="AF499" i="2" a="1"/>
  <c r="AF499" i="2" s="1"/>
  <c r="AF88" i="2" a="1"/>
  <c r="AF88" i="2" s="1"/>
  <c r="Y29" i="2" a="1"/>
  <c r="Y29" i="2" s="1"/>
  <c r="AD126" i="2" a="1"/>
  <c r="AD126" i="2" s="1"/>
  <c r="S148" i="2" a="1"/>
  <c r="S148" i="2" s="1"/>
  <c r="Z147" i="2" a="1"/>
  <c r="Z147" i="2" s="1"/>
  <c r="S307" i="2" a="1"/>
  <c r="S307" i="2" s="1"/>
  <c r="AO86" i="2" a="1"/>
  <c r="AO86" i="2" s="1"/>
  <c r="AF281" i="2" a="1"/>
  <c r="AF281" i="2" s="1"/>
  <c r="AB281" i="2" a="1"/>
  <c r="AB281" i="2" s="1"/>
  <c r="AF254" i="2" a="1"/>
  <c r="AF254" i="2" s="1"/>
  <c r="AC254" i="2" a="1"/>
  <c r="AC254" i="2" s="1"/>
  <c r="AB254" i="2" a="1"/>
  <c r="AB254" i="2" s="1"/>
  <c r="Y254" i="2" a="1"/>
  <c r="Y254" i="2" s="1"/>
  <c r="W254" i="2" a="1"/>
  <c r="W254" i="2" s="1"/>
  <c r="Z399" i="2" a="1"/>
  <c r="Z399" i="2" s="1"/>
  <c r="AG399" i="2" a="1"/>
  <c r="AG399" i="2" s="1"/>
  <c r="AO69" i="2" a="1"/>
  <c r="AO69" i="2" s="1"/>
  <c r="AB187" i="2" a="1"/>
  <c r="AB187" i="2" s="1"/>
  <c r="AK245" i="2" a="1"/>
  <c r="AK245" i="2" s="1"/>
  <c r="Y446" i="2" a="1"/>
  <c r="Y446" i="2" s="1"/>
  <c r="AB446" i="2" a="1"/>
  <c r="AB446" i="2" s="1"/>
  <c r="X446" i="2" a="1"/>
  <c r="X446" i="2" s="1"/>
  <c r="S446" i="2" a="1"/>
  <c r="S446" i="2" s="1"/>
  <c r="AC241" i="2" a="1"/>
  <c r="AC241" i="2" s="1"/>
  <c r="AF241" i="2" a="1"/>
  <c r="AF241" i="2" s="1"/>
  <c r="AF334" i="2" a="1"/>
  <c r="AF334" i="2" s="1"/>
  <c r="AB334" i="2" a="1"/>
  <c r="AB334" i="2" s="1"/>
  <c r="AA334" i="2" a="1"/>
  <c r="AA334" i="2" s="1"/>
  <c r="Z334" i="2" a="1"/>
  <c r="Z334" i="2" s="1"/>
  <c r="AB259" i="2" a="1"/>
  <c r="AB259" i="2" s="1"/>
  <c r="AA259" i="2" a="1"/>
  <c r="AA259" i="2" s="1"/>
  <c r="Z259" i="2" a="1"/>
  <c r="Z259" i="2" s="1"/>
  <c r="V259" i="2" a="1"/>
  <c r="V259" i="2" s="1"/>
  <c r="T259" i="2" a="1"/>
  <c r="T259" i="2" s="1"/>
  <c r="AG259" i="2" a="1"/>
  <c r="AG259" i="2" s="1"/>
  <c r="AD259" i="2" a="1"/>
  <c r="AD259" i="2" s="1"/>
  <c r="Z392" i="2" a="1"/>
  <c r="Z392" i="2" s="1"/>
  <c r="AE392" i="2" a="1"/>
  <c r="AE392" i="2" s="1"/>
  <c r="AC392" i="2" a="1"/>
  <c r="AC392" i="2" s="1"/>
  <c r="X392" i="2" a="1"/>
  <c r="X392" i="2" s="1"/>
  <c r="V392" i="2" a="1"/>
  <c r="V392" i="2" s="1"/>
  <c r="AG392" i="2" a="1"/>
  <c r="AG392" i="2" s="1"/>
  <c r="W392" i="2" a="1"/>
  <c r="W392" i="2" s="1"/>
  <c r="AF387" i="2" a="1"/>
  <c r="AF387" i="2" s="1"/>
  <c r="AB387" i="2" a="1"/>
  <c r="AB387" i="2" s="1"/>
  <c r="AA387" i="2" a="1"/>
  <c r="AA387" i="2" s="1"/>
  <c r="W190" i="2" a="1"/>
  <c r="W190" i="2" s="1"/>
  <c r="AD212" i="2" a="1"/>
  <c r="AD212" i="2" s="1"/>
  <c r="AD219" i="2" a="1"/>
  <c r="AD219" i="2" s="1"/>
  <c r="AD161" i="2" a="1"/>
  <c r="AD161" i="2" s="1"/>
  <c r="AB182" i="2" a="1"/>
  <c r="AB182" i="2" s="1"/>
  <c r="S187" i="2" a="1"/>
  <c r="S187" i="2" s="1"/>
  <c r="AF187" i="2" a="1"/>
  <c r="AF187" i="2" s="1"/>
  <c r="AE82" i="2" a="1"/>
  <c r="AE82" i="2" s="1"/>
  <c r="V180" i="2" a="1"/>
  <c r="V180" i="2" s="1"/>
  <c r="T138" i="2" a="1"/>
  <c r="T138" i="2" s="1"/>
  <c r="AG138" i="2" a="1"/>
  <c r="AG138" i="2" s="1"/>
  <c r="AB157" i="2" a="1"/>
  <c r="AB157" i="2" s="1"/>
  <c r="T157" i="2" a="1"/>
  <c r="T157" i="2" s="1"/>
  <c r="AD300" i="2" a="1"/>
  <c r="AD300" i="2" s="1"/>
  <c r="AD446" i="2" a="1"/>
  <c r="AD446" i="2" s="1"/>
  <c r="S213" i="2" a="1"/>
  <c r="S213" i="2" s="1"/>
  <c r="Y214" i="2" a="1"/>
  <c r="Y214" i="2" s="1"/>
  <c r="AE398" i="2" a="1"/>
  <c r="AE398" i="2" s="1"/>
  <c r="AE436" i="2" a="1"/>
  <c r="AE436" i="2" s="1"/>
  <c r="AP167" i="2" a="1"/>
  <c r="AP167" i="2" s="1"/>
  <c r="AK167" i="2" a="1"/>
  <c r="AK167" i="2" s="1"/>
  <c r="AO167" i="2" a="1"/>
  <c r="AO167" i="2" s="1"/>
  <c r="AF259" i="2" a="1"/>
  <c r="AF259" i="2" s="1"/>
  <c r="AF212" i="2" a="1"/>
  <c r="AF212" i="2" s="1"/>
  <c r="T187" i="2" a="1"/>
  <c r="T187" i="2" s="1"/>
  <c r="AE152" i="2" a="1"/>
  <c r="AE152" i="2" s="1"/>
  <c r="Y138" i="2" a="1"/>
  <c r="Y138" i="2" s="1"/>
  <c r="AE150" i="2" a="1"/>
  <c r="AE150" i="2" s="1"/>
  <c r="AB150" i="2" a="1"/>
  <c r="AB150" i="2" s="1"/>
  <c r="AA150" i="2" a="1"/>
  <c r="AA150" i="2" s="1"/>
  <c r="AC398" i="2" a="1"/>
  <c r="AC398" i="2" s="1"/>
  <c r="Y398" i="2" a="1"/>
  <c r="Y398" i="2" s="1"/>
  <c r="X398" i="2" a="1"/>
  <c r="X398" i="2" s="1"/>
  <c r="Z324" i="2" a="1"/>
  <c r="Z324" i="2" s="1"/>
  <c r="T324" i="2" a="1"/>
  <c r="T324" i="2" s="1"/>
  <c r="X324" i="2" a="1"/>
  <c r="X324" i="2" s="1"/>
  <c r="Y329" i="2" a="1"/>
  <c r="Y329" i="2" s="1"/>
  <c r="W329" i="2" a="1"/>
  <c r="W329" i="2" s="1"/>
  <c r="AB241" i="2" a="1"/>
  <c r="AB241" i="2" s="1"/>
  <c r="Z387" i="2" a="1"/>
  <c r="Z387" i="2" s="1"/>
  <c r="AE274" i="2" a="1"/>
  <c r="AE274" i="2" s="1"/>
  <c r="AC274" i="2" a="1"/>
  <c r="AC274" i="2" s="1"/>
  <c r="AA274" i="2" a="1"/>
  <c r="AA274" i="2" s="1"/>
  <c r="Y274" i="2" a="1"/>
  <c r="Y274" i="2" s="1"/>
  <c r="AB376" i="2" a="1"/>
  <c r="AB376" i="2" s="1"/>
  <c r="AC376" i="2" a="1"/>
  <c r="AC376" i="2" s="1"/>
  <c r="X376" i="2" a="1"/>
  <c r="X376" i="2" s="1"/>
  <c r="W376" i="2" a="1"/>
  <c r="W376" i="2" s="1"/>
  <c r="AD376" i="2" a="1"/>
  <c r="AD376" i="2" s="1"/>
  <c r="AG235" i="2" a="1"/>
  <c r="AG235" i="2" s="1"/>
  <c r="AD235" i="2" a="1"/>
  <c r="AD235" i="2" s="1"/>
  <c r="Z235" i="2" a="1"/>
  <c r="Z235" i="2" s="1"/>
  <c r="AD306" i="2" a="1"/>
  <c r="AD306" i="2" s="1"/>
  <c r="Y306" i="2" a="1"/>
  <c r="Y306" i="2" s="1"/>
  <c r="AB460" i="2" a="1"/>
  <c r="AB460" i="2" s="1"/>
  <c r="Y460" i="2" a="1"/>
  <c r="Y460" i="2" s="1"/>
  <c r="AG460" i="2" a="1"/>
  <c r="AG460" i="2" s="1"/>
  <c r="S460" i="2" a="1"/>
  <c r="S460" i="2" s="1"/>
  <c r="AF161" i="2" a="1"/>
  <c r="AF161" i="2" s="1"/>
  <c r="X187" i="2" a="1"/>
  <c r="X187" i="2" s="1"/>
  <c r="V307" i="2" a="1"/>
  <c r="V307" i="2" s="1"/>
  <c r="AK86" i="2" a="1"/>
  <c r="AK86" i="2" s="1"/>
  <c r="AB180" i="2" a="1"/>
  <c r="AB180" i="2" s="1"/>
  <c r="W210" i="2" a="1"/>
  <c r="W210" i="2" s="1"/>
  <c r="AF210" i="2" a="1"/>
  <c r="AF210" i="2" s="1"/>
  <c r="AD210" i="2" a="1"/>
  <c r="AD210" i="2" s="1"/>
  <c r="AC173" i="2" a="1"/>
  <c r="AC173" i="2" s="1"/>
  <c r="Y173" i="2" a="1"/>
  <c r="Y173" i="2" s="1"/>
  <c r="Y260" i="2" a="1"/>
  <c r="Y260" i="2" s="1"/>
  <c r="AB260" i="2" a="1"/>
  <c r="AB260" i="2" s="1"/>
  <c r="S260" i="2" a="1"/>
  <c r="S260" i="2" s="1"/>
  <c r="Y127" i="2" a="1"/>
  <c r="Y127" i="2" s="1"/>
  <c r="T127" i="2" a="1"/>
  <c r="T127" i="2" s="1"/>
  <c r="AG320" i="2" a="1"/>
  <c r="AG320" i="2" s="1"/>
  <c r="Y320" i="2" a="1"/>
  <c r="Y320" i="2" s="1"/>
  <c r="X320" i="2" a="1"/>
  <c r="X320" i="2" s="1"/>
  <c r="AB320" i="2" a="1"/>
  <c r="AB320" i="2" s="1"/>
  <c r="AD267" i="2" a="1"/>
  <c r="AD267" i="2" s="1"/>
  <c r="T267" i="2" a="1"/>
  <c r="T267" i="2" s="1"/>
  <c r="AD505" i="2" a="1"/>
  <c r="AD505" i="2" s="1"/>
  <c r="AF505" i="2" a="1"/>
  <c r="AF505" i="2" s="1"/>
  <c r="Z505" i="2" a="1"/>
  <c r="Z505" i="2" s="1"/>
  <c r="Y505" i="2" a="1"/>
  <c r="Y505" i="2" s="1"/>
  <c r="AK121" i="2" a="1"/>
  <c r="AK121" i="2" s="1"/>
  <c r="V288" i="2" a="1"/>
  <c r="V288" i="2" s="1"/>
  <c r="AG288" i="2" a="1"/>
  <c r="AG288" i="2" s="1"/>
  <c r="AE288" i="2" a="1"/>
  <c r="AE288" i="2" s="1"/>
  <c r="W288" i="2" a="1"/>
  <c r="W288" i="2" s="1"/>
  <c r="V227" i="2" a="1"/>
  <c r="V227" i="2" s="1"/>
  <c r="AC356" i="2" a="1"/>
  <c r="AC356" i="2" s="1"/>
  <c r="AE182" i="2" a="1"/>
  <c r="AE182" i="2" s="1"/>
  <c r="AE169" i="2" a="1"/>
  <c r="AE169" i="2" s="1"/>
  <c r="S314" i="2" a="1"/>
  <c r="S314" i="2" s="1"/>
  <c r="AD180" i="2" a="1"/>
  <c r="AD180" i="2" s="1"/>
  <c r="V100" i="2" a="1"/>
  <c r="V100" i="2" s="1"/>
  <c r="X351" i="2" a="1"/>
  <c r="X351" i="2" s="1"/>
  <c r="AA461" i="2" a="1"/>
  <c r="AA461" i="2" s="1"/>
  <c r="AG461" i="2" a="1"/>
  <c r="AG461" i="2" s="1"/>
  <c r="AF461" i="2" a="1"/>
  <c r="AF461" i="2" s="1"/>
  <c r="AC104" i="2" a="1"/>
  <c r="AC104" i="2" s="1"/>
  <c r="AG376" i="2" a="1"/>
  <c r="AG376" i="2" s="1"/>
  <c r="Y235" i="2" a="1"/>
  <c r="Y235" i="2" s="1"/>
  <c r="AB227" i="2" a="1"/>
  <c r="AB227" i="2" s="1"/>
  <c r="AA227" i="2" a="1"/>
  <c r="AA227" i="2" s="1"/>
  <c r="AG327" i="2" a="1"/>
  <c r="AG327" i="2" s="1"/>
  <c r="AB327" i="2" a="1"/>
  <c r="AB327" i="2" s="1"/>
  <c r="S327" i="2" a="1"/>
  <c r="S327" i="2" s="1"/>
  <c r="Y327" i="2" a="1"/>
  <c r="Y327" i="2" s="1"/>
  <c r="X327" i="2" a="1"/>
  <c r="X327" i="2" s="1"/>
  <c r="Y187" i="2" a="1"/>
  <c r="Y187" i="2" s="1"/>
  <c r="AE355" i="2" a="1"/>
  <c r="AE355" i="2" s="1"/>
  <c r="X176" i="2" a="1"/>
  <c r="X176" i="2" s="1"/>
  <c r="AF180" i="2" a="1"/>
  <c r="AF180" i="2" s="1"/>
  <c r="Y351" i="2" a="1"/>
  <c r="Y351" i="2" s="1"/>
  <c r="AF351" i="2" a="1"/>
  <c r="AF351" i="2" s="1"/>
  <c r="AD351" i="2" a="1"/>
  <c r="AD351" i="2" s="1"/>
  <c r="AC351" i="2" a="1"/>
  <c r="AC351" i="2" s="1"/>
  <c r="AA104" i="2" a="1"/>
  <c r="AA104" i="2" s="1"/>
  <c r="Y104" i="2" a="1"/>
  <c r="Y104" i="2" s="1"/>
  <c r="AB199" i="2" a="1"/>
  <c r="AB199" i="2" s="1"/>
  <c r="Z199" i="2" a="1"/>
  <c r="Z199" i="2" s="1"/>
  <c r="AF164" i="2" a="1"/>
  <c r="AF164" i="2" s="1"/>
  <c r="AB164" i="2" a="1"/>
  <c r="AB164" i="2" s="1"/>
  <c r="Z164" i="2" a="1"/>
  <c r="Z164" i="2" s="1"/>
  <c r="T337" i="2" a="1"/>
  <c r="T337" i="2" s="1"/>
  <c r="S337" i="2" a="1"/>
  <c r="S337" i="2" s="1"/>
  <c r="X337" i="2" a="1"/>
  <c r="X337" i="2" s="1"/>
  <c r="AD315" i="2" a="1"/>
  <c r="AD315" i="2" s="1"/>
  <c r="AA315" i="2" a="1"/>
  <c r="AA315" i="2" s="1"/>
  <c r="AB369" i="2" a="1"/>
  <c r="AB369" i="2" s="1"/>
  <c r="AG369" i="2" a="1"/>
  <c r="AG369" i="2" s="1"/>
  <c r="T369" i="2" a="1"/>
  <c r="T369" i="2" s="1"/>
  <c r="S369" i="2" a="1"/>
  <c r="S369" i="2" s="1"/>
  <c r="Y369" i="2" a="1"/>
  <c r="Y369" i="2" s="1"/>
  <c r="AE371" i="2" a="1"/>
  <c r="AE371" i="2" s="1"/>
  <c r="Y371" i="2" a="1"/>
  <c r="Y371" i="2" s="1"/>
  <c r="AB138" i="2" a="1"/>
  <c r="AB138" i="2" s="1"/>
  <c r="AF138" i="2" a="1"/>
  <c r="AF138" i="2" s="1"/>
  <c r="AE138" i="2" a="1"/>
  <c r="AE138" i="2" s="1"/>
  <c r="V138" i="2" a="1"/>
  <c r="V138" i="2" s="1"/>
  <c r="AC138" i="2" a="1"/>
  <c r="AC138" i="2" s="1"/>
  <c r="AB222" i="2" a="1"/>
  <c r="AB222" i="2" s="1"/>
  <c r="AD222" i="2" a="1"/>
  <c r="AD222" i="2" s="1"/>
  <c r="AA222" i="2" a="1"/>
  <c r="AA222" i="2" s="1"/>
  <c r="Z222" i="2" a="1"/>
  <c r="Z222" i="2" s="1"/>
  <c r="X171" i="2" a="1"/>
  <c r="X171" i="2" s="1"/>
  <c r="Y171" i="2" a="1"/>
  <c r="Y171" i="2" s="1"/>
  <c r="AA164" i="2" a="1"/>
  <c r="AA164" i="2" s="1"/>
  <c r="AE579" i="2" a="1"/>
  <c r="AE579" i="2" s="1"/>
  <c r="Z579" i="2" a="1"/>
  <c r="Z579" i="2" s="1"/>
  <c r="AC165" i="2" a="1"/>
  <c r="AC165" i="2" s="1"/>
  <c r="Z165" i="2" a="1"/>
  <c r="Z165" i="2" s="1"/>
  <c r="S165" i="2" a="1"/>
  <c r="S165" i="2" s="1"/>
  <c r="X547" i="2" a="1"/>
  <c r="X547" i="2" s="1"/>
  <c r="S547" i="2" a="1"/>
  <c r="S547" i="2" s="1"/>
  <c r="AE214" i="2" a="1"/>
  <c r="AE214" i="2" s="1"/>
  <c r="AD189" i="2" a="1"/>
  <c r="AD189" i="2" s="1"/>
  <c r="AF436" i="2" a="1"/>
  <c r="AF436" i="2" s="1"/>
  <c r="AF356" i="2" a="1"/>
  <c r="AF356" i="2" s="1"/>
  <c r="AB348" i="2" a="1"/>
  <c r="AB348" i="2" s="1"/>
  <c r="T460" i="2" a="1"/>
  <c r="T460" i="2" s="1"/>
  <c r="Y524" i="2" a="1"/>
  <c r="Y524" i="2" s="1"/>
  <c r="AG524" i="2" a="1"/>
  <c r="AG524" i="2" s="1"/>
  <c r="AB524" i="2" a="1"/>
  <c r="AB524" i="2" s="1"/>
  <c r="X615" i="2" a="1"/>
  <c r="X615" i="2" s="1"/>
  <c r="AB615" i="2" a="1"/>
  <c r="AB615" i="2" s="1"/>
  <c r="AC384" i="2" a="1"/>
  <c r="AC384" i="2" s="1"/>
  <c r="AE384" i="2" a="1"/>
  <c r="AE384" i="2" s="1"/>
  <c r="Z384" i="2" a="1"/>
  <c r="Z384" i="2" s="1"/>
  <c r="X384" i="2" a="1"/>
  <c r="X384" i="2" s="1"/>
  <c r="AG523" i="2" a="1"/>
  <c r="AG523" i="2" s="1"/>
  <c r="AA523" i="2" a="1"/>
  <c r="AA523" i="2" s="1"/>
  <c r="AB309" i="2" a="1"/>
  <c r="AB309" i="2" s="1"/>
  <c r="AF309" i="2" a="1"/>
  <c r="AF309" i="2" s="1"/>
  <c r="AD309" i="2" a="1"/>
  <c r="AD309" i="2" s="1"/>
  <c r="AC309" i="2" a="1"/>
  <c r="AC309" i="2" s="1"/>
  <c r="AA309" i="2" a="1"/>
  <c r="AA309" i="2" s="1"/>
  <c r="AC442" i="2" a="1"/>
  <c r="AC442" i="2" s="1"/>
  <c r="S442" i="2" a="1"/>
  <c r="S442" i="2" s="1"/>
  <c r="W590" i="2" a="1"/>
  <c r="W590" i="2" s="1"/>
  <c r="AC590" i="2" a="1"/>
  <c r="AC590" i="2" s="1"/>
  <c r="S590" i="2" a="1"/>
  <c r="S590" i="2" s="1"/>
  <c r="AE592" i="2" a="1"/>
  <c r="AE592" i="2" s="1"/>
  <c r="V232" i="2" a="1"/>
  <c r="V232" i="2" s="1"/>
  <c r="AB485" i="2" a="1"/>
  <c r="AB485" i="2" s="1"/>
  <c r="Y485" i="2" a="1"/>
  <c r="Y485" i="2" s="1"/>
  <c r="S485" i="2" a="1"/>
  <c r="S485" i="2" s="1"/>
  <c r="AG485" i="2" a="1"/>
  <c r="AG485" i="2" s="1"/>
  <c r="AA404" i="2" a="1"/>
  <c r="AA404" i="2" s="1"/>
  <c r="AF404" i="2" a="1"/>
  <c r="AF404" i="2" s="1"/>
  <c r="Y404" i="2" a="1"/>
  <c r="Y404" i="2" s="1"/>
  <c r="AG404" i="2" a="1"/>
  <c r="AG404" i="2" s="1"/>
  <c r="Y484" i="2" a="1"/>
  <c r="Y484" i="2" s="1"/>
  <c r="AD484" i="2" a="1"/>
  <c r="AD484" i="2" s="1"/>
  <c r="AA484" i="2" a="1"/>
  <c r="AA484" i="2" s="1"/>
  <c r="W504" i="2" a="1"/>
  <c r="W504" i="2" s="1"/>
  <c r="AG504" i="2" a="1"/>
  <c r="AG504" i="2" s="1"/>
  <c r="Z504" i="2" a="1"/>
  <c r="Z504" i="2" s="1"/>
  <c r="AG535" i="2" a="1"/>
  <c r="AG535" i="2" s="1"/>
  <c r="AB535" i="2" a="1"/>
  <c r="AB535" i="2" s="1"/>
  <c r="AA535" i="2" a="1"/>
  <c r="AA535" i="2" s="1"/>
  <c r="Y535" i="2" a="1"/>
  <c r="Y535" i="2" s="1"/>
  <c r="AG348" i="2" a="1"/>
  <c r="AG348" i="2" s="1"/>
  <c r="AM142" i="2" a="1"/>
  <c r="AM142" i="2" s="1"/>
  <c r="V179" i="2" a="1"/>
  <c r="V179" i="2" s="1"/>
  <c r="AA396" i="2" a="1"/>
  <c r="AA396" i="2" s="1"/>
  <c r="Z396" i="2" a="1"/>
  <c r="Z396" i="2" s="1"/>
  <c r="Z442" i="2" a="1"/>
  <c r="Z442" i="2" s="1"/>
  <c r="AC151" i="2" a="1"/>
  <c r="AC151" i="2" s="1"/>
  <c r="Z151" i="2" a="1"/>
  <c r="Z151" i="2" s="1"/>
  <c r="S151" i="2" a="1"/>
  <c r="S151" i="2" s="1"/>
  <c r="X319" i="2" a="1"/>
  <c r="X319" i="2" s="1"/>
  <c r="S433" i="2" a="1"/>
  <c r="S433" i="2" s="1"/>
  <c r="AG271" i="2" a="1"/>
  <c r="AG271" i="2" s="1"/>
  <c r="AD271" i="2" a="1"/>
  <c r="AD271" i="2" s="1"/>
  <c r="AB507" i="2" a="1"/>
  <c r="AB507" i="2" s="1"/>
  <c r="AD507" i="2" a="1"/>
  <c r="AD507" i="2" s="1"/>
  <c r="Y507" i="2" a="1"/>
  <c r="Y507" i="2" s="1"/>
  <c r="X453" i="2" a="1"/>
  <c r="X453" i="2" s="1"/>
  <c r="W453" i="2" a="1"/>
  <c r="W453" i="2" s="1"/>
  <c r="AB532" i="2" a="1"/>
  <c r="AB532" i="2" s="1"/>
  <c r="Z532" i="2" a="1"/>
  <c r="Z532" i="2" s="1"/>
  <c r="V532" i="2" a="1"/>
  <c r="V532" i="2" s="1"/>
  <c r="Z317" i="2" a="1"/>
  <c r="Z317" i="2" s="1"/>
  <c r="Z230" i="2" a="1"/>
  <c r="Z230" i="2" s="1"/>
  <c r="Z200" i="2" a="1"/>
  <c r="Z200" i="2" s="1"/>
  <c r="Z440" i="2" a="1"/>
  <c r="Z440" i="2" s="1"/>
  <c r="Z432" i="2" a="1"/>
  <c r="Z432" i="2" s="1"/>
  <c r="Z344" i="2" a="1"/>
  <c r="Z344" i="2" s="1"/>
  <c r="Z275" i="2" a="1"/>
  <c r="Z275" i="2" s="1"/>
  <c r="S275" i="2" a="1"/>
  <c r="S275" i="2" s="1"/>
  <c r="Y319" i="2" a="1"/>
  <c r="Y319" i="2" s="1"/>
  <c r="T319" i="2" a="1"/>
  <c r="T319" i="2" s="1"/>
  <c r="AG319" i="2" a="1"/>
  <c r="AG319" i="2" s="1"/>
  <c r="X433" i="2" a="1"/>
  <c r="X433" i="2" s="1"/>
  <c r="AF433" i="2" a="1"/>
  <c r="AF433" i="2" s="1"/>
  <c r="AG368" i="2" a="1"/>
  <c r="AG368" i="2" s="1"/>
  <c r="AF368" i="2" a="1"/>
  <c r="AF368" i="2" s="1"/>
  <c r="AA368" i="2" a="1"/>
  <c r="AA368" i="2" s="1"/>
  <c r="V368" i="2" a="1"/>
  <c r="V368" i="2" s="1"/>
  <c r="AG385" i="2" a="1"/>
  <c r="AG385" i="2" s="1"/>
  <c r="AF385" i="2" a="1"/>
  <c r="AF385" i="2" s="1"/>
  <c r="Y455" i="2" a="1"/>
  <c r="Y455" i="2" s="1"/>
  <c r="Z455" i="2" a="1"/>
  <c r="Z455" i="2" s="1"/>
  <c r="AA516" i="2" a="1"/>
  <c r="AA516" i="2" s="1"/>
  <c r="AE516" i="2" a="1"/>
  <c r="AE516" i="2" s="1"/>
  <c r="S516" i="2" a="1"/>
  <c r="S516" i="2" s="1"/>
  <c r="AD516" i="2" a="1"/>
  <c r="AD516" i="2" s="1"/>
  <c r="AB516" i="2" a="1"/>
  <c r="AB516" i="2" s="1"/>
  <c r="Y516" i="2" a="1"/>
  <c r="Y516" i="2" s="1"/>
  <c r="V413" i="2" a="1"/>
  <c r="V413" i="2" s="1"/>
  <c r="AE413" i="2" a="1"/>
  <c r="AE413" i="2" s="1"/>
  <c r="AB413" i="2" a="1"/>
  <c r="AB413" i="2" s="1"/>
  <c r="AA413" i="2" a="1"/>
  <c r="AA413" i="2" s="1"/>
  <c r="Y413" i="2" a="1"/>
  <c r="Y413" i="2" s="1"/>
  <c r="AD497" i="2" a="1"/>
  <c r="AD497" i="2" s="1"/>
  <c r="Z497" i="2" a="1"/>
  <c r="Z497" i="2" s="1"/>
  <c r="AG497" i="2" a="1"/>
  <c r="AG497" i="2" s="1"/>
  <c r="AC216" i="2" a="1"/>
  <c r="AC216" i="2" s="1"/>
  <c r="AE84" i="2" a="1"/>
  <c r="AE84" i="2" s="1"/>
  <c r="AB382" i="2" a="1"/>
  <c r="AB382" i="2" s="1"/>
  <c r="AA317" i="2" a="1"/>
  <c r="AA317" i="2" s="1"/>
  <c r="AA230" i="2" a="1"/>
  <c r="AA230" i="2" s="1"/>
  <c r="AA200" i="2" a="1"/>
  <c r="AA200" i="2" s="1"/>
  <c r="AA440" i="2" a="1"/>
  <c r="AA440" i="2" s="1"/>
  <c r="AA432" i="2" a="1"/>
  <c r="AA432" i="2" s="1"/>
  <c r="AA344" i="2" a="1"/>
  <c r="AA344" i="2" s="1"/>
  <c r="AM87" i="2" a="1"/>
  <c r="AM87" i="2" s="1"/>
  <c r="V571" i="2" a="1"/>
  <c r="V571" i="2" s="1"/>
  <c r="V356" i="2" a="1"/>
  <c r="V356" i="2" s="1"/>
  <c r="T348" i="2" a="1"/>
  <c r="T348" i="2" s="1"/>
  <c r="AB185" i="2" a="1"/>
  <c r="AB185" i="2" s="1"/>
  <c r="AB196" i="2" a="1"/>
  <c r="AB196" i="2" s="1"/>
  <c r="AE232" i="2" a="1"/>
  <c r="AE232" i="2" s="1"/>
  <c r="T560" i="2" a="1"/>
  <c r="T560" i="2" s="1"/>
  <c r="Y396" i="2" a="1"/>
  <c r="Y396" i="2" s="1"/>
  <c r="AD420" i="2" a="1"/>
  <c r="AD420" i="2" s="1"/>
  <c r="Y420" i="2" a="1"/>
  <c r="Y420" i="2" s="1"/>
  <c r="T280" i="2" a="1"/>
  <c r="T280" i="2" s="1"/>
  <c r="T485" i="2" a="1"/>
  <c r="T485" i="2" s="1"/>
  <c r="AB427" i="2" a="1"/>
  <c r="AB427" i="2" s="1"/>
  <c r="Y427" i="2" a="1"/>
  <c r="Y427" i="2" s="1"/>
  <c r="X459" i="2" a="1"/>
  <c r="X459" i="2" s="1"/>
  <c r="S279" i="2" a="1"/>
  <c r="S279" i="2" s="1"/>
  <c r="AB279" i="2" a="1"/>
  <c r="AB279" i="2" s="1"/>
  <c r="AD404" i="2" a="1"/>
  <c r="AD404" i="2" s="1"/>
  <c r="AB484" i="2" a="1"/>
  <c r="AB484" i="2" s="1"/>
  <c r="AA504" i="2" a="1"/>
  <c r="AA504" i="2" s="1"/>
  <c r="S271" i="2" a="1"/>
  <c r="S271" i="2" s="1"/>
  <c r="AE477" i="2" a="1"/>
  <c r="AE477" i="2" s="1"/>
  <c r="T477" i="2" a="1"/>
  <c r="T477" i="2" s="1"/>
  <c r="X507" i="2" a="1"/>
  <c r="X507" i="2" s="1"/>
  <c r="AC276" i="2" a="1"/>
  <c r="AC276" i="2" s="1"/>
  <c r="AB276" i="2" a="1"/>
  <c r="AB276" i="2" s="1"/>
  <c r="Z276" i="2" a="1"/>
  <c r="Z276" i="2" s="1"/>
  <c r="Y276" i="2" a="1"/>
  <c r="Y276" i="2" s="1"/>
  <c r="AF276" i="2" a="1"/>
  <c r="AF276" i="2" s="1"/>
  <c r="AA276" i="2" a="1"/>
  <c r="AA276" i="2" s="1"/>
  <c r="AE343" i="2" a="1"/>
  <c r="AE343" i="2" s="1"/>
  <c r="AC382" i="2" a="1"/>
  <c r="AC382" i="2" s="1"/>
  <c r="AB317" i="2" a="1"/>
  <c r="AB317" i="2" s="1"/>
  <c r="AB230" i="2" a="1"/>
  <c r="AB230" i="2" s="1"/>
  <c r="AB200" i="2" a="1"/>
  <c r="AB200" i="2" s="1"/>
  <c r="AB440" i="2" a="1"/>
  <c r="AB440" i="2" s="1"/>
  <c r="AB432" i="2" a="1"/>
  <c r="AB432" i="2" s="1"/>
  <c r="AB344" i="2" a="1"/>
  <c r="AB344" i="2" s="1"/>
  <c r="S190" i="2" a="1"/>
  <c r="S190" i="2" s="1"/>
  <c r="AB571" i="2" a="1"/>
  <c r="AB571" i="2" s="1"/>
  <c r="AF292" i="2" a="1"/>
  <c r="AF292" i="2" s="1"/>
  <c r="Z356" i="2" a="1"/>
  <c r="Z356" i="2" s="1"/>
  <c r="AD185" i="2" a="1"/>
  <c r="AD185" i="2" s="1"/>
  <c r="AD204" i="2" a="1"/>
  <c r="AD204" i="2" s="1"/>
  <c r="AA560" i="2" a="1"/>
  <c r="AA560" i="2" s="1"/>
  <c r="AF396" i="2" a="1"/>
  <c r="AF396" i="2" s="1"/>
  <c r="S459" i="2" a="1"/>
  <c r="S459" i="2" s="1"/>
  <c r="AB459" i="2" a="1"/>
  <c r="AB459" i="2" s="1"/>
  <c r="T459" i="2" a="1"/>
  <c r="T459" i="2" s="1"/>
  <c r="S319" i="2" a="1"/>
  <c r="S319" i="2" s="1"/>
  <c r="X429" i="2" a="1"/>
  <c r="X429" i="2" s="1"/>
  <c r="AE429" i="2" a="1"/>
  <c r="AE429" i="2" s="1"/>
  <c r="AB429" i="2" a="1"/>
  <c r="AB429" i="2" s="1"/>
  <c r="Z429" i="2" a="1"/>
  <c r="Z429" i="2" s="1"/>
  <c r="X422" i="2" a="1"/>
  <c r="X422" i="2" s="1"/>
  <c r="AE422" i="2" a="1"/>
  <c r="AE422" i="2" s="1"/>
  <c r="AB422" i="2" a="1"/>
  <c r="AB422" i="2" s="1"/>
  <c r="W422" i="2" a="1"/>
  <c r="W422" i="2" s="1"/>
  <c r="AB415" i="2" a="1"/>
  <c r="AB415" i="2" s="1"/>
  <c r="V415" i="2" a="1"/>
  <c r="V415" i="2" s="1"/>
  <c r="AB411" i="2" a="1"/>
  <c r="AB411" i="2" s="1"/>
  <c r="Y411" i="2" a="1"/>
  <c r="Y411" i="2" s="1"/>
  <c r="Z411" i="2" a="1"/>
  <c r="Z411" i="2" s="1"/>
  <c r="AE534" i="2" a="1"/>
  <c r="AE534" i="2" s="1"/>
  <c r="X534" i="2" a="1"/>
  <c r="X534" i="2" s="1"/>
  <c r="T534" i="2" a="1"/>
  <c r="T534" i="2" s="1"/>
  <c r="AE382" i="2" a="1"/>
  <c r="AE382" i="2" s="1"/>
  <c r="W189" i="2" a="1"/>
  <c r="W189" i="2" s="1"/>
  <c r="V250" i="2" a="1"/>
  <c r="V250" i="2" s="1"/>
  <c r="V190" i="2" a="1"/>
  <c r="V190" i="2" s="1"/>
  <c r="AG571" i="2" a="1"/>
  <c r="AG571" i="2" s="1"/>
  <c r="S437" i="2" a="1"/>
  <c r="S437" i="2" s="1"/>
  <c r="AG292" i="2" a="1"/>
  <c r="AG292" i="2" s="1"/>
  <c r="AB356" i="2" a="1"/>
  <c r="AB356" i="2" s="1"/>
  <c r="Z348" i="2" a="1"/>
  <c r="Z348" i="2" s="1"/>
  <c r="AF185" i="2" a="1"/>
  <c r="AF185" i="2" s="1"/>
  <c r="AF196" i="2" a="1"/>
  <c r="AF196" i="2" s="1"/>
  <c r="AF204" i="2" a="1"/>
  <c r="AF204" i="2" s="1"/>
  <c r="V312" i="2" a="1"/>
  <c r="V312" i="2" s="1"/>
  <c r="AD560" i="2" a="1"/>
  <c r="AD560" i="2" s="1"/>
  <c r="T342" i="2" a="1"/>
  <c r="T342" i="2" s="1"/>
  <c r="Z342" i="2" a="1"/>
  <c r="Z342" i="2" s="1"/>
  <c r="AC430" i="2" a="1"/>
  <c r="AC430" i="2" s="1"/>
  <c r="Z430" i="2" a="1"/>
  <c r="Z430" i="2" s="1"/>
  <c r="T430" i="2" a="1"/>
  <c r="T430" i="2" s="1"/>
  <c r="T275" i="2" a="1"/>
  <c r="T275" i="2" s="1"/>
  <c r="AC280" i="2" a="1"/>
  <c r="AC280" i="2" s="1"/>
  <c r="S280" i="2" a="1"/>
  <c r="S280" i="2" s="1"/>
  <c r="AB319" i="2" a="1"/>
  <c r="AB319" i="2" s="1"/>
  <c r="AE279" i="2" a="1"/>
  <c r="AE279" i="2" s="1"/>
  <c r="X345" i="2" a="1"/>
  <c r="X345" i="2" s="1"/>
  <c r="AA345" i="2" a="1"/>
  <c r="AA345" i="2" s="1"/>
  <c r="AF345" i="2" a="1"/>
  <c r="AF345" i="2" s="1"/>
  <c r="AF248" i="2" a="1"/>
  <c r="AF248" i="2" s="1"/>
  <c r="AC248" i="2" a="1"/>
  <c r="AC248" i="2" s="1"/>
  <c r="AA248" i="2" a="1"/>
  <c r="AA248" i="2" s="1"/>
  <c r="AM354" i="2" a="1"/>
  <c r="AM354" i="2" s="1"/>
  <c r="AK354" i="2" a="1"/>
  <c r="AK354" i="2" s="1"/>
  <c r="AG278" i="2" a="1"/>
  <c r="AG278" i="2" s="1"/>
  <c r="V278" i="2" a="1"/>
  <c r="V278" i="2" s="1"/>
  <c r="Y291" i="2" a="1"/>
  <c r="Y291" i="2" s="1"/>
  <c r="W291" i="2" a="1"/>
  <c r="W291" i="2" s="1"/>
  <c r="V291" i="2" a="1"/>
  <c r="V291" i="2" s="1"/>
  <c r="T424" i="2" a="1"/>
  <c r="T424" i="2" s="1"/>
  <c r="AP377" i="2" a="1"/>
  <c r="AP377" i="2" s="1"/>
  <c r="V551" i="2" a="1"/>
  <c r="V551" i="2" s="1"/>
  <c r="AF560" i="2" a="1"/>
  <c r="AF560" i="2" s="1"/>
  <c r="Y540" i="2" a="1"/>
  <c r="Y540" i="2" s="1"/>
  <c r="AD540" i="2" a="1"/>
  <c r="AD540" i="2" s="1"/>
  <c r="Y459" i="2" a="1"/>
  <c r="Y459" i="2" s="1"/>
  <c r="T524" i="2" a="1"/>
  <c r="T524" i="2" s="1"/>
  <c r="T412" i="2" a="1"/>
  <c r="T412" i="2" s="1"/>
  <c r="AM186" i="2" a="1"/>
  <c r="AM186" i="2" s="1"/>
  <c r="AN186" i="2" a="1"/>
  <c r="AN186" i="2" s="1"/>
  <c r="AP186" i="2" a="1"/>
  <c r="AP186" i="2" s="1"/>
  <c r="AM136" i="2" a="1"/>
  <c r="AM136" i="2" s="1"/>
  <c r="AN136" i="2" a="1"/>
  <c r="AN136" i="2" s="1"/>
  <c r="T429" i="2" a="1"/>
  <c r="T429" i="2" s="1"/>
  <c r="AG449" i="2" a="1"/>
  <c r="AG449" i="2" s="1"/>
  <c r="Z449" i="2" a="1"/>
  <c r="Z449" i="2" s="1"/>
  <c r="Y449" i="2" a="1"/>
  <c r="Y449" i="2" s="1"/>
  <c r="AA449" i="2" a="1"/>
  <c r="AA449" i="2" s="1"/>
  <c r="AC368" i="2" a="1"/>
  <c r="AC368" i="2" s="1"/>
  <c r="AF492" i="2" a="1"/>
  <c r="AF492" i="2" s="1"/>
  <c r="AA492" i="2" a="1"/>
  <c r="AA492" i="2" s="1"/>
  <c r="Y492" i="2" a="1"/>
  <c r="Y492" i="2" s="1"/>
  <c r="Y308" i="2" a="1"/>
  <c r="Y308" i="2" s="1"/>
  <c r="AB308" i="2" a="1"/>
  <c r="AB308" i="2" s="1"/>
  <c r="X424" i="2" a="1"/>
  <c r="X424" i="2" s="1"/>
  <c r="Y587" i="2" a="1"/>
  <c r="Y587" i="2" s="1"/>
  <c r="AD587" i="2" a="1"/>
  <c r="AD587" i="2" s="1"/>
  <c r="AC587" i="2" a="1"/>
  <c r="AC587" i="2" s="1"/>
  <c r="AA587" i="2" a="1"/>
  <c r="AA587" i="2" s="1"/>
  <c r="Z587" i="2" a="1"/>
  <c r="Z587" i="2" s="1"/>
  <c r="AF587" i="2" a="1"/>
  <c r="AF587" i="2" s="1"/>
  <c r="W587" i="2" a="1"/>
  <c r="W587" i="2" s="1"/>
  <c r="T587" i="2" a="1"/>
  <c r="T587" i="2" s="1"/>
  <c r="Z559" i="2" a="1"/>
  <c r="Z559" i="2" s="1"/>
  <c r="AG559" i="2" a="1"/>
  <c r="AG559" i="2" s="1"/>
  <c r="AF559" i="2" a="1"/>
  <c r="AF559" i="2" s="1"/>
  <c r="Y435" i="2" a="1"/>
  <c r="Y435" i="2" s="1"/>
  <c r="AG435" i="2" a="1"/>
  <c r="AG435" i="2" s="1"/>
  <c r="Z578" i="2" a="1"/>
  <c r="Z578" i="2" s="1"/>
  <c r="X484" i="2" a="1"/>
  <c r="X484" i="2" s="1"/>
  <c r="AA515" i="2" a="1"/>
  <c r="AA515" i="2" s="1"/>
  <c r="Z479" i="2" a="1"/>
  <c r="Z479" i="2" s="1"/>
  <c r="AG498" i="2" a="1"/>
  <c r="AG498" i="2" s="1"/>
  <c r="X587" i="2" a="1"/>
  <c r="X587" i="2" s="1"/>
  <c r="AC532" i="2" a="1"/>
  <c r="AC532" i="2" s="1"/>
  <c r="W370" i="2" a="1"/>
  <c r="W370" i="2" s="1"/>
  <c r="AA435" i="2" a="1"/>
  <c r="AA435" i="2" s="1"/>
  <c r="AF578" i="2" a="1"/>
  <c r="AF578" i="2" s="1"/>
  <c r="W547" i="2" a="1"/>
  <c r="W547" i="2" s="1"/>
  <c r="X462" i="2" a="1"/>
  <c r="X462" i="2" s="1"/>
  <c r="AE247" i="2" a="1"/>
  <c r="AE247" i="2" s="1"/>
  <c r="S515" i="2" a="1"/>
  <c r="S515" i="2" s="1"/>
  <c r="AF515" i="2" a="1"/>
  <c r="AF515" i="2" s="1"/>
  <c r="T264" i="2" a="1"/>
  <c r="T264" i="2" s="1"/>
  <c r="Y424" i="2" a="1"/>
  <c r="Y424" i="2" s="1"/>
  <c r="AF538" i="2" a="1"/>
  <c r="AF538" i="2" s="1"/>
  <c r="AA538" i="2" a="1"/>
  <c r="AA538" i="2" s="1"/>
  <c r="S507" i="2" a="1"/>
  <c r="S507" i="2" s="1"/>
  <c r="W309" i="2" a="1"/>
  <c r="W309" i="2" s="1"/>
  <c r="Y383" i="2" a="1"/>
  <c r="Y383" i="2" s="1"/>
  <c r="X383" i="2" a="1"/>
  <c r="X383" i="2" s="1"/>
  <c r="AG383" i="2" a="1"/>
  <c r="AG383" i="2" s="1"/>
  <c r="AD383" i="2" a="1"/>
  <c r="AD383" i="2" s="1"/>
  <c r="Y495" i="2" a="1"/>
  <c r="Y495" i="2" s="1"/>
  <c r="AB495" i="2" a="1"/>
  <c r="AB495" i="2" s="1"/>
  <c r="V495" i="2" a="1"/>
  <c r="V495" i="2" s="1"/>
  <c r="AO134" i="2" a="1"/>
  <c r="AO134" i="2" s="1"/>
  <c r="AN134" i="2" a="1"/>
  <c r="AN134" i="2" s="1"/>
  <c r="Y570" i="2" a="1"/>
  <c r="Y570" i="2" s="1"/>
  <c r="AE570" i="2" a="1"/>
  <c r="AE570" i="2" s="1"/>
  <c r="AF570" i="2" a="1"/>
  <c r="AF570" i="2" s="1"/>
  <c r="Z570" i="2" a="1"/>
  <c r="Z570" i="2" s="1"/>
  <c r="AG578" i="2" a="1"/>
  <c r="AG578" i="2" s="1"/>
  <c r="AC389" i="2" a="1"/>
  <c r="AC389" i="2" s="1"/>
  <c r="AA366" i="2" a="1"/>
  <c r="AA366" i="2" s="1"/>
  <c r="AD366" i="2" a="1"/>
  <c r="AD366" i="2" s="1"/>
  <c r="X264" i="2" a="1"/>
  <c r="X264" i="2" s="1"/>
  <c r="Z424" i="2" a="1"/>
  <c r="Z424" i="2" s="1"/>
  <c r="AB286" i="2" a="1"/>
  <c r="AB286" i="2" s="1"/>
  <c r="AD318" i="2" a="1"/>
  <c r="AD318" i="2" s="1"/>
  <c r="AA318" i="2" a="1"/>
  <c r="AA318" i="2" s="1"/>
  <c r="Z318" i="2" a="1"/>
  <c r="Z318" i="2" s="1"/>
  <c r="S488" i="2" a="1"/>
  <c r="S488" i="2" s="1"/>
  <c r="Y520" i="2" a="1"/>
  <c r="Y520" i="2" s="1"/>
  <c r="Z520" i="2" a="1"/>
  <c r="Z520" i="2" s="1"/>
  <c r="S452" i="2" a="1"/>
  <c r="S452" i="2" s="1"/>
  <c r="V564" i="2" a="1"/>
  <c r="V564" i="2" s="1"/>
  <c r="Z564" i="2" a="1"/>
  <c r="Z564" i="2" s="1"/>
  <c r="T564" i="2" a="1"/>
  <c r="T564" i="2" s="1"/>
  <c r="AG564" i="2" a="1"/>
  <c r="AG564" i="2" s="1"/>
  <c r="AB454" i="2" a="1"/>
  <c r="AB454" i="2" s="1"/>
  <c r="Y454" i="2" a="1"/>
  <c r="Y454" i="2" s="1"/>
  <c r="AD662" i="2" a="1"/>
  <c r="AD662" i="2" s="1"/>
  <c r="Y662" i="2" a="1"/>
  <c r="Y662" i="2" s="1"/>
  <c r="V667" i="2" a="1"/>
  <c r="V667" i="2" s="1"/>
  <c r="Y667" i="2" a="1"/>
  <c r="Y667" i="2" s="1"/>
  <c r="W608" i="2" a="1"/>
  <c r="W608" i="2" s="1"/>
  <c r="X608" i="2" a="1"/>
  <c r="X608" i="2" s="1"/>
  <c r="AG608" i="2" a="1"/>
  <c r="AG608" i="2" s="1"/>
  <c r="T608" i="2" a="1"/>
  <c r="T608" i="2" s="1"/>
  <c r="Y608" i="2" a="1"/>
  <c r="Y608" i="2" s="1"/>
  <c r="AA608" i="2" a="1"/>
  <c r="AA608" i="2" s="1"/>
  <c r="S608" i="2" a="1"/>
  <c r="S608" i="2" s="1"/>
  <c r="AE608" i="2" a="1"/>
  <c r="AE608" i="2" s="1"/>
  <c r="AD608" i="2" a="1"/>
  <c r="AD608" i="2" s="1"/>
  <c r="AD555" i="2" a="1"/>
  <c r="AD555" i="2" s="1"/>
  <c r="AB555" i="2" a="1"/>
  <c r="AB555" i="2" s="1"/>
  <c r="Z555" i="2" a="1"/>
  <c r="Z555" i="2" s="1"/>
  <c r="Y555" i="2" a="1"/>
  <c r="Y555" i="2" s="1"/>
  <c r="T555" i="2" a="1"/>
  <c r="T555" i="2" s="1"/>
  <c r="AG555" i="2" a="1"/>
  <c r="AG555" i="2" s="1"/>
  <c r="AE488" i="2" a="1"/>
  <c r="AE488" i="2" s="1"/>
  <c r="AA488" i="2" a="1"/>
  <c r="AA488" i="2" s="1"/>
  <c r="Z488" i="2" a="1"/>
  <c r="Z488" i="2" s="1"/>
  <c r="Y488" i="2" a="1"/>
  <c r="Y488" i="2" s="1"/>
  <c r="AD488" i="2" a="1"/>
  <c r="AD488" i="2" s="1"/>
  <c r="AF452" i="2" a="1"/>
  <c r="AF452" i="2" s="1"/>
  <c r="Z452" i="2" a="1"/>
  <c r="Z452" i="2" s="1"/>
  <c r="Y452" i="2" a="1"/>
  <c r="Y452" i="2" s="1"/>
  <c r="Z465" i="2" a="1"/>
  <c r="Z465" i="2" s="1"/>
  <c r="AA465" i="2" a="1"/>
  <c r="AA465" i="2" s="1"/>
  <c r="AN393" i="2" a="1"/>
  <c r="AN393" i="2" s="1"/>
  <c r="AM393" i="2" a="1"/>
  <c r="AM393" i="2" s="1"/>
  <c r="Z620" i="2" a="1"/>
  <c r="Z620" i="2" s="1"/>
  <c r="AG620" i="2" a="1"/>
  <c r="AG620" i="2" s="1"/>
  <c r="AF620" i="2" a="1"/>
  <c r="AF620" i="2" s="1"/>
  <c r="AB529" i="2" a="1"/>
  <c r="AB529" i="2" s="1"/>
  <c r="AC529" i="2" a="1"/>
  <c r="AC529" i="2" s="1"/>
  <c r="AA529" i="2" a="1"/>
  <c r="AA529" i="2" s="1"/>
  <c r="Z529" i="2" a="1"/>
  <c r="Z529" i="2" s="1"/>
  <c r="Y529" i="2" a="1"/>
  <c r="Y529" i="2" s="1"/>
  <c r="S529" i="2" a="1"/>
  <c r="S529" i="2" s="1"/>
  <c r="AD529" i="2" a="1"/>
  <c r="AD529" i="2" s="1"/>
  <c r="T647" i="2" a="1"/>
  <c r="T647" i="2" s="1"/>
  <c r="S647" i="2" a="1"/>
  <c r="S647" i="2" s="1"/>
  <c r="V628" i="2" a="1"/>
  <c r="V628" i="2" s="1"/>
  <c r="AG628" i="2" a="1"/>
  <c r="AG628" i="2" s="1"/>
  <c r="AF628" i="2" a="1"/>
  <c r="AF628" i="2" s="1"/>
  <c r="AB628" i="2" a="1"/>
  <c r="AB628" i="2" s="1"/>
  <c r="Y628" i="2" a="1"/>
  <c r="Y628" i="2" s="1"/>
  <c r="T327" i="2" a="1"/>
  <c r="T327" i="2" s="1"/>
  <c r="AP509" i="2" a="1"/>
  <c r="AP509" i="2" s="1"/>
  <c r="X455" i="2" a="1"/>
  <c r="X455" i="2" s="1"/>
  <c r="AF479" i="2" a="1"/>
  <c r="AF479" i="2" s="1"/>
  <c r="AA479" i="2" a="1"/>
  <c r="AA479" i="2" s="1"/>
  <c r="AD390" i="2" a="1"/>
  <c r="AD390" i="2" s="1"/>
  <c r="S390" i="2" a="1"/>
  <c r="S390" i="2" s="1"/>
  <c r="AF390" i="2" a="1"/>
  <c r="AF390" i="2" s="1"/>
  <c r="Y390" i="2" a="1"/>
  <c r="Y390" i="2" s="1"/>
  <c r="X512" i="2" a="1"/>
  <c r="X512" i="2" s="1"/>
  <c r="V512" i="2" a="1"/>
  <c r="V512" i="2" s="1"/>
  <c r="Y640" i="2" a="1"/>
  <c r="Y640" i="2" s="1"/>
  <c r="Z640" i="2" a="1"/>
  <c r="Z640" i="2" s="1"/>
  <c r="S640" i="2" a="1"/>
  <c r="S640" i="2" s="1"/>
  <c r="X338" i="2" a="1"/>
  <c r="X338" i="2" s="1"/>
  <c r="T358" i="2" a="1"/>
  <c r="T358" i="2" s="1"/>
  <c r="T442" i="2" a="1"/>
  <c r="T442" i="2" s="1"/>
  <c r="T427" i="2" a="1"/>
  <c r="T427" i="2" s="1"/>
  <c r="X369" i="2" a="1"/>
  <c r="X369" i="2" s="1"/>
  <c r="W456" i="2" a="1"/>
  <c r="W456" i="2" s="1"/>
  <c r="AE271" i="2" a="1"/>
  <c r="AE271" i="2" s="1"/>
  <c r="Y515" i="2" a="1"/>
  <c r="Y515" i="2" s="1"/>
  <c r="Y479" i="2" a="1"/>
  <c r="Y479" i="2" s="1"/>
  <c r="Z498" i="2" a="1"/>
  <c r="Z498" i="2" s="1"/>
  <c r="AC316" i="2" a="1"/>
  <c r="AC316" i="2" s="1"/>
  <c r="S544" i="2" a="1"/>
  <c r="S544" i="2" s="1"/>
  <c r="AG544" i="2" a="1"/>
  <c r="AG544" i="2" s="1"/>
  <c r="AD544" i="2" a="1"/>
  <c r="AD544" i="2" s="1"/>
  <c r="AB544" i="2" a="1"/>
  <c r="AB544" i="2" s="1"/>
  <c r="AA544" i="2" a="1"/>
  <c r="AA544" i="2" s="1"/>
  <c r="T544" i="2" a="1"/>
  <c r="T544" i="2" s="1"/>
  <c r="AG401" i="2" a="1"/>
  <c r="AG401" i="2" s="1"/>
  <c r="AA401" i="2" a="1"/>
  <c r="AA401" i="2" s="1"/>
  <c r="V435" i="2" a="1"/>
  <c r="V435" i="2" s="1"/>
  <c r="Z456" i="2" a="1"/>
  <c r="Z456" i="2" s="1"/>
  <c r="Y247" i="2" a="1"/>
  <c r="Y247" i="2" s="1"/>
  <c r="X247" i="2" a="1"/>
  <c r="X247" i="2" s="1"/>
  <c r="Z515" i="2" a="1"/>
  <c r="Z515" i="2" s="1"/>
  <c r="V308" i="2" a="1"/>
  <c r="V308" i="2" s="1"/>
  <c r="AA498" i="2" a="1"/>
  <c r="AA498" i="2" s="1"/>
  <c r="AD316" i="2" a="1"/>
  <c r="AD316" i="2" s="1"/>
  <c r="AF316" i="2" a="1"/>
  <c r="AF316" i="2" s="1"/>
  <c r="AA316" i="2" a="1"/>
  <c r="AA316" i="2" s="1"/>
  <c r="S316" i="2" a="1"/>
  <c r="S316" i="2" s="1"/>
  <c r="Y481" i="2" a="1"/>
  <c r="Y481" i="2" s="1"/>
  <c r="AG481" i="2" a="1"/>
  <c r="AG481" i="2" s="1"/>
  <c r="AF481" i="2" a="1"/>
  <c r="AF481" i="2" s="1"/>
  <c r="AD481" i="2" a="1"/>
  <c r="AD481" i="2" s="1"/>
  <c r="Z481" i="2" a="1"/>
  <c r="Z481" i="2" s="1"/>
  <c r="AM365" i="2" a="1"/>
  <c r="AM365" i="2" s="1"/>
  <c r="AP365" i="2" a="1"/>
  <c r="AP365" i="2" s="1"/>
  <c r="AR365" i="2" s="1" a="1"/>
  <c r="AR365" i="2" s="1"/>
  <c r="AN365" i="2" a="1"/>
  <c r="AN365" i="2" s="1"/>
  <c r="AK365" i="2" a="1"/>
  <c r="AK365" i="2" s="1"/>
  <c r="W503" i="2" a="1"/>
  <c r="W503" i="2" s="1"/>
  <c r="AC503" i="2" a="1"/>
  <c r="AC503" i="2" s="1"/>
  <c r="AB573" i="2" a="1"/>
  <c r="AB573" i="2" s="1"/>
  <c r="AA573" i="2" a="1"/>
  <c r="AA573" i="2" s="1"/>
  <c r="AD536" i="2" a="1"/>
  <c r="AD536" i="2" s="1"/>
  <c r="Y536" i="2" a="1"/>
  <c r="Y536" i="2" s="1"/>
  <c r="AB596" i="2" a="1"/>
  <c r="AB596" i="2" s="1"/>
  <c r="AG596" i="2" a="1"/>
  <c r="AG596" i="2" s="1"/>
  <c r="AB402" i="2" a="1"/>
  <c r="AB402" i="2" s="1"/>
  <c r="AF652" i="2" a="1"/>
  <c r="AF652" i="2" s="1"/>
  <c r="AP228" i="2" a="1"/>
  <c r="AP228" i="2" s="1"/>
  <c r="AO372" i="2" a="1"/>
  <c r="AO372" i="2" s="1"/>
  <c r="AC628" i="2" a="1"/>
  <c r="AC628" i="2" s="1"/>
  <c r="V522" i="2" a="1"/>
  <c r="V522" i="2" s="1"/>
  <c r="AD581" i="2" a="1"/>
  <c r="AD581" i="2" s="1"/>
  <c r="AF595" i="2" a="1"/>
  <c r="AF595" i="2" s="1"/>
  <c r="AA595" i="2" a="1"/>
  <c r="AA595" i="2" s="1"/>
  <c r="Z595" i="2" a="1"/>
  <c r="Z595" i="2" s="1"/>
  <c r="T595" i="2" a="1"/>
  <c r="T595" i="2" s="1"/>
  <c r="T632" i="2" a="1"/>
  <c r="T632" i="2" s="1"/>
  <c r="Y644" i="2" a="1"/>
  <c r="Y644" i="2" s="1"/>
  <c r="Z644" i="2" a="1"/>
  <c r="Z644" i="2" s="1"/>
  <c r="AA644" i="2" a="1"/>
  <c r="AA644" i="2" s="1"/>
  <c r="AB471" i="2" a="1"/>
  <c r="AB471" i="2" s="1"/>
  <c r="AC471" i="2" a="1"/>
  <c r="AC471" i="2" s="1"/>
  <c r="V471" i="2" a="1"/>
  <c r="V471" i="2" s="1"/>
  <c r="AD471" i="2" a="1"/>
  <c r="AD471" i="2" s="1"/>
  <c r="AA637" i="2" a="1"/>
  <c r="AA637" i="2" s="1"/>
  <c r="V637" i="2" a="1"/>
  <c r="V637" i="2" s="1"/>
  <c r="T637" i="2" a="1"/>
  <c r="T637" i="2" s="1"/>
  <c r="AF637" i="2" a="1"/>
  <c r="AF637" i="2" s="1"/>
  <c r="AD637" i="2" a="1"/>
  <c r="AD637" i="2" s="1"/>
  <c r="AC637" i="2" a="1"/>
  <c r="AC637" i="2" s="1"/>
  <c r="AB637" i="2" a="1"/>
  <c r="AB637" i="2" s="1"/>
  <c r="W637" i="2" a="1"/>
  <c r="W637" i="2" s="1"/>
  <c r="AE574" i="2" a="1"/>
  <c r="AE574" i="2" s="1"/>
  <c r="AG645" i="2" a="1"/>
  <c r="AG645" i="2" s="1"/>
  <c r="AA645" i="2" a="1"/>
  <c r="AA645" i="2" s="1"/>
  <c r="AA367" i="2" a="1"/>
  <c r="AA367" i="2" s="1"/>
  <c r="AB494" i="2" a="1"/>
  <c r="AB494" i="2" s="1"/>
  <c r="AA542" i="2" a="1"/>
  <c r="AA542" i="2" s="1"/>
  <c r="X414" i="2" a="1"/>
  <c r="X414" i="2" s="1"/>
  <c r="Y584" i="2" a="1"/>
  <c r="Y584" i="2" s="1"/>
  <c r="AA397" i="2" a="1"/>
  <c r="AA397" i="2" s="1"/>
  <c r="W566" i="2" a="1"/>
  <c r="W566" i="2" s="1"/>
  <c r="Y487" i="2" a="1"/>
  <c r="Y487" i="2" s="1"/>
  <c r="AF525" i="2" a="1"/>
  <c r="AF525" i="2" s="1"/>
  <c r="Z590" i="2" a="1"/>
  <c r="Z590" i="2" s="1"/>
  <c r="AA590" i="2" a="1"/>
  <c r="AA590" i="2" s="1"/>
  <c r="AE647" i="2" a="1"/>
  <c r="AE647" i="2" s="1"/>
  <c r="W623" i="2" a="1"/>
  <c r="W623" i="2" s="1"/>
  <c r="AF502" i="2" a="1"/>
  <c r="AF502" i="2" s="1"/>
  <c r="W630" i="2" a="1"/>
  <c r="W630" i="2" s="1"/>
  <c r="AD641" i="2" a="1"/>
  <c r="AD641" i="2" s="1"/>
  <c r="Y641" i="2" a="1"/>
  <c r="Y641" i="2" s="1"/>
  <c r="AG641" i="2" a="1"/>
  <c r="AG641" i="2" s="1"/>
  <c r="AF641" i="2" a="1"/>
  <c r="AF641" i="2" s="1"/>
  <c r="Z641" i="2" a="1"/>
  <c r="Z641" i="2" s="1"/>
  <c r="AG606" i="2" a="1"/>
  <c r="AG606" i="2" s="1"/>
  <c r="S606" i="2" a="1"/>
  <c r="S606" i="2" s="1"/>
  <c r="AF606" i="2" a="1"/>
  <c r="AF606" i="2" s="1"/>
  <c r="AA606" i="2" a="1"/>
  <c r="AA606" i="2" s="1"/>
  <c r="Y606" i="2" a="1"/>
  <c r="Y606" i="2" s="1"/>
  <c r="T606" i="2" a="1"/>
  <c r="T606" i="2" s="1"/>
  <c r="S637" i="2" a="1"/>
  <c r="S637" i="2" s="1"/>
  <c r="V450" i="2" a="1"/>
  <c r="V450" i="2" s="1"/>
  <c r="Z406" i="2" a="1"/>
  <c r="Z406" i="2" s="1"/>
  <c r="AE605" i="2" a="1"/>
  <c r="AE605" i="2" s="1"/>
  <c r="V481" i="2" a="1"/>
  <c r="V481" i="2" s="1"/>
  <c r="W501" i="2" a="1"/>
  <c r="W501" i="2" s="1"/>
  <c r="Y340" i="2" a="1"/>
  <c r="Y340" i="2" s="1"/>
  <c r="Y414" i="2" a="1"/>
  <c r="Y414" i="2" s="1"/>
  <c r="Y541" i="2" a="1"/>
  <c r="Y541" i="2" s="1"/>
  <c r="AB397" i="2" a="1"/>
  <c r="AB397" i="2" s="1"/>
  <c r="Z487" i="2" a="1"/>
  <c r="Z487" i="2" s="1"/>
  <c r="Z635" i="2" a="1"/>
  <c r="Z635" i="2" s="1"/>
  <c r="AG595" i="2" a="1"/>
  <c r="AG595" i="2" s="1"/>
  <c r="Z645" i="2" a="1"/>
  <c r="Z645" i="2" s="1"/>
  <c r="Z637" i="2" a="1"/>
  <c r="Z637" i="2" s="1"/>
  <c r="Y666" i="2" a="1"/>
  <c r="Y666" i="2" s="1"/>
  <c r="Z666" i="2" a="1"/>
  <c r="Z666" i="2" s="1"/>
  <c r="T666" i="2" a="1"/>
  <c r="T666" i="2" s="1"/>
  <c r="AG666" i="2" a="1"/>
  <c r="AG666" i="2" s="1"/>
  <c r="AF666" i="2" a="1"/>
  <c r="AF666" i="2" s="1"/>
  <c r="AD666" i="2" a="1"/>
  <c r="AD666" i="2" s="1"/>
  <c r="AA666" i="2" a="1"/>
  <c r="AA666" i="2" s="1"/>
  <c r="T669" i="2" a="1"/>
  <c r="T669" i="2" s="1"/>
  <c r="AE669" i="2" a="1"/>
  <c r="AE669" i="2" s="1"/>
  <c r="AD669" i="2" a="1"/>
  <c r="AD669" i="2" s="1"/>
  <c r="Z669" i="2" a="1"/>
  <c r="Z669" i="2" s="1"/>
  <c r="V669" i="2" a="1"/>
  <c r="V669" i="2" s="1"/>
  <c r="S669" i="2" a="1"/>
  <c r="S669" i="2" s="1"/>
  <c r="AF669" i="2" a="1"/>
  <c r="AF669" i="2" s="1"/>
  <c r="X610" i="2" a="1"/>
  <c r="X610" i="2" s="1"/>
  <c r="AC610" i="2" a="1"/>
  <c r="AC610" i="2" s="1"/>
  <c r="W610" i="2" a="1"/>
  <c r="W610" i="2" s="1"/>
  <c r="V610" i="2" a="1"/>
  <c r="V610" i="2" s="1"/>
  <c r="S610" i="2" a="1"/>
  <c r="S610" i="2" s="1"/>
  <c r="T659" i="2" a="1"/>
  <c r="T659" i="2" s="1"/>
  <c r="S659" i="2" a="1"/>
  <c r="S659" i="2" s="1"/>
  <c r="AG659" i="2" a="1"/>
  <c r="AG659" i="2" s="1"/>
  <c r="AE659" i="2" a="1"/>
  <c r="AE659" i="2" s="1"/>
  <c r="AC659" i="2" a="1"/>
  <c r="AC659" i="2" s="1"/>
  <c r="AB659" i="2" a="1"/>
  <c r="AB659" i="2" s="1"/>
  <c r="Z659" i="2" a="1"/>
  <c r="Z659" i="2" s="1"/>
  <c r="W659" i="2" a="1"/>
  <c r="W659" i="2" s="1"/>
  <c r="V659" i="2" a="1"/>
  <c r="V659" i="2" s="1"/>
  <c r="AF639" i="2" a="1"/>
  <c r="AF639" i="2" s="1"/>
  <c r="AA639" i="2" a="1"/>
  <c r="AA639" i="2" s="1"/>
  <c r="Z639" i="2" a="1"/>
  <c r="Z639" i="2" s="1"/>
  <c r="AG639" i="2" a="1"/>
  <c r="AG639" i="2" s="1"/>
  <c r="AE639" i="2" a="1"/>
  <c r="AE639" i="2" s="1"/>
  <c r="AB639" i="2" a="1"/>
  <c r="AB639" i="2" s="1"/>
  <c r="AA406" i="2" a="1"/>
  <c r="AA406" i="2" s="1"/>
  <c r="AC472" i="2" a="1"/>
  <c r="AC472" i="2" s="1"/>
  <c r="AC490" i="2" a="1"/>
  <c r="AC490" i="2" s="1"/>
  <c r="S652" i="2" a="1"/>
  <c r="S652" i="2" s="1"/>
  <c r="Z340" i="2" a="1"/>
  <c r="Z340" i="2" s="1"/>
  <c r="AD542" i="2" a="1"/>
  <c r="AD542" i="2" s="1"/>
  <c r="X609" i="2" a="1"/>
  <c r="X609" i="2" s="1"/>
  <c r="Z584" i="2" a="1"/>
  <c r="Z584" i="2" s="1"/>
  <c r="AA541" i="2" a="1"/>
  <c r="AA541" i="2" s="1"/>
  <c r="AC573" i="2" a="1"/>
  <c r="AC573" i="2" s="1"/>
  <c r="AD397" i="2" a="1"/>
  <c r="AD397" i="2" s="1"/>
  <c r="AC409" i="2" a="1"/>
  <c r="AC409" i="2" s="1"/>
  <c r="AB487" i="2" a="1"/>
  <c r="AB487" i="2" s="1"/>
  <c r="AG525" i="2" a="1"/>
  <c r="AG525" i="2" s="1"/>
  <c r="S582" i="2" a="1"/>
  <c r="S582" i="2" s="1"/>
  <c r="AE635" i="2" a="1"/>
  <c r="AE635" i="2" s="1"/>
  <c r="AB554" i="2" a="1"/>
  <c r="AB554" i="2" s="1"/>
  <c r="AA554" i="2" a="1"/>
  <c r="AA554" i="2" s="1"/>
  <c r="AG554" i="2" a="1"/>
  <c r="AG554" i="2" s="1"/>
  <c r="AF644" i="2" a="1"/>
  <c r="AF644" i="2" s="1"/>
  <c r="AF480" i="2" a="1"/>
  <c r="AF480" i="2" s="1"/>
  <c r="T480" i="2" a="1"/>
  <c r="T480" i="2" s="1"/>
  <c r="S480" i="2" a="1"/>
  <c r="S480" i="2" s="1"/>
  <c r="Z480" i="2" a="1"/>
  <c r="Z480" i="2" s="1"/>
  <c r="AG654" i="2" a="1"/>
  <c r="AG654" i="2" s="1"/>
  <c r="AA654" i="2" a="1"/>
  <c r="AA654" i="2" s="1"/>
  <c r="Y654" i="2" a="1"/>
  <c r="Y654" i="2" s="1"/>
  <c r="S654" i="2" a="1"/>
  <c r="S654" i="2" s="1"/>
  <c r="AF654" i="2" a="1"/>
  <c r="AF654" i="2" s="1"/>
  <c r="AB654" i="2" a="1"/>
  <c r="AB654" i="2" s="1"/>
  <c r="AE637" i="2" a="1"/>
  <c r="AE637" i="2" s="1"/>
  <c r="AB406" i="2" a="1"/>
  <c r="AB406" i="2" s="1"/>
  <c r="T402" i="2" a="1"/>
  <c r="T402" i="2" s="1"/>
  <c r="Y652" i="2" a="1"/>
  <c r="Y652" i="2" s="1"/>
  <c r="AA340" i="2" a="1"/>
  <c r="AA340" i="2" s="1"/>
  <c r="V362" i="2" a="1"/>
  <c r="V362" i="2" s="1"/>
  <c r="AA414" i="2" a="1"/>
  <c r="AA414" i="2" s="1"/>
  <c r="AB541" i="2" a="1"/>
  <c r="AB541" i="2" s="1"/>
  <c r="W397" i="2" a="1"/>
  <c r="W397" i="2" s="1"/>
  <c r="AC487" i="2" a="1"/>
  <c r="AC487" i="2" s="1"/>
  <c r="AK445" i="2" a="1"/>
  <c r="AK445" i="2" s="1"/>
  <c r="AA665" i="2" a="1"/>
  <c r="AA665" i="2" s="1"/>
  <c r="S633" i="2" a="1"/>
  <c r="S633" i="2" s="1"/>
  <c r="AG644" i="2" a="1"/>
  <c r="AG644" i="2" s="1"/>
  <c r="AA641" i="2" a="1"/>
  <c r="AA641" i="2" s="1"/>
  <c r="X624" i="2" a="1"/>
  <c r="X624" i="2" s="1"/>
  <c r="T624" i="2" a="1"/>
  <c r="T624" i="2" s="1"/>
  <c r="S624" i="2" a="1"/>
  <c r="S624" i="2" s="1"/>
  <c r="AF624" i="2" a="1"/>
  <c r="AF624" i="2" s="1"/>
  <c r="Y624" i="2" a="1"/>
  <c r="Y624" i="2" s="1"/>
  <c r="S660" i="2" a="1"/>
  <c r="S660" i="2" s="1"/>
  <c r="V606" i="2" a="1"/>
  <c r="V606" i="2" s="1"/>
  <c r="AB482" i="2" a="1"/>
  <c r="AB482" i="2" s="1"/>
  <c r="AD482" i="2" a="1"/>
  <c r="AD482" i="2" s="1"/>
  <c r="AG530" i="2" a="1"/>
  <c r="AG530" i="2" s="1"/>
  <c r="AF530" i="2" a="1"/>
  <c r="AF530" i="2" s="1"/>
  <c r="AC530" i="2" a="1"/>
  <c r="AC530" i="2" s="1"/>
  <c r="AB530" i="2" a="1"/>
  <c r="AB530" i="2" s="1"/>
  <c r="Y530" i="2" a="1"/>
  <c r="Y530" i="2" s="1"/>
  <c r="V530" i="2" a="1"/>
  <c r="V530" i="2" s="1"/>
  <c r="S530" i="2" a="1"/>
  <c r="S530" i="2" s="1"/>
  <c r="AG637" i="2" a="1"/>
  <c r="AG637" i="2" s="1"/>
  <c r="AG642" i="2" a="1"/>
  <c r="AG642" i="2" s="1"/>
  <c r="S666" i="2" a="1"/>
  <c r="S666" i="2" s="1"/>
  <c r="W669" i="2" a="1"/>
  <c r="W669" i="2" s="1"/>
  <c r="AD659" i="2" a="1"/>
  <c r="AD659" i="2" s="1"/>
  <c r="W639" i="2" a="1"/>
  <c r="W639" i="2" s="1"/>
  <c r="X593" i="2" a="1"/>
  <c r="X593" i="2" s="1"/>
  <c r="T593" i="2" a="1"/>
  <c r="T593" i="2" s="1"/>
  <c r="AB414" i="2" a="1"/>
  <c r="AB414" i="2" s="1"/>
  <c r="AF584" i="2" a="1"/>
  <c r="AF584" i="2" s="1"/>
  <c r="V541" i="2" a="1"/>
  <c r="V541" i="2" s="1"/>
  <c r="AO393" i="2" a="1"/>
  <c r="AO393" i="2" s="1"/>
  <c r="AD487" i="2" a="1"/>
  <c r="AD487" i="2" s="1"/>
  <c r="AD582" i="2" a="1"/>
  <c r="AD582" i="2" s="1"/>
  <c r="Y582" i="2" a="1"/>
  <c r="Y582" i="2" s="1"/>
  <c r="T582" i="2" a="1"/>
  <c r="T582" i="2" s="1"/>
  <c r="AE582" i="2" a="1"/>
  <c r="AE582" i="2" s="1"/>
  <c r="AE548" i="2" a="1"/>
  <c r="AE548" i="2" s="1"/>
  <c r="T548" i="2" a="1"/>
  <c r="T548" i="2" s="1"/>
  <c r="AB653" i="2" a="1"/>
  <c r="AB653" i="2" s="1"/>
  <c r="AD653" i="2" a="1"/>
  <c r="AD653" i="2" s="1"/>
  <c r="W653" i="2" a="1"/>
  <c r="W653" i="2" s="1"/>
  <c r="AG598" i="2" a="1"/>
  <c r="AG598" i="2" s="1"/>
  <c r="AE598" i="2" a="1"/>
  <c r="AE598" i="2" s="1"/>
  <c r="Z598" i="2" a="1"/>
  <c r="Z598" i="2" s="1"/>
  <c r="W598" i="2" a="1"/>
  <c r="W598" i="2" s="1"/>
  <c r="AE541" i="2" a="1"/>
  <c r="AE541" i="2" s="1"/>
  <c r="Y566" i="2" a="1"/>
  <c r="Y566" i="2" s="1"/>
  <c r="V603" i="2" a="1"/>
  <c r="V603" i="2" s="1"/>
  <c r="W487" i="2" a="1"/>
  <c r="W487" i="2" s="1"/>
  <c r="AE660" i="2" a="1"/>
  <c r="AE660" i="2" s="1"/>
  <c r="X660" i="2" a="1"/>
  <c r="X660" i="2" s="1"/>
  <c r="AG660" i="2" a="1"/>
  <c r="AG660" i="2" s="1"/>
  <c r="AF660" i="2" a="1"/>
  <c r="AF660" i="2" s="1"/>
  <c r="Z660" i="2" a="1"/>
  <c r="Z660" i="2" s="1"/>
  <c r="AF539" i="2" a="1"/>
  <c r="AF539" i="2" s="1"/>
  <c r="AA539" i="2" a="1"/>
  <c r="AA539" i="2" s="1"/>
  <c r="T539" i="2" a="1"/>
  <c r="T539" i="2" s="1"/>
  <c r="S539" i="2" a="1"/>
  <c r="S539" i="2" s="1"/>
  <c r="AG656" i="2" a="1"/>
  <c r="AG656" i="2" s="1"/>
  <c r="AB656" i="2" a="1"/>
  <c r="AB656" i="2" s="1"/>
  <c r="AA656" i="2" a="1"/>
  <c r="AA656" i="2" s="1"/>
  <c r="V656" i="2" a="1"/>
  <c r="V656" i="2" s="1"/>
  <c r="T656" i="2" a="1"/>
  <c r="T656" i="2" s="1"/>
  <c r="S656" i="2" a="1"/>
  <c r="S656" i="2" s="1"/>
  <c r="AC546" i="2" a="1"/>
  <c r="AC546" i="2" s="1"/>
  <c r="AE546" i="2" a="1"/>
  <c r="AE546" i="2" s="1"/>
  <c r="W546" i="2" a="1"/>
  <c r="W546" i="2" s="1"/>
  <c r="S546" i="2" a="1"/>
  <c r="S546" i="2" s="1"/>
  <c r="AC428" i="2" a="1"/>
  <c r="AC428" i="2" s="1"/>
  <c r="AE368" i="2" a="1"/>
  <c r="AE368" i="2" s="1"/>
  <c r="AC318" i="2" a="1"/>
  <c r="AC318" i="2" s="1"/>
  <c r="Y472" i="2" a="1"/>
  <c r="Y472" i="2" s="1"/>
  <c r="AC652" i="2" a="1"/>
  <c r="AC652" i="2" s="1"/>
  <c r="AF340" i="2" a="1"/>
  <c r="AF340" i="2" s="1"/>
  <c r="AE575" i="2" a="1"/>
  <c r="AE575" i="2" s="1"/>
  <c r="W582" i="2" a="1"/>
  <c r="W582" i="2" s="1"/>
  <c r="Y548" i="2" a="1"/>
  <c r="Y548" i="2" s="1"/>
  <c r="W671" i="2" a="1"/>
  <c r="W671" i="2" s="1"/>
  <c r="Z624" i="2" a="1"/>
  <c r="Z624" i="2" s="1"/>
  <c r="AG480" i="2" a="1"/>
  <c r="AG480" i="2" s="1"/>
  <c r="V654" i="2" a="1"/>
  <c r="V654" i="2" s="1"/>
  <c r="T530" i="2" a="1"/>
  <c r="T530" i="2" s="1"/>
  <c r="AF601" i="2" a="1"/>
  <c r="AF601" i="2" s="1"/>
  <c r="S601" i="2" a="1"/>
  <c r="S601" i="2" s="1"/>
  <c r="AG601" i="2" a="1"/>
  <c r="AG601" i="2" s="1"/>
  <c r="T601" i="2" a="1"/>
  <c r="T601" i="2" s="1"/>
  <c r="X586" i="2" a="1"/>
  <c r="X586" i="2" s="1"/>
  <c r="S586" i="2" a="1"/>
  <c r="S586" i="2" s="1"/>
  <c r="AA598" i="2" a="1"/>
  <c r="AA598" i="2" s="1"/>
  <c r="V614" i="2" a="1"/>
  <c r="V614" i="2" s="1"/>
  <c r="AC569" i="2" a="1"/>
  <c r="AC569" i="2" s="1"/>
  <c r="AD623" i="2" a="1"/>
  <c r="AD623" i="2" s="1"/>
  <c r="AB614" i="2" a="1"/>
  <c r="AB614" i="2" s="1"/>
  <c r="AF632" i="2" a="1"/>
  <c r="AF632" i="2" s="1"/>
  <c r="AC669" i="2" a="1"/>
  <c r="AC669" i="2" s="1"/>
  <c r="X668" i="2" a="1"/>
  <c r="X668" i="2" s="1"/>
  <c r="AD668" i="2" a="1"/>
  <c r="AD668" i="2" s="1"/>
  <c r="AC627" i="2" a="1"/>
  <c r="AC627" i="2" s="1"/>
  <c r="AG649" i="2" a="1"/>
  <c r="AG649" i="2" s="1"/>
  <c r="AG631" i="2" a="1"/>
  <c r="AG631" i="2" s="1"/>
  <c r="S593" i="2" a="1"/>
  <c r="S593" i="2" s="1"/>
  <c r="E463" i="3" a="1"/>
  <c r="E463" i="3" s="1"/>
  <c r="AE668" i="2" a="1"/>
  <c r="AE668" i="2" s="1"/>
  <c r="J202" i="3" a="1"/>
  <c r="J202" i="3" s="1"/>
  <c r="AF668" i="2" a="1"/>
  <c r="AF668" i="2" s="1"/>
  <c r="L434" i="3" a="1"/>
  <c r="L434" i="3" s="1"/>
  <c r="AE614" i="2" a="1"/>
  <c r="AE614" i="2" s="1"/>
  <c r="AE594" i="2" a="1"/>
  <c r="AE594" i="2" s="1"/>
  <c r="AE613" i="2" a="1"/>
  <c r="AE613" i="2" s="1"/>
  <c r="S668" i="2" a="1"/>
  <c r="S668" i="2" s="1"/>
  <c r="AG668" i="2" a="1"/>
  <c r="AG668" i="2" s="1"/>
  <c r="AF627" i="2" a="1"/>
  <c r="AF627" i="2" s="1"/>
  <c r="S471" i="2" a="1"/>
  <c r="S471" i="2" s="1"/>
  <c r="T612" i="2" a="1"/>
  <c r="T612" i="2" s="1"/>
  <c r="AG612" i="2" a="1"/>
  <c r="AG612" i="2" s="1"/>
  <c r="AF614" i="2" a="1"/>
  <c r="AF614" i="2" s="1"/>
  <c r="S632" i="2" a="1"/>
  <c r="S632" i="2" s="1"/>
  <c r="X637" i="2" a="1"/>
  <c r="X637" i="2" s="1"/>
  <c r="X642" i="2" a="1"/>
  <c r="X642" i="2" s="1"/>
  <c r="X666" i="2" a="1"/>
  <c r="X666" i="2" s="1"/>
  <c r="T613" i="2" a="1"/>
  <c r="T613" i="2" s="1"/>
  <c r="AF613" i="2" a="1"/>
  <c r="AF613" i="2" s="1"/>
  <c r="Z638" i="2" a="1"/>
  <c r="Z638" i="2" s="1"/>
  <c r="T668" i="2" a="1"/>
  <c r="T668" i="2" s="1"/>
  <c r="AG627" i="2" a="1"/>
  <c r="AG627" i="2" s="1"/>
  <c r="S649" i="2" a="1"/>
  <c r="S649" i="2" s="1"/>
  <c r="X639" i="2" a="1"/>
  <c r="X639" i="2" s="1"/>
  <c r="T621" i="2" a="1"/>
  <c r="T621" i="2" s="1"/>
  <c r="I405" i="3" a="1"/>
  <c r="I405" i="3" s="1"/>
  <c r="W457" i="2" a="1"/>
  <c r="W457" i="2" s="1"/>
  <c r="AC489" i="2" a="1"/>
  <c r="AC489" i="2" s="1"/>
  <c r="W622" i="2" a="1"/>
  <c r="W622" i="2" s="1"/>
  <c r="S612" i="2" a="1"/>
  <c r="S612" i="2" s="1"/>
  <c r="T614" i="2" a="1"/>
  <c r="T614" i="2" s="1"/>
  <c r="Z632" i="2" a="1"/>
  <c r="Z632" i="2" s="1"/>
  <c r="S613" i="2" a="1"/>
  <c r="S613" i="2" s="1"/>
  <c r="W668" i="2" a="1"/>
  <c r="W668" i="2" s="1"/>
  <c r="AA649" i="2" a="1"/>
  <c r="AA649" i="2" s="1"/>
  <c r="X659" i="2" a="1"/>
  <c r="X659" i="2" s="1"/>
  <c r="W621" i="2" a="1"/>
  <c r="W621" i="2" s="1"/>
  <c r="S623" i="2" a="1"/>
  <c r="S623" i="2" s="1"/>
  <c r="AC457" i="2" a="1"/>
  <c r="AC457" i="2" s="1"/>
  <c r="S581" i="2" a="1"/>
  <c r="S581" i="2" s="1"/>
  <c r="AE599" i="2" a="1"/>
  <c r="AE599" i="2" s="1"/>
  <c r="W612" i="2" a="1"/>
  <c r="W612" i="2" s="1"/>
  <c r="W614" i="2" a="1"/>
  <c r="W614" i="2" s="1"/>
  <c r="AB632" i="2" a="1"/>
  <c r="AB632" i="2" s="1"/>
  <c r="T546" i="2" a="1"/>
  <c r="T546" i="2" s="1"/>
  <c r="AG546" i="2" a="1"/>
  <c r="AG546" i="2" s="1"/>
  <c r="AE610" i="2" a="1"/>
  <c r="AE610" i="2" s="1"/>
  <c r="AE556" i="2" a="1"/>
  <c r="AE556" i="2" s="1"/>
  <c r="W613" i="2" a="1"/>
  <c r="W613" i="2" s="1"/>
  <c r="AB668" i="2" a="1"/>
  <c r="AB668" i="2" s="1"/>
  <c r="AD649" i="2" a="1"/>
  <c r="AD649" i="2" s="1"/>
  <c r="AE631" i="2" a="1"/>
  <c r="AE631" i="2" s="1"/>
  <c r="AE651" i="2" a="1"/>
  <c r="AE651" i="2" s="1"/>
  <c r="AB621" i="2" a="1"/>
  <c r="AB621" i="2" s="1"/>
  <c r="AC558" i="2" a="1"/>
  <c r="AC558" i="2" s="1"/>
  <c r="Z612" i="2" a="1"/>
  <c r="Z612" i="2" s="1"/>
  <c r="Z614" i="2" a="1"/>
  <c r="Z614" i="2" s="1"/>
  <c r="AD632" i="2" a="1"/>
  <c r="AD632" i="2" s="1"/>
  <c r="AF610" i="2" a="1"/>
  <c r="AF610" i="2" s="1"/>
  <c r="Z613" i="2" a="1"/>
  <c r="Z613" i="2" s="1"/>
  <c r="AC668" i="2" a="1"/>
  <c r="AC668" i="2" s="1"/>
  <c r="AF649" i="2" a="1"/>
  <c r="AF649" i="2" s="1"/>
  <c r="AF631" i="2" a="1"/>
  <c r="AF631" i="2" s="1"/>
  <c r="AD621" i="2" a="1"/>
  <c r="AD621" i="2" s="1"/>
  <c r="O376" i="3" a="1"/>
  <c r="O376" i="3" s="1"/>
  <c r="F347" i="3" a="1"/>
  <c r="F347" i="3" s="1"/>
  <c r="N86" i="3" a="1"/>
  <c r="N86" i="3" s="1"/>
  <c r="J231" i="3" a="1"/>
  <c r="J231" i="3" s="1"/>
  <c r="J173" i="3" a="1"/>
  <c r="J173" i="3" s="1"/>
  <c r="K347" i="3" a="1"/>
  <c r="K347" i="3" s="1"/>
  <c r="L115" i="3" a="1"/>
  <c r="L115" i="3" s="1"/>
  <c r="N405" i="3" a="1"/>
  <c r="N405" i="3" s="1"/>
  <c r="K260" i="3" a="1"/>
  <c r="K260" i="3" s="1"/>
  <c r="J434" i="3" a="1"/>
  <c r="J434" i="3" s="1"/>
  <c r="O434" i="3" a="1"/>
  <c r="O434" i="3" s="1"/>
  <c r="K463" i="3" a="1"/>
  <c r="K463" i="3" s="1"/>
  <c r="N463" i="3" a="1"/>
  <c r="N463" i="3" s="1"/>
  <c r="I463" i="3" a="1"/>
  <c r="I463" i="3" s="1"/>
  <c r="M463" i="3" a="1"/>
  <c r="M463" i="3" s="1"/>
  <c r="I173" i="3" a="1"/>
  <c r="I173" i="3" s="1"/>
  <c r="N51" i="3" a="1"/>
  <c r="N51" i="3" s="1"/>
  <c r="O51" i="3" a="1"/>
  <c r="O51" i="3" s="1"/>
  <c r="O202" i="3" a="1"/>
  <c r="O202" i="3" s="1"/>
  <c r="K289" i="3" a="1"/>
  <c r="K289" i="3" s="1"/>
  <c r="L347" i="3" a="1"/>
  <c r="L347" i="3" s="1"/>
  <c r="F202" i="3" a="1"/>
  <c r="F202" i="3" s="1"/>
  <c r="O318" i="3" a="1"/>
  <c r="O318" i="3" s="1"/>
  <c r="I376" i="3" a="1"/>
  <c r="I376" i="3" s="1"/>
  <c r="O144" i="3" a="1"/>
  <c r="O144" i="3" s="1"/>
  <c r="L138" i="3" a="1"/>
  <c r="L138" i="3" s="1"/>
  <c r="G202" i="3" a="1"/>
  <c r="G202" i="3" s="1"/>
  <c r="I202" i="3" a="1"/>
  <c r="I202" i="3" s="1"/>
  <c r="J376" i="3" a="1"/>
  <c r="J376" i="3" s="1"/>
  <c r="J405" i="3" a="1"/>
  <c r="J405" i="3" s="1"/>
  <c r="F144" i="3" a="1"/>
  <c r="F144" i="3" s="1"/>
  <c r="O57" i="3" a="1"/>
  <c r="O57" i="3" s="1"/>
  <c r="E173" i="3" a="1"/>
  <c r="E173" i="3" s="1"/>
  <c r="O173" i="3" a="1"/>
  <c r="O173" i="3" s="1"/>
  <c r="F318" i="3" a="1"/>
  <c r="F318" i="3" s="1"/>
  <c r="E260" i="3" a="1"/>
  <c r="E260" i="3" s="1"/>
  <c r="Q167" i="3" a="1"/>
  <c r="Q167" i="3" s="1"/>
  <c r="F231" i="3" a="1"/>
  <c r="F231" i="3" s="1"/>
  <c r="O260" i="3" a="1"/>
  <c r="O260" i="3" s="1"/>
  <c r="K434" i="3" a="1"/>
  <c r="K434" i="3" s="1"/>
  <c r="F289" i="3" a="1"/>
  <c r="F289" i="3" s="1"/>
  <c r="I254" i="3" a="1"/>
  <c r="I254" i="3" s="1"/>
  <c r="I231" i="3" a="1"/>
  <c r="I231" i="3" s="1"/>
  <c r="E347" i="3" a="1"/>
  <c r="E347" i="3" s="1"/>
  <c r="T457" i="3" a="1"/>
  <c r="T457" i="3" s="1"/>
  <c r="N434" i="3" a="1"/>
  <c r="N434" i="3" s="1"/>
  <c r="G463" i="3" a="1"/>
  <c r="G463" i="3" s="1"/>
  <c r="N376" i="3" a="1"/>
  <c r="N376" i="3" s="1"/>
  <c r="G86" i="3" a="1"/>
  <c r="G86" i="3" s="1"/>
  <c r="X80" i="3" a="1"/>
  <c r="X80" i="3" s="1"/>
  <c r="S109" i="3" a="1"/>
  <c r="S109" i="3" s="1"/>
  <c r="M109" i="3" a="1"/>
  <c r="M109" i="3" s="1"/>
  <c r="T51" i="3" a="1"/>
  <c r="T51" i="3" s="1"/>
  <c r="M51" i="3" a="1"/>
  <c r="M51" i="3" s="1"/>
  <c r="L51" i="3" a="1"/>
  <c r="L51" i="3" s="1"/>
  <c r="X51" i="3" a="1"/>
  <c r="X51" i="3" s="1"/>
  <c r="M57" i="3" a="1"/>
  <c r="M57" i="3" s="1"/>
  <c r="E57" i="3" a="1"/>
  <c r="E57" i="3" s="1"/>
  <c r="I86" i="3" a="1"/>
  <c r="I86" i="3" s="1"/>
  <c r="O86" i="3" a="1"/>
  <c r="O86" i="3" s="1"/>
  <c r="W167" i="3" a="1"/>
  <c r="W167" i="3" s="1"/>
  <c r="E196" i="3" a="1"/>
  <c r="E196" i="3" s="1"/>
  <c r="J86" i="3" a="1"/>
  <c r="J86" i="3" s="1"/>
  <c r="M173" i="3" a="1"/>
  <c r="M173" i="3" s="1"/>
  <c r="L225" i="3" a="1"/>
  <c r="L225" i="3" s="1"/>
  <c r="V51" i="3" a="1"/>
  <c r="V51" i="3" s="1"/>
  <c r="G57" i="3" a="1"/>
  <c r="G57" i="3" s="1"/>
  <c r="N80" i="3" a="1"/>
  <c r="N80" i="3" s="1"/>
  <c r="K86" i="3" a="1"/>
  <c r="K86" i="3" s="1"/>
  <c r="U109" i="3" a="1"/>
  <c r="U109" i="3" s="1"/>
  <c r="Q138" i="3" a="1"/>
  <c r="Q138" i="3" s="1"/>
  <c r="T109" i="3" a="1"/>
  <c r="T109" i="3" s="1"/>
  <c r="L109" i="3" a="1"/>
  <c r="L109" i="3" s="1"/>
  <c r="K144" i="3" a="1"/>
  <c r="K144" i="3" s="1"/>
  <c r="Q196" i="3" a="1"/>
  <c r="Q196" i="3" s="1"/>
  <c r="F51" i="3" a="1"/>
  <c r="F51" i="3" s="1"/>
  <c r="K57" i="3" a="1"/>
  <c r="K57" i="3" s="1"/>
  <c r="K138" i="3" a="1"/>
  <c r="K138" i="3" s="1"/>
  <c r="Y138" i="3" a="1"/>
  <c r="Y138" i="3" s="1"/>
  <c r="G51" i="3" a="1"/>
  <c r="G51" i="3" s="1"/>
  <c r="Q51" i="3" a="1"/>
  <c r="Q51" i="3" s="1"/>
  <c r="I57" i="3" a="1"/>
  <c r="I57" i="3" s="1"/>
  <c r="E109" i="3" a="1"/>
  <c r="E109" i="3" s="1"/>
  <c r="K115" i="3" a="1"/>
  <c r="K115" i="3" s="1"/>
  <c r="M80" i="3" a="1"/>
  <c r="M80" i="3" s="1"/>
  <c r="E28" i="3" a="1"/>
  <c r="E28" i="3" s="1"/>
  <c r="J57" i="3" a="1"/>
  <c r="J57" i="3" s="1"/>
  <c r="I80" i="3" a="1"/>
  <c r="I80" i="3" s="1"/>
  <c r="M86" i="3" a="1"/>
  <c r="M86" i="3" s="1"/>
  <c r="F109" i="3" a="1"/>
  <c r="F109" i="3" s="1"/>
  <c r="N144" i="3" a="1"/>
  <c r="N144" i="3" s="1"/>
  <c r="W196" i="3" a="1"/>
  <c r="W196" i="3" s="1"/>
  <c r="N57" i="3" a="1"/>
  <c r="N57" i="3" s="1"/>
  <c r="J51" i="3" a="1"/>
  <c r="J51" i="3" s="1"/>
  <c r="F115" i="3" a="1"/>
  <c r="F115" i="3" s="1"/>
  <c r="E115" i="3" a="1"/>
  <c r="E115" i="3" s="1"/>
  <c r="K167" i="3" a="1"/>
  <c r="K167" i="3" s="1"/>
  <c r="K196" i="3" a="1"/>
  <c r="K196" i="3" s="1"/>
  <c r="G347" i="3" a="1"/>
  <c r="G347" i="3" s="1"/>
  <c r="K202" i="3" a="1"/>
  <c r="K202" i="3" s="1"/>
  <c r="M231" i="3" a="1"/>
  <c r="M231" i="3" s="1"/>
  <c r="Q254" i="3" a="1"/>
  <c r="Q254" i="3" s="1"/>
  <c r="G144" i="3" a="1"/>
  <c r="G144" i="3" s="1"/>
  <c r="E144" i="3" a="1"/>
  <c r="E144" i="3" s="1"/>
  <c r="V196" i="3" a="1"/>
  <c r="V196" i="3" s="1"/>
  <c r="K225" i="3" a="1"/>
  <c r="K225" i="3" s="1"/>
  <c r="I144" i="3" a="1"/>
  <c r="I144" i="3" s="1"/>
  <c r="M202" i="3" a="1"/>
  <c r="M202" i="3" s="1"/>
  <c r="N202" i="3" a="1"/>
  <c r="N202" i="3" s="1"/>
  <c r="E231" i="3" a="1"/>
  <c r="E231" i="3" s="1"/>
  <c r="M115" i="3" a="1"/>
  <c r="M115" i="3" s="1"/>
  <c r="E225" i="3" a="1"/>
  <c r="E225" i="3" s="1"/>
  <c r="Q225" i="3" a="1"/>
  <c r="Q225" i="3" s="1"/>
  <c r="J260" i="3" a="1"/>
  <c r="J260" i="3" s="1"/>
  <c r="I260" i="3" a="1"/>
  <c r="I260" i="3" s="1"/>
  <c r="L144" i="3" a="1"/>
  <c r="L144" i="3" s="1"/>
  <c r="V167" i="3" a="1"/>
  <c r="V167" i="3" s="1"/>
  <c r="K173" i="3" a="1"/>
  <c r="K173" i="3" s="1"/>
  <c r="V225" i="3" a="1"/>
  <c r="V225" i="3" s="1"/>
  <c r="K231" i="3" a="1"/>
  <c r="K231" i="3" s="1"/>
  <c r="W254" i="3" a="1"/>
  <c r="W254" i="3" s="1"/>
  <c r="G289" i="3" a="1"/>
  <c r="G289" i="3" s="1"/>
  <c r="O289" i="3" a="1"/>
  <c r="O289" i="3" s="1"/>
  <c r="I370" i="3" a="1"/>
  <c r="I370" i="3" s="1"/>
  <c r="Q399" i="3" a="1"/>
  <c r="Q399" i="3" s="1"/>
  <c r="E202" i="3" a="1"/>
  <c r="E202" i="3" s="1"/>
  <c r="F225" i="3" a="1"/>
  <c r="F225" i="3" s="1"/>
  <c r="J289" i="3" a="1"/>
  <c r="J289" i="3" s="1"/>
  <c r="I289" i="3" a="1"/>
  <c r="I289" i="3" s="1"/>
  <c r="J283" i="3" a="1"/>
  <c r="J283" i="3" s="1"/>
  <c r="Q283" i="3" a="1"/>
  <c r="Q283" i="3" s="1"/>
  <c r="X283" i="3" a="1"/>
  <c r="X283" i="3" s="1"/>
  <c r="W312" i="3" a="1"/>
  <c r="W312" i="3" s="1"/>
  <c r="G231" i="3" a="1"/>
  <c r="G231" i="3" s="1"/>
  <c r="O231" i="3" a="1"/>
  <c r="O231" i="3" s="1"/>
  <c r="M260" i="3" a="1"/>
  <c r="M260" i="3" s="1"/>
  <c r="Q341" i="3" a="1"/>
  <c r="Q341" i="3" s="1"/>
  <c r="E289" i="3" a="1"/>
  <c r="E289" i="3" s="1"/>
  <c r="I312" i="3" a="1"/>
  <c r="I312" i="3" s="1"/>
  <c r="I341" i="3" a="1"/>
  <c r="I341" i="3" s="1"/>
  <c r="G260" i="3" a="1"/>
  <c r="G260" i="3" s="1"/>
  <c r="O347" i="3" a="1"/>
  <c r="O347" i="3" s="1"/>
  <c r="E428" i="3" a="1"/>
  <c r="E428" i="3" s="1"/>
  <c r="O312" i="3" a="1"/>
  <c r="O312" i="3" s="1"/>
  <c r="G318" i="3" a="1"/>
  <c r="G318" i="3" s="1"/>
  <c r="E318" i="3" a="1"/>
  <c r="E318" i="3" s="1"/>
  <c r="J341" i="3" a="1"/>
  <c r="J341" i="3" s="1"/>
  <c r="X341" i="3" a="1"/>
  <c r="X341" i="3" s="1"/>
  <c r="J347" i="3" a="1"/>
  <c r="J347" i="3" s="1"/>
  <c r="Q370" i="3" a="1"/>
  <c r="Q370" i="3" s="1"/>
  <c r="Y370" i="3" a="1"/>
  <c r="Y370" i="3" s="1"/>
  <c r="S399" i="3" a="1"/>
  <c r="S399" i="3" s="1"/>
  <c r="F457" i="3" a="1"/>
  <c r="F457" i="3" s="1"/>
  <c r="I318" i="3" a="1"/>
  <c r="I318" i="3" s="1"/>
  <c r="J370" i="3" a="1"/>
  <c r="J370" i="3" s="1"/>
  <c r="G405" i="3" a="1"/>
  <c r="G405" i="3" s="1"/>
  <c r="J318" i="3" a="1"/>
  <c r="J318" i="3" s="1"/>
  <c r="N318" i="3" a="1"/>
  <c r="N318" i="3" s="1"/>
  <c r="L376" i="3" a="1"/>
  <c r="L376" i="3" s="1"/>
  <c r="U399" i="3" a="1"/>
  <c r="U399" i="3" s="1"/>
  <c r="K318" i="3" a="1"/>
  <c r="K318" i="3" s="1"/>
  <c r="M376" i="3" a="1"/>
  <c r="M376" i="3" s="1"/>
  <c r="E399" i="3" a="1"/>
  <c r="E399" i="3" s="1"/>
  <c r="L289" i="3" a="1"/>
  <c r="L289" i="3" s="1"/>
  <c r="L318" i="3" a="1"/>
  <c r="L318" i="3" s="1"/>
  <c r="N347" i="3" a="1"/>
  <c r="N347" i="3" s="1"/>
  <c r="F376" i="3" a="1"/>
  <c r="F376" i="3" s="1"/>
  <c r="K405" i="3" a="1"/>
  <c r="K405" i="3" s="1"/>
  <c r="E457" i="3" a="1"/>
  <c r="E457" i="3" s="1"/>
  <c r="O399" i="3" a="1"/>
  <c r="O399" i="3" s="1"/>
  <c r="T428" i="3" a="1"/>
  <c r="T428" i="3" s="1"/>
  <c r="M457" i="3" a="1"/>
  <c r="M457" i="3" s="1"/>
  <c r="G376" i="3" a="1"/>
  <c r="G376" i="3" s="1"/>
  <c r="E376" i="3" a="1"/>
  <c r="E376" i="3" s="1"/>
  <c r="F405" i="3" a="1"/>
  <c r="F405" i="3" s="1"/>
  <c r="V457" i="3" a="1"/>
  <c r="V457" i="3" s="1"/>
  <c r="O428" i="3" a="1"/>
  <c r="O428" i="3" s="1"/>
  <c r="P457" i="3" a="1"/>
  <c r="P457" i="3" s="1"/>
  <c r="X457" i="3" a="1"/>
  <c r="X457" i="3" s="1"/>
  <c r="O463" i="3" a="1"/>
  <c r="O463" i="3" s="1"/>
  <c r="E434" i="3" a="1"/>
  <c r="E434" i="3" s="1"/>
  <c r="L405" i="3" a="1"/>
  <c r="L405" i="3" s="1"/>
  <c r="F434" i="3" a="1"/>
  <c r="F434" i="3" s="1"/>
  <c r="M434" i="3" a="1"/>
  <c r="M434" i="3" s="1"/>
  <c r="N457" i="3" a="1"/>
  <c r="N457" i="3" s="1"/>
  <c r="G434" i="3" a="1"/>
  <c r="G434" i="3" s="1"/>
  <c r="I434" i="3" a="1"/>
  <c r="I434" i="3" s="1"/>
  <c r="D4" i="5" a="1"/>
  <c r="D4" i="5" s="1"/>
  <c r="D4" i="4" a="1"/>
  <c r="D4" i="4" s="1"/>
  <c r="D2" i="3" a="1"/>
  <c r="D2" i="3" s="1"/>
  <c r="U5" i="12" a="1"/>
  <c r="U5" i="12" s="1"/>
  <c r="D6" i="7" a="1"/>
  <c r="D6" i="7" s="1"/>
  <c r="D6" i="6" a="1"/>
  <c r="D6" i="6" s="1"/>
  <c r="D13" i="4" a="1"/>
  <c r="D13" i="4" s="1"/>
  <c r="D6" i="3" a="1"/>
  <c r="D6" i="3" s="1"/>
  <c r="E10" i="12" a="1"/>
  <c r="E10" i="12" s="1"/>
  <c r="B8" i="6" a="1"/>
  <c r="B8" i="6" s="1"/>
  <c r="B15" i="4" a="1"/>
  <c r="B15" i="4" s="1"/>
  <c r="B24" i="4" a="1"/>
  <c r="B24" i="4" s="1"/>
  <c r="B14" i="5" a="1"/>
  <c r="B14" i="5" s="1"/>
  <c r="AE63" i="2" a="1"/>
  <c r="AE63" i="2" s="1"/>
  <c r="X63" i="2" a="1"/>
  <c r="X63" i="2" s="1"/>
  <c r="B22" i="8" a="1"/>
  <c r="B22" i="8" s="1"/>
  <c r="E18" i="12" a="1"/>
  <c r="E18" i="12" s="1"/>
  <c r="B24" i="8" a="1"/>
  <c r="B24" i="8" s="1"/>
  <c r="E36" i="12" a="1"/>
  <c r="E36" i="12" s="1"/>
  <c r="E43" i="12" a="1"/>
  <c r="E43" i="12" s="1"/>
  <c r="E148" i="12" a="1"/>
  <c r="E148" i="12" s="1"/>
  <c r="U305" i="12" a="1"/>
  <c r="U305" i="12" s="1"/>
  <c r="S126" i="2" a="1"/>
  <c r="S126" i="2" s="1"/>
  <c r="V126" i="2" a="1"/>
  <c r="V126" i="2" s="1"/>
  <c r="D8" i="6" a="1"/>
  <c r="D8" i="6" s="1"/>
  <c r="D15" i="4" a="1"/>
  <c r="D15" i="4" s="1"/>
  <c r="B5" i="9" a="1"/>
  <c r="B5" i="9" s="1"/>
  <c r="U18" i="12" a="1"/>
  <c r="U18" i="12" s="1"/>
  <c r="E14" i="12" a="1"/>
  <c r="E14" i="12" s="1"/>
  <c r="B25" i="8" a="1"/>
  <c r="B25" i="8" s="1"/>
  <c r="B25" i="7" a="1"/>
  <c r="B25" i="7" s="1"/>
  <c r="B22" i="6" a="1"/>
  <c r="B22" i="6" s="1"/>
  <c r="B44" i="4" a="1"/>
  <c r="B44" i="4" s="1"/>
  <c r="AF43" i="2" a="1"/>
  <c r="AF43" i="2" s="1"/>
  <c r="Z43" i="2" a="1"/>
  <c r="Z43" i="2" s="1"/>
  <c r="X43" i="2" a="1"/>
  <c r="X43" i="2" s="1"/>
  <c r="AC43" i="2" a="1"/>
  <c r="AC43" i="2" s="1"/>
  <c r="W43" i="2" a="1"/>
  <c r="W43" i="2" s="1"/>
  <c r="AA43" i="2" a="1"/>
  <c r="AA43" i="2" s="1"/>
  <c r="AD43" i="2" a="1"/>
  <c r="AD43" i="2" s="1"/>
  <c r="S43" i="2" a="1"/>
  <c r="S43" i="2" s="1"/>
  <c r="AB43" i="2" a="1"/>
  <c r="AB43" i="2" s="1"/>
  <c r="Y43" i="2" a="1"/>
  <c r="Y43" i="2" s="1"/>
  <c r="AG43" i="2" a="1"/>
  <c r="AG43" i="2" s="1"/>
  <c r="V43" i="2" a="1"/>
  <c r="V43" i="2" s="1"/>
  <c r="AE43" i="2" a="1"/>
  <c r="AE43" i="2" s="1"/>
  <c r="T43" i="2" a="1"/>
  <c r="T43" i="2" s="1"/>
  <c r="B15" i="9" a="1"/>
  <c r="B15" i="9" s="1"/>
  <c r="E61" i="12" a="1"/>
  <c r="E61" i="12" s="1"/>
  <c r="W5" i="2" a="1"/>
  <c r="W5" i="2" s="1"/>
  <c r="Z5" i="2" a="1"/>
  <c r="Z5" i="2" s="1"/>
  <c r="T5" i="2" a="1"/>
  <c r="T5" i="2" s="1"/>
  <c r="AC5" i="2" a="1"/>
  <c r="AC5" i="2" s="1"/>
  <c r="V5" i="2" a="1"/>
  <c r="V5" i="2" s="1"/>
  <c r="AB5" i="2" a="1"/>
  <c r="AB5" i="2" s="1"/>
  <c r="X5" i="2" a="1"/>
  <c r="X5" i="2" s="1"/>
  <c r="AG5" i="2" a="1"/>
  <c r="AG5" i="2" s="1"/>
  <c r="S5" i="2" a="1"/>
  <c r="S5" i="2" s="1"/>
  <c r="Y5" i="2" a="1"/>
  <c r="Y5" i="2" s="1"/>
  <c r="AD5" i="2" a="1"/>
  <c r="AD5" i="2" s="1"/>
  <c r="AA5" i="2" a="1"/>
  <c r="AA5" i="2" s="1"/>
  <c r="AF5" i="2" a="1"/>
  <c r="AF5" i="2" s="1"/>
  <c r="AE5" i="2" a="1"/>
  <c r="AE5" i="2" s="1"/>
  <c r="E24" i="12" a="1"/>
  <c r="E24" i="12" s="1"/>
  <c r="E26" i="12" a="1"/>
  <c r="E26" i="12" s="1"/>
  <c r="J14" i="3" a="1"/>
  <c r="J14" i="3" s="1"/>
  <c r="U116" i="12" a="1"/>
  <c r="U116" i="12" s="1"/>
  <c r="E17" i="12" a="1"/>
  <c r="E17" i="12" s="1"/>
  <c r="D7" i="7" a="1"/>
  <c r="D7" i="7" s="1"/>
  <c r="D17" i="4" a="1"/>
  <c r="D17" i="4" s="1"/>
  <c r="B8" i="7" a="1"/>
  <c r="B8" i="7" s="1"/>
  <c r="B11" i="5" a="1"/>
  <c r="B11" i="5" s="1"/>
  <c r="B18" i="4" a="1"/>
  <c r="B18" i="4" s="1"/>
  <c r="E103" i="12" a="1"/>
  <c r="E103" i="12" s="1"/>
  <c r="B15" i="8" a="1"/>
  <c r="B15" i="8" s="1"/>
  <c r="E110" i="12" a="1"/>
  <c r="E110" i="12" s="1"/>
  <c r="B19" i="5" a="1"/>
  <c r="B19" i="5" s="1"/>
  <c r="B34" i="4" a="1"/>
  <c r="B34" i="4" s="1"/>
  <c r="D17" i="6" a="1"/>
  <c r="D17" i="6" s="1"/>
  <c r="D30" i="4" a="1"/>
  <c r="D30" i="4" s="1"/>
  <c r="AC89" i="2" a="1"/>
  <c r="AC89" i="2" s="1"/>
  <c r="S89" i="2" a="1"/>
  <c r="S89" i="2" s="1"/>
  <c r="X89" i="2" a="1"/>
  <c r="X89" i="2" s="1"/>
  <c r="V89" i="2" a="1"/>
  <c r="V89" i="2" s="1"/>
  <c r="AF75" i="2" a="1"/>
  <c r="AF75" i="2" s="1"/>
  <c r="T75" i="2" a="1"/>
  <c r="T75" i="2" s="1"/>
  <c r="Z75" i="2" a="1"/>
  <c r="Z75" i="2" s="1"/>
  <c r="AC75" i="2" a="1"/>
  <c r="AC75" i="2" s="1"/>
  <c r="W75" i="2" a="1"/>
  <c r="W75" i="2" s="1"/>
  <c r="AA75" i="2" a="1"/>
  <c r="AA75" i="2" s="1"/>
  <c r="AG75" i="2" a="1"/>
  <c r="AG75" i="2" s="1"/>
  <c r="V75" i="2" a="1"/>
  <c r="V75" i="2" s="1"/>
  <c r="AE75" i="2" a="1"/>
  <c r="AE75" i="2" s="1"/>
  <c r="Y75" i="2" a="1"/>
  <c r="Y75" i="2" s="1"/>
  <c r="AB75" i="2" a="1"/>
  <c r="AB75" i="2" s="1"/>
  <c r="AD75" i="2" a="1"/>
  <c r="AD75" i="2" s="1"/>
  <c r="S75" i="2" a="1"/>
  <c r="S75" i="2" s="1"/>
  <c r="X75" i="2" a="1"/>
  <c r="X75" i="2" s="1"/>
  <c r="X105" i="2" a="1"/>
  <c r="X105" i="2" s="1"/>
  <c r="W105" i="2" a="1"/>
  <c r="W105" i="2" s="1"/>
  <c r="S105" i="2" a="1"/>
  <c r="S105" i="2" s="1"/>
  <c r="AC105" i="2" a="1"/>
  <c r="AC105" i="2" s="1"/>
  <c r="U207" i="12" a="1"/>
  <c r="U207" i="12" s="1"/>
  <c r="AC33" i="2" a="1"/>
  <c r="AC33" i="2" s="1"/>
  <c r="W33" i="2" a="1"/>
  <c r="W33" i="2" s="1"/>
  <c r="Z33" i="2" a="1"/>
  <c r="Z33" i="2" s="1"/>
  <c r="X33" i="2" a="1"/>
  <c r="X33" i="2" s="1"/>
  <c r="AD33" i="2" a="1"/>
  <c r="AD33" i="2" s="1"/>
  <c r="V33" i="2" a="1"/>
  <c r="V33" i="2" s="1"/>
  <c r="AG33" i="2" a="1"/>
  <c r="AG33" i="2" s="1"/>
  <c r="S33" i="2" a="1"/>
  <c r="S33" i="2" s="1"/>
  <c r="AB33" i="2" a="1"/>
  <c r="AB33" i="2" s="1"/>
  <c r="AF33" i="2" a="1"/>
  <c r="AF33" i="2" s="1"/>
  <c r="Y33" i="2" a="1"/>
  <c r="Y33" i="2" s="1"/>
  <c r="AA33" i="2" a="1"/>
  <c r="AA33" i="2" s="1"/>
  <c r="T33" i="2" a="1"/>
  <c r="T33" i="2" s="1"/>
  <c r="AE33" i="2" a="1"/>
  <c r="AE33" i="2" s="1"/>
  <c r="X8" i="2" a="1"/>
  <c r="X8" i="2" s="1"/>
  <c r="AA8" i="2" a="1"/>
  <c r="AA8" i="2" s="1"/>
  <c r="V8" i="2" a="1"/>
  <c r="V8" i="2" s="1"/>
  <c r="AB8" i="2" a="1"/>
  <c r="AB8" i="2" s="1"/>
  <c r="T8" i="2" a="1"/>
  <c r="T8" i="2" s="1"/>
  <c r="AE8" i="2" a="1"/>
  <c r="AE8" i="2" s="1"/>
  <c r="AG8" i="2" a="1"/>
  <c r="AG8" i="2" s="1"/>
  <c r="Z8" i="2" a="1"/>
  <c r="Z8" i="2" s="1"/>
  <c r="S8" i="2" a="1"/>
  <c r="S8" i="2" s="1"/>
  <c r="AF8" i="2" a="1"/>
  <c r="AF8" i="2" s="1"/>
  <c r="Y8" i="2" a="1"/>
  <c r="Y8" i="2" s="1"/>
  <c r="AD8" i="2" a="1"/>
  <c r="AD8" i="2" s="1"/>
  <c r="W8" i="2" a="1"/>
  <c r="W8" i="2" s="1"/>
  <c r="AC8" i="2" a="1"/>
  <c r="AC8" i="2" s="1"/>
  <c r="AC112" i="2" a="1"/>
  <c r="AC112" i="2" s="1"/>
  <c r="W112" i="2" a="1"/>
  <c r="W112" i="2" s="1"/>
  <c r="AF112" i="2" a="1"/>
  <c r="AF112" i="2" s="1"/>
  <c r="AB112" i="2" a="1"/>
  <c r="AB112" i="2" s="1"/>
  <c r="T112" i="2" a="1"/>
  <c r="T112" i="2" s="1"/>
  <c r="AG112" i="2" a="1"/>
  <c r="AG112" i="2" s="1"/>
  <c r="Y112" i="2" a="1"/>
  <c r="Y112" i="2" s="1"/>
  <c r="AA112" i="2" a="1"/>
  <c r="AA112" i="2" s="1"/>
  <c r="S112" i="2" a="1"/>
  <c r="S112" i="2" s="1"/>
  <c r="Z112" i="2" a="1"/>
  <c r="Z112" i="2" s="1"/>
  <c r="X112" i="2" a="1"/>
  <c r="X112" i="2" s="1"/>
  <c r="AE112" i="2" a="1"/>
  <c r="AE112" i="2" s="1"/>
  <c r="AD112" i="2" a="1"/>
  <c r="AD112" i="2" s="1"/>
  <c r="V112" i="2" a="1"/>
  <c r="V112" i="2" s="1"/>
  <c r="B10" i="9" a="1"/>
  <c r="B10" i="9" s="1"/>
  <c r="X113" i="2" a="1"/>
  <c r="X113" i="2" s="1"/>
  <c r="AC113" i="2" a="1"/>
  <c r="AC113" i="2" s="1"/>
  <c r="AA113" i="2" a="1"/>
  <c r="AA113" i="2" s="1"/>
  <c r="AF113" i="2" a="1"/>
  <c r="AF113" i="2" s="1"/>
  <c r="AD113" i="2" a="1"/>
  <c r="AD113" i="2" s="1"/>
  <c r="S113" i="2" a="1"/>
  <c r="S113" i="2" s="1"/>
  <c r="AE113" i="2" a="1"/>
  <c r="AE113" i="2" s="1"/>
  <c r="AB113" i="2" a="1"/>
  <c r="AB113" i="2" s="1"/>
  <c r="Y113" i="2" a="1"/>
  <c r="Y113" i="2" s="1"/>
  <c r="Z113" i="2" a="1"/>
  <c r="Z113" i="2" s="1"/>
  <c r="W113" i="2" a="1"/>
  <c r="W113" i="2" s="1"/>
  <c r="AG113" i="2" a="1"/>
  <c r="AG113" i="2" s="1"/>
  <c r="V113" i="2" a="1"/>
  <c r="V113" i="2" s="1"/>
  <c r="T113" i="2" a="1"/>
  <c r="T113" i="2" s="1"/>
  <c r="D26" i="7" a="1"/>
  <c r="D26" i="7" s="1"/>
  <c r="D45" i="4" a="1"/>
  <c r="D45" i="4" s="1"/>
  <c r="J25" i="3" a="1"/>
  <c r="J25" i="3" s="1"/>
  <c r="J28" i="3" s="1" a="1"/>
  <c r="J28" i="3" s="1"/>
  <c r="D9" i="7" a="1"/>
  <c r="D9" i="7" s="1"/>
  <c r="D12" i="5" a="1"/>
  <c r="D12" i="5" s="1"/>
  <c r="D19" i="4" a="1"/>
  <c r="D19" i="4" s="1"/>
  <c r="S10" i="3" a="1"/>
  <c r="S10" i="3" s="1"/>
  <c r="E47" i="12" a="1"/>
  <c r="E47" i="12" s="1"/>
  <c r="AC45" i="2" a="1"/>
  <c r="AC45" i="2" s="1"/>
  <c r="S45" i="2" a="1"/>
  <c r="S45" i="2" s="1"/>
  <c r="S50" i="2" a="1"/>
  <c r="S50" i="2" s="1"/>
  <c r="AE50" i="2" a="1"/>
  <c r="AE50" i="2" s="1"/>
  <c r="T50" i="2" a="1"/>
  <c r="T50" i="2" s="1"/>
  <c r="X50" i="2" a="1"/>
  <c r="X50" i="2" s="1"/>
  <c r="V50" i="2" a="1"/>
  <c r="V50" i="2" s="1"/>
  <c r="AC50" i="2" a="1"/>
  <c r="AC50" i="2" s="1"/>
  <c r="W50" i="2" a="1"/>
  <c r="W50" i="2" s="1"/>
  <c r="U166" i="12" a="1"/>
  <c r="U166" i="12" s="1"/>
  <c r="E76" i="12" a="1"/>
  <c r="E76" i="12" s="1"/>
  <c r="AF106" i="2" a="1"/>
  <c r="AF106" i="2" s="1"/>
  <c r="Z106" i="2" a="1"/>
  <c r="Z106" i="2" s="1"/>
  <c r="X106" i="2" a="1"/>
  <c r="X106" i="2" s="1"/>
  <c r="AC106" i="2" a="1"/>
  <c r="AC106" i="2" s="1"/>
  <c r="AG106" i="2" a="1"/>
  <c r="AG106" i="2" s="1"/>
  <c r="AA106" i="2" a="1"/>
  <c r="AA106" i="2" s="1"/>
  <c r="Y106" i="2" a="1"/>
  <c r="Y106" i="2" s="1"/>
  <c r="W106" i="2" a="1"/>
  <c r="W106" i="2" s="1"/>
  <c r="V106" i="2" a="1"/>
  <c r="V106" i="2" s="1"/>
  <c r="AE106" i="2" a="1"/>
  <c r="AE106" i="2" s="1"/>
  <c r="T106" i="2" a="1"/>
  <c r="T106" i="2" s="1"/>
  <c r="AD106" i="2" a="1"/>
  <c r="AD106" i="2" s="1"/>
  <c r="S106" i="2" a="1"/>
  <c r="S106" i="2" s="1"/>
  <c r="AB106" i="2" a="1"/>
  <c r="AB106" i="2" s="1"/>
  <c r="AF155" i="2" a="1"/>
  <c r="AF155" i="2" s="1"/>
  <c r="Z155" i="2" a="1"/>
  <c r="Z155" i="2" s="1"/>
  <c r="X155" i="2" a="1"/>
  <c r="X155" i="2" s="1"/>
  <c r="AD155" i="2" a="1"/>
  <c r="AD155" i="2" s="1"/>
  <c r="V155" i="2" a="1"/>
  <c r="V155" i="2" s="1"/>
  <c r="AC155" i="2" a="1"/>
  <c r="AC155" i="2" s="1"/>
  <c r="AB155" i="2" a="1"/>
  <c r="AB155" i="2" s="1"/>
  <c r="AG155" i="2" a="1"/>
  <c r="AG155" i="2" s="1"/>
  <c r="T155" i="2" a="1"/>
  <c r="T155" i="2" s="1"/>
  <c r="Y155" i="2" a="1"/>
  <c r="Y155" i="2" s="1"/>
  <c r="AA155" i="2" a="1"/>
  <c r="AA155" i="2" s="1"/>
  <c r="S155" i="2" a="1"/>
  <c r="S155" i="2" s="1"/>
  <c r="AE155" i="2" a="1"/>
  <c r="AE155" i="2" s="1"/>
  <c r="W155" i="2" a="1"/>
  <c r="W155" i="2" s="1"/>
  <c r="W671" i="12" a="1"/>
  <c r="W671" i="12" s="1"/>
  <c r="AK17" i="2" a="1"/>
  <c r="AK17" i="2" s="1"/>
  <c r="AN17" i="2" a="1"/>
  <c r="AN17" i="2" s="1"/>
  <c r="AO17" i="2" a="1"/>
  <c r="AO17" i="2" s="1"/>
  <c r="AM17" i="2" a="1"/>
  <c r="AM17" i="2" s="1"/>
  <c r="AP17" i="2" a="1"/>
  <c r="AP17" i="2" s="1"/>
  <c r="D18" i="5" a="1"/>
  <c r="D18" i="5" s="1"/>
  <c r="D33" i="4" a="1"/>
  <c r="D33" i="4" s="1"/>
  <c r="B9" i="9" a="1"/>
  <c r="B9" i="9" s="1"/>
  <c r="E51" i="12" a="1"/>
  <c r="E51" i="12" s="1"/>
  <c r="AD226" i="2" a="1"/>
  <c r="AD226" i="2" s="1"/>
  <c r="S226" i="2" a="1"/>
  <c r="S226" i="2" s="1"/>
  <c r="X226" i="2" a="1"/>
  <c r="X226" i="2" s="1"/>
  <c r="AG226" i="2" a="1"/>
  <c r="AG226" i="2" s="1"/>
  <c r="AA226" i="2" a="1"/>
  <c r="AA226" i="2" s="1"/>
  <c r="AF226" i="2" a="1"/>
  <c r="AF226" i="2" s="1"/>
  <c r="Y226" i="2" a="1"/>
  <c r="Y226" i="2" s="1"/>
  <c r="W226" i="2" a="1"/>
  <c r="W226" i="2" s="1"/>
  <c r="V226" i="2" a="1"/>
  <c r="V226" i="2" s="1"/>
  <c r="AE226" i="2" a="1"/>
  <c r="AE226" i="2" s="1"/>
  <c r="T226" i="2" a="1"/>
  <c r="T226" i="2" s="1"/>
  <c r="AC226" i="2" a="1"/>
  <c r="AC226" i="2" s="1"/>
  <c r="AB226" i="2" a="1"/>
  <c r="AB226" i="2" s="1"/>
  <c r="Z226" i="2" a="1"/>
  <c r="Z226" i="2" s="1"/>
  <c r="U7" i="12" a="1"/>
  <c r="U7" i="12" s="1"/>
  <c r="D9" i="5" a="1"/>
  <c r="D9" i="5" s="1"/>
  <c r="D11" i="4" a="1"/>
  <c r="D11" i="4" s="1"/>
  <c r="E23" i="12" a="1"/>
  <c r="E23" i="12" s="1"/>
  <c r="E113" i="12" a="1"/>
  <c r="E113" i="12" s="1"/>
  <c r="U63" i="12" a="1"/>
  <c r="U63" i="12" s="1"/>
  <c r="AF16" i="2" a="1"/>
  <c r="AF16" i="2" s="1"/>
  <c r="AC16" i="2" a="1"/>
  <c r="AC16" i="2" s="1"/>
  <c r="V16" i="2" a="1"/>
  <c r="V16" i="2" s="1"/>
  <c r="AG16" i="2" a="1"/>
  <c r="AG16" i="2" s="1"/>
  <c r="S16" i="2" a="1"/>
  <c r="S16" i="2" s="1"/>
  <c r="Y16" i="2" a="1"/>
  <c r="Y16" i="2" s="1"/>
  <c r="Z16" i="2" a="1"/>
  <c r="Z16" i="2" s="1"/>
  <c r="AB16" i="2" a="1"/>
  <c r="AB16" i="2" s="1"/>
  <c r="T16" i="2" a="1"/>
  <c r="T16" i="2" s="1"/>
  <c r="AA16" i="2" a="1"/>
  <c r="AA16" i="2" s="1"/>
  <c r="AE16" i="2" a="1"/>
  <c r="AE16" i="2" s="1"/>
  <c r="X16" i="2" a="1"/>
  <c r="X16" i="2" s="1"/>
  <c r="AD16" i="2" a="1"/>
  <c r="AD16" i="2" s="1"/>
  <c r="W16" i="2" a="1"/>
  <c r="W16" i="2" s="1"/>
  <c r="U8" i="12" a="1"/>
  <c r="U8" i="12" s="1"/>
  <c r="W41" i="2" a="1"/>
  <c r="W41" i="2" s="1"/>
  <c r="X41" i="2" a="1"/>
  <c r="X41" i="2" s="1"/>
  <c r="X78" i="2" a="1"/>
  <c r="X78" i="2" s="1"/>
  <c r="AC78" i="2" a="1"/>
  <c r="AC78" i="2" s="1"/>
  <c r="U86" i="12" a="1"/>
  <c r="U86" i="12" s="1"/>
  <c r="Z58" i="2" a="1"/>
  <c r="Z58" i="2" s="1"/>
  <c r="AE58" i="2" a="1"/>
  <c r="AE58" i="2" s="1"/>
  <c r="T58" i="2" a="1"/>
  <c r="T58" i="2" s="1"/>
  <c r="W58" i="2" a="1"/>
  <c r="W58" i="2" s="1"/>
  <c r="S58" i="2" a="1"/>
  <c r="S58" i="2" s="1"/>
  <c r="AA58" i="2" a="1"/>
  <c r="AA58" i="2" s="1"/>
  <c r="AF58" i="2" a="1"/>
  <c r="AF58" i="2" s="1"/>
  <c r="AG58" i="2" a="1"/>
  <c r="AG58" i="2" s="1"/>
  <c r="Y58" i="2" a="1"/>
  <c r="Y58" i="2" s="1"/>
  <c r="X58" i="2" a="1"/>
  <c r="X58" i="2" s="1"/>
  <c r="AC58" i="2" a="1"/>
  <c r="AC58" i="2" s="1"/>
  <c r="AB58" i="2" a="1"/>
  <c r="AB58" i="2" s="1"/>
  <c r="AD58" i="2" a="1"/>
  <c r="AD58" i="2" s="1"/>
  <c r="V58" i="2" a="1"/>
  <c r="V58" i="2" s="1"/>
  <c r="Z54" i="2" a="1"/>
  <c r="Z54" i="2" s="1"/>
  <c r="AE54" i="2" a="1"/>
  <c r="AE54" i="2" s="1"/>
  <c r="T54" i="2" a="1"/>
  <c r="T54" i="2" s="1"/>
  <c r="W54" i="2" a="1"/>
  <c r="W54" i="2" s="1"/>
  <c r="AF54" i="2" a="1"/>
  <c r="AF54" i="2" s="1"/>
  <c r="AD54" i="2" a="1"/>
  <c r="AD54" i="2" s="1"/>
  <c r="AC54" i="2" a="1"/>
  <c r="AC54" i="2" s="1"/>
  <c r="AB54" i="2" a="1"/>
  <c r="AB54" i="2" s="1"/>
  <c r="AA54" i="2" a="1"/>
  <c r="AA54" i="2" s="1"/>
  <c r="AG54" i="2" a="1"/>
  <c r="AG54" i="2" s="1"/>
  <c r="Y54" i="2" a="1"/>
  <c r="Y54" i="2" s="1"/>
  <c r="S54" i="2" a="1"/>
  <c r="S54" i="2" s="1"/>
  <c r="X54" i="2" a="1"/>
  <c r="X54" i="2" s="1"/>
  <c r="V54" i="2" a="1"/>
  <c r="V54" i="2" s="1"/>
  <c r="AC57" i="2" a="1"/>
  <c r="AC57" i="2" s="1"/>
  <c r="W57" i="2" a="1"/>
  <c r="W57" i="2" s="1"/>
  <c r="AF57" i="2" a="1"/>
  <c r="AF57" i="2" s="1"/>
  <c r="V57" i="2" a="1"/>
  <c r="V57" i="2" s="1"/>
  <c r="AD57" i="2" a="1"/>
  <c r="AD57" i="2" s="1"/>
  <c r="Z57" i="2" a="1"/>
  <c r="Z57" i="2" s="1"/>
  <c r="AB57" i="2" a="1"/>
  <c r="AB57" i="2" s="1"/>
  <c r="T57" i="2" a="1"/>
  <c r="T57" i="2" s="1"/>
  <c r="AA57" i="2" a="1"/>
  <c r="AA57" i="2" s="1"/>
  <c r="S57" i="2" a="1"/>
  <c r="S57" i="2" s="1"/>
  <c r="Y57" i="2" a="1"/>
  <c r="Y57" i="2" s="1"/>
  <c r="AG57" i="2" a="1"/>
  <c r="AG57" i="2" s="1"/>
  <c r="X57" i="2" a="1"/>
  <c r="X57" i="2" s="1"/>
  <c r="AE57" i="2" a="1"/>
  <c r="AE57" i="2" s="1"/>
  <c r="V70" i="2" a="1"/>
  <c r="V70" i="2" s="1"/>
  <c r="AC70" i="2" a="1"/>
  <c r="AC70" i="2" s="1"/>
  <c r="S70" i="2" a="1"/>
  <c r="S70" i="2" s="1"/>
  <c r="X70" i="2" a="1"/>
  <c r="X70" i="2" s="1"/>
  <c r="Z124" i="2" a="1"/>
  <c r="Z124" i="2" s="1"/>
  <c r="T124" i="2" a="1"/>
  <c r="T124" i="2" s="1"/>
  <c r="AE124" i="2" a="1"/>
  <c r="AE124" i="2" s="1"/>
  <c r="AC124" i="2" a="1"/>
  <c r="AC124" i="2" s="1"/>
  <c r="AF124" i="2" a="1"/>
  <c r="AF124" i="2" s="1"/>
  <c r="AB124" i="2" a="1"/>
  <c r="AB124" i="2" s="1"/>
  <c r="W124" i="2" a="1"/>
  <c r="W124" i="2" s="1"/>
  <c r="AA124" i="2" a="1"/>
  <c r="AA124" i="2" s="1"/>
  <c r="AG124" i="2" a="1"/>
  <c r="AG124" i="2" s="1"/>
  <c r="X124" i="2" a="1"/>
  <c r="X124" i="2" s="1"/>
  <c r="V124" i="2" a="1"/>
  <c r="V124" i="2" s="1"/>
  <c r="AD124" i="2" a="1"/>
  <c r="AD124" i="2" s="1"/>
  <c r="S124" i="2" a="1"/>
  <c r="S124" i="2" s="1"/>
  <c r="Y124" i="2" a="1"/>
  <c r="Y124" i="2" s="1"/>
  <c r="U57" i="12" a="1"/>
  <c r="U57" i="12" s="1"/>
  <c r="B37" i="8" a="1"/>
  <c r="B37" i="8" s="1"/>
  <c r="E13" i="12" a="1"/>
  <c r="E13" i="12" s="1"/>
  <c r="J6" i="3" a="1"/>
  <c r="J6" i="3" s="1"/>
  <c r="D3" i="9" a="1"/>
  <c r="D3" i="9" s="1"/>
  <c r="D25" i="3" a="1"/>
  <c r="D25" i="3" s="1"/>
  <c r="AC60" i="2" a="1"/>
  <c r="AC60" i="2" s="1"/>
  <c r="W60" i="2" a="1"/>
  <c r="W60" i="2" s="1"/>
  <c r="AF60" i="2" a="1"/>
  <c r="AF60" i="2" s="1"/>
  <c r="Z60" i="2" a="1"/>
  <c r="Z60" i="2" s="1"/>
  <c r="AG60" i="2" a="1"/>
  <c r="AG60" i="2" s="1"/>
  <c r="Y60" i="2" a="1"/>
  <c r="Y60" i="2" s="1"/>
  <c r="V60" i="2" a="1"/>
  <c r="V60" i="2" s="1"/>
  <c r="AB60" i="2" a="1"/>
  <c r="AB60" i="2" s="1"/>
  <c r="X60" i="2" a="1"/>
  <c r="X60" i="2" s="1"/>
  <c r="AE60" i="2" a="1"/>
  <c r="AE60" i="2" s="1"/>
  <c r="AD60" i="2" a="1"/>
  <c r="AD60" i="2" s="1"/>
  <c r="T60" i="2" a="1"/>
  <c r="T60" i="2" s="1"/>
  <c r="AA60" i="2" a="1"/>
  <c r="AA60" i="2" s="1"/>
  <c r="S60" i="2" a="1"/>
  <c r="S60" i="2" s="1"/>
  <c r="AA44" i="2" a="1"/>
  <c r="AA44" i="2" s="1"/>
  <c r="AF44" i="2" a="1"/>
  <c r="AF44" i="2" s="1"/>
  <c r="AD44" i="2" a="1"/>
  <c r="AD44" i="2" s="1"/>
  <c r="X44" i="2" a="1"/>
  <c r="X44" i="2" s="1"/>
  <c r="AB44" i="2" a="1"/>
  <c r="AB44" i="2" s="1"/>
  <c r="T44" i="2" a="1"/>
  <c r="T44" i="2" s="1"/>
  <c r="Y44" i="2" a="1"/>
  <c r="Y44" i="2" s="1"/>
  <c r="AE44" i="2" a="1"/>
  <c r="AE44" i="2" s="1"/>
  <c r="Z44" i="2" a="1"/>
  <c r="Z44" i="2" s="1"/>
  <c r="W44" i="2" a="1"/>
  <c r="W44" i="2" s="1"/>
  <c r="AG44" i="2" a="1"/>
  <c r="AG44" i="2" s="1"/>
  <c r="AC44" i="2" a="1"/>
  <c r="AC44" i="2" s="1"/>
  <c r="V44" i="2" a="1"/>
  <c r="V44" i="2" s="1"/>
  <c r="S44" i="2" a="1"/>
  <c r="S44" i="2" s="1"/>
  <c r="U201" i="12" a="1"/>
  <c r="U201" i="12" s="1"/>
  <c r="U62" i="12" a="1"/>
  <c r="U62" i="12" s="1"/>
  <c r="E4" i="12" a="1"/>
  <c r="E4" i="12" s="1"/>
  <c r="AF7" i="2" a="1"/>
  <c r="AF7" i="2" s="1"/>
  <c r="AC7" i="2" a="1"/>
  <c r="AC7" i="2" s="1"/>
  <c r="AB7" i="2" a="1"/>
  <c r="AB7" i="2" s="1"/>
  <c r="Y7" i="2" a="1"/>
  <c r="Y7" i="2" s="1"/>
  <c r="AD7" i="2" a="1"/>
  <c r="AD7" i="2" s="1"/>
  <c r="AG7" i="2" a="1"/>
  <c r="AG7" i="2" s="1"/>
  <c r="Z7" i="2" a="1"/>
  <c r="Z7" i="2" s="1"/>
  <c r="S7" i="2" a="1"/>
  <c r="S7" i="2" s="1"/>
  <c r="AE7" i="2" a="1"/>
  <c r="AE7" i="2" s="1"/>
  <c r="V7" i="2" a="1"/>
  <c r="V7" i="2" s="1"/>
  <c r="T7" i="2" a="1"/>
  <c r="T7" i="2" s="1"/>
  <c r="AA7" i="2" a="1"/>
  <c r="AA7" i="2" s="1"/>
  <c r="X7" i="2" a="1"/>
  <c r="X7" i="2" s="1"/>
  <c r="W7" i="2" a="1"/>
  <c r="W7" i="2" s="1"/>
  <c r="W13" i="2" a="1"/>
  <c r="W13" i="2" s="1"/>
  <c r="Z13" i="2" a="1"/>
  <c r="Z13" i="2" s="1"/>
  <c r="T13" i="2" a="1"/>
  <c r="T13" i="2" s="1"/>
  <c r="AD13" i="2" a="1"/>
  <c r="AD13" i="2" s="1"/>
  <c r="AA13" i="2" a="1"/>
  <c r="AA13" i="2" s="1"/>
  <c r="S13" i="2" a="1"/>
  <c r="S13" i="2" s="1"/>
  <c r="AG13" i="2" a="1"/>
  <c r="AG13" i="2" s="1"/>
  <c r="V13" i="2" a="1"/>
  <c r="V13" i="2" s="1"/>
  <c r="AB13" i="2" a="1"/>
  <c r="AB13" i="2" s="1"/>
  <c r="Y13" i="2" a="1"/>
  <c r="Y13" i="2" s="1"/>
  <c r="AF13" i="2" a="1"/>
  <c r="AF13" i="2" s="1"/>
  <c r="AC13" i="2" a="1"/>
  <c r="AC13" i="2" s="1"/>
  <c r="AE13" i="2" a="1"/>
  <c r="AE13" i="2" s="1"/>
  <c r="X13" i="2" a="1"/>
  <c r="X13" i="2" s="1"/>
  <c r="U29" i="12" a="1"/>
  <c r="U29" i="12" s="1"/>
  <c r="B16" i="7" a="1"/>
  <c r="B16" i="7" s="1"/>
  <c r="B15" i="6" a="1"/>
  <c r="B15" i="6" s="1"/>
  <c r="B28" i="4" a="1"/>
  <c r="B28" i="4" s="1"/>
  <c r="U14" i="12" a="1"/>
  <c r="U14" i="12" s="1"/>
  <c r="E129" i="12" a="1"/>
  <c r="E129" i="12" s="1"/>
  <c r="E21" i="12" a="1"/>
  <c r="E21" i="12" s="1"/>
  <c r="X66" i="2" a="1"/>
  <c r="X66" i="2" s="1"/>
  <c r="W66" i="2" a="1"/>
  <c r="W66" i="2" s="1"/>
  <c r="W625" i="12" a="1"/>
  <c r="W625" i="12" s="1"/>
  <c r="AM20" i="2" a="1"/>
  <c r="AM20" i="2" s="1"/>
  <c r="AP20" i="2" a="1"/>
  <c r="AP20" i="2" s="1"/>
  <c r="AN20" i="2" a="1"/>
  <c r="AN20" i="2" s="1"/>
  <c r="AO20" i="2" a="1"/>
  <c r="AO20" i="2" s="1"/>
  <c r="AK20" i="2" a="1"/>
  <c r="AK20" i="2" s="1"/>
  <c r="U59" i="12" a="1"/>
  <c r="U59" i="12" s="1"/>
  <c r="AD122" i="2" a="1"/>
  <c r="AD122" i="2" s="1"/>
  <c r="S122" i="2" a="1"/>
  <c r="S122" i="2" s="1"/>
  <c r="X122" i="2" a="1"/>
  <c r="X122" i="2" s="1"/>
  <c r="AA122" i="2" a="1"/>
  <c r="AA122" i="2" s="1"/>
  <c r="AF122" i="2" a="1"/>
  <c r="AF122" i="2" s="1"/>
  <c r="Y122" i="2" a="1"/>
  <c r="Y122" i="2" s="1"/>
  <c r="AE122" i="2" a="1"/>
  <c r="AE122" i="2" s="1"/>
  <c r="T122" i="2" a="1"/>
  <c r="T122" i="2" s="1"/>
  <c r="AC122" i="2" a="1"/>
  <c r="AC122" i="2" s="1"/>
  <c r="Z122" i="2" a="1"/>
  <c r="Z122" i="2" s="1"/>
  <c r="W122" i="2" a="1"/>
  <c r="W122" i="2" s="1"/>
  <c r="AG122" i="2" a="1"/>
  <c r="AG122" i="2" s="1"/>
  <c r="V122" i="2" a="1"/>
  <c r="V122" i="2" s="1"/>
  <c r="AB122" i="2" a="1"/>
  <c r="AB122" i="2" s="1"/>
  <c r="B23" i="6" a="1"/>
  <c r="B23" i="6" s="1"/>
  <c r="B50" i="4" a="1"/>
  <c r="B50" i="4" s="1"/>
  <c r="X30" i="2" a="1"/>
  <c r="X30" i="2" s="1"/>
  <c r="AA30" i="2" a="1"/>
  <c r="AA30" i="2" s="1"/>
  <c r="AD30" i="2" a="1"/>
  <c r="AD30" i="2" s="1"/>
  <c r="W30" i="2" a="1"/>
  <c r="W30" i="2" s="1"/>
  <c r="AC30" i="2" a="1"/>
  <c r="AC30" i="2" s="1"/>
  <c r="V30" i="2" a="1"/>
  <c r="V30" i="2" s="1"/>
  <c r="S30" i="2" a="1"/>
  <c r="S30" i="2" s="1"/>
  <c r="Z30" i="2" a="1"/>
  <c r="Z30" i="2" s="1"/>
  <c r="AB30" i="2" a="1"/>
  <c r="AB30" i="2" s="1"/>
  <c r="Y30" i="2" a="1"/>
  <c r="Y30" i="2" s="1"/>
  <c r="T30" i="2" a="1"/>
  <c r="T30" i="2" s="1"/>
  <c r="AG30" i="2" a="1"/>
  <c r="AG30" i="2" s="1"/>
  <c r="AF30" i="2" a="1"/>
  <c r="AF30" i="2" s="1"/>
  <c r="AE30" i="2" a="1"/>
  <c r="AE30" i="2" s="1"/>
  <c r="V18" i="2" a="1"/>
  <c r="V18" i="2" s="1"/>
  <c r="AC18" i="2" a="1"/>
  <c r="AC18" i="2" s="1"/>
  <c r="S18" i="2" a="1"/>
  <c r="S18" i="2" s="1"/>
  <c r="B16" i="8" a="1"/>
  <c r="B16" i="8" s="1"/>
  <c r="D15" i="7" a="1"/>
  <c r="D15" i="7" s="1"/>
  <c r="D13" i="6" a="1"/>
  <c r="D13" i="6" s="1"/>
  <c r="D26" i="4" a="1"/>
  <c r="D26" i="4" s="1"/>
  <c r="E122" i="12" a="1"/>
  <c r="E122" i="12" s="1"/>
  <c r="E155" i="12" a="1"/>
  <c r="E155" i="12" s="1"/>
  <c r="U129" i="12" a="1"/>
  <c r="U129" i="12" s="1"/>
  <c r="U21" i="12" a="1"/>
  <c r="U21" i="12" s="1"/>
  <c r="B35" i="8" a="1"/>
  <c r="B35" i="8" s="1"/>
  <c r="S361" i="2" a="1"/>
  <c r="S361" i="2" s="1"/>
  <c r="V361" i="2" a="1"/>
  <c r="V361" i="2" s="1"/>
  <c r="AC361" i="2" a="1"/>
  <c r="AC361" i="2" s="1"/>
  <c r="X361" i="2" a="1"/>
  <c r="X361" i="2" s="1"/>
  <c r="U4" i="12" a="1"/>
  <c r="U4" i="12" s="1"/>
  <c r="I2" i="3" a="1"/>
  <c r="I2" i="3" s="1"/>
  <c r="AE4" i="2" a="1"/>
  <c r="AE4" i="2" s="1"/>
  <c r="Y4" i="2" a="1"/>
  <c r="Y4" i="2" s="1"/>
  <c r="AB4" i="2" a="1"/>
  <c r="AB4" i="2" s="1"/>
  <c r="U3" i="12" a="1"/>
  <c r="U3" i="12" s="1"/>
  <c r="Z10" i="3" a="1"/>
  <c r="Z10" i="3" s="1"/>
  <c r="AG6" i="2" a="1"/>
  <c r="AG6" i="2" s="1"/>
  <c r="V6" i="2" a="1"/>
  <c r="V6" i="2" s="1"/>
  <c r="AD6" i="2" a="1"/>
  <c r="AD6" i="2" s="1"/>
  <c r="S6" i="2" a="1"/>
  <c r="S6" i="2" s="1"/>
  <c r="AE6" i="2" a="1"/>
  <c r="AE6" i="2" s="1"/>
  <c r="D4" i="7" a="1"/>
  <c r="D4" i="7" s="1"/>
  <c r="D7" i="4" a="1"/>
  <c r="D7" i="4" s="1"/>
  <c r="D16" i="7" a="1"/>
  <c r="D16" i="7" s="1"/>
  <c r="D15" i="6" a="1"/>
  <c r="D15" i="6" s="1"/>
  <c r="D28" i="4" a="1"/>
  <c r="D28" i="4" s="1"/>
  <c r="E22" i="12" a="1"/>
  <c r="E22" i="12" s="1"/>
  <c r="AF120" i="2" a="1"/>
  <c r="AF120" i="2" s="1"/>
  <c r="Z120" i="2" a="1"/>
  <c r="Z120" i="2" s="1"/>
  <c r="AE120" i="2" a="1"/>
  <c r="AE120" i="2" s="1"/>
  <c r="T120" i="2" a="1"/>
  <c r="T120" i="2" s="1"/>
  <c r="AC120" i="2" a="1"/>
  <c r="AC120" i="2" s="1"/>
  <c r="AA120" i="2" a="1"/>
  <c r="AA120" i="2" s="1"/>
  <c r="AD4" i="2" a="1"/>
  <c r="AD4" i="2" s="1"/>
  <c r="D3" i="7" a="1"/>
  <c r="D3" i="7" s="1"/>
  <c r="D5" i="4" a="1"/>
  <c r="D5" i="4" s="1"/>
  <c r="D10" i="3" a="1"/>
  <c r="D10" i="3" s="1"/>
  <c r="D5" i="5" a="1"/>
  <c r="D5" i="5" s="1"/>
  <c r="D6" i="4" a="1"/>
  <c r="D6" i="4" s="1"/>
  <c r="Y56" i="2" a="1"/>
  <c r="Y56" i="2" s="1"/>
  <c r="U27" i="12" a="1"/>
  <c r="U27" i="12" s="1"/>
  <c r="B17" i="7" a="1"/>
  <c r="B17" i="7" s="1"/>
  <c r="B16" i="6" a="1"/>
  <c r="B16" i="6" s="1"/>
  <c r="B29" i="4" a="1"/>
  <c r="B29" i="4" s="1"/>
  <c r="Y97" i="2" a="1"/>
  <c r="Y97" i="2" s="1"/>
  <c r="S97" i="2" a="1"/>
  <c r="S97" i="2" s="1"/>
  <c r="AD97" i="2" a="1"/>
  <c r="AD97" i="2" s="1"/>
  <c r="X97" i="2" a="1"/>
  <c r="X97" i="2" s="1"/>
  <c r="AG97" i="2" a="1"/>
  <c r="AG97" i="2" s="1"/>
  <c r="V97" i="2" a="1"/>
  <c r="V97" i="2" s="1"/>
  <c r="AE97" i="2" a="1"/>
  <c r="AE97" i="2" s="1"/>
  <c r="B2" i="5" a="1"/>
  <c r="B2" i="5" s="1"/>
  <c r="B2" i="4" a="1"/>
  <c r="B2" i="4" s="1"/>
  <c r="Z4" i="2" a="1"/>
  <c r="Z4" i="2" s="1"/>
  <c r="V10" i="3" a="1"/>
  <c r="V10" i="3" s="1"/>
  <c r="W3" i="2" a="1"/>
  <c r="W3" i="2" s="1"/>
  <c r="AG4" i="2" a="1"/>
  <c r="AG4" i="2" s="1"/>
  <c r="I10" i="3" a="1"/>
  <c r="I10" i="3" s="1"/>
  <c r="W9" i="2" a="1"/>
  <c r="W9" i="2" s="1"/>
  <c r="Z9" i="2" a="1"/>
  <c r="Z9" i="2" s="1"/>
  <c r="T9" i="2" a="1"/>
  <c r="T9" i="2" s="1"/>
  <c r="W2" i="2" a="1"/>
  <c r="W2" i="2" s="1"/>
  <c r="AA6" i="2" a="1"/>
  <c r="AA6" i="2" s="1"/>
  <c r="E8" i="12" a="1"/>
  <c r="E8" i="12" s="1"/>
  <c r="AF21" i="2" a="1"/>
  <c r="AF21" i="2" s="1"/>
  <c r="B10" i="5" a="1"/>
  <c r="B10" i="5" s="1"/>
  <c r="B16" i="4" a="1"/>
  <c r="B16" i="4" s="1"/>
  <c r="T97" i="2" a="1"/>
  <c r="T97" i="2" s="1"/>
  <c r="AB97" i="2" a="1"/>
  <c r="AB97" i="2" s="1"/>
  <c r="Z81" i="2" a="1"/>
  <c r="Z81" i="2" s="1"/>
  <c r="T81" i="2" a="1"/>
  <c r="T81" i="2" s="1"/>
  <c r="AE81" i="2" a="1"/>
  <c r="AE81" i="2" s="1"/>
  <c r="W81" i="2" a="1"/>
  <c r="W81" i="2" s="1"/>
  <c r="AF81" i="2" a="1"/>
  <c r="AF81" i="2" s="1"/>
  <c r="Y81" i="2" a="1"/>
  <c r="Y81" i="2" s="1"/>
  <c r="AG62" i="2" a="1"/>
  <c r="AG62" i="2" s="1"/>
  <c r="AA62" i="2" a="1"/>
  <c r="AA62" i="2" s="1"/>
  <c r="AF62" i="2" a="1"/>
  <c r="AF62" i="2" s="1"/>
  <c r="AD62" i="2" a="1"/>
  <c r="AD62" i="2" s="1"/>
  <c r="S62" i="2" a="1"/>
  <c r="S62" i="2" s="1"/>
  <c r="AB62" i="2" a="1"/>
  <c r="AB62" i="2" s="1"/>
  <c r="V62" i="2" a="1"/>
  <c r="V62" i="2" s="1"/>
  <c r="U60" i="12" a="1"/>
  <c r="U60" i="12" s="1"/>
  <c r="E41" i="12" a="1"/>
  <c r="E41" i="12" s="1"/>
  <c r="AE2" i="2" a="1"/>
  <c r="AE2" i="2" s="1"/>
  <c r="Y3" i="2" a="1"/>
  <c r="Y3" i="2" s="1"/>
  <c r="Y9" i="2" a="1"/>
  <c r="Y9" i="2" s="1"/>
  <c r="B4" i="8" a="1"/>
  <c r="B4" i="8" s="1"/>
  <c r="B14" i="3" a="1"/>
  <c r="B14" i="3" s="1"/>
  <c r="Y2" i="2" a="1"/>
  <c r="Y2" i="2" s="1"/>
  <c r="AF2" i="2" a="1"/>
  <c r="AF2" i="2" s="1"/>
  <c r="AC6" i="2" a="1"/>
  <c r="AC6" i="2" s="1"/>
  <c r="Z22" i="2" a="1"/>
  <c r="Z22" i="2" s="1"/>
  <c r="B4" i="7" a="1"/>
  <c r="B4" i="7" s="1"/>
  <c r="B7" i="4" a="1"/>
  <c r="B7" i="4" s="1"/>
  <c r="S28" i="2" a="1"/>
  <c r="S28" i="2" s="1"/>
  <c r="Z28" i="2" a="1"/>
  <c r="Z28" i="2" s="1"/>
  <c r="AG28" i="2" a="1"/>
  <c r="AG28" i="2" s="1"/>
  <c r="AE23" i="2" a="1"/>
  <c r="AE23" i="2" s="1"/>
  <c r="Y23" i="2" a="1"/>
  <c r="Y23" i="2" s="1"/>
  <c r="AB23" i="2" a="1"/>
  <c r="AB23" i="2" s="1"/>
  <c r="W23" i="2" a="1"/>
  <c r="W23" i="2" s="1"/>
  <c r="AA37" i="2" a="1"/>
  <c r="AA37" i="2" s="1"/>
  <c r="U20" i="12" a="1"/>
  <c r="U20" i="12" s="1"/>
  <c r="AG39" i="2" a="1"/>
  <c r="AG39" i="2" s="1"/>
  <c r="V39" i="2" a="1"/>
  <c r="V39" i="2" s="1"/>
  <c r="AD39" i="2" a="1"/>
  <c r="AD39" i="2" s="1"/>
  <c r="S39" i="2" a="1"/>
  <c r="S39" i="2" s="1"/>
  <c r="AE39" i="2" a="1"/>
  <c r="AE39" i="2" s="1"/>
  <c r="T21" i="2" a="1"/>
  <c r="T21" i="2" s="1"/>
  <c r="AA21" i="2" a="1"/>
  <c r="AA21" i="2" s="1"/>
  <c r="U13" i="12" a="1"/>
  <c r="U13" i="12" s="1"/>
  <c r="Z6" i="3" a="1"/>
  <c r="Z6" i="3" s="1"/>
  <c r="T11" i="2" a="1"/>
  <c r="T11" i="2" s="1"/>
  <c r="D10" i="5" a="1"/>
  <c r="D10" i="5" s="1"/>
  <c r="D16" i="4" a="1"/>
  <c r="D16" i="4" s="1"/>
  <c r="AB40" i="2" a="1"/>
  <c r="AB40" i="2" s="1"/>
  <c r="AC41" i="2" a="1"/>
  <c r="AC41" i="2" s="1"/>
  <c r="AB95" i="2" a="1"/>
  <c r="AB95" i="2" s="1"/>
  <c r="Y14" i="2" a="1"/>
  <c r="Y14" i="2" s="1"/>
  <c r="V46" i="2" a="1"/>
  <c r="V46" i="2" s="1"/>
  <c r="B10" i="7" a="1"/>
  <c r="B10" i="7" s="1"/>
  <c r="B9" i="6" a="1"/>
  <c r="B9" i="6" s="1"/>
  <c r="B13" i="5" a="1"/>
  <c r="B13" i="5" s="1"/>
  <c r="B20" i="4" a="1"/>
  <c r="B20" i="4" s="1"/>
  <c r="S78" i="2" a="1"/>
  <c r="S78" i="2" s="1"/>
  <c r="Z78" i="2" a="1"/>
  <c r="Z78" i="2" s="1"/>
  <c r="AC52" i="2" a="1"/>
  <c r="AC52" i="2" s="1"/>
  <c r="W52" i="2" a="1"/>
  <c r="W52" i="2" s="1"/>
  <c r="AB52" i="2" a="1"/>
  <c r="AB52" i="2" s="1"/>
  <c r="Z52" i="2" a="1"/>
  <c r="Z52" i="2" s="1"/>
  <c r="AF52" i="2" a="1"/>
  <c r="AF52" i="2" s="1"/>
  <c r="D12" i="7" a="1"/>
  <c r="D12" i="7" s="1"/>
  <c r="D11" i="6" a="1"/>
  <c r="D11" i="6" s="1"/>
  <c r="D22" i="4" a="1"/>
  <c r="D22" i="4" s="1"/>
  <c r="AD63" i="2" a="1"/>
  <c r="AD63" i="2" s="1"/>
  <c r="AC107" i="2" a="1"/>
  <c r="AC107" i="2" s="1"/>
  <c r="AC34" i="2" a="1"/>
  <c r="AC34" i="2" s="1"/>
  <c r="W77" i="2" a="1"/>
  <c r="W77" i="2" s="1"/>
  <c r="AD77" i="2" a="1"/>
  <c r="AD77" i="2" s="1"/>
  <c r="AN26" i="2" a="1"/>
  <c r="AN26" i="2" s="1"/>
  <c r="D16" i="5" a="1"/>
  <c r="D16" i="5" s="1"/>
  <c r="D31" i="4" a="1"/>
  <c r="D31" i="4" s="1"/>
  <c r="AD56" i="2" a="1"/>
  <c r="AD56" i="2" s="1"/>
  <c r="AD90" i="2" a="1"/>
  <c r="AD90" i="2" s="1"/>
  <c r="AM27" i="2" a="1"/>
  <c r="AM27" i="2" s="1"/>
  <c r="X24" i="2" a="1"/>
  <c r="X24" i="2" s="1"/>
  <c r="U144" i="12" a="1"/>
  <c r="U144" i="12" s="1"/>
  <c r="AB81" i="2" a="1"/>
  <c r="AB81" i="2" s="1"/>
  <c r="AB66" i="2" a="1"/>
  <c r="AB66" i="2" s="1"/>
  <c r="AC62" i="2" a="1"/>
  <c r="AC62" i="2" s="1"/>
  <c r="X130" i="2" a="1"/>
  <c r="X130" i="2" s="1"/>
  <c r="U56" i="12" a="1"/>
  <c r="U56" i="12" s="1"/>
  <c r="W120" i="2" a="1"/>
  <c r="W120" i="2" s="1"/>
  <c r="AG120" i="2" a="1"/>
  <c r="AG120" i="2" s="1"/>
  <c r="AK162" i="2" a="1"/>
  <c r="AK162" i="2" s="1"/>
  <c r="V129" i="2" a="1"/>
  <c r="V129" i="2" s="1"/>
  <c r="E25" i="12" a="1"/>
  <c r="E25" i="12" s="1"/>
  <c r="S229" i="2" a="1"/>
  <c r="S229" i="2" s="1"/>
  <c r="AD229" i="2" a="1"/>
  <c r="AD229" i="2" s="1"/>
  <c r="V335" i="2" a="1"/>
  <c r="V335" i="2" s="1"/>
  <c r="AG335" i="2" a="1"/>
  <c r="AG335" i="2" s="1"/>
  <c r="U82" i="12" a="1"/>
  <c r="U82" i="12" s="1"/>
  <c r="V140" i="2" a="1"/>
  <c r="V140" i="2" s="1"/>
  <c r="W123" i="2" a="1"/>
  <c r="W123" i="2" s="1"/>
  <c r="Z65" i="2" a="1"/>
  <c r="Z65" i="2" s="1"/>
  <c r="B36" i="5" a="1"/>
  <c r="B36" i="5" s="1"/>
  <c r="B65" i="4" a="1"/>
  <c r="B65" i="4" s="1"/>
  <c r="X357" i="2" a="1"/>
  <c r="X357" i="2" s="1"/>
  <c r="B31" i="7" a="1"/>
  <c r="B31" i="7" s="1"/>
  <c r="B59" i="4" a="1"/>
  <c r="B59" i="4" s="1"/>
  <c r="U146" i="12" a="1"/>
  <c r="U146" i="12" s="1"/>
  <c r="V148" i="2" a="1"/>
  <c r="V148" i="2" s="1"/>
  <c r="B41" i="5" a="1"/>
  <c r="B41" i="5" s="1"/>
  <c r="B75" i="4" a="1"/>
  <c r="B75" i="4" s="1"/>
  <c r="D34" i="7" a="1"/>
  <c r="D34" i="7" s="1"/>
  <c r="D29" i="6" a="1"/>
  <c r="D29" i="6" s="1"/>
  <c r="D64" i="4" a="1"/>
  <c r="D64" i="4" s="1"/>
  <c r="AA183" i="2" a="1"/>
  <c r="AA183" i="2" s="1"/>
  <c r="AF183" i="2" a="1"/>
  <c r="AF183" i="2" s="1"/>
  <c r="Z183" i="2" a="1"/>
  <c r="Z183" i="2" s="1"/>
  <c r="AD183" i="2" a="1"/>
  <c r="AD183" i="2" s="1"/>
  <c r="S183" i="2" a="1"/>
  <c r="S183" i="2" s="1"/>
  <c r="X183" i="2" a="1"/>
  <c r="X183" i="2" s="1"/>
  <c r="AG183" i="2" a="1"/>
  <c r="AG183" i="2" s="1"/>
  <c r="V183" i="2" a="1"/>
  <c r="V183" i="2" s="1"/>
  <c r="AC183" i="2" a="1"/>
  <c r="AC183" i="2" s="1"/>
  <c r="U212" i="12" a="1"/>
  <c r="U212" i="12" s="1"/>
  <c r="V203" i="2" a="1"/>
  <c r="V203" i="2" s="1"/>
  <c r="AF93" i="2" a="1"/>
  <c r="AF93" i="2" s="1"/>
  <c r="V163" i="2" a="1"/>
  <c r="V163" i="2" s="1"/>
  <c r="B21" i="9" a="1"/>
  <c r="B21" i="9" s="1"/>
  <c r="D44" i="7" a="1"/>
  <c r="D44" i="7" s="1"/>
  <c r="D35" i="6" a="1"/>
  <c r="D35" i="6" s="1"/>
  <c r="D76" i="4" a="1"/>
  <c r="D76" i="4" s="1"/>
  <c r="U87" i="12" a="1"/>
  <c r="U87" i="12" s="1"/>
  <c r="U124" i="12" a="1"/>
  <c r="U124" i="12" s="1"/>
  <c r="AA59" i="2" a="1"/>
  <c r="AA59" i="2" s="1"/>
  <c r="AE59" i="2" a="1"/>
  <c r="AE59" i="2" s="1"/>
  <c r="T59" i="2" a="1"/>
  <c r="T59" i="2" s="1"/>
  <c r="AC59" i="2" a="1"/>
  <c r="AC59" i="2" s="1"/>
  <c r="S59" i="2" a="1"/>
  <c r="S59" i="2" s="1"/>
  <c r="Z59" i="2" a="1"/>
  <c r="Z59" i="2" s="1"/>
  <c r="AG59" i="2" a="1"/>
  <c r="AG59" i="2" s="1"/>
  <c r="Y59" i="2" a="1"/>
  <c r="Y59" i="2" s="1"/>
  <c r="AF59" i="2" a="1"/>
  <c r="AF59" i="2" s="1"/>
  <c r="X59" i="2" a="1"/>
  <c r="X59" i="2" s="1"/>
  <c r="W59" i="2" a="1"/>
  <c r="W59" i="2" s="1"/>
  <c r="AD59" i="2" a="1"/>
  <c r="AD59" i="2" s="1"/>
  <c r="V59" i="2" a="1"/>
  <c r="V59" i="2" s="1"/>
  <c r="AB59" i="2" a="1"/>
  <c r="AB59" i="2" s="1"/>
  <c r="U65" i="12" a="1"/>
  <c r="U65" i="12" s="1"/>
  <c r="V387" i="2" a="1"/>
  <c r="V387" i="2" s="1"/>
  <c r="T387" i="2" a="1"/>
  <c r="T387" i="2" s="1"/>
  <c r="W387" i="2" a="1"/>
  <c r="W387" i="2" s="1"/>
  <c r="U6" i="12" a="1"/>
  <c r="U6" i="12" s="1"/>
  <c r="B17" i="6" a="1"/>
  <c r="B17" i="6" s="1"/>
  <c r="B30" i="4" a="1"/>
  <c r="B30" i="4" s="1"/>
  <c r="D20" i="7" a="1"/>
  <c r="D20" i="7" s="1"/>
  <c r="D36" i="4" a="1"/>
  <c r="D36" i="4" s="1"/>
  <c r="W621" i="12" a="1"/>
  <c r="W621" i="12" s="1"/>
  <c r="AK220" i="2" a="1"/>
  <c r="AK220" i="2" s="1"/>
  <c r="AN220" i="2" a="1"/>
  <c r="AN220" i="2" s="1"/>
  <c r="W627" i="12" a="1"/>
  <c r="W627" i="12" s="1"/>
  <c r="AP55" i="2" a="1"/>
  <c r="AP55" i="2" s="1"/>
  <c r="AM55" i="2" a="1"/>
  <c r="AM55" i="2" s="1"/>
  <c r="AK55" i="2" a="1"/>
  <c r="AK55" i="2" s="1"/>
  <c r="T14" i="3" a="1"/>
  <c r="T14" i="3" s="1"/>
  <c r="X6" i="2" a="1"/>
  <c r="X6" i="2" s="1"/>
  <c r="AD25" i="2" a="1"/>
  <c r="AD25" i="2" s="1"/>
  <c r="X25" i="2" a="1"/>
  <c r="X25" i="2" s="1"/>
  <c r="AA25" i="2" a="1"/>
  <c r="AA25" i="2" s="1"/>
  <c r="U39" i="12" a="1"/>
  <c r="U39" i="12" s="1"/>
  <c r="W643" i="12" a="1"/>
  <c r="W643" i="12" s="1"/>
  <c r="AO64" i="2" a="1"/>
  <c r="AO64" i="2" s="1"/>
  <c r="W22" i="2" a="1"/>
  <c r="W22" i="2" s="1"/>
  <c r="E5" i="12" a="1"/>
  <c r="E5" i="12" s="1"/>
  <c r="U109" i="12" a="1"/>
  <c r="U109" i="12" s="1"/>
  <c r="B3" i="5" a="1"/>
  <c r="B3" i="5" s="1"/>
  <c r="B3" i="4" a="1"/>
  <c r="B3" i="4" s="1"/>
  <c r="E22" i="3" a="1"/>
  <c r="E22" i="3" s="1"/>
  <c r="V4" i="2" a="1"/>
  <c r="V4" i="2" s="1"/>
  <c r="AC4" i="2" a="1"/>
  <c r="AC4" i="2" s="1"/>
  <c r="B3" i="7" a="1"/>
  <c r="B3" i="7" s="1"/>
  <c r="B5" i="4" a="1"/>
  <c r="B5" i="4" s="1"/>
  <c r="B10" i="3" a="1"/>
  <c r="B10" i="3" s="1"/>
  <c r="S9" i="2" a="1"/>
  <c r="S9" i="2" s="1"/>
  <c r="AG9" i="2" a="1"/>
  <c r="AG9" i="2" s="1"/>
  <c r="S2" i="2" a="1"/>
  <c r="S2" i="2" s="1"/>
  <c r="Z2" i="2" a="1"/>
  <c r="Z2" i="2" s="1"/>
  <c r="W6" i="2" a="1"/>
  <c r="W6" i="2" s="1"/>
  <c r="S22" i="2" a="1"/>
  <c r="S22" i="2" s="1"/>
  <c r="T12" i="2" a="1"/>
  <c r="T12" i="2" s="1"/>
  <c r="E80" i="12" a="1"/>
  <c r="E80" i="12" s="1"/>
  <c r="D4" i="6" a="1"/>
  <c r="D4" i="6" s="1"/>
  <c r="D7" i="5" a="1"/>
  <c r="D7" i="5" s="1"/>
  <c r="D9" i="4" a="1"/>
  <c r="D9" i="4" s="1"/>
  <c r="E45" i="12" a="1"/>
  <c r="E45" i="12" s="1"/>
  <c r="AB11" i="2" a="1"/>
  <c r="AB11" i="2" s="1"/>
  <c r="AO15" i="2" a="1"/>
  <c r="AO15" i="2" s="1"/>
  <c r="AB25" i="2" a="1"/>
  <c r="AB25" i="2" s="1"/>
  <c r="AK10" i="2" a="1"/>
  <c r="AK10" i="2" s="1"/>
  <c r="E11" i="12" a="1"/>
  <c r="E11" i="12" s="1"/>
  <c r="AB83" i="2" a="1"/>
  <c r="AB83" i="2" s="1"/>
  <c r="V95" i="2" a="1"/>
  <c r="V95" i="2" s="1"/>
  <c r="S14" i="2" a="1"/>
  <c r="S14" i="2" s="1"/>
  <c r="T78" i="2" a="1"/>
  <c r="T78" i="2" s="1"/>
  <c r="AE45" i="2" a="1"/>
  <c r="AE45" i="2" s="1"/>
  <c r="T45" i="2" a="1"/>
  <c r="T45" i="2" s="1"/>
  <c r="Y45" i="2" a="1"/>
  <c r="Y45" i="2" s="1"/>
  <c r="W45" i="2" a="1"/>
  <c r="W45" i="2" s="1"/>
  <c r="X45" i="2" a="1"/>
  <c r="X45" i="2" s="1"/>
  <c r="AF45" i="2" a="1"/>
  <c r="AF45" i="2" s="1"/>
  <c r="V63" i="2" a="1"/>
  <c r="V63" i="2" s="1"/>
  <c r="D13" i="7" a="1"/>
  <c r="D13" i="7" s="1"/>
  <c r="D12" i="6" a="1"/>
  <c r="D12" i="6" s="1"/>
  <c r="D23" i="4" a="1"/>
  <c r="D23" i="4" s="1"/>
  <c r="V107" i="2" a="1"/>
  <c r="V107" i="2" s="1"/>
  <c r="AD107" i="2" a="1"/>
  <c r="AD107" i="2" s="1"/>
  <c r="V34" i="2" a="1"/>
  <c r="V34" i="2" s="1"/>
  <c r="D14" i="7" a="1"/>
  <c r="D14" i="7" s="1"/>
  <c r="D15" i="5" a="1"/>
  <c r="D15" i="5" s="1"/>
  <c r="D25" i="4" a="1"/>
  <c r="D25" i="4" s="1"/>
  <c r="AF90" i="2" a="1"/>
  <c r="AF90" i="2" s="1"/>
  <c r="AO27" i="2" a="1"/>
  <c r="AO27" i="2" s="1"/>
  <c r="AQ27" i="2" s="1" a="1"/>
  <c r="AQ27" i="2" s="1"/>
  <c r="AC36" i="2" a="1"/>
  <c r="AC36" i="2" s="1"/>
  <c r="AF97" i="2" a="1"/>
  <c r="AF97" i="2" s="1"/>
  <c r="S81" i="2" a="1"/>
  <c r="S81" i="2" s="1"/>
  <c r="AC81" i="2" a="1"/>
  <c r="AC81" i="2" s="1"/>
  <c r="B21" i="7" a="1"/>
  <c r="B21" i="7" s="1"/>
  <c r="B20" i="6" a="1"/>
  <c r="B20" i="6" s="1"/>
  <c r="B37" i="4" a="1"/>
  <c r="B37" i="4" s="1"/>
  <c r="T62" i="2" a="1"/>
  <c r="T62" i="2" s="1"/>
  <c r="Z130" i="2" a="1"/>
  <c r="Z130" i="2" s="1"/>
  <c r="X120" i="2" a="1"/>
  <c r="X120" i="2" s="1"/>
  <c r="D25" i="5" a="1"/>
  <c r="D25" i="5" s="1"/>
  <c r="D47" i="4" a="1"/>
  <c r="D47" i="4" s="1"/>
  <c r="T88" i="2" a="1"/>
  <c r="T88" i="2" s="1"/>
  <c r="D27" i="5" a="1"/>
  <c r="D27" i="5" s="1"/>
  <c r="D49" i="4" a="1"/>
  <c r="D49" i="4" s="1"/>
  <c r="AE105" i="2" a="1"/>
  <c r="AE105" i="2" s="1"/>
  <c r="B26" i="7" a="1"/>
  <c r="B26" i="7" s="1"/>
  <c r="B45" i="4" a="1"/>
  <c r="B45" i="4" s="1"/>
  <c r="AG133" i="2" a="1"/>
  <c r="AG133" i="2" s="1"/>
  <c r="V133" i="2" a="1"/>
  <c r="V133" i="2" s="1"/>
  <c r="AA133" i="2" a="1"/>
  <c r="AA133" i="2" s="1"/>
  <c r="Y133" i="2" a="1"/>
  <c r="Y133" i="2" s="1"/>
  <c r="AD133" i="2" a="1"/>
  <c r="AD133" i="2" s="1"/>
  <c r="S133" i="2" a="1"/>
  <c r="S133" i="2" s="1"/>
  <c r="AB133" i="2" a="1"/>
  <c r="AB133" i="2" s="1"/>
  <c r="W35" i="2" a="1"/>
  <c r="W35" i="2" s="1"/>
  <c r="AF125" i="2" a="1"/>
  <c r="AF125" i="2" s="1"/>
  <c r="AB99" i="2" a="1"/>
  <c r="AB99" i="2" s="1"/>
  <c r="V99" i="2" a="1"/>
  <c r="V99" i="2" s="1"/>
  <c r="AA99" i="2" a="1"/>
  <c r="AA99" i="2" s="1"/>
  <c r="AG99" i="2" a="1"/>
  <c r="AG99" i="2" s="1"/>
  <c r="Y99" i="2" a="1"/>
  <c r="Y99" i="2" s="1"/>
  <c r="AD99" i="2" a="1"/>
  <c r="AD99" i="2" s="1"/>
  <c r="S99" i="2" a="1"/>
  <c r="S99" i="2" s="1"/>
  <c r="W99" i="2" a="1"/>
  <c r="W99" i="2" s="1"/>
  <c r="U66" i="12" a="1"/>
  <c r="U66" i="12" s="1"/>
  <c r="T68" i="2" a="1"/>
  <c r="T68" i="2" s="1"/>
  <c r="AE68" i="2" a="1"/>
  <c r="AE68" i="2" s="1"/>
  <c r="E82" i="12" a="1"/>
  <c r="E82" i="12" s="1"/>
  <c r="E216" i="12" a="1"/>
  <c r="E216" i="12" s="1"/>
  <c r="AC116" i="2" a="1"/>
  <c r="AC116" i="2" s="1"/>
  <c r="W116" i="2" a="1"/>
  <c r="W116" i="2" s="1"/>
  <c r="AB116" i="2" a="1"/>
  <c r="AB116" i="2" s="1"/>
  <c r="AF116" i="2" a="1"/>
  <c r="AF116" i="2" s="1"/>
  <c r="Z116" i="2" a="1"/>
  <c r="Z116" i="2" s="1"/>
  <c r="AD116" i="2" a="1"/>
  <c r="AD116" i="2" s="1"/>
  <c r="X116" i="2" a="1"/>
  <c r="X116" i="2" s="1"/>
  <c r="AA116" i="2" a="1"/>
  <c r="AA116" i="2" s="1"/>
  <c r="D32" i="7" a="1"/>
  <c r="D32" i="7" s="1"/>
  <c r="D28" i="6" a="1"/>
  <c r="D28" i="6" s="1"/>
  <c r="D60" i="4" a="1"/>
  <c r="D60" i="4" s="1"/>
  <c r="AA175" i="2" a="1"/>
  <c r="AA175" i="2" s="1"/>
  <c r="AF175" i="2" a="1"/>
  <c r="AF175" i="2" s="1"/>
  <c r="Z175" i="2" a="1"/>
  <c r="Z175" i="2" s="1"/>
  <c r="AD175" i="2" a="1"/>
  <c r="AD175" i="2" s="1"/>
  <c r="X175" i="2" a="1"/>
  <c r="X175" i="2" s="1"/>
  <c r="AC175" i="2" a="1"/>
  <c r="AC175" i="2" s="1"/>
  <c r="AG175" i="2" a="1"/>
  <c r="AG175" i="2" s="1"/>
  <c r="V175" i="2" a="1"/>
  <c r="V175" i="2" s="1"/>
  <c r="X108" i="2" a="1"/>
  <c r="X108" i="2" s="1"/>
  <c r="AC108" i="2" a="1"/>
  <c r="AC108" i="2" s="1"/>
  <c r="W108" i="2" a="1"/>
  <c r="W108" i="2" s="1"/>
  <c r="AB108" i="2" a="1"/>
  <c r="AB108" i="2" s="1"/>
  <c r="AF108" i="2" a="1"/>
  <c r="AF108" i="2" s="1"/>
  <c r="Z108" i="2" a="1"/>
  <c r="Z108" i="2" s="1"/>
  <c r="AD108" i="2" a="1"/>
  <c r="AD108" i="2" s="1"/>
  <c r="S108" i="2" a="1"/>
  <c r="S108" i="2" s="1"/>
  <c r="AA108" i="2" a="1"/>
  <c r="AA108" i="2" s="1"/>
  <c r="E93" i="12" a="1"/>
  <c r="E93" i="12" s="1"/>
  <c r="X203" i="2" a="1"/>
  <c r="X203" i="2" s="1"/>
  <c r="B36" i="7" a="1"/>
  <c r="B36" i="7" s="1"/>
  <c r="B67" i="4" a="1"/>
  <c r="B67" i="4" s="1"/>
  <c r="B37" i="5" a="1"/>
  <c r="B37" i="5" s="1"/>
  <c r="D43" i="5" a="1"/>
  <c r="D43" i="5" s="1"/>
  <c r="D78" i="4" a="1"/>
  <c r="D78" i="4" s="1"/>
  <c r="AA325" i="2" a="1"/>
  <c r="AA325" i="2" s="1"/>
  <c r="AF325" i="2" a="1"/>
  <c r="AF325" i="2" s="1"/>
  <c r="Z325" i="2" a="1"/>
  <c r="Z325" i="2" s="1"/>
  <c r="AD325" i="2" a="1"/>
  <c r="AD325" i="2" s="1"/>
  <c r="S325" i="2" a="1"/>
  <c r="S325" i="2" s="1"/>
  <c r="X325" i="2" a="1"/>
  <c r="X325" i="2" s="1"/>
  <c r="AG325" i="2" a="1"/>
  <c r="AG325" i="2" s="1"/>
  <c r="V325" i="2" a="1"/>
  <c r="V325" i="2" s="1"/>
  <c r="AC325" i="2" a="1"/>
  <c r="AC325" i="2" s="1"/>
  <c r="U256" i="12" a="1"/>
  <c r="U256" i="12" s="1"/>
  <c r="B43" i="7" a="1"/>
  <c r="B43" i="7" s="1"/>
  <c r="B34" i="6" a="1"/>
  <c r="B34" i="6" s="1"/>
  <c r="B40" i="5" a="1"/>
  <c r="B40" i="5" s="1"/>
  <c r="B74" i="4" a="1"/>
  <c r="B74" i="4" s="1"/>
  <c r="E102" i="12" a="1"/>
  <c r="E102" i="12" s="1"/>
  <c r="X118" i="2" a="1"/>
  <c r="X118" i="2" s="1"/>
  <c r="AE118" i="2" a="1"/>
  <c r="AE118" i="2" s="1"/>
  <c r="B71" i="8" a="1"/>
  <c r="B71" i="8" s="1"/>
  <c r="U157" i="12" a="1"/>
  <c r="U157" i="12" s="1"/>
  <c r="B71" i="7" a="1"/>
  <c r="B71" i="7" s="1"/>
  <c r="B59" i="6" a="1"/>
  <c r="B59" i="6" s="1"/>
  <c r="B120" i="4" a="1"/>
  <c r="B120" i="4" s="1"/>
  <c r="U138" i="12" a="1"/>
  <c r="U138" i="12" s="1"/>
  <c r="U159" i="12" a="1"/>
  <c r="U159" i="12" s="1"/>
  <c r="AD46" i="2" a="1"/>
  <c r="AD46" i="2" s="1"/>
  <c r="S46" i="2" a="1"/>
  <c r="S46" i="2" s="1"/>
  <c r="AA46" i="2" a="1"/>
  <c r="AA46" i="2" s="1"/>
  <c r="D23" i="7" a="1"/>
  <c r="D23" i="7" s="1"/>
  <c r="D39" i="4" a="1"/>
  <c r="D39" i="4" s="1"/>
  <c r="U53" i="12" a="1"/>
  <c r="U53" i="12" s="1"/>
  <c r="U41" i="12" a="1"/>
  <c r="U41" i="12" s="1"/>
  <c r="B30" i="8" a="1"/>
  <c r="B30" i="8" s="1"/>
  <c r="E75" i="12" a="1"/>
  <c r="E75" i="12" s="1"/>
  <c r="X35" i="2" a="1"/>
  <c r="X35" i="2" s="1"/>
  <c r="E174" i="12" a="1"/>
  <c r="E174" i="12" s="1"/>
  <c r="X71" i="2" a="1"/>
  <c r="X71" i="2" s="1"/>
  <c r="W609" i="12" a="1"/>
  <c r="W609" i="12" s="1"/>
  <c r="AO177" i="2" a="1"/>
  <c r="AO177" i="2" s="1"/>
  <c r="AP177" i="2" a="1"/>
  <c r="AP177" i="2" s="1"/>
  <c r="B29" i="7" a="1"/>
  <c r="B29" i="7" s="1"/>
  <c r="B54" i="4" a="1"/>
  <c r="B54" i="4" s="1"/>
  <c r="AD65" i="2" a="1"/>
  <c r="AD65" i="2" s="1"/>
  <c r="S65" i="2" a="1"/>
  <c r="S65" i="2" s="1"/>
  <c r="X65" i="2" a="1"/>
  <c r="X65" i="2" s="1"/>
  <c r="AC65" i="2" a="1"/>
  <c r="AC65" i="2" s="1"/>
  <c r="AG65" i="2" a="1"/>
  <c r="AG65" i="2" s="1"/>
  <c r="V65" i="2" a="1"/>
  <c r="V65" i="2" s="1"/>
  <c r="AA65" i="2" a="1"/>
  <c r="AA65" i="2" s="1"/>
  <c r="Y65" i="2" a="1"/>
  <c r="Y65" i="2" s="1"/>
  <c r="D31" i="7" a="1"/>
  <c r="D31" i="7" s="1"/>
  <c r="D59" i="4" a="1"/>
  <c r="D59" i="4" s="1"/>
  <c r="E85" i="12" a="1"/>
  <c r="E85" i="12" s="1"/>
  <c r="S48" i="2" a="1"/>
  <c r="S48" i="2" s="1"/>
  <c r="W48" i="2" a="1"/>
  <c r="W48" i="2" s="1"/>
  <c r="B27" i="6" a="1"/>
  <c r="B27" i="6" s="1"/>
  <c r="B32" i="5" a="1"/>
  <c r="B32" i="5" s="1"/>
  <c r="B58" i="4" a="1"/>
  <c r="B58" i="4" s="1"/>
  <c r="B41" i="8" a="1"/>
  <c r="B41" i="8" s="1"/>
  <c r="AC244" i="2" a="1"/>
  <c r="AC244" i="2" s="1"/>
  <c r="W244" i="2" a="1"/>
  <c r="W244" i="2" s="1"/>
  <c r="B42" i="8" a="1"/>
  <c r="B42" i="8" s="1"/>
  <c r="D41" i="5" a="1"/>
  <c r="D41" i="5" s="1"/>
  <c r="D75" i="4" a="1"/>
  <c r="D75" i="4" s="1"/>
  <c r="X301" i="2" a="1"/>
  <c r="X301" i="2" s="1"/>
  <c r="AC301" i="2" a="1"/>
  <c r="AC301" i="2" s="1"/>
  <c r="W301" i="2" a="1"/>
  <c r="W301" i="2" s="1"/>
  <c r="AB301" i="2" a="1"/>
  <c r="AB301" i="2" s="1"/>
  <c r="AF301" i="2" a="1"/>
  <c r="AF301" i="2" s="1"/>
  <c r="Z301" i="2" a="1"/>
  <c r="Z301" i="2" s="1"/>
  <c r="AD301" i="2" a="1"/>
  <c r="AD301" i="2" s="1"/>
  <c r="S301" i="2" a="1"/>
  <c r="S301" i="2" s="1"/>
  <c r="AA301" i="2" a="1"/>
  <c r="AA301" i="2" s="1"/>
  <c r="E90" i="12" a="1"/>
  <c r="E90" i="12" s="1"/>
  <c r="B38" i="7" a="1"/>
  <c r="B38" i="7" s="1"/>
  <c r="B31" i="6" a="1"/>
  <c r="B31" i="6" s="1"/>
  <c r="B38" i="5" a="1"/>
  <c r="B38" i="5" s="1"/>
  <c r="B69" i="4" a="1"/>
  <c r="B69" i="4" s="1"/>
  <c r="AA132" i="2" a="1"/>
  <c r="AA132" i="2" s="1"/>
  <c r="AF132" i="2" a="1"/>
  <c r="AF132" i="2" s="1"/>
  <c r="Z132" i="2" a="1"/>
  <c r="Z132" i="2" s="1"/>
  <c r="AD132" i="2" a="1"/>
  <c r="AD132" i="2" s="1"/>
  <c r="S132" i="2" a="1"/>
  <c r="S132" i="2" s="1"/>
  <c r="X132" i="2" a="1"/>
  <c r="X132" i="2" s="1"/>
  <c r="AC132" i="2" a="1"/>
  <c r="AC132" i="2" s="1"/>
  <c r="W132" i="2" a="1"/>
  <c r="W132" i="2" s="1"/>
  <c r="AG132" i="2" a="1"/>
  <c r="AG132" i="2" s="1"/>
  <c r="V132" i="2" a="1"/>
  <c r="V132" i="2" s="1"/>
  <c r="AE132" i="2" a="1"/>
  <c r="AE132" i="2" s="1"/>
  <c r="E70" i="12" a="1"/>
  <c r="E70" i="12" s="1"/>
  <c r="B41" i="7" a="1"/>
  <c r="B41" i="7" s="1"/>
  <c r="B33" i="6" a="1"/>
  <c r="B33" i="6" s="1"/>
  <c r="B72" i="4" a="1"/>
  <c r="B72" i="4" s="1"/>
  <c r="E266" i="12" a="1"/>
  <c r="E266" i="12" s="1"/>
  <c r="Z272" i="2" a="1"/>
  <c r="Z272" i="2" s="1"/>
  <c r="T272" i="2" a="1"/>
  <c r="T272" i="2" s="1"/>
  <c r="X272" i="2" a="1"/>
  <c r="X272" i="2" s="1"/>
  <c r="AG272" i="2" a="1"/>
  <c r="AG272" i="2" s="1"/>
  <c r="S272" i="2" a="1"/>
  <c r="S272" i="2" s="1"/>
  <c r="Y272" i="2" a="1"/>
  <c r="Y272" i="2" s="1"/>
  <c r="AF272" i="2" a="1"/>
  <c r="AF272" i="2" s="1"/>
  <c r="AE272" i="2" a="1"/>
  <c r="AE272" i="2" s="1"/>
  <c r="AD272" i="2" a="1"/>
  <c r="AD272" i="2" s="1"/>
  <c r="W272" i="2" a="1"/>
  <c r="W272" i="2" s="1"/>
  <c r="AC272" i="2" a="1"/>
  <c r="AC272" i="2" s="1"/>
  <c r="V272" i="2" a="1"/>
  <c r="V272" i="2" s="1"/>
  <c r="AB272" i="2" a="1"/>
  <c r="AB272" i="2" s="1"/>
  <c r="AA272" i="2" a="1"/>
  <c r="AA272" i="2" s="1"/>
  <c r="D36" i="6" a="1"/>
  <c r="D36" i="6" s="1"/>
  <c r="D47" i="7" a="1"/>
  <c r="D47" i="7" s="1"/>
  <c r="D82" i="4" a="1"/>
  <c r="D82" i="4" s="1"/>
  <c r="U259" i="12" a="1"/>
  <c r="U259" i="12" s="1"/>
  <c r="Y168" i="2" a="1"/>
  <c r="Y168" i="2" s="1"/>
  <c r="S168" i="2" a="1"/>
  <c r="S168" i="2" s="1"/>
  <c r="W168" i="2" a="1"/>
  <c r="W168" i="2" s="1"/>
  <c r="AA168" i="2" a="1"/>
  <c r="AA168" i="2" s="1"/>
  <c r="T168" i="2" a="1"/>
  <c r="T168" i="2" s="1"/>
  <c r="Z168" i="2" a="1"/>
  <c r="Z168" i="2" s="1"/>
  <c r="AG168" i="2" a="1"/>
  <c r="AG168" i="2" s="1"/>
  <c r="AF168" i="2" a="1"/>
  <c r="AF168" i="2" s="1"/>
  <c r="X168" i="2" a="1"/>
  <c r="X168" i="2" s="1"/>
  <c r="AE168" i="2" a="1"/>
  <c r="AE168" i="2" s="1"/>
  <c r="AD168" i="2" a="1"/>
  <c r="AD168" i="2" s="1"/>
  <c r="V168" i="2" a="1"/>
  <c r="V168" i="2" s="1"/>
  <c r="AC168" i="2" a="1"/>
  <c r="AC168" i="2" s="1"/>
  <c r="AB168" i="2" a="1"/>
  <c r="AB168" i="2" s="1"/>
  <c r="U91" i="12" a="1"/>
  <c r="U91" i="12" s="1"/>
  <c r="D47" i="6" a="1"/>
  <c r="D47" i="6" s="1"/>
  <c r="D100" i="4" a="1"/>
  <c r="D100" i="4" s="1"/>
  <c r="B74" i="8" a="1"/>
  <c r="B74" i="8" s="1"/>
  <c r="AF205" i="2" a="1"/>
  <c r="AF205" i="2" s="1"/>
  <c r="AE205" i="2" a="1"/>
  <c r="AE205" i="2" s="1"/>
  <c r="T205" i="2" a="1"/>
  <c r="T205" i="2" s="1"/>
  <c r="Y205" i="2" a="1"/>
  <c r="Y205" i="2" s="1"/>
  <c r="AC205" i="2" a="1"/>
  <c r="AC205" i="2" s="1"/>
  <c r="AG205" i="2" a="1"/>
  <c r="AG205" i="2" s="1"/>
  <c r="AA205" i="2" a="1"/>
  <c r="AA205" i="2" s="1"/>
  <c r="AB205" i="2" a="1"/>
  <c r="AB205" i="2" s="1"/>
  <c r="Z205" i="2" a="1"/>
  <c r="Z205" i="2" s="1"/>
  <c r="X205" i="2" a="1"/>
  <c r="X205" i="2" s="1"/>
  <c r="W205" i="2" a="1"/>
  <c r="W205" i="2" s="1"/>
  <c r="V205" i="2" a="1"/>
  <c r="V205" i="2" s="1"/>
  <c r="AD205" i="2" a="1"/>
  <c r="AD205" i="2" s="1"/>
  <c r="S205" i="2" a="1"/>
  <c r="S205" i="2" s="1"/>
  <c r="D3" i="6" a="1"/>
  <c r="D3" i="6" s="1"/>
  <c r="D6" i="5" a="1"/>
  <c r="D6" i="5" s="1"/>
  <c r="D8" i="4" a="1"/>
  <c r="D8" i="4" s="1"/>
  <c r="E191" i="12" a="1"/>
  <c r="E191" i="12" s="1"/>
  <c r="U191" i="12" a="1"/>
  <c r="U191" i="12" s="1"/>
  <c r="AB77" i="2" a="1"/>
  <c r="AB77" i="2" s="1"/>
  <c r="V77" i="2" a="1"/>
  <c r="V77" i="2" s="1"/>
  <c r="AG77" i="2" a="1"/>
  <c r="AG77" i="2" s="1"/>
  <c r="AA77" i="2" a="1"/>
  <c r="AA77" i="2" s="1"/>
  <c r="Y77" i="2" a="1"/>
  <c r="Y77" i="2" s="1"/>
  <c r="AA56" i="2" a="1"/>
  <c r="AA56" i="2" s="1"/>
  <c r="AF56" i="2" a="1"/>
  <c r="AF56" i="2" s="1"/>
  <c r="Z56" i="2" a="1"/>
  <c r="Z56" i="2" s="1"/>
  <c r="X56" i="2" a="1"/>
  <c r="X56" i="2" s="1"/>
  <c r="AG56" i="2" a="1"/>
  <c r="AG56" i="2" s="1"/>
  <c r="AG90" i="2" a="1"/>
  <c r="AG90" i="2" s="1"/>
  <c r="W36" i="2" a="1"/>
  <c r="W36" i="2" s="1"/>
  <c r="B14" i="6" a="1"/>
  <c r="B14" i="6" s="1"/>
  <c r="B27" i="4" a="1"/>
  <c r="B27" i="4" s="1"/>
  <c r="B19" i="7" a="1"/>
  <c r="B19" i="7" s="1"/>
  <c r="B19" i="6" a="1"/>
  <c r="B19" i="6" s="1"/>
  <c r="B35" i="4" a="1"/>
  <c r="B35" i="4" s="1"/>
  <c r="E56" i="12" a="1"/>
  <c r="E56" i="12" s="1"/>
  <c r="AA130" i="2" a="1"/>
  <c r="AA130" i="2" s="1"/>
  <c r="E166" i="12" a="1"/>
  <c r="E166" i="12" s="1"/>
  <c r="Y120" i="2" a="1"/>
  <c r="Y120" i="2" s="1"/>
  <c r="U76" i="12" a="1"/>
  <c r="U76" i="12" s="1"/>
  <c r="AC129" i="2" a="1"/>
  <c r="AC129" i="2" s="1"/>
  <c r="W129" i="2" a="1"/>
  <c r="W129" i="2" s="1"/>
  <c r="AB129" i="2" a="1"/>
  <c r="AB129" i="2" s="1"/>
  <c r="Z129" i="2" a="1"/>
  <c r="Z129" i="2" s="1"/>
  <c r="AE129" i="2" a="1"/>
  <c r="AE129" i="2" s="1"/>
  <c r="T129" i="2" a="1"/>
  <c r="T129" i="2" s="1"/>
  <c r="X129" i="2" a="1"/>
  <c r="X129" i="2" s="1"/>
  <c r="U189" i="12" a="1"/>
  <c r="U189" i="12" s="1"/>
  <c r="E62" i="12" a="1"/>
  <c r="E62" i="12" s="1"/>
  <c r="E201" i="12" a="1"/>
  <c r="E201" i="12" s="1"/>
  <c r="AE65" i="2" a="1"/>
  <c r="AE65" i="2" s="1"/>
  <c r="W623" i="12" a="1"/>
  <c r="W623" i="12" s="1"/>
  <c r="AK32" i="2" a="1"/>
  <c r="AK32" i="2" s="1"/>
  <c r="AO32" i="2" a="1"/>
  <c r="AO32" i="2" s="1"/>
  <c r="D36" i="5" a="1"/>
  <c r="D36" i="5" s="1"/>
  <c r="D65" i="4" a="1"/>
  <c r="D65" i="4" s="1"/>
  <c r="Z357" i="2" a="1"/>
  <c r="Z357" i="2" s="1"/>
  <c r="AE357" i="2" a="1"/>
  <c r="AE357" i="2" s="1"/>
  <c r="T357" i="2" a="1"/>
  <c r="T357" i="2" s="1"/>
  <c r="Y357" i="2" a="1"/>
  <c r="Y357" i="2" s="1"/>
  <c r="S357" i="2" a="1"/>
  <c r="S357" i="2" s="1"/>
  <c r="W357" i="2" a="1"/>
  <c r="W357" i="2" s="1"/>
  <c r="AB357" i="2" a="1"/>
  <c r="AB357" i="2" s="1"/>
  <c r="AF357" i="2" a="1"/>
  <c r="AF357" i="2" s="1"/>
  <c r="AC357" i="2" a="1"/>
  <c r="AC357" i="2" s="1"/>
  <c r="W98" i="2" a="1"/>
  <c r="W98" i="2" s="1"/>
  <c r="AC148" i="2" a="1"/>
  <c r="AC148" i="2" s="1"/>
  <c r="W148" i="2" a="1"/>
  <c r="W148" i="2" s="1"/>
  <c r="AB148" i="2" a="1"/>
  <c r="AB148" i="2" s="1"/>
  <c r="AF148" i="2" a="1"/>
  <c r="AF148" i="2" s="1"/>
  <c r="Z148" i="2" a="1"/>
  <c r="Z148" i="2" s="1"/>
  <c r="AD148" i="2" a="1"/>
  <c r="AD148" i="2" s="1"/>
  <c r="X148" i="2" a="1"/>
  <c r="X148" i="2" s="1"/>
  <c r="AA148" i="2" a="1"/>
  <c r="AA148" i="2" s="1"/>
  <c r="W661" i="12" a="1"/>
  <c r="W661" i="12" s="1"/>
  <c r="AN102" i="2" a="1"/>
  <c r="AN102" i="2" s="1"/>
  <c r="AK102" i="2" a="1"/>
  <c r="AK102" i="2" s="1"/>
  <c r="AO102" i="2" a="1"/>
  <c r="AO102" i="2" s="1"/>
  <c r="U93" i="12" a="1"/>
  <c r="U93" i="12" s="1"/>
  <c r="W114" i="2" a="1"/>
  <c r="W114" i="2" s="1"/>
  <c r="AC212" i="2" a="1"/>
  <c r="AC212" i="2" s="1"/>
  <c r="W212" i="2" a="1"/>
  <c r="W212" i="2" s="1"/>
  <c r="B35" i="7" a="1"/>
  <c r="B35" i="7" s="1"/>
  <c r="B30" i="6" a="1"/>
  <c r="B30" i="6" s="1"/>
  <c r="B66" i="4" a="1"/>
  <c r="B66" i="4" s="1"/>
  <c r="D36" i="7" a="1"/>
  <c r="D36" i="7" s="1"/>
  <c r="D37" i="5" a="1"/>
  <c r="D37" i="5" s="1"/>
  <c r="D67" i="4" a="1"/>
  <c r="D67" i="4" s="1"/>
  <c r="X163" i="2" a="1"/>
  <c r="X163" i="2" s="1"/>
  <c r="AC163" i="2" a="1"/>
  <c r="AC163" i="2" s="1"/>
  <c r="W163" i="2" a="1"/>
  <c r="W163" i="2" s="1"/>
  <c r="AB163" i="2" a="1"/>
  <c r="AB163" i="2" s="1"/>
  <c r="AF163" i="2" a="1"/>
  <c r="AF163" i="2" s="1"/>
  <c r="Z163" i="2" a="1"/>
  <c r="Z163" i="2" s="1"/>
  <c r="AD163" i="2" a="1"/>
  <c r="AD163" i="2" s="1"/>
  <c r="S163" i="2" a="1"/>
  <c r="S163" i="2" s="1"/>
  <c r="AA163" i="2" a="1"/>
  <c r="AA163" i="2" s="1"/>
  <c r="U382" i="12" a="1"/>
  <c r="U382" i="12" s="1"/>
  <c r="U70" i="12" a="1"/>
  <c r="U70" i="12" s="1"/>
  <c r="B48" i="5" a="1"/>
  <c r="B48" i="5" s="1"/>
  <c r="B86" i="4" a="1"/>
  <c r="B86" i="4" s="1"/>
  <c r="U196" i="12" a="1"/>
  <c r="U196" i="12" s="1"/>
  <c r="U143" i="12" a="1"/>
  <c r="U143" i="12" s="1"/>
  <c r="AD184" i="2" a="1"/>
  <c r="AD184" i="2" s="1"/>
  <c r="S184" i="2" a="1"/>
  <c r="S184" i="2" s="1"/>
  <c r="W184" i="2" a="1"/>
  <c r="W184" i="2" s="1"/>
  <c r="AA184" i="2" a="1"/>
  <c r="AA184" i="2" s="1"/>
  <c r="AF184" i="2" a="1"/>
  <c r="AF184" i="2" s="1"/>
  <c r="X184" i="2" a="1"/>
  <c r="X184" i="2" s="1"/>
  <c r="AE184" i="2" a="1"/>
  <c r="AE184" i="2" s="1"/>
  <c r="V184" i="2" a="1"/>
  <c r="V184" i="2" s="1"/>
  <c r="AC184" i="2" a="1"/>
  <c r="AC184" i="2" s="1"/>
  <c r="AB184" i="2" a="1"/>
  <c r="AB184" i="2" s="1"/>
  <c r="T184" i="2" a="1"/>
  <c r="T184" i="2" s="1"/>
  <c r="Z184" i="2" a="1"/>
  <c r="Z184" i="2" s="1"/>
  <c r="AG184" i="2" a="1"/>
  <c r="AG184" i="2" s="1"/>
  <c r="Y184" i="2" a="1"/>
  <c r="Y184" i="2" s="1"/>
  <c r="B55" i="8" a="1"/>
  <c r="B55" i="8" s="1"/>
  <c r="D43" i="6" a="1"/>
  <c r="D43" i="6" s="1"/>
  <c r="D54" i="7" a="1"/>
  <c r="D54" i="7" s="1"/>
  <c r="D92" i="4" a="1"/>
  <c r="D92" i="4" s="1"/>
  <c r="B27" i="9" a="1"/>
  <c r="B27" i="9" s="1"/>
  <c r="AR73" i="2" a="1"/>
  <c r="AR73" i="2" s="1"/>
  <c r="E183" i="12" a="1"/>
  <c r="E183" i="12" s="1"/>
  <c r="B60" i="5" a="1"/>
  <c r="B60" i="5" s="1"/>
  <c r="B117" i="4" a="1"/>
  <c r="B117" i="4" s="1"/>
  <c r="O2" i="3" a="1"/>
  <c r="O2" i="3" s="1"/>
  <c r="U26" i="12" a="1"/>
  <c r="U26" i="12" s="1"/>
  <c r="Z14" i="3" a="1"/>
  <c r="Z14" i="3" s="1"/>
  <c r="B7" i="6" a="1"/>
  <c r="B7" i="6" s="1"/>
  <c r="B14" i="4" a="1"/>
  <c r="B14" i="4" s="1"/>
  <c r="E15" i="12" a="1"/>
  <c r="E15" i="12" s="1"/>
  <c r="X90" i="2" a="1"/>
  <c r="X90" i="2" s="1"/>
  <c r="U155" i="12" a="1"/>
  <c r="U155" i="12" s="1"/>
  <c r="W641" i="12" a="1"/>
  <c r="W641" i="12" s="1"/>
  <c r="AK92" i="2" a="1"/>
  <c r="AK92" i="2" s="1"/>
  <c r="AP92" i="2" a="1"/>
  <c r="AP92" i="2" s="1"/>
  <c r="AN92" i="2" a="1"/>
  <c r="AN92" i="2" s="1"/>
  <c r="V149" i="2" a="1"/>
  <c r="V149" i="2" s="1"/>
  <c r="AC149" i="2" a="1"/>
  <c r="AC149" i="2" s="1"/>
  <c r="W149" i="2" a="1"/>
  <c r="W149" i="2" s="1"/>
  <c r="D3" i="5" a="1"/>
  <c r="D3" i="5" s="1"/>
  <c r="D3" i="4" a="1"/>
  <c r="D3" i="4" s="1"/>
  <c r="Y6" i="2" a="1"/>
  <c r="Y6" i="2" s="1"/>
  <c r="AF6" i="2" a="1"/>
  <c r="AF6" i="2" s="1"/>
  <c r="AE35" i="2" a="1"/>
  <c r="AE35" i="2" s="1"/>
  <c r="B32" i="8" a="1"/>
  <c r="B32" i="8" s="1"/>
  <c r="AE71" i="2" a="1"/>
  <c r="AE71" i="2" s="1"/>
  <c r="U32" i="12" a="1"/>
  <c r="U32" i="12" s="1"/>
  <c r="D29" i="7" a="1"/>
  <c r="D29" i="7" s="1"/>
  <c r="D54" i="4" a="1"/>
  <c r="D54" i="4" s="1"/>
  <c r="AC335" i="2" a="1"/>
  <c r="AC335" i="2" s="1"/>
  <c r="W335" i="2" a="1"/>
  <c r="W335" i="2" s="1"/>
  <c r="AF335" i="2" a="1"/>
  <c r="AF335" i="2" s="1"/>
  <c r="Z335" i="2" a="1"/>
  <c r="Z335" i="2" s="1"/>
  <c r="T335" i="2" a="1"/>
  <c r="T335" i="2" s="1"/>
  <c r="AE335" i="2" a="1"/>
  <c r="AE335" i="2" s="1"/>
  <c r="X335" i="2" a="1"/>
  <c r="X335" i="2" s="1"/>
  <c r="AA335" i="2" a="1"/>
  <c r="AA335" i="2" s="1"/>
  <c r="B31" i="5" a="1"/>
  <c r="B31" i="5" s="1"/>
  <c r="B57" i="4" a="1"/>
  <c r="B57" i="4" s="1"/>
  <c r="U61" i="12" a="1"/>
  <c r="U61" i="12" s="1"/>
  <c r="AA123" i="2" a="1"/>
  <c r="AA123" i="2" s="1"/>
  <c r="AF123" i="2" a="1"/>
  <c r="AF123" i="2" s="1"/>
  <c r="Z123" i="2" a="1"/>
  <c r="Z123" i="2" s="1"/>
  <c r="AE123" i="2" a="1"/>
  <c r="AE123" i="2" s="1"/>
  <c r="T123" i="2" a="1"/>
  <c r="T123" i="2" s="1"/>
  <c r="X123" i="2" a="1"/>
  <c r="X123" i="2" s="1"/>
  <c r="AC123" i="2" a="1"/>
  <c r="AC123" i="2" s="1"/>
  <c r="AG123" i="2" a="1"/>
  <c r="AG123" i="2" s="1"/>
  <c r="V123" i="2" a="1"/>
  <c r="V123" i="2" s="1"/>
  <c r="AF65" i="2" a="1"/>
  <c r="AF65" i="2" s="1"/>
  <c r="U85" i="12" a="1"/>
  <c r="U85" i="12" s="1"/>
  <c r="D33" i="7" a="1"/>
  <c r="D33" i="7" s="1"/>
  <c r="D34" i="5" a="1"/>
  <c r="D34" i="5" s="1"/>
  <c r="D62" i="4" a="1"/>
  <c r="D62" i="4" s="1"/>
  <c r="Z110" i="2" a="1"/>
  <c r="Z110" i="2" s="1"/>
  <c r="AE110" i="2" a="1"/>
  <c r="AE110" i="2" s="1"/>
  <c r="T110" i="2" a="1"/>
  <c r="T110" i="2" s="1"/>
  <c r="Y110" i="2" a="1"/>
  <c r="Y110" i="2" s="1"/>
  <c r="AC110" i="2" a="1"/>
  <c r="AC110" i="2" s="1"/>
  <c r="W110" i="2" a="1"/>
  <c r="W110" i="2" s="1"/>
  <c r="AB110" i="2" a="1"/>
  <c r="AB110" i="2" s="1"/>
  <c r="AF110" i="2" a="1"/>
  <c r="AF110" i="2" s="1"/>
  <c r="Z114" i="2" a="1"/>
  <c r="Z114" i="2" s="1"/>
  <c r="U90" i="12" a="1"/>
  <c r="U90" i="12" s="1"/>
  <c r="AC249" i="2" a="1"/>
  <c r="AC249" i="2" s="1"/>
  <c r="W249" i="2" a="1"/>
  <c r="W249" i="2" s="1"/>
  <c r="B37" i="7" a="1"/>
  <c r="B37" i="7" s="1"/>
  <c r="B68" i="4" a="1"/>
  <c r="B68" i="4" s="1"/>
  <c r="D38" i="5" a="1"/>
  <c r="D38" i="5" s="1"/>
  <c r="D38" i="7" a="1"/>
  <c r="D38" i="7" s="1"/>
  <c r="D31" i="6" a="1"/>
  <c r="D31" i="6" s="1"/>
  <c r="D69" i="4" a="1"/>
  <c r="D69" i="4" s="1"/>
  <c r="B39" i="7" a="1"/>
  <c r="B39" i="7" s="1"/>
  <c r="B70" i="4" a="1"/>
  <c r="B70" i="4" s="1"/>
  <c r="B44" i="5" a="1"/>
  <c r="B44" i="5" s="1"/>
  <c r="B79" i="4" a="1"/>
  <c r="B79" i="4" s="1"/>
  <c r="AE208" i="2" a="1"/>
  <c r="AE208" i="2" s="1"/>
  <c r="E203" i="12" a="1"/>
  <c r="E203" i="12" s="1"/>
  <c r="E84" i="12" a="1"/>
  <c r="E84" i="12" s="1"/>
  <c r="Y137" i="2" a="1"/>
  <c r="Y137" i="2" s="1"/>
  <c r="S137" i="2" a="1"/>
  <c r="S137" i="2" s="1"/>
  <c r="W137" i="2" a="1"/>
  <c r="W137" i="2" s="1"/>
  <c r="AA137" i="2" a="1"/>
  <c r="AA137" i="2" s="1"/>
  <c r="AF137" i="2" a="1"/>
  <c r="AF137" i="2" s="1"/>
  <c r="X137" i="2" a="1"/>
  <c r="X137" i="2" s="1"/>
  <c r="AE137" i="2" a="1"/>
  <c r="AE137" i="2" s="1"/>
  <c r="AD137" i="2" a="1"/>
  <c r="AD137" i="2" s="1"/>
  <c r="V137" i="2" a="1"/>
  <c r="V137" i="2" s="1"/>
  <c r="AC137" i="2" a="1"/>
  <c r="AC137" i="2" s="1"/>
  <c r="AB137" i="2" a="1"/>
  <c r="AB137" i="2" s="1"/>
  <c r="T137" i="2" a="1"/>
  <c r="T137" i="2" s="1"/>
  <c r="Z137" i="2" a="1"/>
  <c r="Z137" i="2" s="1"/>
  <c r="AG137" i="2" a="1"/>
  <c r="AG137" i="2" s="1"/>
  <c r="U126" i="12" a="1"/>
  <c r="U126" i="12" s="1"/>
  <c r="B68" i="7" a="1"/>
  <c r="B68" i="7" s="1"/>
  <c r="B57" i="6" a="1"/>
  <c r="B57" i="6" s="1"/>
  <c r="B116" i="4" a="1"/>
  <c r="B116" i="4" s="1"/>
  <c r="U177" i="12" a="1"/>
  <c r="U177" i="12" s="1"/>
  <c r="U379" i="12" a="1"/>
  <c r="U379" i="12" s="1"/>
  <c r="U22" i="12" a="1"/>
  <c r="U22" i="12" s="1"/>
  <c r="E144" i="12" a="1"/>
  <c r="E144" i="12" s="1"/>
  <c r="B27" i="7" a="1"/>
  <c r="B27" i="7" s="1"/>
  <c r="B26" i="5" a="1"/>
  <c r="B26" i="5" s="1"/>
  <c r="B48" i="4" a="1"/>
  <c r="B48" i="4" s="1"/>
  <c r="N14" i="3" a="1"/>
  <c r="N14" i="3" s="1"/>
  <c r="Z6" i="2" a="1"/>
  <c r="Z6" i="2" s="1"/>
  <c r="B6" i="8" a="1"/>
  <c r="B6" i="8" s="1"/>
  <c r="AF28" i="2" a="1"/>
  <c r="AF28" i="2" s="1"/>
  <c r="AC28" i="2" a="1"/>
  <c r="AC28" i="2" s="1"/>
  <c r="W12" i="2" a="1"/>
  <c r="W12" i="2" s="1"/>
  <c r="W37" i="2" a="1"/>
  <c r="W37" i="2" s="1"/>
  <c r="Z37" i="2" a="1"/>
  <c r="Z37" i="2" s="1"/>
  <c r="T37" i="2" a="1"/>
  <c r="T37" i="2" s="1"/>
  <c r="AD37" i="2" a="1"/>
  <c r="AD37" i="2" s="1"/>
  <c r="U80" i="12" a="1"/>
  <c r="U80" i="12" s="1"/>
  <c r="X51" i="2" a="1"/>
  <c r="X51" i="2" s="1"/>
  <c r="AA51" i="2" a="1"/>
  <c r="AA51" i="2" s="1"/>
  <c r="W51" i="2" a="1"/>
  <c r="W51" i="2" s="1"/>
  <c r="AD51" i="2" a="1"/>
  <c r="AD51" i="2" s="1"/>
  <c r="AD21" i="2" a="1"/>
  <c r="AD21" i="2" s="1"/>
  <c r="E116" i="12" a="1"/>
  <c r="E116" i="12" s="1"/>
  <c r="X11" i="2" a="1"/>
  <c r="X11" i="2" s="1"/>
  <c r="AE11" i="2" a="1"/>
  <c r="AE11" i="2" s="1"/>
  <c r="D7" i="6" a="1"/>
  <c r="D7" i="6" s="1"/>
  <c r="D14" i="4" a="1"/>
  <c r="D14" i="4" s="1"/>
  <c r="X40" i="2" a="1"/>
  <c r="X40" i="2" s="1"/>
  <c r="AE25" i="2" a="1"/>
  <c r="AE25" i="2" s="1"/>
  <c r="E19" i="12" a="1"/>
  <c r="E19" i="12" s="1"/>
  <c r="AE83" i="2" a="1"/>
  <c r="AE83" i="2" s="1"/>
  <c r="D8" i="7" a="1"/>
  <c r="D8" i="7" s="1"/>
  <c r="D11" i="5" a="1"/>
  <c r="D11" i="5" s="1"/>
  <c r="D18" i="4" a="1"/>
  <c r="D18" i="4" s="1"/>
  <c r="AF41" i="2" a="1"/>
  <c r="AF41" i="2" s="1"/>
  <c r="E12" i="12" a="1"/>
  <c r="E12" i="12" s="1"/>
  <c r="Y95" i="2" a="1"/>
  <c r="Y95" i="2" s="1"/>
  <c r="AF95" i="2" a="1"/>
  <c r="AF95" i="2" s="1"/>
  <c r="AB14" i="2" a="1"/>
  <c r="AB14" i="2" s="1"/>
  <c r="AF46" i="2" a="1"/>
  <c r="AF46" i="2" s="1"/>
  <c r="AD78" i="2" a="1"/>
  <c r="AD78" i="2" s="1"/>
  <c r="AC31" i="2" a="1"/>
  <c r="AC31" i="2" s="1"/>
  <c r="B11" i="7" a="1"/>
  <c r="B11" i="7" s="1"/>
  <c r="B10" i="6" a="1"/>
  <c r="B10" i="6" s="1"/>
  <c r="B21" i="4" a="1"/>
  <c r="B21" i="4" s="1"/>
  <c r="U50" i="12" a="1"/>
  <c r="U50" i="12" s="1"/>
  <c r="Z77" i="2" a="1"/>
  <c r="Z77" i="2" s="1"/>
  <c r="AA90" i="2" a="1"/>
  <c r="AA90" i="2" s="1"/>
  <c r="U49" i="12" a="1"/>
  <c r="U49" i="12" s="1"/>
  <c r="X36" i="2" a="1"/>
  <c r="X36" i="2" s="1"/>
  <c r="D19" i="5" a="1"/>
  <c r="D19" i="5" s="1"/>
  <c r="D34" i="4" a="1"/>
  <c r="D34" i="4" s="1"/>
  <c r="AC119" i="2" a="1"/>
  <c r="AC119" i="2" s="1"/>
  <c r="AG81" i="2" a="1"/>
  <c r="AG81" i="2" s="1"/>
  <c r="AM92" i="2" a="1"/>
  <c r="AM92" i="2" s="1"/>
  <c r="X62" i="2" a="1"/>
  <c r="X62" i="2" s="1"/>
  <c r="U35" i="12" a="1"/>
  <c r="U35" i="12" s="1"/>
  <c r="D22" i="7" a="1"/>
  <c r="D22" i="7" s="1"/>
  <c r="D20" i="5" a="1"/>
  <c r="D20" i="5" s="1"/>
  <c r="D38" i="4" a="1"/>
  <c r="D38" i="4" s="1"/>
  <c r="AM220" i="2" a="1"/>
  <c r="AM220" i="2" s="1"/>
  <c r="AL220" i="2" s="1" a="1"/>
  <c r="AL220" i="2" s="1"/>
  <c r="W89" i="2" a="1"/>
  <c r="W89" i="2" s="1"/>
  <c r="AB120" i="2" a="1"/>
  <c r="AB120" i="2" s="1"/>
  <c r="AP162" i="2" a="1"/>
  <c r="AP162" i="2" s="1"/>
  <c r="E55" i="12" a="1"/>
  <c r="E55" i="12" s="1"/>
  <c r="U25" i="12" a="1"/>
  <c r="U25" i="12" s="1"/>
  <c r="B30" i="5" a="1"/>
  <c r="B30" i="5" s="1"/>
  <c r="B56" i="4" a="1"/>
  <c r="B56" i="4" s="1"/>
  <c r="AM177" i="2" a="1"/>
  <c r="AM177" i="2" s="1"/>
  <c r="AL177" i="2" s="1" a="1"/>
  <c r="AL177" i="2" s="1"/>
  <c r="AC140" i="2" a="1"/>
  <c r="AC140" i="2" s="1"/>
  <c r="AC126" i="2" a="1"/>
  <c r="AC126" i="2" s="1"/>
  <c r="E224" i="12" a="1"/>
  <c r="E224" i="12" s="1"/>
  <c r="AD123" i="2" a="1"/>
  <c r="AD123" i="2" s="1"/>
  <c r="T65" i="2" a="1"/>
  <c r="T65" i="2" s="1"/>
  <c r="D17" i="8" a="1"/>
  <c r="D17" i="8" s="1"/>
  <c r="D35" i="5" a="1"/>
  <c r="D35" i="5" s="1"/>
  <c r="D63" i="4" a="1"/>
  <c r="D63" i="4" s="1"/>
  <c r="AE361" i="2" a="1"/>
  <c r="AE361" i="2" s="1"/>
  <c r="AM32" i="2" a="1"/>
  <c r="AM32" i="2" s="1"/>
  <c r="E69" i="12" a="1"/>
  <c r="E69" i="12" s="1"/>
  <c r="S116" i="2" a="1"/>
  <c r="S116" i="2" s="1"/>
  <c r="T175" i="2" a="1"/>
  <c r="T175" i="2" s="1"/>
  <c r="D27" i="6" a="1"/>
  <c r="D27" i="6" s="1"/>
  <c r="D32" i="5" a="1"/>
  <c r="D32" i="5" s="1"/>
  <c r="D58" i="4" a="1"/>
  <c r="D58" i="4" s="1"/>
  <c r="Z109" i="2" a="1"/>
  <c r="Z109" i="2" s="1"/>
  <c r="AE109" i="2" a="1"/>
  <c r="AE109" i="2" s="1"/>
  <c r="T109" i="2" a="1"/>
  <c r="T109" i="2" s="1"/>
  <c r="Y109" i="2" a="1"/>
  <c r="Y109" i="2" s="1"/>
  <c r="S109" i="2" a="1"/>
  <c r="S109" i="2" s="1"/>
  <c r="W109" i="2" a="1"/>
  <c r="W109" i="2" s="1"/>
  <c r="AB109" i="2" a="1"/>
  <c r="AB109" i="2" s="1"/>
  <c r="AF109" i="2" a="1"/>
  <c r="AF109" i="2" s="1"/>
  <c r="AC109" i="2" a="1"/>
  <c r="AC109" i="2" s="1"/>
  <c r="AD110" i="2" a="1"/>
  <c r="AD110" i="2" s="1"/>
  <c r="D42" i="5" a="1"/>
  <c r="D42" i="5" s="1"/>
  <c r="D77" i="4" a="1"/>
  <c r="D77" i="4" s="1"/>
  <c r="Z203" i="2" a="1"/>
  <c r="Z203" i="2" s="1"/>
  <c r="AE203" i="2" a="1"/>
  <c r="AE203" i="2" s="1"/>
  <c r="T203" i="2" a="1"/>
  <c r="T203" i="2" s="1"/>
  <c r="Y203" i="2" a="1"/>
  <c r="Y203" i="2" s="1"/>
  <c r="AC203" i="2" a="1"/>
  <c r="AC203" i="2" s="1"/>
  <c r="W203" i="2" a="1"/>
  <c r="W203" i="2" s="1"/>
  <c r="AB203" i="2" a="1"/>
  <c r="AB203" i="2" s="1"/>
  <c r="AF203" i="2" a="1"/>
  <c r="AF203" i="2" s="1"/>
  <c r="AE301" i="2" a="1"/>
  <c r="AE301" i="2" s="1"/>
  <c r="T325" i="2" a="1"/>
  <c r="T325" i="2" s="1"/>
  <c r="E253" i="12" a="1"/>
  <c r="E253" i="12" s="1"/>
  <c r="D50" i="5" a="1"/>
  <c r="D50" i="5" s="1"/>
  <c r="D96" i="4" a="1"/>
  <c r="D96" i="4" s="1"/>
  <c r="B56" i="8" a="1"/>
  <c r="B56" i="8" s="1"/>
  <c r="D55" i="7" a="1"/>
  <c r="D55" i="7" s="1"/>
  <c r="D46" i="6" a="1"/>
  <c r="D46" i="6" s="1"/>
  <c r="D95" i="4" a="1"/>
  <c r="D95" i="4" s="1"/>
  <c r="B57" i="7" a="1"/>
  <c r="B57" i="7" s="1"/>
  <c r="B54" i="5" a="1"/>
  <c r="B54" i="5" s="1"/>
  <c r="B101" i="4" a="1"/>
  <c r="B101" i="4" s="1"/>
  <c r="D52" i="6" a="1"/>
  <c r="D52" i="6" s="1"/>
  <c r="D61" i="7" a="1"/>
  <c r="D61" i="7" s="1"/>
  <c r="D106" i="4" a="1"/>
  <c r="D106" i="4" s="1"/>
  <c r="E452" i="12" a="1"/>
  <c r="E452" i="12" s="1"/>
  <c r="AL346" i="2" a="1"/>
  <c r="AL346" i="2" s="1"/>
  <c r="V330" i="2" a="1"/>
  <c r="V330" i="2" s="1"/>
  <c r="T330" i="2" a="1"/>
  <c r="T330" i="2" s="1"/>
  <c r="W330" i="2" a="1"/>
  <c r="W330" i="2" s="1"/>
  <c r="E9" i="12" a="1"/>
  <c r="E9" i="12" s="1"/>
  <c r="E31" i="12" a="1"/>
  <c r="E31" i="12" s="1"/>
  <c r="E2" i="12" a="1"/>
  <c r="E2" i="12" s="1"/>
  <c r="J2" i="3" a="1"/>
  <c r="J2" i="3" s="1"/>
  <c r="X4" i="2" a="1"/>
  <c r="X4" i="2" s="1"/>
  <c r="N10" i="3" a="1"/>
  <c r="N10" i="3" s="1"/>
  <c r="U33" i="12" a="1"/>
  <c r="U33" i="12" s="1"/>
  <c r="W28" i="2" a="1"/>
  <c r="W28" i="2" s="1"/>
  <c r="AD28" i="2" a="1"/>
  <c r="AD28" i="2" s="1"/>
  <c r="AG12" i="2" a="1"/>
  <c r="AG12" i="2" s="1"/>
  <c r="V12" i="2" a="1"/>
  <c r="V12" i="2" s="1"/>
  <c r="AD12" i="2" a="1"/>
  <c r="AD12" i="2" s="1"/>
  <c r="S12" i="2" a="1"/>
  <c r="S12" i="2" s="1"/>
  <c r="AE12" i="2" a="1"/>
  <c r="AE12" i="2" s="1"/>
  <c r="U9" i="12" a="1"/>
  <c r="U9" i="12" s="1"/>
  <c r="X37" i="2" a="1"/>
  <c r="X37" i="2" s="1"/>
  <c r="AE37" i="2" a="1"/>
  <c r="AE37" i="2" s="1"/>
  <c r="AE51" i="2" a="1"/>
  <c r="AE51" i="2" s="1"/>
  <c r="D5" i="7" a="1"/>
  <c r="D5" i="7" s="1"/>
  <c r="D5" i="6" a="1"/>
  <c r="D5" i="6" s="1"/>
  <c r="D12" i="4" a="1"/>
  <c r="D12" i="4" s="1"/>
  <c r="Y40" i="2" a="1"/>
  <c r="Y40" i="2" s="1"/>
  <c r="Y25" i="2" a="1"/>
  <c r="Y25" i="2" s="1"/>
  <c r="V49" i="2" a="1"/>
  <c r="V49" i="2" s="1"/>
  <c r="S41" i="2" a="1"/>
  <c r="S41" i="2" s="1"/>
  <c r="Z41" i="2" a="1"/>
  <c r="Z41" i="2" s="1"/>
  <c r="V14" i="2" a="1"/>
  <c r="V14" i="2" s="1"/>
  <c r="Z46" i="2" a="1"/>
  <c r="Z46" i="2" s="1"/>
  <c r="AG46" i="2" a="1"/>
  <c r="AG46" i="2" s="1"/>
  <c r="W78" i="2" a="1"/>
  <c r="W78" i="2" s="1"/>
  <c r="S63" i="2" a="1"/>
  <c r="S63" i="2" s="1"/>
  <c r="E29" i="12" a="1"/>
  <c r="E29" i="12" s="1"/>
  <c r="E86" i="12" a="1"/>
  <c r="E86" i="12" s="1"/>
  <c r="S77" i="2" a="1"/>
  <c r="S77" i="2" s="1"/>
  <c r="AK26" i="2" a="1"/>
  <c r="AK26" i="2" s="1"/>
  <c r="S56" i="2" a="1"/>
  <c r="S56" i="2" s="1"/>
  <c r="AK64" i="2" a="1"/>
  <c r="AK64" i="2" s="1"/>
  <c r="AE119" i="2" a="1"/>
  <c r="AE119" i="2" s="1"/>
  <c r="AC24" i="2" a="1"/>
  <c r="AC24" i="2" s="1"/>
  <c r="AA97" i="2" a="1"/>
  <c r="AA97" i="2" s="1"/>
  <c r="X81" i="2" a="1"/>
  <c r="X81" i="2" s="1"/>
  <c r="U52" i="12" a="1"/>
  <c r="U52" i="12" s="1"/>
  <c r="U36" i="12" a="1"/>
  <c r="U36" i="12" s="1"/>
  <c r="E38" i="12" a="1"/>
  <c r="E38" i="12" s="1"/>
  <c r="Y62" i="2" a="1"/>
  <c r="Y62" i="2" s="1"/>
  <c r="D22" i="5" a="1"/>
  <c r="D22" i="5" s="1"/>
  <c r="D41" i="4" a="1"/>
  <c r="D41" i="4" s="1"/>
  <c r="E40" i="12" a="1"/>
  <c r="E40" i="12" s="1"/>
  <c r="S120" i="2" a="1"/>
  <c r="S120" i="2" s="1"/>
  <c r="D24" i="5" a="1"/>
  <c r="D24" i="5" s="1"/>
  <c r="D46" i="4" a="1"/>
  <c r="D46" i="4" s="1"/>
  <c r="AN55" i="2" a="1"/>
  <c r="AN55" i="2" s="1"/>
  <c r="S129" i="2" a="1"/>
  <c r="S129" i="2" s="1"/>
  <c r="AD129" i="2" a="1"/>
  <c r="AD129" i="2" s="1"/>
  <c r="AC35" i="2" a="1"/>
  <c r="AC35" i="2" s="1"/>
  <c r="AC125" i="2" a="1"/>
  <c r="AC125" i="2" s="1"/>
  <c r="W125" i="2" a="1"/>
  <c r="W125" i="2" s="1"/>
  <c r="AB125" i="2" a="1"/>
  <c r="AB125" i="2" s="1"/>
  <c r="Z125" i="2" a="1"/>
  <c r="Z125" i="2" s="1"/>
  <c r="AE125" i="2" a="1"/>
  <c r="AE125" i="2" s="1"/>
  <c r="T125" i="2" a="1"/>
  <c r="T125" i="2" s="1"/>
  <c r="X125" i="2" a="1"/>
  <c r="X125" i="2" s="1"/>
  <c r="E202" i="12" a="1"/>
  <c r="E202" i="12" s="1"/>
  <c r="AC71" i="2" a="1"/>
  <c r="AC71" i="2" s="1"/>
  <c r="AB335" i="2" a="1"/>
  <c r="AB335" i="2" s="1"/>
  <c r="AA68" i="2" a="1"/>
  <c r="AA68" i="2" s="1"/>
  <c r="AF68" i="2" a="1"/>
  <c r="AF68" i="2" s="1"/>
  <c r="Z68" i="2" a="1"/>
  <c r="Z68" i="2" s="1"/>
  <c r="X68" i="2" a="1"/>
  <c r="X68" i="2" s="1"/>
  <c r="AC68" i="2" a="1"/>
  <c r="AC68" i="2" s="1"/>
  <c r="AG68" i="2" a="1"/>
  <c r="AG68" i="2" s="1"/>
  <c r="V68" i="2" a="1"/>
  <c r="V68" i="2" s="1"/>
  <c r="D33" i="5" a="1"/>
  <c r="D33" i="5" s="1"/>
  <c r="D61" i="4" a="1"/>
  <c r="D61" i="4" s="1"/>
  <c r="AE140" i="2" a="1"/>
  <c r="AE140" i="2" s="1"/>
  <c r="D30" i="7" a="1"/>
  <c r="D30" i="7" s="1"/>
  <c r="D26" i="6" a="1"/>
  <c r="D26" i="6" s="1"/>
  <c r="D55" i="4" a="1"/>
  <c r="D55" i="4" s="1"/>
  <c r="E77" i="12" a="1"/>
  <c r="E77" i="12" s="1"/>
  <c r="AN32" i="2" a="1"/>
  <c r="AN32" i="2" s="1"/>
  <c r="AG357" i="2" a="1"/>
  <c r="AG357" i="2" s="1"/>
  <c r="T116" i="2" a="1"/>
  <c r="T116" i="2" s="1"/>
  <c r="AG116" i="2" a="1"/>
  <c r="AG116" i="2" s="1"/>
  <c r="E146" i="12" a="1"/>
  <c r="E146" i="12" s="1"/>
  <c r="AC48" i="2" a="1"/>
  <c r="AC48" i="2" s="1"/>
  <c r="AE148" i="2" a="1"/>
  <c r="AE148" i="2" s="1"/>
  <c r="AM102" i="2" a="1"/>
  <c r="AM102" i="2" s="1"/>
  <c r="E95" i="12" a="1"/>
  <c r="E95" i="12" s="1"/>
  <c r="E292" i="12" a="1"/>
  <c r="E292" i="12" s="1"/>
  <c r="T108" i="2" a="1"/>
  <c r="T108" i="2" s="1"/>
  <c r="AG108" i="2" a="1"/>
  <c r="AG108" i="2" s="1"/>
  <c r="D35" i="7" a="1"/>
  <c r="D35" i="7" s="1"/>
  <c r="D30" i="6" a="1"/>
  <c r="D30" i="6" s="1"/>
  <c r="D66" i="4" a="1"/>
  <c r="D66" i="4" s="1"/>
  <c r="Z224" i="2" a="1"/>
  <c r="Z224" i="2" s="1"/>
  <c r="AE224" i="2" a="1"/>
  <c r="AE224" i="2" s="1"/>
  <c r="T224" i="2" a="1"/>
  <c r="T224" i="2" s="1"/>
  <c r="Y224" i="2" a="1"/>
  <c r="Y224" i="2" s="1"/>
  <c r="AC224" i="2" a="1"/>
  <c r="AC224" i="2" s="1"/>
  <c r="W224" i="2" a="1"/>
  <c r="W224" i="2" s="1"/>
  <c r="AB224" i="2" a="1"/>
  <c r="AB224" i="2" s="1"/>
  <c r="AF224" i="2" a="1"/>
  <c r="AF224" i="2" s="1"/>
  <c r="AE163" i="2" a="1"/>
  <c r="AE163" i="2" s="1"/>
  <c r="T132" i="2" a="1"/>
  <c r="T132" i="2" s="1"/>
  <c r="Y192" i="2" a="1"/>
  <c r="Y192" i="2" s="1"/>
  <c r="AD192" i="2" a="1"/>
  <c r="AD192" i="2" s="1"/>
  <c r="S192" i="2" a="1"/>
  <c r="S192" i="2" s="1"/>
  <c r="X192" i="2" a="1"/>
  <c r="X192" i="2" s="1"/>
  <c r="AG192" i="2" a="1"/>
  <c r="AG192" i="2" s="1"/>
  <c r="V192" i="2" a="1"/>
  <c r="V192" i="2" s="1"/>
  <c r="AA192" i="2" a="1"/>
  <c r="AA192" i="2" s="1"/>
  <c r="AF192" i="2" a="1"/>
  <c r="AF192" i="2" s="1"/>
  <c r="AE192" i="2" a="1"/>
  <c r="AE192" i="2" s="1"/>
  <c r="T192" i="2" a="1"/>
  <c r="T192" i="2" s="1"/>
  <c r="U28" i="12" a="1"/>
  <c r="U28" i="12" s="1"/>
  <c r="E96" i="12" a="1"/>
  <c r="E96" i="12" s="1"/>
  <c r="S240" i="2" a="1"/>
  <c r="S240" i="2" s="1"/>
  <c r="AE240" i="2" a="1"/>
  <c r="AE240" i="2" s="1"/>
  <c r="W240" i="2" a="1"/>
  <c r="W240" i="2" s="1"/>
  <c r="E128" i="12" a="1"/>
  <c r="E128" i="12" s="1"/>
  <c r="Y209" i="2" a="1"/>
  <c r="Y209" i="2" s="1"/>
  <c r="X209" i="2" a="1"/>
  <c r="X209" i="2" s="1"/>
  <c r="AC209" i="2" a="1"/>
  <c r="AC209" i="2" s="1"/>
  <c r="W209" i="2" a="1"/>
  <c r="W209" i="2" s="1"/>
  <c r="AA209" i="2" a="1"/>
  <c r="AA209" i="2" s="1"/>
  <c r="AD209" i="2" a="1"/>
  <c r="AD209" i="2" s="1"/>
  <c r="AB209" i="2" a="1"/>
  <c r="AB209" i="2" s="1"/>
  <c r="T209" i="2" a="1"/>
  <c r="T209" i="2" s="1"/>
  <c r="S209" i="2" a="1"/>
  <c r="S209" i="2" s="1"/>
  <c r="Z209" i="2" a="1"/>
  <c r="Z209" i="2" s="1"/>
  <c r="AG209" i="2" a="1"/>
  <c r="AG209" i="2" s="1"/>
  <c r="AF209" i="2" a="1"/>
  <c r="AF209" i="2" s="1"/>
  <c r="V209" i="2" a="1"/>
  <c r="V209" i="2" s="1"/>
  <c r="AE209" i="2" a="1"/>
  <c r="AE209" i="2" s="1"/>
  <c r="U387" i="12" a="1"/>
  <c r="U387" i="12" s="1"/>
  <c r="B74" i="7" a="1"/>
  <c r="B74" i="7" s="1"/>
  <c r="B64" i="6" a="1"/>
  <c r="B64" i="6" s="1"/>
  <c r="B126" i="4" a="1"/>
  <c r="B126" i="4" s="1"/>
  <c r="U366" i="12" a="1"/>
  <c r="U366" i="12" s="1"/>
  <c r="Z90" i="2" a="1"/>
  <c r="Z90" i="2" s="1"/>
  <c r="T90" i="2" a="1"/>
  <c r="T90" i="2" s="1"/>
  <c r="U90" i="2" s="1" a="1"/>
  <c r="U90" i="2" s="1"/>
  <c r="AE90" i="2" a="1"/>
  <c r="AE90" i="2" s="1"/>
  <c r="Y90" i="2" a="1"/>
  <c r="Y90" i="2" s="1"/>
  <c r="W90" i="2" a="1"/>
  <c r="W90" i="2" s="1"/>
  <c r="B24" i="7" a="1"/>
  <c r="B24" i="7" s="1"/>
  <c r="B43" i="4" a="1"/>
  <c r="B43" i="4" s="1"/>
  <c r="D4" i="8" a="1"/>
  <c r="D4" i="8" s="1"/>
  <c r="D14" i="3" a="1"/>
  <c r="D14" i="3" s="1"/>
  <c r="E16" i="12" a="1"/>
  <c r="E16" i="12" s="1"/>
  <c r="AC95" i="2" a="1"/>
  <c r="AC95" i="2" s="1"/>
  <c r="W95" i="2" a="1"/>
  <c r="W95" i="2" s="1"/>
  <c r="Z95" i="2" a="1"/>
  <c r="Z95" i="2" s="1"/>
  <c r="X95" i="2" a="1"/>
  <c r="X95" i="2" s="1"/>
  <c r="U47" i="12" a="1"/>
  <c r="U47" i="12" s="1"/>
  <c r="E30" i="12" a="1"/>
  <c r="E30" i="12" s="1"/>
  <c r="U118" i="12" a="1"/>
  <c r="U118" i="12" s="1"/>
  <c r="D24" i="7" a="1"/>
  <c r="D24" i="7" s="1"/>
  <c r="D43" i="4" a="1"/>
  <c r="D43" i="4" s="1"/>
  <c r="U16" i="12" a="1"/>
  <c r="U16" i="12" s="1"/>
  <c r="AE22" i="2" a="1"/>
  <c r="AE22" i="2" s="1"/>
  <c r="Y22" i="2" a="1"/>
  <c r="Y22" i="2" s="1"/>
  <c r="AB22" i="2" a="1"/>
  <c r="AB22" i="2" s="1"/>
  <c r="S4" i="2" a="1"/>
  <c r="S4" i="2" s="1"/>
  <c r="I14" i="3" a="1"/>
  <c r="I14" i="3" s="1"/>
  <c r="X2" i="2" a="1"/>
  <c r="X2" i="2" s="1"/>
  <c r="AA2" i="2" a="1"/>
  <c r="AA2" i="2" s="1"/>
  <c r="E20" i="12" a="1"/>
  <c r="E20" i="12" s="1"/>
  <c r="B16" i="5" a="1"/>
  <c r="B16" i="5" s="1"/>
  <c r="B31" i="4" a="1"/>
  <c r="B31" i="4" s="1"/>
  <c r="E42" i="12" a="1"/>
  <c r="E42" i="12" s="1"/>
  <c r="U42" i="12" a="1"/>
  <c r="U42" i="12" s="1"/>
  <c r="D17" i="7" a="1"/>
  <c r="D17" i="7" s="1"/>
  <c r="D16" i="6" a="1"/>
  <c r="D16" i="6" s="1"/>
  <c r="D29" i="4" a="1"/>
  <c r="D29" i="4" s="1"/>
  <c r="E53" i="12" a="1"/>
  <c r="E53" i="12" s="1"/>
  <c r="Y98" i="2" a="1"/>
  <c r="Y98" i="2" s="1"/>
  <c r="S98" i="2" a="1"/>
  <c r="S98" i="2" s="1"/>
  <c r="AD98" i="2" a="1"/>
  <c r="AD98" i="2" s="1"/>
  <c r="X98" i="2" a="1"/>
  <c r="X98" i="2" s="1"/>
  <c r="AC98" i="2" a="1"/>
  <c r="AC98" i="2" s="1"/>
  <c r="AG98" i="2" a="1"/>
  <c r="AG98" i="2" s="1"/>
  <c r="V98" i="2" a="1"/>
  <c r="V98" i="2" s="1"/>
  <c r="AA98" i="2" a="1"/>
  <c r="AA98" i="2" s="1"/>
  <c r="AE98" i="2" a="1"/>
  <c r="AE98" i="2" s="1"/>
  <c r="T98" i="2" a="1"/>
  <c r="T98" i="2" s="1"/>
  <c r="E46" i="12" a="1"/>
  <c r="E46" i="12" s="1"/>
  <c r="S244" i="2" a="1"/>
  <c r="S244" i="2" s="1"/>
  <c r="Y114" i="2" a="1"/>
  <c r="Y114" i="2" s="1"/>
  <c r="AD114" i="2" a="1"/>
  <c r="AD114" i="2" s="1"/>
  <c r="S114" i="2" a="1"/>
  <c r="S114" i="2" s="1"/>
  <c r="X114" i="2" a="1"/>
  <c r="X114" i="2" s="1"/>
  <c r="AG114" i="2" a="1"/>
  <c r="AG114" i="2" s="1"/>
  <c r="V114" i="2" a="1"/>
  <c r="V114" i="2" s="1"/>
  <c r="AA114" i="2" a="1"/>
  <c r="AA114" i="2" s="1"/>
  <c r="AE114" i="2" a="1"/>
  <c r="AE114" i="2" s="1"/>
  <c r="T114" i="2" a="1"/>
  <c r="T114" i="2" s="1"/>
  <c r="AC114" i="2" a="1"/>
  <c r="AC114" i="2" s="1"/>
  <c r="E79" i="12" a="1"/>
  <c r="E79" i="12" s="1"/>
  <c r="E104" i="12" a="1"/>
  <c r="E104" i="12" s="1"/>
  <c r="T301" i="2" a="1"/>
  <c r="T301" i="2" s="1"/>
  <c r="AG301" i="2" a="1"/>
  <c r="AG301" i="2" s="1"/>
  <c r="D37" i="7" a="1"/>
  <c r="D37" i="7" s="1"/>
  <c r="D68" i="4" a="1"/>
  <c r="D68" i="4" s="1"/>
  <c r="E28" i="12" a="1"/>
  <c r="E28" i="12" s="1"/>
  <c r="S208" i="2" a="1"/>
  <c r="S208" i="2" s="1"/>
  <c r="W635" i="12" a="1"/>
  <c r="W635" i="12" s="1"/>
  <c r="AM47" i="2" a="1"/>
  <c r="AM47" i="2" s="1"/>
  <c r="AK47" i="2" a="1"/>
  <c r="AK47" i="2" s="1"/>
  <c r="AP47" i="2" a="1"/>
  <c r="AP47" i="2" s="1"/>
  <c r="AO47" i="2" a="1"/>
  <c r="AO47" i="2" s="1"/>
  <c r="U81" i="12" a="1"/>
  <c r="U81" i="12" s="1"/>
  <c r="S96" i="2" a="1"/>
  <c r="S96" i="2" s="1"/>
  <c r="AE96" i="2" a="1"/>
  <c r="AE96" i="2" s="1"/>
  <c r="W96" i="2" a="1"/>
  <c r="W96" i="2" s="1"/>
  <c r="D53" i="7" a="1"/>
  <c r="D53" i="7" s="1"/>
  <c r="D91" i="4" a="1"/>
  <c r="D91" i="4" s="1"/>
  <c r="AF76" i="2" a="1"/>
  <c r="AF76" i="2" s="1"/>
  <c r="AE76" i="2" a="1"/>
  <c r="AE76" i="2" s="1"/>
  <c r="T76" i="2" a="1"/>
  <c r="T76" i="2" s="1"/>
  <c r="Y76" i="2" a="1"/>
  <c r="Y76" i="2" s="1"/>
  <c r="S76" i="2" a="1"/>
  <c r="S76" i="2" s="1"/>
  <c r="W76" i="2" a="1"/>
  <c r="W76" i="2" s="1"/>
  <c r="AD76" i="2" a="1"/>
  <c r="AD76" i="2" s="1"/>
  <c r="AC76" i="2" a="1"/>
  <c r="AC76" i="2" s="1"/>
  <c r="AB76" i="2" a="1"/>
  <c r="AB76" i="2" s="1"/>
  <c r="AA76" i="2" a="1"/>
  <c r="AA76" i="2" s="1"/>
  <c r="Z76" i="2" a="1"/>
  <c r="Z76" i="2" s="1"/>
  <c r="X76" i="2" a="1"/>
  <c r="X76" i="2" s="1"/>
  <c r="AG76" i="2" a="1"/>
  <c r="AG76" i="2" s="1"/>
  <c r="V76" i="2" a="1"/>
  <c r="V76" i="2" s="1"/>
  <c r="E145" i="12" a="1"/>
  <c r="E145" i="12" s="1"/>
  <c r="AD146" i="2" a="1"/>
  <c r="AD146" i="2" s="1"/>
  <c r="X146" i="2" a="1"/>
  <c r="X146" i="2" s="1"/>
  <c r="AF146" i="2" a="1"/>
  <c r="AF146" i="2" s="1"/>
  <c r="Z146" i="2" a="1"/>
  <c r="Z146" i="2" s="1"/>
  <c r="T146" i="2" a="1"/>
  <c r="T146" i="2" s="1"/>
  <c r="AB146" i="2" a="1"/>
  <c r="AB146" i="2" s="1"/>
  <c r="V146" i="2" a="1"/>
  <c r="V146" i="2" s="1"/>
  <c r="S146" i="2" a="1"/>
  <c r="S146" i="2" s="1"/>
  <c r="AE146" i="2" a="1"/>
  <c r="AE146" i="2" s="1"/>
  <c r="AC146" i="2" a="1"/>
  <c r="AC146" i="2" s="1"/>
  <c r="AA146" i="2" a="1"/>
  <c r="AA146" i="2" s="1"/>
  <c r="Y146" i="2" a="1"/>
  <c r="Y146" i="2" s="1"/>
  <c r="W146" i="2" a="1"/>
  <c r="W146" i="2" s="1"/>
  <c r="AG146" i="2" a="1"/>
  <c r="AG146" i="2" s="1"/>
  <c r="B77" i="7" a="1"/>
  <c r="B77" i="7" s="1"/>
  <c r="B67" i="6" a="1"/>
  <c r="B67" i="6" s="1"/>
  <c r="B130" i="4" a="1"/>
  <c r="B130" i="4" s="1"/>
  <c r="Y130" i="2" a="1"/>
  <c r="Y130" i="2" s="1"/>
  <c r="AD130" i="2" a="1"/>
  <c r="AD130" i="2" s="1"/>
  <c r="S130" i="2" a="1"/>
  <c r="S130" i="2" s="1"/>
  <c r="AB130" i="2" a="1"/>
  <c r="AB130" i="2" s="1"/>
  <c r="V130" i="2" a="1"/>
  <c r="V130" i="2" s="1"/>
  <c r="AE130" i="2" a="1"/>
  <c r="AE130" i="2" s="1"/>
  <c r="T130" i="2" a="1"/>
  <c r="T130" i="2" s="1"/>
  <c r="B22" i="7" a="1"/>
  <c r="B22" i="7" s="1"/>
  <c r="B20" i="5" a="1"/>
  <c r="B20" i="5" s="1"/>
  <c r="B38" i="4" a="1"/>
  <c r="B38" i="4" s="1"/>
  <c r="E63" i="12" a="1"/>
  <c r="E63" i="12" s="1"/>
  <c r="B9" i="8" a="1"/>
  <c r="B9" i="8" s="1"/>
  <c r="AF11" i="2" a="1"/>
  <c r="AF11" i="2" s="1"/>
  <c r="AC11" i="2" a="1"/>
  <c r="AC11" i="2" s="1"/>
  <c r="W669" i="12" a="1"/>
  <c r="W669" i="12" s="1"/>
  <c r="I25" i="3" a="1"/>
  <c r="I25" i="3" s="1"/>
  <c r="I28" i="3" s="1" a="1"/>
  <c r="I28" i="3" s="1"/>
  <c r="AP15" i="2" a="1"/>
  <c r="AP15" i="2" s="1"/>
  <c r="AM15" i="2" a="1"/>
  <c r="AM15" i="2" s="1"/>
  <c r="B7" i="7" a="1"/>
  <c r="B7" i="7" s="1"/>
  <c r="B17" i="4" a="1"/>
  <c r="B17" i="4" s="1"/>
  <c r="AF83" i="2" a="1"/>
  <c r="AF83" i="2" s="1"/>
  <c r="X83" i="2" a="1"/>
  <c r="X83" i="2" s="1"/>
  <c r="AD83" i="2" a="1"/>
  <c r="AD83" i="2" s="1"/>
  <c r="U24" i="12" a="1"/>
  <c r="U24" i="12" s="1"/>
  <c r="AE41" i="2" a="1"/>
  <c r="AE41" i="2" s="1"/>
  <c r="U134" i="12" a="1"/>
  <c r="U134" i="12" s="1"/>
  <c r="X46" i="2" a="1"/>
  <c r="X46" i="2" s="1"/>
  <c r="AE46" i="2" a="1"/>
  <c r="AE46" i="2" s="1"/>
  <c r="D10" i="7" a="1"/>
  <c r="D10" i="7" s="1"/>
  <c r="D13" i="5" a="1"/>
  <c r="D13" i="5" s="1"/>
  <c r="D9" i="6" a="1"/>
  <c r="D9" i="6" s="1"/>
  <c r="D20" i="4" a="1"/>
  <c r="D20" i="4" s="1"/>
  <c r="E34" i="12" a="1"/>
  <c r="E34" i="12" s="1"/>
  <c r="U45" i="12" a="1"/>
  <c r="U45" i="12" s="1"/>
  <c r="W11" i="2" a="1"/>
  <c r="W11" i="2" s="1"/>
  <c r="AG40" i="2" a="1"/>
  <c r="AG40" i="2" s="1"/>
  <c r="V40" i="2" a="1"/>
  <c r="V40" i="2" s="1"/>
  <c r="AD40" i="2" a="1"/>
  <c r="AD40" i="2" s="1"/>
  <c r="S40" i="2" a="1"/>
  <c r="S40" i="2" s="1"/>
  <c r="AG63" i="2" a="1"/>
  <c r="AG63" i="2" s="1"/>
  <c r="AF107" i="2" a="1"/>
  <c r="AF107" i="2" s="1"/>
  <c r="Z107" i="2" a="1"/>
  <c r="Z107" i="2" s="1"/>
  <c r="X107" i="2" a="1"/>
  <c r="X107" i="2" s="1"/>
  <c r="AG107" i="2" a="1"/>
  <c r="AG107" i="2" s="1"/>
  <c r="AD34" i="2" a="1"/>
  <c r="AD34" i="2" s="1"/>
  <c r="S34" i="2" a="1"/>
  <c r="S34" i="2" s="1"/>
  <c r="X34" i="2" a="1"/>
  <c r="X34" i="2" s="1"/>
  <c r="AG34" i="2" a="1"/>
  <c r="AG34" i="2" s="1"/>
  <c r="AA34" i="2" a="1"/>
  <c r="AA34" i="2" s="1"/>
  <c r="E39" i="12" a="1"/>
  <c r="E39" i="12" s="1"/>
  <c r="W617" i="12" a="1"/>
  <c r="W617" i="12" s="1"/>
  <c r="AM26" i="2" a="1"/>
  <c r="AM26" i="2" s="1"/>
  <c r="AP26" i="2" a="1"/>
  <c r="AP26" i="2" s="1"/>
  <c r="U30" i="12" a="1"/>
  <c r="U30" i="12" s="1"/>
  <c r="W645" i="12" a="1"/>
  <c r="W645" i="12" s="1"/>
  <c r="AN27" i="2" a="1"/>
  <c r="AN27" i="2" s="1"/>
  <c r="D25" i="7" a="1"/>
  <c r="D25" i="7" s="1"/>
  <c r="D22" i="6" a="1"/>
  <c r="D22" i="6" s="1"/>
  <c r="D44" i="4" a="1"/>
  <c r="D44" i="4" s="1"/>
  <c r="B23" i="5" a="1"/>
  <c r="B23" i="5" s="1"/>
  <c r="B21" i="6" a="1"/>
  <c r="B21" i="6" s="1"/>
  <c r="B42" i="4" a="1"/>
  <c r="B42" i="4" s="1"/>
  <c r="AF25" i="2" a="1"/>
  <c r="AF25" i="2" s="1"/>
  <c r="B9" i="7" a="1"/>
  <c r="B9" i="7" s="1"/>
  <c r="B12" i="5" a="1"/>
  <c r="B12" i="5" s="1"/>
  <c r="B19" i="4" a="1"/>
  <c r="B19" i="4" s="1"/>
  <c r="U130" i="12" a="1"/>
  <c r="U130" i="12" s="1"/>
  <c r="AA63" i="2" a="1"/>
  <c r="AA63" i="2" s="1"/>
  <c r="S107" i="2" a="1"/>
  <c r="S107" i="2" s="1"/>
  <c r="AA107" i="2" a="1"/>
  <c r="AA107" i="2" s="1"/>
  <c r="T77" i="2" a="1"/>
  <c r="T77" i="2" s="1"/>
  <c r="AB56" i="2" a="1"/>
  <c r="AB56" i="2" s="1"/>
  <c r="B18" i="5" a="1"/>
  <c r="B18" i="5" s="1"/>
  <c r="B33" i="4" a="1"/>
  <c r="B33" i="4" s="1"/>
  <c r="AB90" i="2" a="1"/>
  <c r="AB90" i="2" s="1"/>
  <c r="AK27" i="2" a="1"/>
  <c r="AK27" i="2" s="1"/>
  <c r="U122" i="12" a="1"/>
  <c r="U122" i="12" s="1"/>
  <c r="D27" i="7" a="1"/>
  <c r="D27" i="7" s="1"/>
  <c r="D26" i="5" a="1"/>
  <c r="D26" i="5" s="1"/>
  <c r="D48" i="4" a="1"/>
  <c r="D48" i="4" s="1"/>
  <c r="B28" i="5" a="1"/>
  <c r="B28" i="5" s="1"/>
  <c r="B51" i="4" a="1"/>
  <c r="B51" i="4" s="1"/>
  <c r="E305" i="12" a="1"/>
  <c r="E305" i="12" s="1"/>
  <c r="B24" i="6" a="1"/>
  <c r="B24" i="6" s="1"/>
  <c r="B29" i="5" a="1"/>
  <c r="B29" i="5" s="1"/>
  <c r="B52" i="4" a="1"/>
  <c r="B52" i="4" s="1"/>
  <c r="E54" i="12" a="1"/>
  <c r="E54" i="12" s="1"/>
  <c r="U224" i="12" a="1"/>
  <c r="U224" i="12" s="1"/>
  <c r="B38" i="8" a="1"/>
  <c r="B38" i="8" s="1"/>
  <c r="AG3" i="2" a="1"/>
  <c r="AG3" i="2" s="1"/>
  <c r="V3" i="2" a="1"/>
  <c r="V3" i="2" s="1"/>
  <c r="AD3" i="2" a="1"/>
  <c r="AD3" i="2" s="1"/>
  <c r="S3" i="2" a="1"/>
  <c r="S3" i="2" s="1"/>
  <c r="T4" i="2" a="1"/>
  <c r="T4" i="2" s="1"/>
  <c r="AA4" i="2" a="1"/>
  <c r="AA4" i="2" s="1"/>
  <c r="U2" i="12" a="1"/>
  <c r="U2" i="12" s="1"/>
  <c r="Z2" i="3" a="1"/>
  <c r="Z2" i="3" s="1"/>
  <c r="X9" i="2" a="1"/>
  <c r="X9" i="2" s="1"/>
  <c r="E6" i="12" a="1"/>
  <c r="E6" i="12" s="1"/>
  <c r="X22" i="2" a="1"/>
  <c r="X22" i="2" s="1"/>
  <c r="AF12" i="2" a="1"/>
  <c r="AF12" i="2" s="1"/>
  <c r="B7" i="5" a="1"/>
  <c r="B7" i="5" s="1"/>
  <c r="B4" i="6" a="1"/>
  <c r="B4" i="6" s="1"/>
  <c r="B9" i="4" a="1"/>
  <c r="B9" i="4" s="1"/>
  <c r="Y51" i="2" a="1"/>
  <c r="Y51" i="2" s="1"/>
  <c r="S11" i="2" a="1"/>
  <c r="S11" i="2" s="1"/>
  <c r="AG11" i="2" a="1"/>
  <c r="AG11" i="2" s="1"/>
  <c r="T63" i="2" a="1"/>
  <c r="T63" i="2" s="1"/>
  <c r="B13" i="7" a="1"/>
  <c r="B13" i="7" s="1"/>
  <c r="B12" i="6" a="1"/>
  <c r="B12" i="6" s="1"/>
  <c r="B23" i="4" a="1"/>
  <c r="B23" i="4" s="1"/>
  <c r="E35" i="12" a="1"/>
  <c r="E35" i="12" s="1"/>
  <c r="Z62" i="2" a="1"/>
  <c r="Z62" i="2" s="1"/>
  <c r="W130" i="2" a="1"/>
  <c r="W130" i="2" s="1"/>
  <c r="AF130" i="2" a="1"/>
  <c r="AF130" i="2" s="1"/>
  <c r="W70" i="2" a="1"/>
  <c r="W70" i="2" s="1"/>
  <c r="B11" i="9" a="1"/>
  <c r="B11" i="9" s="1"/>
  <c r="AO220" i="2" a="1"/>
  <c r="AO220" i="2" s="1"/>
  <c r="V120" i="2" a="1"/>
  <c r="V120" i="2" s="1"/>
  <c r="AD120" i="2" a="1"/>
  <c r="AD120" i="2" s="1"/>
  <c r="X154" i="2" a="1"/>
  <c r="X154" i="2" s="1"/>
  <c r="AC154" i="2" a="1"/>
  <c r="AC154" i="2" s="1"/>
  <c r="AA154" i="2" a="1"/>
  <c r="AA154" i="2" s="1"/>
  <c r="AD154" i="2" a="1"/>
  <c r="AD154" i="2" s="1"/>
  <c r="S154" i="2" a="1"/>
  <c r="S154" i="2" s="1"/>
  <c r="W65" i="2" a="1"/>
  <c r="W65" i="2" s="1"/>
  <c r="V108" i="2" a="1"/>
  <c r="V108" i="2" s="1"/>
  <c r="B34" i="7" a="1"/>
  <c r="B34" i="7" s="1"/>
  <c r="B29" i="6" a="1"/>
  <c r="B29" i="6" s="1"/>
  <c r="B64" i="4" a="1"/>
  <c r="B64" i="4" s="1"/>
  <c r="E212" i="12" a="1"/>
  <c r="E212" i="12" s="1"/>
  <c r="Y325" i="2" a="1"/>
  <c r="Y325" i="2" s="1"/>
  <c r="Y93" i="2" a="1"/>
  <c r="Y93" i="2" s="1"/>
  <c r="AD93" i="2" a="1"/>
  <c r="AD93" i="2" s="1"/>
  <c r="S93" i="2" a="1"/>
  <c r="S93" i="2" s="1"/>
  <c r="X93" i="2" a="1"/>
  <c r="X93" i="2" s="1"/>
  <c r="AG93" i="2" a="1"/>
  <c r="AG93" i="2" s="1"/>
  <c r="V93" i="2" a="1"/>
  <c r="V93" i="2" s="1"/>
  <c r="AA93" i="2" a="1"/>
  <c r="AA93" i="2" s="1"/>
  <c r="AE93" i="2" a="1"/>
  <c r="AE93" i="2" s="1"/>
  <c r="T93" i="2" a="1"/>
  <c r="T93" i="2" s="1"/>
  <c r="AC93" i="2" a="1"/>
  <c r="AC93" i="2" s="1"/>
  <c r="E222" i="12" a="1"/>
  <c r="E222" i="12" s="1"/>
  <c r="E68" i="12" a="1"/>
  <c r="E68" i="12" s="1"/>
  <c r="T163" i="2" a="1"/>
  <c r="T163" i="2" s="1"/>
  <c r="AG163" i="2" a="1"/>
  <c r="AG163" i="2" s="1"/>
  <c r="Y132" i="2" a="1"/>
  <c r="Y132" i="2" s="1"/>
  <c r="AE80" i="2" a="1"/>
  <c r="AE80" i="2" s="1"/>
  <c r="S80" i="2" a="1"/>
  <c r="S80" i="2" s="1"/>
  <c r="X80" i="2" a="1"/>
  <c r="X80" i="2" s="1"/>
  <c r="AN47" i="2" a="1"/>
  <c r="AN47" i="2" s="1"/>
  <c r="W647" i="12" a="1"/>
  <c r="W647" i="12" s="1"/>
  <c r="AN38" i="2" a="1"/>
  <c r="AN38" i="2" s="1"/>
  <c r="AK38" i="2" a="1"/>
  <c r="AK38" i="2" s="1"/>
  <c r="AL38" i="2" s="1" a="1"/>
  <c r="AL38" i="2" s="1"/>
  <c r="AP38" i="2" a="1"/>
  <c r="AP38" i="2" s="1"/>
  <c r="AO38" i="2" a="1"/>
  <c r="AO38" i="2" s="1"/>
  <c r="X265" i="2" a="1"/>
  <c r="X265" i="2" s="1"/>
  <c r="V265" i="2" a="1"/>
  <c r="V265" i="2" s="1"/>
  <c r="T265" i="2" a="1"/>
  <c r="T265" i="2" s="1"/>
  <c r="AE265" i="2" a="1"/>
  <c r="AE265" i="2" s="1"/>
  <c r="AC265" i="2" a="1"/>
  <c r="AC265" i="2" s="1"/>
  <c r="E100" i="12" a="1"/>
  <c r="E100" i="12" s="1"/>
  <c r="AA266" i="2" a="1"/>
  <c r="AA266" i="2" s="1"/>
  <c r="AE266" i="2" a="1"/>
  <c r="AE266" i="2" s="1"/>
  <c r="Y266" i="2" a="1"/>
  <c r="Y266" i="2" s="1"/>
  <c r="S266" i="2" a="1"/>
  <c r="S266" i="2" s="1"/>
  <c r="AG266" i="2" a="1"/>
  <c r="AG266" i="2" s="1"/>
  <c r="Z266" i="2" a="1"/>
  <c r="Z266" i="2" s="1"/>
  <c r="AF266" i="2" a="1"/>
  <c r="AF266" i="2" s="1"/>
  <c r="X266" i="2" a="1"/>
  <c r="X266" i="2" s="1"/>
  <c r="AD266" i="2" a="1"/>
  <c r="AD266" i="2" s="1"/>
  <c r="W266" i="2" a="1"/>
  <c r="W266" i="2" s="1"/>
  <c r="AC266" i="2" a="1"/>
  <c r="AC266" i="2" s="1"/>
  <c r="V266" i="2" a="1"/>
  <c r="V266" i="2" s="1"/>
  <c r="T266" i="2" a="1"/>
  <c r="T266" i="2" s="1"/>
  <c r="U111" i="12" a="1"/>
  <c r="U111" i="12" s="1"/>
  <c r="D44" i="6" a="1"/>
  <c r="D44" i="6" s="1"/>
  <c r="D93" i="4" a="1"/>
  <c r="D93" i="4" s="1"/>
  <c r="B61" i="8" a="1"/>
  <c r="B61" i="8" s="1"/>
  <c r="AC421" i="2" a="1"/>
  <c r="AC421" i="2" s="1"/>
  <c r="T421" i="2" a="1"/>
  <c r="T421" i="2" s="1"/>
  <c r="D67" i="7" a="1"/>
  <c r="D67" i="7" s="1"/>
  <c r="D115" i="4" a="1"/>
  <c r="D115" i="4" s="1"/>
  <c r="E114" i="12" a="1"/>
  <c r="E114" i="12" s="1"/>
  <c r="U135" i="12" a="1"/>
  <c r="U135" i="12" s="1"/>
  <c r="T199" i="2" a="1"/>
  <c r="T199" i="2" s="1"/>
  <c r="AE199" i="2" a="1"/>
  <c r="AE199" i="2" s="1"/>
  <c r="S199" i="2" a="1"/>
  <c r="S199" i="2" s="1"/>
  <c r="AC199" i="2" a="1"/>
  <c r="AC199" i="2" s="1"/>
  <c r="X199" i="2" a="1"/>
  <c r="X199" i="2" s="1"/>
  <c r="B100" i="8" a="1"/>
  <c r="B100" i="8" s="1"/>
  <c r="AC63" i="2" a="1"/>
  <c r="AC63" i="2" s="1"/>
  <c r="W63" i="2" a="1"/>
  <c r="W63" i="2" s="1"/>
  <c r="Z63" i="2" a="1"/>
  <c r="Z63" i="2" s="1"/>
  <c r="E33" i="12" a="1"/>
  <c r="E33" i="12" s="1"/>
  <c r="B5" i="6" a="1"/>
  <c r="B5" i="6" s="1"/>
  <c r="B5" i="7" a="1"/>
  <c r="B5" i="7" s="1"/>
  <c r="B12" i="4" a="1"/>
  <c r="B12" i="4" s="1"/>
  <c r="AG41" i="2" a="1"/>
  <c r="AG41" i="2" s="1"/>
  <c r="V41" i="2" a="1"/>
  <c r="V41" i="2" s="1"/>
  <c r="Y41" i="2" a="1"/>
  <c r="Y41" i="2" s="1"/>
  <c r="AF63" i="2" a="1"/>
  <c r="AF63" i="2" s="1"/>
  <c r="U23" i="12" a="1"/>
  <c r="U23" i="12" s="1"/>
  <c r="I6" i="3" a="1"/>
  <c r="I6" i="3" s="1"/>
  <c r="AE21" i="2" a="1"/>
  <c r="AE21" i="2" s="1"/>
  <c r="Y21" i="2" a="1"/>
  <c r="Y21" i="2" s="1"/>
  <c r="AB21" i="2" a="1"/>
  <c r="AB21" i="2" s="1"/>
  <c r="W21" i="2" a="1"/>
  <c r="W21" i="2" s="1"/>
  <c r="AD11" i="2" a="1"/>
  <c r="AD11" i="2" s="1"/>
  <c r="U10" i="12" a="1"/>
  <c r="U10" i="12" s="1"/>
  <c r="AE40" i="2" a="1"/>
  <c r="AE40" i="2" s="1"/>
  <c r="W25" i="2" a="1"/>
  <c r="W25" i="2" s="1"/>
  <c r="U11" i="12" a="1"/>
  <c r="U11" i="12" s="1"/>
  <c r="W83" i="2" a="1"/>
  <c r="W83" i="2" s="1"/>
  <c r="E109" i="12" a="1"/>
  <c r="E109" i="12" s="1"/>
  <c r="AE95" i="2" a="1"/>
  <c r="AE95" i="2" s="1"/>
  <c r="E130" i="12" a="1"/>
  <c r="E130" i="12" s="1"/>
  <c r="Y46" i="2" a="1"/>
  <c r="Y46" i="2" s="1"/>
  <c r="U34" i="12" a="1"/>
  <c r="U34" i="12" s="1"/>
  <c r="Y63" i="2" a="1"/>
  <c r="Y63" i="2" s="1"/>
  <c r="E27" i="12" a="1"/>
  <c r="E27" i="12" s="1"/>
  <c r="Z97" i="2" a="1"/>
  <c r="Z97" i="2" s="1"/>
  <c r="B24" i="5" a="1"/>
  <c r="B24" i="5" s="1"/>
  <c r="B46" i="4" a="1"/>
  <c r="B46" i="4" s="1"/>
  <c r="AF4" i="2" a="1"/>
  <c r="AF4" i="2" s="1"/>
  <c r="U10" i="3" a="1"/>
  <c r="U10" i="3" s="1"/>
  <c r="U31" i="12" a="1"/>
  <c r="U31" i="12" s="1"/>
  <c r="AD2" i="2" a="1"/>
  <c r="AD2" i="2" s="1"/>
  <c r="T6" i="2" a="1"/>
  <c r="T6" i="2" s="1"/>
  <c r="AD22" i="2" a="1"/>
  <c r="AD22" i="2" s="1"/>
  <c r="E7" i="12" a="1"/>
  <c r="E7" i="12" s="1"/>
  <c r="X28" i="2" a="1"/>
  <c r="X28" i="2" s="1"/>
  <c r="AE28" i="2" a="1"/>
  <c r="AE28" i="2" s="1"/>
  <c r="D8" i="5" a="1"/>
  <c r="D8" i="5" s="1"/>
  <c r="D10" i="4" a="1"/>
  <c r="D10" i="4" s="1"/>
  <c r="AF37" i="2" a="1"/>
  <c r="AF37" i="2" s="1"/>
  <c r="Z40" i="2" a="1"/>
  <c r="Z40" i="2" s="1"/>
  <c r="B3" i="9" a="1"/>
  <c r="B3" i="9" s="1"/>
  <c r="B25" i="3" a="1"/>
  <c r="B25" i="3" s="1"/>
  <c r="S83" i="2" a="1"/>
  <c r="S83" i="2" s="1"/>
  <c r="AG95" i="2" a="1"/>
  <c r="AG95" i="2" s="1"/>
  <c r="AF14" i="2" a="1"/>
  <c r="AF14" i="2" s="1"/>
  <c r="X14" i="2" a="1"/>
  <c r="X14" i="2" s="1"/>
  <c r="AD14" i="2" a="1"/>
  <c r="AD14" i="2" s="1"/>
  <c r="T46" i="2" a="1"/>
  <c r="T46" i="2" s="1"/>
  <c r="AG78" i="2" a="1"/>
  <c r="AG78" i="2" s="1"/>
  <c r="V78" i="2" a="1"/>
  <c r="V78" i="2" s="1"/>
  <c r="AA78" i="2" a="1"/>
  <c r="AA78" i="2" s="1"/>
  <c r="Y78" i="2" a="1"/>
  <c r="Y78" i="2" s="1"/>
  <c r="V31" i="2" a="1"/>
  <c r="V31" i="2" s="1"/>
  <c r="B12" i="7" a="1"/>
  <c r="B12" i="7" s="1"/>
  <c r="B11" i="6" a="1"/>
  <c r="B11" i="6" s="1"/>
  <c r="B22" i="4" a="1"/>
  <c r="B22" i="4" s="1"/>
  <c r="U182" i="12" a="1"/>
  <c r="U182" i="12" s="1"/>
  <c r="U174" i="12" a="1"/>
  <c r="U174" i="12" s="1"/>
  <c r="D56" i="4" a="1"/>
  <c r="D56" i="4" s="1"/>
  <c r="D30" i="5" a="1"/>
  <c r="D30" i="5" s="1"/>
  <c r="AC229" i="2" a="1"/>
  <c r="AC229" i="2" s="1"/>
  <c r="W229" i="2" a="1"/>
  <c r="W229" i="2" s="1"/>
  <c r="Z229" i="2" a="1"/>
  <c r="Z229" i="2" s="1"/>
  <c r="AE229" i="2" a="1"/>
  <c r="AE229" i="2" s="1"/>
  <c r="T229" i="2" a="1"/>
  <c r="T229" i="2" s="1"/>
  <c r="X229" i="2" a="1"/>
  <c r="X229" i="2" s="1"/>
  <c r="B28" i="7" a="1"/>
  <c r="B28" i="7" s="1"/>
  <c r="B25" i="6" a="1"/>
  <c r="B25" i="6" s="1"/>
  <c r="B53" i="4" a="1"/>
  <c r="B53" i="4" s="1"/>
  <c r="AN177" i="2" a="1"/>
  <c r="AN177" i="2" s="1"/>
  <c r="S335" i="2" a="1"/>
  <c r="S335" i="2" s="1"/>
  <c r="AD335" i="2" a="1"/>
  <c r="AD335" i="2" s="1"/>
  <c r="S123" i="2" a="1"/>
  <c r="S123" i="2" s="1"/>
  <c r="AE9" i="2" a="1"/>
  <c r="AE9" i="2" s="1"/>
  <c r="AB6" i="2" a="1"/>
  <c r="AB6" i="2" s="1"/>
  <c r="Y12" i="2" a="1"/>
  <c r="Y12" i="2" s="1"/>
  <c r="Y37" i="2" a="1"/>
  <c r="Y37" i="2" s="1"/>
  <c r="AF51" i="2" a="1"/>
  <c r="AF51" i="2" s="1"/>
  <c r="Z21" i="2" a="1"/>
  <c r="Z21" i="2" s="1"/>
  <c r="Z11" i="2" a="1"/>
  <c r="Z11" i="2" s="1"/>
  <c r="U17" i="12" a="1"/>
  <c r="U17" i="12" s="1"/>
  <c r="AE19" i="2" a="1"/>
  <c r="AE19" i="2" s="1"/>
  <c r="Y19" i="2" a="1"/>
  <c r="Y19" i="2" s="1"/>
  <c r="AB19" i="2" a="1"/>
  <c r="AB19" i="2" s="1"/>
  <c r="W19" i="2" a="1"/>
  <c r="W19" i="2" s="1"/>
  <c r="S25" i="2" a="1"/>
  <c r="S25" i="2" s="1"/>
  <c r="Z25" i="2" a="1"/>
  <c r="Z25" i="2" s="1"/>
  <c r="AG25" i="2" a="1"/>
  <c r="AG25" i="2" s="1"/>
  <c r="Z83" i="2" a="1"/>
  <c r="Z83" i="2" s="1"/>
  <c r="AG83" i="2" a="1"/>
  <c r="AG83" i="2" s="1"/>
  <c r="AD49" i="2" a="1"/>
  <c r="AD49" i="2" s="1"/>
  <c r="S49" i="2" a="1"/>
  <c r="S49" i="2" s="1"/>
  <c r="AA49" i="2" a="1"/>
  <c r="AA49" i="2" s="1"/>
  <c r="W49" i="2" a="1"/>
  <c r="W49" i="2" s="1"/>
  <c r="AA41" i="2" a="1"/>
  <c r="AA41" i="2" s="1"/>
  <c r="AE18" i="2" a="1"/>
  <c r="AE18" i="2" s="1"/>
  <c r="T18" i="2" a="1"/>
  <c r="T18" i="2" s="1"/>
  <c r="AB18" i="2" a="1"/>
  <c r="AB18" i="2" s="1"/>
  <c r="W18" i="2" a="1"/>
  <c r="W18" i="2" s="1"/>
  <c r="AD18" i="2" a="1"/>
  <c r="AD18" i="2" s="1"/>
  <c r="T95" i="2" a="1"/>
  <c r="T95" i="2" s="1"/>
  <c r="AA95" i="2" a="1"/>
  <c r="AA95" i="2" s="1"/>
  <c r="U12" i="12" a="1"/>
  <c r="U12" i="12" s="1"/>
  <c r="W14" i="2" a="1"/>
  <c r="W14" i="2" s="1"/>
  <c r="E44" i="12" a="1"/>
  <c r="E44" i="12" s="1"/>
  <c r="AF78" i="2" a="1"/>
  <c r="AF78" i="2" s="1"/>
  <c r="D11" i="7" a="1"/>
  <c r="D11" i="7" s="1"/>
  <c r="D10" i="6" a="1"/>
  <c r="D10" i="6" s="1"/>
  <c r="D21" i="4" a="1"/>
  <c r="D21" i="4" s="1"/>
  <c r="D14" i="5" a="1"/>
  <c r="D14" i="5" s="1"/>
  <c r="D24" i="4" a="1"/>
  <c r="D24" i="4" s="1"/>
  <c r="AB107" i="2" a="1"/>
  <c r="AB107" i="2" s="1"/>
  <c r="T34" i="2" a="1"/>
  <c r="T34" i="2" s="1"/>
  <c r="AB34" i="2" a="1"/>
  <c r="AB34" i="2" s="1"/>
  <c r="B14" i="7" a="1"/>
  <c r="B14" i="7" s="1"/>
  <c r="B15" i="5" a="1"/>
  <c r="B15" i="5" s="1"/>
  <c r="B25" i="4" a="1"/>
  <c r="B25" i="4" s="1"/>
  <c r="AC77" i="2" a="1"/>
  <c r="AC77" i="2" s="1"/>
  <c r="T56" i="2" a="1"/>
  <c r="T56" i="2" s="1"/>
  <c r="AM64" i="2" a="1"/>
  <c r="AM64" i="2" s="1"/>
  <c r="AC90" i="2" a="1"/>
  <c r="AC90" i="2" s="1"/>
  <c r="B15" i="7" a="1"/>
  <c r="B15" i="7" s="1"/>
  <c r="B13" i="6" a="1"/>
  <c r="B13" i="6" s="1"/>
  <c r="B26" i="4" a="1"/>
  <c r="B26" i="4" s="1"/>
  <c r="AA141" i="2" a="1"/>
  <c r="AA141" i="2" s="1"/>
  <c r="AF141" i="2" a="1"/>
  <c r="AF141" i="2" s="1"/>
  <c r="AD141" i="2" a="1"/>
  <c r="AD141" i="2" s="1"/>
  <c r="X141" i="2" a="1"/>
  <c r="X141" i="2" s="1"/>
  <c r="B18" i="7" a="1"/>
  <c r="B18" i="7" s="1"/>
  <c r="B18" i="6" a="1"/>
  <c r="B18" i="6" s="1"/>
  <c r="B17" i="5" a="1"/>
  <c r="B17" i="5" s="1"/>
  <c r="B32" i="4" a="1"/>
  <c r="B32" i="4" s="1"/>
  <c r="AA81" i="2" a="1"/>
  <c r="AA81" i="2" s="1"/>
  <c r="AO92" i="2" a="1"/>
  <c r="AO92" i="2" s="1"/>
  <c r="Y66" i="2" a="1"/>
  <c r="Y66" i="2" s="1"/>
  <c r="S66" i="2" a="1"/>
  <c r="S66" i="2" s="1"/>
  <c r="AD66" i="2" a="1"/>
  <c r="AD66" i="2" s="1"/>
  <c r="AG66" i="2" a="1"/>
  <c r="AG66" i="2" s="1"/>
  <c r="V66" i="2" a="1"/>
  <c r="V66" i="2" s="1"/>
  <c r="AE66" i="2" a="1"/>
  <c r="AE66" i="2" s="1"/>
  <c r="T66" i="2" a="1"/>
  <c r="T66" i="2" s="1"/>
  <c r="B21" i="5" a="1"/>
  <c r="B21" i="5" s="1"/>
  <c r="B40" i="4" a="1"/>
  <c r="B40" i="4" s="1"/>
  <c r="E182" i="12" a="1"/>
  <c r="E182" i="12" s="1"/>
  <c r="AO55" i="2" a="1"/>
  <c r="AO55" i="2" s="1"/>
  <c r="AG88" i="2" a="1"/>
  <c r="AG88" i="2" s="1"/>
  <c r="V88" i="2" a="1"/>
  <c r="V88" i="2" s="1"/>
  <c r="AA88" i="2" a="1"/>
  <c r="AA88" i="2" s="1"/>
  <c r="Y88" i="2" a="1"/>
  <c r="Y88" i="2" s="1"/>
  <c r="S88" i="2" a="1"/>
  <c r="S88" i="2" s="1"/>
  <c r="AD88" i="2" a="1"/>
  <c r="AD88" i="2" s="1"/>
  <c r="AB88" i="2" a="1"/>
  <c r="AB88" i="2" s="1"/>
  <c r="AF129" i="2" a="1"/>
  <c r="AF129" i="2" s="1"/>
  <c r="AD302" i="2" a="1"/>
  <c r="AD302" i="2" s="1"/>
  <c r="S302" i="2" a="1"/>
  <c r="S302" i="2" s="1"/>
  <c r="X302" i="2" a="1"/>
  <c r="X302" i="2" s="1"/>
  <c r="AA302" i="2" a="1"/>
  <c r="AA302" i="2" s="1"/>
  <c r="AF302" i="2" a="1"/>
  <c r="AF302" i="2" s="1"/>
  <c r="Y302" i="2" a="1"/>
  <c r="Y302" i="2" s="1"/>
  <c r="Z302" i="2" a="1"/>
  <c r="Z302" i="2" s="1"/>
  <c r="X133" i="2" a="1"/>
  <c r="X133" i="2" s="1"/>
  <c r="S35" i="2" a="1"/>
  <c r="S35" i="2" s="1"/>
  <c r="E178" i="12" a="1"/>
  <c r="E178" i="12" s="1"/>
  <c r="W663" i="12" a="1"/>
  <c r="W663" i="12" s="1"/>
  <c r="AN72" i="2" a="1"/>
  <c r="AN72" i="2" s="1"/>
  <c r="AK72" i="2" a="1"/>
  <c r="AK72" i="2" s="1"/>
  <c r="AP72" i="2" a="1"/>
  <c r="AP72" i="2" s="1"/>
  <c r="X99" i="2" a="1"/>
  <c r="X99" i="2" s="1"/>
  <c r="AA229" i="2" a="1"/>
  <c r="AA229" i="2" s="1"/>
  <c r="D23" i="6" a="1"/>
  <c r="D23" i="6" s="1"/>
  <c r="D50" i="4" a="1"/>
  <c r="D50" i="4" s="1"/>
  <c r="V29" i="2" a="1"/>
  <c r="V29" i="2" s="1"/>
  <c r="S29" i="2" a="1"/>
  <c r="S29" i="2" s="1"/>
  <c r="W29" i="2" a="1"/>
  <c r="W29" i="2" s="1"/>
  <c r="AP32" i="2" a="1"/>
  <c r="AP32" i="2" s="1"/>
  <c r="V357" i="2" a="1"/>
  <c r="V357" i="2" s="1"/>
  <c r="V116" i="2" a="1"/>
  <c r="V116" i="2" s="1"/>
  <c r="Y175" i="2" a="1"/>
  <c r="Y175" i="2" s="1"/>
  <c r="E207" i="12" a="1"/>
  <c r="E207" i="12" s="1"/>
  <c r="T148" i="2" a="1"/>
  <c r="T148" i="2" s="1"/>
  <c r="U148" i="2" s="1" a="1"/>
  <c r="U148" i="2" s="1"/>
  <c r="AG148" i="2" a="1"/>
  <c r="AG148" i="2" s="1"/>
  <c r="AP102" i="2" a="1"/>
  <c r="AP102" i="2" s="1"/>
  <c r="S212" i="2" a="1"/>
  <c r="S212" i="2" s="1"/>
  <c r="X3" i="2" a="1"/>
  <c r="X3" i="2" s="1"/>
  <c r="E3" i="12" a="1"/>
  <c r="E3" i="12" s="1"/>
  <c r="J10" i="3" a="1"/>
  <c r="J10" i="3" s="1"/>
  <c r="AF9" i="2" a="1"/>
  <c r="AF9" i="2" s="1"/>
  <c r="AF22" i="2" a="1"/>
  <c r="AF22" i="2" s="1"/>
  <c r="Y28" i="2" a="1"/>
  <c r="Y28" i="2" s="1"/>
  <c r="B3" i="6" a="1"/>
  <c r="B3" i="6" s="1"/>
  <c r="B6" i="5" a="1"/>
  <c r="B6" i="5" s="1"/>
  <c r="B8" i="4" a="1"/>
  <c r="B8" i="4" s="1"/>
  <c r="Z12" i="2" a="1"/>
  <c r="Z12" i="2" s="1"/>
  <c r="V23" i="2" a="1"/>
  <c r="V23" i="2" s="1"/>
  <c r="AC23" i="2" a="1"/>
  <c r="AC23" i="2" s="1"/>
  <c r="B9" i="5" a="1"/>
  <c r="B9" i="5" s="1"/>
  <c r="B11" i="4" a="1"/>
  <c r="B11" i="4" s="1"/>
  <c r="S37" i="2" a="1"/>
  <c r="S37" i="2" s="1"/>
  <c r="AG37" i="2" a="1"/>
  <c r="AG37" i="2" s="1"/>
  <c r="S51" i="2" a="1"/>
  <c r="S51" i="2" s="1"/>
  <c r="Z51" i="2" a="1"/>
  <c r="Z51" i="2" s="1"/>
  <c r="AG51" i="2" a="1"/>
  <c r="AG51" i="2" s="1"/>
  <c r="W39" i="2" a="1"/>
  <c r="W39" i="2" s="1"/>
  <c r="S21" i="2" a="1"/>
  <c r="S21" i="2" s="1"/>
  <c r="AG21" i="2" a="1"/>
  <c r="AG21" i="2" s="1"/>
  <c r="AA11" i="2" a="1"/>
  <c r="AA11" i="2" s="1"/>
  <c r="T40" i="2" a="1"/>
  <c r="T40" i="2" s="1"/>
  <c r="AA40" i="2" a="1"/>
  <c r="AA40" i="2" s="1"/>
  <c r="AD19" i="2" a="1"/>
  <c r="AD19" i="2" s="1"/>
  <c r="AN15" i="2" a="1"/>
  <c r="AN15" i="2" s="1"/>
  <c r="T25" i="2" a="1"/>
  <c r="T25" i="2" s="1"/>
  <c r="W659" i="12" a="1"/>
  <c r="W659" i="12" s="1"/>
  <c r="AO10" i="2" a="1"/>
  <c r="AO10" i="2" s="1"/>
  <c r="AL10" i="2" a="1"/>
  <c r="AL10" i="2" s="1"/>
  <c r="T83" i="2" a="1"/>
  <c r="T83" i="2" s="1"/>
  <c r="AA83" i="2" a="1"/>
  <c r="AA83" i="2" s="1"/>
  <c r="U19" i="12" a="1"/>
  <c r="U19" i="12" s="1"/>
  <c r="X49" i="2" a="1"/>
  <c r="X49" i="2" s="1"/>
  <c r="AE49" i="2" a="1"/>
  <c r="AE49" i="2" s="1"/>
  <c r="AB41" i="2" a="1"/>
  <c r="AB41" i="2" s="1"/>
  <c r="X18" i="2" a="1"/>
  <c r="X18" i="2" s="1"/>
  <c r="E134" i="12" a="1"/>
  <c r="E134" i="12" s="1"/>
  <c r="AE14" i="2" a="1"/>
  <c r="AE14" i="2" s="1"/>
  <c r="AB46" i="2" a="1"/>
  <c r="AB46" i="2" s="1"/>
  <c r="U44" i="12" a="1"/>
  <c r="U44" i="12" s="1"/>
  <c r="AE31" i="2" a="1"/>
  <c r="AE31" i="2" s="1"/>
  <c r="T31" i="2" a="1"/>
  <c r="T31" i="2" s="1"/>
  <c r="Y31" i="2" a="1"/>
  <c r="Y31" i="2" s="1"/>
  <c r="AB31" i="2" a="1"/>
  <c r="AB31" i="2" s="1"/>
  <c r="X31" i="2" a="1"/>
  <c r="X31" i="2" s="1"/>
  <c r="AF31" i="2" a="1"/>
  <c r="AF31" i="2" s="1"/>
  <c r="X52" i="2" a="1"/>
  <c r="X52" i="2" s="1"/>
  <c r="AE52" i="2" a="1"/>
  <c r="AE52" i="2" s="1"/>
  <c r="V45" i="2" a="1"/>
  <c r="V45" i="2" s="1"/>
  <c r="AD45" i="2" a="1"/>
  <c r="AD45" i="2" s="1"/>
  <c r="T107" i="2" a="1"/>
  <c r="T107" i="2" s="1"/>
  <c r="V56" i="2" a="1"/>
  <c r="V56" i="2" s="1"/>
  <c r="AC56" i="2" a="1"/>
  <c r="AC56" i="2" s="1"/>
  <c r="V90" i="2" a="1"/>
  <c r="V90" i="2" s="1"/>
  <c r="U184" i="12" a="1"/>
  <c r="U184" i="12" s="1"/>
  <c r="Y141" i="2" a="1"/>
  <c r="Y141" i="2" s="1"/>
  <c r="AG141" i="2" a="1"/>
  <c r="AG141" i="2" s="1"/>
  <c r="Y119" i="2" a="1"/>
  <c r="Y119" i="2" s="1"/>
  <c r="S119" i="2" a="1"/>
  <c r="S119" i="2" s="1"/>
  <c r="AD119" i="2" a="1"/>
  <c r="AD119" i="2" s="1"/>
  <c r="X119" i="2" a="1"/>
  <c r="X119" i="2" s="1"/>
  <c r="AG119" i="2" a="1"/>
  <c r="AG119" i="2" s="1"/>
  <c r="V119" i="2" a="1"/>
  <c r="V119" i="2" s="1"/>
  <c r="AC97" i="2" a="1"/>
  <c r="AC97" i="2" s="1"/>
  <c r="X42" i="2" a="1"/>
  <c r="X42" i="2" s="1"/>
  <c r="E52" i="12" a="1"/>
  <c r="E52" i="12" s="1"/>
  <c r="AA66" i="2" a="1"/>
  <c r="AA66" i="2" s="1"/>
  <c r="AG130" i="2" a="1"/>
  <c r="AG130" i="2" s="1"/>
  <c r="AP220" i="2" a="1"/>
  <c r="AP220" i="2" s="1"/>
  <c r="E60" i="12" a="1"/>
  <c r="E60" i="12" s="1"/>
  <c r="Z154" i="2" a="1"/>
  <c r="Z154" i="2" s="1"/>
  <c r="B25" i="5" a="1"/>
  <c r="B25" i="5" s="1"/>
  <c r="B47" i="4" a="1"/>
  <c r="B47" i="4" s="1"/>
  <c r="B29" i="8" a="1"/>
  <c r="B29" i="8" s="1"/>
  <c r="U200" i="12" a="1"/>
  <c r="U200" i="12" s="1"/>
  <c r="W611" i="12" a="1"/>
  <c r="W611" i="12" s="1"/>
  <c r="AO74" i="2" a="1"/>
  <c r="AO74" i="2" s="1"/>
  <c r="AQ74" i="2" s="1" a="1"/>
  <c r="AQ74" i="2" s="1"/>
  <c r="AL74" i="2" a="1"/>
  <c r="AL74" i="2" s="1"/>
  <c r="B14" i="9" a="1"/>
  <c r="B14" i="9" s="1"/>
  <c r="AC88" i="2" a="1"/>
  <c r="AC88" i="2" s="1"/>
  <c r="S125" i="2" a="1"/>
  <c r="S125" i="2" s="1"/>
  <c r="AD125" i="2" a="1"/>
  <c r="AD125" i="2" s="1"/>
  <c r="AB229" i="2" a="1"/>
  <c r="AB229" i="2" s="1"/>
  <c r="S68" i="2" a="1"/>
  <c r="S68" i="2" s="1"/>
  <c r="AD68" i="2" a="1"/>
  <c r="AD68" i="2" s="1"/>
  <c r="AD115" i="2" a="1"/>
  <c r="AD115" i="2" s="1"/>
  <c r="S115" i="2" a="1"/>
  <c r="S115" i="2" s="1"/>
  <c r="X115" i="2" a="1"/>
  <c r="X115" i="2" s="1"/>
  <c r="AG115" i="2" a="1"/>
  <c r="AG115" i="2" s="1"/>
  <c r="V115" i="2" a="1"/>
  <c r="V115" i="2" s="1"/>
  <c r="AA115" i="2" a="1"/>
  <c r="AA115" i="2" s="1"/>
  <c r="Y115" i="2" a="1"/>
  <c r="Y115" i="2" s="1"/>
  <c r="AB115" i="2" a="1"/>
  <c r="AB115" i="2" s="1"/>
  <c r="D29" i="5" a="1"/>
  <c r="D29" i="5" s="1"/>
  <c r="D24" i="6" a="1"/>
  <c r="D24" i="6" s="1"/>
  <c r="D52" i="4" a="1"/>
  <c r="D52" i="4" s="1"/>
  <c r="U216" i="12" a="1"/>
  <c r="U216" i="12" s="1"/>
  <c r="Y116" i="2" a="1"/>
  <c r="Y116" i="2" s="1"/>
  <c r="B32" i="7" a="1"/>
  <c r="B32" i="7" s="1"/>
  <c r="B28" i="6" a="1"/>
  <c r="B28" i="6" s="1"/>
  <c r="B60" i="4" a="1"/>
  <c r="B60" i="4" s="1"/>
  <c r="AF98" i="2" a="1"/>
  <c r="AF98" i="2" s="1"/>
  <c r="V110" i="2" a="1"/>
  <c r="V110" i="2" s="1"/>
  <c r="Y108" i="2" a="1"/>
  <c r="Y108" i="2" s="1"/>
  <c r="AB183" i="2" a="1"/>
  <c r="AB183" i="2" s="1"/>
  <c r="AF114" i="2" a="1"/>
  <c r="AF114" i="2" s="1"/>
  <c r="V301" i="2" a="1"/>
  <c r="V301" i="2" s="1"/>
  <c r="B43" i="5" a="1"/>
  <c r="B43" i="5" s="1"/>
  <c r="B78" i="4" a="1"/>
  <c r="B78" i="4" s="1"/>
  <c r="E256" i="12" a="1"/>
  <c r="E256" i="12" s="1"/>
  <c r="S249" i="2" a="1"/>
  <c r="S249" i="2" s="1"/>
  <c r="S224" i="2" a="1"/>
  <c r="S224" i="2" s="1"/>
  <c r="AG224" i="2" a="1"/>
  <c r="AG224" i="2" s="1"/>
  <c r="S231" i="2" a="1"/>
  <c r="S231" i="2" s="1"/>
  <c r="AE231" i="2" a="1"/>
  <c r="AE231" i="2" s="1"/>
  <c r="T161" i="2" a="1"/>
  <c r="T161" i="2" s="1"/>
  <c r="S161" i="2" a="1"/>
  <c r="S161" i="2" s="1"/>
  <c r="X161" i="2" a="1"/>
  <c r="X161" i="2" s="1"/>
  <c r="AC161" i="2" a="1"/>
  <c r="AC161" i="2" s="1"/>
  <c r="W161" i="2" a="1"/>
  <c r="W161" i="2" s="1"/>
  <c r="E87" i="12" a="1"/>
  <c r="E87" i="12" s="1"/>
  <c r="D46" i="7" a="1"/>
  <c r="D46" i="7" s="1"/>
  <c r="D81" i="4" a="1"/>
  <c r="D81" i="4" s="1"/>
  <c r="E121" i="12" a="1"/>
  <c r="E121" i="12" s="1"/>
  <c r="B60" i="8" a="1"/>
  <c r="B60" i="8" s="1"/>
  <c r="B63" i="8" a="1"/>
  <c r="B63" i="8" s="1"/>
  <c r="U293" i="12" a="1"/>
  <c r="U293" i="12" s="1"/>
  <c r="X421" i="2" a="1"/>
  <c r="X421" i="2" s="1"/>
  <c r="AF310" i="2" a="1"/>
  <c r="AF310" i="2" s="1"/>
  <c r="AE310" i="2" a="1"/>
  <c r="AE310" i="2" s="1"/>
  <c r="T310" i="2" a="1"/>
  <c r="T310" i="2" s="1"/>
  <c r="Y310" i="2" a="1"/>
  <c r="Y310" i="2" s="1"/>
  <c r="S310" i="2" a="1"/>
  <c r="S310" i="2" s="1"/>
  <c r="W310" i="2" a="1"/>
  <c r="W310" i="2" s="1"/>
  <c r="AA310" i="2" a="1"/>
  <c r="AA310" i="2" s="1"/>
  <c r="AG310" i="2" a="1"/>
  <c r="AG310" i="2" s="1"/>
  <c r="V310" i="2" a="1"/>
  <c r="V310" i="2" s="1"/>
  <c r="AD310" i="2" a="1"/>
  <c r="AD310" i="2" s="1"/>
  <c r="AC310" i="2" a="1"/>
  <c r="AC310" i="2" s="1"/>
  <c r="AB310" i="2" a="1"/>
  <c r="AB310" i="2" s="1"/>
  <c r="Z310" i="2" a="1"/>
  <c r="Z310" i="2" s="1"/>
  <c r="X310" i="2" a="1"/>
  <c r="X310" i="2" s="1"/>
  <c r="E37" i="12" a="1"/>
  <c r="E37" i="12" s="1"/>
  <c r="AB499" i="2" a="1"/>
  <c r="AB499" i="2" s="1"/>
  <c r="U43" i="12" a="1"/>
  <c r="U43" i="12" s="1"/>
  <c r="Z105" i="2" a="1"/>
  <c r="Z105" i="2" s="1"/>
  <c r="U75" i="12" a="1"/>
  <c r="U75" i="12" s="1"/>
  <c r="Z35" i="2" a="1"/>
  <c r="Z35" i="2" s="1"/>
  <c r="Z71" i="2" a="1"/>
  <c r="Z71" i="2" s="1"/>
  <c r="Z140" i="2" a="1"/>
  <c r="Z140" i="2" s="1"/>
  <c r="AF140" i="2" a="1"/>
  <c r="AF140" i="2" s="1"/>
  <c r="X126" i="2" a="1"/>
  <c r="X126" i="2" s="1"/>
  <c r="W101" i="2" a="1"/>
  <c r="W101" i="2" s="1"/>
  <c r="Z361" i="2" a="1"/>
  <c r="Z361" i="2" s="1"/>
  <c r="AF361" i="2" a="1"/>
  <c r="AF361" i="2" s="1"/>
  <c r="D42" i="7" a="1"/>
  <c r="D42" i="7" s="1"/>
  <c r="D39" i="5" a="1"/>
  <c r="D39" i="5" s="1"/>
  <c r="D73" i="4" a="1"/>
  <c r="D73" i="4" s="1"/>
  <c r="V191" i="2" a="1"/>
  <c r="V191" i="2" s="1"/>
  <c r="E89" i="12" a="1"/>
  <c r="E89" i="12" s="1"/>
  <c r="U266" i="12" a="1"/>
  <c r="U266" i="12" s="1"/>
  <c r="AE111" i="2" a="1"/>
  <c r="AE111" i="2" s="1"/>
  <c r="T111" i="2" a="1"/>
  <c r="T111" i="2" s="1"/>
  <c r="X111" i="2" a="1"/>
  <c r="X111" i="2" s="1"/>
  <c r="T79" i="2" a="1"/>
  <c r="T79" i="2" s="1"/>
  <c r="E124" i="12" a="1"/>
  <c r="E124" i="12" s="1"/>
  <c r="AB285" i="2" a="1"/>
  <c r="AB285" i="2" s="1"/>
  <c r="AF285" i="2" a="1"/>
  <c r="AF285" i="2" s="1"/>
  <c r="AD285" i="2" a="1"/>
  <c r="AD285" i="2" s="1"/>
  <c r="S285" i="2" a="1"/>
  <c r="S285" i="2" s="1"/>
  <c r="W211" i="2" a="1"/>
  <c r="W211" i="2" s="1"/>
  <c r="W159" i="2" a="1"/>
  <c r="W159" i="2" s="1"/>
  <c r="D41" i="6" a="1"/>
  <c r="D41" i="6" s="1"/>
  <c r="D88" i="4" a="1"/>
  <c r="D88" i="4" s="1"/>
  <c r="T195" i="2" a="1"/>
  <c r="T195" i="2" s="1"/>
  <c r="T169" i="2" a="1"/>
  <c r="T169" i="2" s="1"/>
  <c r="AB169" i="2" a="1"/>
  <c r="AB169" i="2" s="1"/>
  <c r="B53" i="5" a="1"/>
  <c r="B53" i="5" s="1"/>
  <c r="B99" i="4" a="1"/>
  <c r="B99" i="4" s="1"/>
  <c r="U128" i="12" a="1"/>
  <c r="U128" i="12" s="1"/>
  <c r="T67" i="2" a="1"/>
  <c r="T67" i="2" s="1"/>
  <c r="AB67" i="2" a="1"/>
  <c r="AB67" i="2" s="1"/>
  <c r="X332" i="2" a="1"/>
  <c r="X332" i="2" s="1"/>
  <c r="AB332" i="2" a="1"/>
  <c r="AB332" i="2" s="1"/>
  <c r="AG332" i="2" a="1"/>
  <c r="AG332" i="2" s="1"/>
  <c r="V332" i="2" a="1"/>
  <c r="V332" i="2" s="1"/>
  <c r="Z332" i="2" a="1"/>
  <c r="Z332" i="2" s="1"/>
  <c r="Y332" i="2" a="1"/>
  <c r="Y332" i="2" s="1"/>
  <c r="S252" i="2" a="1"/>
  <c r="S252" i="2" s="1"/>
  <c r="AB252" i="2" a="1"/>
  <c r="AB252" i="2" s="1"/>
  <c r="D45" i="6" a="1"/>
  <c r="D45" i="6" s="1"/>
  <c r="D49" i="5" a="1"/>
  <c r="D49" i="5" s="1"/>
  <c r="D94" i="4" a="1"/>
  <c r="D94" i="4" s="1"/>
  <c r="T118" i="2" a="1"/>
  <c r="T118" i="2" s="1"/>
  <c r="AC118" i="2" a="1"/>
  <c r="AC118" i="2" s="1"/>
  <c r="W314" i="2" a="1"/>
  <c r="W314" i="2" s="1"/>
  <c r="E297" i="12" a="1"/>
  <c r="E297" i="12" s="1"/>
  <c r="X178" i="2" a="1"/>
  <c r="X178" i="2" s="1"/>
  <c r="W281" i="2" a="1"/>
  <c r="W281" i="2" s="1"/>
  <c r="S100" i="2" a="1"/>
  <c r="S100" i="2" s="1"/>
  <c r="E296" i="12" a="1"/>
  <c r="E296" i="12" s="1"/>
  <c r="U296" i="12" a="1"/>
  <c r="U296" i="12" s="1"/>
  <c r="AC407" i="2" a="1"/>
  <c r="AC407" i="2" s="1"/>
  <c r="Y150" i="2" a="1"/>
  <c r="Y150" i="2" s="1"/>
  <c r="X150" i="2" a="1"/>
  <c r="X150" i="2" s="1"/>
  <c r="AC150" i="2" a="1"/>
  <c r="AC150" i="2" s="1"/>
  <c r="AG150" i="2" a="1"/>
  <c r="AG150" i="2" s="1"/>
  <c r="V150" i="2" a="1"/>
  <c r="V150" i="2" s="1"/>
  <c r="T343" i="2" a="1"/>
  <c r="T343" i="2" s="1"/>
  <c r="U119" i="12" a="1"/>
  <c r="U119" i="12" s="1"/>
  <c r="E48" i="12" a="1"/>
  <c r="E48" i="12" s="1"/>
  <c r="E101" i="12" a="1"/>
  <c r="E101" i="12" s="1"/>
  <c r="B60" i="7" a="1"/>
  <c r="B60" i="7" s="1"/>
  <c r="B51" i="6" a="1"/>
  <c r="B51" i="6" s="1"/>
  <c r="B105" i="4" a="1"/>
  <c r="B105" i="4" s="1"/>
  <c r="T210" i="2" a="1"/>
  <c r="T210" i="2" s="1"/>
  <c r="X300" i="2" a="1"/>
  <c r="X300" i="2" s="1"/>
  <c r="W300" i="2" a="1"/>
  <c r="W300" i="2" s="1"/>
  <c r="AB300" i="2" a="1"/>
  <c r="AB300" i="2" s="1"/>
  <c r="AF300" i="2" a="1"/>
  <c r="AF300" i="2" s="1"/>
  <c r="Y300" i="2" a="1"/>
  <c r="Y300" i="2" s="1"/>
  <c r="U299" i="12" a="1"/>
  <c r="U299" i="12" s="1"/>
  <c r="E117" i="12" a="1"/>
  <c r="E117" i="12" s="1"/>
  <c r="AD321" i="2" a="1"/>
  <c r="AD321" i="2" s="1"/>
  <c r="X321" i="2" a="1"/>
  <c r="X321" i="2" s="1"/>
  <c r="W321" i="2" a="1"/>
  <c r="W321" i="2" s="1"/>
  <c r="AB321" i="2" a="1"/>
  <c r="AB321" i="2" s="1"/>
  <c r="AF321" i="2" a="1"/>
  <c r="AF321" i="2" s="1"/>
  <c r="U92" i="12" a="1"/>
  <c r="U92" i="12" s="1"/>
  <c r="T173" i="2" a="1"/>
  <c r="T173" i="2" s="1"/>
  <c r="E157" i="12" a="1"/>
  <c r="E157" i="12" s="1"/>
  <c r="B64" i="7" a="1"/>
  <c r="B64" i="7" s="1"/>
  <c r="B110" i="4" a="1"/>
  <c r="B110" i="4" s="1"/>
  <c r="V419" i="2" a="1"/>
  <c r="V419" i="2" s="1"/>
  <c r="T331" i="2" a="1"/>
  <c r="T331" i="2" s="1"/>
  <c r="AE331" i="2" a="1"/>
  <c r="AE331" i="2" s="1"/>
  <c r="U150" i="12" a="1"/>
  <c r="U150" i="12" s="1"/>
  <c r="V170" i="2" a="1"/>
  <c r="V170" i="2" s="1"/>
  <c r="AG170" i="2" a="1"/>
  <c r="AG170" i="2" s="1"/>
  <c r="AD257" i="2" a="1"/>
  <c r="AD257" i="2" s="1"/>
  <c r="S257" i="2" a="1"/>
  <c r="S257" i="2" s="1"/>
  <c r="AC257" i="2" a="1"/>
  <c r="AC257" i="2" s="1"/>
  <c r="W257" i="2" a="1"/>
  <c r="W257" i="2" s="1"/>
  <c r="AF257" i="2" a="1"/>
  <c r="AF257" i="2" s="1"/>
  <c r="Y257" i="2" a="1"/>
  <c r="Y257" i="2" s="1"/>
  <c r="Z257" i="2" a="1"/>
  <c r="Z257" i="2" s="1"/>
  <c r="E112" i="12" a="1"/>
  <c r="E112" i="12" s="1"/>
  <c r="AD202" i="2" a="1"/>
  <c r="AD202" i="2" s="1"/>
  <c r="S202" i="2" a="1"/>
  <c r="S202" i="2" s="1"/>
  <c r="AC202" i="2" a="1"/>
  <c r="AC202" i="2" s="1"/>
  <c r="W202" i="2" a="1"/>
  <c r="W202" i="2" s="1"/>
  <c r="AF202" i="2" a="1"/>
  <c r="AF202" i="2" s="1"/>
  <c r="Y202" i="2" a="1"/>
  <c r="Y202" i="2" s="1"/>
  <c r="Z202" i="2" a="1"/>
  <c r="Z202" i="2" s="1"/>
  <c r="E422" i="12" a="1"/>
  <c r="E422" i="12" s="1"/>
  <c r="E377" i="12" a="1"/>
  <c r="E377" i="12" s="1"/>
  <c r="T290" i="2" a="1"/>
  <c r="T290" i="2" s="1"/>
  <c r="U114" i="12" a="1"/>
  <c r="U114" i="12" s="1"/>
  <c r="B92" i="8" a="1"/>
  <c r="B92" i="8" s="1"/>
  <c r="D75" i="7" a="1"/>
  <c r="D75" i="7" s="1"/>
  <c r="D65" i="6" a="1"/>
  <c r="D65" i="6" s="1"/>
  <c r="D127" i="4" a="1"/>
  <c r="D127" i="4" s="1"/>
  <c r="AE269" i="2" a="1"/>
  <c r="AE269" i="2" s="1"/>
  <c r="B93" i="8" a="1"/>
  <c r="B93" i="8" s="1"/>
  <c r="AC328" i="2" a="1"/>
  <c r="AC328" i="2" s="1"/>
  <c r="T328" i="2" a="1"/>
  <c r="T328" i="2" s="1"/>
  <c r="W328" i="2" a="1"/>
  <c r="W328" i="2" s="1"/>
  <c r="X328" i="2" a="1"/>
  <c r="X328" i="2" s="1"/>
  <c r="U490" i="12" a="1"/>
  <c r="U490" i="12" s="1"/>
  <c r="E332" i="12" a="1"/>
  <c r="E332" i="12" s="1"/>
  <c r="X399" i="2" a="1"/>
  <c r="X399" i="2" s="1"/>
  <c r="AF158" i="2" a="1"/>
  <c r="AF158" i="2" s="1"/>
  <c r="AA158" i="2" a="1"/>
  <c r="AA158" i="2" s="1"/>
  <c r="V158" i="2" a="1"/>
  <c r="V158" i="2" s="1"/>
  <c r="S158" i="2" a="1"/>
  <c r="S158" i="2" s="1"/>
  <c r="T158" i="2" a="1"/>
  <c r="T158" i="2" s="1"/>
  <c r="Y158" i="2" a="1"/>
  <c r="Y158" i="2" s="1"/>
  <c r="AE158" i="2" a="1"/>
  <c r="AE158" i="2" s="1"/>
  <c r="X158" i="2" a="1"/>
  <c r="X158" i="2" s="1"/>
  <c r="AC158" i="2" a="1"/>
  <c r="AC158" i="2" s="1"/>
  <c r="U345" i="12" a="1"/>
  <c r="U345" i="12" s="1"/>
  <c r="B101" i="8" a="1"/>
  <c r="B101" i="8" s="1"/>
  <c r="B102" i="8" a="1"/>
  <c r="B102" i="8" s="1"/>
  <c r="AF267" i="2" a="1"/>
  <c r="AF267" i="2" s="1"/>
  <c r="AA267" i="2" a="1"/>
  <c r="AA267" i="2" s="1"/>
  <c r="V267" i="2" a="1"/>
  <c r="V267" i="2" s="1"/>
  <c r="AC267" i="2" a="1"/>
  <c r="AC267" i="2" s="1"/>
  <c r="W267" i="2" a="1"/>
  <c r="W267" i="2" s="1"/>
  <c r="AE267" i="2" a="1"/>
  <c r="AE267" i="2" s="1"/>
  <c r="X267" i="2" a="1"/>
  <c r="X267" i="2" s="1"/>
  <c r="AB267" i="2" a="1"/>
  <c r="AB267" i="2" s="1"/>
  <c r="AG267" i="2" a="1"/>
  <c r="AG267" i="2" s="1"/>
  <c r="Z267" i="2" a="1"/>
  <c r="Z267" i="2" s="1"/>
  <c r="S267" i="2" a="1"/>
  <c r="S267" i="2" s="1"/>
  <c r="W615" i="12" a="1"/>
  <c r="W615" i="12" s="1"/>
  <c r="AM91" i="2" a="1"/>
  <c r="AM91" i="2" s="1"/>
  <c r="AK91" i="2" a="1"/>
  <c r="AK91" i="2" s="1"/>
  <c r="AN91" i="2" a="1"/>
  <c r="AN91" i="2" s="1"/>
  <c r="U160" i="12" a="1"/>
  <c r="U160" i="12" s="1"/>
  <c r="E419" i="12" a="1"/>
  <c r="E419" i="12" s="1"/>
  <c r="U492" i="12" a="1"/>
  <c r="U492" i="12" s="1"/>
  <c r="E442" i="12" a="1"/>
  <c r="E442" i="12" s="1"/>
  <c r="U466" i="12" a="1"/>
  <c r="U466" i="12" s="1"/>
  <c r="E209" i="12" a="1"/>
  <c r="E209" i="12" s="1"/>
  <c r="AG336" i="2" a="1"/>
  <c r="AG336" i="2" s="1"/>
  <c r="AB336" i="2" a="1"/>
  <c r="AB336" i="2" s="1"/>
  <c r="W336" i="2" a="1"/>
  <c r="W336" i="2" s="1"/>
  <c r="AD336" i="2" a="1"/>
  <c r="AD336" i="2" s="1"/>
  <c r="X336" i="2" a="1"/>
  <c r="X336" i="2" s="1"/>
  <c r="T336" i="2" a="1"/>
  <c r="T336" i="2" s="1"/>
  <c r="AF336" i="2" a="1"/>
  <c r="AF336" i="2" s="1"/>
  <c r="V336" i="2" a="1"/>
  <c r="V336" i="2" s="1"/>
  <c r="AE336" i="2" a="1"/>
  <c r="AE336" i="2" s="1"/>
  <c r="AC336" i="2" a="1"/>
  <c r="AC336" i="2" s="1"/>
  <c r="S336" i="2" a="1"/>
  <c r="S336" i="2" s="1"/>
  <c r="Z336" i="2" a="1"/>
  <c r="Z336" i="2" s="1"/>
  <c r="Y336" i="2" a="1"/>
  <c r="Y336" i="2" s="1"/>
  <c r="B83" i="5" a="1"/>
  <c r="B83" i="5" s="1"/>
  <c r="B165" i="4" a="1"/>
  <c r="B165" i="4" s="1"/>
  <c r="U562" i="12" a="1"/>
  <c r="U562" i="12" s="1"/>
  <c r="U84" i="12" a="1"/>
  <c r="U84" i="12" s="1"/>
  <c r="Z211" i="2" a="1"/>
  <c r="Z211" i="2" s="1"/>
  <c r="T211" i="2" a="1"/>
  <c r="T211" i="2" s="1"/>
  <c r="X211" i="2" a="1"/>
  <c r="X211" i="2" s="1"/>
  <c r="AB211" i="2" a="1"/>
  <c r="AB211" i="2" s="1"/>
  <c r="AF211" i="2" a="1"/>
  <c r="AF211" i="2" s="1"/>
  <c r="W657" i="12" a="1"/>
  <c r="W657" i="12" s="1"/>
  <c r="AK117" i="2" a="1"/>
  <c r="AK117" i="2" s="1"/>
  <c r="AO117" i="2" a="1"/>
  <c r="AO117" i="2" s="1"/>
  <c r="AM117" i="2" a="1"/>
  <c r="AM117" i="2" s="1"/>
  <c r="E88" i="12" a="1"/>
  <c r="E88" i="12" s="1"/>
  <c r="U88" i="12" a="1"/>
  <c r="U88" i="12" s="1"/>
  <c r="AB159" i="2" a="1"/>
  <c r="AB159" i="2" s="1"/>
  <c r="AF159" i="2" a="1"/>
  <c r="AF159" i="2" s="1"/>
  <c r="Y159" i="2" a="1"/>
  <c r="Y159" i="2" s="1"/>
  <c r="S159" i="2" a="1"/>
  <c r="S159" i="2" s="1"/>
  <c r="AA188" i="2" a="1"/>
  <c r="AA188" i="2" s="1"/>
  <c r="AE188" i="2" a="1"/>
  <c r="AE188" i="2" s="1"/>
  <c r="T188" i="2" a="1"/>
  <c r="T188" i="2" s="1"/>
  <c r="AC188" i="2" a="1"/>
  <c r="AC188" i="2" s="1"/>
  <c r="W188" i="2" a="1"/>
  <c r="W188" i="2" s="1"/>
  <c r="D51" i="5" a="1"/>
  <c r="D51" i="5" s="1"/>
  <c r="D97" i="4" a="1"/>
  <c r="D97" i="4" s="1"/>
  <c r="U102" i="12" a="1"/>
  <c r="U102" i="12" s="1"/>
  <c r="AD67" i="2" a="1"/>
  <c r="AD67" i="2" s="1"/>
  <c r="E106" i="12" a="1"/>
  <c r="E106" i="12" s="1"/>
  <c r="AC252" i="2" a="1"/>
  <c r="AC252" i="2" s="1"/>
  <c r="E425" i="12" a="1"/>
  <c r="E425" i="12" s="1"/>
  <c r="D56" i="7" a="1"/>
  <c r="D56" i="7" s="1"/>
  <c r="D52" i="5" a="1"/>
  <c r="D52" i="5" s="1"/>
  <c r="D98" i="4" a="1"/>
  <c r="D98" i="4" s="1"/>
  <c r="AB178" i="2" a="1"/>
  <c r="AB178" i="2" s="1"/>
  <c r="AA178" i="2" a="1"/>
  <c r="AA178" i="2" s="1"/>
  <c r="AF178" i="2" a="1"/>
  <c r="AF178" i="2" s="1"/>
  <c r="Y178" i="2" a="1"/>
  <c r="Y178" i="2" s="1"/>
  <c r="U161" i="12" a="1"/>
  <c r="U161" i="12" s="1"/>
  <c r="E293" i="12" a="1"/>
  <c r="E293" i="12" s="1"/>
  <c r="B47" i="6" a="1"/>
  <c r="B47" i="6" s="1"/>
  <c r="B100" i="4" a="1"/>
  <c r="B100" i="4" s="1"/>
  <c r="D58" i="7" a="1"/>
  <c r="D58" i="7" s="1"/>
  <c r="D49" i="6" a="1"/>
  <c r="D49" i="6" s="1"/>
  <c r="D103" i="4" a="1"/>
  <c r="D103" i="4" s="1"/>
  <c r="T222" i="2" a="1"/>
  <c r="T222" i="2" s="1"/>
  <c r="AC222" i="2" a="1"/>
  <c r="AC222" i="2" s="1"/>
  <c r="B59" i="5" a="1"/>
  <c r="B59" i="5" s="1"/>
  <c r="B114" i="4" a="1"/>
  <c r="B114" i="4" s="1"/>
  <c r="U183" i="12" a="1"/>
  <c r="U183" i="12" s="1"/>
  <c r="W166" i="2" a="1"/>
  <c r="W166" i="2" s="1"/>
  <c r="AG166" i="2" a="1"/>
  <c r="AG166" i="2" s="1"/>
  <c r="V166" i="2" a="1"/>
  <c r="V166" i="2" s="1"/>
  <c r="AA166" i="2" a="1"/>
  <c r="AA166" i="2" s="1"/>
  <c r="AE166" i="2" a="1"/>
  <c r="AE166" i="2" s="1"/>
  <c r="Y166" i="2" a="1"/>
  <c r="Y166" i="2" s="1"/>
  <c r="Z166" i="2" a="1"/>
  <c r="Z166" i="2" s="1"/>
  <c r="V160" i="2" a="1"/>
  <c r="V160" i="2" s="1"/>
  <c r="D64" i="7" a="1"/>
  <c r="D64" i="7" s="1"/>
  <c r="D110" i="4" a="1"/>
  <c r="D110" i="4" s="1"/>
  <c r="W416" i="2" a="1"/>
  <c r="W416" i="2" s="1"/>
  <c r="AG416" i="2" a="1"/>
  <c r="AG416" i="2" s="1"/>
  <c r="V416" i="2" a="1"/>
  <c r="V416" i="2" s="1"/>
  <c r="AA416" i="2" a="1"/>
  <c r="AA416" i="2" s="1"/>
  <c r="AE416" i="2" a="1"/>
  <c r="AE416" i="2" s="1"/>
  <c r="T416" i="2" a="1"/>
  <c r="T416" i="2" s="1"/>
  <c r="AC416" i="2" a="1"/>
  <c r="AC416" i="2" s="1"/>
  <c r="B65" i="7" a="1"/>
  <c r="B65" i="7" s="1"/>
  <c r="B55" i="6" a="1"/>
  <c r="B55" i="6" s="1"/>
  <c r="B112" i="4" a="1"/>
  <c r="B112" i="4" s="1"/>
  <c r="U107" i="12" a="1"/>
  <c r="U107" i="12" s="1"/>
  <c r="U607" i="12" a="1"/>
  <c r="U607" i="12" s="1"/>
  <c r="U376" i="12" a="1"/>
  <c r="U376" i="12" s="1"/>
  <c r="B77" i="8" a="1"/>
  <c r="B77" i="8" s="1"/>
  <c r="B70" i="7" a="1"/>
  <c r="B70" i="7" s="1"/>
  <c r="B61" i="5" a="1"/>
  <c r="B61" i="5" s="1"/>
  <c r="B119" i="4" a="1"/>
  <c r="B119" i="4" s="1"/>
  <c r="D74" i="7" a="1"/>
  <c r="D74" i="7" s="1"/>
  <c r="D64" i="6" a="1"/>
  <c r="D64" i="6" s="1"/>
  <c r="D126" i="4" a="1"/>
  <c r="D126" i="4" s="1"/>
  <c r="E108" i="12" a="1"/>
  <c r="E108" i="12" s="1"/>
  <c r="U496" i="12" a="1"/>
  <c r="U496" i="12" s="1"/>
  <c r="AF139" i="2" a="1"/>
  <c r="AF139" i="2" s="1"/>
  <c r="AA139" i="2" a="1"/>
  <c r="AA139" i="2" s="1"/>
  <c r="V139" i="2" a="1"/>
  <c r="V139" i="2" s="1"/>
  <c r="S139" i="2" a="1"/>
  <c r="S139" i="2" s="1"/>
  <c r="T139" i="2" a="1"/>
  <c r="T139" i="2" s="1"/>
  <c r="Y139" i="2" a="1"/>
  <c r="Y139" i="2" s="1"/>
  <c r="AE139" i="2" a="1"/>
  <c r="AE139" i="2" s="1"/>
  <c r="X139" i="2" a="1"/>
  <c r="X139" i="2" s="1"/>
  <c r="AC139" i="2" a="1"/>
  <c r="AC139" i="2" s="1"/>
  <c r="E135" i="12" a="1"/>
  <c r="E135" i="12" s="1"/>
  <c r="U139" i="12" a="1"/>
  <c r="U139" i="12" s="1"/>
  <c r="B64" i="5" a="1"/>
  <c r="B64" i="5" s="1"/>
  <c r="B62" i="6" a="1"/>
  <c r="B62" i="6" s="1"/>
  <c r="B124" i="4" a="1"/>
  <c r="B124" i="4" s="1"/>
  <c r="B94" i="8" a="1"/>
  <c r="B94" i="8" s="1"/>
  <c r="AF284" i="2" a="1"/>
  <c r="AF284" i="2" s="1"/>
  <c r="AA284" i="2" a="1"/>
  <c r="AA284" i="2" s="1"/>
  <c r="V284" i="2" a="1"/>
  <c r="V284" i="2" s="1"/>
  <c r="AC284" i="2" a="1"/>
  <c r="AC284" i="2" s="1"/>
  <c r="W284" i="2" a="1"/>
  <c r="W284" i="2" s="1"/>
  <c r="AE284" i="2" a="1"/>
  <c r="AE284" i="2" s="1"/>
  <c r="X284" i="2" a="1"/>
  <c r="X284" i="2" s="1"/>
  <c r="AB284" i="2" a="1"/>
  <c r="AB284" i="2" s="1"/>
  <c r="AG284" i="2" a="1"/>
  <c r="AG284" i="2" s="1"/>
  <c r="Z284" i="2" a="1"/>
  <c r="Z284" i="2" s="1"/>
  <c r="S284" i="2" a="1"/>
  <c r="S284" i="2" s="1"/>
  <c r="U337" i="2" a="1"/>
  <c r="U337" i="2" s="1"/>
  <c r="D66" i="6" a="1"/>
  <c r="D66" i="6" s="1"/>
  <c r="D129" i="4" a="1"/>
  <c r="D129" i="4" s="1"/>
  <c r="AE270" i="2" a="1"/>
  <c r="AE270" i="2" s="1"/>
  <c r="Z270" i="2" a="1"/>
  <c r="Z270" i="2" s="1"/>
  <c r="T270" i="2" a="1"/>
  <c r="T270" i="2" s="1"/>
  <c r="W270" i="2" a="1"/>
  <c r="W270" i="2" s="1"/>
  <c r="V270" i="2" a="1"/>
  <c r="V270" i="2" s="1"/>
  <c r="AC270" i="2" a="1"/>
  <c r="AC270" i="2" s="1"/>
  <c r="AB270" i="2" a="1"/>
  <c r="AB270" i="2" s="1"/>
  <c r="X270" i="2" a="1"/>
  <c r="X270" i="2" s="1"/>
  <c r="AG270" i="2" a="1"/>
  <c r="AG270" i="2" s="1"/>
  <c r="E479" i="12" a="1"/>
  <c r="E479" i="12" s="1"/>
  <c r="AD519" i="2" a="1"/>
  <c r="AD519" i="2" s="1"/>
  <c r="Y519" i="2" a="1"/>
  <c r="Y519" i="2" s="1"/>
  <c r="T519" i="2" a="1"/>
  <c r="T519" i="2" s="1"/>
  <c r="S519" i="2" a="1"/>
  <c r="S519" i="2" s="1"/>
  <c r="X519" i="2" a="1"/>
  <c r="X519" i="2" s="1"/>
  <c r="AA519" i="2" a="1"/>
  <c r="AA519" i="2" s="1"/>
  <c r="Z519" i="2" a="1"/>
  <c r="Z519" i="2" s="1"/>
  <c r="AF519" i="2" a="1"/>
  <c r="AF519" i="2" s="1"/>
  <c r="AC519" i="2" a="1"/>
  <c r="AC519" i="2" s="1"/>
  <c r="V128" i="2" a="1"/>
  <c r="V128" i="2" s="1"/>
  <c r="T128" i="2" a="1"/>
  <c r="T128" i="2" s="1"/>
  <c r="D81" i="7" a="1"/>
  <c r="D81" i="7" s="1"/>
  <c r="D69" i="6" a="1"/>
  <c r="D69" i="6" s="1"/>
  <c r="D139" i="4" a="1"/>
  <c r="D139" i="4" s="1"/>
  <c r="V440" i="2" a="1"/>
  <c r="V440" i="2" s="1"/>
  <c r="T440" i="2" a="1"/>
  <c r="T440" i="2" s="1"/>
  <c r="V577" i="2" a="1"/>
  <c r="V577" i="2" s="1"/>
  <c r="T577" i="2" a="1"/>
  <c r="T577" i="2" s="1"/>
  <c r="E558" i="12" a="1"/>
  <c r="E558" i="12" s="1"/>
  <c r="D84" i="7" a="1"/>
  <c r="D84" i="7" s="1"/>
  <c r="D71" i="6" a="1"/>
  <c r="D71" i="6" s="1"/>
  <c r="D71" i="5" a="1"/>
  <c r="D71" i="5" s="1"/>
  <c r="D143" i="4" a="1"/>
  <c r="D143" i="4" s="1"/>
  <c r="V164" i="2" a="1"/>
  <c r="V164" i="2" s="1"/>
  <c r="T164" i="2" a="1"/>
  <c r="T164" i="2" s="1"/>
  <c r="W164" i="2" a="1"/>
  <c r="W164" i="2" s="1"/>
  <c r="B123" i="8" a="1"/>
  <c r="B123" i="8" s="1"/>
  <c r="AD323" i="2" a="1"/>
  <c r="AD323" i="2" s="1"/>
  <c r="Y323" i="2" a="1"/>
  <c r="Y323" i="2" s="1"/>
  <c r="T323" i="2" a="1"/>
  <c r="T323" i="2" s="1"/>
  <c r="AF323" i="2" a="1"/>
  <c r="AF323" i="2" s="1"/>
  <c r="Z323" i="2" a="1"/>
  <c r="Z323" i="2" s="1"/>
  <c r="S323" i="2" a="1"/>
  <c r="S323" i="2" s="1"/>
  <c r="X323" i="2" a="1"/>
  <c r="X323" i="2" s="1"/>
  <c r="V323" i="2" a="1"/>
  <c r="V323" i="2" s="1"/>
  <c r="AG323" i="2" a="1"/>
  <c r="AG323" i="2" s="1"/>
  <c r="AE323" i="2" a="1"/>
  <c r="AE323" i="2" s="1"/>
  <c r="AC323" i="2" a="1"/>
  <c r="AC323" i="2" s="1"/>
  <c r="AB323" i="2" a="1"/>
  <c r="AB323" i="2" s="1"/>
  <c r="W323" i="2" a="1"/>
  <c r="W323" i="2" s="1"/>
  <c r="E382" i="12" a="1"/>
  <c r="E382" i="12" s="1"/>
  <c r="D32" i="6" a="1"/>
  <c r="D32" i="6" s="1"/>
  <c r="D40" i="7" a="1"/>
  <c r="D40" i="7" s="1"/>
  <c r="D71" i="4" a="1"/>
  <c r="D71" i="4" s="1"/>
  <c r="D44" i="5" a="1"/>
  <c r="D44" i="5" s="1"/>
  <c r="D79" i="4" a="1"/>
  <c r="D79" i="4" s="1"/>
  <c r="AC219" i="2" a="1"/>
  <c r="AC219" i="2" s="1"/>
  <c r="D45" i="7" a="1"/>
  <c r="D45" i="7" s="1"/>
  <c r="D80" i="4" a="1"/>
  <c r="D80" i="4" s="1"/>
  <c r="E71" i="12" a="1"/>
  <c r="E71" i="12" s="1"/>
  <c r="X159" i="2" a="1"/>
  <c r="X159" i="2" s="1"/>
  <c r="Z240" i="2" a="1"/>
  <c r="Z240" i="2" s="1"/>
  <c r="AD240" i="2" a="1"/>
  <c r="AD240" i="2" s="1"/>
  <c r="X240" i="2" a="1"/>
  <c r="X240" i="2" s="1"/>
  <c r="AB240" i="2" a="1"/>
  <c r="AB240" i="2" s="1"/>
  <c r="AF240" i="2" a="1"/>
  <c r="AF240" i="2" s="1"/>
  <c r="AC96" i="2" a="1"/>
  <c r="AC96" i="2" s="1"/>
  <c r="AG96" i="2" a="1"/>
  <c r="AG96" i="2" s="1"/>
  <c r="V96" i="2" a="1"/>
  <c r="V96" i="2" s="1"/>
  <c r="Z96" i="2" a="1"/>
  <c r="Z96" i="2" s="1"/>
  <c r="X96" i="2" a="1"/>
  <c r="X96" i="2" s="1"/>
  <c r="AF96" i="2" a="1"/>
  <c r="AF96" i="2" s="1"/>
  <c r="X188" i="2" a="1"/>
  <c r="X188" i="2" s="1"/>
  <c r="AF188" i="2" a="1"/>
  <c r="AF188" i="2" s="1"/>
  <c r="Y152" i="2" a="1"/>
  <c r="Y152" i="2" s="1"/>
  <c r="S152" i="2" a="1"/>
  <c r="S152" i="2" s="1"/>
  <c r="W152" i="2" a="1"/>
  <c r="W152" i="2" s="1"/>
  <c r="AA152" i="2" a="1"/>
  <c r="AA152" i="2" s="1"/>
  <c r="X152" i="2" a="1"/>
  <c r="X152" i="2" s="1"/>
  <c r="AF152" i="2" a="1"/>
  <c r="AF152" i="2" s="1"/>
  <c r="T82" i="2" a="1"/>
  <c r="T82" i="2" s="1"/>
  <c r="B52" i="7" a="1"/>
  <c r="B52" i="7" s="1"/>
  <c r="B90" i="4" a="1"/>
  <c r="B90" i="4" s="1"/>
  <c r="S103" i="2" a="1"/>
  <c r="S103" i="2" s="1"/>
  <c r="S234" i="2" a="1"/>
  <c r="S234" i="2" s="1"/>
  <c r="B54" i="7" a="1"/>
  <c r="B54" i="7" s="1"/>
  <c r="B43" i="6" a="1"/>
  <c r="B43" i="6" s="1"/>
  <c r="B92" i="4" a="1"/>
  <c r="B92" i="4" s="1"/>
  <c r="B57" i="8" a="1"/>
  <c r="B57" i="8" s="1"/>
  <c r="AE67" i="2" a="1"/>
  <c r="AE67" i="2" s="1"/>
  <c r="B44" i="6" a="1"/>
  <c r="B44" i="6" s="1"/>
  <c r="B93" i="4" a="1"/>
  <c r="B93" i="4" s="1"/>
  <c r="AD252" i="2" a="1"/>
  <c r="AD252" i="2" s="1"/>
  <c r="Y181" i="2" a="1"/>
  <c r="Y181" i="2" s="1"/>
  <c r="X181" i="2" a="1"/>
  <c r="X181" i="2" s="1"/>
  <c r="AC181" i="2" a="1"/>
  <c r="AC181" i="2" s="1"/>
  <c r="W181" i="2" a="1"/>
  <c r="W181" i="2" s="1"/>
  <c r="AA181" i="2" a="1"/>
  <c r="AA181" i="2" s="1"/>
  <c r="U133" i="12" a="1"/>
  <c r="U133" i="12" s="1"/>
  <c r="X314" i="2" a="1"/>
  <c r="X314" i="2" s="1"/>
  <c r="AB314" i="2" a="1"/>
  <c r="AB314" i="2" s="1"/>
  <c r="AG314" i="2" a="1"/>
  <c r="AG314" i="2" s="1"/>
  <c r="V314" i="2" a="1"/>
  <c r="V314" i="2" s="1"/>
  <c r="Z314" i="2" a="1"/>
  <c r="Z314" i="2" s="1"/>
  <c r="Y314" i="2" a="1"/>
  <c r="Y314" i="2" s="1"/>
  <c r="D57" i="7" a="1"/>
  <c r="D57" i="7" s="1"/>
  <c r="D54" i="5" a="1"/>
  <c r="D54" i="5" s="1"/>
  <c r="D101" i="4" a="1"/>
  <c r="D101" i="4" s="1"/>
  <c r="B56" i="5" a="1"/>
  <c r="B56" i="5" s="1"/>
  <c r="B107" i="4" a="1"/>
  <c r="B107" i="4" s="1"/>
  <c r="AF421" i="2" a="1"/>
  <c r="AF421" i="2" s="1"/>
  <c r="Z421" i="2" a="1"/>
  <c r="Z421" i="2" s="1"/>
  <c r="Y421" i="2" a="1"/>
  <c r="Y421" i="2" s="1"/>
  <c r="AD421" i="2" a="1"/>
  <c r="AD421" i="2" s="1"/>
  <c r="S421" i="2" a="1"/>
  <c r="S421" i="2" s="1"/>
  <c r="W421" i="2" a="1"/>
  <c r="W421" i="2" s="1"/>
  <c r="AA421" i="2" a="1"/>
  <c r="AA421" i="2" s="1"/>
  <c r="U140" i="12" a="1"/>
  <c r="U140" i="12" s="1"/>
  <c r="E335" i="12" a="1"/>
  <c r="E335" i="12" s="1"/>
  <c r="E299" i="12" a="1"/>
  <c r="E299" i="12" s="1"/>
  <c r="E92" i="12" a="1"/>
  <c r="E92" i="12" s="1"/>
  <c r="AE173" i="2" a="1"/>
  <c r="AE173" i="2" s="1"/>
  <c r="E348" i="12" a="1"/>
  <c r="E348" i="12" s="1"/>
  <c r="AB416" i="2" a="1"/>
  <c r="AB416" i="2" s="1"/>
  <c r="D60" i="5" a="1"/>
  <c r="D60" i="5" s="1"/>
  <c r="D117" i="4" a="1"/>
  <c r="D117" i="4" s="1"/>
  <c r="W331" i="2" a="1"/>
  <c r="W331" i="2" s="1"/>
  <c r="U115" i="12" a="1"/>
  <c r="U115" i="12" s="1"/>
  <c r="W135" i="2" a="1"/>
  <c r="W135" i="2" s="1"/>
  <c r="AB257" i="2" a="1"/>
  <c r="AB257" i="2" s="1"/>
  <c r="B62" i="5" a="1"/>
  <c r="B62" i="5" s="1"/>
  <c r="B122" i="4" a="1"/>
  <c r="B122" i="4" s="1"/>
  <c r="B78" i="8" a="1"/>
  <c r="B78" i="8" s="1"/>
  <c r="V94" i="2" a="1"/>
  <c r="V94" i="2" s="1"/>
  <c r="U354" i="12" a="1"/>
  <c r="U354" i="12" s="1"/>
  <c r="AB202" i="2" a="1"/>
  <c r="AB202" i="2" s="1"/>
  <c r="D70" i="7" a="1"/>
  <c r="D70" i="7" s="1"/>
  <c r="D119" i="4" a="1"/>
  <c r="D119" i="4" s="1"/>
  <c r="D61" i="5" a="1"/>
  <c r="D61" i="5" s="1"/>
  <c r="B85" i="8" a="1"/>
  <c r="B85" i="8" s="1"/>
  <c r="V145" i="2" a="1"/>
  <c r="V145" i="2" s="1"/>
  <c r="U431" i="12" a="1"/>
  <c r="U431" i="12" s="1"/>
  <c r="T214" i="2" a="1"/>
  <c r="T214" i="2" s="1"/>
  <c r="U144" i="2" a="1"/>
  <c r="U144" i="2" s="1"/>
  <c r="Y197" i="2" a="1"/>
  <c r="Y197" i="2" s="1"/>
  <c r="B73" i="7" a="1"/>
  <c r="B73" i="7" s="1"/>
  <c r="B63" i="6" a="1"/>
  <c r="B63" i="6" s="1"/>
  <c r="B125" i="4" a="1"/>
  <c r="B125" i="4" s="1"/>
  <c r="V324" i="2" a="1"/>
  <c r="V324" i="2" s="1"/>
  <c r="U145" i="12" a="1"/>
  <c r="U145" i="12" s="1"/>
  <c r="X350" i="2" a="1"/>
  <c r="X350" i="2" s="1"/>
  <c r="AD139" i="2" a="1"/>
  <c r="AD139" i="2" s="1"/>
  <c r="AD284" i="2" a="1"/>
  <c r="AD284" i="2" s="1"/>
  <c r="U332" i="12" a="1"/>
  <c r="U332" i="12" s="1"/>
  <c r="D67" i="6" a="1"/>
  <c r="D67" i="6" s="1"/>
  <c r="D77" i="7" a="1"/>
  <c r="D77" i="7" s="1"/>
  <c r="D130" i="4" a="1"/>
  <c r="D130" i="4" s="1"/>
  <c r="E363" i="12" a="1"/>
  <c r="E363" i="12" s="1"/>
  <c r="AF262" i="2" a="1"/>
  <c r="AF262" i="2" s="1"/>
  <c r="AA262" i="2" a="1"/>
  <c r="AA262" i="2" s="1"/>
  <c r="V262" i="2" a="1"/>
  <c r="V262" i="2" s="1"/>
  <c r="AB262" i="2" a="1"/>
  <c r="AB262" i="2" s="1"/>
  <c r="AG262" i="2" a="1"/>
  <c r="AG262" i="2" s="1"/>
  <c r="Z262" i="2" a="1"/>
  <c r="Z262" i="2" s="1"/>
  <c r="S262" i="2" a="1"/>
  <c r="S262" i="2" s="1"/>
  <c r="Y262" i="2" a="1"/>
  <c r="Y262" i="2" s="1"/>
  <c r="AE262" i="2" a="1"/>
  <c r="AE262" i="2" s="1"/>
  <c r="X262" i="2" a="1"/>
  <c r="X262" i="2" s="1"/>
  <c r="AC262" i="2" a="1"/>
  <c r="AC262" i="2" s="1"/>
  <c r="T262" i="2" a="1"/>
  <c r="T262" i="2" s="1"/>
  <c r="E414" i="12" a="1"/>
  <c r="E414" i="12" s="1"/>
  <c r="AE193" i="2" a="1"/>
  <c r="AE193" i="2" s="1"/>
  <c r="Z193" i="2" a="1"/>
  <c r="Z193" i="2" s="1"/>
  <c r="T193" i="2" a="1"/>
  <c r="T193" i="2" s="1"/>
  <c r="AD193" i="2" a="1"/>
  <c r="AD193" i="2" s="1"/>
  <c r="W193" i="2" a="1"/>
  <c r="W193" i="2" s="1"/>
  <c r="AC193" i="2" a="1"/>
  <c r="AC193" i="2" s="1"/>
  <c r="V193" i="2" a="1"/>
  <c r="V193" i="2" s="1"/>
  <c r="AB193" i="2" a="1"/>
  <c r="AB193" i="2" s="1"/>
  <c r="AG193" i="2" a="1"/>
  <c r="AG193" i="2" s="1"/>
  <c r="S193" i="2" a="1"/>
  <c r="S193" i="2" s="1"/>
  <c r="X193" i="2" a="1"/>
  <c r="X193" i="2" s="1"/>
  <c r="AF193" i="2" a="1"/>
  <c r="AF193" i="2" s="1"/>
  <c r="E458" i="12" a="1"/>
  <c r="E458" i="12" s="1"/>
  <c r="V317" i="2" a="1"/>
  <c r="V317" i="2" s="1"/>
  <c r="T317" i="2" a="1"/>
  <c r="T317" i="2" s="1"/>
  <c r="U356" i="12" a="1"/>
  <c r="U356" i="12" s="1"/>
  <c r="E160" i="12" a="1"/>
  <c r="E160" i="12" s="1"/>
  <c r="U170" i="12" a="1"/>
  <c r="U170" i="12" s="1"/>
  <c r="E492" i="12" a="1"/>
  <c r="E492" i="12" s="1"/>
  <c r="U169" i="12" a="1"/>
  <c r="U169" i="12" s="1"/>
  <c r="AG444" i="2" a="1"/>
  <c r="AG444" i="2" s="1"/>
  <c r="AB444" i="2" a="1"/>
  <c r="AB444" i="2" s="1"/>
  <c r="W444" i="2" a="1"/>
  <c r="W444" i="2" s="1"/>
  <c r="T444" i="2" a="1"/>
  <c r="T444" i="2" s="1"/>
  <c r="AD444" i="2" a="1"/>
  <c r="AD444" i="2" s="1"/>
  <c r="V444" i="2" a="1"/>
  <c r="V444" i="2" s="1"/>
  <c r="AC444" i="2" a="1"/>
  <c r="AC444" i="2" s="1"/>
  <c r="AA444" i="2" a="1"/>
  <c r="AA444" i="2" s="1"/>
  <c r="S444" i="2" a="1"/>
  <c r="S444" i="2" s="1"/>
  <c r="Y444" i="2" a="1"/>
  <c r="Y444" i="2" s="1"/>
  <c r="X444" i="2" a="1"/>
  <c r="X444" i="2" s="1"/>
  <c r="AE444" i="2" a="1"/>
  <c r="AE444" i="2" s="1"/>
  <c r="E606" i="12" a="1"/>
  <c r="E606" i="12" s="1"/>
  <c r="AQ167" i="2" a="1"/>
  <c r="AQ167" i="2" s="1"/>
  <c r="AR167" i="2" a="1"/>
  <c r="AR167" i="2" s="1"/>
  <c r="AD277" i="2" a="1"/>
  <c r="AD277" i="2" s="1"/>
  <c r="Y277" i="2" a="1"/>
  <c r="Y277" i="2" s="1"/>
  <c r="T277" i="2" a="1"/>
  <c r="T277" i="2" s="1"/>
  <c r="AE277" i="2" a="1"/>
  <c r="AE277" i="2" s="1"/>
  <c r="X277" i="2" a="1"/>
  <c r="X277" i="2" s="1"/>
  <c r="V277" i="2" a="1"/>
  <c r="V277" i="2" s="1"/>
  <c r="AA277" i="2" a="1"/>
  <c r="AA277" i="2" s="1"/>
  <c r="AG277" i="2" a="1"/>
  <c r="AG277" i="2" s="1"/>
  <c r="W277" i="2" a="1"/>
  <c r="W277" i="2" s="1"/>
  <c r="AF277" i="2" a="1"/>
  <c r="AF277" i="2" s="1"/>
  <c r="AC277" i="2" a="1"/>
  <c r="AC277" i="2" s="1"/>
  <c r="S277" i="2" a="1"/>
  <c r="S277" i="2" s="1"/>
  <c r="AB277" i="2" a="1"/>
  <c r="AB277" i="2" s="1"/>
  <c r="Z277" i="2" a="1"/>
  <c r="Z277" i="2" s="1"/>
  <c r="U583" i="12" a="1"/>
  <c r="U583" i="12" s="1"/>
  <c r="AG236" i="2" a="1"/>
  <c r="AG236" i="2" s="1"/>
  <c r="AB236" i="2" a="1"/>
  <c r="AB236" i="2" s="1"/>
  <c r="W236" i="2" a="1"/>
  <c r="W236" i="2" s="1"/>
  <c r="AA236" i="2" a="1"/>
  <c r="AA236" i="2" s="1"/>
  <c r="AF236" i="2" a="1"/>
  <c r="AF236" i="2" s="1"/>
  <c r="Z236" i="2" a="1"/>
  <c r="Z236" i="2" s="1"/>
  <c r="Y236" i="2" a="1"/>
  <c r="Y236" i="2" s="1"/>
  <c r="S236" i="2" a="1"/>
  <c r="S236" i="2" s="1"/>
  <c r="AD236" i="2" a="1"/>
  <c r="AD236" i="2" s="1"/>
  <c r="X236" i="2" a="1"/>
  <c r="X236" i="2" s="1"/>
  <c r="V236" i="2" a="1"/>
  <c r="V236" i="2" s="1"/>
  <c r="T236" i="2" a="1"/>
  <c r="T236" i="2" s="1"/>
  <c r="AE236" i="2" a="1"/>
  <c r="AE236" i="2" s="1"/>
  <c r="AC236" i="2" a="1"/>
  <c r="AC236" i="2" s="1"/>
  <c r="U531" i="12" a="1"/>
  <c r="U531" i="12" s="1"/>
  <c r="B27" i="5" a="1"/>
  <c r="B27" i="5" s="1"/>
  <c r="B49" i="4" a="1"/>
  <c r="B49" i="4" s="1"/>
  <c r="AG105" i="2" a="1"/>
  <c r="AG105" i="2" s="1"/>
  <c r="E189" i="12" a="1"/>
  <c r="E189" i="12" s="1"/>
  <c r="V71" i="2" a="1"/>
  <c r="V71" i="2" s="1"/>
  <c r="AB71" i="2" a="1"/>
  <c r="AB71" i="2" s="1"/>
  <c r="U202" i="12" a="1"/>
  <c r="U202" i="12" s="1"/>
  <c r="B33" i="5" a="1"/>
  <c r="B33" i="5" s="1"/>
  <c r="B61" i="4" a="1"/>
  <c r="B61" i="4" s="1"/>
  <c r="AB140" i="2" a="1"/>
  <c r="AB140" i="2" s="1"/>
  <c r="U54" i="12" a="1"/>
  <c r="U54" i="12" s="1"/>
  <c r="T126" i="2" a="1"/>
  <c r="T126" i="2" s="1"/>
  <c r="AE126" i="2" a="1"/>
  <c r="AE126" i="2" s="1"/>
  <c r="S101" i="2" a="1"/>
  <c r="S101" i="2" s="1"/>
  <c r="B17" i="8" a="1"/>
  <c r="B17" i="8" s="1"/>
  <c r="B35" i="5" a="1"/>
  <c r="B35" i="5" s="1"/>
  <c r="B63" i="4" a="1"/>
  <c r="B63" i="4" s="1"/>
  <c r="AB361" i="2" a="1"/>
  <c r="AB361" i="2" s="1"/>
  <c r="U46" i="12" a="1"/>
  <c r="U46" i="12" s="1"/>
  <c r="U104" i="12" a="1"/>
  <c r="U104" i="12" s="1"/>
  <c r="U68" i="12" a="1"/>
  <c r="U68" i="12" s="1"/>
  <c r="D43" i="7" a="1"/>
  <c r="D43" i="7" s="1"/>
  <c r="D40" i="5" a="1"/>
  <c r="D40" i="5" s="1"/>
  <c r="D34" i="6" a="1"/>
  <c r="D34" i="6" s="1"/>
  <c r="D74" i="4" a="1"/>
  <c r="D74" i="4" s="1"/>
  <c r="U94" i="12" a="1"/>
  <c r="U94" i="12" s="1"/>
  <c r="AA191" i="2" a="1"/>
  <c r="AA191" i="2" s="1"/>
  <c r="Y191" i="2" a="1"/>
  <c r="Y191" i="2" s="1"/>
  <c r="AD191" i="2" a="1"/>
  <c r="AD191" i="2" s="1"/>
  <c r="U89" i="12" a="1"/>
  <c r="U89" i="12" s="1"/>
  <c r="B44" i="7" a="1"/>
  <c r="B44" i="7" s="1"/>
  <c r="B35" i="6" a="1"/>
  <c r="B35" i="6" s="1"/>
  <c r="B76" i="4" a="1"/>
  <c r="B76" i="4" s="1"/>
  <c r="U253" i="12" a="1"/>
  <c r="U253" i="12" s="1"/>
  <c r="B46" i="7" a="1"/>
  <c r="B46" i="7" s="1"/>
  <c r="B81" i="4" a="1"/>
  <c r="B81" i="4" s="1"/>
  <c r="B48" i="7" a="1"/>
  <c r="B48" i="7" s="1"/>
  <c r="B37" i="6" a="1"/>
  <c r="B37" i="6" s="1"/>
  <c r="B45" i="5" a="1"/>
  <c r="B45" i="5" s="1"/>
  <c r="B83" i="4" a="1"/>
  <c r="B83" i="4" s="1"/>
  <c r="U71" i="12" a="1"/>
  <c r="U71" i="12" s="1"/>
  <c r="E73" i="12" a="1"/>
  <c r="E73" i="12" s="1"/>
  <c r="Y211" i="2" a="1"/>
  <c r="Y211" i="2" s="1"/>
  <c r="AG211" i="2" a="1"/>
  <c r="AG211" i="2" s="1"/>
  <c r="B51" i="7" a="1"/>
  <c r="B51" i="7" s="1"/>
  <c r="B42" i="6" a="1"/>
  <c r="B42" i="6" s="1"/>
  <c r="B89" i="4" a="1"/>
  <c r="B89" i="4" s="1"/>
  <c r="E97" i="12" a="1"/>
  <c r="E97" i="12" s="1"/>
  <c r="AG159" i="2" a="1"/>
  <c r="AG159" i="2" s="1"/>
  <c r="Y240" i="2" a="1"/>
  <c r="Y240" i="2" s="1"/>
  <c r="E259" i="12" a="1"/>
  <c r="E259" i="12" s="1"/>
  <c r="Y96" i="2" a="1"/>
  <c r="Y96" i="2" s="1"/>
  <c r="E126" i="12" a="1"/>
  <c r="E126" i="12" s="1"/>
  <c r="Y188" i="2" a="1"/>
  <c r="Y188" i="2" s="1"/>
  <c r="AG188" i="2" a="1"/>
  <c r="AG188" i="2" s="1"/>
  <c r="AG152" i="2" a="1"/>
  <c r="AG152" i="2" s="1"/>
  <c r="W355" i="2" a="1"/>
  <c r="W355" i="2" s="1"/>
  <c r="V195" i="2" a="1"/>
  <c r="V195" i="2" s="1"/>
  <c r="T103" i="2" a="1"/>
  <c r="T103" i="2" s="1"/>
  <c r="B53" i="7" a="1"/>
  <c r="B53" i="7" s="1"/>
  <c r="B91" i="4" a="1"/>
  <c r="B91" i="4" s="1"/>
  <c r="T234" i="2" a="1"/>
  <c r="T234" i="2" s="1"/>
  <c r="V67" i="2" a="1"/>
  <c r="V67" i="2" s="1"/>
  <c r="S332" i="2" a="1"/>
  <c r="S332" i="2" s="1"/>
  <c r="AA332" i="2" a="1"/>
  <c r="AA332" i="2" s="1"/>
  <c r="V252" i="2" a="1"/>
  <c r="V252" i="2" s="1"/>
  <c r="Z181" i="2" a="1"/>
  <c r="Z181" i="2" s="1"/>
  <c r="V118" i="2" a="1"/>
  <c r="V118" i="2" s="1"/>
  <c r="AF118" i="2" a="1"/>
  <c r="AF118" i="2" s="1"/>
  <c r="E67" i="12" a="1"/>
  <c r="E67" i="12" s="1"/>
  <c r="AC180" i="2" a="1"/>
  <c r="AC180" i="2" s="1"/>
  <c r="E317" i="12" a="1"/>
  <c r="E317" i="12" s="1"/>
  <c r="Z178" i="2" a="1"/>
  <c r="Z178" i="2" s="1"/>
  <c r="AG281" i="2" a="1"/>
  <c r="AG281" i="2" s="1"/>
  <c r="AA281" i="2" a="1"/>
  <c r="AA281" i="2" s="1"/>
  <c r="Z281" i="2" a="1"/>
  <c r="Z281" i="2" s="1"/>
  <c r="AE281" i="2" a="1"/>
  <c r="AE281" i="2" s="1"/>
  <c r="T281" i="2" a="1"/>
  <c r="T281" i="2" s="1"/>
  <c r="X281" i="2" a="1"/>
  <c r="X281" i="2" s="1"/>
  <c r="Y281" i="2" a="1"/>
  <c r="Y281" i="2" s="1"/>
  <c r="AE100" i="2" a="1"/>
  <c r="AE100" i="2" s="1"/>
  <c r="W655" i="12" a="1"/>
  <c r="W655" i="12" s="1"/>
  <c r="AP245" i="2" a="1"/>
  <c r="AP245" i="2" s="1"/>
  <c r="AN245" i="2" a="1"/>
  <c r="AN245" i="2" s="1"/>
  <c r="AF343" i="2" a="1"/>
  <c r="AF343" i="2" s="1"/>
  <c r="E119" i="12" a="1"/>
  <c r="E119" i="12" s="1"/>
  <c r="V222" i="2" a="1"/>
  <c r="V222" i="2" s="1"/>
  <c r="D59" i="5" a="1"/>
  <c r="D59" i="5" s="1"/>
  <c r="D114" i="4" a="1"/>
  <c r="D114" i="4" s="1"/>
  <c r="AF431" i="2" a="1"/>
  <c r="AF431" i="2" s="1"/>
  <c r="AE431" i="2" a="1"/>
  <c r="AE431" i="2" s="1"/>
  <c r="Y431" i="2" a="1"/>
  <c r="Y431" i="2" s="1"/>
  <c r="AD431" i="2" a="1"/>
  <c r="AD431" i="2" s="1"/>
  <c r="S431" i="2" a="1"/>
  <c r="S431" i="2" s="1"/>
  <c r="W431" i="2" a="1"/>
  <c r="W431" i="2" s="1"/>
  <c r="Z431" i="2" a="1"/>
  <c r="Z431" i="2" s="1"/>
  <c r="D60" i="7" a="1"/>
  <c r="D60" i="7" s="1"/>
  <c r="D51" i="6" a="1"/>
  <c r="D51" i="6" s="1"/>
  <c r="D105" i="4" a="1"/>
  <c r="D105" i="4" s="1"/>
  <c r="AG386" i="2" a="1"/>
  <c r="AG386" i="2" s="1"/>
  <c r="V386" i="2" a="1"/>
  <c r="V386" i="2" s="1"/>
  <c r="AF386" i="2" a="1"/>
  <c r="AF386" i="2" s="1"/>
  <c r="Z386" i="2" a="1"/>
  <c r="Z386" i="2" s="1"/>
  <c r="T386" i="2" a="1"/>
  <c r="T386" i="2" s="1"/>
  <c r="X386" i="2" a="1"/>
  <c r="X386" i="2" s="1"/>
  <c r="Y386" i="2" a="1"/>
  <c r="Y386" i="2" s="1"/>
  <c r="AB166" i="2" a="1"/>
  <c r="AB166" i="2" s="1"/>
  <c r="B69" i="8" a="1"/>
  <c r="B69" i="8" s="1"/>
  <c r="AG160" i="2" a="1"/>
  <c r="AG160" i="2" s="1"/>
  <c r="U300" i="2" a="1"/>
  <c r="U300" i="2" s="1"/>
  <c r="U423" i="12" a="1"/>
  <c r="U423" i="12" s="1"/>
  <c r="AD416" i="2" a="1"/>
  <c r="AD416" i="2" s="1"/>
  <c r="B56" i="6" a="1"/>
  <c r="B56" i="6" s="1"/>
  <c r="B66" i="7" a="1"/>
  <c r="B66" i="7" s="1"/>
  <c r="B113" i="4" a="1"/>
  <c r="B113" i="4" s="1"/>
  <c r="B67" i="7" a="1"/>
  <c r="B67" i="7" s="1"/>
  <c r="B115" i="4" a="1"/>
  <c r="B115" i="4" s="1"/>
  <c r="X170" i="2" a="1"/>
  <c r="X170" i="2" s="1"/>
  <c r="AB221" i="2" a="1"/>
  <c r="AB221" i="2" s="1"/>
  <c r="V221" i="2" a="1"/>
  <c r="V221" i="2" s="1"/>
  <c r="AF221" i="2" a="1"/>
  <c r="AF221" i="2" s="1"/>
  <c r="Z221" i="2" a="1"/>
  <c r="Z221" i="2" s="1"/>
  <c r="AD221" i="2" a="1"/>
  <c r="AD221" i="2" s="1"/>
  <c r="S221" i="2" a="1"/>
  <c r="S221" i="2" s="1"/>
  <c r="W221" i="2" a="1"/>
  <c r="W221" i="2" s="1"/>
  <c r="AA221" i="2" a="1"/>
  <c r="AA221" i="2" s="1"/>
  <c r="AC213" i="2" a="1"/>
  <c r="AC213" i="2" s="1"/>
  <c r="AB213" i="2" a="1"/>
  <c r="AB213" i="2" s="1"/>
  <c r="V213" i="2" a="1"/>
  <c r="V213" i="2" s="1"/>
  <c r="AG213" i="2" a="1"/>
  <c r="AG213" i="2" s="1"/>
  <c r="AA213" i="2" a="1"/>
  <c r="AA213" i="2" s="1"/>
  <c r="AE213" i="2" a="1"/>
  <c r="AE213" i="2" s="1"/>
  <c r="T213" i="2" a="1"/>
  <c r="T213" i="2" s="1"/>
  <c r="X213" i="2" a="1"/>
  <c r="X213" i="2" s="1"/>
  <c r="D68" i="7" a="1"/>
  <c r="D68" i="7" s="1"/>
  <c r="D57" i="6" a="1"/>
  <c r="D57" i="6" s="1"/>
  <c r="D116" i="4" a="1"/>
  <c r="D116" i="4" s="1"/>
  <c r="AF225" i="2" a="1"/>
  <c r="AF225" i="2" s="1"/>
  <c r="AE225" i="2" a="1"/>
  <c r="AE225" i="2" s="1"/>
  <c r="T225" i="2" a="1"/>
  <c r="T225" i="2" s="1"/>
  <c r="Y225" i="2" a="1"/>
  <c r="Y225" i="2" s="1"/>
  <c r="AC225" i="2" a="1"/>
  <c r="AC225" i="2" s="1"/>
  <c r="AG225" i="2" a="1"/>
  <c r="AG225" i="2" s="1"/>
  <c r="AA225" i="2" a="1"/>
  <c r="AA225" i="2" s="1"/>
  <c r="Z225" i="2" a="1"/>
  <c r="Z225" i="2" s="1"/>
  <c r="AB171" i="2" a="1"/>
  <c r="AB171" i="2" s="1"/>
  <c r="V171" i="2" a="1"/>
  <c r="V171" i="2" s="1"/>
  <c r="AF171" i="2" a="1"/>
  <c r="AF171" i="2" s="1"/>
  <c r="Z171" i="2" a="1"/>
  <c r="Z171" i="2" s="1"/>
  <c r="AD171" i="2" a="1"/>
  <c r="AD171" i="2" s="1"/>
  <c r="S171" i="2" a="1"/>
  <c r="S171" i="2" s="1"/>
  <c r="W171" i="2" a="1"/>
  <c r="W171" i="2" s="1"/>
  <c r="AA171" i="2" a="1"/>
  <c r="AA171" i="2" s="1"/>
  <c r="AC268" i="2" a="1"/>
  <c r="AC268" i="2" s="1"/>
  <c r="AB268" i="2" a="1"/>
  <c r="AB268" i="2" s="1"/>
  <c r="V268" i="2" a="1"/>
  <c r="V268" i="2" s="1"/>
  <c r="AG268" i="2" a="1"/>
  <c r="AG268" i="2" s="1"/>
  <c r="AA268" i="2" a="1"/>
  <c r="AA268" i="2" s="1"/>
  <c r="AE268" i="2" a="1"/>
  <c r="AE268" i="2" s="1"/>
  <c r="T268" i="2" a="1"/>
  <c r="T268" i="2" s="1"/>
  <c r="X268" i="2" a="1"/>
  <c r="X268" i="2" s="1"/>
  <c r="D71" i="7" a="1"/>
  <c r="D71" i="7" s="1"/>
  <c r="D59" i="6" a="1"/>
  <c r="D59" i="6" s="1"/>
  <c r="D120" i="4" a="1"/>
  <c r="D120" i="4" s="1"/>
  <c r="AF410" i="2" a="1"/>
  <c r="AF410" i="2" s="1"/>
  <c r="AE410" i="2" a="1"/>
  <c r="AE410" i="2" s="1"/>
  <c r="T410" i="2" a="1"/>
  <c r="T410" i="2" s="1"/>
  <c r="Y410" i="2" a="1"/>
  <c r="Y410" i="2" s="1"/>
  <c r="AC410" i="2" a="1"/>
  <c r="AC410" i="2" s="1"/>
  <c r="AG410" i="2" a="1"/>
  <c r="AG410" i="2" s="1"/>
  <c r="AA410" i="2" a="1"/>
  <c r="AA410" i="2" s="1"/>
  <c r="Z410" i="2" a="1"/>
  <c r="Z410" i="2" s="1"/>
  <c r="U309" i="12" a="1"/>
  <c r="U309" i="12" s="1"/>
  <c r="AE295" i="2" a="1"/>
  <c r="AE295" i="2" s="1"/>
  <c r="T295" i="2" a="1"/>
  <c r="T295" i="2" s="1"/>
  <c r="Y295" i="2" a="1"/>
  <c r="Y295" i="2" s="1"/>
  <c r="X295" i="2" a="1"/>
  <c r="X295" i="2" s="1"/>
  <c r="AG295" i="2" a="1"/>
  <c r="AG295" i="2" s="1"/>
  <c r="AA295" i="2" a="1"/>
  <c r="AA295" i="2" s="1"/>
  <c r="AB295" i="2" a="1"/>
  <c r="AB295" i="2" s="1"/>
  <c r="B61" i="6" a="1"/>
  <c r="B61" i="6" s="1"/>
  <c r="B63" i="5" a="1"/>
  <c r="B63" i="5" s="1"/>
  <c r="B123" i="4" a="1"/>
  <c r="B123" i="4" s="1"/>
  <c r="AF417" i="2" a="1"/>
  <c r="AF417" i="2" s="1"/>
  <c r="AE417" i="2" a="1"/>
  <c r="AE417" i="2" s="1"/>
  <c r="T417" i="2" a="1"/>
  <c r="T417" i="2" s="1"/>
  <c r="AC417" i="2" a="1"/>
  <c r="AC417" i="2" s="1"/>
  <c r="W417" i="2" a="1"/>
  <c r="W417" i="2" s="1"/>
  <c r="AB417" i="2" a="1"/>
  <c r="AB417" i="2" s="1"/>
  <c r="V417" i="2" a="1"/>
  <c r="V417" i="2" s="1"/>
  <c r="Z417" i="2" a="1"/>
  <c r="Z417" i="2" s="1"/>
  <c r="S417" i="2" a="1"/>
  <c r="S417" i="2" s="1"/>
  <c r="AD417" i="2" a="1"/>
  <c r="AD417" i="2" s="1"/>
  <c r="AA417" i="2" a="1"/>
  <c r="AA417" i="2" s="1"/>
  <c r="E370" i="12" a="1"/>
  <c r="E370" i="12" s="1"/>
  <c r="X269" i="2" a="1"/>
  <c r="X269" i="2" s="1"/>
  <c r="B67" i="5" a="1"/>
  <c r="B67" i="5" s="1"/>
  <c r="B134" i="4" a="1"/>
  <c r="B134" i="4" s="1"/>
  <c r="D62" i="6" a="1"/>
  <c r="D62" i="6" s="1"/>
  <c r="D64" i="5" a="1"/>
  <c r="D64" i="5" s="1"/>
  <c r="D124" i="4" a="1"/>
  <c r="D124" i="4" s="1"/>
  <c r="AF380" i="2" a="1"/>
  <c r="AF380" i="2" s="1"/>
  <c r="AA380" i="2" a="1"/>
  <c r="AA380" i="2" s="1"/>
  <c r="V380" i="2" a="1"/>
  <c r="V380" i="2" s="1"/>
  <c r="AB380" i="2" a="1"/>
  <c r="AB380" i="2" s="1"/>
  <c r="AG380" i="2" a="1"/>
  <c r="AG380" i="2" s="1"/>
  <c r="Z380" i="2" a="1"/>
  <c r="Z380" i="2" s="1"/>
  <c r="S380" i="2" a="1"/>
  <c r="S380" i="2" s="1"/>
  <c r="Y380" i="2" a="1"/>
  <c r="Y380" i="2" s="1"/>
  <c r="AE380" i="2" a="1"/>
  <c r="AE380" i="2" s="1"/>
  <c r="X380" i="2" a="1"/>
  <c r="X380" i="2" s="1"/>
  <c r="AC380" i="2" a="1"/>
  <c r="AC380" i="2" s="1"/>
  <c r="T380" i="2" a="1"/>
  <c r="T380" i="2" s="1"/>
  <c r="E366" i="12" a="1"/>
  <c r="E366" i="12" s="1"/>
  <c r="U452" i="12" a="1"/>
  <c r="U452" i="12" s="1"/>
  <c r="E164" i="12" a="1"/>
  <c r="E164" i="12" s="1"/>
  <c r="U414" i="12" a="1"/>
  <c r="U414" i="12" s="1"/>
  <c r="E393" i="12" a="1"/>
  <c r="E393" i="12" s="1"/>
  <c r="U393" i="12" a="1"/>
  <c r="U393" i="12" s="1"/>
  <c r="B106" i="8" a="1"/>
  <c r="B106" i="8" s="1"/>
  <c r="AO91" i="2" a="1"/>
  <c r="AO91" i="2" s="1"/>
  <c r="V468" i="2" a="1"/>
  <c r="V468" i="2" s="1"/>
  <c r="T468" i="2" a="1"/>
  <c r="T468" i="2" s="1"/>
  <c r="V230" i="2" a="1"/>
  <c r="V230" i="2" s="1"/>
  <c r="T230" i="2" a="1"/>
  <c r="T230" i="2" s="1"/>
  <c r="V294" i="2" a="1"/>
  <c r="V294" i="2" s="1"/>
  <c r="T294" i="2" a="1"/>
  <c r="T294" i="2" s="1"/>
  <c r="V432" i="2" a="1"/>
  <c r="V432" i="2" s="1"/>
  <c r="T432" i="2" a="1"/>
  <c r="T432" i="2" s="1"/>
  <c r="E466" i="12" a="1"/>
  <c r="E466" i="12" s="1"/>
  <c r="E141" i="12" a="1"/>
  <c r="E141" i="12" s="1"/>
  <c r="D68" i="6" a="1"/>
  <c r="D68" i="6" s="1"/>
  <c r="D138" i="4" a="1"/>
  <c r="D138" i="4" s="1"/>
  <c r="AG439" i="2" a="1"/>
  <c r="AG439" i="2" s="1"/>
  <c r="AB439" i="2" a="1"/>
  <c r="AB439" i="2" s="1"/>
  <c r="W439" i="2" a="1"/>
  <c r="W439" i="2" s="1"/>
  <c r="AD439" i="2" a="1"/>
  <c r="AD439" i="2" s="1"/>
  <c r="X439" i="2" a="1"/>
  <c r="X439" i="2" s="1"/>
  <c r="T439" i="2" a="1"/>
  <c r="T439" i="2" s="1"/>
  <c r="AE439" i="2" a="1"/>
  <c r="AE439" i="2" s="1"/>
  <c r="V439" i="2" a="1"/>
  <c r="V439" i="2" s="1"/>
  <c r="AC439" i="2" a="1"/>
  <c r="AC439" i="2" s="1"/>
  <c r="S439" i="2" a="1"/>
  <c r="S439" i="2" s="1"/>
  <c r="Z439" i="2" a="1"/>
  <c r="Z439" i="2" s="1"/>
  <c r="Y439" i="2" a="1"/>
  <c r="Y439" i="2" s="1"/>
  <c r="AF439" i="2" a="1"/>
  <c r="AF439" i="2" s="1"/>
  <c r="AA336" i="2" a="1"/>
  <c r="AA336" i="2" s="1"/>
  <c r="W636" i="12" a="1"/>
  <c r="W636" i="12" s="1"/>
  <c r="AP143" i="2" a="1"/>
  <c r="AP143" i="2" s="1"/>
  <c r="AK143" i="2" a="1"/>
  <c r="AK143" i="2" s="1"/>
  <c r="AO143" i="2" a="1"/>
  <c r="AO143" i="2" s="1"/>
  <c r="AN143" i="2" a="1"/>
  <c r="AN143" i="2" s="1"/>
  <c r="AM143" i="2" a="1"/>
  <c r="AM143" i="2" s="1"/>
  <c r="B82" i="5" a="1"/>
  <c r="B82" i="5" s="1"/>
  <c r="B161" i="4" a="1"/>
  <c r="B161" i="4" s="1"/>
  <c r="X464" i="2" a="1"/>
  <c r="X464" i="2" s="1"/>
  <c r="W464" i="2" a="1"/>
  <c r="W464" i="2" s="1"/>
  <c r="AC464" i="2" a="1"/>
  <c r="AC464" i="2" s="1"/>
  <c r="AG374" i="2" a="1"/>
  <c r="AG374" i="2" s="1"/>
  <c r="AB374" i="2" a="1"/>
  <c r="AB374" i="2" s="1"/>
  <c r="W374" i="2" a="1"/>
  <c r="W374" i="2" s="1"/>
  <c r="AC374" i="2" a="1"/>
  <c r="AC374" i="2" s="1"/>
  <c r="AA374" i="2" a="1"/>
  <c r="AA374" i="2" s="1"/>
  <c r="Z374" i="2" a="1"/>
  <c r="Z374" i="2" s="1"/>
  <c r="AF374" i="2" a="1"/>
  <c r="AF374" i="2" s="1"/>
  <c r="Y374" i="2" a="1"/>
  <c r="Y374" i="2" s="1"/>
  <c r="S374" i="2" a="1"/>
  <c r="S374" i="2" s="1"/>
  <c r="AE374" i="2" a="1"/>
  <c r="AE374" i="2" s="1"/>
  <c r="X374" i="2" a="1"/>
  <c r="X374" i="2" s="1"/>
  <c r="V374" i="2" a="1"/>
  <c r="V374" i="2" s="1"/>
  <c r="T374" i="2" a="1"/>
  <c r="T374" i="2" s="1"/>
  <c r="AD374" i="2" a="1"/>
  <c r="AD374" i="2" s="1"/>
  <c r="AG521" i="2" a="1"/>
  <c r="AG521" i="2" s="1"/>
  <c r="AB521" i="2" a="1"/>
  <c r="AB521" i="2" s="1"/>
  <c r="W521" i="2" a="1"/>
  <c r="W521" i="2" s="1"/>
  <c r="AC521" i="2" a="1"/>
  <c r="AC521" i="2" s="1"/>
  <c r="X521" i="2" a="1"/>
  <c r="X521" i="2" s="1"/>
  <c r="S521" i="2" a="1"/>
  <c r="S521" i="2" s="1"/>
  <c r="V521" i="2" a="1"/>
  <c r="V521" i="2" s="1"/>
  <c r="AA521" i="2" a="1"/>
  <c r="AA521" i="2" s="1"/>
  <c r="T521" i="2" a="1"/>
  <c r="T521" i="2" s="1"/>
  <c r="AF521" i="2" a="1"/>
  <c r="AF521" i="2" s="1"/>
  <c r="Y521" i="2" a="1"/>
  <c r="Y521" i="2" s="1"/>
  <c r="AE521" i="2" a="1"/>
  <c r="AE521" i="2" s="1"/>
  <c r="AD521" i="2" a="1"/>
  <c r="AD521" i="2" s="1"/>
  <c r="Z521" i="2" a="1"/>
  <c r="Z521" i="2" s="1"/>
  <c r="U197" i="12" a="1"/>
  <c r="U197" i="12" s="1"/>
  <c r="E200" i="12" a="1"/>
  <c r="E200" i="12" s="1"/>
  <c r="D21" i="6" a="1"/>
  <c r="D21" i="6" s="1"/>
  <c r="D23" i="5" a="1"/>
  <c r="D23" i="5" s="1"/>
  <c r="D42" i="4" a="1"/>
  <c r="D42" i="4" s="1"/>
  <c r="V105" i="2" a="1"/>
  <c r="V105" i="2" s="1"/>
  <c r="D28" i="5" a="1"/>
  <c r="D28" i="5" s="1"/>
  <c r="D51" i="4" a="1"/>
  <c r="D51" i="4" s="1"/>
  <c r="AG35" i="2" a="1"/>
  <c r="AG35" i="2" s="1"/>
  <c r="E57" i="12" a="1"/>
  <c r="E57" i="12" s="1"/>
  <c r="U77" i="12" a="1"/>
  <c r="U77" i="12" s="1"/>
  <c r="U69" i="12" a="1"/>
  <c r="U69" i="12" s="1"/>
  <c r="U292" i="12" a="1"/>
  <c r="U292" i="12" s="1"/>
  <c r="D41" i="7" a="1"/>
  <c r="D41" i="7" s="1"/>
  <c r="D33" i="6" a="1"/>
  <c r="D33" i="6" s="1"/>
  <c r="D72" i="4" a="1"/>
  <c r="D72" i="4" s="1"/>
  <c r="W219" i="2" a="1"/>
  <c r="W219" i="2" s="1"/>
  <c r="B4" i="4" a="1"/>
  <c r="B4" i="4" s="1"/>
  <c r="B4" i="5" a="1"/>
  <c r="B4" i="5" s="1"/>
  <c r="B2" i="3" a="1"/>
  <c r="B2" i="3" s="1"/>
  <c r="B5" i="5" a="1"/>
  <c r="B5" i="5" s="1"/>
  <c r="B6" i="4" a="1"/>
  <c r="B6" i="4" s="1"/>
  <c r="B8" i="5" a="1"/>
  <c r="B8" i="5" s="1"/>
  <c r="B10" i="4" a="1"/>
  <c r="B10" i="4" s="1"/>
  <c r="B6" i="7" a="1"/>
  <c r="B6" i="7" s="1"/>
  <c r="B6" i="6" a="1"/>
  <c r="B6" i="6" s="1"/>
  <c r="B13" i="4" a="1"/>
  <c r="B13" i="4" s="1"/>
  <c r="B6" i="3" a="1"/>
  <c r="B6" i="3" s="1"/>
  <c r="U103" i="12" a="1"/>
  <c r="U103" i="12" s="1"/>
  <c r="U110" i="12" a="1"/>
  <c r="U110" i="12" s="1"/>
  <c r="T36" i="2" a="1"/>
  <c r="T36" i="2" s="1"/>
  <c r="AE36" i="2" a="1"/>
  <c r="AE36" i="2" s="1"/>
  <c r="T24" i="2" a="1"/>
  <c r="T24" i="2" s="1"/>
  <c r="AE24" i="2" a="1"/>
  <c r="AE24" i="2" s="1"/>
  <c r="T42" i="2" a="1"/>
  <c r="T42" i="2" s="1"/>
  <c r="U42" i="2" s="1" a="1"/>
  <c r="U42" i="2" s="1"/>
  <c r="AE42" i="2" a="1"/>
  <c r="AE42" i="2" s="1"/>
  <c r="T149" i="2" a="1"/>
  <c r="T149" i="2" s="1"/>
  <c r="AE149" i="2" a="1"/>
  <c r="AE149" i="2" s="1"/>
  <c r="D21" i="7" a="1"/>
  <c r="D21" i="7" s="1"/>
  <c r="D20" i="6" a="1"/>
  <c r="D20" i="6" s="1"/>
  <c r="D37" i="4" a="1"/>
  <c r="D37" i="4" s="1"/>
  <c r="T70" i="2" a="1"/>
  <c r="T70" i="2" s="1"/>
  <c r="AE70" i="2" a="1"/>
  <c r="AE70" i="2" s="1"/>
  <c r="E59" i="12" a="1"/>
  <c r="E59" i="12" s="1"/>
  <c r="AB50" i="2" a="1"/>
  <c r="AB50" i="2" s="1"/>
  <c r="T89" i="2" a="1"/>
  <c r="T89" i="2" s="1"/>
  <c r="AE89" i="2" a="1"/>
  <c r="AE89" i="2" s="1"/>
  <c r="S499" i="2" a="1"/>
  <c r="S499" i="2" s="1"/>
  <c r="AD499" i="2" a="1"/>
  <c r="AD499" i="2" s="1"/>
  <c r="W619" i="12" a="1"/>
  <c r="W619" i="12" s="1"/>
  <c r="AB105" i="2" a="1"/>
  <c r="AB105" i="2" s="1"/>
  <c r="U51" i="12" a="1"/>
  <c r="U51" i="12" s="1"/>
  <c r="AB35" i="2" a="1"/>
  <c r="AB35" i="2" s="1"/>
  <c r="U148" i="12" a="1"/>
  <c r="U148" i="12" s="1"/>
  <c r="W71" i="2" a="1"/>
  <c r="W71" i="2" s="1"/>
  <c r="W140" i="2" a="1"/>
  <c r="W140" i="2" s="1"/>
  <c r="Z126" i="2" a="1"/>
  <c r="Z126" i="2" s="1"/>
  <c r="AF126" i="2" a="1"/>
  <c r="AF126" i="2" s="1"/>
  <c r="W361" i="2" a="1"/>
  <c r="W361" i="2" s="1"/>
  <c r="T48" i="2" a="1"/>
  <c r="T48" i="2" s="1"/>
  <c r="AE48" i="2" a="1"/>
  <c r="AE48" i="2" s="1"/>
  <c r="T244" i="2" a="1"/>
  <c r="T244" i="2" s="1"/>
  <c r="AE244" i="2" a="1"/>
  <c r="AE244" i="2" s="1"/>
  <c r="T212" i="2" a="1"/>
  <c r="T212" i="2" s="1"/>
  <c r="AE212" i="2" a="1"/>
  <c r="AE212" i="2" s="1"/>
  <c r="T249" i="2" a="1"/>
  <c r="T249" i="2" s="1"/>
  <c r="AE249" i="2" a="1"/>
  <c r="AE249" i="2" s="1"/>
  <c r="T80" i="2" a="1"/>
  <c r="T80" i="2" s="1"/>
  <c r="U72" i="12" a="1"/>
  <c r="U72" i="12" s="1"/>
  <c r="AE219" i="2" a="1"/>
  <c r="AE219" i="2" s="1"/>
  <c r="T219" i="2" a="1"/>
  <c r="T219" i="2" s="1"/>
  <c r="U219" i="2" s="1" a="1"/>
  <c r="U219" i="2" s="1"/>
  <c r="X219" i="2" a="1"/>
  <c r="X219" i="2" s="1"/>
  <c r="T231" i="2" a="1"/>
  <c r="T231" i="2" s="1"/>
  <c r="X191" i="2" a="1"/>
  <c r="X191" i="2" s="1"/>
  <c r="AE191" i="2" a="1"/>
  <c r="AE191" i="2" s="1"/>
  <c r="D48" i="5" a="1"/>
  <c r="D48" i="5" s="1"/>
  <c r="D86" i="4" a="1"/>
  <c r="D86" i="4" s="1"/>
  <c r="AA111" i="2" a="1"/>
  <c r="AA111" i="2" s="1"/>
  <c r="AC79" i="2" a="1"/>
  <c r="AC79" i="2" s="1"/>
  <c r="AG79" i="2" a="1"/>
  <c r="AG79" i="2" s="1"/>
  <c r="V79" i="2" a="1"/>
  <c r="V79" i="2" s="1"/>
  <c r="W79" i="2" a="1"/>
  <c r="W79" i="2" s="1"/>
  <c r="AD79" i="2" a="1"/>
  <c r="AD79" i="2" s="1"/>
  <c r="T182" i="2" a="1"/>
  <c r="T182" i="2" s="1"/>
  <c r="AA285" i="2" a="1"/>
  <c r="AA285" i="2" s="1"/>
  <c r="U73" i="12" a="1"/>
  <c r="U73" i="12" s="1"/>
  <c r="B38" i="6" a="1"/>
  <c r="B38" i="6" s="1"/>
  <c r="B46" i="5" a="1"/>
  <c r="B46" i="5" s="1"/>
  <c r="B84" i="4" a="1"/>
  <c r="B84" i="4" s="1"/>
  <c r="Z159" i="2" a="1"/>
  <c r="Z159" i="2" s="1"/>
  <c r="U97" i="12" a="1"/>
  <c r="U97" i="12" s="1"/>
  <c r="AG240" i="2" a="1"/>
  <c r="AG240" i="2" s="1"/>
  <c r="Z188" i="2" a="1"/>
  <c r="Z188" i="2" s="1"/>
  <c r="E250" i="12" a="1"/>
  <c r="E250" i="12" s="1"/>
  <c r="Z152" i="2" a="1"/>
  <c r="Z152" i="2" s="1"/>
  <c r="U250" i="12" a="1"/>
  <c r="U250" i="12" s="1"/>
  <c r="AB355" i="2" a="1"/>
  <c r="AB355" i="2" s="1"/>
  <c r="AF355" i="2" a="1"/>
  <c r="AF355" i="2" s="1"/>
  <c r="Y355" i="2" a="1"/>
  <c r="Y355" i="2" s="1"/>
  <c r="S355" i="2" a="1"/>
  <c r="S355" i="2" s="1"/>
  <c r="W195" i="2" a="1"/>
  <c r="W195" i="2" s="1"/>
  <c r="W169" i="2" a="1"/>
  <c r="W169" i="2" s="1"/>
  <c r="D53" i="5" a="1"/>
  <c r="D53" i="5" s="1"/>
  <c r="D99" i="4" a="1"/>
  <c r="D99" i="4" s="1"/>
  <c r="AF67" i="2" a="1"/>
  <c r="AF67" i="2" s="1"/>
  <c r="W633" i="12" a="1"/>
  <c r="W633" i="12" s="1"/>
  <c r="AN86" i="2" a="1"/>
  <c r="AN86" i="2" s="1"/>
  <c r="AQ86" i="2" a="1"/>
  <c r="AQ86" i="2" s="1"/>
  <c r="AC332" i="2" a="1"/>
  <c r="AC332" i="2" s="1"/>
  <c r="AF252" i="2" a="1"/>
  <c r="AF252" i="2" s="1"/>
  <c r="E133" i="12" a="1"/>
  <c r="E133" i="12" s="1"/>
  <c r="T176" i="2" a="1"/>
  <c r="T176" i="2" s="1"/>
  <c r="U333" i="12" a="1"/>
  <c r="U333" i="12" s="1"/>
  <c r="U138" i="2" a="1"/>
  <c r="U138" i="2" s="1"/>
  <c r="T150" i="2" a="1"/>
  <c r="T150" i="2" s="1"/>
  <c r="U127" i="12" a="1"/>
  <c r="U127" i="12" s="1"/>
  <c r="AB421" i="2" a="1"/>
  <c r="AB421" i="2" s="1"/>
  <c r="B66" i="8" a="1"/>
  <c r="B66" i="8" s="1"/>
  <c r="W649" i="12" a="1"/>
  <c r="W649" i="12" s="1"/>
  <c r="AO73" i="2" a="1"/>
  <c r="AO73" i="2" s="1"/>
  <c r="AM73" i="2" a="1"/>
  <c r="AM73" i="2" s="1"/>
  <c r="AL73" i="2" s="1" a="1"/>
  <c r="AL73" i="2" s="1"/>
  <c r="U157" i="2" a="1"/>
  <c r="U157" i="2" s="1"/>
  <c r="AA431" i="2" a="1"/>
  <c r="AA431" i="2" s="1"/>
  <c r="AA386" i="2" a="1"/>
  <c r="AA386" i="2" s="1"/>
  <c r="S166" i="2" a="1"/>
  <c r="S166" i="2" s="1"/>
  <c r="AC166" i="2" a="1"/>
  <c r="AC166" i="2" s="1"/>
  <c r="U264" i="12" a="1"/>
  <c r="U264" i="12" s="1"/>
  <c r="AC300" i="2" a="1"/>
  <c r="AC300" i="2" s="1"/>
  <c r="T321" i="2" a="1"/>
  <c r="T321" i="2" s="1"/>
  <c r="AC321" i="2" a="1"/>
  <c r="AC321" i="2" s="1"/>
  <c r="S416" i="2" a="1"/>
  <c r="S416" i="2" s="1"/>
  <c r="E125" i="12" a="1"/>
  <c r="E125" i="12" s="1"/>
  <c r="D65" i="7" a="1"/>
  <c r="D65" i="7" s="1"/>
  <c r="D55" i="6" a="1"/>
  <c r="D55" i="6" s="1"/>
  <c r="D112" i="4" a="1"/>
  <c r="D112" i="4" s="1"/>
  <c r="AD419" i="2" a="1"/>
  <c r="AD419" i="2" s="1"/>
  <c r="X419" i="2" a="1"/>
  <c r="X419" i="2" s="1"/>
  <c r="W419" i="2" a="1"/>
  <c r="W419" i="2" s="1"/>
  <c r="AB419" i="2" a="1"/>
  <c r="AB419" i="2" s="1"/>
  <c r="AF419" i="2" a="1"/>
  <c r="AF419" i="2" s="1"/>
  <c r="Y419" i="2" a="1"/>
  <c r="Y419" i="2" s="1"/>
  <c r="S419" i="2" a="1"/>
  <c r="S419" i="2" s="1"/>
  <c r="AA419" i="2" a="1"/>
  <c r="AA419" i="2" s="1"/>
  <c r="W446" i="2" a="1"/>
  <c r="W446" i="2" s="1"/>
  <c r="AG446" i="2" a="1"/>
  <c r="AG446" i="2" s="1"/>
  <c r="V446" i="2" a="1"/>
  <c r="V446" i="2" s="1"/>
  <c r="AA446" i="2" a="1"/>
  <c r="AA446" i="2" s="1"/>
  <c r="AE446" i="2" a="1"/>
  <c r="AE446" i="2" s="1"/>
  <c r="T446" i="2" a="1"/>
  <c r="T446" i="2" s="1"/>
  <c r="AC446" i="2" a="1"/>
  <c r="AC446" i="2" s="1"/>
  <c r="B29" i="9" a="1"/>
  <c r="B29" i="9" s="1"/>
  <c r="U120" i="12" a="1"/>
  <c r="U120" i="12" s="1"/>
  <c r="T257" i="2" a="1"/>
  <c r="T257" i="2" s="1"/>
  <c r="AE257" i="2" a="1"/>
  <c r="AE257" i="2" s="1"/>
  <c r="E368" i="12" a="1"/>
  <c r="E368" i="12" s="1"/>
  <c r="AC221" i="2" a="1"/>
  <c r="AC221" i="2" s="1"/>
  <c r="AE216" i="2" a="1"/>
  <c r="AE216" i="2" s="1"/>
  <c r="T216" i="2" a="1"/>
  <c r="T216" i="2" s="1"/>
  <c r="AD216" i="2" a="1"/>
  <c r="AD216" i="2" s="1"/>
  <c r="S216" i="2" a="1"/>
  <c r="S216" i="2" s="1"/>
  <c r="X216" i="2" a="1"/>
  <c r="X216" i="2" s="1"/>
  <c r="AB216" i="2" a="1"/>
  <c r="AB216" i="2" s="1"/>
  <c r="V216" i="2" a="1"/>
  <c r="V216" i="2" s="1"/>
  <c r="Z216" i="2" a="1"/>
  <c r="Z216" i="2" s="1"/>
  <c r="AB225" i="2" a="1"/>
  <c r="AB225" i="2" s="1"/>
  <c r="U365" i="12" a="1"/>
  <c r="U365" i="12" s="1"/>
  <c r="U112" i="12" a="1"/>
  <c r="U112" i="12" s="1"/>
  <c r="U401" i="12" a="1"/>
  <c r="U401" i="12" s="1"/>
  <c r="T202" i="2" a="1"/>
  <c r="T202" i="2" s="1"/>
  <c r="AE202" i="2" a="1"/>
  <c r="AE202" i="2" s="1"/>
  <c r="E388" i="12" a="1"/>
  <c r="E388" i="12" s="1"/>
  <c r="AC171" i="2" a="1"/>
  <c r="AC171" i="2" s="1"/>
  <c r="AE104" i="2" a="1"/>
  <c r="AE104" i="2" s="1"/>
  <c r="T104" i="2" a="1"/>
  <c r="T104" i="2" s="1"/>
  <c r="AD104" i="2" a="1"/>
  <c r="AD104" i="2" s="1"/>
  <c r="S104" i="2" a="1"/>
  <c r="S104" i="2" s="1"/>
  <c r="X104" i="2" a="1"/>
  <c r="X104" i="2" s="1"/>
  <c r="AB104" i="2" a="1"/>
  <c r="AB104" i="2" s="1"/>
  <c r="V104" i="2" a="1"/>
  <c r="V104" i="2" s="1"/>
  <c r="Z104" i="2" a="1"/>
  <c r="Z104" i="2" s="1"/>
  <c r="AB410" i="2" a="1"/>
  <c r="AB410" i="2" s="1"/>
  <c r="U142" i="12" a="1"/>
  <c r="U142" i="12" s="1"/>
  <c r="U422" i="12" a="1"/>
  <c r="U422" i="12" s="1"/>
  <c r="U377" i="12" a="1"/>
  <c r="U377" i="12" s="1"/>
  <c r="E153" i="12" a="1"/>
  <c r="E153" i="12" s="1"/>
  <c r="AC295" i="2" a="1"/>
  <c r="AC295" i="2" s="1"/>
  <c r="AG139" i="2" a="1"/>
  <c r="AG139" i="2" s="1"/>
  <c r="AD380" i="2" a="1"/>
  <c r="AD380" i="2" s="1"/>
  <c r="E490" i="12" a="1"/>
  <c r="E490" i="12" s="1"/>
  <c r="T284" i="2" a="1"/>
  <c r="T284" i="2" s="1"/>
  <c r="B96" i="8" a="1"/>
  <c r="B96" i="8" s="1"/>
  <c r="AF408" i="2" a="1"/>
  <c r="AF408" i="2" s="1"/>
  <c r="AA408" i="2" a="1"/>
  <c r="AA408" i="2" s="1"/>
  <c r="V408" i="2" a="1"/>
  <c r="V408" i="2" s="1"/>
  <c r="X408" i="2" a="1"/>
  <c r="X408" i="2" s="1"/>
  <c r="AE408" i="2" a="1"/>
  <c r="AE408" i="2" s="1"/>
  <c r="AD408" i="2" a="1"/>
  <c r="AD408" i="2" s="1"/>
  <c r="W408" i="2" a="1"/>
  <c r="W408" i="2" s="1"/>
  <c r="AB408" i="2" a="1"/>
  <c r="AB408" i="2" s="1"/>
  <c r="AG408" i="2" a="1"/>
  <c r="AG408" i="2" s="1"/>
  <c r="Z408" i="2" a="1"/>
  <c r="Z408" i="2" s="1"/>
  <c r="S408" i="2" a="1"/>
  <c r="S408" i="2" s="1"/>
  <c r="E132" i="12" a="1"/>
  <c r="E132" i="12" s="1"/>
  <c r="U363" i="12" a="1"/>
  <c r="U363" i="12" s="1"/>
  <c r="AF189" i="2" a="1"/>
  <c r="AF189" i="2" s="1"/>
  <c r="AA189" i="2" a="1"/>
  <c r="AA189" i="2" s="1"/>
  <c r="V189" i="2" a="1"/>
  <c r="V189" i="2" s="1"/>
  <c r="AC189" i="2" a="1"/>
  <c r="AC189" i="2" s="1"/>
  <c r="AG189" i="2" a="1"/>
  <c r="AG189" i="2" s="1"/>
  <c r="Z189" i="2" a="1"/>
  <c r="Z189" i="2" s="1"/>
  <c r="S189" i="2" a="1"/>
  <c r="S189" i="2" s="1"/>
  <c r="AE189" i="2" a="1"/>
  <c r="AE189" i="2" s="1"/>
  <c r="X189" i="2" a="1"/>
  <c r="X189" i="2" s="1"/>
  <c r="AB189" i="2" a="1"/>
  <c r="AB189" i="2" s="1"/>
  <c r="E427" i="12" a="1"/>
  <c r="E427" i="12" s="1"/>
  <c r="S270" i="2" a="1"/>
  <c r="S270" i="2" s="1"/>
  <c r="V519" i="2" a="1"/>
  <c r="V519" i="2" s="1"/>
  <c r="AD218" i="2" a="1"/>
  <c r="AD218" i="2" s="1"/>
  <c r="Y218" i="2" a="1"/>
  <c r="Y218" i="2" s="1"/>
  <c r="T218" i="2" a="1"/>
  <c r="T218" i="2" s="1"/>
  <c r="AF218" i="2" a="1"/>
  <c r="AF218" i="2" s="1"/>
  <c r="Z218" i="2" a="1"/>
  <c r="Z218" i="2" s="1"/>
  <c r="AE218" i="2" a="1"/>
  <c r="AE218" i="2" s="1"/>
  <c r="AA218" i="2" a="1"/>
  <c r="AA218" i="2" s="1"/>
  <c r="S218" i="2" a="1"/>
  <c r="S218" i="2" s="1"/>
  <c r="AC218" i="2" a="1"/>
  <c r="AC218" i="2" s="1"/>
  <c r="AG218" i="2" a="1"/>
  <c r="AG218" i="2" s="1"/>
  <c r="AP91" i="2" a="1"/>
  <c r="AP91" i="2" s="1"/>
  <c r="U439" i="12" a="1"/>
  <c r="U439" i="12" s="1"/>
  <c r="E356" i="12" a="1"/>
  <c r="E356" i="12" s="1"/>
  <c r="U374" i="12" a="1"/>
  <c r="U374" i="12" s="1"/>
  <c r="E170" i="12" a="1"/>
  <c r="E170" i="12" s="1"/>
  <c r="U175" i="12" a="1"/>
  <c r="U175" i="12" s="1"/>
  <c r="E169" i="12" a="1"/>
  <c r="E169" i="12" s="1"/>
  <c r="U217" i="12" a="1"/>
  <c r="U217" i="12" s="1"/>
  <c r="AG243" i="2" a="1"/>
  <c r="AG243" i="2" s="1"/>
  <c r="AB243" i="2" a="1"/>
  <c r="AB243" i="2" s="1"/>
  <c r="W243" i="2" a="1"/>
  <c r="W243" i="2" s="1"/>
  <c r="T243" i="2" a="1"/>
  <c r="T243" i="2" s="1"/>
  <c r="AA243" i="2" a="1"/>
  <c r="AA243" i="2" s="1"/>
  <c r="S243" i="2" a="1"/>
  <c r="S243" i="2" s="1"/>
  <c r="Z243" i="2" a="1"/>
  <c r="Z243" i="2" s="1"/>
  <c r="Y243" i="2" a="1"/>
  <c r="Y243" i="2" s="1"/>
  <c r="AF243" i="2" a="1"/>
  <c r="AF243" i="2" s="1"/>
  <c r="X243" i="2" a="1"/>
  <c r="X243" i="2" s="1"/>
  <c r="AD243" i="2" a="1"/>
  <c r="AD243" i="2" s="1"/>
  <c r="V243" i="2" a="1"/>
  <c r="V243" i="2" s="1"/>
  <c r="AC243" i="2" a="1"/>
  <c r="AC243" i="2" s="1"/>
  <c r="B73" i="6" a="1"/>
  <c r="B73" i="6" s="1"/>
  <c r="B146" i="4" a="1"/>
  <c r="B146" i="4" s="1"/>
  <c r="B72" i="5" a="1"/>
  <c r="B72" i="5" s="1"/>
  <c r="AA323" i="2" a="1"/>
  <c r="AA323" i="2" s="1"/>
  <c r="U165" i="2" a="1"/>
  <c r="U165" i="2" s="1"/>
  <c r="U96" i="12" a="1"/>
  <c r="U96" i="12" s="1"/>
  <c r="E196" i="12" a="1"/>
  <c r="E196" i="12" s="1"/>
  <c r="X79" i="2" a="1"/>
  <c r="X79" i="2" s="1"/>
  <c r="W631" i="12" a="1"/>
  <c r="W631" i="12" s="1"/>
  <c r="AP69" i="2" a="1"/>
  <c r="AP69" i="2" s="1"/>
  <c r="D48" i="7" a="1"/>
  <c r="D48" i="7" s="1"/>
  <c r="D37" i="6" a="1"/>
  <c r="D37" i="6" s="1"/>
  <c r="D45" i="5" a="1"/>
  <c r="D45" i="5" s="1"/>
  <c r="D83" i="4" a="1"/>
  <c r="D83" i="4" s="1"/>
  <c r="S211" i="2" a="1"/>
  <c r="S211" i="2" s="1"/>
  <c r="AA211" i="2" a="1"/>
  <c r="AA211" i="2" s="1"/>
  <c r="AA159" i="2" a="1"/>
  <c r="AA159" i="2" s="1"/>
  <c r="U121" i="12" a="1"/>
  <c r="U121" i="12" s="1"/>
  <c r="Z195" i="2" a="1"/>
  <c r="Z195" i="2" s="1"/>
  <c r="AD195" i="2" a="1"/>
  <c r="AD195" i="2" s="1"/>
  <c r="X195" i="2" a="1"/>
  <c r="X195" i="2" s="1"/>
  <c r="AB195" i="2" a="1"/>
  <c r="AB195" i="2" s="1"/>
  <c r="AF195" i="2" a="1"/>
  <c r="AF195" i="2" s="1"/>
  <c r="AC169" i="2" a="1"/>
  <c r="AC169" i="2" s="1"/>
  <c r="AG169" i="2" a="1"/>
  <c r="AG169" i="2" s="1"/>
  <c r="V169" i="2" a="1"/>
  <c r="V169" i="2" s="1"/>
  <c r="Z169" i="2" a="1"/>
  <c r="Z169" i="2" s="1"/>
  <c r="X169" i="2" a="1"/>
  <c r="X169" i="2" s="1"/>
  <c r="AF169" i="2" a="1"/>
  <c r="AF169" i="2" s="1"/>
  <c r="V82" i="2" a="1"/>
  <c r="V82" i="2" s="1"/>
  <c r="AC103" i="2" a="1"/>
  <c r="AC103" i="2" s="1"/>
  <c r="X67" i="2" a="1"/>
  <c r="X67" i="2" s="1"/>
  <c r="W252" i="2" a="1"/>
  <c r="W252" i="2" s="1"/>
  <c r="S178" i="2" a="1"/>
  <c r="S178" i="2" s="1"/>
  <c r="AC178" i="2" a="1"/>
  <c r="AC178" i="2" s="1"/>
  <c r="E161" i="12" a="1"/>
  <c r="E161" i="12" s="1"/>
  <c r="D56" i="5" a="1"/>
  <c r="D56" i="5" s="1"/>
  <c r="D107" i="4" a="1"/>
  <c r="D107" i="4" s="1"/>
  <c r="X222" i="2" a="1"/>
  <c r="X222" i="2" s="1"/>
  <c r="W222" i="2" a="1"/>
  <c r="W222" i="2" s="1"/>
  <c r="B59" i="7" a="1"/>
  <c r="B59" i="7" s="1"/>
  <c r="B50" i="6" a="1"/>
  <c r="B50" i="6" s="1"/>
  <c r="B104" i="4" a="1"/>
  <c r="B104" i="4" s="1"/>
  <c r="E140" i="12" a="1"/>
  <c r="E140" i="12" s="1"/>
  <c r="U421" i="12" a="1"/>
  <c r="U421" i="12" s="1"/>
  <c r="AF160" i="2" a="1"/>
  <c r="AF160" i="2" s="1"/>
  <c r="AE160" i="2" a="1"/>
  <c r="AE160" i="2" s="1"/>
  <c r="Y160" i="2" a="1"/>
  <c r="Y160" i="2" s="1"/>
  <c r="AD160" i="2" a="1"/>
  <c r="AD160" i="2" s="1"/>
  <c r="S160" i="2" a="1"/>
  <c r="S160" i="2" s="1"/>
  <c r="W160" i="2" a="1"/>
  <c r="W160" i="2" s="1"/>
  <c r="Z160" i="2" a="1"/>
  <c r="Z160" i="2" s="1"/>
  <c r="W665" i="12" a="1"/>
  <c r="W665" i="12" s="1"/>
  <c r="AO359" i="2" a="1"/>
  <c r="AO359" i="2" s="1"/>
  <c r="AN359" i="2" a="1"/>
  <c r="AN359" i="2" s="1"/>
  <c r="AM359" i="2" a="1"/>
  <c r="AM359" i="2" s="1"/>
  <c r="AE135" i="2" a="1"/>
  <c r="AE135" i="2" s="1"/>
  <c r="T135" i="2" a="1"/>
  <c r="T135" i="2" s="1"/>
  <c r="AD135" i="2" a="1"/>
  <c r="AD135" i="2" s="1"/>
  <c r="X135" i="2" a="1"/>
  <c r="X135" i="2" s="1"/>
  <c r="AC135" i="2" a="1"/>
  <c r="AC135" i="2" s="1"/>
  <c r="AG135" i="2" a="1"/>
  <c r="AG135" i="2" s="1"/>
  <c r="V135" i="2" a="1"/>
  <c r="V135" i="2" s="1"/>
  <c r="Z135" i="2" a="1"/>
  <c r="Z135" i="2" s="1"/>
  <c r="AA135" i="2" a="1"/>
  <c r="AA135" i="2" s="1"/>
  <c r="E150" i="12" a="1"/>
  <c r="E150" i="12" s="1"/>
  <c r="AF170" i="2" a="1"/>
  <c r="AF170" i="2" s="1"/>
  <c r="AE170" i="2" a="1"/>
  <c r="AE170" i="2" s="1"/>
  <c r="T170" i="2" a="1"/>
  <c r="T170" i="2" s="1"/>
  <c r="Y170" i="2" a="1"/>
  <c r="Y170" i="2" s="1"/>
  <c r="S170" i="2" a="1"/>
  <c r="S170" i="2" s="1"/>
  <c r="W170" i="2" a="1"/>
  <c r="W170" i="2" s="1"/>
  <c r="AA170" i="2" a="1"/>
  <c r="AA170" i="2" s="1"/>
  <c r="E151" i="12" a="1"/>
  <c r="E151" i="12" s="1"/>
  <c r="AD94" i="2" a="1"/>
  <c r="AD94" i="2" s="1"/>
  <c r="S94" i="2" a="1"/>
  <c r="S94" i="2" s="1"/>
  <c r="AC94" i="2" a="1"/>
  <c r="AC94" i="2" s="1"/>
  <c r="W94" i="2" a="1"/>
  <c r="W94" i="2" s="1"/>
  <c r="AF94" i="2" a="1"/>
  <c r="AF94" i="2" s="1"/>
  <c r="Y94" i="2" a="1"/>
  <c r="Y94" i="2" s="1"/>
  <c r="Z94" i="2" a="1"/>
  <c r="Z94" i="2" s="1"/>
  <c r="B81" i="8" a="1"/>
  <c r="B81" i="8" s="1"/>
  <c r="E325" i="12" a="1"/>
  <c r="E325" i="12" s="1"/>
  <c r="AD145" i="2" a="1"/>
  <c r="AD145" i="2" s="1"/>
  <c r="S145" i="2" a="1"/>
  <c r="S145" i="2" s="1"/>
  <c r="AC145" i="2" a="1"/>
  <c r="AC145" i="2" s="1"/>
  <c r="W145" i="2" a="1"/>
  <c r="W145" i="2" s="1"/>
  <c r="AF145" i="2" a="1"/>
  <c r="AF145" i="2" s="1"/>
  <c r="Y145" i="2" a="1"/>
  <c r="Y145" i="2" s="1"/>
  <c r="Z145" i="2" a="1"/>
  <c r="Z145" i="2" s="1"/>
  <c r="B72" i="7" a="1"/>
  <c r="B72" i="7" s="1"/>
  <c r="B60" i="6" a="1"/>
  <c r="B60" i="6" s="1"/>
  <c r="B121" i="4" a="1"/>
  <c r="B121" i="4" s="1"/>
  <c r="B88" i="8" a="1"/>
  <c r="B88" i="8" s="1"/>
  <c r="AG197" i="2" a="1"/>
  <c r="AG197" i="2" s="1"/>
  <c r="V197" i="2" a="1"/>
  <c r="V197" i="2" s="1"/>
  <c r="S197" i="2" a="1"/>
  <c r="S197" i="2" s="1"/>
  <c r="X197" i="2" a="1"/>
  <c r="X197" i="2" s="1"/>
  <c r="AD197" i="2" a="1"/>
  <c r="AD197" i="2" s="1"/>
  <c r="AB197" i="2" a="1"/>
  <c r="AB197" i="2" s="1"/>
  <c r="AF197" i="2" a="1"/>
  <c r="AF197" i="2" s="1"/>
  <c r="Z197" i="2" a="1"/>
  <c r="Z197" i="2" s="1"/>
  <c r="T197" i="2" a="1"/>
  <c r="T197" i="2" s="1"/>
  <c r="D73" i="7" a="1"/>
  <c r="D73" i="7" s="1"/>
  <c r="D63" i="6" a="1"/>
  <c r="D63" i="6" s="1"/>
  <c r="D125" i="4" a="1"/>
  <c r="D125" i="4" s="1"/>
  <c r="AD295" i="2" a="1"/>
  <c r="AD295" i="2" s="1"/>
  <c r="D63" i="5" a="1"/>
  <c r="D63" i="5" s="1"/>
  <c r="D61" i="6" a="1"/>
  <c r="D61" i="6" s="1"/>
  <c r="D123" i="4" a="1"/>
  <c r="D123" i="4" s="1"/>
  <c r="E432" i="12" a="1"/>
  <c r="E432" i="12" s="1"/>
  <c r="U370" i="12" a="1"/>
  <c r="U370" i="12" s="1"/>
  <c r="D67" i="5" a="1"/>
  <c r="D67" i="5" s="1"/>
  <c r="D134" i="4" a="1"/>
  <c r="D134" i="4" s="1"/>
  <c r="AF329" i="2" a="1"/>
  <c r="AF329" i="2" s="1"/>
  <c r="AA329" i="2" a="1"/>
  <c r="AA329" i="2" s="1"/>
  <c r="V329" i="2" a="1"/>
  <c r="V329" i="2" s="1"/>
  <c r="AC329" i="2" a="1"/>
  <c r="AC329" i="2" s="1"/>
  <c r="AG329" i="2" a="1"/>
  <c r="AG329" i="2" s="1"/>
  <c r="Z329" i="2" a="1"/>
  <c r="Z329" i="2" s="1"/>
  <c r="S329" i="2" a="1"/>
  <c r="S329" i="2" s="1"/>
  <c r="AE329" i="2" a="1"/>
  <c r="AE329" i="2" s="1"/>
  <c r="X329" i="2" a="1"/>
  <c r="X329" i="2" s="1"/>
  <c r="AB329" i="2" a="1"/>
  <c r="AB329" i="2" s="1"/>
  <c r="E123" i="12" a="1"/>
  <c r="E123" i="12" s="1"/>
  <c r="B99" i="8" a="1"/>
  <c r="B99" i="8" s="1"/>
  <c r="B31" i="9" a="1"/>
  <c r="B31" i="9" s="1"/>
  <c r="W651" i="12" a="1"/>
  <c r="W651" i="12" s="1"/>
  <c r="AN282" i="2" a="1"/>
  <c r="AN282" i="2" s="1"/>
  <c r="AM282" i="2" a="1"/>
  <c r="AM282" i="2" s="1"/>
  <c r="AK282" i="2" a="1"/>
  <c r="AK282" i="2" s="1"/>
  <c r="AO282" i="2" a="1"/>
  <c r="AO282" i="2" s="1"/>
  <c r="W519" i="2" a="1"/>
  <c r="W519" i="2" s="1"/>
  <c r="U469" i="12" a="1"/>
  <c r="U469" i="12" s="1"/>
  <c r="E383" i="12" a="1"/>
  <c r="E383" i="12" s="1"/>
  <c r="U383" i="12" a="1"/>
  <c r="U383" i="12" s="1"/>
  <c r="W128" i="2" a="1"/>
  <c r="W128" i="2" s="1"/>
  <c r="D80" i="7" a="1"/>
  <c r="D80" i="7" s="1"/>
  <c r="D137" i="4" a="1"/>
  <c r="D137" i="4" s="1"/>
  <c r="V200" i="2" a="1"/>
  <c r="V200" i="2" s="1"/>
  <c r="T200" i="2" a="1"/>
  <c r="T200" i="2" s="1"/>
  <c r="W440" i="2" a="1"/>
  <c r="W440" i="2" s="1"/>
  <c r="V299" i="2" a="1"/>
  <c r="V299" i="2" s="1"/>
  <c r="T299" i="2" a="1"/>
  <c r="T299" i="2" s="1"/>
  <c r="V296" i="2" a="1"/>
  <c r="V296" i="2" s="1"/>
  <c r="T296" i="2" a="1"/>
  <c r="T296" i="2" s="1"/>
  <c r="W296" i="2" a="1"/>
  <c r="W296" i="2" s="1"/>
  <c r="AD352" i="2" a="1"/>
  <c r="AD352" i="2" s="1"/>
  <c r="Y352" i="2" a="1"/>
  <c r="Y352" i="2" s="1"/>
  <c r="T352" i="2" a="1"/>
  <c r="T352" i="2" s="1"/>
  <c r="X352" i="2" a="1"/>
  <c r="X352" i="2" s="1"/>
  <c r="AB352" i="2" a="1"/>
  <c r="AB352" i="2" s="1"/>
  <c r="AG352" i="2" a="1"/>
  <c r="AG352" i="2" s="1"/>
  <c r="AE352" i="2" a="1"/>
  <c r="AE352" i="2" s="1"/>
  <c r="AC352" i="2" a="1"/>
  <c r="AC352" i="2" s="1"/>
  <c r="S352" i="2" a="1"/>
  <c r="S352" i="2" s="1"/>
  <c r="AA352" i="2" a="1"/>
  <c r="AA352" i="2" s="1"/>
  <c r="Z352" i="2" a="1"/>
  <c r="Z352" i="2" s="1"/>
  <c r="W352" i="2" a="1"/>
  <c r="W352" i="2" s="1"/>
  <c r="AF352" i="2" a="1"/>
  <c r="AF352" i="2" s="1"/>
  <c r="V352" i="2" a="1"/>
  <c r="V352" i="2" s="1"/>
  <c r="S305" i="2" a="1"/>
  <c r="S305" i="2" s="1"/>
  <c r="AE305" i="2" a="1"/>
  <c r="AE305" i="2" s="1"/>
  <c r="X305" i="2" a="1"/>
  <c r="X305" i="2" s="1"/>
  <c r="V305" i="2" a="1"/>
  <c r="V305" i="2" s="1"/>
  <c r="U235" i="12" a="1"/>
  <c r="U235" i="12" s="1"/>
  <c r="E143" i="12" a="1"/>
  <c r="E143" i="12" s="1"/>
  <c r="AN117" i="2" a="1"/>
  <c r="AN117" i="2" s="1"/>
  <c r="D51" i="7" a="1"/>
  <c r="D51" i="7" s="1"/>
  <c r="D42" i="6" a="1"/>
  <c r="D42" i="6" s="1"/>
  <c r="D89" i="4" a="1"/>
  <c r="D89" i="4" s="1"/>
  <c r="T159" i="2" a="1"/>
  <c r="T159" i="2" s="1"/>
  <c r="B41" i="6" a="1"/>
  <c r="B41" i="6" s="1"/>
  <c r="B88" i="4" a="1"/>
  <c r="B88" i="4" s="1"/>
  <c r="B50" i="5" a="1"/>
  <c r="B50" i="5" s="1"/>
  <c r="B96" i="4" a="1"/>
  <c r="B96" i="4" s="1"/>
  <c r="S188" i="2" a="1"/>
  <c r="S188" i="2" s="1"/>
  <c r="B52" i="8" a="1"/>
  <c r="B52" i="8" s="1"/>
  <c r="E99" i="12" a="1"/>
  <c r="E99" i="12" s="1"/>
  <c r="E289" i="12" a="1"/>
  <c r="E289" i="12" s="1"/>
  <c r="E279" i="12" a="1"/>
  <c r="E279" i="12" s="1"/>
  <c r="W82" i="2" a="1"/>
  <c r="W82" i="2" s="1"/>
  <c r="D52" i="7" a="1"/>
  <c r="D52" i="7" s="1"/>
  <c r="D90" i="4" a="1"/>
  <c r="D90" i="4" s="1"/>
  <c r="V103" i="2" a="1"/>
  <c r="V103" i="2" s="1"/>
  <c r="Y67" i="2" a="1"/>
  <c r="Y67" i="2" s="1"/>
  <c r="S67" i="2" a="1"/>
  <c r="S67" i="2" s="1"/>
  <c r="AC67" i="2" a="1"/>
  <c r="AC67" i="2" s="1"/>
  <c r="W67" i="2" a="1"/>
  <c r="W67" i="2" s="1"/>
  <c r="AA67" i="2" a="1"/>
  <c r="AA67" i="2" s="1"/>
  <c r="U255" i="12" a="1"/>
  <c r="U255" i="12" s="1"/>
  <c r="AA252" i="2" a="1"/>
  <c r="AA252" i="2" s="1"/>
  <c r="Z252" i="2" a="1"/>
  <c r="Z252" i="2" s="1"/>
  <c r="AE252" i="2" a="1"/>
  <c r="AE252" i="2" s="1"/>
  <c r="T252" i="2" a="1"/>
  <c r="T252" i="2" s="1"/>
  <c r="X252" i="2" a="1"/>
  <c r="X252" i="2" s="1"/>
  <c r="U602" i="12" a="1"/>
  <c r="U602" i="12" s="1"/>
  <c r="Z118" i="2" a="1"/>
  <c r="Z118" i="2" s="1"/>
  <c r="Y118" i="2" a="1"/>
  <c r="Y118" i="2" s="1"/>
  <c r="AD118" i="2" a="1"/>
  <c r="AD118" i="2" s="1"/>
  <c r="S118" i="2" a="1"/>
  <c r="S118" i="2" s="1"/>
  <c r="AB118" i="2" a="1"/>
  <c r="AB118" i="2" s="1"/>
  <c r="AC314" i="2" a="1"/>
  <c r="AC314" i="2" s="1"/>
  <c r="E333" i="12" a="1"/>
  <c r="E333" i="12" s="1"/>
  <c r="T178" i="2" a="1"/>
  <c r="T178" i="2" s="1"/>
  <c r="U285" i="12" a="1"/>
  <c r="U285" i="12" s="1"/>
  <c r="B64" i="8" a="1"/>
  <c r="B64" i="8" s="1"/>
  <c r="AG407" i="2" a="1"/>
  <c r="AG407" i="2" s="1"/>
  <c r="V407" i="2" a="1"/>
  <c r="V407" i="2" s="1"/>
  <c r="AF407" i="2" a="1"/>
  <c r="AF407" i="2" s="1"/>
  <c r="Z407" i="2" a="1"/>
  <c r="Z407" i="2" s="1"/>
  <c r="AE407" i="2" a="1"/>
  <c r="AE407" i="2" s="1"/>
  <c r="T407" i="2" a="1"/>
  <c r="T407" i="2" s="1"/>
  <c r="X407" i="2" a="1"/>
  <c r="X407" i="2" s="1"/>
  <c r="Y407" i="2" a="1"/>
  <c r="Y407" i="2" s="1"/>
  <c r="W343" i="2" a="1"/>
  <c r="W343" i="2" s="1"/>
  <c r="AG343" i="2" a="1"/>
  <c r="AG343" i="2" s="1"/>
  <c r="V343" i="2" a="1"/>
  <c r="V343" i="2" s="1"/>
  <c r="AA343" i="2" a="1"/>
  <c r="AA343" i="2" s="1"/>
  <c r="Y343" i="2" a="1"/>
  <c r="Y343" i="2" s="1"/>
  <c r="AB431" i="2" a="1"/>
  <c r="AB431" i="2" s="1"/>
  <c r="S386" i="2" a="1"/>
  <c r="S386" i="2" s="1"/>
  <c r="AE210" i="2" a="1"/>
  <c r="AE210" i="2" s="1"/>
  <c r="Y210" i="2" a="1"/>
  <c r="Y210" i="2" s="1"/>
  <c r="X210" i="2" a="1"/>
  <c r="X210" i="2" s="1"/>
  <c r="AC210" i="2" a="1"/>
  <c r="AC210" i="2" s="1"/>
  <c r="AG210" i="2" a="1"/>
  <c r="AG210" i="2" s="1"/>
  <c r="V210" i="2" a="1"/>
  <c r="V210" i="2" s="1"/>
  <c r="Z210" i="2" a="1"/>
  <c r="Z210" i="2" s="1"/>
  <c r="AD166" i="2" a="1"/>
  <c r="AD166" i="2" s="1"/>
  <c r="AA160" i="2" a="1"/>
  <c r="AA160" i="2" s="1"/>
  <c r="B61" i="7" a="1"/>
  <c r="B61" i="7" s="1"/>
  <c r="B52" i="6" a="1"/>
  <c r="B52" i="6" s="1"/>
  <c r="B106" i="4" a="1"/>
  <c r="B106" i="4" s="1"/>
  <c r="E423" i="12" a="1"/>
  <c r="E423" i="12" s="1"/>
  <c r="B62" i="7" a="1"/>
  <c r="B62" i="7" s="1"/>
  <c r="B57" i="5" a="1"/>
  <c r="B57" i="5" s="1"/>
  <c r="B53" i="6" a="1"/>
  <c r="B53" i="6" s="1"/>
  <c r="B108" i="4" a="1"/>
  <c r="B108" i="4" s="1"/>
  <c r="AG173" i="2" a="1"/>
  <c r="AG173" i="2" s="1"/>
  <c r="V173" i="2" a="1"/>
  <c r="V173" i="2" s="1"/>
  <c r="AF173" i="2" a="1"/>
  <c r="AF173" i="2" s="1"/>
  <c r="Z173" i="2" a="1"/>
  <c r="Z173" i="2" s="1"/>
  <c r="AD173" i="2" a="1"/>
  <c r="AD173" i="2" s="1"/>
  <c r="X173" i="2" a="1"/>
  <c r="X173" i="2" s="1"/>
  <c r="AF416" i="2" a="1"/>
  <c r="AF416" i="2" s="1"/>
  <c r="E107" i="12" a="1"/>
  <c r="E107" i="12" s="1"/>
  <c r="AC419" i="2" a="1"/>
  <c r="AC419" i="2" s="1"/>
  <c r="D66" i="7" a="1"/>
  <c r="D66" i="7" s="1"/>
  <c r="D56" i="6" a="1"/>
  <c r="D56" i="6" s="1"/>
  <c r="D113" i="4" a="1"/>
  <c r="D113" i="4" s="1"/>
  <c r="AG331" i="2" a="1"/>
  <c r="AG331" i="2" s="1"/>
  <c r="V331" i="2" a="1"/>
  <c r="V331" i="2" s="1"/>
  <c r="AF331" i="2" a="1"/>
  <c r="AF331" i="2" s="1"/>
  <c r="Z331" i="2" a="1"/>
  <c r="Z331" i="2" s="1"/>
  <c r="AD331" i="2" a="1"/>
  <c r="AD331" i="2" s="1"/>
  <c r="X331" i="2" a="1"/>
  <c r="X331" i="2" s="1"/>
  <c r="AB331" i="2" a="1"/>
  <c r="AB331" i="2" s="1"/>
  <c r="AA331" i="2" a="1"/>
  <c r="AA331" i="2" s="1"/>
  <c r="E607" i="12" a="1"/>
  <c r="E607" i="12" s="1"/>
  <c r="AB135" i="2" a="1"/>
  <c r="AB135" i="2" s="1"/>
  <c r="AB170" i="2" a="1"/>
  <c r="AB170" i="2" s="1"/>
  <c r="B30" i="9" a="1"/>
  <c r="B30" i="9" s="1"/>
  <c r="AG257" i="2" a="1"/>
  <c r="AG257" i="2" s="1"/>
  <c r="AA94" i="2" a="1"/>
  <c r="AA94" i="2" s="1"/>
  <c r="B80" i="8" a="1"/>
  <c r="B80" i="8" s="1"/>
  <c r="AG202" i="2" a="1"/>
  <c r="AG202" i="2" s="1"/>
  <c r="AA145" i="2" a="1"/>
  <c r="AA145" i="2" s="1"/>
  <c r="B87" i="8" a="1"/>
  <c r="B87" i="8" s="1"/>
  <c r="B65" i="5" a="1"/>
  <c r="B65" i="5" s="1"/>
  <c r="B131" i="4" a="1"/>
  <c r="B131" i="4" s="1"/>
  <c r="E321" i="12" a="1"/>
  <c r="E321" i="12" s="1"/>
  <c r="AC197" i="2" a="1"/>
  <c r="AC197" i="2" s="1"/>
  <c r="S295" i="2" a="1"/>
  <c r="S295" i="2" s="1"/>
  <c r="AF295" i="2" a="1"/>
  <c r="AF295" i="2" s="1"/>
  <c r="B76" i="7" a="1"/>
  <c r="B76" i="7" s="1"/>
  <c r="B128" i="4" a="1"/>
  <c r="B128" i="4" s="1"/>
  <c r="AD329" i="2" a="1"/>
  <c r="AD329" i="2" s="1"/>
  <c r="B95" i="8" a="1"/>
  <c r="B95" i="8" s="1"/>
  <c r="AC408" i="2" a="1"/>
  <c r="AC408" i="2" s="1"/>
  <c r="S399" i="2" a="1"/>
  <c r="S399" i="2" s="1"/>
  <c r="W158" i="2" a="1"/>
  <c r="W158" i="2" s="1"/>
  <c r="B98" i="8" a="1"/>
  <c r="B98" i="8" s="1"/>
  <c r="E345" i="12" a="1"/>
  <c r="E345" i="12" s="1"/>
  <c r="E372" i="12" a="1"/>
  <c r="E372" i="12" s="1"/>
  <c r="D78" i="7" a="1"/>
  <c r="D78" i="7" s="1"/>
  <c r="D133" i="4" a="1"/>
  <c r="D133" i="4" s="1"/>
  <c r="AD293" i="2" a="1"/>
  <c r="AD293" i="2" s="1"/>
  <c r="Y293" i="2" a="1"/>
  <c r="Y293" i="2" s="1"/>
  <c r="T293" i="2" a="1"/>
  <c r="T293" i="2" s="1"/>
  <c r="AG293" i="2" a="1"/>
  <c r="AG293" i="2" s="1"/>
  <c r="S293" i="2" a="1"/>
  <c r="S293" i="2" s="1"/>
  <c r="AC293" i="2" a="1"/>
  <c r="AC293" i="2" s="1"/>
  <c r="AB293" i="2" a="1"/>
  <c r="AB293" i="2" s="1"/>
  <c r="AA293" i="2" a="1"/>
  <c r="AA293" i="2" s="1"/>
  <c r="Z293" i="2" a="1"/>
  <c r="Z293" i="2" s="1"/>
  <c r="AF293" i="2" a="1"/>
  <c r="AF293" i="2" s="1"/>
  <c r="X293" i="2" a="1"/>
  <c r="X293" i="2" s="1"/>
  <c r="V293" i="2" a="1"/>
  <c r="V293" i="2" s="1"/>
  <c r="B109" i="8" a="1"/>
  <c r="B109" i="8" s="1"/>
  <c r="E162" i="12" a="1"/>
  <c r="E162" i="12" s="1"/>
  <c r="U162" i="12" a="1"/>
  <c r="U162" i="12" s="1"/>
  <c r="E439" i="12" a="1"/>
  <c r="E439" i="12" s="1"/>
  <c r="U204" i="12" a="1"/>
  <c r="U204" i="12" s="1"/>
  <c r="E374" i="12" a="1"/>
  <c r="E374" i="12" s="1"/>
  <c r="U502" i="12" a="1"/>
  <c r="U502" i="12" s="1"/>
  <c r="E175" i="12" a="1"/>
  <c r="E175" i="12" s="1"/>
  <c r="AC235" i="2" a="1"/>
  <c r="AC235" i="2" s="1"/>
  <c r="W235" i="2" a="1"/>
  <c r="W235" i="2" s="1"/>
  <c r="X235" i="2" a="1"/>
  <c r="X235" i="2" s="1"/>
  <c r="AE235" i="2" a="1"/>
  <c r="AE235" i="2" s="1"/>
  <c r="T235" i="2" a="1"/>
  <c r="T235" i="2" s="1"/>
  <c r="U412" i="12" a="1"/>
  <c r="U412" i="12" s="1"/>
  <c r="U526" i="12" a="1"/>
  <c r="U526" i="12" s="1"/>
  <c r="AE400" i="2" a="1"/>
  <c r="AE400" i="2" s="1"/>
  <c r="AC400" i="2" a="1"/>
  <c r="AC400" i="2" s="1"/>
  <c r="W400" i="2" a="1"/>
  <c r="W400" i="2" s="1"/>
  <c r="B26" i="6" a="1"/>
  <c r="B26" i="6" s="1"/>
  <c r="B30" i="7" a="1"/>
  <c r="B30" i="7" s="1"/>
  <c r="B55" i="4" a="1"/>
  <c r="B55" i="4" s="1"/>
  <c r="AB126" i="2" a="1"/>
  <c r="AB126" i="2" s="1"/>
  <c r="U74" i="12" a="1"/>
  <c r="U74" i="12" s="1"/>
  <c r="W637" i="12" a="1"/>
  <c r="W637" i="12" s="1"/>
  <c r="U78" i="12" a="1"/>
  <c r="U78" i="12" s="1"/>
  <c r="U275" i="12" a="1"/>
  <c r="U275" i="12" s="1"/>
  <c r="U105" i="12" a="1"/>
  <c r="U105" i="12" s="1"/>
  <c r="U58" i="12" a="1"/>
  <c r="U58" i="12" s="1"/>
  <c r="U64" i="12" a="1"/>
  <c r="U64" i="12" s="1"/>
  <c r="AF208" i="2" a="1"/>
  <c r="AF208" i="2" s="1"/>
  <c r="AA208" i="2" a="1"/>
  <c r="AA208" i="2" s="1"/>
  <c r="V208" i="2" a="1"/>
  <c r="V208" i="2" s="1"/>
  <c r="AC208" i="2" a="1"/>
  <c r="AC208" i="2" s="1"/>
  <c r="B42" i="7" a="1"/>
  <c r="B42" i="7" s="1"/>
  <c r="B39" i="5" a="1"/>
  <c r="B39" i="5" s="1"/>
  <c r="B73" i="4" a="1"/>
  <c r="B73" i="4" s="1"/>
  <c r="S191" i="2" a="1"/>
  <c r="S191" i="2" s="1"/>
  <c r="Z191" i="2" a="1"/>
  <c r="Z191" i="2" s="1"/>
  <c r="U203" i="12" a="1"/>
  <c r="U203" i="12" s="1"/>
  <c r="V111" i="2" a="1"/>
  <c r="V111" i="2" s="1"/>
  <c r="B22" i="9" a="1"/>
  <c r="B22" i="9" s="1"/>
  <c r="E81" i="12" a="1"/>
  <c r="E81" i="12" s="1"/>
  <c r="B47" i="7" a="1"/>
  <c r="B47" i="7" s="1"/>
  <c r="B36" i="6" a="1"/>
  <c r="B36" i="6" s="1"/>
  <c r="B82" i="4" a="1"/>
  <c r="B82" i="4" s="1"/>
  <c r="AC285" i="2" a="1"/>
  <c r="AC285" i="2" s="1"/>
  <c r="T240" i="2" a="1"/>
  <c r="T240" i="2" s="1"/>
  <c r="T96" i="2" a="1"/>
  <c r="T96" i="2" s="1"/>
  <c r="AB96" i="2" a="1"/>
  <c r="AB96" i="2" s="1"/>
  <c r="AB188" i="2" a="1"/>
  <c r="AB188" i="2" s="1"/>
  <c r="AB152" i="2" a="1"/>
  <c r="AB152" i="2" s="1"/>
  <c r="B51" i="5" a="1"/>
  <c r="B51" i="5" s="1"/>
  <c r="B97" i="4" a="1"/>
  <c r="B97" i="4" s="1"/>
  <c r="U99" i="12" a="1"/>
  <c r="U99" i="12" s="1"/>
  <c r="E314" i="12" a="1"/>
  <c r="E314" i="12" s="1"/>
  <c r="AG195" i="2" a="1"/>
  <c r="AG195" i="2" s="1"/>
  <c r="U289" i="12" a="1"/>
  <c r="U289" i="12" s="1"/>
  <c r="U279" i="12" a="1"/>
  <c r="U279" i="12" s="1"/>
  <c r="E330" i="12" a="1"/>
  <c r="E330" i="12" s="1"/>
  <c r="U330" i="12" a="1"/>
  <c r="U330" i="12" s="1"/>
  <c r="AB82" i="2" a="1"/>
  <c r="AB82" i="2" s="1"/>
  <c r="AF82" i="2" a="1"/>
  <c r="AF82" i="2" s="1"/>
  <c r="Y82" i="2" a="1"/>
  <c r="Y82" i="2" s="1"/>
  <c r="S82" i="2" a="1"/>
  <c r="S82" i="2" s="1"/>
  <c r="W103" i="2" a="1"/>
  <c r="W103" i="2" s="1"/>
  <c r="W234" i="2" a="1"/>
  <c r="W234" i="2" s="1"/>
  <c r="AA307" i="2" a="1"/>
  <c r="AA307" i="2" s="1"/>
  <c r="AE307" i="2" a="1"/>
  <c r="AE307" i="2" s="1"/>
  <c r="T307" i="2" a="1"/>
  <c r="T307" i="2" s="1"/>
  <c r="U307" i="2" s="1" a="1"/>
  <c r="U307" i="2" s="1"/>
  <c r="AC307" i="2" a="1"/>
  <c r="AC307" i="2" s="1"/>
  <c r="W307" i="2" a="1"/>
  <c r="W307" i="2" s="1"/>
  <c r="Z67" i="2" a="1"/>
  <c r="Z67" i="2" s="1"/>
  <c r="B55" i="7" a="1"/>
  <c r="B55" i="7" s="1"/>
  <c r="B46" i="6" a="1"/>
  <c r="B46" i="6" s="1"/>
  <c r="B95" i="4" a="1"/>
  <c r="B95" i="4" s="1"/>
  <c r="AE332" i="2" a="1"/>
  <c r="AE332" i="2" s="1"/>
  <c r="Y252" i="2" a="1"/>
  <c r="Y252" i="2" s="1"/>
  <c r="AD181" i="2" a="1"/>
  <c r="AD181" i="2" s="1"/>
  <c r="T314" i="2" a="1"/>
  <c r="T314" i="2" s="1"/>
  <c r="AD314" i="2" a="1"/>
  <c r="AD314" i="2" s="1"/>
  <c r="AD178" i="2" a="1"/>
  <c r="AD178" i="2" s="1"/>
  <c r="AC281" i="2" a="1"/>
  <c r="AC281" i="2" s="1"/>
  <c r="Y100" i="2" a="1"/>
  <c r="Y100" i="2" s="1"/>
  <c r="X100" i="2" a="1"/>
  <c r="X100" i="2" s="1"/>
  <c r="AC100" i="2" a="1"/>
  <c r="AC100" i="2" s="1"/>
  <c r="AG100" i="2" a="1"/>
  <c r="AG100" i="2" s="1"/>
  <c r="AA100" i="2" a="1"/>
  <c r="AA100" i="2" s="1"/>
  <c r="X138" i="2" a="1"/>
  <c r="X138" i="2" s="1"/>
  <c r="W138" i="2" a="1"/>
  <c r="W138" i="2" s="1"/>
  <c r="E91" i="12" a="1"/>
  <c r="E91" i="12" s="1"/>
  <c r="AA407" i="2" a="1"/>
  <c r="AA407" i="2" s="1"/>
  <c r="AF150" i="2" a="1"/>
  <c r="AF150" i="2" s="1"/>
  <c r="E127" i="12" a="1"/>
  <c r="E127" i="12" s="1"/>
  <c r="Z343" i="2" a="1"/>
  <c r="Z343" i="2" s="1"/>
  <c r="V421" i="2" a="1"/>
  <c r="V421" i="2" s="1"/>
  <c r="AE421" i="2" a="1"/>
  <c r="AE421" i="2" s="1"/>
  <c r="D59" i="7" a="1"/>
  <c r="D59" i="7" s="1"/>
  <c r="D50" i="6" a="1"/>
  <c r="D50" i="6" s="1"/>
  <c r="D104" i="4" a="1"/>
  <c r="D104" i="4" s="1"/>
  <c r="U48" i="12" a="1"/>
  <c r="U48" i="12" s="1"/>
  <c r="T431" i="2" a="1"/>
  <c r="T431" i="2" s="1"/>
  <c r="AC431" i="2" a="1"/>
  <c r="AC431" i="2" s="1"/>
  <c r="AC386" i="2" a="1"/>
  <c r="AC386" i="2" s="1"/>
  <c r="E421" i="12" a="1"/>
  <c r="E421" i="12" s="1"/>
  <c r="B68" i="8" a="1"/>
  <c r="B68" i="8" s="1"/>
  <c r="E264" i="12" a="1"/>
  <c r="E264" i="12" s="1"/>
  <c r="V300" i="2" a="1"/>
  <c r="V300" i="2" s="1"/>
  <c r="AK359" i="2" a="1"/>
  <c r="AK359" i="2" s="1"/>
  <c r="U117" i="12" a="1"/>
  <c r="U117" i="12" s="1"/>
  <c r="V321" i="2" a="1"/>
  <c r="V321" i="2" s="1"/>
  <c r="E387" i="12" a="1"/>
  <c r="E387" i="12" s="1"/>
  <c r="AA173" i="2" a="1"/>
  <c r="AA173" i="2" s="1"/>
  <c r="B63" i="7" a="1"/>
  <c r="B63" i="7" s="1"/>
  <c r="B109" i="4" a="1"/>
  <c r="B109" i="4" s="1"/>
  <c r="U348" i="12" a="1"/>
  <c r="U348" i="12" s="1"/>
  <c r="T419" i="2" a="1"/>
  <c r="T419" i="2" s="1"/>
  <c r="E115" i="12" a="1"/>
  <c r="E115" i="12" s="1"/>
  <c r="E376" i="12" a="1"/>
  <c r="E376" i="12" s="1"/>
  <c r="AC170" i="2" a="1"/>
  <c r="AC170" i="2" s="1"/>
  <c r="W613" i="12" a="1"/>
  <c r="W613" i="12" s="1"/>
  <c r="AP156" i="2" a="1"/>
  <c r="AP156" i="2" s="1"/>
  <c r="AN156" i="2" a="1"/>
  <c r="AN156" i="2" s="1"/>
  <c r="B54" i="6" a="1"/>
  <c r="B54" i="6" s="1"/>
  <c r="B58" i="5" a="1"/>
  <c r="B58" i="5" s="1"/>
  <c r="B111" i="4" a="1"/>
  <c r="B111" i="4" s="1"/>
  <c r="B75" i="8" a="1"/>
  <c r="B75" i="8" s="1"/>
  <c r="V257" i="2" a="1"/>
  <c r="V257" i="2" s="1"/>
  <c r="U358" i="12" a="1"/>
  <c r="U358" i="12" s="1"/>
  <c r="T221" i="2" a="1"/>
  <c r="T221" i="2" s="1"/>
  <c r="AE221" i="2" a="1"/>
  <c r="AE221" i="2" s="1"/>
  <c r="AF216" i="2" a="1"/>
  <c r="AF216" i="2" s="1"/>
  <c r="S225" i="2" a="1"/>
  <c r="S225" i="2" s="1"/>
  <c r="AD225" i="2" a="1"/>
  <c r="AD225" i="2" s="1"/>
  <c r="AB94" i="2" a="1"/>
  <c r="AB94" i="2" s="1"/>
  <c r="B69" i="7" a="1"/>
  <c r="B69" i="7" s="1"/>
  <c r="B58" i="6" a="1"/>
  <c r="B58" i="6" s="1"/>
  <c r="B118" i="4" a="1"/>
  <c r="B118" i="4" s="1"/>
  <c r="B82" i="8" a="1"/>
  <c r="B82" i="8" s="1"/>
  <c r="V202" i="2" a="1"/>
  <c r="V202" i="2" s="1"/>
  <c r="U404" i="12" a="1"/>
  <c r="U404" i="12" s="1"/>
  <c r="T171" i="2" a="1"/>
  <c r="T171" i="2" s="1"/>
  <c r="AE171" i="2" a="1"/>
  <c r="AE171" i="2" s="1"/>
  <c r="AF104" i="2" a="1"/>
  <c r="AF104" i="2" s="1"/>
  <c r="S410" i="2" a="1"/>
  <c r="S410" i="2" s="1"/>
  <c r="AD410" i="2" a="1"/>
  <c r="AD410" i="2" s="1"/>
  <c r="AB145" i="2" a="1"/>
  <c r="AB145" i="2" s="1"/>
  <c r="AD290" i="2" a="1"/>
  <c r="AD290" i="2" s="1"/>
  <c r="X290" i="2" a="1"/>
  <c r="X290" i="2" s="1"/>
  <c r="AE290" i="2" a="1"/>
  <c r="AE290" i="2" s="1"/>
  <c r="Y290" i="2" a="1"/>
  <c r="Y290" i="2" s="1"/>
  <c r="AC290" i="2" a="1"/>
  <c r="AC290" i="2" s="1"/>
  <c r="W290" i="2" a="1"/>
  <c r="W290" i="2" s="1"/>
  <c r="AG290" i="2" a="1"/>
  <c r="AG290" i="2" s="1"/>
  <c r="AA290" i="2" a="1"/>
  <c r="AA290" i="2" s="1"/>
  <c r="S290" i="2" a="1"/>
  <c r="S290" i="2" s="1"/>
  <c r="AE197" i="2" a="1"/>
  <c r="AE197" i="2" s="1"/>
  <c r="U153" i="12" a="1"/>
  <c r="U153" i="12" s="1"/>
  <c r="B66" i="5" a="1"/>
  <c r="B66" i="5" s="1"/>
  <c r="B132" i="4" a="1"/>
  <c r="B132" i="4" s="1"/>
  <c r="AF324" i="2" a="1"/>
  <c r="AF324" i="2" s="1"/>
  <c r="AG324" i="2" a="1"/>
  <c r="AG324" i="2" s="1"/>
  <c r="AA324" i="2" a="1"/>
  <c r="AA324" i="2" s="1"/>
  <c r="S324" i="2" a="1"/>
  <c r="S324" i="2" s="1"/>
  <c r="AE324" i="2" a="1"/>
  <c r="AE324" i="2" s="1"/>
  <c r="Y324" i="2" a="1"/>
  <c r="Y324" i="2" s="1"/>
  <c r="AC324" i="2" a="1"/>
  <c r="AC324" i="2" s="1"/>
  <c r="W324" i="2" a="1"/>
  <c r="W324" i="2" s="1"/>
  <c r="AB324" i="2" a="1"/>
  <c r="AB324" i="2" s="1"/>
  <c r="AG417" i="2" a="1"/>
  <c r="AG417" i="2" s="1"/>
  <c r="W139" i="2" a="1"/>
  <c r="W139" i="2" s="1"/>
  <c r="B75" i="7" a="1"/>
  <c r="B75" i="7" s="1"/>
  <c r="B65" i="6" a="1"/>
  <c r="B65" i="6" s="1"/>
  <c r="B127" i="4" a="1"/>
  <c r="B127" i="4" s="1"/>
  <c r="D76" i="7" a="1"/>
  <c r="D76" i="7" s="1"/>
  <c r="D128" i="4" a="1"/>
  <c r="D128" i="4" s="1"/>
  <c r="E139" i="12" a="1"/>
  <c r="E139" i="12" s="1"/>
  <c r="E156" i="12" a="1"/>
  <c r="E156" i="12" s="1"/>
  <c r="S328" i="2" a="1"/>
  <c r="S328" i="2" s="1"/>
  <c r="AE328" i="2" a="1"/>
  <c r="AE328" i="2" s="1"/>
  <c r="U132" i="12" a="1"/>
  <c r="U132" i="12" s="1"/>
  <c r="Y267" i="2" a="1"/>
  <c r="Y267" i="2" s="1"/>
  <c r="AE304" i="2" a="1"/>
  <c r="AE304" i="2" s="1"/>
  <c r="Z304" i="2" a="1"/>
  <c r="Z304" i="2" s="1"/>
  <c r="T304" i="2" a="1"/>
  <c r="T304" i="2" s="1"/>
  <c r="AG304" i="2" a="1"/>
  <c r="AG304" i="2" s="1"/>
  <c r="S304" i="2" a="1"/>
  <c r="S304" i="2" s="1"/>
  <c r="AF304" i="2" a="1"/>
  <c r="AF304" i="2" s="1"/>
  <c r="Y304" i="2" a="1"/>
  <c r="Y304" i="2" s="1"/>
  <c r="AD304" i="2" a="1"/>
  <c r="AD304" i="2" s="1"/>
  <c r="W304" i="2" a="1"/>
  <c r="W304" i="2" s="1"/>
  <c r="AB304" i="2" a="1"/>
  <c r="AB304" i="2" s="1"/>
  <c r="Y270" i="2" a="1"/>
  <c r="Y270" i="2" s="1"/>
  <c r="AB519" i="2" a="1"/>
  <c r="AB519" i="2" s="1"/>
  <c r="B108" i="8" a="1"/>
  <c r="B108" i="8" s="1"/>
  <c r="AD283" i="2" a="1"/>
  <c r="AD283" i="2" s="1"/>
  <c r="Y283" i="2" a="1"/>
  <c r="Y283" i="2" s="1"/>
  <c r="T283" i="2" a="1"/>
  <c r="T283" i="2" s="1"/>
  <c r="AA283" i="2" a="1"/>
  <c r="AA283" i="2" s="1"/>
  <c r="AF283" i="2" a="1"/>
  <c r="AF283" i="2" s="1"/>
  <c r="Z283" i="2" a="1"/>
  <c r="Z283" i="2" s="1"/>
  <c r="AG283" i="2" a="1"/>
  <c r="AG283" i="2" s="1"/>
  <c r="AE283" i="2" a="1"/>
  <c r="AE283" i="2" s="1"/>
  <c r="AC283" i="2" a="1"/>
  <c r="AC283" i="2" s="1"/>
  <c r="W317" i="2" a="1"/>
  <c r="W317" i="2" s="1"/>
  <c r="B79" i="7" a="1"/>
  <c r="B79" i="7" s="1"/>
  <c r="B135" i="4" a="1"/>
  <c r="B135" i="4" s="1"/>
  <c r="W230" i="2" a="1"/>
  <c r="W230" i="2" s="1"/>
  <c r="V223" i="2" a="1"/>
  <c r="V223" i="2" s="1"/>
  <c r="T223" i="2" a="1"/>
  <c r="T223" i="2" s="1"/>
  <c r="W294" i="2" a="1"/>
  <c r="W294" i="2" s="1"/>
  <c r="D82" i="7" a="1"/>
  <c r="D82" i="7" s="1"/>
  <c r="D70" i="6" a="1"/>
  <c r="D70" i="6" s="1"/>
  <c r="D69" i="5" a="1"/>
  <c r="D69" i="5" s="1"/>
  <c r="D140" i="4" a="1"/>
  <c r="D140" i="4" s="1"/>
  <c r="V334" i="2" a="1"/>
  <c r="V334" i="2" s="1"/>
  <c r="T334" i="2" a="1"/>
  <c r="T334" i="2" s="1"/>
  <c r="W432" i="2" a="1"/>
  <c r="W432" i="2" s="1"/>
  <c r="D75" i="5" a="1"/>
  <c r="D75" i="5" s="1"/>
  <c r="D152" i="4" a="1"/>
  <c r="D152" i="4" s="1"/>
  <c r="E217" i="12" a="1"/>
  <c r="E217" i="12" s="1"/>
  <c r="AO87" i="2" a="1"/>
  <c r="AO87" i="2" s="1"/>
  <c r="AP87" i="2" a="1"/>
  <c r="AP87" i="2" s="1"/>
  <c r="Z444" i="2" a="1"/>
  <c r="Z444" i="2" s="1"/>
  <c r="AA439" i="2" a="1"/>
  <c r="AA439" i="2" s="1"/>
  <c r="AG250" i="2" a="1"/>
  <c r="AG250" i="2" s="1"/>
  <c r="AB250" i="2" a="1"/>
  <c r="AB250" i="2" s="1"/>
  <c r="W250" i="2" a="1"/>
  <c r="W250" i="2" s="1"/>
  <c r="AD250" i="2" a="1"/>
  <c r="AD250" i="2" s="1"/>
  <c r="X250" i="2" a="1"/>
  <c r="X250" i="2" s="1"/>
  <c r="T250" i="2" a="1"/>
  <c r="T250" i="2" s="1"/>
  <c r="AA250" i="2" a="1"/>
  <c r="AA250" i="2" s="1"/>
  <c r="Z250" i="2" a="1"/>
  <c r="Z250" i="2" s="1"/>
  <c r="Y250" i="2" a="1"/>
  <c r="Y250" i="2" s="1"/>
  <c r="AE250" i="2" a="1"/>
  <c r="AE250" i="2" s="1"/>
  <c r="AC250" i="2" a="1"/>
  <c r="AC250" i="2" s="1"/>
  <c r="S250" i="2" a="1"/>
  <c r="S250" i="2" s="1"/>
  <c r="B76" i="6" a="1"/>
  <c r="B76" i="6" s="1"/>
  <c r="B87" i="7" a="1"/>
  <c r="B87" i="7" s="1"/>
  <c r="B149" i="4" a="1"/>
  <c r="B149" i="4" s="1"/>
  <c r="V464" i="2" a="1"/>
  <c r="V464" i="2" s="1"/>
  <c r="AR207" i="2" a="1"/>
  <c r="AR207" i="2" s="1"/>
  <c r="AQ207" i="2" a="1"/>
  <c r="AQ207" i="2" s="1"/>
  <c r="U15" i="12" a="1"/>
  <c r="U15" i="12" s="1"/>
  <c r="V36" i="2" a="1"/>
  <c r="V36" i="2" s="1"/>
  <c r="AG36" i="2" a="1"/>
  <c r="AG36" i="2" s="1"/>
  <c r="V24" i="2" a="1"/>
  <c r="V24" i="2" s="1"/>
  <c r="AG24" i="2" a="1"/>
  <c r="AG24" i="2" s="1"/>
  <c r="B20" i="7" a="1"/>
  <c r="B20" i="7" s="1"/>
  <c r="B36" i="4" a="1"/>
  <c r="B36" i="4" s="1"/>
  <c r="B22" i="5" a="1"/>
  <c r="B22" i="5" s="1"/>
  <c r="B41" i="4" a="1"/>
  <c r="B41" i="4" s="1"/>
  <c r="AB70" i="2" a="1"/>
  <c r="AB70" i="2" s="1"/>
  <c r="U40" i="12" a="1"/>
  <c r="U40" i="12" s="1"/>
  <c r="AA499" i="2" a="1"/>
  <c r="AA499" i="2" s="1"/>
  <c r="Y105" i="2" a="1"/>
  <c r="Y105" i="2" s="1"/>
  <c r="U55" i="12" a="1"/>
  <c r="U55" i="12" s="1"/>
  <c r="Y35" i="2" a="1"/>
  <c r="Y35" i="2" s="1"/>
  <c r="E66" i="12" a="1"/>
  <c r="E66" i="12" s="1"/>
  <c r="D31" i="5" a="1"/>
  <c r="D31" i="5" s="1"/>
  <c r="D57" i="4" a="1"/>
  <c r="D57" i="4" s="1"/>
  <c r="Y140" i="2" a="1"/>
  <c r="Y140" i="2" s="1"/>
  <c r="E74" i="12" a="1"/>
  <c r="E74" i="12" s="1"/>
  <c r="W126" i="2" a="1"/>
  <c r="W126" i="2" s="1"/>
  <c r="Y361" i="2" a="1"/>
  <c r="Y361" i="2" s="1"/>
  <c r="AP61" i="2" a="1"/>
  <c r="AP61" i="2" s="1"/>
  <c r="E78" i="12" a="1"/>
  <c r="E78" i="12" s="1"/>
  <c r="V48" i="2" a="1"/>
  <c r="V48" i="2" s="1"/>
  <c r="AG48" i="2" a="1"/>
  <c r="AG48" i="2" s="1"/>
  <c r="E275" i="12" a="1"/>
  <c r="E275" i="12" s="1"/>
  <c r="B33" i="7" a="1"/>
  <c r="B33" i="7" s="1"/>
  <c r="B34" i="5" a="1"/>
  <c r="B34" i="5" s="1"/>
  <c r="B62" i="4" a="1"/>
  <c r="B62" i="4" s="1"/>
  <c r="V244" i="2" a="1"/>
  <c r="V244" i="2" s="1"/>
  <c r="AG244" i="2" a="1"/>
  <c r="AG244" i="2" s="1"/>
  <c r="E105" i="12" a="1"/>
  <c r="E105" i="12" s="1"/>
  <c r="B42" i="5" a="1"/>
  <c r="B42" i="5" s="1"/>
  <c r="B77" i="4" a="1"/>
  <c r="B77" i="4" s="1"/>
  <c r="V212" i="2" a="1"/>
  <c r="V212" i="2" s="1"/>
  <c r="AG212" i="2" a="1"/>
  <c r="AG212" i="2" s="1"/>
  <c r="E58" i="12" a="1"/>
  <c r="E58" i="12" s="1"/>
  <c r="V249" i="2" a="1"/>
  <c r="V249" i="2" s="1"/>
  <c r="AG249" i="2" a="1"/>
  <c r="AG249" i="2" s="1"/>
  <c r="E64" i="12" a="1"/>
  <c r="E64" i="12" s="1"/>
  <c r="D39" i="7" a="1"/>
  <c r="D39" i="7" s="1"/>
  <c r="D70" i="4" a="1"/>
  <c r="D70" i="4" s="1"/>
  <c r="B40" i="7" a="1"/>
  <c r="B40" i="7" s="1"/>
  <c r="B32" i="6" a="1"/>
  <c r="B32" i="6" s="1"/>
  <c r="B71" i="4" a="1"/>
  <c r="B71" i="4" s="1"/>
  <c r="AF80" i="2" a="1"/>
  <c r="AF80" i="2" s="1"/>
  <c r="AA80" i="2" a="1"/>
  <c r="AA80" i="2" s="1"/>
  <c r="V80" i="2" a="1"/>
  <c r="V80" i="2" s="1"/>
  <c r="AC80" i="2" a="1"/>
  <c r="AC80" i="2" s="1"/>
  <c r="W208" i="2" a="1"/>
  <c r="W208" i="2" s="1"/>
  <c r="E72" i="12" a="1"/>
  <c r="E72" i="12" s="1"/>
  <c r="U100" i="12" a="1"/>
  <c r="U100" i="12" s="1"/>
  <c r="AC231" i="2" a="1"/>
  <c r="AC231" i="2" s="1"/>
  <c r="AG231" i="2" a="1"/>
  <c r="AG231" i="2" s="1"/>
  <c r="V231" i="2" a="1"/>
  <c r="V231" i="2" s="1"/>
  <c r="W231" i="2" a="1"/>
  <c r="W231" i="2" s="1"/>
  <c r="AD231" i="2" a="1"/>
  <c r="AD231" i="2" s="1"/>
  <c r="T191" i="2" a="1"/>
  <c r="T191" i="2" s="1"/>
  <c r="AC111" i="2" a="1"/>
  <c r="AC111" i="2" s="1"/>
  <c r="D49" i="7" a="1"/>
  <c r="D49" i="7" s="1"/>
  <c r="D47" i="5" a="1"/>
  <c r="D47" i="5" s="1"/>
  <c r="D39" i="6" a="1"/>
  <c r="D39" i="6" s="1"/>
  <c r="D85" i="4" a="1"/>
  <c r="D85" i="4" s="1"/>
  <c r="V285" i="2" a="1"/>
  <c r="V285" i="2" s="1"/>
  <c r="AC211" i="2" a="1"/>
  <c r="AC211" i="2" s="1"/>
  <c r="D46" i="5" a="1"/>
  <c r="D46" i="5" s="1"/>
  <c r="D38" i="6" a="1"/>
  <c r="D38" i="6" s="1"/>
  <c r="D84" i="4" a="1"/>
  <c r="D84" i="4" s="1"/>
  <c r="AC159" i="2" a="1"/>
  <c r="AC159" i="2" s="1"/>
  <c r="AC152" i="2" a="1"/>
  <c r="AC152" i="2" s="1"/>
  <c r="U314" i="12" a="1"/>
  <c r="U314" i="12" s="1"/>
  <c r="X82" i="2" a="1"/>
  <c r="X82" i="2" s="1"/>
  <c r="Z103" i="2" a="1"/>
  <c r="Z103" i="2" s="1"/>
  <c r="AD103" i="2" a="1"/>
  <c r="AD103" i="2" s="1"/>
  <c r="X103" i="2" a="1"/>
  <c r="X103" i="2" s="1"/>
  <c r="AB103" i="2" a="1"/>
  <c r="AB103" i="2" s="1"/>
  <c r="AF103" i="2" a="1"/>
  <c r="AF103" i="2" s="1"/>
  <c r="AC234" i="2" a="1"/>
  <c r="AC234" i="2" s="1"/>
  <c r="AG234" i="2" a="1"/>
  <c r="AG234" i="2" s="1"/>
  <c r="V234" i="2" a="1"/>
  <c r="V234" i="2" s="1"/>
  <c r="Z234" i="2" a="1"/>
  <c r="Z234" i="2" s="1"/>
  <c r="X234" i="2" a="1"/>
  <c r="X234" i="2" s="1"/>
  <c r="AF234" i="2" a="1"/>
  <c r="AF234" i="2" s="1"/>
  <c r="X307" i="2" a="1"/>
  <c r="X307" i="2" s="1"/>
  <c r="AF307" i="2" a="1"/>
  <c r="AF307" i="2" s="1"/>
  <c r="E255" i="12" a="1"/>
  <c r="E255" i="12" s="1"/>
  <c r="W332" i="2" a="1"/>
  <c r="W332" i="2" s="1"/>
  <c r="AF332" i="2" a="1"/>
  <c r="AF332" i="2" s="1"/>
  <c r="E602" i="12" a="1"/>
  <c r="E602" i="12" s="1"/>
  <c r="B45" i="6" a="1"/>
  <c r="B45" i="6" s="1"/>
  <c r="B49" i="5" a="1"/>
  <c r="B49" i="5" s="1"/>
  <c r="B94" i="4" a="1"/>
  <c r="B94" i="4" s="1"/>
  <c r="U181" i="2" a="1"/>
  <c r="U181" i="2" s="1"/>
  <c r="AE181" i="2" a="1"/>
  <c r="AE181" i="2" s="1"/>
  <c r="E312" i="12" a="1"/>
  <c r="E312" i="12" s="1"/>
  <c r="AA118" i="2" a="1"/>
  <c r="AA118" i="2" s="1"/>
  <c r="AA180" i="2" a="1"/>
  <c r="AA180" i="2" s="1"/>
  <c r="Z180" i="2" a="1"/>
  <c r="Z180" i="2" s="1"/>
  <c r="AE180" i="2" a="1"/>
  <c r="AE180" i="2" s="1"/>
  <c r="T180" i="2" a="1"/>
  <c r="T180" i="2" s="1"/>
  <c r="U180" i="2" s="1" a="1"/>
  <c r="U180" i="2" s="1"/>
  <c r="X180" i="2" a="1"/>
  <c r="X180" i="2" s="1"/>
  <c r="U297" i="12" a="1"/>
  <c r="U297" i="12" s="1"/>
  <c r="V178" i="2" a="1"/>
  <c r="V178" i="2" s="1"/>
  <c r="AE178" i="2" a="1"/>
  <c r="AE178" i="2" s="1"/>
  <c r="W639" i="12" a="1"/>
  <c r="W639" i="12" s="1"/>
  <c r="AL85" i="2" a="1"/>
  <c r="AL85" i="2" s="1"/>
  <c r="AD281" i="2" a="1"/>
  <c r="AD281" i="2" s="1"/>
  <c r="Z100" i="2" a="1"/>
  <c r="Z100" i="2" s="1"/>
  <c r="AM245" i="2" a="1"/>
  <c r="AM245" i="2" s="1"/>
  <c r="AL245" i="2" s="1" a="1"/>
  <c r="AL245" i="2" s="1"/>
  <c r="AB407" i="2" a="1"/>
  <c r="AB407" i="2" s="1"/>
  <c r="W150" i="2" a="1"/>
  <c r="W150" i="2" s="1"/>
  <c r="AB343" i="2" a="1"/>
  <c r="AB343" i="2" s="1"/>
  <c r="B58" i="7" a="1"/>
  <c r="B58" i="7" s="1"/>
  <c r="B49" i="6" a="1"/>
  <c r="B49" i="6" s="1"/>
  <c r="B103" i="4" a="1"/>
  <c r="B103" i="4" s="1"/>
  <c r="E378" i="12" a="1"/>
  <c r="E378" i="12" s="1"/>
  <c r="U378" i="12" a="1"/>
  <c r="U378" i="12" s="1"/>
  <c r="D48" i="6" a="1"/>
  <c r="D48" i="6" s="1"/>
  <c r="D55" i="5" a="1"/>
  <c r="D55" i="5" s="1"/>
  <c r="D102" i="4" a="1"/>
  <c r="D102" i="4" s="1"/>
  <c r="X363" i="2" a="1"/>
  <c r="X363" i="2" s="1"/>
  <c r="W363" i="2" a="1"/>
  <c r="W363" i="2" s="1"/>
  <c r="AB363" i="2" a="1"/>
  <c r="AB363" i="2" s="1"/>
  <c r="AF363" i="2" a="1"/>
  <c r="AF363" i="2" s="1"/>
  <c r="Y363" i="2" a="1"/>
  <c r="Y363" i="2" s="1"/>
  <c r="U101" i="12" a="1"/>
  <c r="U101" i="12" s="1"/>
  <c r="AD386" i="2" a="1"/>
  <c r="AD386" i="2" s="1"/>
  <c r="AA210" i="2" a="1"/>
  <c r="AA210" i="2" s="1"/>
  <c r="AF166" i="2" a="1"/>
  <c r="AF166" i="2" s="1"/>
  <c r="AB160" i="2" a="1"/>
  <c r="AB160" i="2" s="1"/>
  <c r="AB173" i="2" a="1"/>
  <c r="AB173" i="2" s="1"/>
  <c r="X416" i="2" a="1"/>
  <c r="X416" i="2" s="1"/>
  <c r="U125" i="12" a="1"/>
  <c r="U125" i="12" s="1"/>
  <c r="AC331" i="2" a="1"/>
  <c r="AC331" i="2" s="1"/>
  <c r="S135" i="2" a="1"/>
  <c r="S135" i="2" s="1"/>
  <c r="AD170" i="2" a="1"/>
  <c r="AD170" i="2" s="1"/>
  <c r="AE254" i="2" a="1"/>
  <c r="AE254" i="2" s="1"/>
  <c r="T254" i="2" a="1"/>
  <c r="T254" i="2" s="1"/>
  <c r="AD254" i="2" a="1"/>
  <c r="AD254" i="2" s="1"/>
  <c r="S254" i="2" a="1"/>
  <c r="S254" i="2" s="1"/>
  <c r="X254" i="2" a="1"/>
  <c r="X254" i="2" s="1"/>
  <c r="AG254" i="2" a="1"/>
  <c r="AG254" i="2" s="1"/>
  <c r="V254" i="2" a="1"/>
  <c r="V254" i="2" s="1"/>
  <c r="Z254" i="2" a="1"/>
  <c r="Z254" i="2" s="1"/>
  <c r="AA254" i="2" a="1"/>
  <c r="AA254" i="2" s="1"/>
  <c r="W667" i="12" a="1"/>
  <c r="W667" i="12" s="1"/>
  <c r="AP53" i="2" a="1"/>
  <c r="AP53" i="2" s="1"/>
  <c r="AO53" i="2" a="1"/>
  <c r="AO53" i="2" s="1"/>
  <c r="AM53" i="2" a="1"/>
  <c r="AM53" i="2" s="1"/>
  <c r="AK53" i="2" a="1"/>
  <c r="AK53" i="2" s="1"/>
  <c r="X257" i="2" a="1"/>
  <c r="X257" i="2" s="1"/>
  <c r="AG221" i="2" a="1"/>
  <c r="AG221" i="2" s="1"/>
  <c r="AG216" i="2" a="1"/>
  <c r="AG216" i="2" s="1"/>
  <c r="AF213" i="2" a="1"/>
  <c r="AF213" i="2" s="1"/>
  <c r="AB127" i="2" a="1"/>
  <c r="AB127" i="2" s="1"/>
  <c r="V127" i="2" a="1"/>
  <c r="V127" i="2" s="1"/>
  <c r="AF127" i="2" a="1"/>
  <c r="AF127" i="2" s="1"/>
  <c r="Z127" i="2" a="1"/>
  <c r="Z127" i="2" s="1"/>
  <c r="AD127" i="2" a="1"/>
  <c r="AD127" i="2" s="1"/>
  <c r="S127" i="2" a="1"/>
  <c r="S127" i="2" s="1"/>
  <c r="W127" i="2" a="1"/>
  <c r="W127" i="2" s="1"/>
  <c r="AA127" i="2" a="1"/>
  <c r="AA127" i="2" s="1"/>
  <c r="AC201" i="2" a="1"/>
  <c r="AC201" i="2" s="1"/>
  <c r="AB201" i="2" a="1"/>
  <c r="AB201" i="2" s="1"/>
  <c r="V201" i="2" a="1"/>
  <c r="V201" i="2" s="1"/>
  <c r="AG201" i="2" a="1"/>
  <c r="AG201" i="2" s="1"/>
  <c r="AA201" i="2" a="1"/>
  <c r="AA201" i="2" s="1"/>
  <c r="AE201" i="2" a="1"/>
  <c r="AE201" i="2" s="1"/>
  <c r="T201" i="2" a="1"/>
  <c r="T201" i="2" s="1"/>
  <c r="X201" i="2" a="1"/>
  <c r="X201" i="2" s="1"/>
  <c r="X202" i="2" a="1"/>
  <c r="X202" i="2" s="1"/>
  <c r="AG171" i="2" a="1"/>
  <c r="AG171" i="2" s="1"/>
  <c r="AG104" i="2" a="1"/>
  <c r="AG104" i="2" s="1"/>
  <c r="AF268" i="2" a="1"/>
  <c r="AF268" i="2" s="1"/>
  <c r="AB214" i="2" a="1"/>
  <c r="AB214" i="2" s="1"/>
  <c r="V214" i="2" a="1"/>
  <c r="V214" i="2" s="1"/>
  <c r="AF214" i="2" a="1"/>
  <c r="AF214" i="2" s="1"/>
  <c r="Z214" i="2" a="1"/>
  <c r="Z214" i="2" s="1"/>
  <c r="AD214" i="2" a="1"/>
  <c r="AD214" i="2" s="1"/>
  <c r="S214" i="2" a="1"/>
  <c r="S214" i="2" s="1"/>
  <c r="W214" i="2" a="1"/>
  <c r="W214" i="2" s="1"/>
  <c r="AA214" i="2" a="1"/>
  <c r="AA214" i="2" s="1"/>
  <c r="W144" i="2" a="1"/>
  <c r="W144" i="2" s="1"/>
  <c r="X144" i="2" a="1"/>
  <c r="X144" i="2" s="1"/>
  <c r="AC144" i="2" a="1"/>
  <c r="AC144" i="2" s="1"/>
  <c r="AB144" i="2" a="1"/>
  <c r="AB144" i="2" s="1"/>
  <c r="V144" i="2" a="1"/>
  <c r="V144" i="2" s="1"/>
  <c r="AE144" i="2" a="1"/>
  <c r="AE144" i="2" s="1"/>
  <c r="Y144" i="2" a="1"/>
  <c r="Y144" i="2" s="1"/>
  <c r="E159" i="12" a="1"/>
  <c r="E159" i="12" s="1"/>
  <c r="AB290" i="2" a="1"/>
  <c r="AB290" i="2" s="1"/>
  <c r="V295" i="2" a="1"/>
  <c r="V295" i="2" s="1"/>
  <c r="E496" i="12" a="1"/>
  <c r="E496" i="12" s="1"/>
  <c r="S350" i="2" a="1"/>
  <c r="S350" i="2" s="1"/>
  <c r="U432" i="12" a="1"/>
  <c r="U432" i="12" s="1"/>
  <c r="AC269" i="2" a="1"/>
  <c r="AC269" i="2" s="1"/>
  <c r="Y284" i="2" a="1"/>
  <c r="Y284" i="2" s="1"/>
  <c r="T408" i="2" a="1"/>
  <c r="T408" i="2" s="1"/>
  <c r="U346" i="12" a="1"/>
  <c r="U346" i="12" s="1"/>
  <c r="Z158" i="2" a="1"/>
  <c r="Z158" i="2" s="1"/>
  <c r="T189" i="2" a="1"/>
  <c r="T189" i="2" s="1"/>
  <c r="U372" i="12" a="1"/>
  <c r="U372" i="12" s="1"/>
  <c r="W262" i="2" a="1"/>
  <c r="W262" i="2" s="1"/>
  <c r="U167" i="12" a="1"/>
  <c r="U167" i="12" s="1"/>
  <c r="Y193" i="2" a="1"/>
  <c r="Y193" i="2" s="1"/>
  <c r="E154" i="12" a="1"/>
  <c r="E154" i="12" s="1"/>
  <c r="AA270" i="2" a="1"/>
  <c r="AA270" i="2" s="1"/>
  <c r="AP282" i="2" a="1"/>
  <c r="AP282" i="2" s="1"/>
  <c r="V218" i="2" a="1"/>
  <c r="V218" i="2" s="1"/>
  <c r="D79" i="7" a="1"/>
  <c r="D79" i="7" s="1"/>
  <c r="D135" i="4" a="1"/>
  <c r="D135" i="4" s="1"/>
  <c r="W468" i="2" a="1"/>
  <c r="W468" i="2" s="1"/>
  <c r="U419" i="12" a="1"/>
  <c r="U419" i="12" s="1"/>
  <c r="E204" i="12" a="1"/>
  <c r="E204" i="12" s="1"/>
  <c r="U442" i="12" a="1"/>
  <c r="U442" i="12" s="1"/>
  <c r="E502" i="12" a="1"/>
  <c r="E502" i="12" s="1"/>
  <c r="U558" i="12" a="1"/>
  <c r="U558" i="12" s="1"/>
  <c r="AF444" i="2" a="1"/>
  <c r="AF444" i="2" s="1"/>
  <c r="AG436" i="2" a="1"/>
  <c r="AG436" i="2" s="1"/>
  <c r="AB436" i="2" a="1"/>
  <c r="AB436" i="2" s="1"/>
  <c r="W436" i="2" a="1"/>
  <c r="W436" i="2" s="1"/>
  <c r="T436" i="2" a="1"/>
  <c r="T436" i="2" s="1"/>
  <c r="AC436" i="2" a="1"/>
  <c r="AC436" i="2" s="1"/>
  <c r="AA436" i="2" a="1"/>
  <c r="AA436" i="2" s="1"/>
  <c r="S436" i="2" a="1"/>
  <c r="S436" i="2" s="1"/>
  <c r="Z436" i="2" a="1"/>
  <c r="Z436" i="2" s="1"/>
  <c r="Y436" i="2" a="1"/>
  <c r="Y436" i="2" s="1"/>
  <c r="X436" i="2" a="1"/>
  <c r="X436" i="2" s="1"/>
  <c r="AD436" i="2" a="1"/>
  <c r="AD436" i="2" s="1"/>
  <c r="V436" i="2" a="1"/>
  <c r="V436" i="2" s="1"/>
  <c r="AD239" i="2" a="1"/>
  <c r="AD239" i="2" s="1"/>
  <c r="Y239" i="2" a="1"/>
  <c r="Y239" i="2" s="1"/>
  <c r="T239" i="2" a="1"/>
  <c r="T239" i="2" s="1"/>
  <c r="AF239" i="2" a="1"/>
  <c r="AF239" i="2" s="1"/>
  <c r="Z239" i="2" a="1"/>
  <c r="Z239" i="2" s="1"/>
  <c r="S239" i="2" a="1"/>
  <c r="S239" i="2" s="1"/>
  <c r="X239" i="2" a="1"/>
  <c r="X239" i="2" s="1"/>
  <c r="V239" i="2" a="1"/>
  <c r="V239" i="2" s="1"/>
  <c r="AG239" i="2" a="1"/>
  <c r="AG239" i="2" s="1"/>
  <c r="AE239" i="2" a="1"/>
  <c r="AE239" i="2" s="1"/>
  <c r="AC239" i="2" a="1"/>
  <c r="AC239" i="2" s="1"/>
  <c r="AB239" i="2" a="1"/>
  <c r="AB239" i="2" s="1"/>
  <c r="W239" i="2" a="1"/>
  <c r="W239" i="2" s="1"/>
  <c r="AD237" i="2" a="1"/>
  <c r="AD237" i="2" s="1"/>
  <c r="Y237" i="2" a="1"/>
  <c r="Y237" i="2" s="1"/>
  <c r="T237" i="2" a="1"/>
  <c r="T237" i="2" s="1"/>
  <c r="S237" i="2" a="1"/>
  <c r="S237" i="2" s="1"/>
  <c r="AE237" i="2" a="1"/>
  <c r="AE237" i="2" s="1"/>
  <c r="AC237" i="2" a="1"/>
  <c r="AC237" i="2" s="1"/>
  <c r="W237" i="2" a="1"/>
  <c r="W237" i="2" s="1"/>
  <c r="AB237" i="2" a="1"/>
  <c r="AB237" i="2" s="1"/>
  <c r="V237" i="2" a="1"/>
  <c r="V237" i="2" s="1"/>
  <c r="AG237" i="2" a="1"/>
  <c r="AG237" i="2" s="1"/>
  <c r="AF237" i="2" a="1"/>
  <c r="AF237" i="2" s="1"/>
  <c r="AA237" i="2" a="1"/>
  <c r="AA237" i="2" s="1"/>
  <c r="Z237" i="2" a="1"/>
  <c r="Z237" i="2" s="1"/>
  <c r="X237" i="2" a="1"/>
  <c r="X237" i="2" s="1"/>
  <c r="D78" i="6" a="1"/>
  <c r="D78" i="6" s="1"/>
  <c r="D151" i="4" a="1"/>
  <c r="D151" i="4" s="1"/>
  <c r="E49" i="12" a="1"/>
  <c r="E49" i="12" s="1"/>
  <c r="E184" i="12" a="1"/>
  <c r="E184" i="12" s="1"/>
  <c r="D14" i="6" a="1"/>
  <c r="D14" i="6" s="1"/>
  <c r="D27" i="4" a="1"/>
  <c r="D27" i="4" s="1"/>
  <c r="E118" i="12" a="1"/>
  <c r="E118" i="12" s="1"/>
  <c r="D18" i="7" a="1"/>
  <c r="D18" i="7" s="1"/>
  <c r="D18" i="6" a="1"/>
  <c r="D18" i="6" s="1"/>
  <c r="D17" i="5" a="1"/>
  <c r="D17" i="5" s="1"/>
  <c r="D32" i="4" a="1"/>
  <c r="D32" i="4" s="1"/>
  <c r="V42" i="2" a="1"/>
  <c r="V42" i="2" s="1"/>
  <c r="AG42" i="2" a="1"/>
  <c r="AG42" i="2" s="1"/>
  <c r="D19" i="7" a="1"/>
  <c r="D19" i="7" s="1"/>
  <c r="D19" i="6" a="1"/>
  <c r="D19" i="6" s="1"/>
  <c r="D35" i="4" a="1"/>
  <c r="D35" i="4" s="1"/>
  <c r="AG149" i="2" a="1"/>
  <c r="AG149" i="2" s="1"/>
  <c r="D21" i="5" a="1"/>
  <c r="D21" i="5" s="1"/>
  <c r="D40" i="4" a="1"/>
  <c r="D40" i="4" s="1"/>
  <c r="U37" i="12" a="1"/>
  <c r="U37" i="12" s="1"/>
  <c r="B23" i="7" a="1"/>
  <c r="B23" i="7" s="1"/>
  <c r="B39" i="4" a="1"/>
  <c r="B39" i="4" s="1"/>
  <c r="AB89" i="2" a="1"/>
  <c r="AB89" i="2" s="1"/>
  <c r="U178" i="12" a="1"/>
  <c r="U178" i="12" s="1"/>
  <c r="Y71" i="2" a="1"/>
  <c r="Y71" i="2" s="1"/>
  <c r="E50" i="12" a="1"/>
  <c r="E50" i="12" s="1"/>
  <c r="U38" i="12" a="1"/>
  <c r="U38" i="12" s="1"/>
  <c r="V499" i="2" a="1"/>
  <c r="V499" i="2" s="1"/>
  <c r="T105" i="2" a="1"/>
  <c r="T105" i="2" s="1"/>
  <c r="T35" i="2" a="1"/>
  <c r="T35" i="2" s="1"/>
  <c r="T71" i="2" a="1"/>
  <c r="T71" i="2" s="1"/>
  <c r="U71" i="2" s="1" a="1"/>
  <c r="U71" i="2" s="1"/>
  <c r="E32" i="12" a="1"/>
  <c r="E32" i="12" s="1"/>
  <c r="D28" i="7" a="1"/>
  <c r="D28" i="7" s="1"/>
  <c r="D25" i="6" a="1"/>
  <c r="D25" i="6" s="1"/>
  <c r="D53" i="4" a="1"/>
  <c r="D53" i="4" s="1"/>
  <c r="T140" i="2" a="1"/>
  <c r="T140" i="2" s="1"/>
  <c r="T361" i="2" a="1"/>
  <c r="T361" i="2" s="1"/>
  <c r="AK61" i="2" a="1"/>
  <c r="AK61" i="2" s="1"/>
  <c r="U95" i="12" a="1"/>
  <c r="U95" i="12" s="1"/>
  <c r="U79" i="12" a="1"/>
  <c r="U79" i="12" s="1"/>
  <c r="U222" i="12" a="1"/>
  <c r="U222" i="12" s="1"/>
  <c r="W80" i="2" a="1"/>
  <c r="W80" i="2" s="1"/>
  <c r="X208" i="2" a="1"/>
  <c r="X208" i="2" s="1"/>
  <c r="AD208" i="2" a="1"/>
  <c r="AD208" i="2" s="1"/>
  <c r="E94" i="12" a="1"/>
  <c r="E94" i="12" s="1"/>
  <c r="X231" i="2" a="1"/>
  <c r="X231" i="2" s="1"/>
  <c r="AB191" i="2" a="1"/>
  <c r="AB191" i="2" s="1"/>
  <c r="AD147" i="2" a="1"/>
  <c r="AD147" i="2" s="1"/>
  <c r="S147" i="2" a="1"/>
  <c r="S147" i="2" s="1"/>
  <c r="W147" i="2" a="1"/>
  <c r="W147" i="2" s="1"/>
  <c r="X147" i="2" a="1"/>
  <c r="X147" i="2" s="1"/>
  <c r="AE147" i="2" a="1"/>
  <c r="AE147" i="2" s="1"/>
  <c r="W111" i="2" a="1"/>
  <c r="W111" i="2" s="1"/>
  <c r="AD111" i="2" a="1"/>
  <c r="AD111" i="2" s="1"/>
  <c r="Z79" i="2" a="1"/>
  <c r="Z79" i="2" s="1"/>
  <c r="AA182" i="2" a="1"/>
  <c r="AA182" i="2" s="1"/>
  <c r="Y182" i="2" a="1"/>
  <c r="Y182" i="2" s="1"/>
  <c r="AD182" i="2" a="1"/>
  <c r="AD182" i="2" s="1"/>
  <c r="AM69" i="2" a="1"/>
  <c r="AM69" i="2" s="1"/>
  <c r="B45" i="7" a="1"/>
  <c r="B45" i="7" s="1"/>
  <c r="B80" i="4" a="1"/>
  <c r="B80" i="4" s="1"/>
  <c r="AC187" i="2" a="1"/>
  <c r="AC187" i="2" s="1"/>
  <c r="AG187" i="2" a="1"/>
  <c r="AG187" i="2" s="1"/>
  <c r="V187" i="2" a="1"/>
  <c r="V187" i="2" s="1"/>
  <c r="W187" i="2" a="1"/>
  <c r="W187" i="2" s="1"/>
  <c r="AD187" i="2" a="1"/>
  <c r="AD187" i="2" s="1"/>
  <c r="W285" i="2" a="1"/>
  <c r="W285" i="2" s="1"/>
  <c r="AE285" i="2" a="1"/>
  <c r="AE285" i="2" s="1"/>
  <c r="D50" i="7" a="1"/>
  <c r="D50" i="7" s="1"/>
  <c r="D40" i="6" a="1"/>
  <c r="D40" i="6" s="1"/>
  <c r="D87" i="4" a="1"/>
  <c r="D87" i="4" s="1"/>
  <c r="V211" i="2" a="1"/>
  <c r="V211" i="2" s="1"/>
  <c r="AD211" i="2" a="1"/>
  <c r="AD211" i="2" s="1"/>
  <c r="AP117" i="2" a="1"/>
  <c r="AP117" i="2" s="1"/>
  <c r="V159" i="2" a="1"/>
  <c r="V159" i="2" s="1"/>
  <c r="AD159" i="2" a="1"/>
  <c r="AD159" i="2" s="1"/>
  <c r="AC240" i="2" a="1"/>
  <c r="AC240" i="2" s="1"/>
  <c r="AD96" i="2" a="1"/>
  <c r="AD96" i="2" s="1"/>
  <c r="V188" i="2" a="1"/>
  <c r="V188" i="2" s="1"/>
  <c r="AD188" i="2" a="1"/>
  <c r="AD188" i="2" s="1"/>
  <c r="V152" i="2" a="1"/>
  <c r="V152" i="2" s="1"/>
  <c r="AD152" i="2" a="1"/>
  <c r="AD152" i="2" s="1"/>
  <c r="T355" i="2" a="1"/>
  <c r="T355" i="2" s="1"/>
  <c r="S195" i="2" a="1"/>
  <c r="S195" i="2" s="1"/>
  <c r="AA195" i="2" a="1"/>
  <c r="AA195" i="2" s="1"/>
  <c r="S169" i="2" a="1"/>
  <c r="S169" i="2" s="1"/>
  <c r="AA169" i="2" a="1"/>
  <c r="AA169" i="2" s="1"/>
  <c r="AG82" i="2" a="1"/>
  <c r="AG82" i="2" s="1"/>
  <c r="Y103" i="2" a="1"/>
  <c r="Y103" i="2" s="1"/>
  <c r="E65" i="12" a="1"/>
  <c r="E65" i="12" s="1"/>
  <c r="Y234" i="2" a="1"/>
  <c r="Y234" i="2" s="1"/>
  <c r="E111" i="12" a="1"/>
  <c r="E111" i="12" s="1"/>
  <c r="Y307" i="2" a="1"/>
  <c r="Y307" i="2" s="1"/>
  <c r="AG307" i="2" a="1"/>
  <c r="AG307" i="2" s="1"/>
  <c r="AM86" i="2" a="1"/>
  <c r="AM86" i="2" s="1"/>
  <c r="V181" i="2" a="1"/>
  <c r="V181" i="2" s="1"/>
  <c r="AB176" i="2" a="1"/>
  <c r="AB176" i="2" s="1"/>
  <c r="AA176" i="2" a="1"/>
  <c r="AA176" i="2" s="1"/>
  <c r="AF176" i="2" a="1"/>
  <c r="AF176" i="2" s="1"/>
  <c r="Y176" i="2" a="1"/>
  <c r="Y176" i="2" s="1"/>
  <c r="B56" i="7" a="1"/>
  <c r="B56" i="7" s="1"/>
  <c r="B52" i="5" a="1"/>
  <c r="B52" i="5" s="1"/>
  <c r="B98" i="4" a="1"/>
  <c r="B98" i="4" s="1"/>
  <c r="AE314" i="2" a="1"/>
  <c r="AE314" i="2" s="1"/>
  <c r="Y180" i="2" a="1"/>
  <c r="Y180" i="2" s="1"/>
  <c r="W178" i="2" a="1"/>
  <c r="W178" i="2" s="1"/>
  <c r="V281" i="2" a="1"/>
  <c r="V281" i="2" s="1"/>
  <c r="S407" i="2" a="1"/>
  <c r="S407" i="2" s="1"/>
  <c r="S343" i="2" a="1"/>
  <c r="S343" i="2" s="1"/>
  <c r="AC343" i="2" a="1"/>
  <c r="AC343" i="2" s="1"/>
  <c r="AG421" i="2" a="1"/>
  <c r="AG421" i="2" s="1"/>
  <c r="S222" i="2" a="1"/>
  <c r="S222" i="2" s="1"/>
  <c r="AN73" i="2" a="1"/>
  <c r="AN73" i="2" s="1"/>
  <c r="W157" i="2" a="1"/>
  <c r="W157" i="2" s="1"/>
  <c r="AG157" i="2" a="1"/>
  <c r="AG157" i="2" s="1"/>
  <c r="V157" i="2" a="1"/>
  <c r="V157" i="2" s="1"/>
  <c r="AA157" i="2" a="1"/>
  <c r="AA157" i="2" s="1"/>
  <c r="AE157" i="2" a="1"/>
  <c r="AE157" i="2" s="1"/>
  <c r="Y157" i="2" a="1"/>
  <c r="Y157" i="2" s="1"/>
  <c r="Z157" i="2" a="1"/>
  <c r="Z157" i="2" s="1"/>
  <c r="V431" i="2" a="1"/>
  <c r="V431" i="2" s="1"/>
  <c r="Z363" i="2" a="1"/>
  <c r="Z363" i="2" s="1"/>
  <c r="AE386" i="2" a="1"/>
  <c r="AE386" i="2" s="1"/>
  <c r="S210" i="2" a="1"/>
  <c r="S210" i="2" s="1"/>
  <c r="AB210" i="2" a="1"/>
  <c r="AB210" i="2" s="1"/>
  <c r="X166" i="2" a="1"/>
  <c r="X166" i="2" s="1"/>
  <c r="U335" i="12" a="1"/>
  <c r="U335" i="12" s="1"/>
  <c r="T160" i="2" a="1"/>
  <c r="T160" i="2" s="1"/>
  <c r="AC160" i="2" a="1"/>
  <c r="AC160" i="2" s="1"/>
  <c r="AG300" i="2" a="1"/>
  <c r="AG300" i="2" s="1"/>
  <c r="W351" i="2" a="1"/>
  <c r="W351" i="2" s="1"/>
  <c r="AG351" i="2" a="1"/>
  <c r="AG351" i="2" s="1"/>
  <c r="V351" i="2" a="1"/>
  <c r="V351" i="2" s="1"/>
  <c r="AA351" i="2" a="1"/>
  <c r="AA351" i="2" s="1"/>
  <c r="AE351" i="2" a="1"/>
  <c r="AE351" i="2" s="1"/>
  <c r="T351" i="2" a="1"/>
  <c r="T351" i="2" s="1"/>
  <c r="U351" i="2" s="1" a="1"/>
  <c r="U351" i="2" s="1"/>
  <c r="Z351" i="2" a="1"/>
  <c r="Z351" i="2" s="1"/>
  <c r="D62" i="7" a="1"/>
  <c r="D62" i="7" s="1"/>
  <c r="D53" i="6" a="1"/>
  <c r="D53" i="6" s="1"/>
  <c r="D108" i="4" a="1"/>
  <c r="D108" i="4" s="1"/>
  <c r="D57" i="5" a="1"/>
  <c r="D57" i="5" s="1"/>
  <c r="Y321" i="2" a="1"/>
  <c r="Y321" i="2" s="1"/>
  <c r="AG321" i="2" a="1"/>
  <c r="AG321" i="2" s="1"/>
  <c r="S173" i="2" a="1"/>
  <c r="S173" i="2" s="1"/>
  <c r="D63" i="7" a="1"/>
  <c r="D63" i="7" s="1"/>
  <c r="D109" i="4" a="1"/>
  <c r="D109" i="4" s="1"/>
  <c r="AE260" i="2" a="1"/>
  <c r="AE260" i="2" s="1"/>
  <c r="T260" i="2" a="1"/>
  <c r="T260" i="2" s="1"/>
  <c r="AD260" i="2" a="1"/>
  <c r="AD260" i="2" s="1"/>
  <c r="X260" i="2" a="1"/>
  <c r="X260" i="2" s="1"/>
  <c r="AC260" i="2" a="1"/>
  <c r="AC260" i="2" s="1"/>
  <c r="AG260" i="2" a="1"/>
  <c r="AG260" i="2" s="1"/>
  <c r="V260" i="2" a="1"/>
  <c r="V260" i="2" s="1"/>
  <c r="Z260" i="2" a="1"/>
  <c r="Z260" i="2" s="1"/>
  <c r="Y416" i="2" a="1"/>
  <c r="Y416" i="2" s="1"/>
  <c r="S331" i="2" a="1"/>
  <c r="S331" i="2" s="1"/>
  <c r="AF135" i="2" a="1"/>
  <c r="AF135" i="2" s="1"/>
  <c r="AF446" i="2" a="1"/>
  <c r="AF446" i="2" s="1"/>
  <c r="AK156" i="2" a="1"/>
  <c r="AK156" i="2" s="1"/>
  <c r="D58" i="5" a="1"/>
  <c r="D58" i="5" s="1"/>
  <c r="D54" i="6" a="1"/>
  <c r="D54" i="6" s="1"/>
  <c r="D111" i="4" a="1"/>
  <c r="D111" i="4" s="1"/>
  <c r="E120" i="12" a="1"/>
  <c r="E120" i="12" s="1"/>
  <c r="U368" i="12" a="1"/>
  <c r="U368" i="12" s="1"/>
  <c r="W216" i="2" a="1"/>
  <c r="W216" i="2" s="1"/>
  <c r="U151" i="12" a="1"/>
  <c r="U151" i="12" s="1"/>
  <c r="W213" i="2" a="1"/>
  <c r="W213" i="2" s="1"/>
  <c r="U283" i="12" a="1"/>
  <c r="U283" i="12" s="1"/>
  <c r="V225" i="2" a="1"/>
  <c r="V225" i="2" s="1"/>
  <c r="T94" i="2" a="1"/>
  <c r="T94" i="2" s="1"/>
  <c r="AE94" i="2" a="1"/>
  <c r="AE94" i="2" s="1"/>
  <c r="E365" i="12" a="1"/>
  <c r="E365" i="12" s="1"/>
  <c r="AE461" i="2" a="1"/>
  <c r="AE461" i="2" s="1"/>
  <c r="T461" i="2" a="1"/>
  <c r="T461" i="2" s="1"/>
  <c r="AD461" i="2" a="1"/>
  <c r="AD461" i="2" s="1"/>
  <c r="S461" i="2" a="1"/>
  <c r="S461" i="2" s="1"/>
  <c r="X461" i="2" a="1"/>
  <c r="X461" i="2" s="1"/>
  <c r="AB461" i="2" a="1"/>
  <c r="AB461" i="2" s="1"/>
  <c r="V461" i="2" a="1"/>
  <c r="V461" i="2" s="1"/>
  <c r="Z461" i="2" a="1"/>
  <c r="Z461" i="2" s="1"/>
  <c r="U388" i="12" a="1"/>
  <c r="U388" i="12" s="1"/>
  <c r="W104" i="2" a="1"/>
  <c r="W104" i="2" s="1"/>
  <c r="U325" i="12" a="1"/>
  <c r="U325" i="12" s="1"/>
  <c r="W268" i="2" a="1"/>
  <c r="W268" i="2" s="1"/>
  <c r="U165" i="12" a="1"/>
  <c r="U165" i="12" s="1"/>
  <c r="V410" i="2" a="1"/>
  <c r="V410" i="2" s="1"/>
  <c r="T145" i="2" a="1"/>
  <c r="T145" i="2" s="1"/>
  <c r="AE145" i="2" a="1"/>
  <c r="AE145" i="2" s="1"/>
  <c r="E142" i="12" a="1"/>
  <c r="E142" i="12" s="1"/>
  <c r="AC214" i="2" a="1"/>
  <c r="AC214" i="2" s="1"/>
  <c r="AE153" i="2" a="1"/>
  <c r="AE153" i="2" s="1"/>
  <c r="T153" i="2" a="1"/>
  <c r="T153" i="2" s="1"/>
  <c r="AD153" i="2" a="1"/>
  <c r="AD153" i="2" s="1"/>
  <c r="S153" i="2" a="1"/>
  <c r="S153" i="2" s="1"/>
  <c r="X153" i="2" a="1"/>
  <c r="X153" i="2" s="1"/>
  <c r="AB153" i="2" a="1"/>
  <c r="AB153" i="2" s="1"/>
  <c r="V153" i="2" a="1"/>
  <c r="V153" i="2" s="1"/>
  <c r="Z153" i="2" a="1"/>
  <c r="Z153" i="2" s="1"/>
  <c r="AD144" i="2" a="1"/>
  <c r="AD144" i="2" s="1"/>
  <c r="AF84" i="2" a="1"/>
  <c r="AF84" i="2" s="1"/>
  <c r="AD84" i="2" a="1"/>
  <c r="AD84" i="2" s="1"/>
  <c r="AB84" i="2" a="1"/>
  <c r="AB84" i="2" s="1"/>
  <c r="V84" i="2" a="1"/>
  <c r="V84" i="2" s="1"/>
  <c r="Z84" i="2" a="1"/>
  <c r="Z84" i="2" s="1"/>
  <c r="T84" i="2" a="1"/>
  <c r="T84" i="2" s="1"/>
  <c r="X84" i="2" a="1"/>
  <c r="X84" i="2" s="1"/>
  <c r="D65" i="5" a="1"/>
  <c r="D65" i="5" s="1"/>
  <c r="D131" i="4" a="1"/>
  <c r="D131" i="4" s="1"/>
  <c r="U321" i="12" a="1"/>
  <c r="U321" i="12" s="1"/>
  <c r="W295" i="2" a="1"/>
  <c r="W295" i="2" s="1"/>
  <c r="W398" i="2" a="1"/>
  <c r="W398" i="2" s="1"/>
  <c r="AG398" i="2" a="1"/>
  <c r="AG398" i="2" s="1"/>
  <c r="AA398" i="2" a="1"/>
  <c r="AA398" i="2" s="1"/>
  <c r="AF398" i="2" a="1"/>
  <c r="AF398" i="2" s="1"/>
  <c r="Z398" i="2" a="1"/>
  <c r="Z398" i="2" s="1"/>
  <c r="T398" i="2" a="1"/>
  <c r="T398" i="2" s="1"/>
  <c r="S398" i="2" a="1"/>
  <c r="S398" i="2" s="1"/>
  <c r="AD398" i="2" a="1"/>
  <c r="AD398" i="2" s="1"/>
  <c r="AB398" i="2" a="1"/>
  <c r="AB398" i="2" s="1"/>
  <c r="D66" i="5" a="1"/>
  <c r="D66" i="5" s="1"/>
  <c r="D132" i="4" a="1"/>
  <c r="D132" i="4" s="1"/>
  <c r="AD324" i="2" a="1"/>
  <c r="AD324" i="2" s="1"/>
  <c r="Z139" i="2" a="1"/>
  <c r="Z139" i="2" s="1"/>
  <c r="S269" i="2" a="1"/>
  <c r="S269" i="2" s="1"/>
  <c r="T329" i="2" a="1"/>
  <c r="T329" i="2" s="1"/>
  <c r="U156" i="12" a="1"/>
  <c r="U156" i="12" s="1"/>
  <c r="W380" i="2" a="1"/>
  <c r="W380" i="2" s="1"/>
  <c r="B97" i="8" a="1"/>
  <c r="B97" i="8" s="1"/>
  <c r="AB158" i="2" a="1"/>
  <c r="AB158" i="2" s="1"/>
  <c r="B66" i="6" a="1"/>
  <c r="B66" i="6" s="1"/>
  <c r="B129" i="4" a="1"/>
  <c r="B129" i="4" s="1"/>
  <c r="AC303" i="2" a="1"/>
  <c r="AC303" i="2" s="1"/>
  <c r="T303" i="2" a="1"/>
  <c r="T303" i="2" s="1"/>
  <c r="W303" i="2" a="1"/>
  <c r="W303" i="2" s="1"/>
  <c r="X303" i="2" a="1"/>
  <c r="X303" i="2" s="1"/>
  <c r="U164" i="12" a="1"/>
  <c r="U164" i="12" s="1"/>
  <c r="AA193" i="2" a="1"/>
  <c r="AA193" i="2" s="1"/>
  <c r="AD270" i="2" a="1"/>
  <c r="AD270" i="2" s="1"/>
  <c r="AD206" i="2" a="1"/>
  <c r="AD206" i="2" s="1"/>
  <c r="Y206" i="2" a="1"/>
  <c r="Y206" i="2" s="1"/>
  <c r="T206" i="2" a="1"/>
  <c r="T206" i="2" s="1"/>
  <c r="AE206" i="2" a="1"/>
  <c r="AE206" i="2" s="1"/>
  <c r="AC206" i="2" a="1"/>
  <c r="AC206" i="2" s="1"/>
  <c r="AB206" i="2" a="1"/>
  <c r="AB206" i="2" s="1"/>
  <c r="AA206" i="2" a="1"/>
  <c r="AA206" i="2" s="1"/>
  <c r="S206" i="2" a="1"/>
  <c r="S206" i="2" s="1"/>
  <c r="AG206" i="2" a="1"/>
  <c r="AG206" i="2" s="1"/>
  <c r="V206" i="2" a="1"/>
  <c r="V206" i="2" s="1"/>
  <c r="U479" i="12" a="1"/>
  <c r="U479" i="12" s="1"/>
  <c r="AE519" i="2" a="1"/>
  <c r="AE519" i="2" s="1"/>
  <c r="W218" i="2" a="1"/>
  <c r="W218" i="2" s="1"/>
  <c r="W293" i="2" a="1"/>
  <c r="W293" i="2" s="1"/>
  <c r="B33" i="9" a="1"/>
  <c r="B33" i="9" s="1"/>
  <c r="W200" i="2" a="1"/>
  <c r="W200" i="2" s="1"/>
  <c r="W299" i="2" a="1"/>
  <c r="W299" i="2" s="1"/>
  <c r="D83" i="7" a="1"/>
  <c r="D83" i="7" s="1"/>
  <c r="D141" i="4" a="1"/>
  <c r="D141" i="4" s="1"/>
  <c r="V344" i="2" a="1"/>
  <c r="V344" i="2" s="1"/>
  <c r="T344" i="2" a="1"/>
  <c r="T344" i="2" s="1"/>
  <c r="W344" i="2" a="1"/>
  <c r="W344" i="2" s="1"/>
  <c r="AK87" i="2" a="1"/>
  <c r="AK87" i="2" s="1"/>
  <c r="AL87" i="2" s="1" a="1"/>
  <c r="AL87" i="2" s="1"/>
  <c r="AE243" i="2" a="1"/>
  <c r="AE243" i="2" s="1"/>
  <c r="AG263" i="2" a="1"/>
  <c r="AG263" i="2" s="1"/>
  <c r="AB263" i="2" a="1"/>
  <c r="AB263" i="2" s="1"/>
  <c r="W263" i="2" a="1"/>
  <c r="W263" i="2" s="1"/>
  <c r="T263" i="2" a="1"/>
  <c r="T263" i="2" s="1"/>
  <c r="Y263" i="2" a="1"/>
  <c r="Y263" i="2" s="1"/>
  <c r="AF263" i="2" a="1"/>
  <c r="AF263" i="2" s="1"/>
  <c r="X263" i="2" a="1"/>
  <c r="X263" i="2" s="1"/>
  <c r="AE263" i="2" a="1"/>
  <c r="AE263" i="2" s="1"/>
  <c r="AD263" i="2" a="1"/>
  <c r="AD263" i="2" s="1"/>
  <c r="AC263" i="2" a="1"/>
  <c r="AC263" i="2" s="1"/>
  <c r="AA263" i="2" a="1"/>
  <c r="AA263" i="2" s="1"/>
  <c r="S263" i="2" a="1"/>
  <c r="S263" i="2" s="1"/>
  <c r="Z263" i="2" a="1"/>
  <c r="Z263" i="2" s="1"/>
  <c r="E412" i="12" a="1"/>
  <c r="E412" i="12" s="1"/>
  <c r="U522" i="12" a="1"/>
  <c r="U522" i="12" s="1"/>
  <c r="U108" i="12" a="1"/>
  <c r="U108" i="12" s="1"/>
  <c r="AG350" i="2" a="1"/>
  <c r="AG350" i="2" s="1"/>
  <c r="V350" i="2" a="1"/>
  <c r="V350" i="2" s="1"/>
  <c r="W350" i="2" a="1"/>
  <c r="W350" i="2" s="1"/>
  <c r="AC350" i="2" a="1"/>
  <c r="AC350" i="2" s="1"/>
  <c r="U123" i="12" a="1"/>
  <c r="U123" i="12" s="1"/>
  <c r="AF337" i="2" a="1"/>
  <c r="AF337" i="2" s="1"/>
  <c r="AA337" i="2" a="1"/>
  <c r="AA337" i="2" s="1"/>
  <c r="V337" i="2" a="1"/>
  <c r="V337" i="2" s="1"/>
  <c r="AD337" i="2" a="1"/>
  <c r="AD337" i="2" s="1"/>
  <c r="W337" i="2" a="1"/>
  <c r="W337" i="2" s="1"/>
  <c r="AF399" i="2" a="1"/>
  <c r="AF399" i="2" s="1"/>
  <c r="AA399" i="2" a="1"/>
  <c r="AA399" i="2" s="1"/>
  <c r="V399" i="2" a="1"/>
  <c r="V399" i="2" s="1"/>
  <c r="AE399" i="2" a="1"/>
  <c r="AE399" i="2" s="1"/>
  <c r="Y399" i="2" a="1"/>
  <c r="Y399" i="2" s="1"/>
  <c r="W399" i="2" a="1"/>
  <c r="W399" i="2" s="1"/>
  <c r="AD399" i="2" a="1"/>
  <c r="AD399" i="2" s="1"/>
  <c r="U427" i="12" a="1"/>
  <c r="U427" i="12" s="1"/>
  <c r="W653" i="12" a="1"/>
  <c r="W653" i="12" s="1"/>
  <c r="AO346" i="2" a="1"/>
  <c r="AO346" i="2" s="1"/>
  <c r="AP346" i="2" a="1"/>
  <c r="AP346" i="2" s="1"/>
  <c r="AA241" i="2" a="1"/>
  <c r="AA241" i="2" s="1"/>
  <c r="D142" i="4" a="1"/>
  <c r="D142" i="4" s="1"/>
  <c r="D70" i="5" a="1"/>
  <c r="D70" i="5" s="1"/>
  <c r="D76" i="5" a="1"/>
  <c r="D76" i="5" s="1"/>
  <c r="D155" i="4" a="1"/>
  <c r="D155" i="4" s="1"/>
  <c r="E194" i="12" a="1"/>
  <c r="E194" i="12" s="1"/>
  <c r="E397" i="12" a="1"/>
  <c r="E397" i="12" s="1"/>
  <c r="U528" i="12" a="1"/>
  <c r="U528" i="12" s="1"/>
  <c r="AF438" i="2" a="1"/>
  <c r="AF438" i="2" s="1"/>
  <c r="AA438" i="2" a="1"/>
  <c r="AA438" i="2" s="1"/>
  <c r="V438" i="2" a="1"/>
  <c r="V438" i="2" s="1"/>
  <c r="AB438" i="2" a="1"/>
  <c r="AB438" i="2" s="1"/>
  <c r="S438" i="2" a="1"/>
  <c r="S438" i="2" s="1"/>
  <c r="X438" i="2" a="1"/>
  <c r="X438" i="2" s="1"/>
  <c r="Y438" i="2" a="1"/>
  <c r="Y438" i="2" s="1"/>
  <c r="W616" i="12" a="1"/>
  <c r="W616" i="12" s="1"/>
  <c r="AO121" i="2" a="1"/>
  <c r="AO121" i="2" s="1"/>
  <c r="AP121" i="2" a="1"/>
  <c r="AP121" i="2" s="1"/>
  <c r="AN121" i="2" a="1"/>
  <c r="AN121" i="2" s="1"/>
  <c r="AM121" i="2" a="1"/>
  <c r="AM121" i="2" s="1"/>
  <c r="D72" i="6" a="1"/>
  <c r="D72" i="6" s="1"/>
  <c r="D145" i="4" a="1"/>
  <c r="D145" i="4" s="1"/>
  <c r="E163" i="12" a="1"/>
  <c r="E163" i="12" s="1"/>
  <c r="U199" i="12" a="1"/>
  <c r="U199" i="12" s="1"/>
  <c r="D89" i="7" a="1"/>
  <c r="D89" i="7" s="1"/>
  <c r="D78" i="5" a="1"/>
  <c r="D78" i="5" s="1"/>
  <c r="D157" i="4" a="1"/>
  <c r="D157" i="4" s="1"/>
  <c r="B90" i="7" a="1"/>
  <c r="B90" i="7" s="1"/>
  <c r="B80" i="5" a="1"/>
  <c r="B80" i="5" s="1"/>
  <c r="B159" i="4" a="1"/>
  <c r="B159" i="4" s="1"/>
  <c r="V486" i="2" a="1"/>
  <c r="V486" i="2" s="1"/>
  <c r="T185" i="2" a="1"/>
  <c r="T185" i="2" s="1"/>
  <c r="B137" i="8" a="1"/>
  <c r="B137" i="8" s="1"/>
  <c r="E179" i="12" a="1"/>
  <c r="E179" i="12" s="1"/>
  <c r="AC551" i="2" a="1"/>
  <c r="AC551" i="2" s="1"/>
  <c r="AG198" i="2" a="1"/>
  <c r="AG198" i="2" s="1"/>
  <c r="AB198" i="2" a="1"/>
  <c r="AB198" i="2" s="1"/>
  <c r="W198" i="2" a="1"/>
  <c r="W198" i="2" s="1"/>
  <c r="AC198" i="2" a="1"/>
  <c r="AC198" i="2" s="1"/>
  <c r="X198" i="2" a="1"/>
  <c r="X198" i="2" s="1"/>
  <c r="S198" i="2" a="1"/>
  <c r="S198" i="2" s="1"/>
  <c r="AE198" i="2" a="1"/>
  <c r="AE198" i="2" s="1"/>
  <c r="AD198" i="2" a="1"/>
  <c r="AD198" i="2" s="1"/>
  <c r="E504" i="12" a="1"/>
  <c r="E504" i="12" s="1"/>
  <c r="E415" i="12" a="1"/>
  <c r="E415" i="12" s="1"/>
  <c r="U508" i="12" a="1"/>
  <c r="U508" i="12" s="1"/>
  <c r="B146" i="8" a="1"/>
  <c r="B146" i="8" s="1"/>
  <c r="B151" i="8" a="1"/>
  <c r="B151" i="8" s="1"/>
  <c r="AF298" i="2" a="1"/>
  <c r="AF298" i="2" s="1"/>
  <c r="AA298" i="2" a="1"/>
  <c r="AA298" i="2" s="1"/>
  <c r="V298" i="2" a="1"/>
  <c r="V298" i="2" s="1"/>
  <c r="AG298" i="2" a="1"/>
  <c r="AG298" i="2" s="1"/>
  <c r="AB298" i="2" a="1"/>
  <c r="AB298" i="2" s="1"/>
  <c r="W298" i="2" a="1"/>
  <c r="W298" i="2" s="1"/>
  <c r="Z298" i="2" a="1"/>
  <c r="Z298" i="2" s="1"/>
  <c r="S298" i="2" a="1"/>
  <c r="S298" i="2" s="1"/>
  <c r="AE298" i="2" a="1"/>
  <c r="AE298" i="2" s="1"/>
  <c r="X298" i="2" a="1"/>
  <c r="X298" i="2" s="1"/>
  <c r="AC298" i="2" a="1"/>
  <c r="AC298" i="2" s="1"/>
  <c r="D86" i="6" a="1"/>
  <c r="D86" i="6" s="1"/>
  <c r="D170" i="4" a="1"/>
  <c r="D170" i="4" s="1"/>
  <c r="U244" i="12" a="1"/>
  <c r="U244" i="12" s="1"/>
  <c r="B156" i="8" a="1"/>
  <c r="B156" i="8" s="1"/>
  <c r="E236" i="12" a="1"/>
  <c r="E236" i="12" s="1"/>
  <c r="E451" i="12" a="1"/>
  <c r="E451" i="12" s="1"/>
  <c r="B161" i="8" a="1"/>
  <c r="B161" i="8" s="1"/>
  <c r="AO233" i="2" a="1"/>
  <c r="AO233" i="2" s="1"/>
  <c r="AK233" i="2" a="1"/>
  <c r="AK233" i="2" s="1"/>
  <c r="AC449" i="2" a="1"/>
  <c r="AC449" i="2" s="1"/>
  <c r="S449" i="2" a="1"/>
  <c r="S449" i="2" s="1"/>
  <c r="Z347" i="2" a="1"/>
  <c r="Z347" i="2" s="1"/>
  <c r="AE347" i="2" a="1"/>
  <c r="AE347" i="2" s="1"/>
  <c r="T347" i="2" a="1"/>
  <c r="T347" i="2" s="1"/>
  <c r="AC347" i="2" a="1"/>
  <c r="AC347" i="2" s="1"/>
  <c r="AG347" i="2" a="1"/>
  <c r="AG347" i="2" s="1"/>
  <c r="AA347" i="2" a="1"/>
  <c r="AA347" i="2" s="1"/>
  <c r="X347" i="2" a="1"/>
  <c r="X347" i="2" s="1"/>
  <c r="AF347" i="2" a="1"/>
  <c r="AF347" i="2" s="1"/>
  <c r="W347" i="2" a="1"/>
  <c r="W347" i="2" s="1"/>
  <c r="AD347" i="2" a="1"/>
  <c r="AD347" i="2" s="1"/>
  <c r="S347" i="2" a="1"/>
  <c r="S347" i="2" s="1"/>
  <c r="AB347" i="2" a="1"/>
  <c r="AB347" i="2" s="1"/>
  <c r="Y347" i="2" a="1"/>
  <c r="Y347" i="2" s="1"/>
  <c r="AC404" i="2" a="1"/>
  <c r="AC404" i="2" s="1"/>
  <c r="S404" i="2" a="1"/>
  <c r="S404" i="2" s="1"/>
  <c r="U257" i="12" a="1"/>
  <c r="U257" i="12" s="1"/>
  <c r="B68" i="6" a="1"/>
  <c r="B68" i="6" s="1"/>
  <c r="B138" i="4" a="1"/>
  <c r="B138" i="4" s="1"/>
  <c r="U194" i="12" a="1"/>
  <c r="U194" i="12" s="1"/>
  <c r="U229" i="12" a="1"/>
  <c r="U229" i="12" s="1"/>
  <c r="B124" i="8" a="1"/>
  <c r="B124" i="8" s="1"/>
  <c r="U497" i="12" a="1"/>
  <c r="U497" i="12" s="1"/>
  <c r="D87" i="7" a="1"/>
  <c r="D87" i="7" s="1"/>
  <c r="D76" i="6" a="1"/>
  <c r="D76" i="6" s="1"/>
  <c r="D149" i="4" a="1"/>
  <c r="D149" i="4" s="1"/>
  <c r="B129" i="8" a="1"/>
  <c r="B129" i="8" s="1"/>
  <c r="E186" i="12" a="1"/>
  <c r="E186" i="12" s="1"/>
  <c r="U188" i="12" a="1"/>
  <c r="U188" i="12" s="1"/>
  <c r="U190" i="12" a="1"/>
  <c r="U190" i="12" s="1"/>
  <c r="B73" i="5" a="1"/>
  <c r="B73" i="5" s="1"/>
  <c r="B75" i="6" a="1"/>
  <c r="B75" i="6" s="1"/>
  <c r="B148" i="4" a="1"/>
  <c r="B148" i="4" s="1"/>
  <c r="B133" i="8" a="1"/>
  <c r="B133" i="8" s="1"/>
  <c r="E136" i="12" a="1"/>
  <c r="E136" i="12" s="1"/>
  <c r="E131" i="12" a="1"/>
  <c r="E131" i="12" s="1"/>
  <c r="E149" i="12" a="1"/>
  <c r="E149" i="12" s="1"/>
  <c r="E462" i="12" a="1"/>
  <c r="E462" i="12" s="1"/>
  <c r="E494" i="12" a="1"/>
  <c r="E494" i="12" s="1"/>
  <c r="Y508" i="2" a="1"/>
  <c r="Y508" i="2" s="1"/>
  <c r="U430" i="2" a="1"/>
  <c r="U430" i="2" s="1"/>
  <c r="U551" i="12" a="1"/>
  <c r="U551" i="12" s="1"/>
  <c r="B154" i="8" a="1"/>
  <c r="B154" i="8" s="1"/>
  <c r="T420" i="2" a="1"/>
  <c r="T420" i="2" s="1"/>
  <c r="U527" i="12" a="1"/>
  <c r="U527" i="12" s="1"/>
  <c r="AC427" i="2" a="1"/>
  <c r="AC427" i="2" s="1"/>
  <c r="U327" i="2" a="1"/>
  <c r="U327" i="2" s="1"/>
  <c r="E520" i="12" a="1"/>
  <c r="E520" i="12" s="1"/>
  <c r="X428" i="2" a="1"/>
  <c r="X428" i="2" s="1"/>
  <c r="U495" i="12" a="1"/>
  <c r="U495" i="12" s="1"/>
  <c r="U530" i="12" a="1"/>
  <c r="U530" i="12" s="1"/>
  <c r="X405" i="2" a="1"/>
  <c r="X405" i="2" s="1"/>
  <c r="AC405" i="2" a="1"/>
  <c r="AC405" i="2" s="1"/>
  <c r="W405" i="2" a="1"/>
  <c r="W405" i="2" s="1"/>
  <c r="AF405" i="2" a="1"/>
  <c r="AF405" i="2" s="1"/>
  <c r="Y405" i="2" a="1"/>
  <c r="Y405" i="2" s="1"/>
  <c r="S405" i="2" a="1"/>
  <c r="S405" i="2" s="1"/>
  <c r="AA405" i="2" a="1"/>
  <c r="AA405" i="2" s="1"/>
  <c r="AG405" i="2" a="1"/>
  <c r="AG405" i="2" s="1"/>
  <c r="V405" i="2" a="1"/>
  <c r="V405" i="2" s="1"/>
  <c r="AE405" i="2" a="1"/>
  <c r="AE405" i="2" s="1"/>
  <c r="AD405" i="2" a="1"/>
  <c r="AD405" i="2" s="1"/>
  <c r="AB405" i="2" a="1"/>
  <c r="AB405" i="2" s="1"/>
  <c r="T405" i="2" a="1"/>
  <c r="T405" i="2" s="1"/>
  <c r="E208" i="12" a="1"/>
  <c r="E208" i="12" s="1"/>
  <c r="E323" i="12" a="1"/>
  <c r="E323" i="12" s="1"/>
  <c r="E241" i="12" a="1"/>
  <c r="E241" i="12" s="1"/>
  <c r="E229" i="12" a="1"/>
  <c r="E229" i="12" s="1"/>
  <c r="E205" i="12" a="1"/>
  <c r="E205" i="12" s="1"/>
  <c r="AD246" i="2" a="1"/>
  <c r="AD246" i="2" s="1"/>
  <c r="Y246" i="2" a="1"/>
  <c r="Y246" i="2" s="1"/>
  <c r="T246" i="2" a="1"/>
  <c r="T246" i="2" s="1"/>
  <c r="AC246" i="2" a="1"/>
  <c r="AC246" i="2" s="1"/>
  <c r="W246" i="2" a="1"/>
  <c r="W246" i="2" s="1"/>
  <c r="AA246" i="2" a="1"/>
  <c r="AA246" i="2" s="1"/>
  <c r="AF246" i="2" a="1"/>
  <c r="AF246" i="2" s="1"/>
  <c r="Z246" i="2" a="1"/>
  <c r="Z246" i="2" s="1"/>
  <c r="U454" i="12" a="1"/>
  <c r="U454" i="12" s="1"/>
  <c r="AD394" i="2" a="1"/>
  <c r="AD394" i="2" s="1"/>
  <c r="Y394" i="2" a="1"/>
  <c r="Y394" i="2" s="1"/>
  <c r="T394" i="2" a="1"/>
  <c r="T394" i="2" s="1"/>
  <c r="S394" i="2" a="1"/>
  <c r="S394" i="2" s="1"/>
  <c r="AE394" i="2" a="1"/>
  <c r="AE394" i="2" s="1"/>
  <c r="AC394" i="2" a="1"/>
  <c r="AC394" i="2" s="1"/>
  <c r="W394" i="2" a="1"/>
  <c r="W394" i="2" s="1"/>
  <c r="AB394" i="2" a="1"/>
  <c r="AB394" i="2" s="1"/>
  <c r="AA394" i="2" a="1"/>
  <c r="AA394" i="2" s="1"/>
  <c r="U163" i="12" a="1"/>
  <c r="U163" i="12" s="1"/>
  <c r="B84" i="5" a="1"/>
  <c r="B84" i="5" s="1"/>
  <c r="B166" i="4" a="1"/>
  <c r="B166" i="4" s="1"/>
  <c r="B88" i="7" a="1"/>
  <c r="B88" i="7" s="1"/>
  <c r="B79" i="6" a="1"/>
  <c r="B79" i="6" s="1"/>
  <c r="B153" i="4" a="1"/>
  <c r="B153" i="4" s="1"/>
  <c r="U586" i="12" a="1"/>
  <c r="U586" i="12" s="1"/>
  <c r="D90" i="7" a="1"/>
  <c r="D90" i="7" s="1"/>
  <c r="D80" i="5" a="1"/>
  <c r="D80" i="5" s="1"/>
  <c r="D159" i="4" a="1"/>
  <c r="D159" i="4" s="1"/>
  <c r="B134" i="8" a="1"/>
  <c r="B134" i="8" s="1"/>
  <c r="B39" i="9" a="1"/>
  <c r="B39" i="9" s="1"/>
  <c r="T232" i="2" a="1"/>
  <c r="T232" i="2" s="1"/>
  <c r="AE551" i="2" a="1"/>
  <c r="AE551" i="2" s="1"/>
  <c r="E168" i="12" a="1"/>
  <c r="E168" i="12" s="1"/>
  <c r="AF198" i="2" a="1"/>
  <c r="AF198" i="2" s="1"/>
  <c r="T204" i="2" a="1"/>
  <c r="T204" i="2" s="1"/>
  <c r="U415" i="12" a="1"/>
  <c r="U415" i="12" s="1"/>
  <c r="V395" i="2" a="1"/>
  <c r="V395" i="2" s="1"/>
  <c r="B180" i="4" a="1"/>
  <c r="B180" i="4" s="1"/>
  <c r="B90" i="5" a="1"/>
  <c r="B90" i="5" s="1"/>
  <c r="Z508" i="2" a="1"/>
  <c r="Z508" i="2" s="1"/>
  <c r="AG315" i="2" a="1"/>
  <c r="AG315" i="2" s="1"/>
  <c r="AB315" i="2" a="1"/>
  <c r="AB315" i="2" s="1"/>
  <c r="W315" i="2" a="1"/>
  <c r="W315" i="2" s="1"/>
  <c r="AC315" i="2" a="1"/>
  <c r="AC315" i="2" s="1"/>
  <c r="X315" i="2" a="1"/>
  <c r="X315" i="2" s="1"/>
  <c r="S315" i="2" a="1"/>
  <c r="S315" i="2" s="1"/>
  <c r="Z315" i="2" a="1"/>
  <c r="Z315" i="2" s="1"/>
  <c r="AE315" i="2" a="1"/>
  <c r="AE315" i="2" s="1"/>
  <c r="V315" i="2" a="1"/>
  <c r="V315" i="2" s="1"/>
  <c r="AG579" i="2" a="1"/>
  <c r="AG579" i="2" s="1"/>
  <c r="AB579" i="2" a="1"/>
  <c r="AB579" i="2" s="1"/>
  <c r="W579" i="2" a="1"/>
  <c r="W579" i="2" s="1"/>
  <c r="AC579" i="2" a="1"/>
  <c r="AC579" i="2" s="1"/>
  <c r="X579" i="2" a="1"/>
  <c r="X579" i="2" s="1"/>
  <c r="S579" i="2" a="1"/>
  <c r="S579" i="2" s="1"/>
  <c r="V579" i="2" a="1"/>
  <c r="V579" i="2" s="1"/>
  <c r="AA579" i="2" a="1"/>
  <c r="AA579" i="2" s="1"/>
  <c r="T579" i="2" a="1"/>
  <c r="T579" i="2" s="1"/>
  <c r="AF579" i="2" a="1"/>
  <c r="AF579" i="2" s="1"/>
  <c r="Y579" i="2" a="1"/>
  <c r="Y579" i="2" s="1"/>
  <c r="AG179" i="2" a="1"/>
  <c r="AG179" i="2" s="1"/>
  <c r="AB179" i="2" a="1"/>
  <c r="AB179" i="2" s="1"/>
  <c r="W179" i="2" a="1"/>
  <c r="W179" i="2" s="1"/>
  <c r="AC179" i="2" a="1"/>
  <c r="AC179" i="2" s="1"/>
  <c r="X179" i="2" a="1"/>
  <c r="X179" i="2" s="1"/>
  <c r="S179" i="2" a="1"/>
  <c r="S179" i="2" s="1"/>
  <c r="AA179" i="2" a="1"/>
  <c r="AA179" i="2" s="1"/>
  <c r="T179" i="2" a="1"/>
  <c r="T179" i="2" s="1"/>
  <c r="Z179" i="2" a="1"/>
  <c r="Z179" i="2" s="1"/>
  <c r="AF179" i="2" a="1"/>
  <c r="AF179" i="2" s="1"/>
  <c r="Y179" i="2" a="1"/>
  <c r="Y179" i="2" s="1"/>
  <c r="AE179" i="2" a="1"/>
  <c r="AE179" i="2" s="1"/>
  <c r="U231" i="12" a="1"/>
  <c r="U231" i="12" s="1"/>
  <c r="B153" i="8" a="1"/>
  <c r="B153" i="8" s="1"/>
  <c r="T375" i="2" a="1"/>
  <c r="T375" i="2" s="1"/>
  <c r="AF540" i="2" a="1"/>
  <c r="AF540" i="2" s="1"/>
  <c r="AA540" i="2" a="1"/>
  <c r="AA540" i="2" s="1"/>
  <c r="V540" i="2" a="1"/>
  <c r="V540" i="2" s="1"/>
  <c r="AG540" i="2" a="1"/>
  <c r="AG540" i="2" s="1"/>
  <c r="AB540" i="2" a="1"/>
  <c r="AB540" i="2" s="1"/>
  <c r="W540" i="2" a="1"/>
  <c r="W540" i="2" s="1"/>
  <c r="Z540" i="2" a="1"/>
  <c r="Z540" i="2" s="1"/>
  <c r="S540" i="2" a="1"/>
  <c r="S540" i="2" s="1"/>
  <c r="AE540" i="2" a="1"/>
  <c r="AE540" i="2" s="1"/>
  <c r="X540" i="2" a="1"/>
  <c r="X540" i="2" s="1"/>
  <c r="AC540" i="2" a="1"/>
  <c r="AC540" i="2" s="1"/>
  <c r="U215" i="12" a="1"/>
  <c r="U215" i="12" s="1"/>
  <c r="U151" i="2" a="1"/>
  <c r="U151" i="2" s="1"/>
  <c r="D87" i="6" a="1"/>
  <c r="D87" i="6" s="1"/>
  <c r="D87" i="5" a="1"/>
  <c r="D87" i="5" s="1"/>
  <c r="D172" i="4" a="1"/>
  <c r="D172" i="4" s="1"/>
  <c r="E210" i="12" a="1"/>
  <c r="E210" i="12" s="1"/>
  <c r="E495" i="12" a="1"/>
  <c r="E495" i="12" s="1"/>
  <c r="AG483" i="2" a="1"/>
  <c r="AG483" i="2" s="1"/>
  <c r="AB483" i="2" a="1"/>
  <c r="AB483" i="2" s="1"/>
  <c r="W483" i="2" a="1"/>
  <c r="W483" i="2" s="1"/>
  <c r="AC483" i="2" a="1"/>
  <c r="AC483" i="2" s="1"/>
  <c r="X483" i="2" a="1"/>
  <c r="X483" i="2" s="1"/>
  <c r="S483" i="2" a="1"/>
  <c r="S483" i="2" s="1"/>
  <c r="Z483" i="2" a="1"/>
  <c r="Z483" i="2" s="1"/>
  <c r="AF483" i="2" a="1"/>
  <c r="AF483" i="2" s="1"/>
  <c r="Y483" i="2" a="1"/>
  <c r="Y483" i="2" s="1"/>
  <c r="AE483" i="2" a="1"/>
  <c r="AE483" i="2" s="1"/>
  <c r="AD483" i="2" a="1"/>
  <c r="AD483" i="2" s="1"/>
  <c r="AA483" i="2" a="1"/>
  <c r="AA483" i="2" s="1"/>
  <c r="T483" i="2" a="1"/>
  <c r="T483" i="2" s="1"/>
  <c r="AR186" i="2" a="1"/>
  <c r="AR186" i="2" s="1"/>
  <c r="Z441" i="2" a="1"/>
  <c r="Z441" i="2" s="1"/>
  <c r="AE441" i="2" a="1"/>
  <c r="AE441" i="2" s="1"/>
  <c r="T441" i="2" a="1"/>
  <c r="T441" i="2" s="1"/>
  <c r="AC441" i="2" a="1"/>
  <c r="AC441" i="2" s="1"/>
  <c r="AG441" i="2" a="1"/>
  <c r="AG441" i="2" s="1"/>
  <c r="AA441" i="2" a="1"/>
  <c r="AA441" i="2" s="1"/>
  <c r="Y441" i="2" a="1"/>
  <c r="Y441" i="2" s="1"/>
  <c r="AF441" i="2" a="1"/>
  <c r="AF441" i="2" s="1"/>
  <c r="W441" i="2" a="1"/>
  <c r="W441" i="2" s="1"/>
  <c r="V441" i="2" a="1"/>
  <c r="V441" i="2" s="1"/>
  <c r="AD441" i="2" a="1"/>
  <c r="AD441" i="2" s="1"/>
  <c r="S441" i="2" a="1"/>
  <c r="S441" i="2" s="1"/>
  <c r="AB441" i="2" a="1"/>
  <c r="AB441" i="2" s="1"/>
  <c r="B96" i="6" a="1"/>
  <c r="B96" i="6" s="1"/>
  <c r="B108" i="7" a="1"/>
  <c r="B108" i="7" s="1"/>
  <c r="B188" i="4" a="1"/>
  <c r="B188" i="4" s="1"/>
  <c r="V347" i="2" a="1"/>
  <c r="V347" i="2" s="1"/>
  <c r="X251" i="2" a="1"/>
  <c r="X251" i="2" s="1"/>
  <c r="AC251" i="2" a="1"/>
  <c r="AC251" i="2" s="1"/>
  <c r="AF251" i="2" a="1"/>
  <c r="AF251" i="2" s="1"/>
  <c r="Y251" i="2" a="1"/>
  <c r="Y251" i="2" s="1"/>
  <c r="T251" i="2" a="1"/>
  <c r="T251" i="2" s="1"/>
  <c r="AB251" i="2" a="1"/>
  <c r="AB251" i="2" s="1"/>
  <c r="S251" i="2" a="1"/>
  <c r="S251" i="2" s="1"/>
  <c r="Z251" i="2" a="1"/>
  <c r="Z251" i="2" s="1"/>
  <c r="AG251" i="2" a="1"/>
  <c r="AG251" i="2" s="1"/>
  <c r="W251" i="2" a="1"/>
  <c r="W251" i="2" s="1"/>
  <c r="V251" i="2" a="1"/>
  <c r="V251" i="2" s="1"/>
  <c r="AE251" i="2" a="1"/>
  <c r="AE251" i="2" s="1"/>
  <c r="AD251" i="2" a="1"/>
  <c r="AD251" i="2" s="1"/>
  <c r="E483" i="12" a="1"/>
  <c r="E483" i="12" s="1"/>
  <c r="AE492" i="2" a="1"/>
  <c r="AE492" i="2" s="1"/>
  <c r="AC492" i="2" a="1"/>
  <c r="AC492" i="2" s="1"/>
  <c r="T492" i="2" a="1"/>
  <c r="T492" i="2" s="1"/>
  <c r="S492" i="2" a="1"/>
  <c r="S492" i="2" s="1"/>
  <c r="V492" i="2" a="1"/>
  <c r="V492" i="2" s="1"/>
  <c r="U581" i="12" a="1"/>
  <c r="U581" i="12" s="1"/>
  <c r="B50" i="7" a="1"/>
  <c r="B50" i="7" s="1"/>
  <c r="B40" i="6" a="1"/>
  <c r="B40" i="6" s="1"/>
  <c r="B87" i="4" a="1"/>
  <c r="B87" i="4" s="1"/>
  <c r="U312" i="12" a="1"/>
  <c r="U312" i="12" s="1"/>
  <c r="E177" i="12" a="1"/>
  <c r="E177" i="12" s="1"/>
  <c r="E379" i="12" a="1"/>
  <c r="E379" i="12" s="1"/>
  <c r="E138" i="12" a="1"/>
  <c r="E138" i="12" s="1"/>
  <c r="D60" i="6" a="1"/>
  <c r="D60" i="6" s="1"/>
  <c r="D72" i="7" a="1"/>
  <c r="D72" i="7" s="1"/>
  <c r="D121" i="4" a="1"/>
  <c r="D121" i="4" s="1"/>
  <c r="Y350" i="2" a="1"/>
  <c r="Y350" i="2" s="1"/>
  <c r="AE350" i="2" a="1"/>
  <c r="AE350" i="2" s="1"/>
  <c r="AF269" i="2" a="1"/>
  <c r="AF269" i="2" s="1"/>
  <c r="AA269" i="2" a="1"/>
  <c r="AA269" i="2" s="1"/>
  <c r="V269" i="2" a="1"/>
  <c r="V269" i="2" s="1"/>
  <c r="AG269" i="2" a="1"/>
  <c r="AG269" i="2" s="1"/>
  <c r="W269" i="2" a="1"/>
  <c r="W269" i="2" s="1"/>
  <c r="AD269" i="2" a="1"/>
  <c r="AD269" i="2" s="1"/>
  <c r="AF199" i="2" a="1"/>
  <c r="AF199" i="2" s="1"/>
  <c r="AA199" i="2" a="1"/>
  <c r="AA199" i="2" s="1"/>
  <c r="V199" i="2" a="1"/>
  <c r="V199" i="2" s="1"/>
  <c r="AG199" i="2" a="1"/>
  <c r="AG199" i="2" s="1"/>
  <c r="W199" i="2" a="1"/>
  <c r="W199" i="2" s="1"/>
  <c r="AD199" i="2" a="1"/>
  <c r="AD199" i="2" s="1"/>
  <c r="V241" i="2" a="1"/>
  <c r="V241" i="2" s="1"/>
  <c r="AC317" i="2" a="1"/>
  <c r="AC317" i="2" s="1"/>
  <c r="X317" i="2" a="1"/>
  <c r="X317" i="2" s="1"/>
  <c r="S317" i="2" a="1"/>
  <c r="S317" i="2" s="1"/>
  <c r="AE317" i="2" a="1"/>
  <c r="AE317" i="2" s="1"/>
  <c r="Y317" i="2" a="1"/>
  <c r="Y317" i="2" s="1"/>
  <c r="AD317" i="2" a="1"/>
  <c r="AD317" i="2" s="1"/>
  <c r="AG317" i="2" a="1"/>
  <c r="AG317" i="2" s="1"/>
  <c r="AC468" i="2" a="1"/>
  <c r="AC468" i="2" s="1"/>
  <c r="X468" i="2" a="1"/>
  <c r="X468" i="2" s="1"/>
  <c r="S468" i="2" a="1"/>
  <c r="S468" i="2" s="1"/>
  <c r="AE468" i="2" a="1"/>
  <c r="AE468" i="2" s="1"/>
  <c r="Y468" i="2" a="1"/>
  <c r="Y468" i="2" s="1"/>
  <c r="AD468" i="2" a="1"/>
  <c r="AD468" i="2" s="1"/>
  <c r="AG468" i="2" a="1"/>
  <c r="AG468" i="2" s="1"/>
  <c r="AC230" i="2" a="1"/>
  <c r="AC230" i="2" s="1"/>
  <c r="X230" i="2" a="1"/>
  <c r="X230" i="2" s="1"/>
  <c r="S230" i="2" a="1"/>
  <c r="S230" i="2" s="1"/>
  <c r="AE230" i="2" a="1"/>
  <c r="AE230" i="2" s="1"/>
  <c r="Y230" i="2" a="1"/>
  <c r="Y230" i="2" s="1"/>
  <c r="AD230" i="2" a="1"/>
  <c r="AD230" i="2" s="1"/>
  <c r="AG230" i="2" a="1"/>
  <c r="AG230" i="2" s="1"/>
  <c r="AC128" i="2" a="1"/>
  <c r="AC128" i="2" s="1"/>
  <c r="X128" i="2" a="1"/>
  <c r="X128" i="2" s="1"/>
  <c r="S128" i="2" a="1"/>
  <c r="S128" i="2" s="1"/>
  <c r="AE128" i="2" a="1"/>
  <c r="AE128" i="2" s="1"/>
  <c r="Y128" i="2" a="1"/>
  <c r="Y128" i="2" s="1"/>
  <c r="AD128" i="2" a="1"/>
  <c r="AD128" i="2" s="1"/>
  <c r="AG128" i="2" a="1"/>
  <c r="AG128" i="2" s="1"/>
  <c r="AC387" i="2" a="1"/>
  <c r="AC387" i="2" s="1"/>
  <c r="X387" i="2" a="1"/>
  <c r="X387" i="2" s="1"/>
  <c r="S387" i="2" a="1"/>
  <c r="S387" i="2" s="1"/>
  <c r="AE387" i="2" a="1"/>
  <c r="AE387" i="2" s="1"/>
  <c r="Y387" i="2" a="1"/>
  <c r="Y387" i="2" s="1"/>
  <c r="AD387" i="2" a="1"/>
  <c r="AD387" i="2" s="1"/>
  <c r="AG387" i="2" a="1"/>
  <c r="AG387" i="2" s="1"/>
  <c r="AC223" i="2" a="1"/>
  <c r="AC223" i="2" s="1"/>
  <c r="X223" i="2" a="1"/>
  <c r="X223" i="2" s="1"/>
  <c r="S223" i="2" a="1"/>
  <c r="S223" i="2" s="1"/>
  <c r="AE223" i="2" a="1"/>
  <c r="AE223" i="2" s="1"/>
  <c r="Y223" i="2" a="1"/>
  <c r="Y223" i="2" s="1"/>
  <c r="AD223" i="2" a="1"/>
  <c r="AD223" i="2" s="1"/>
  <c r="AG223" i="2" a="1"/>
  <c r="AG223" i="2" s="1"/>
  <c r="AC200" i="2" a="1"/>
  <c r="AC200" i="2" s="1"/>
  <c r="X200" i="2" a="1"/>
  <c r="X200" i="2" s="1"/>
  <c r="S200" i="2" a="1"/>
  <c r="S200" i="2" s="1"/>
  <c r="AE200" i="2" a="1"/>
  <c r="AE200" i="2" s="1"/>
  <c r="Y200" i="2" a="1"/>
  <c r="Y200" i="2" s="1"/>
  <c r="AD200" i="2" a="1"/>
  <c r="AD200" i="2" s="1"/>
  <c r="AG200" i="2" a="1"/>
  <c r="AG200" i="2" s="1"/>
  <c r="AC294" i="2" a="1"/>
  <c r="AC294" i="2" s="1"/>
  <c r="X294" i="2" a="1"/>
  <c r="X294" i="2" s="1"/>
  <c r="S294" i="2" a="1"/>
  <c r="S294" i="2" s="1"/>
  <c r="AE294" i="2" a="1"/>
  <c r="AE294" i="2" s="1"/>
  <c r="Y294" i="2" a="1"/>
  <c r="Y294" i="2" s="1"/>
  <c r="AD294" i="2" a="1"/>
  <c r="AD294" i="2" s="1"/>
  <c r="AG294" i="2" a="1"/>
  <c r="AG294" i="2" s="1"/>
  <c r="AC440" i="2" a="1"/>
  <c r="AC440" i="2" s="1"/>
  <c r="X440" i="2" a="1"/>
  <c r="X440" i="2" s="1"/>
  <c r="S440" i="2" a="1"/>
  <c r="S440" i="2" s="1"/>
  <c r="AE440" i="2" a="1"/>
  <c r="AE440" i="2" s="1"/>
  <c r="Y440" i="2" a="1"/>
  <c r="Y440" i="2" s="1"/>
  <c r="AD440" i="2" a="1"/>
  <c r="AD440" i="2" s="1"/>
  <c r="AG440" i="2" a="1"/>
  <c r="AG440" i="2" s="1"/>
  <c r="AC330" i="2" a="1"/>
  <c r="AC330" i="2" s="1"/>
  <c r="X330" i="2" a="1"/>
  <c r="X330" i="2" s="1"/>
  <c r="S330" i="2" a="1"/>
  <c r="S330" i="2" s="1"/>
  <c r="AE330" i="2" a="1"/>
  <c r="AE330" i="2" s="1"/>
  <c r="Y330" i="2" a="1"/>
  <c r="Y330" i="2" s="1"/>
  <c r="AD330" i="2" a="1"/>
  <c r="AD330" i="2" s="1"/>
  <c r="AG330" i="2" a="1"/>
  <c r="AG330" i="2" s="1"/>
  <c r="AC334" i="2" a="1"/>
  <c r="AC334" i="2" s="1"/>
  <c r="X334" i="2" a="1"/>
  <c r="X334" i="2" s="1"/>
  <c r="S334" i="2" a="1"/>
  <c r="S334" i="2" s="1"/>
  <c r="AE334" i="2" a="1"/>
  <c r="AE334" i="2" s="1"/>
  <c r="Y334" i="2" a="1"/>
  <c r="Y334" i="2" s="1"/>
  <c r="AD334" i="2" a="1"/>
  <c r="AD334" i="2" s="1"/>
  <c r="AG334" i="2" a="1"/>
  <c r="AG334" i="2" s="1"/>
  <c r="AC299" i="2" a="1"/>
  <c r="AC299" i="2" s="1"/>
  <c r="X299" i="2" a="1"/>
  <c r="X299" i="2" s="1"/>
  <c r="S299" i="2" a="1"/>
  <c r="S299" i="2" s="1"/>
  <c r="AE299" i="2" a="1"/>
  <c r="AE299" i="2" s="1"/>
  <c r="Y299" i="2" a="1"/>
  <c r="Y299" i="2" s="1"/>
  <c r="AD299" i="2" a="1"/>
  <c r="AD299" i="2" s="1"/>
  <c r="AG299" i="2" a="1"/>
  <c r="AG299" i="2" s="1"/>
  <c r="AC432" i="2" a="1"/>
  <c r="AC432" i="2" s="1"/>
  <c r="X432" i="2" a="1"/>
  <c r="X432" i="2" s="1"/>
  <c r="S432" i="2" a="1"/>
  <c r="S432" i="2" s="1"/>
  <c r="AE432" i="2" a="1"/>
  <c r="AE432" i="2" s="1"/>
  <c r="Y432" i="2" a="1"/>
  <c r="Y432" i="2" s="1"/>
  <c r="AD432" i="2" a="1"/>
  <c r="AD432" i="2" s="1"/>
  <c r="AG432" i="2" a="1"/>
  <c r="AG432" i="2" s="1"/>
  <c r="AC577" i="2" a="1"/>
  <c r="AC577" i="2" s="1"/>
  <c r="X577" i="2" a="1"/>
  <c r="X577" i="2" s="1"/>
  <c r="S577" i="2" a="1"/>
  <c r="S577" i="2" s="1"/>
  <c r="AE577" i="2" a="1"/>
  <c r="AE577" i="2" s="1"/>
  <c r="Y577" i="2" a="1"/>
  <c r="Y577" i="2" s="1"/>
  <c r="AD577" i="2" a="1"/>
  <c r="AD577" i="2" s="1"/>
  <c r="AG577" i="2" a="1"/>
  <c r="AG577" i="2" s="1"/>
  <c r="AC344" i="2" a="1"/>
  <c r="AC344" i="2" s="1"/>
  <c r="X344" i="2" a="1"/>
  <c r="X344" i="2" s="1"/>
  <c r="S344" i="2" a="1"/>
  <c r="S344" i="2" s="1"/>
  <c r="AE344" i="2" a="1"/>
  <c r="AE344" i="2" s="1"/>
  <c r="Y344" i="2" a="1"/>
  <c r="Y344" i="2" s="1"/>
  <c r="AD344" i="2" a="1"/>
  <c r="AD344" i="2" s="1"/>
  <c r="AG344" i="2" a="1"/>
  <c r="AG344" i="2" s="1"/>
  <c r="AC296" i="2" a="1"/>
  <c r="AC296" i="2" s="1"/>
  <c r="X296" i="2" a="1"/>
  <c r="X296" i="2" s="1"/>
  <c r="S296" i="2" a="1"/>
  <c r="S296" i="2" s="1"/>
  <c r="AE296" i="2" a="1"/>
  <c r="AE296" i="2" s="1"/>
  <c r="Y296" i="2" a="1"/>
  <c r="Y296" i="2" s="1"/>
  <c r="AD296" i="2" a="1"/>
  <c r="AD296" i="2" s="1"/>
  <c r="AG296" i="2" a="1"/>
  <c r="AG296" i="2" s="1"/>
  <c r="AC164" i="2" a="1"/>
  <c r="AC164" i="2" s="1"/>
  <c r="X164" i="2" a="1"/>
  <c r="X164" i="2" s="1"/>
  <c r="S164" i="2" a="1"/>
  <c r="S164" i="2" s="1"/>
  <c r="AE164" i="2" a="1"/>
  <c r="AE164" i="2" s="1"/>
  <c r="Y164" i="2" a="1"/>
  <c r="Y164" i="2" s="1"/>
  <c r="AD164" i="2" a="1"/>
  <c r="AD164" i="2" s="1"/>
  <c r="AG164" i="2" a="1"/>
  <c r="AG164" i="2" s="1"/>
  <c r="W624" i="12" a="1"/>
  <c r="W624" i="12" s="1"/>
  <c r="U141" i="12" a="1"/>
  <c r="U141" i="12" s="1"/>
  <c r="B77" i="5" a="1"/>
  <c r="B77" i="5" s="1"/>
  <c r="B156" i="4" a="1"/>
  <c r="B156" i="4" s="1"/>
  <c r="S505" i="2" a="1"/>
  <c r="S505" i="2" s="1"/>
  <c r="AA505" i="2" a="1"/>
  <c r="AA505" i="2" s="1"/>
  <c r="S274" i="2" a="1"/>
  <c r="S274" i="2" s="1"/>
  <c r="B121" i="8" a="1"/>
  <c r="B121" i="8" s="1"/>
  <c r="D82" i="5" a="1"/>
  <c r="D82" i="5" s="1"/>
  <c r="D161" i="4" a="1"/>
  <c r="D161" i="4" s="1"/>
  <c r="U606" i="12" a="1"/>
  <c r="U606" i="12" s="1"/>
  <c r="B86" i="7" a="1"/>
  <c r="B86" i="7" s="1"/>
  <c r="B74" i="6" a="1"/>
  <c r="B74" i="6" s="1"/>
  <c r="B147" i="4" a="1"/>
  <c r="B147" i="4" s="1"/>
  <c r="W571" i="2" a="1"/>
  <c r="W571" i="2" s="1"/>
  <c r="U176" i="12" a="1"/>
  <c r="U176" i="12" s="1"/>
  <c r="E476" i="12" a="1"/>
  <c r="E476" i="12" s="1"/>
  <c r="AB246" i="2" a="1"/>
  <c r="AB246" i="2" s="1"/>
  <c r="E195" i="12" a="1"/>
  <c r="E195" i="12" s="1"/>
  <c r="AD381" i="2" a="1"/>
  <c r="AD381" i="2" s="1"/>
  <c r="Y381" i="2" a="1"/>
  <c r="Y381" i="2" s="1"/>
  <c r="T381" i="2" a="1"/>
  <c r="T381" i="2" s="1"/>
  <c r="AG381" i="2" a="1"/>
  <c r="AG381" i="2" s="1"/>
  <c r="AF381" i="2" a="1"/>
  <c r="AF381" i="2" s="1"/>
  <c r="Z381" i="2" a="1"/>
  <c r="Z381" i="2" s="1"/>
  <c r="AE381" i="2" a="1"/>
  <c r="AE381" i="2" s="1"/>
  <c r="X381" i="2" a="1"/>
  <c r="X381" i="2" s="1"/>
  <c r="AC381" i="2" a="1"/>
  <c r="AC381" i="2" s="1"/>
  <c r="W381" i="2" a="1"/>
  <c r="W381" i="2" s="1"/>
  <c r="U186" i="12" a="1"/>
  <c r="U186" i="12" s="1"/>
  <c r="U493" i="12" a="1"/>
  <c r="U493" i="12" s="1"/>
  <c r="W437" i="2" a="1"/>
  <c r="W437" i="2" s="1"/>
  <c r="X443" i="2" a="1"/>
  <c r="X443" i="2" s="1"/>
  <c r="B131" i="8" a="1"/>
  <c r="B131" i="8" s="1"/>
  <c r="B132" i="8" a="1"/>
  <c r="B132" i="8" s="1"/>
  <c r="AD227" i="2" a="1"/>
  <c r="AD227" i="2" s="1"/>
  <c r="Y227" i="2" a="1"/>
  <c r="Y227" i="2" s="1"/>
  <c r="T227" i="2" a="1"/>
  <c r="T227" i="2" s="1"/>
  <c r="AG227" i="2" a="1"/>
  <c r="AG227" i="2" s="1"/>
  <c r="AF227" i="2" a="1"/>
  <c r="AF227" i="2" s="1"/>
  <c r="Z227" i="2" a="1"/>
  <c r="Z227" i="2" s="1"/>
  <c r="AE227" i="2" a="1"/>
  <c r="AE227" i="2" s="1"/>
  <c r="X227" i="2" a="1"/>
  <c r="X227" i="2" s="1"/>
  <c r="AC227" i="2" a="1"/>
  <c r="AC227" i="2" s="1"/>
  <c r="W227" i="2" a="1"/>
  <c r="W227" i="2" s="1"/>
  <c r="U136" i="12" a="1"/>
  <c r="U136" i="12" s="1"/>
  <c r="E147" i="12" a="1"/>
  <c r="E147" i="12" s="1"/>
  <c r="E556" i="12" a="1"/>
  <c r="E556" i="12" s="1"/>
  <c r="U408" i="12" a="1"/>
  <c r="U408" i="12" s="1"/>
  <c r="U509" i="12" a="1"/>
  <c r="U509" i="12" s="1"/>
  <c r="B93" i="7" a="1"/>
  <c r="B93" i="7" s="1"/>
  <c r="B85" i="5" a="1"/>
  <c r="B85" i="5" s="1"/>
  <c r="B167" i="4" a="1"/>
  <c r="B167" i="4" s="1"/>
  <c r="AD579" i="2" a="1"/>
  <c r="AD579" i="2" s="1"/>
  <c r="AG342" i="2" a="1"/>
  <c r="AG342" i="2" s="1"/>
  <c r="AB342" i="2" a="1"/>
  <c r="AB342" i="2" s="1"/>
  <c r="W342" i="2" a="1"/>
  <c r="W342" i="2" s="1"/>
  <c r="AC342" i="2" a="1"/>
  <c r="AC342" i="2" s="1"/>
  <c r="X342" i="2" a="1"/>
  <c r="X342" i="2" s="1"/>
  <c r="S342" i="2" a="1"/>
  <c r="S342" i="2" s="1"/>
  <c r="AF342" i="2" a="1"/>
  <c r="AF342" i="2" s="1"/>
  <c r="Y342" i="2" a="1"/>
  <c r="Y342" i="2" s="1"/>
  <c r="AD342" i="2" a="1"/>
  <c r="AD342" i="2" s="1"/>
  <c r="V342" i="2" a="1"/>
  <c r="V342" i="2" s="1"/>
  <c r="AA342" i="2" a="1"/>
  <c r="AA342" i="2" s="1"/>
  <c r="B96" i="7" a="1"/>
  <c r="B96" i="7" s="1"/>
  <c r="B171" i="4" a="1"/>
  <c r="B171" i="4" s="1"/>
  <c r="B86" i="5" a="1"/>
  <c r="B86" i="5" s="1"/>
  <c r="AC275" i="2" a="1"/>
  <c r="AC275" i="2" s="1"/>
  <c r="B97" i="7" a="1"/>
  <c r="B97" i="7" s="1"/>
  <c r="B173" i="4" a="1"/>
  <c r="B173" i="4" s="1"/>
  <c r="B88" i="5" a="1"/>
  <c r="B88" i="5" s="1"/>
  <c r="B98" i="7" a="1"/>
  <c r="B98" i="7" s="1"/>
  <c r="B89" i="5" a="1"/>
  <c r="B89" i="5" s="1"/>
  <c r="B174" i="4" a="1"/>
  <c r="B174" i="4" s="1"/>
  <c r="AC460" i="2" a="1"/>
  <c r="AC460" i="2" s="1"/>
  <c r="S524" i="2" a="1"/>
  <c r="S524" i="2" s="1"/>
  <c r="B103" i="7" a="1"/>
  <c r="B103" i="7" s="1"/>
  <c r="B92" i="6" a="1"/>
  <c r="B92" i="6" s="1"/>
  <c r="B182" i="4" a="1"/>
  <c r="B182" i="4" s="1"/>
  <c r="B44" i="9" a="1"/>
  <c r="B44" i="9" s="1"/>
  <c r="AP233" i="2" a="1"/>
  <c r="AP233" i="2" s="1"/>
  <c r="E192" i="12" a="1"/>
  <c r="E192" i="12" s="1"/>
  <c r="B166" i="8" a="1"/>
  <c r="B166" i="8" s="1"/>
  <c r="W345" i="2" a="1"/>
  <c r="W345" i="2" s="1"/>
  <c r="AE345" i="2" a="1"/>
  <c r="AE345" i="2" s="1"/>
  <c r="Y289" i="2" a="1"/>
  <c r="Y289" i="2" s="1"/>
  <c r="AD289" i="2" a="1"/>
  <c r="AD289" i="2" s="1"/>
  <c r="S289" i="2" a="1"/>
  <c r="S289" i="2" s="1"/>
  <c r="AB289" i="2" a="1"/>
  <c r="AB289" i="2" s="1"/>
  <c r="V289" i="2" a="1"/>
  <c r="V289" i="2" s="1"/>
  <c r="Z289" i="2" a="1"/>
  <c r="Z289" i="2" s="1"/>
  <c r="AA289" i="2" a="1"/>
  <c r="AA289" i="2" s="1"/>
  <c r="X289" i="2" a="1"/>
  <c r="X289" i="2" s="1"/>
  <c r="AG289" i="2" a="1"/>
  <c r="AG289" i="2" s="1"/>
  <c r="AF289" i="2" a="1"/>
  <c r="AF289" i="2" s="1"/>
  <c r="W289" i="2" a="1"/>
  <c r="W289" i="2" s="1"/>
  <c r="AE289" i="2" a="1"/>
  <c r="AE289" i="2" s="1"/>
  <c r="AC289" i="2" a="1"/>
  <c r="AC289" i="2" s="1"/>
  <c r="T289" i="2" a="1"/>
  <c r="T289" i="2" s="1"/>
  <c r="U185" i="12" a="1"/>
  <c r="U185" i="12" s="1"/>
  <c r="E214" i="12" a="1"/>
  <c r="E214" i="12" s="1"/>
  <c r="X131" i="2" a="1"/>
  <c r="X131" i="2" s="1"/>
  <c r="AC131" i="2" a="1"/>
  <c r="AC131" i="2" s="1"/>
  <c r="AA131" i="2" a="1"/>
  <c r="AA131" i="2" s="1"/>
  <c r="AE131" i="2" a="1"/>
  <c r="AE131" i="2" s="1"/>
  <c r="Y131" i="2" a="1"/>
  <c r="Y131" i="2" s="1"/>
  <c r="AD131" i="2" a="1"/>
  <c r="AD131" i="2" s="1"/>
  <c r="T131" i="2" a="1"/>
  <c r="T131" i="2" s="1"/>
  <c r="AB131" i="2" a="1"/>
  <c r="AB131" i="2" s="1"/>
  <c r="S131" i="2" a="1"/>
  <c r="S131" i="2" s="1"/>
  <c r="Z131" i="2" a="1"/>
  <c r="Z131" i="2" s="1"/>
  <c r="AG131" i="2" a="1"/>
  <c r="AG131" i="2" s="1"/>
  <c r="W131" i="2" a="1"/>
  <c r="W131" i="2" s="1"/>
  <c r="AF131" i="2" a="1"/>
  <c r="AF131" i="2" s="1"/>
  <c r="V131" i="2" a="1"/>
  <c r="V131" i="2" s="1"/>
  <c r="B183" i="8" a="1"/>
  <c r="B183" i="8" s="1"/>
  <c r="D105" i="6" a="1"/>
  <c r="D105" i="6" s="1"/>
  <c r="D101" i="5" a="1"/>
  <c r="D101" i="5" s="1"/>
  <c r="D203" i="4" a="1"/>
  <c r="D203" i="4" s="1"/>
  <c r="B135" i="8" a="1"/>
  <c r="B135" i="8" s="1"/>
  <c r="U179" i="12" a="1"/>
  <c r="U179" i="12" s="1"/>
  <c r="D93" i="7" a="1"/>
  <c r="D93" i="7" s="1"/>
  <c r="D85" i="5" a="1"/>
  <c r="D85" i="5" s="1"/>
  <c r="D167" i="4" a="1"/>
  <c r="D167" i="4" s="1"/>
  <c r="D90" i="5" a="1"/>
  <c r="D90" i="5" s="1"/>
  <c r="D180" i="4" a="1"/>
  <c r="D180" i="4" s="1"/>
  <c r="AG508" i="2" a="1"/>
  <c r="AG508" i="2" s="1"/>
  <c r="AB508" i="2" a="1"/>
  <c r="AB508" i="2" s="1"/>
  <c r="W508" i="2" a="1"/>
  <c r="W508" i="2" s="1"/>
  <c r="AC508" i="2" a="1"/>
  <c r="AC508" i="2" s="1"/>
  <c r="X508" i="2" a="1"/>
  <c r="X508" i="2" s="1"/>
  <c r="S508" i="2" a="1"/>
  <c r="S508" i="2" s="1"/>
  <c r="AE508" i="2" a="1"/>
  <c r="AE508" i="2" s="1"/>
  <c r="AD508" i="2" a="1"/>
  <c r="AD508" i="2" s="1"/>
  <c r="E274" i="12" a="1"/>
  <c r="E274" i="12" s="1"/>
  <c r="E540" i="12" a="1"/>
  <c r="E540" i="12" s="1"/>
  <c r="W654" i="12" a="1"/>
  <c r="W654" i="12" s="1"/>
  <c r="AP378" i="2" a="1"/>
  <c r="AP378" i="2" s="1"/>
  <c r="AK378" i="2" a="1"/>
  <c r="AK378" i="2" s="1"/>
  <c r="AO378" i="2" a="1"/>
  <c r="AO378" i="2" s="1"/>
  <c r="AN378" i="2" a="1"/>
  <c r="AN378" i="2" s="1"/>
  <c r="AM378" i="2" a="1"/>
  <c r="AM378" i="2" s="1"/>
  <c r="U228" i="12" a="1"/>
  <c r="U228" i="12" s="1"/>
  <c r="D101" i="7" a="1"/>
  <c r="D101" i="7" s="1"/>
  <c r="D90" i="6" a="1"/>
  <c r="D90" i="6" s="1"/>
  <c r="D178" i="4" a="1"/>
  <c r="D178" i="4" s="1"/>
  <c r="E225" i="12" a="1"/>
  <c r="E225" i="12" s="1"/>
  <c r="U220" i="12" a="1"/>
  <c r="U220" i="12" s="1"/>
  <c r="AG339" i="2" a="1"/>
  <c r="AG339" i="2" s="1"/>
  <c r="AB339" i="2" a="1"/>
  <c r="AB339" i="2" s="1"/>
  <c r="W339" i="2" a="1"/>
  <c r="W339" i="2" s="1"/>
  <c r="AC339" i="2" a="1"/>
  <c r="AC339" i="2" s="1"/>
  <c r="X339" i="2" a="1"/>
  <c r="X339" i="2" s="1"/>
  <c r="S339" i="2" a="1"/>
  <c r="S339" i="2" s="1"/>
  <c r="AD339" i="2" a="1"/>
  <c r="AD339" i="2" s="1"/>
  <c r="V339" i="2" a="1"/>
  <c r="V339" i="2" s="1"/>
  <c r="AA339" i="2" a="1"/>
  <c r="AA339" i="2" s="1"/>
  <c r="T339" i="2" a="1"/>
  <c r="T339" i="2" s="1"/>
  <c r="Z339" i="2" a="1"/>
  <c r="Z339" i="2" s="1"/>
  <c r="AF339" i="2" a="1"/>
  <c r="AF339" i="2" s="1"/>
  <c r="Y339" i="2" a="1"/>
  <c r="Y339" i="2" s="1"/>
  <c r="AE339" i="2" a="1"/>
  <c r="AE339" i="2" s="1"/>
  <c r="X373" i="2" a="1"/>
  <c r="X373" i="2" s="1"/>
  <c r="AC373" i="2" a="1"/>
  <c r="AC373" i="2" s="1"/>
  <c r="AF373" i="2" a="1"/>
  <c r="AF373" i="2" s="1"/>
  <c r="Y373" i="2" a="1"/>
  <c r="Y373" i="2" s="1"/>
  <c r="AE373" i="2" a="1"/>
  <c r="AE373" i="2" s="1"/>
  <c r="AD373" i="2" a="1"/>
  <c r="AD373" i="2" s="1"/>
  <c r="AB373" i="2" a="1"/>
  <c r="AB373" i="2" s="1"/>
  <c r="S373" i="2" a="1"/>
  <c r="S373" i="2" s="1"/>
  <c r="AA373" i="2" a="1"/>
  <c r="AA373" i="2" s="1"/>
  <c r="Z373" i="2" a="1"/>
  <c r="Z373" i="2" s="1"/>
  <c r="AG373" i="2" a="1"/>
  <c r="AG373" i="2" s="1"/>
  <c r="W373" i="2" a="1"/>
  <c r="W373" i="2" s="1"/>
  <c r="V373" i="2" a="1"/>
  <c r="V373" i="2" s="1"/>
  <c r="U267" i="12" a="1"/>
  <c r="U267" i="12" s="1"/>
  <c r="V578" i="2" a="1"/>
  <c r="V578" i="2" s="1"/>
  <c r="AC578" i="2" a="1"/>
  <c r="AC578" i="2" s="1"/>
  <c r="S578" i="2" a="1"/>
  <c r="S578" i="2" s="1"/>
  <c r="D97" i="6" a="1"/>
  <c r="D97" i="6" s="1"/>
  <c r="D95" i="5" a="1"/>
  <c r="D95" i="5" s="1"/>
  <c r="D189" i="4" a="1"/>
  <c r="D189" i="4" s="1"/>
  <c r="U501" i="12" a="1"/>
  <c r="U501" i="12" s="1"/>
  <c r="AF172" i="2" a="1"/>
  <c r="AF172" i="2" s="1"/>
  <c r="AD172" i="2" a="1"/>
  <c r="AD172" i="2" s="1"/>
  <c r="S172" i="2" a="1"/>
  <c r="S172" i="2" s="1"/>
  <c r="AG172" i="2" a="1"/>
  <c r="AG172" i="2" s="1"/>
  <c r="Z172" i="2" a="1"/>
  <c r="Z172" i="2" s="1"/>
  <c r="AC172" i="2" a="1"/>
  <c r="AC172" i="2" s="1"/>
  <c r="V172" i="2" a="1"/>
  <c r="V172" i="2" s="1"/>
  <c r="AB172" i="2" a="1"/>
  <c r="AB172" i="2" s="1"/>
  <c r="AA172" i="2" a="1"/>
  <c r="AA172" i="2" s="1"/>
  <c r="T172" i="2" a="1"/>
  <c r="T172" i="2" s="1"/>
  <c r="AE172" i="2" a="1"/>
  <c r="AE172" i="2" s="1"/>
  <c r="Y172" i="2" a="1"/>
  <c r="Y172" i="2" s="1"/>
  <c r="X172" i="2" a="1"/>
  <c r="X172" i="2" s="1"/>
  <c r="W172" i="2" a="1"/>
  <c r="W172" i="2" s="1"/>
  <c r="B68" i="5" a="1"/>
  <c r="B68" i="5" s="1"/>
  <c r="B136" i="4" a="1"/>
  <c r="B136" i="4" s="1"/>
  <c r="E167" i="12" a="1"/>
  <c r="E167" i="12" s="1"/>
  <c r="AE241" i="2" a="1"/>
  <c r="AE241" i="2" s="1"/>
  <c r="Z241" i="2" a="1"/>
  <c r="Z241" i="2" s="1"/>
  <c r="T241" i="2" a="1"/>
  <c r="T241" i="2" s="1"/>
  <c r="W241" i="2" a="1"/>
  <c r="W241" i="2" s="1"/>
  <c r="AD241" i="2" a="1"/>
  <c r="AD241" i="2" s="1"/>
  <c r="U152" i="12" a="1"/>
  <c r="U152" i="12" s="1"/>
  <c r="U416" i="12" a="1"/>
  <c r="U416" i="12" s="1"/>
  <c r="E469" i="12" a="1"/>
  <c r="E469" i="12" s="1"/>
  <c r="B85" i="7" a="1"/>
  <c r="B85" i="7" s="1"/>
  <c r="B144" i="4" a="1"/>
  <c r="B144" i="4" s="1"/>
  <c r="U209" i="12" a="1"/>
  <c r="U209" i="12" s="1"/>
  <c r="AC505" i="2" a="1"/>
  <c r="AC505" i="2" s="1"/>
  <c r="B79" i="5" a="1"/>
  <c r="B79" i="5" s="1"/>
  <c r="B158" i="4" a="1"/>
  <c r="B158" i="4" s="1"/>
  <c r="B120" i="8" a="1"/>
  <c r="B120" i="8" s="1"/>
  <c r="U308" i="12" a="1"/>
  <c r="U308" i="12" s="1"/>
  <c r="T438" i="2" a="1"/>
  <c r="T438" i="2" s="1"/>
  <c r="AD438" i="2" a="1"/>
  <c r="AD438" i="2" s="1"/>
  <c r="AE190" i="2" a="1"/>
  <c r="AE190" i="2" s="1"/>
  <c r="Z190" i="2" a="1"/>
  <c r="Z190" i="2" s="1"/>
  <c r="T190" i="2" a="1"/>
  <c r="T190" i="2" s="1"/>
  <c r="U190" i="2" s="1" a="1"/>
  <c r="U190" i="2" s="1"/>
  <c r="AF190" i="2" a="1"/>
  <c r="AF190" i="2" s="1"/>
  <c r="AD190" i="2" a="1"/>
  <c r="AD190" i="2" s="1"/>
  <c r="X190" i="2" a="1"/>
  <c r="X190" i="2" s="1"/>
  <c r="AC190" i="2" a="1"/>
  <c r="AC190" i="2" s="1"/>
  <c r="Y571" i="2" a="1"/>
  <c r="Y571" i="2" s="1"/>
  <c r="B37" i="9" a="1"/>
  <c r="B37" i="9" s="1"/>
  <c r="S246" i="2" a="1"/>
  <c r="S246" i="2" s="1"/>
  <c r="B127" i="8" a="1"/>
  <c r="B127" i="8" s="1"/>
  <c r="S381" i="2" a="1"/>
  <c r="S381" i="2" s="1"/>
  <c r="X437" i="2" a="1"/>
  <c r="X437" i="2" s="1"/>
  <c r="Z443" i="2" a="1"/>
  <c r="Z443" i="2" s="1"/>
  <c r="AD305" i="2" a="1"/>
  <c r="AD305" i="2" s="1"/>
  <c r="Y305" i="2" a="1"/>
  <c r="Y305" i="2" s="1"/>
  <c r="T305" i="2" a="1"/>
  <c r="T305" i="2" s="1"/>
  <c r="AC305" i="2" a="1"/>
  <c r="AC305" i="2" s="1"/>
  <c r="W305" i="2" a="1"/>
  <c r="W305" i="2" s="1"/>
  <c r="AB305" i="2" a="1"/>
  <c r="AB305" i="2" s="1"/>
  <c r="AA305" i="2" a="1"/>
  <c r="AA305" i="2" s="1"/>
  <c r="AF305" i="2" a="1"/>
  <c r="AF305" i="2" s="1"/>
  <c r="Z305" i="2" a="1"/>
  <c r="Z305" i="2" s="1"/>
  <c r="D79" i="6" a="1"/>
  <c r="D79" i="6" s="1"/>
  <c r="D88" i="7" a="1"/>
  <c r="D88" i="7" s="1"/>
  <c r="D153" i="4" a="1"/>
  <c r="D153" i="4" s="1"/>
  <c r="AD400" i="2" a="1"/>
  <c r="AD400" i="2" s="1"/>
  <c r="Y400" i="2" a="1"/>
  <c r="Y400" i="2" s="1"/>
  <c r="T400" i="2" a="1"/>
  <c r="T400" i="2" s="1"/>
  <c r="X400" i="2" a="1"/>
  <c r="X400" i="2" s="1"/>
  <c r="V400" i="2" a="1"/>
  <c r="V400" i="2" s="1"/>
  <c r="AB400" i="2" a="1"/>
  <c r="AB400" i="2" s="1"/>
  <c r="AG400" i="2" a="1"/>
  <c r="AG400" i="2" s="1"/>
  <c r="Z400" i="2" a="1"/>
  <c r="Z400" i="2" s="1"/>
  <c r="E534" i="12" a="1"/>
  <c r="E534" i="12" s="1"/>
  <c r="S227" i="2" a="1"/>
  <c r="S227" i="2" s="1"/>
  <c r="W356" i="2" a="1"/>
  <c r="W356" i="2" s="1"/>
  <c r="E171" i="12" a="1"/>
  <c r="E171" i="12" s="1"/>
  <c r="E435" i="12" a="1"/>
  <c r="E435" i="12" s="1"/>
  <c r="B138" i="8" a="1"/>
  <c r="B138" i="8" s="1"/>
  <c r="U462" i="12" a="1"/>
  <c r="U462" i="12" s="1"/>
  <c r="U168" i="12" a="1"/>
  <c r="U168" i="12" s="1"/>
  <c r="V198" i="2" a="1"/>
  <c r="V198" i="2" s="1"/>
  <c r="B81" i="6" a="1"/>
  <c r="B81" i="6" s="1"/>
  <c r="B162" i="4" a="1"/>
  <c r="B162" i="4" s="1"/>
  <c r="Z395" i="2" a="1"/>
  <c r="Z395" i="2" s="1"/>
  <c r="AG560" i="2" a="1"/>
  <c r="AG560" i="2" s="1"/>
  <c r="AB560" i="2" a="1"/>
  <c r="AB560" i="2" s="1"/>
  <c r="W560" i="2" a="1"/>
  <c r="W560" i="2" s="1"/>
  <c r="AC560" i="2" a="1"/>
  <c r="AC560" i="2" s="1"/>
  <c r="X560" i="2" a="1"/>
  <c r="X560" i="2" s="1"/>
  <c r="S560" i="2" a="1"/>
  <c r="S560" i="2" s="1"/>
  <c r="Z560" i="2" a="1"/>
  <c r="Z560" i="2" s="1"/>
  <c r="AE560" i="2" a="1"/>
  <c r="AE560" i="2" s="1"/>
  <c r="V560" i="2" a="1"/>
  <c r="V560" i="2" s="1"/>
  <c r="AG253" i="2" a="1"/>
  <c r="AG253" i="2" s="1"/>
  <c r="AB253" i="2" a="1"/>
  <c r="AB253" i="2" s="1"/>
  <c r="W253" i="2" a="1"/>
  <c r="W253" i="2" s="1"/>
  <c r="AC253" i="2" a="1"/>
  <c r="AC253" i="2" s="1"/>
  <c r="X253" i="2" a="1"/>
  <c r="X253" i="2" s="1"/>
  <c r="S253" i="2" a="1"/>
  <c r="S253" i="2" s="1"/>
  <c r="AA253" i="2" a="1"/>
  <c r="AA253" i="2" s="1"/>
  <c r="T253" i="2" a="1"/>
  <c r="T253" i="2" s="1"/>
  <c r="Z253" i="2" a="1"/>
  <c r="Z253" i="2" s="1"/>
  <c r="AF253" i="2" a="1"/>
  <c r="AF253" i="2" s="1"/>
  <c r="Y253" i="2" a="1"/>
  <c r="Y253" i="2" s="1"/>
  <c r="AE253" i="2" a="1"/>
  <c r="AE253" i="2" s="1"/>
  <c r="E206" i="12" a="1"/>
  <c r="E206" i="12" s="1"/>
  <c r="AF315" i="2" a="1"/>
  <c r="AF315" i="2" s="1"/>
  <c r="D96" i="7" a="1"/>
  <c r="D96" i="7" s="1"/>
  <c r="D86" i="5" a="1"/>
  <c r="D86" i="5" s="1"/>
  <c r="D171" i="4" a="1"/>
  <c r="D171" i="4" s="1"/>
  <c r="Y375" i="2" a="1"/>
  <c r="Y375" i="2" s="1"/>
  <c r="D97" i="7" a="1"/>
  <c r="D97" i="7" s="1"/>
  <c r="D88" i="5" a="1"/>
  <c r="D88" i="5" s="1"/>
  <c r="D173" i="4" a="1"/>
  <c r="D173" i="4" s="1"/>
  <c r="AF306" i="2" a="1"/>
  <c r="AF306" i="2" s="1"/>
  <c r="AA306" i="2" a="1"/>
  <c r="AA306" i="2" s="1"/>
  <c r="V306" i="2" a="1"/>
  <c r="V306" i="2" s="1"/>
  <c r="AG306" i="2" a="1"/>
  <c r="AG306" i="2" s="1"/>
  <c r="AB306" i="2" a="1"/>
  <c r="AB306" i="2" s="1"/>
  <c r="W306" i="2" a="1"/>
  <c r="W306" i="2" s="1"/>
  <c r="Z306" i="2" a="1"/>
  <c r="Z306" i="2" s="1"/>
  <c r="S306" i="2" a="1"/>
  <c r="S306" i="2" s="1"/>
  <c r="AE306" i="2" a="1"/>
  <c r="AE306" i="2" s="1"/>
  <c r="X306" i="2" a="1"/>
  <c r="X306" i="2" s="1"/>
  <c r="AC306" i="2" a="1"/>
  <c r="AC306" i="2" s="1"/>
  <c r="U515" i="12" a="1"/>
  <c r="U515" i="12" s="1"/>
  <c r="S427" i="2" a="1"/>
  <c r="S427" i="2" s="1"/>
  <c r="B102" i="7" a="1"/>
  <c r="B102" i="7" s="1"/>
  <c r="B91" i="6" a="1"/>
  <c r="B91" i="6" s="1"/>
  <c r="B179" i="4" a="1"/>
  <c r="B179" i="4" s="1"/>
  <c r="X524" i="2" a="1"/>
  <c r="X524" i="2" s="1"/>
  <c r="D92" i="6" a="1"/>
  <c r="D92" i="6" s="1"/>
  <c r="D103" i="7" a="1"/>
  <c r="D103" i="7" s="1"/>
  <c r="D182" i="4" a="1"/>
  <c r="D182" i="4" s="1"/>
  <c r="AL403" i="2" a="1"/>
  <c r="AL403" i="2" s="1"/>
  <c r="AR326" i="2" a="1"/>
  <c r="AR326" i="2" s="1"/>
  <c r="V483" i="2" a="1"/>
  <c r="V483" i="2" s="1"/>
  <c r="Z405" i="2" a="1"/>
  <c r="Z405" i="2" s="1"/>
  <c r="AR136" i="2" a="1"/>
  <c r="AR136" i="2" s="1"/>
  <c r="U173" i="12" a="1"/>
  <c r="U173" i="12" s="1"/>
  <c r="B173" i="8" a="1"/>
  <c r="B173" i="8" s="1"/>
  <c r="B50" i="9" a="1"/>
  <c r="B50" i="9" s="1"/>
  <c r="AD360" i="2" a="1"/>
  <c r="AD360" i="2" s="1"/>
  <c r="S360" i="2" a="1"/>
  <c r="S360" i="2" s="1"/>
  <c r="AE360" i="2" a="1"/>
  <c r="AE360" i="2" s="1"/>
  <c r="Y360" i="2" a="1"/>
  <c r="Y360" i="2" s="1"/>
  <c r="AB360" i="2" a="1"/>
  <c r="AB360" i="2" s="1"/>
  <c r="V360" i="2" a="1"/>
  <c r="V360" i="2" s="1"/>
  <c r="AG360" i="2" a="1"/>
  <c r="AG360" i="2" s="1"/>
  <c r="AA360" i="2" a="1"/>
  <c r="AA360" i="2" s="1"/>
  <c r="AC360" i="2" a="1"/>
  <c r="AC360" i="2" s="1"/>
  <c r="Z360" i="2" a="1"/>
  <c r="Z360" i="2" s="1"/>
  <c r="X360" i="2" a="1"/>
  <c r="X360" i="2" s="1"/>
  <c r="W360" i="2" a="1"/>
  <c r="W360" i="2" s="1"/>
  <c r="AF360" i="2" a="1"/>
  <c r="AF360" i="2" s="1"/>
  <c r="T360" i="2" a="1"/>
  <c r="T360" i="2" s="1"/>
  <c r="E285" i="12" a="1"/>
  <c r="E285" i="12" s="1"/>
  <c r="B55" i="5" a="1"/>
  <c r="B55" i="5" s="1"/>
  <c r="B48" i="6" a="1"/>
  <c r="B48" i="6" s="1"/>
  <c r="B102" i="4" a="1"/>
  <c r="B102" i="4" s="1"/>
  <c r="X241" i="2" a="1"/>
  <c r="X241" i="2" s="1"/>
  <c r="E416" i="12" a="1"/>
  <c r="E416" i="12" s="1"/>
  <c r="E337" i="12" a="1"/>
  <c r="E337" i="12" s="1"/>
  <c r="U337" i="12" a="1"/>
  <c r="U337" i="12" s="1"/>
  <c r="E484" i="12" a="1"/>
  <c r="E484" i="12" s="1"/>
  <c r="D156" i="4" a="1"/>
  <c r="D156" i="4" s="1"/>
  <c r="D77" i="5" a="1"/>
  <c r="D77" i="5" s="1"/>
  <c r="V505" i="2" a="1"/>
  <c r="V505" i="2" s="1"/>
  <c r="V274" i="2" a="1"/>
  <c r="V274" i="2" s="1"/>
  <c r="B81" i="5" a="1"/>
  <c r="B81" i="5" s="1"/>
  <c r="B160" i="4" a="1"/>
  <c r="B160" i="4" s="1"/>
  <c r="AE438" i="2" a="1"/>
  <c r="AE438" i="2" s="1"/>
  <c r="E497" i="12" a="1"/>
  <c r="E497" i="12" s="1"/>
  <c r="AE246" i="2" a="1"/>
  <c r="AE246" i="2" s="1"/>
  <c r="AF394" i="2" a="1"/>
  <c r="AF394" i="2" s="1"/>
  <c r="E199" i="12" a="1"/>
  <c r="E199" i="12" s="1"/>
  <c r="B77" i="6" a="1"/>
  <c r="B77" i="6" s="1"/>
  <c r="B74" i="5" a="1"/>
  <c r="B74" i="5" s="1"/>
  <c r="B150" i="4" a="1"/>
  <c r="B150" i="4" s="1"/>
  <c r="T388" i="2" a="1"/>
  <c r="T388" i="2" s="1"/>
  <c r="B80" i="6" a="1"/>
  <c r="B80" i="6" s="1"/>
  <c r="B154" i="4" a="1"/>
  <c r="B154" i="4" s="1"/>
  <c r="T273" i="2" a="1"/>
  <c r="T273" i="2" s="1"/>
  <c r="B91" i="7" a="1"/>
  <c r="B91" i="7" s="1"/>
  <c r="B82" i="6" a="1"/>
  <c r="B82" i="6" s="1"/>
  <c r="B163" i="4" a="1"/>
  <c r="B163" i="4" s="1"/>
  <c r="B141" i="8" a="1"/>
  <c r="B141" i="8" s="1"/>
  <c r="Y204" i="2" a="1"/>
  <c r="Y204" i="2" s="1"/>
  <c r="AG215" i="2" a="1"/>
  <c r="AG215" i="2" s="1"/>
  <c r="AB215" i="2" a="1"/>
  <c r="AB215" i="2" s="1"/>
  <c r="W215" i="2" a="1"/>
  <c r="W215" i="2" s="1"/>
  <c r="AC215" i="2" a="1"/>
  <c r="AC215" i="2" s="1"/>
  <c r="X215" i="2" a="1"/>
  <c r="X215" i="2" s="1"/>
  <c r="S215" i="2" a="1"/>
  <c r="S215" i="2" s="1"/>
  <c r="AF215" i="2" a="1"/>
  <c r="AF215" i="2" s="1"/>
  <c r="Y215" i="2" a="1"/>
  <c r="Y215" i="2" s="1"/>
  <c r="AD215" i="2" a="1"/>
  <c r="AD215" i="2" s="1"/>
  <c r="V215" i="2" a="1"/>
  <c r="V215" i="2" s="1"/>
  <c r="AA215" i="2" a="1"/>
  <c r="AA215" i="2" s="1"/>
  <c r="AF508" i="2" a="1"/>
  <c r="AF508" i="2" s="1"/>
  <c r="T315" i="2" a="1"/>
  <c r="T315" i="2" s="1"/>
  <c r="U540" i="12" a="1"/>
  <c r="U540" i="12" s="1"/>
  <c r="T396" i="2" a="1"/>
  <c r="T396" i="2" s="1"/>
  <c r="B150" i="8" a="1"/>
  <c r="B150" i="8" s="1"/>
  <c r="T540" i="2" a="1"/>
  <c r="T540" i="2" s="1"/>
  <c r="B157" i="8" a="1"/>
  <c r="B157" i="8" s="1"/>
  <c r="B158" i="8" a="1"/>
  <c r="B158" i="8" s="1"/>
  <c r="D99" i="7" a="1"/>
  <c r="D99" i="7" s="1"/>
  <c r="D88" i="6" a="1"/>
  <c r="D88" i="6" s="1"/>
  <c r="D175" i="4" a="1"/>
  <c r="D175" i="4" s="1"/>
  <c r="E221" i="12" a="1"/>
  <c r="E221" i="12" s="1"/>
  <c r="E172" i="12" a="1"/>
  <c r="E172" i="12" s="1"/>
  <c r="D106" i="7" a="1"/>
  <c r="D106" i="7" s="1"/>
  <c r="D94" i="6" a="1"/>
  <c r="D94" i="6" s="1"/>
  <c r="D185" i="4" a="1"/>
  <c r="D185" i="4" s="1"/>
  <c r="T373" i="2" a="1"/>
  <c r="T373" i="2" s="1"/>
  <c r="AE545" i="2" a="1"/>
  <c r="AE545" i="2" s="1"/>
  <c r="AC545" i="2" a="1"/>
  <c r="AC545" i="2" s="1"/>
  <c r="T545" i="2" a="1"/>
  <c r="T545" i="2" s="1"/>
  <c r="B111" i="7" a="1"/>
  <c r="B111" i="7" s="1"/>
  <c r="B192" i="4" a="1"/>
  <c r="B192" i="4" s="1"/>
  <c r="U582" i="12" a="1"/>
  <c r="U582" i="12" s="1"/>
  <c r="AD353" i="2" a="1"/>
  <c r="AD353" i="2" s="1"/>
  <c r="S353" i="2" a="1"/>
  <c r="S353" i="2" s="1"/>
  <c r="AE353" i="2" a="1"/>
  <c r="AE353" i="2" s="1"/>
  <c r="Y353" i="2" a="1"/>
  <c r="Y353" i="2" s="1"/>
  <c r="AB353" i="2" a="1"/>
  <c r="AB353" i="2" s="1"/>
  <c r="V353" i="2" a="1"/>
  <c r="V353" i="2" s="1"/>
  <c r="AG353" i="2" a="1"/>
  <c r="AG353" i="2" s="1"/>
  <c r="AA353" i="2" a="1"/>
  <c r="AA353" i="2" s="1"/>
  <c r="AF353" i="2" a="1"/>
  <c r="AF353" i="2" s="1"/>
  <c r="Z353" i="2" a="1"/>
  <c r="Z353" i="2" s="1"/>
  <c r="T353" i="2" a="1"/>
  <c r="T353" i="2" s="1"/>
  <c r="X353" i="2" a="1"/>
  <c r="X353" i="2" s="1"/>
  <c r="W353" i="2" a="1"/>
  <c r="W353" i="2" s="1"/>
  <c r="AC353" i="2" a="1"/>
  <c r="AC353" i="2" s="1"/>
  <c r="E272" i="12" a="1"/>
  <c r="E272" i="12" s="1"/>
  <c r="U106" i="12" a="1"/>
  <c r="U106" i="12" s="1"/>
  <c r="U67" i="12" a="1"/>
  <c r="U67" i="12" s="1"/>
  <c r="E358" i="12" a="1"/>
  <c r="E358" i="12" s="1"/>
  <c r="D122" i="4" a="1"/>
  <c r="D122" i="4" s="1"/>
  <c r="D62" i="5" a="1"/>
  <c r="D62" i="5" s="1"/>
  <c r="E354" i="12" a="1"/>
  <c r="E354" i="12" s="1"/>
  <c r="D69" i="7" a="1"/>
  <c r="D69" i="7" s="1"/>
  <c r="D58" i="6" a="1"/>
  <c r="D58" i="6" s="1"/>
  <c r="D118" i="4" a="1"/>
  <c r="D118" i="4" s="1"/>
  <c r="E404" i="12" a="1"/>
  <c r="E404" i="12" s="1"/>
  <c r="E431" i="12" a="1"/>
  <c r="E431" i="12" s="1"/>
  <c r="AA350" i="2" a="1"/>
  <c r="AA350" i="2" s="1"/>
  <c r="AB337" i="2" a="1"/>
  <c r="AB337" i="2" s="1"/>
  <c r="E346" i="12" a="1"/>
  <c r="E346" i="12" s="1"/>
  <c r="AB399" i="2" a="1"/>
  <c r="AB399" i="2" s="1"/>
  <c r="AN346" i="2" a="1"/>
  <c r="AN346" i="2" s="1"/>
  <c r="B78" i="7" a="1"/>
  <c r="B78" i="7" s="1"/>
  <c r="B133" i="4" a="1"/>
  <c r="B133" i="4" s="1"/>
  <c r="B105" i="8" a="1"/>
  <c r="B105" i="8" s="1"/>
  <c r="B70" i="5" a="1"/>
  <c r="B70" i="5" s="1"/>
  <c r="B142" i="4" a="1"/>
  <c r="B142" i="4" s="1"/>
  <c r="B76" i="5" a="1"/>
  <c r="B76" i="5" s="1"/>
  <c r="B155" i="4" a="1"/>
  <c r="B155" i="4" s="1"/>
  <c r="U484" i="12" a="1"/>
  <c r="U484" i="12" s="1"/>
  <c r="B36" i="9" a="1"/>
  <c r="B36" i="9" s="1"/>
  <c r="D74" i="6" a="1"/>
  <c r="D74" i="6" s="1"/>
  <c r="D86" i="7" a="1"/>
  <c r="D86" i="7" s="1"/>
  <c r="D147" i="4" a="1"/>
  <c r="D147" i="4" s="1"/>
  <c r="AE571" i="2" a="1"/>
  <c r="AE571" i="2" s="1"/>
  <c r="Z571" i="2" a="1"/>
  <c r="Z571" i="2" s="1"/>
  <c r="T571" i="2" a="1"/>
  <c r="T571" i="2" s="1"/>
  <c r="AF571" i="2" a="1"/>
  <c r="AF571" i="2" s="1"/>
  <c r="AD571" i="2" a="1"/>
  <c r="AD571" i="2" s="1"/>
  <c r="X571" i="2" a="1"/>
  <c r="X571" i="2" s="1"/>
  <c r="AC571" i="2" a="1"/>
  <c r="AC571" i="2" s="1"/>
  <c r="V394" i="2" a="1"/>
  <c r="V394" i="2" s="1"/>
  <c r="AG394" i="2" a="1"/>
  <c r="AG394" i="2" s="1"/>
  <c r="D73" i="6" a="1"/>
  <c r="D73" i="6" s="1"/>
  <c r="D72" i="5" a="1"/>
  <c r="D72" i="5" s="1"/>
  <c r="D146" i="4" a="1"/>
  <c r="D146" i="4" s="1"/>
  <c r="AD443" i="2" a="1"/>
  <c r="AD443" i="2" s="1"/>
  <c r="Y443" i="2" a="1"/>
  <c r="Y443" i="2" s="1"/>
  <c r="T443" i="2" a="1"/>
  <c r="T443" i="2" s="1"/>
  <c r="AC443" i="2" a="1"/>
  <c r="AC443" i="2" s="1"/>
  <c r="W443" i="2" a="1"/>
  <c r="W443" i="2" s="1"/>
  <c r="V443" i="2" a="1"/>
  <c r="V443" i="2" s="1"/>
  <c r="AA443" i="2" a="1"/>
  <c r="AA443" i="2" s="1"/>
  <c r="AG443" i="2" a="1"/>
  <c r="AG443" i="2" s="1"/>
  <c r="S443" i="2" a="1"/>
  <c r="S443" i="2" s="1"/>
  <c r="AD292" i="2" a="1"/>
  <c r="AD292" i="2" s="1"/>
  <c r="Y292" i="2" a="1"/>
  <c r="Y292" i="2" s="1"/>
  <c r="T292" i="2" a="1"/>
  <c r="T292" i="2" s="1"/>
  <c r="AE292" i="2" a="1"/>
  <c r="AE292" i="2" s="1"/>
  <c r="X292" i="2" a="1"/>
  <c r="X292" i="2" s="1"/>
  <c r="AC292" i="2" a="1"/>
  <c r="AC292" i="2" s="1"/>
  <c r="W292" i="2" a="1"/>
  <c r="W292" i="2" s="1"/>
  <c r="V292" i="2" a="1"/>
  <c r="V292" i="2" s="1"/>
  <c r="AA292" i="2" a="1"/>
  <c r="AA292" i="2" s="1"/>
  <c r="AB292" i="2" a="1"/>
  <c r="AB292" i="2" s="1"/>
  <c r="E549" i="12" a="1"/>
  <c r="E549" i="12" s="1"/>
  <c r="AG232" i="2" a="1"/>
  <c r="AG232" i="2" s="1"/>
  <c r="AB232" i="2" a="1"/>
  <c r="AB232" i="2" s="1"/>
  <c r="W232" i="2" a="1"/>
  <c r="W232" i="2" s="1"/>
  <c r="AA232" i="2" a="1"/>
  <c r="AA232" i="2" s="1"/>
  <c r="AF232" i="2" a="1"/>
  <c r="AF232" i="2" s="1"/>
  <c r="Z232" i="2" a="1"/>
  <c r="Z232" i="2" s="1"/>
  <c r="Y232" i="2" a="1"/>
  <c r="Y232" i="2" s="1"/>
  <c r="S232" i="2" a="1"/>
  <c r="S232" i="2" s="1"/>
  <c r="AD232" i="2" a="1"/>
  <c r="AD232" i="2" s="1"/>
  <c r="X232" i="2" a="1"/>
  <c r="X232" i="2" s="1"/>
  <c r="B139" i="8" a="1"/>
  <c r="B139" i="8" s="1"/>
  <c r="D81" i="6" a="1"/>
  <c r="D81" i="6" s="1"/>
  <c r="D162" i="4" a="1"/>
  <c r="D162" i="4" s="1"/>
  <c r="AG395" i="2" a="1"/>
  <c r="AG395" i="2" s="1"/>
  <c r="AB395" i="2" a="1"/>
  <c r="AB395" i="2" s="1"/>
  <c r="W395" i="2" a="1"/>
  <c r="W395" i="2" s="1"/>
  <c r="AC395" i="2" a="1"/>
  <c r="AC395" i="2" s="1"/>
  <c r="X395" i="2" a="1"/>
  <c r="X395" i="2" s="1"/>
  <c r="S395" i="2" a="1"/>
  <c r="S395" i="2" s="1"/>
  <c r="AE395" i="2" a="1"/>
  <c r="AE395" i="2" s="1"/>
  <c r="AD395" i="2" a="1"/>
  <c r="AD395" i="2" s="1"/>
  <c r="E232" i="12" a="1"/>
  <c r="E232" i="12" s="1"/>
  <c r="E230" i="12" a="1"/>
  <c r="E230" i="12" s="1"/>
  <c r="U426" i="12" a="1"/>
  <c r="U426" i="12" s="1"/>
  <c r="AG287" i="2" a="1"/>
  <c r="AG287" i="2" s="1"/>
  <c r="AB287" i="2" a="1"/>
  <c r="AB287" i="2" s="1"/>
  <c r="W287" i="2" a="1"/>
  <c r="W287" i="2" s="1"/>
  <c r="AC287" i="2" a="1"/>
  <c r="AC287" i="2" s="1"/>
  <c r="X287" i="2" a="1"/>
  <c r="X287" i="2" s="1"/>
  <c r="S287" i="2" a="1"/>
  <c r="S287" i="2" s="1"/>
  <c r="Z287" i="2" a="1"/>
  <c r="Z287" i="2" s="1"/>
  <c r="AE287" i="2" a="1"/>
  <c r="AE287" i="2" s="1"/>
  <c r="V287" i="2" a="1"/>
  <c r="V287" i="2" s="1"/>
  <c r="AA287" i="2" a="1"/>
  <c r="AA287" i="2" s="1"/>
  <c r="T287" i="2" a="1"/>
  <c r="T287" i="2" s="1"/>
  <c r="AD287" i="2" a="1"/>
  <c r="AD287" i="2" s="1"/>
  <c r="Y298" i="2" a="1"/>
  <c r="Y298" i="2" s="1"/>
  <c r="B155" i="8" a="1"/>
  <c r="B155" i="8" s="1"/>
  <c r="AF420" i="2" a="1"/>
  <c r="AF420" i="2" s="1"/>
  <c r="AA420" i="2" a="1"/>
  <c r="AA420" i="2" s="1"/>
  <c r="V420" i="2" a="1"/>
  <c r="V420" i="2" s="1"/>
  <c r="AG420" i="2" a="1"/>
  <c r="AG420" i="2" s="1"/>
  <c r="AB420" i="2" a="1"/>
  <c r="AB420" i="2" s="1"/>
  <c r="W420" i="2" a="1"/>
  <c r="W420" i="2" s="1"/>
  <c r="Z420" i="2" a="1"/>
  <c r="Z420" i="2" s="1"/>
  <c r="S420" i="2" a="1"/>
  <c r="S420" i="2" s="1"/>
  <c r="AE420" i="2" a="1"/>
  <c r="AE420" i="2" s="1"/>
  <c r="X420" i="2" a="1"/>
  <c r="X420" i="2" s="1"/>
  <c r="AC420" i="2" a="1"/>
  <c r="AC420" i="2" s="1"/>
  <c r="U568" i="12" a="1"/>
  <c r="U568" i="12" s="1"/>
  <c r="U460" i="2" a="1"/>
  <c r="U460" i="2" s="1"/>
  <c r="B100" i="7" a="1"/>
  <c r="B100" i="7" s="1"/>
  <c r="B177" i="4" a="1"/>
  <c r="B177" i="4" s="1"/>
  <c r="X427" i="2" a="1"/>
  <c r="X427" i="2" s="1"/>
  <c r="D102" i="7" a="1"/>
  <c r="D102" i="7" s="1"/>
  <c r="D91" i="6" a="1"/>
  <c r="D91" i="6" s="1"/>
  <c r="D179" i="4" a="1"/>
  <c r="D179" i="4" s="1"/>
  <c r="U499" i="12" a="1"/>
  <c r="U499" i="12" s="1"/>
  <c r="B168" i="8" a="1"/>
  <c r="B168" i="8" s="1"/>
  <c r="S435" i="2" a="1"/>
  <c r="S435" i="2" s="1"/>
  <c r="AE435" i="2" a="1"/>
  <c r="AE435" i="2" s="1"/>
  <c r="W435" i="2" a="1"/>
  <c r="W435" i="2" s="1"/>
  <c r="AC435" i="2" a="1"/>
  <c r="AC435" i="2" s="1"/>
  <c r="T435" i="2" a="1"/>
  <c r="T435" i="2" s="1"/>
  <c r="X435" i="2" a="1"/>
  <c r="X435" i="2" s="1"/>
  <c r="B113" i="7" a="1"/>
  <c r="B113" i="7" s="1"/>
  <c r="B198" i="4" a="1"/>
  <c r="B198" i="4" s="1"/>
  <c r="B80" i="7" a="1"/>
  <c r="B80" i="7" s="1"/>
  <c r="B137" i="4" a="1"/>
  <c r="B137" i="4" s="1"/>
  <c r="B81" i="7" a="1"/>
  <c r="B81" i="7" s="1"/>
  <c r="B69" i="6" a="1"/>
  <c r="B69" i="6" s="1"/>
  <c r="B139" i="4" a="1"/>
  <c r="B139" i="4" s="1"/>
  <c r="B70" i="6" a="1"/>
  <c r="B70" i="6" s="1"/>
  <c r="B82" i="7" a="1"/>
  <c r="B82" i="7" s="1"/>
  <c r="B69" i="5" a="1"/>
  <c r="B69" i="5" s="1"/>
  <c r="B140" i="4" a="1"/>
  <c r="B140" i="4" s="1"/>
  <c r="B83" i="7" a="1"/>
  <c r="B83" i="7" s="1"/>
  <c r="B141" i="4" a="1"/>
  <c r="B141" i="4" s="1"/>
  <c r="B75" i="5" a="1"/>
  <c r="B75" i="5" s="1"/>
  <c r="B152" i="4" a="1"/>
  <c r="B152" i="4" s="1"/>
  <c r="B71" i="6" a="1"/>
  <c r="B71" i="6" s="1"/>
  <c r="B84" i="7" a="1"/>
  <c r="B84" i="7" s="1"/>
  <c r="B71" i="5" a="1"/>
  <c r="B71" i="5" s="1"/>
  <c r="B143" i="4" a="1"/>
  <c r="B143" i="4" s="1"/>
  <c r="D85" i="7" a="1"/>
  <c r="D85" i="7" s="1"/>
  <c r="D144" i="4" a="1"/>
  <c r="D144" i="4" s="1"/>
  <c r="E603" i="12" a="1"/>
  <c r="E603" i="12" s="1"/>
  <c r="AG505" i="2" a="1"/>
  <c r="AG505" i="2" s="1"/>
  <c r="AB505" i="2" a="1"/>
  <c r="AB505" i="2" s="1"/>
  <c r="W505" i="2" a="1"/>
  <c r="W505" i="2" s="1"/>
  <c r="T505" i="2" a="1"/>
  <c r="T505" i="2" s="1"/>
  <c r="AE505" i="2" a="1"/>
  <c r="AE505" i="2" s="1"/>
  <c r="D79" i="5" a="1"/>
  <c r="D79" i="5" s="1"/>
  <c r="D158" i="4" a="1"/>
  <c r="D158" i="4" s="1"/>
  <c r="AG274" i="2" a="1"/>
  <c r="AG274" i="2" s="1"/>
  <c r="AB274" i="2" a="1"/>
  <c r="AB274" i="2" s="1"/>
  <c r="W274" i="2" a="1"/>
  <c r="W274" i="2" s="1"/>
  <c r="AD274" i="2" a="1"/>
  <c r="AD274" i="2" s="1"/>
  <c r="X274" i="2" a="1"/>
  <c r="X274" i="2" s="1"/>
  <c r="T274" i="2" a="1"/>
  <c r="T274" i="2" s="1"/>
  <c r="AF274" i="2" a="1"/>
  <c r="AF274" i="2" s="1"/>
  <c r="E176" i="12" a="1"/>
  <c r="E176" i="12" s="1"/>
  <c r="V246" i="2" a="1"/>
  <c r="V246" i="2" s="1"/>
  <c r="AG246" i="2" a="1"/>
  <c r="AG246" i="2" s="1"/>
  <c r="U403" i="12" a="1"/>
  <c r="U403" i="12" s="1"/>
  <c r="U195" i="12" a="1"/>
  <c r="U195" i="12" s="1"/>
  <c r="AD288" i="2" a="1"/>
  <c r="AD288" i="2" s="1"/>
  <c r="Y288" i="2" a="1"/>
  <c r="Y288" i="2" s="1"/>
  <c r="T288" i="2" a="1"/>
  <c r="T288" i="2" s="1"/>
  <c r="AB288" i="2" a="1"/>
  <c r="AB288" i="2" s="1"/>
  <c r="AA288" i="2" a="1"/>
  <c r="AA288" i="2" s="1"/>
  <c r="AF288" i="2" a="1"/>
  <c r="AF288" i="2" s="1"/>
  <c r="Z288" i="2" a="1"/>
  <c r="Z288" i="2" s="1"/>
  <c r="S288" i="2" a="1"/>
  <c r="S288" i="2" s="1"/>
  <c r="X288" i="2" a="1"/>
  <c r="X288" i="2" s="1"/>
  <c r="AD437" i="2" a="1"/>
  <c r="AD437" i="2" s="1"/>
  <c r="Y437" i="2" a="1"/>
  <c r="Y437" i="2" s="1"/>
  <c r="T437" i="2" a="1"/>
  <c r="T437" i="2" s="1"/>
  <c r="V437" i="2" a="1"/>
  <c r="V437" i="2" s="1"/>
  <c r="AB437" i="2" a="1"/>
  <c r="AB437" i="2" s="1"/>
  <c r="AG437" i="2" a="1"/>
  <c r="AG437" i="2" s="1"/>
  <c r="AF437" i="2" a="1"/>
  <c r="AF437" i="2" s="1"/>
  <c r="Z437" i="2" a="1"/>
  <c r="Z437" i="2" s="1"/>
  <c r="AE437" i="2" a="1"/>
  <c r="AE437" i="2" s="1"/>
  <c r="AC437" i="2" a="1"/>
  <c r="AC437" i="2" s="1"/>
  <c r="E188" i="12" a="1"/>
  <c r="E188" i="12" s="1"/>
  <c r="U534" i="12" a="1"/>
  <c r="U534" i="12" s="1"/>
  <c r="W614" i="12" a="1"/>
  <c r="W614" i="12" s="1"/>
  <c r="AM207" i="2" a="1"/>
  <c r="AM207" i="2" s="1"/>
  <c r="AN207" i="2" a="1"/>
  <c r="AN207" i="2" s="1"/>
  <c r="AK207" i="2" a="1"/>
  <c r="AK207" i="2" s="1"/>
  <c r="D77" i="6" a="1"/>
  <c r="D77" i="6" s="1"/>
  <c r="D74" i="5" a="1"/>
  <c r="D74" i="5" s="1"/>
  <c r="D150" i="4" a="1"/>
  <c r="D150" i="4" s="1"/>
  <c r="B78" i="6" a="1"/>
  <c r="B78" i="6" s="1"/>
  <c r="B151" i="4" a="1"/>
  <c r="B151" i="4" s="1"/>
  <c r="D80" i="6" a="1"/>
  <c r="D80" i="6" s="1"/>
  <c r="D154" i="4" a="1"/>
  <c r="D154" i="4" s="1"/>
  <c r="B136" i="8" a="1"/>
  <c r="B136" i="8" s="1"/>
  <c r="AG551" i="2" a="1"/>
  <c r="AG551" i="2" s="1"/>
  <c r="AB551" i="2" a="1"/>
  <c r="AB551" i="2" s="1"/>
  <c r="W551" i="2" a="1"/>
  <c r="W551" i="2" s="1"/>
  <c r="AA551" i="2" a="1"/>
  <c r="AA551" i="2" s="1"/>
  <c r="AF551" i="2" a="1"/>
  <c r="AF551" i="2" s="1"/>
  <c r="Z551" i="2" a="1"/>
  <c r="Z551" i="2" s="1"/>
  <c r="Y551" i="2" a="1"/>
  <c r="Y551" i="2" s="1"/>
  <c r="S551" i="2" a="1"/>
  <c r="S551" i="2" s="1"/>
  <c r="AD551" i="2" a="1"/>
  <c r="AD551" i="2" s="1"/>
  <c r="X551" i="2" a="1"/>
  <c r="X551" i="2" s="1"/>
  <c r="B92" i="7" a="1"/>
  <c r="B92" i="7" s="1"/>
  <c r="B83" i="6" a="1"/>
  <c r="B83" i="6" s="1"/>
  <c r="B164" i="4" a="1"/>
  <c r="B164" i="4" s="1"/>
  <c r="Z198" i="2" a="1"/>
  <c r="Z198" i="2" s="1"/>
  <c r="AG204" i="2" a="1"/>
  <c r="AG204" i="2" s="1"/>
  <c r="AB204" i="2" a="1"/>
  <c r="AB204" i="2" s="1"/>
  <c r="W204" i="2" a="1"/>
  <c r="W204" i="2" s="1"/>
  <c r="AC204" i="2" a="1"/>
  <c r="AC204" i="2" s="1"/>
  <c r="X204" i="2" a="1"/>
  <c r="X204" i="2" s="1"/>
  <c r="S204" i="2" a="1"/>
  <c r="S204" i="2" s="1"/>
  <c r="Z204" i="2" a="1"/>
  <c r="Z204" i="2" s="1"/>
  <c r="AE204" i="2" a="1"/>
  <c r="AE204" i="2" s="1"/>
  <c r="V204" i="2" a="1"/>
  <c r="V204" i="2" s="1"/>
  <c r="AG333" i="2" a="1"/>
  <c r="AG333" i="2" s="1"/>
  <c r="AB333" i="2" a="1"/>
  <c r="AB333" i="2" s="1"/>
  <c r="W333" i="2" a="1"/>
  <c r="W333" i="2" s="1"/>
  <c r="AC333" i="2" a="1"/>
  <c r="AC333" i="2" s="1"/>
  <c r="X333" i="2" a="1"/>
  <c r="X333" i="2" s="1"/>
  <c r="S333" i="2" a="1"/>
  <c r="S333" i="2" s="1"/>
  <c r="V333" i="2" a="1"/>
  <c r="V333" i="2" s="1"/>
  <c r="AA333" i="2" a="1"/>
  <c r="AA333" i="2" s="1"/>
  <c r="T333" i="2" a="1"/>
  <c r="T333" i="2" s="1"/>
  <c r="AF333" i="2" a="1"/>
  <c r="AF333" i="2" s="1"/>
  <c r="Y333" i="2" a="1"/>
  <c r="Y333" i="2" s="1"/>
  <c r="AG312" i="2" a="1"/>
  <c r="AG312" i="2" s="1"/>
  <c r="AB312" i="2" a="1"/>
  <c r="AB312" i="2" s="1"/>
  <c r="W312" i="2" a="1"/>
  <c r="W312" i="2" s="1"/>
  <c r="AC312" i="2" a="1"/>
  <c r="AC312" i="2" s="1"/>
  <c r="X312" i="2" a="1"/>
  <c r="X312" i="2" s="1"/>
  <c r="S312" i="2" a="1"/>
  <c r="S312" i="2" s="1"/>
  <c r="AA312" i="2" a="1"/>
  <c r="AA312" i="2" s="1"/>
  <c r="T312" i="2" a="1"/>
  <c r="T312" i="2" s="1"/>
  <c r="Z312" i="2" a="1"/>
  <c r="Z312" i="2" s="1"/>
  <c r="AF312" i="2" a="1"/>
  <c r="AF312" i="2" s="1"/>
  <c r="Y312" i="2" a="1"/>
  <c r="Y312" i="2" s="1"/>
  <c r="AE312" i="2" a="1"/>
  <c r="AE312" i="2" s="1"/>
  <c r="E193" i="12" a="1"/>
  <c r="E193" i="12" s="1"/>
  <c r="T508" i="2" a="1"/>
  <c r="T508" i="2" s="1"/>
  <c r="B86" i="6" a="1"/>
  <c r="B86" i="6" s="1"/>
  <c r="B170" i="4" a="1"/>
  <c r="B170" i="4" s="1"/>
  <c r="AF375" i="2" a="1"/>
  <c r="AF375" i="2" s="1"/>
  <c r="AA375" i="2" a="1"/>
  <c r="AA375" i="2" s="1"/>
  <c r="V375" i="2" a="1"/>
  <c r="V375" i="2" s="1"/>
  <c r="AG375" i="2" a="1"/>
  <c r="AG375" i="2" s="1"/>
  <c r="AB375" i="2" a="1"/>
  <c r="AB375" i="2" s="1"/>
  <c r="W375" i="2" a="1"/>
  <c r="W375" i="2" s="1"/>
  <c r="Z375" i="2" a="1"/>
  <c r="Z375" i="2" s="1"/>
  <c r="S375" i="2" a="1"/>
  <c r="S375" i="2" s="1"/>
  <c r="AE375" i="2" a="1"/>
  <c r="AE375" i="2" s="1"/>
  <c r="X375" i="2" a="1"/>
  <c r="X375" i="2" s="1"/>
  <c r="AC375" i="2" a="1"/>
  <c r="AC375" i="2" s="1"/>
  <c r="W640" i="12" a="1"/>
  <c r="W640" i="12" s="1"/>
  <c r="AO217" i="2" a="1"/>
  <c r="AO217" i="2" s="1"/>
  <c r="AP217" i="2" a="1"/>
  <c r="AP217" i="2" s="1"/>
  <c r="AK217" i="2" a="1"/>
  <c r="AK217" i="2" s="1"/>
  <c r="AN217" i="2" a="1"/>
  <c r="AN217" i="2" s="1"/>
  <c r="AM217" i="2" a="1"/>
  <c r="AM217" i="2" s="1"/>
  <c r="E180" i="12" a="1"/>
  <c r="E180" i="12" s="1"/>
  <c r="AD428" i="2" a="1"/>
  <c r="AD428" i="2" s="1"/>
  <c r="Y428" i="2" a="1"/>
  <c r="Y428" i="2" s="1"/>
  <c r="T428" i="2" a="1"/>
  <c r="T428" i="2" s="1"/>
  <c r="AE428" i="2" a="1"/>
  <c r="AE428" i="2" s="1"/>
  <c r="Z428" i="2" a="1"/>
  <c r="Z428" i="2" s="1"/>
  <c r="AG428" i="2" a="1"/>
  <c r="AG428" i="2" s="1"/>
  <c r="AF428" i="2" a="1"/>
  <c r="AF428" i="2" s="1"/>
  <c r="W428" i="2" a="1"/>
  <c r="W428" i="2" s="1"/>
  <c r="AB428" i="2" a="1"/>
  <c r="AB428" i="2" s="1"/>
  <c r="AA428" i="2" a="1"/>
  <c r="AA428" i="2" s="1"/>
  <c r="S428" i="2" a="1"/>
  <c r="S428" i="2" s="1"/>
  <c r="B164" i="8" a="1"/>
  <c r="B164" i="8" s="1"/>
  <c r="W662" i="12" a="1"/>
  <c r="W662" i="12" s="1"/>
  <c r="AK256" i="2" a="1"/>
  <c r="AK256" i="2" s="1"/>
  <c r="AN256" i="2" a="1"/>
  <c r="AN256" i="2" s="1"/>
  <c r="AP256" i="2" a="1"/>
  <c r="AP256" i="2" s="1"/>
  <c r="AO256" i="2" a="1"/>
  <c r="AO256" i="2" s="1"/>
  <c r="AM256" i="2" a="1"/>
  <c r="AM256" i="2" s="1"/>
  <c r="D113" i="7" a="1"/>
  <c r="D113" i="7" s="1"/>
  <c r="D198" i="4" a="1"/>
  <c r="D198" i="4" s="1"/>
  <c r="D115" i="7" a="1"/>
  <c r="D115" i="7" s="1"/>
  <c r="D103" i="6" a="1"/>
  <c r="D103" i="6" s="1"/>
  <c r="D200" i="4" a="1"/>
  <c r="D200" i="4" s="1"/>
  <c r="U248" i="12" a="1"/>
  <c r="U248" i="12" s="1"/>
  <c r="AR509" i="2" a="1"/>
  <c r="AR509" i="2" s="1"/>
  <c r="B49" i="7" a="1"/>
  <c r="B49" i="7" s="1"/>
  <c r="B39" i="6" a="1"/>
  <c r="B39" i="6" s="1"/>
  <c r="B47" i="5" a="1"/>
  <c r="B47" i="5" s="1"/>
  <c r="B85" i="4" a="1"/>
  <c r="B85" i="4" s="1"/>
  <c r="U425" i="12" a="1"/>
  <c r="U425" i="12" s="1"/>
  <c r="U317" i="12" a="1"/>
  <c r="U317" i="12" s="1"/>
  <c r="E283" i="12" a="1"/>
  <c r="E283" i="12" s="1"/>
  <c r="E401" i="12" a="1"/>
  <c r="E401" i="12" s="1"/>
  <c r="E165" i="12" a="1"/>
  <c r="E165" i="12" s="1"/>
  <c r="E309" i="12" a="1"/>
  <c r="E309" i="12" s="1"/>
  <c r="AF382" i="2" a="1"/>
  <c r="AF382" i="2" s="1"/>
  <c r="AA382" i="2" a="1"/>
  <c r="AA382" i="2" s="1"/>
  <c r="V382" i="2" a="1"/>
  <c r="V382" i="2" s="1"/>
  <c r="Z382" i="2" a="1"/>
  <c r="Z382" i="2" s="1"/>
  <c r="T382" i="2" a="1"/>
  <c r="T382" i="2" s="1"/>
  <c r="W382" i="2" a="1"/>
  <c r="W382" i="2" s="1"/>
  <c r="AD382" i="2" a="1"/>
  <c r="AD382" i="2" s="1"/>
  <c r="AC337" i="2" a="1"/>
  <c r="AC337" i="2" s="1"/>
  <c r="AC399" i="2" a="1"/>
  <c r="AC399" i="2" s="1"/>
  <c r="AF320" i="2" a="1"/>
  <c r="AF320" i="2" s="1"/>
  <c r="AA320" i="2" a="1"/>
  <c r="AA320" i="2" s="1"/>
  <c r="V320" i="2" a="1"/>
  <c r="V320" i="2" s="1"/>
  <c r="Z320" i="2" a="1"/>
  <c r="Z320" i="2" s="1"/>
  <c r="T320" i="2" a="1"/>
  <c r="T320" i="2" s="1"/>
  <c r="W320" i="2" a="1"/>
  <c r="W320" i="2" s="1"/>
  <c r="AD320" i="2" a="1"/>
  <c r="AD320" i="2" s="1"/>
  <c r="D136" i="4" a="1"/>
  <c r="D136" i="4" s="1"/>
  <c r="D68" i="5" a="1"/>
  <c r="D68" i="5" s="1"/>
  <c r="S241" i="2" a="1"/>
  <c r="S241" i="2" s="1"/>
  <c r="AG241" i="2" a="1"/>
  <c r="AG241" i="2" s="1"/>
  <c r="U603" i="12" a="1"/>
  <c r="U603" i="12" s="1"/>
  <c r="X505" i="2" a="1"/>
  <c r="X505" i="2" s="1"/>
  <c r="U397" i="12" a="1"/>
  <c r="U397" i="12" s="1"/>
  <c r="D81" i="5" a="1"/>
  <c r="D81" i="5" s="1"/>
  <c r="D160" i="4" a="1"/>
  <c r="D160" i="4" s="1"/>
  <c r="U205" i="12" a="1"/>
  <c r="U205" i="12" s="1"/>
  <c r="S571" i="2" a="1"/>
  <c r="S571" i="2" s="1"/>
  <c r="W634" i="12" a="1"/>
  <c r="W634" i="12" s="1"/>
  <c r="AN167" i="2" a="1"/>
  <c r="AN167" i="2" s="1"/>
  <c r="AM167" i="2" a="1"/>
  <c r="AM167" i="2" s="1"/>
  <c r="X246" i="2" a="1"/>
  <c r="X246" i="2" s="1"/>
  <c r="U476" i="12" a="1"/>
  <c r="U476" i="12" s="1"/>
  <c r="X394" i="2" a="1"/>
  <c r="X394" i="2" s="1"/>
  <c r="B72" i="6" a="1"/>
  <c r="B72" i="6" s="1"/>
  <c r="B145" i="4" a="1"/>
  <c r="B145" i="4" s="1"/>
  <c r="AD464" i="2" a="1"/>
  <c r="AD464" i="2" s="1"/>
  <c r="Y464" i="2" a="1"/>
  <c r="Y464" i="2" s="1"/>
  <c r="T464" i="2" a="1"/>
  <c r="T464" i="2" s="1"/>
  <c r="AA464" i="2" a="1"/>
  <c r="AA464" i="2" s="1"/>
  <c r="AG464" i="2" a="1"/>
  <c r="AG464" i="2" s="1"/>
  <c r="S464" i="2" a="1"/>
  <c r="S464" i="2" s="1"/>
  <c r="AE464" i="2" a="1"/>
  <c r="AE464" i="2" s="1"/>
  <c r="AC288" i="2" a="1"/>
  <c r="AC288" i="2" s="1"/>
  <c r="AE443" i="2" a="1"/>
  <c r="AE443" i="2" s="1"/>
  <c r="AG305" i="2" a="1"/>
  <c r="AG305" i="2" s="1"/>
  <c r="S400" i="2" a="1"/>
  <c r="S400" i="2" s="1"/>
  <c r="S292" i="2" a="1"/>
  <c r="S292" i="2" s="1"/>
  <c r="B89" i="7" a="1"/>
  <c r="B89" i="7" s="1"/>
  <c r="B78" i="5" a="1"/>
  <c r="B78" i="5" s="1"/>
  <c r="B157" i="4" a="1"/>
  <c r="B157" i="4" s="1"/>
  <c r="AD356" i="2" a="1"/>
  <c r="AD356" i="2" s="1"/>
  <c r="Y356" i="2" a="1"/>
  <c r="Y356" i="2" s="1"/>
  <c r="T356" i="2" a="1"/>
  <c r="T356" i="2" s="1"/>
  <c r="AA356" i="2" a="1"/>
  <c r="AA356" i="2" s="1"/>
  <c r="AG356" i="2" a="1"/>
  <c r="AG356" i="2" s="1"/>
  <c r="S356" i="2" a="1"/>
  <c r="S356" i="2" s="1"/>
  <c r="AE356" i="2" a="1"/>
  <c r="AE356" i="2" s="1"/>
  <c r="E449" i="12" a="1"/>
  <c r="E449" i="12" s="1"/>
  <c r="E408" i="12" a="1"/>
  <c r="E408" i="12" s="1"/>
  <c r="AC232" i="2" a="1"/>
  <c r="AC232" i="2" s="1"/>
  <c r="AA198" i="2" a="1"/>
  <c r="AA198" i="2" s="1"/>
  <c r="AD333" i="2" a="1"/>
  <c r="AD333" i="2" s="1"/>
  <c r="AG174" i="2" a="1"/>
  <c r="AG174" i="2" s="1"/>
  <c r="AB174" i="2" a="1"/>
  <c r="AB174" i="2" s="1"/>
  <c r="W174" i="2" a="1"/>
  <c r="W174" i="2" s="1"/>
  <c r="AC174" i="2" a="1"/>
  <c r="AC174" i="2" s="1"/>
  <c r="X174" i="2" a="1"/>
  <c r="X174" i="2" s="1"/>
  <c r="S174" i="2" a="1"/>
  <c r="S174" i="2" s="1"/>
  <c r="AF174" i="2" a="1"/>
  <c r="AF174" i="2" s="1"/>
  <c r="Y174" i="2" a="1"/>
  <c r="Y174" i="2" s="1"/>
  <c r="AD174" i="2" a="1"/>
  <c r="AD174" i="2" s="1"/>
  <c r="V174" i="2" a="1"/>
  <c r="V174" i="2" s="1"/>
  <c r="AA174" i="2" a="1"/>
  <c r="AA174" i="2" s="1"/>
  <c r="AF395" i="2" a="1"/>
  <c r="AF395" i="2" s="1"/>
  <c r="U230" i="12" a="1"/>
  <c r="U230" i="12" s="1"/>
  <c r="V508" i="2" a="1"/>
  <c r="V508" i="2" s="1"/>
  <c r="AD298" i="2" a="1"/>
  <c r="AD298" i="2" s="1"/>
  <c r="B152" i="8" a="1"/>
  <c r="B152" i="8" s="1"/>
  <c r="AF358" i="2" a="1"/>
  <c r="AF358" i="2" s="1"/>
  <c r="AA358" i="2" a="1"/>
  <c r="AA358" i="2" s="1"/>
  <c r="V358" i="2" a="1"/>
  <c r="V358" i="2" s="1"/>
  <c r="AG358" i="2" a="1"/>
  <c r="AG358" i="2" s="1"/>
  <c r="AB358" i="2" a="1"/>
  <c r="AB358" i="2" s="1"/>
  <c r="W358" i="2" a="1"/>
  <c r="W358" i="2" s="1"/>
  <c r="Z358" i="2" a="1"/>
  <c r="Z358" i="2" s="1"/>
  <c r="S358" i="2" a="1"/>
  <c r="S358" i="2" s="1"/>
  <c r="AE358" i="2" a="1"/>
  <c r="AE358" i="2" s="1"/>
  <c r="X358" i="2" a="1"/>
  <c r="X358" i="2" s="1"/>
  <c r="AC358" i="2" a="1"/>
  <c r="AC358" i="2" s="1"/>
  <c r="U275" i="2" a="1"/>
  <c r="U275" i="2" s="1"/>
  <c r="U547" i="12" a="1"/>
  <c r="U547" i="12" s="1"/>
  <c r="U442" i="2" a="1"/>
  <c r="U442" i="2" s="1"/>
  <c r="T306" i="2" a="1"/>
  <c r="T306" i="2" s="1"/>
  <c r="B41" i="9" a="1"/>
  <c r="B41" i="9" s="1"/>
  <c r="X460" i="2" a="1"/>
  <c r="X460" i="2" s="1"/>
  <c r="D100" i="7" a="1"/>
  <c r="D100" i="7" s="1"/>
  <c r="D177" i="4" a="1"/>
  <c r="D177" i="4" s="1"/>
  <c r="AC524" i="2" a="1"/>
  <c r="AC524" i="2" s="1"/>
  <c r="B45" i="9" a="1"/>
  <c r="B45" i="9" s="1"/>
  <c r="E503" i="12" a="1"/>
  <c r="E503" i="12" s="1"/>
  <c r="D204" i="4" a="1"/>
  <c r="D204" i="4" s="1"/>
  <c r="D102" i="5" a="1"/>
  <c r="D102" i="5" s="1"/>
  <c r="U510" i="12" a="1"/>
  <c r="U510" i="12" s="1"/>
  <c r="U268" i="12" a="1"/>
  <c r="U268" i="12" s="1"/>
  <c r="E465" i="12" a="1"/>
  <c r="E465" i="12" s="1"/>
  <c r="V370" i="2" a="1"/>
  <c r="V370" i="2" s="1"/>
  <c r="U192" i="12" a="1"/>
  <c r="U192" i="12" s="1"/>
  <c r="Y412" i="2" a="1"/>
  <c r="Y412" i="2" s="1"/>
  <c r="S412" i="2" a="1"/>
  <c r="S412" i="2" s="1"/>
  <c r="AG412" i="2" a="1"/>
  <c r="AG412" i="2" s="1"/>
  <c r="V412" i="2" a="1"/>
  <c r="V412" i="2" s="1"/>
  <c r="Z412" i="2" a="1"/>
  <c r="Z412" i="2" s="1"/>
  <c r="X412" i="2" a="1"/>
  <c r="X412" i="2" s="1"/>
  <c r="Y258" i="2" a="1"/>
  <c r="Y258" i="2" s="1"/>
  <c r="AD258" i="2" a="1"/>
  <c r="AD258" i="2" s="1"/>
  <c r="S258" i="2" a="1"/>
  <c r="S258" i="2" s="1"/>
  <c r="AG258" i="2" a="1"/>
  <c r="AG258" i="2" s="1"/>
  <c r="V258" i="2" a="1"/>
  <c r="V258" i="2" s="1"/>
  <c r="Z258" i="2" a="1"/>
  <c r="Z258" i="2" s="1"/>
  <c r="U245" i="12" a="1"/>
  <c r="U245" i="12" s="1"/>
  <c r="E185" i="12" a="1"/>
  <c r="E185" i="12" s="1"/>
  <c r="W433" i="2" a="1"/>
  <c r="W433" i="2" s="1"/>
  <c r="D112" i="7" a="1"/>
  <c r="D112" i="7" s="1"/>
  <c r="D197" i="4" a="1"/>
  <c r="D197" i="4" s="1"/>
  <c r="E273" i="12" a="1"/>
  <c r="E273" i="12" s="1"/>
  <c r="X238" i="2" a="1"/>
  <c r="X238" i="2" s="1"/>
  <c r="AC238" i="2" a="1"/>
  <c r="AC238" i="2" s="1"/>
  <c r="AA238" i="2" a="1"/>
  <c r="AA238" i="2" s="1"/>
  <c r="Y238" i="2" a="1"/>
  <c r="Y238" i="2" s="1"/>
  <c r="E268" i="12" a="1"/>
  <c r="E268" i="12" s="1"/>
  <c r="AD418" i="2" a="1"/>
  <c r="AD418" i="2" s="1"/>
  <c r="AG349" i="2" a="1"/>
  <c r="AG349" i="2" s="1"/>
  <c r="V349" i="2" a="1"/>
  <c r="V349" i="2" s="1"/>
  <c r="AA349" i="2" a="1"/>
  <c r="AA349" i="2" s="1"/>
  <c r="AD349" i="2" a="1"/>
  <c r="AD349" i="2" s="1"/>
  <c r="S349" i="2" a="1"/>
  <c r="S349" i="2" s="1"/>
  <c r="W349" i="2" a="1"/>
  <c r="W349" i="2" s="1"/>
  <c r="Z349" i="2" a="1"/>
  <c r="Z349" i="2" s="1"/>
  <c r="T504" i="2" a="1"/>
  <c r="T504" i="2" s="1"/>
  <c r="AC504" i="2" a="1"/>
  <c r="AC504" i="2" s="1"/>
  <c r="E566" i="12" a="1"/>
  <c r="E566" i="12" s="1"/>
  <c r="W447" i="2" a="1"/>
  <c r="W447" i="2" s="1"/>
  <c r="AB447" i="2" a="1"/>
  <c r="AB447" i="2" s="1"/>
  <c r="Z447" i="2" a="1"/>
  <c r="Z447" i="2" s="1"/>
  <c r="T447" i="2" a="1"/>
  <c r="T447" i="2" s="1"/>
  <c r="X447" i="2" a="1"/>
  <c r="X447" i="2" s="1"/>
  <c r="Y447" i="2" a="1"/>
  <c r="Y447" i="2" s="1"/>
  <c r="AF379" i="2" a="1"/>
  <c r="AF379" i="2" s="1"/>
  <c r="Z379" i="2" a="1"/>
  <c r="Z379" i="2" s="1"/>
  <c r="AC379" i="2" a="1"/>
  <c r="AC379" i="2" s="1"/>
  <c r="AG379" i="2" a="1"/>
  <c r="AG379" i="2" s="1"/>
  <c r="V379" i="2" a="1"/>
  <c r="V379" i="2" s="1"/>
  <c r="Y379" i="2" a="1"/>
  <c r="Y379" i="2" s="1"/>
  <c r="U505" i="12" a="1"/>
  <c r="U505" i="12" s="1"/>
  <c r="U597" i="12" a="1"/>
  <c r="U597" i="12" s="1"/>
  <c r="D119" i="7" a="1"/>
  <c r="D119" i="7" s="1"/>
  <c r="D109" i="6" a="1"/>
  <c r="D109" i="6" s="1"/>
  <c r="D210" i="4" a="1"/>
  <c r="D210" i="4" s="1"/>
  <c r="AC476" i="2" a="1"/>
  <c r="AC476" i="2" s="1"/>
  <c r="W476" i="2" a="1"/>
  <c r="W476" i="2" s="1"/>
  <c r="AF476" i="2" a="1"/>
  <c r="AF476" i="2" s="1"/>
  <c r="V476" i="2" a="1"/>
  <c r="V476" i="2" s="1"/>
  <c r="AB476" i="2" a="1"/>
  <c r="AB476" i="2" s="1"/>
  <c r="S476" i="2" a="1"/>
  <c r="S476" i="2" s="1"/>
  <c r="Y476" i="2" a="1"/>
  <c r="Y476" i="2" s="1"/>
  <c r="AE476" i="2" a="1"/>
  <c r="AE476" i="2" s="1"/>
  <c r="X476" i="2" a="1"/>
  <c r="X476" i="2" s="1"/>
  <c r="AD476" i="2" a="1"/>
  <c r="AD476" i="2" s="1"/>
  <c r="AF469" i="2" a="1"/>
  <c r="AF469" i="2" s="1"/>
  <c r="AD469" i="2" a="1"/>
  <c r="AD469" i="2" s="1"/>
  <c r="S469" i="2" a="1"/>
  <c r="S469" i="2" s="1"/>
  <c r="AG469" i="2" a="1"/>
  <c r="AG469" i="2" s="1"/>
  <c r="Z469" i="2" a="1"/>
  <c r="Z469" i="2" s="1"/>
  <c r="AC469" i="2" a="1"/>
  <c r="AC469" i="2" s="1"/>
  <c r="V469" i="2" a="1"/>
  <c r="V469" i="2" s="1"/>
  <c r="AB469" i="2" a="1"/>
  <c r="AB469" i="2" s="1"/>
  <c r="AA469" i="2" a="1"/>
  <c r="AA469" i="2" s="1"/>
  <c r="T469" i="2" a="1"/>
  <c r="T469" i="2" s="1"/>
  <c r="D113" i="6" a="1"/>
  <c r="D113" i="6" s="1"/>
  <c r="D125" i="7" a="1"/>
  <c r="D125" i="7" s="1"/>
  <c r="D218" i="4" a="1"/>
  <c r="D218" i="4" s="1"/>
  <c r="E511" i="12" a="1"/>
  <c r="E511" i="12" s="1"/>
  <c r="D119" i="5" a="1"/>
  <c r="D119" i="5" s="1"/>
  <c r="D240" i="4" a="1"/>
  <c r="D240" i="4" s="1"/>
  <c r="AF473" i="2" a="1"/>
  <c r="AF473" i="2" s="1"/>
  <c r="AD473" i="2" a="1"/>
  <c r="AD473" i="2" s="1"/>
  <c r="S473" i="2" a="1"/>
  <c r="S473" i="2" s="1"/>
  <c r="AG473" i="2" a="1"/>
  <c r="AG473" i="2" s="1"/>
  <c r="Z473" i="2" a="1"/>
  <c r="Z473" i="2" s="1"/>
  <c r="Y473" i="2" a="1"/>
  <c r="Y473" i="2" s="1"/>
  <c r="AC473" i="2" a="1"/>
  <c r="AC473" i="2" s="1"/>
  <c r="V473" i="2" a="1"/>
  <c r="V473" i="2" s="1"/>
  <c r="AB473" i="2" a="1"/>
  <c r="AB473" i="2" s="1"/>
  <c r="AA473" i="2" a="1"/>
  <c r="AA473" i="2" s="1"/>
  <c r="T473" i="2" a="1"/>
  <c r="T473" i="2" s="1"/>
  <c r="D134" i="7" a="1"/>
  <c r="D134" i="7" s="1"/>
  <c r="D121" i="6" a="1"/>
  <c r="D121" i="6" s="1"/>
  <c r="D233" i="4" a="1"/>
  <c r="D233" i="4" s="1"/>
  <c r="W589" i="2" a="1"/>
  <c r="W589" i="2" s="1"/>
  <c r="AC589" i="2" a="1"/>
  <c r="AC589" i="2" s="1"/>
  <c r="T589" i="2" a="1"/>
  <c r="T589" i="2" s="1"/>
  <c r="E334" i="12" a="1"/>
  <c r="E334" i="12" s="1"/>
  <c r="S367" i="2" a="1"/>
  <c r="S367" i="2" s="1"/>
  <c r="X367" i="2" a="1"/>
  <c r="X367" i="2" s="1"/>
  <c r="W367" i="2" a="1"/>
  <c r="W367" i="2" s="1"/>
  <c r="AC327" i="2" a="1"/>
  <c r="AC327" i="2" s="1"/>
  <c r="B160" i="8" a="1"/>
  <c r="B160" i="8" s="1"/>
  <c r="W652" i="12" a="1"/>
  <c r="W652" i="12" s="1"/>
  <c r="AM326" i="2" a="1"/>
  <c r="AM326" i="2" s="1"/>
  <c r="AN326" i="2" a="1"/>
  <c r="AN326" i="2" s="1"/>
  <c r="E530" i="12" a="1"/>
  <c r="E530" i="12" s="1"/>
  <c r="D104" i="7" a="1"/>
  <c r="D104" i="7" s="1"/>
  <c r="D183" i="4" a="1"/>
  <c r="D183" i="4" s="1"/>
  <c r="E585" i="12" a="1"/>
  <c r="E585" i="12" s="1"/>
  <c r="U585" i="12" a="1"/>
  <c r="U585" i="12" s="1"/>
  <c r="B89" i="6" a="1"/>
  <c r="B89" i="6" s="1"/>
  <c r="B176" i="4" a="1"/>
  <c r="B176" i="4" s="1"/>
  <c r="E474" i="12" a="1"/>
  <c r="E474" i="12" s="1"/>
  <c r="X279" i="2" a="1"/>
  <c r="X279" i="2" s="1"/>
  <c r="AC279" i="2" a="1"/>
  <c r="AC279" i="2" s="1"/>
  <c r="AF279" i="2" a="1"/>
  <c r="AF279" i="2" s="1"/>
  <c r="Y279" i="2" a="1"/>
  <c r="Y279" i="2" s="1"/>
  <c r="E181" i="12" a="1"/>
  <c r="E181" i="12" s="1"/>
  <c r="W449" i="2" a="1"/>
  <c r="W449" i="2" s="1"/>
  <c r="AG615" i="2" a="1"/>
  <c r="AG615" i="2" s="1"/>
  <c r="AA615" i="2" a="1"/>
  <c r="AA615" i="2" s="1"/>
  <c r="AF615" i="2" a="1"/>
  <c r="AF615" i="2" s="1"/>
  <c r="AD615" i="2" a="1"/>
  <c r="AD615" i="2" s="1"/>
  <c r="S615" i="2" a="1"/>
  <c r="S615" i="2" s="1"/>
  <c r="W615" i="2" a="1"/>
  <c r="W615" i="2" s="1"/>
  <c r="Y615" i="2" a="1"/>
  <c r="Y615" i="2" s="1"/>
  <c r="D111" i="7" a="1"/>
  <c r="D111" i="7" s="1"/>
  <c r="D192" i="4" a="1"/>
  <c r="D192" i="4" s="1"/>
  <c r="U604" i="12" a="1"/>
  <c r="U604" i="12" s="1"/>
  <c r="E510" i="12" a="1"/>
  <c r="E510" i="12" s="1"/>
  <c r="Z238" i="2" a="1"/>
  <c r="Z238" i="2" s="1"/>
  <c r="B48" i="9" a="1"/>
  <c r="B48" i="9" s="1"/>
  <c r="B104" i="5" a="1"/>
  <c r="B104" i="5" s="1"/>
  <c r="B206" i="4" a="1"/>
  <c r="B206" i="4" s="1"/>
  <c r="V418" i="2" a="1"/>
  <c r="V418" i="2" s="1"/>
  <c r="AG389" i="2" a="1"/>
  <c r="AG389" i="2" s="1"/>
  <c r="V389" i="2" a="1"/>
  <c r="V389" i="2" s="1"/>
  <c r="AA389" i="2" a="1"/>
  <c r="AA389" i="2" s="1"/>
  <c r="AD389" i="2" a="1"/>
  <c r="AD389" i="2" s="1"/>
  <c r="S389" i="2" a="1"/>
  <c r="S389" i="2" s="1"/>
  <c r="W389" i="2" a="1"/>
  <c r="W389" i="2" s="1"/>
  <c r="Z389" i="2" a="1"/>
  <c r="Z389" i="2" s="1"/>
  <c r="T456" i="2" a="1"/>
  <c r="T456" i="2" s="1"/>
  <c r="AC456" i="2" a="1"/>
  <c r="AC456" i="2" s="1"/>
  <c r="D101" i="6" a="1"/>
  <c r="D101" i="6" s="1"/>
  <c r="D97" i="5" a="1"/>
  <c r="D97" i="5" s="1"/>
  <c r="D195" i="4" a="1"/>
  <c r="D195" i="4" s="1"/>
  <c r="E537" i="12" a="1"/>
  <c r="E537" i="12" s="1"/>
  <c r="W271" i="2" a="1"/>
  <c r="W271" i="2" s="1"/>
  <c r="AB271" i="2" a="1"/>
  <c r="AB271" i="2" s="1"/>
  <c r="Z271" i="2" a="1"/>
  <c r="Z271" i="2" s="1"/>
  <c r="T271" i="2" a="1"/>
  <c r="T271" i="2" s="1"/>
  <c r="U271" i="2" s="1" a="1"/>
  <c r="U271" i="2" s="1"/>
  <c r="X271" i="2" a="1"/>
  <c r="X271" i="2" s="1"/>
  <c r="Y271" i="2" a="1"/>
  <c r="Y271" i="2" s="1"/>
  <c r="S462" i="2" a="1"/>
  <c r="S462" i="2" s="1"/>
  <c r="W385" i="2" a="1"/>
  <c r="W385" i="2" s="1"/>
  <c r="V341" i="2" a="1"/>
  <c r="V341" i="2" s="1"/>
  <c r="AG477" i="2" a="1"/>
  <c r="AG477" i="2" s="1"/>
  <c r="V477" i="2" a="1"/>
  <c r="V477" i="2" s="1"/>
  <c r="AA477" i="2" a="1"/>
  <c r="AA477" i="2" s="1"/>
  <c r="Y477" i="2" a="1"/>
  <c r="Y477" i="2" s="1"/>
  <c r="S477" i="2" a="1"/>
  <c r="S477" i="2" s="1"/>
  <c r="W477" i="2" a="1"/>
  <c r="W477" i="2" s="1"/>
  <c r="Z477" i="2" a="1"/>
  <c r="Z477" i="2" s="1"/>
  <c r="E581" i="12" a="1"/>
  <c r="E581" i="12" s="1"/>
  <c r="X194" i="2" a="1"/>
  <c r="X194" i="2" s="1"/>
  <c r="U559" i="12" a="1"/>
  <c r="U559" i="12" s="1"/>
  <c r="B118" i="7" a="1"/>
  <c r="B118" i="7" s="1"/>
  <c r="B107" i="6" a="1"/>
  <c r="B107" i="6" s="1"/>
  <c r="B207" i="4" a="1"/>
  <c r="B207" i="4" s="1"/>
  <c r="X470" i="2" a="1"/>
  <c r="X470" i="2" s="1"/>
  <c r="B105" i="6" a="1"/>
  <c r="B105" i="6" s="1"/>
  <c r="B101" i="5" a="1"/>
  <c r="B101" i="5" s="1"/>
  <c r="B203" i="4" a="1"/>
  <c r="B203" i="4" s="1"/>
  <c r="D124" i="7" a="1"/>
  <c r="D124" i="7" s="1"/>
  <c r="D216" i="4" a="1"/>
  <c r="D216" i="4" s="1"/>
  <c r="D111" i="6" a="1"/>
  <c r="D111" i="6" s="1"/>
  <c r="D106" i="5" a="1"/>
  <c r="D106" i="5" s="1"/>
  <c r="D213" i="4" a="1"/>
  <c r="D213" i="4" s="1"/>
  <c r="D126" i="7" a="1"/>
  <c r="D126" i="7" s="1"/>
  <c r="D110" i="5" a="1"/>
  <c r="D110" i="5" s="1"/>
  <c r="D115" i="6" a="1"/>
  <c r="D115" i="6" s="1"/>
  <c r="D220" i="4" a="1"/>
  <c r="D220" i="4" s="1"/>
  <c r="B193" i="8" a="1"/>
  <c r="B193" i="8" s="1"/>
  <c r="U594" i="12" a="1"/>
  <c r="U594" i="12" s="1"/>
  <c r="E158" i="12" a="1"/>
  <c r="E158" i="12" s="1"/>
  <c r="B123" i="5" a="1"/>
  <c r="B123" i="5" s="1"/>
  <c r="B245" i="4" a="1"/>
  <c r="B245" i="4" s="1"/>
  <c r="U327" i="12" a="1"/>
  <c r="U327" i="12" s="1"/>
  <c r="D98" i="7" a="1"/>
  <c r="D98" i="7" s="1"/>
  <c r="D89" i="5" a="1"/>
  <c r="D89" i="5" s="1"/>
  <c r="D174" i="4" a="1"/>
  <c r="D174" i="4" s="1"/>
  <c r="U485" i="2" a="1"/>
  <c r="U485" i="2" s="1"/>
  <c r="U459" i="2" a="1"/>
  <c r="U459" i="2" s="1"/>
  <c r="U369" i="2" a="1"/>
  <c r="U369" i="2" s="1"/>
  <c r="U319" i="2" a="1"/>
  <c r="U319" i="2" s="1"/>
  <c r="D94" i="5" a="1"/>
  <c r="D94" i="5" s="1"/>
  <c r="D187" i="4" a="1"/>
  <c r="D187" i="4" s="1"/>
  <c r="AB258" i="2" a="1"/>
  <c r="AB258" i="2" s="1"/>
  <c r="Z279" i="2" a="1"/>
  <c r="Z279" i="2" s="1"/>
  <c r="B98" i="5" a="1"/>
  <c r="B98" i="5" s="1"/>
  <c r="B196" i="4" a="1"/>
  <c r="B196" i="4" s="1"/>
  <c r="U564" i="12" a="1"/>
  <c r="U564" i="12" s="1"/>
  <c r="B171" i="8" a="1"/>
  <c r="B171" i="8" s="1"/>
  <c r="U573" i="12" a="1"/>
  <c r="U573" i="12" s="1"/>
  <c r="Z433" i="2" a="1"/>
  <c r="Z433" i="2" s="1"/>
  <c r="AE433" i="2" a="1"/>
  <c r="AE433" i="2" s="1"/>
  <c r="T433" i="2" a="1"/>
  <c r="T433" i="2" s="1"/>
  <c r="AC433" i="2" a="1"/>
  <c r="AC433" i="2" s="1"/>
  <c r="AG433" i="2" a="1"/>
  <c r="AG433" i="2" s="1"/>
  <c r="AA433" i="2" a="1"/>
  <c r="AA433" i="2" s="1"/>
  <c r="E604" i="12" a="1"/>
  <c r="E604" i="12" s="1"/>
  <c r="AF418" i="2" a="1"/>
  <c r="AF418" i="2" s="1"/>
  <c r="E277" i="12" a="1"/>
  <c r="E277" i="12" s="1"/>
  <c r="W523" i="2" a="1"/>
  <c r="W523" i="2" s="1"/>
  <c r="AB523" i="2" a="1"/>
  <c r="AB523" i="2" s="1"/>
  <c r="Z523" i="2" a="1"/>
  <c r="Z523" i="2" s="1"/>
  <c r="T523" i="2" a="1"/>
  <c r="T523" i="2" s="1"/>
  <c r="X523" i="2" a="1"/>
  <c r="X523" i="2" s="1"/>
  <c r="Y523" i="2" a="1"/>
  <c r="Y523" i="2" s="1"/>
  <c r="S484" i="2" a="1"/>
  <c r="S484" i="2" s="1"/>
  <c r="AB349" i="2" a="1"/>
  <c r="AB349" i="2" s="1"/>
  <c r="X385" i="2" a="1"/>
  <c r="X385" i="2" s="1"/>
  <c r="AC385" i="2" a="1"/>
  <c r="AC385" i="2" s="1"/>
  <c r="AA385" i="2" a="1"/>
  <c r="AA385" i="2" s="1"/>
  <c r="AE385" i="2" a="1"/>
  <c r="AE385" i="2" s="1"/>
  <c r="Y385" i="2" a="1"/>
  <c r="Y385" i="2" s="1"/>
  <c r="U463" i="12" a="1"/>
  <c r="U463" i="12" s="1"/>
  <c r="W341" i="2" a="1"/>
  <c r="W341" i="2" s="1"/>
  <c r="E237" i="12" a="1"/>
  <c r="E237" i="12" s="1"/>
  <c r="AA447" i="2" a="1"/>
  <c r="AA447" i="2" s="1"/>
  <c r="E260" i="12" a="1"/>
  <c r="E260" i="12" s="1"/>
  <c r="D108" i="5" a="1"/>
  <c r="D108" i="5" s="1"/>
  <c r="D217" i="4" a="1"/>
  <c r="D217" i="4" s="1"/>
  <c r="AA379" i="2" a="1"/>
  <c r="AA379" i="2" s="1"/>
  <c r="B185" i="8" a="1"/>
  <c r="B185" i="8" s="1"/>
  <c r="B187" i="8" a="1"/>
  <c r="B187" i="8" s="1"/>
  <c r="E295" i="12" a="1"/>
  <c r="E295" i="12" s="1"/>
  <c r="U315" i="12" a="1"/>
  <c r="U315" i="12" s="1"/>
  <c r="B188" i="8" a="1"/>
  <c r="B188" i="8" s="1"/>
  <c r="E233" i="12" a="1"/>
  <c r="E233" i="12" s="1"/>
  <c r="E311" i="12" a="1"/>
  <c r="E311" i="12" s="1"/>
  <c r="B131" i="7" a="1"/>
  <c r="B131" i="7" s="1"/>
  <c r="B114" i="5" a="1"/>
  <c r="B114" i="5" s="1"/>
  <c r="B228" i="4" a="1"/>
  <c r="B228" i="4" s="1"/>
  <c r="D122" i="5" a="1"/>
  <c r="D122" i="5" s="1"/>
  <c r="D244" i="4" a="1"/>
  <c r="D244" i="4" s="1"/>
  <c r="D123" i="5" a="1"/>
  <c r="D123" i="5" s="1"/>
  <c r="D245" i="4" a="1"/>
  <c r="D245" i="4" s="1"/>
  <c r="AF328" i="2" a="1"/>
  <c r="AF328" i="2" s="1"/>
  <c r="AA328" i="2" a="1"/>
  <c r="AA328" i="2" s="1"/>
  <c r="V328" i="2" a="1"/>
  <c r="V328" i="2" s="1"/>
  <c r="AF303" i="2" a="1"/>
  <c r="AF303" i="2" s="1"/>
  <c r="AA303" i="2" a="1"/>
  <c r="AA303" i="2" s="1"/>
  <c r="V303" i="2" a="1"/>
  <c r="V303" i="2" s="1"/>
  <c r="E152" i="12" a="1"/>
  <c r="E152" i="12" s="1"/>
  <c r="Y376" i="2" a="1"/>
  <c r="Y376" i="2" s="1"/>
  <c r="AE376" i="2" a="1"/>
  <c r="AE376" i="2" s="1"/>
  <c r="S235" i="2" a="1"/>
  <c r="S235" i="2" s="1"/>
  <c r="E493" i="12" a="1"/>
  <c r="E493" i="12" s="1"/>
  <c r="D84" i="5" a="1"/>
  <c r="D84" i="5" s="1"/>
  <c r="D166" i="4" a="1"/>
  <c r="D166" i="4" s="1"/>
  <c r="U131" i="12" a="1"/>
  <c r="U131" i="12" s="1"/>
  <c r="U147" i="12" a="1"/>
  <c r="U147" i="12" s="1"/>
  <c r="U171" i="12" a="1"/>
  <c r="U171" i="12" s="1"/>
  <c r="U549" i="12" a="1"/>
  <c r="U549" i="12" s="1"/>
  <c r="U449" i="12" a="1"/>
  <c r="U449" i="12" s="1"/>
  <c r="U149" i="12" a="1"/>
  <c r="U149" i="12" s="1"/>
  <c r="U556" i="12" a="1"/>
  <c r="U556" i="12" s="1"/>
  <c r="U435" i="12" a="1"/>
  <c r="U435" i="12" s="1"/>
  <c r="U494" i="12" a="1"/>
  <c r="U494" i="12" s="1"/>
  <c r="U193" i="12" a="1"/>
  <c r="U193" i="12" s="1"/>
  <c r="B94" i="7" a="1"/>
  <c r="B94" i="7" s="1"/>
  <c r="B84" i="6" a="1"/>
  <c r="B84" i="6" s="1"/>
  <c r="B168" i="4" a="1"/>
  <c r="B168" i="4" s="1"/>
  <c r="U206" i="12" a="1"/>
  <c r="U206" i="12" s="1"/>
  <c r="B91" i="5" a="1"/>
  <c r="B91" i="5" s="1"/>
  <c r="B181" i="4" a="1"/>
  <c r="B181" i="4" s="1"/>
  <c r="U465" i="12" a="1"/>
  <c r="U465" i="12" s="1"/>
  <c r="E231" i="12" a="1"/>
  <c r="E231" i="12" s="1"/>
  <c r="E551" i="12" a="1"/>
  <c r="E551" i="12" s="1"/>
  <c r="E244" i="12" a="1"/>
  <c r="E244" i="12" s="1"/>
  <c r="E547" i="12" a="1"/>
  <c r="E547" i="12" s="1"/>
  <c r="E215" i="12" a="1"/>
  <c r="E215" i="12" s="1"/>
  <c r="E515" i="12" a="1"/>
  <c r="E515" i="12" s="1"/>
  <c r="AE460" i="2" a="1"/>
  <c r="AE460" i="2" s="1"/>
  <c r="Z460" i="2" a="1"/>
  <c r="Z460" i="2" s="1"/>
  <c r="AF460" i="2" a="1"/>
  <c r="AF460" i="2" s="1"/>
  <c r="AA460" i="2" a="1"/>
  <c r="AA460" i="2" s="1"/>
  <c r="V460" i="2" a="1"/>
  <c r="V460" i="2" s="1"/>
  <c r="W460" i="2" a="1"/>
  <c r="W460" i="2" s="1"/>
  <c r="AD460" i="2" a="1"/>
  <c r="AD460" i="2" s="1"/>
  <c r="U236" i="12" a="1"/>
  <c r="U236" i="12" s="1"/>
  <c r="AE427" i="2" a="1"/>
  <c r="AE427" i="2" s="1"/>
  <c r="Z427" i="2" a="1"/>
  <c r="Z427" i="2" s="1"/>
  <c r="AF427" i="2" a="1"/>
  <c r="AF427" i="2" s="1"/>
  <c r="AA427" i="2" a="1"/>
  <c r="AA427" i="2" s="1"/>
  <c r="V427" i="2" a="1"/>
  <c r="V427" i="2" s="1"/>
  <c r="W427" i="2" a="1"/>
  <c r="W427" i="2" s="1"/>
  <c r="AD427" i="2" a="1"/>
  <c r="AD427" i="2" s="1"/>
  <c r="U180" i="12" a="1"/>
  <c r="U180" i="12" s="1"/>
  <c r="AE524" i="2" a="1"/>
  <c r="AE524" i="2" s="1"/>
  <c r="Z524" i="2" a="1"/>
  <c r="Z524" i="2" s="1"/>
  <c r="AF524" i="2" a="1"/>
  <c r="AF524" i="2" s="1"/>
  <c r="AA524" i="2" a="1"/>
  <c r="AA524" i="2" s="1"/>
  <c r="V524" i="2" a="1"/>
  <c r="V524" i="2" s="1"/>
  <c r="W524" i="2" a="1"/>
  <c r="W524" i="2" s="1"/>
  <c r="AD524" i="2" a="1"/>
  <c r="AD524" i="2" s="1"/>
  <c r="U172" i="12" a="1"/>
  <c r="U172" i="12" s="1"/>
  <c r="AE327" i="2" a="1"/>
  <c r="AE327" i="2" s="1"/>
  <c r="Z327" i="2" a="1"/>
  <c r="Z327" i="2" s="1"/>
  <c r="AF327" i="2" a="1"/>
  <c r="AF327" i="2" s="1"/>
  <c r="AA327" i="2" a="1"/>
  <c r="AA327" i="2" s="1"/>
  <c r="V327" i="2" a="1"/>
  <c r="V327" i="2" s="1"/>
  <c r="W327" i="2" a="1"/>
  <c r="W327" i="2" s="1"/>
  <c r="AD327" i="2" a="1"/>
  <c r="AD327" i="2" s="1"/>
  <c r="U520" i="12" a="1"/>
  <c r="U520" i="12" s="1"/>
  <c r="W656" i="12" a="1"/>
  <c r="W656" i="12" s="1"/>
  <c r="AN403" i="2" a="1"/>
  <c r="AN403" i="2" s="1"/>
  <c r="AO403" i="2" a="1"/>
  <c r="AO403" i="2" s="1"/>
  <c r="AP403" i="2" a="1"/>
  <c r="AP403" i="2" s="1"/>
  <c r="AK326" i="2" a="1"/>
  <c r="AK326" i="2" s="1"/>
  <c r="AC370" i="2" a="1"/>
  <c r="AC370" i="2" s="1"/>
  <c r="X370" i="2" a="1"/>
  <c r="X370" i="2" s="1"/>
  <c r="S370" i="2" a="1"/>
  <c r="S370" i="2" s="1"/>
  <c r="AD370" i="2" a="1"/>
  <c r="AD370" i="2" s="1"/>
  <c r="Y370" i="2" a="1"/>
  <c r="Y370" i="2" s="1"/>
  <c r="T370" i="2" a="1"/>
  <c r="T370" i="2" s="1"/>
  <c r="AE370" i="2" a="1"/>
  <c r="AE370" i="2" s="1"/>
  <c r="AA412" i="2" a="1"/>
  <c r="AA412" i="2" s="1"/>
  <c r="D89" i="6" a="1"/>
  <c r="D89" i="6" s="1"/>
  <c r="D176" i="4" a="1"/>
  <c r="D176" i="4" s="1"/>
  <c r="AA392" i="2" a="1"/>
  <c r="AA392" i="2" s="1"/>
  <c r="AF392" i="2" a="1"/>
  <c r="AF392" i="2" s="1"/>
  <c r="AD392" i="2" a="1"/>
  <c r="AD392" i="2" s="1"/>
  <c r="S392" i="2" a="1"/>
  <c r="S392" i="2" s="1"/>
  <c r="AB392" i="2" a="1"/>
  <c r="AB392" i="2" s="1"/>
  <c r="Y392" i="2" a="1"/>
  <c r="Y392" i="2" s="1"/>
  <c r="T258" i="2" a="1"/>
  <c r="T258" i="2" s="1"/>
  <c r="AC258" i="2" a="1"/>
  <c r="AC258" i="2" s="1"/>
  <c r="AA279" i="2" a="1"/>
  <c r="AA279" i="2" s="1"/>
  <c r="AC429" i="2" a="1"/>
  <c r="AC429" i="2" s="1"/>
  <c r="U588" i="12" a="1"/>
  <c r="U588" i="12" s="1"/>
  <c r="E246" i="12" a="1"/>
  <c r="E246" i="12" s="1"/>
  <c r="E245" i="12" a="1"/>
  <c r="E245" i="12" s="1"/>
  <c r="Z615" i="2" a="1"/>
  <c r="Z615" i="2" s="1"/>
  <c r="W248" i="2" a="1"/>
  <c r="W248" i="2" s="1"/>
  <c r="AG384" i="2" a="1"/>
  <c r="AG384" i="2" s="1"/>
  <c r="AA384" i="2" a="1"/>
  <c r="AA384" i="2" s="1"/>
  <c r="AF384" i="2" a="1"/>
  <c r="AF384" i="2" s="1"/>
  <c r="AD384" i="2" a="1"/>
  <c r="AD384" i="2" s="1"/>
  <c r="S384" i="2" a="1"/>
  <c r="S384" i="2" s="1"/>
  <c r="W384" i="2" a="1"/>
  <c r="W384" i="2" s="1"/>
  <c r="Y384" i="2" a="1"/>
  <c r="Y384" i="2" s="1"/>
  <c r="D110" i="7" a="1"/>
  <c r="D110" i="7" s="1"/>
  <c r="D98" i="6" a="1"/>
  <c r="D98" i="6" s="1"/>
  <c r="D191" i="4" a="1"/>
  <c r="D191" i="4" s="1"/>
  <c r="Y433" i="2" a="1"/>
  <c r="Y433" i="2" s="1"/>
  <c r="S238" i="2" a="1"/>
  <c r="S238" i="2" s="1"/>
  <c r="AB238" i="2" a="1"/>
  <c r="AB238" i="2" s="1"/>
  <c r="W368" i="2" a="1"/>
  <c r="W368" i="2" s="1"/>
  <c r="AB368" i="2" a="1"/>
  <c r="AB368" i="2" s="1"/>
  <c r="Z368" i="2" a="1"/>
  <c r="Z368" i="2" s="1"/>
  <c r="T368" i="2" a="1"/>
  <c r="T368" i="2" s="1"/>
  <c r="X368" i="2" a="1"/>
  <c r="X368" i="2" s="1"/>
  <c r="Y368" i="2" a="1"/>
  <c r="Y368" i="2" s="1"/>
  <c r="S422" i="2" a="1"/>
  <c r="S422" i="2" s="1"/>
  <c r="D104" i="5" a="1"/>
  <c r="D104" i="5" s="1"/>
  <c r="D206" i="4" a="1"/>
  <c r="D206" i="4" s="1"/>
  <c r="W418" i="2" a="1"/>
  <c r="W418" i="2" s="1"/>
  <c r="AB389" i="2" a="1"/>
  <c r="AB389" i="2" s="1"/>
  <c r="V456" i="2" a="1"/>
  <c r="V456" i="2" s="1"/>
  <c r="AC349" i="2" a="1"/>
  <c r="AC349" i="2" s="1"/>
  <c r="E561" i="12" a="1"/>
  <c r="E561" i="12" s="1"/>
  <c r="AA271" i="2" a="1"/>
  <c r="AA271" i="2" s="1"/>
  <c r="AD462" i="2" a="1"/>
  <c r="AD462" i="2" s="1"/>
  <c r="Z385" i="2" a="1"/>
  <c r="Z385" i="2" s="1"/>
  <c r="T247" i="2" a="1"/>
  <c r="T247" i="2" s="1"/>
  <c r="S447" i="2" a="1"/>
  <c r="S447" i="2" s="1"/>
  <c r="AB477" i="2" a="1"/>
  <c r="AB477" i="2" s="1"/>
  <c r="AD278" i="2" a="1"/>
  <c r="AD278" i="2" s="1"/>
  <c r="W492" i="2" a="1"/>
  <c r="W492" i="2" s="1"/>
  <c r="AB492" i="2" a="1"/>
  <c r="AB492" i="2" s="1"/>
  <c r="Z492" i="2" a="1"/>
  <c r="Z492" i="2" s="1"/>
  <c r="AD492" i="2" a="1"/>
  <c r="AD492" i="2" s="1"/>
  <c r="X492" i="2" a="1"/>
  <c r="X492" i="2" s="1"/>
  <c r="AB379" i="2" a="1"/>
  <c r="AB379" i="2" s="1"/>
  <c r="AF194" i="2" a="1"/>
  <c r="AF194" i="2" s="1"/>
  <c r="S194" i="2" a="1"/>
  <c r="S194" i="2" s="1"/>
  <c r="AE194" i="2" a="1"/>
  <c r="AE194" i="2" s="1"/>
  <c r="Y194" i="2" a="1"/>
  <c r="Y194" i="2" s="1"/>
  <c r="AG194" i="2" a="1"/>
  <c r="AG194" i="2" s="1"/>
  <c r="AA194" i="2" a="1"/>
  <c r="AA194" i="2" s="1"/>
  <c r="V515" i="2" a="1"/>
  <c r="V515" i="2" s="1"/>
  <c r="U280" i="12" a="1"/>
  <c r="U280" i="12" s="1"/>
  <c r="B186" i="8" a="1"/>
  <c r="B186" i="8" s="1"/>
  <c r="B112" i="5" a="1"/>
  <c r="B112" i="5" s="1"/>
  <c r="B224" i="4" a="1"/>
  <c r="B224" i="4" s="1"/>
  <c r="AF455" i="2" a="1"/>
  <c r="AF455" i="2" s="1"/>
  <c r="AG455" i="2" a="1"/>
  <c r="AG455" i="2" s="1"/>
  <c r="AA455" i="2" a="1"/>
  <c r="AA455" i="2" s="1"/>
  <c r="W455" i="2" a="1"/>
  <c r="W455" i="2" s="1"/>
  <c r="AC455" i="2" a="1"/>
  <c r="AC455" i="2" s="1"/>
  <c r="AB455" i="2" a="1"/>
  <c r="AB455" i="2" s="1"/>
  <c r="V455" i="2" a="1"/>
  <c r="V455" i="2" s="1"/>
  <c r="AD455" i="2" a="1"/>
  <c r="AD455" i="2" s="1"/>
  <c r="AC549" i="2" a="1"/>
  <c r="AC549" i="2" s="1"/>
  <c r="W549" i="2" a="1"/>
  <c r="W549" i="2" s="1"/>
  <c r="AD549" i="2" a="1"/>
  <c r="AD549" i="2" s="1"/>
  <c r="X549" i="2" a="1"/>
  <c r="X549" i="2" s="1"/>
  <c r="AG549" i="2" a="1"/>
  <c r="AG549" i="2" s="1"/>
  <c r="AA549" i="2" a="1"/>
  <c r="AA549" i="2" s="1"/>
  <c r="AF549" i="2" a="1"/>
  <c r="AF549" i="2" s="1"/>
  <c r="Z549" i="2" a="1"/>
  <c r="Z549" i="2" s="1"/>
  <c r="T549" i="2" a="1"/>
  <c r="T549" i="2" s="1"/>
  <c r="AE549" i="2" a="1"/>
  <c r="AE549" i="2" s="1"/>
  <c r="Y549" i="2" a="1"/>
  <c r="Y549" i="2" s="1"/>
  <c r="S549" i="2" a="1"/>
  <c r="S549" i="2" s="1"/>
  <c r="T476" i="2" a="1"/>
  <c r="T476" i="2" s="1"/>
  <c r="AE500" i="2" a="1"/>
  <c r="AE500" i="2" s="1"/>
  <c r="T500" i="2" a="1"/>
  <c r="T500" i="2" s="1"/>
  <c r="AC500" i="2" a="1"/>
  <c r="AC500" i="2" s="1"/>
  <c r="W500" i="2" a="1"/>
  <c r="W500" i="2" s="1"/>
  <c r="AF500" i="2" a="1"/>
  <c r="AF500" i="2" s="1"/>
  <c r="Y500" i="2" a="1"/>
  <c r="Y500" i="2" s="1"/>
  <c r="AB500" i="2" a="1"/>
  <c r="AB500" i="2" s="1"/>
  <c r="AA500" i="2" a="1"/>
  <c r="AA500" i="2" s="1"/>
  <c r="AG500" i="2" a="1"/>
  <c r="AG500" i="2" s="1"/>
  <c r="Z500" i="2" a="1"/>
  <c r="Z500" i="2" s="1"/>
  <c r="S500" i="2" a="1"/>
  <c r="S500" i="2" s="1"/>
  <c r="B116" i="6" a="1"/>
  <c r="B116" i="6" s="1"/>
  <c r="B128" i="7" a="1"/>
  <c r="B128" i="7" s="1"/>
  <c r="B223" i="4" a="1"/>
  <c r="B223" i="4" s="1"/>
  <c r="U258" i="12" a="1"/>
  <c r="U258" i="12" s="1"/>
  <c r="W473" i="2" a="1"/>
  <c r="W473" i="2" s="1"/>
  <c r="D131" i="7" a="1"/>
  <c r="D131" i="7" s="1"/>
  <c r="D114" i="5" a="1"/>
  <c r="D114" i="5" s="1"/>
  <c r="D228" i="4" a="1"/>
  <c r="D228" i="4" s="1"/>
  <c r="AE364" i="2" a="1"/>
  <c r="AE364" i="2" s="1"/>
  <c r="T364" i="2" a="1"/>
  <c r="T364" i="2" s="1"/>
  <c r="AC364" i="2" a="1"/>
  <c r="AC364" i="2" s="1"/>
  <c r="W364" i="2" a="1"/>
  <c r="W364" i="2" s="1"/>
  <c r="AF364" i="2" a="1"/>
  <c r="AF364" i="2" s="1"/>
  <c r="Y364" i="2" a="1"/>
  <c r="Y364" i="2" s="1"/>
  <c r="X364" i="2" a="1"/>
  <c r="X364" i="2" s="1"/>
  <c r="AD364" i="2" a="1"/>
  <c r="AD364" i="2" s="1"/>
  <c r="V364" i="2" a="1"/>
  <c r="V364" i="2" s="1"/>
  <c r="AB364" i="2" a="1"/>
  <c r="AB364" i="2" s="1"/>
  <c r="AA364" i="2" a="1"/>
  <c r="AA364" i="2" s="1"/>
  <c r="AG364" i="2" a="1"/>
  <c r="AG364" i="2" s="1"/>
  <c r="Z364" i="2" a="1"/>
  <c r="Z364" i="2" s="1"/>
  <c r="S364" i="2" a="1"/>
  <c r="S364" i="2" s="1"/>
  <c r="E320" i="12" a="1"/>
  <c r="E320" i="12" s="1"/>
  <c r="U319" i="12" a="1"/>
  <c r="U319" i="12" s="1"/>
  <c r="B106" i="7" a="1"/>
  <c r="B106" i="7" s="1"/>
  <c r="B94" i="6" a="1"/>
  <c r="B94" i="6" s="1"/>
  <c r="B185" i="4" a="1"/>
  <c r="B185" i="4" s="1"/>
  <c r="B95" i="6" a="1"/>
  <c r="B95" i="6" s="1"/>
  <c r="B93" i="5" a="1"/>
  <c r="B93" i="5" s="1"/>
  <c r="B107" i="7" a="1"/>
  <c r="B107" i="7" s="1"/>
  <c r="B186" i="4" a="1"/>
  <c r="B186" i="4" s="1"/>
  <c r="U475" i="12" a="1"/>
  <c r="U475" i="12" s="1"/>
  <c r="B47" i="9" a="1"/>
  <c r="B47" i="9" s="1"/>
  <c r="U83" i="12" a="1"/>
  <c r="U83" i="12" s="1"/>
  <c r="X418" i="2" a="1"/>
  <c r="X418" i="2" s="1"/>
  <c r="AC418" i="2" a="1"/>
  <c r="AC418" i="2" s="1"/>
  <c r="AA418" i="2" a="1"/>
  <c r="AA418" i="2" s="1"/>
  <c r="AE418" i="2" a="1"/>
  <c r="AE418" i="2" s="1"/>
  <c r="Y418" i="2" a="1"/>
  <c r="Y418" i="2" s="1"/>
  <c r="U239" i="12" a="1"/>
  <c r="U239" i="12" s="1"/>
  <c r="E218" i="12" a="1"/>
  <c r="E218" i="12" s="1"/>
  <c r="B115" i="7" a="1"/>
  <c r="B115" i="7" s="1"/>
  <c r="B103" i="6" a="1"/>
  <c r="B103" i="6" s="1"/>
  <c r="B200" i="4" a="1"/>
  <c r="B200" i="4" s="1"/>
  <c r="E463" i="12" a="1"/>
  <c r="E463" i="12" s="1"/>
  <c r="B179" i="8" a="1"/>
  <c r="B179" i="8" s="1"/>
  <c r="AE341" i="2" a="1"/>
  <c r="AE341" i="2" s="1"/>
  <c r="Y341" i="2" a="1"/>
  <c r="Y341" i="2" s="1"/>
  <c r="AD341" i="2" a="1"/>
  <c r="AD341" i="2" s="1"/>
  <c r="S341" i="2" a="1"/>
  <c r="S341" i="2" s="1"/>
  <c r="AB341" i="2" a="1"/>
  <c r="AB341" i="2" s="1"/>
  <c r="AF341" i="2" a="1"/>
  <c r="AF341" i="2" s="1"/>
  <c r="X341" i="2" a="1"/>
  <c r="X341" i="2" s="1"/>
  <c r="U514" i="12" a="1"/>
  <c r="U514" i="12" s="1"/>
  <c r="S379" i="2" a="1"/>
  <c r="S379" i="2" s="1"/>
  <c r="E501" i="12" a="1"/>
  <c r="E501" i="12" s="1"/>
  <c r="W638" i="12" a="1"/>
  <c r="W638" i="12" s="1"/>
  <c r="AM313" i="2" a="1"/>
  <c r="AM313" i="2" s="1"/>
  <c r="AP313" i="2" a="1"/>
  <c r="AP313" i="2" s="1"/>
  <c r="X515" i="2" a="1"/>
  <c r="X515" i="2" s="1"/>
  <c r="AF291" i="2" a="1"/>
  <c r="AF291" i="2" s="1"/>
  <c r="AD291" i="2" a="1"/>
  <c r="AD291" i="2" s="1"/>
  <c r="X291" i="2" a="1"/>
  <c r="X291" i="2" s="1"/>
  <c r="Z291" i="2" a="1"/>
  <c r="Z291" i="2" s="1"/>
  <c r="T291" i="2" a="1"/>
  <c r="T291" i="2" s="1"/>
  <c r="AA291" i="2" a="1"/>
  <c r="AA291" i="2" s="1"/>
  <c r="E271" i="12" a="1"/>
  <c r="E271" i="12" s="1"/>
  <c r="AC366" i="2" a="1"/>
  <c r="AC366" i="2" s="1"/>
  <c r="AE470" i="2" a="1"/>
  <c r="AE470" i="2" s="1"/>
  <c r="T470" i="2" a="1"/>
  <c r="T470" i="2" s="1"/>
  <c r="AF470" i="2" a="1"/>
  <c r="AF470" i="2" s="1"/>
  <c r="Z470" i="2" a="1"/>
  <c r="Z470" i="2" s="1"/>
  <c r="W470" i="2" a="1"/>
  <c r="W470" i="2" s="1"/>
  <c r="AB470" i="2" a="1"/>
  <c r="AB470" i="2" s="1"/>
  <c r="V470" i="2" a="1"/>
  <c r="V470" i="2" s="1"/>
  <c r="AA470" i="2" a="1"/>
  <c r="AA470" i="2" s="1"/>
  <c r="E243" i="12" a="1"/>
  <c r="E243" i="12" s="1"/>
  <c r="AE455" i="2" a="1"/>
  <c r="AE455" i="2" s="1"/>
  <c r="U282" i="12" a="1"/>
  <c r="U282" i="12" s="1"/>
  <c r="S538" i="2" a="1"/>
  <c r="S538" i="2" s="1"/>
  <c r="X538" i="2" a="1"/>
  <c r="X538" i="2" s="1"/>
  <c r="B106" i="6" a="1"/>
  <c r="B106" i="6" s="1"/>
  <c r="B103" i="5" a="1"/>
  <c r="B103" i="5" s="1"/>
  <c r="B205" i="4" a="1"/>
  <c r="B205" i="4" s="1"/>
  <c r="W415" i="2" a="1"/>
  <c r="W415" i="2" s="1"/>
  <c r="W469" i="2" a="1"/>
  <c r="W469" i="2" s="1"/>
  <c r="U555" i="12" a="1"/>
  <c r="U555" i="12" s="1"/>
  <c r="AC663" i="2" a="1"/>
  <c r="AC663" i="2" s="1"/>
  <c r="W663" i="2" a="1"/>
  <c r="W663" i="2" s="1"/>
  <c r="AF663" i="2" a="1"/>
  <c r="AF663" i="2" s="1"/>
  <c r="V663" i="2" a="1"/>
  <c r="V663" i="2" s="1"/>
  <c r="AB663" i="2" a="1"/>
  <c r="AB663" i="2" s="1"/>
  <c r="S663" i="2" a="1"/>
  <c r="S663" i="2" s="1"/>
  <c r="Y663" i="2" a="1"/>
  <c r="Y663" i="2" s="1"/>
  <c r="AE663" i="2" a="1"/>
  <c r="AE663" i="2" s="1"/>
  <c r="X663" i="2" a="1"/>
  <c r="X663" i="2" s="1"/>
  <c r="AD663" i="2" a="1"/>
  <c r="AD663" i="2" s="1"/>
  <c r="AF371" i="2" a="1"/>
  <c r="AF371" i="2" s="1"/>
  <c r="AD371" i="2" a="1"/>
  <c r="AD371" i="2" s="1"/>
  <c r="S371" i="2" a="1"/>
  <c r="S371" i="2" s="1"/>
  <c r="AG371" i="2" a="1"/>
  <c r="AG371" i="2" s="1"/>
  <c r="Z371" i="2" a="1"/>
  <c r="Z371" i="2" s="1"/>
  <c r="AC371" i="2" a="1"/>
  <c r="AC371" i="2" s="1"/>
  <c r="V371" i="2" a="1"/>
  <c r="V371" i="2" s="1"/>
  <c r="AB371" i="2" a="1"/>
  <c r="AB371" i="2" s="1"/>
  <c r="AA371" i="2" a="1"/>
  <c r="AA371" i="2" s="1"/>
  <c r="T371" i="2" a="1"/>
  <c r="T371" i="2" s="1"/>
  <c r="AE585" i="2" a="1"/>
  <c r="AE585" i="2" s="1"/>
  <c r="T585" i="2" a="1"/>
  <c r="T585" i="2" s="1"/>
  <c r="AC585" i="2" a="1"/>
  <c r="AC585" i="2" s="1"/>
  <c r="W585" i="2" a="1"/>
  <c r="W585" i="2" s="1"/>
  <c r="AF585" i="2" a="1"/>
  <c r="AF585" i="2" s="1"/>
  <c r="Y585" i="2" a="1"/>
  <c r="Y585" i="2" s="1"/>
  <c r="X585" i="2" a="1"/>
  <c r="X585" i="2" s="1"/>
  <c r="AB585" i="2" a="1"/>
  <c r="AB585" i="2" s="1"/>
  <c r="AA585" i="2" a="1"/>
  <c r="AA585" i="2" s="1"/>
  <c r="AG585" i="2" a="1"/>
  <c r="AG585" i="2" s="1"/>
  <c r="Z585" i="2" a="1"/>
  <c r="Z585" i="2" s="1"/>
  <c r="S585" i="2" a="1"/>
  <c r="S585" i="2" s="1"/>
  <c r="X473" i="2" a="1"/>
  <c r="X473" i="2" s="1"/>
  <c r="D137" i="7" a="1"/>
  <c r="D137" i="7" s="1"/>
  <c r="D124" i="6" a="1"/>
  <c r="D124" i="6" s="1"/>
  <c r="D236" i="4" a="1"/>
  <c r="D236" i="4" s="1"/>
  <c r="U154" i="12" a="1"/>
  <c r="U154" i="12" s="1"/>
  <c r="U458" i="12" a="1"/>
  <c r="U458" i="12" s="1"/>
  <c r="T376" i="2" a="1"/>
  <c r="T376" i="2" s="1"/>
  <c r="Z376" i="2" a="1"/>
  <c r="Z376" i="2" s="1"/>
  <c r="E526" i="12" a="1"/>
  <c r="E526" i="12" s="1"/>
  <c r="D83" i="5" a="1"/>
  <c r="D83" i="5" s="1"/>
  <c r="D165" i="4" a="1"/>
  <c r="D165" i="4" s="1"/>
  <c r="E522" i="12" a="1"/>
  <c r="E522" i="12" s="1"/>
  <c r="D82" i="6" a="1"/>
  <c r="D82" i="6" s="1"/>
  <c r="D91" i="7" a="1"/>
  <c r="D91" i="7" s="1"/>
  <c r="D163" i="4" a="1"/>
  <c r="D163" i="4" s="1"/>
  <c r="D92" i="7" a="1"/>
  <c r="D92" i="7" s="1"/>
  <c r="D83" i="6" a="1"/>
  <c r="D83" i="6" s="1"/>
  <c r="D164" i="4" a="1"/>
  <c r="D164" i="4" s="1"/>
  <c r="U504" i="12" a="1"/>
  <c r="U504" i="12" s="1"/>
  <c r="U232" i="12" a="1"/>
  <c r="U232" i="12" s="1"/>
  <c r="B95" i="7" a="1"/>
  <c r="B95" i="7" s="1"/>
  <c r="B85" i="6" a="1"/>
  <c r="B85" i="6" s="1"/>
  <c r="B169" i="4" a="1"/>
  <c r="B169" i="4" s="1"/>
  <c r="U274" i="12" a="1"/>
  <c r="U274" i="12" s="1"/>
  <c r="AE258" i="2" a="1"/>
  <c r="AE258" i="2" s="1"/>
  <c r="T279" i="2" a="1"/>
  <c r="T279" i="2" s="1"/>
  <c r="U279" i="2" s="1" a="1"/>
  <c r="U279" i="2" s="1"/>
  <c r="Y345" i="2" a="1"/>
  <c r="Y345" i="2" s="1"/>
  <c r="AD345" i="2" a="1"/>
  <c r="AD345" i="2" s="1"/>
  <c r="S345" i="2" a="1"/>
  <c r="S345" i="2" s="1"/>
  <c r="AB345" i="2" a="1"/>
  <c r="AB345" i="2" s="1"/>
  <c r="V345" i="2" a="1"/>
  <c r="V345" i="2" s="1"/>
  <c r="Z345" i="2" a="1"/>
  <c r="Z345" i="2" s="1"/>
  <c r="AC615" i="2" a="1"/>
  <c r="AC615" i="2" s="1"/>
  <c r="U533" i="12" a="1"/>
  <c r="U533" i="12" s="1"/>
  <c r="E457" i="12" a="1"/>
  <c r="E457" i="12" s="1"/>
  <c r="E573" i="12" a="1"/>
  <c r="E573" i="12" s="1"/>
  <c r="W545" i="2" a="1"/>
  <c r="W545" i="2" s="1"/>
  <c r="W404" i="2" a="1"/>
  <c r="W404" i="2" s="1"/>
  <c r="AB433" i="2" a="1"/>
  <c r="AB433" i="2" s="1"/>
  <c r="AF547" i="2" a="1"/>
  <c r="AF547" i="2" s="1"/>
  <c r="Z547" i="2" a="1"/>
  <c r="Z547" i="2" s="1"/>
  <c r="AE547" i="2" a="1"/>
  <c r="AE547" i="2" s="1"/>
  <c r="T547" i="2" a="1"/>
  <c r="T547" i="2" s="1"/>
  <c r="AC547" i="2" a="1"/>
  <c r="AC547" i="2" s="1"/>
  <c r="AG547" i="2" a="1"/>
  <c r="AG547" i="2" s="1"/>
  <c r="V547" i="2" a="1"/>
  <c r="V547" i="2" s="1"/>
  <c r="AD238" i="2" a="1"/>
  <c r="AD238" i="2" s="1"/>
  <c r="E519" i="12" a="1"/>
  <c r="E519" i="12" s="1"/>
  <c r="AD422" i="2" a="1"/>
  <c r="AD422" i="2" s="1"/>
  <c r="Z418" i="2" a="1"/>
  <c r="Z418" i="2" s="1"/>
  <c r="T389" i="2" a="1"/>
  <c r="T389" i="2" s="1"/>
  <c r="S523" i="2" a="1"/>
  <c r="S523" i="2" s="1"/>
  <c r="B102" i="6" a="1"/>
  <c r="B102" i="6" s="1"/>
  <c r="B114" i="7" a="1"/>
  <c r="B114" i="7" s="1"/>
  <c r="B199" i="4" a="1"/>
  <c r="B199" i="4" s="1"/>
  <c r="AE484" i="2" a="1"/>
  <c r="AE484" i="2" s="1"/>
  <c r="E582" i="12" a="1"/>
  <c r="E582" i="12" s="1"/>
  <c r="B176" i="8" a="1"/>
  <c r="B176" i="8" s="1"/>
  <c r="AE349" i="2" a="1"/>
  <c r="AE349" i="2" s="1"/>
  <c r="D105" i="5" a="1"/>
  <c r="D105" i="5" s="1"/>
  <c r="D209" i="4" a="1"/>
  <c r="D209" i="4" s="1"/>
  <c r="AE504" i="2" a="1"/>
  <c r="AE504" i="2" s="1"/>
  <c r="Y504" i="2" a="1"/>
  <c r="Y504" i="2" s="1"/>
  <c r="AD504" i="2" a="1"/>
  <c r="AD504" i="2" s="1"/>
  <c r="S504" i="2" a="1"/>
  <c r="S504" i="2" s="1"/>
  <c r="AB504" i="2" a="1"/>
  <c r="AB504" i="2" s="1"/>
  <c r="AF504" i="2" a="1"/>
  <c r="AF504" i="2" s="1"/>
  <c r="X504" i="2" a="1"/>
  <c r="X504" i="2" s="1"/>
  <c r="U213" i="12" a="1"/>
  <c r="U213" i="12" s="1"/>
  <c r="AC271" i="2" a="1"/>
  <c r="AC271" i="2" s="1"/>
  <c r="W462" i="2" a="1"/>
  <c r="W462" i="2" s="1"/>
  <c r="Z341" i="2" a="1"/>
  <c r="Z341" i="2" s="1"/>
  <c r="AD447" i="2" a="1"/>
  <c r="AD447" i="2" s="1"/>
  <c r="AD477" i="2" a="1"/>
  <c r="AD477" i="2" s="1"/>
  <c r="W278" i="2" a="1"/>
  <c r="W278" i="2" s="1"/>
  <c r="E226" i="12" a="1"/>
  <c r="E226" i="12" s="1"/>
  <c r="T379" i="2" a="1"/>
  <c r="T379" i="2" s="1"/>
  <c r="AD379" i="2" a="1"/>
  <c r="AD379" i="2" s="1"/>
  <c r="AC194" i="2" a="1"/>
  <c r="AC194" i="2" s="1"/>
  <c r="B221" i="4" a="1"/>
  <c r="B221" i="4" s="1"/>
  <c r="B111" i="5" a="1"/>
  <c r="B111" i="5" s="1"/>
  <c r="B184" i="8" a="1"/>
  <c r="B184" i="8" s="1"/>
  <c r="AC308" i="2" a="1"/>
  <c r="AC308" i="2" s="1"/>
  <c r="W308" i="2" a="1"/>
  <c r="W308" i="2" s="1"/>
  <c r="AD308" i="2" a="1"/>
  <c r="AD308" i="2" s="1"/>
  <c r="X308" i="2" a="1"/>
  <c r="X308" i="2" s="1"/>
  <c r="AG308" i="2" a="1"/>
  <c r="AG308" i="2" s="1"/>
  <c r="AA308" i="2" a="1"/>
  <c r="AA308" i="2" s="1"/>
  <c r="AF308" i="2" a="1"/>
  <c r="AF308" i="2" s="1"/>
  <c r="Z308" i="2" a="1"/>
  <c r="Z308" i="2" s="1"/>
  <c r="T308" i="2" a="1"/>
  <c r="T308" i="2" s="1"/>
  <c r="AB291" i="2" a="1"/>
  <c r="AB291" i="2" s="1"/>
  <c r="D112" i="5" a="1"/>
  <c r="D112" i="5" s="1"/>
  <c r="D224" i="4" a="1"/>
  <c r="D224" i="4" s="1"/>
  <c r="AC470" i="2" a="1"/>
  <c r="AC470" i="2" s="1"/>
  <c r="AC264" i="2" a="1"/>
  <c r="AC264" i="2" s="1"/>
  <c r="W264" i="2" a="1"/>
  <c r="W264" i="2" s="1"/>
  <c r="AG264" i="2" a="1"/>
  <c r="AG264" i="2" s="1"/>
  <c r="AA264" i="2" a="1"/>
  <c r="AA264" i="2" s="1"/>
  <c r="AB264" i="2" a="1"/>
  <c r="AB264" i="2" s="1"/>
  <c r="V264" i="2" a="1"/>
  <c r="V264" i="2" s="1"/>
  <c r="AC479" i="2" a="1"/>
  <c r="AC479" i="2" s="1"/>
  <c r="T479" i="2" a="1"/>
  <c r="T479" i="2" s="1"/>
  <c r="AE479" i="2" a="1"/>
  <c r="AE479" i="2" s="1"/>
  <c r="S479" i="2" a="1"/>
  <c r="S479" i="2" s="1"/>
  <c r="X479" i="2" a="1"/>
  <c r="X479" i="2" s="1"/>
  <c r="D106" i="6" a="1"/>
  <c r="D106" i="6" s="1"/>
  <c r="D103" i="5" a="1"/>
  <c r="D103" i="5" s="1"/>
  <c r="D205" i="4" a="1"/>
  <c r="D205" i="4" s="1"/>
  <c r="U211" i="12" a="1"/>
  <c r="U211" i="12" s="1"/>
  <c r="AA415" i="2" a="1"/>
  <c r="AA415" i="2" s="1"/>
  <c r="E584" i="12" a="1"/>
  <c r="E584" i="12" s="1"/>
  <c r="B107" i="5" a="1"/>
  <c r="B107" i="5" s="1"/>
  <c r="B123" i="7" a="1"/>
  <c r="B123" i="7" s="1"/>
  <c r="B215" i="4" a="1"/>
  <c r="B215" i="4" s="1"/>
  <c r="Z476" i="2" a="1"/>
  <c r="Z476" i="2" s="1"/>
  <c r="X469" i="2" a="1"/>
  <c r="X469" i="2" s="1"/>
  <c r="E555" i="12" a="1"/>
  <c r="E555" i="12" s="1"/>
  <c r="D128" i="7" a="1"/>
  <c r="D128" i="7" s="1"/>
  <c r="D116" i="6" a="1"/>
  <c r="D116" i="6" s="1"/>
  <c r="D223" i="4" a="1"/>
  <c r="D223" i="4" s="1"/>
  <c r="E593" i="12" a="1"/>
  <c r="E593" i="12" s="1"/>
  <c r="E583" i="12" a="1"/>
  <c r="E583" i="12" s="1"/>
  <c r="E235" i="12" a="1"/>
  <c r="E235" i="12" s="1"/>
  <c r="AC348" i="2" a="1"/>
  <c r="AC348" i="2" s="1"/>
  <c r="X348" i="2" a="1"/>
  <c r="X348" i="2" s="1"/>
  <c r="S348" i="2" a="1"/>
  <c r="S348" i="2" s="1"/>
  <c r="W348" i="2" a="1"/>
  <c r="W348" i="2" s="1"/>
  <c r="AC388" i="2" a="1"/>
  <c r="AC388" i="2" s="1"/>
  <c r="X388" i="2" a="1"/>
  <c r="X388" i="2" s="1"/>
  <c r="S388" i="2" a="1"/>
  <c r="S388" i="2" s="1"/>
  <c r="W388" i="2" a="1"/>
  <c r="W388" i="2" s="1"/>
  <c r="AC486" i="2" a="1"/>
  <c r="AC486" i="2" s="1"/>
  <c r="X486" i="2" a="1"/>
  <c r="X486" i="2" s="1"/>
  <c r="S486" i="2" a="1"/>
  <c r="S486" i="2" s="1"/>
  <c r="W486" i="2" a="1"/>
  <c r="W486" i="2" s="1"/>
  <c r="AC185" i="2" a="1"/>
  <c r="AC185" i="2" s="1"/>
  <c r="X185" i="2" a="1"/>
  <c r="X185" i="2" s="1"/>
  <c r="S185" i="2" a="1"/>
  <c r="S185" i="2" s="1"/>
  <c r="W185" i="2" a="1"/>
  <c r="W185" i="2" s="1"/>
  <c r="AC259" i="2" a="1"/>
  <c r="AC259" i="2" s="1"/>
  <c r="X259" i="2" a="1"/>
  <c r="X259" i="2" s="1"/>
  <c r="S259" i="2" a="1"/>
  <c r="S259" i="2" s="1"/>
  <c r="W259" i="2" a="1"/>
  <c r="W259" i="2" s="1"/>
  <c r="AC311" i="2" a="1"/>
  <c r="AC311" i="2" s="1"/>
  <c r="X311" i="2" a="1"/>
  <c r="X311" i="2" s="1"/>
  <c r="S311" i="2" a="1"/>
  <c r="S311" i="2" s="1"/>
  <c r="W311" i="2" a="1"/>
  <c r="W311" i="2" s="1"/>
  <c r="AC273" i="2" a="1"/>
  <c r="AC273" i="2" s="1"/>
  <c r="X273" i="2" a="1"/>
  <c r="X273" i="2" s="1"/>
  <c r="S273" i="2" a="1"/>
  <c r="S273" i="2" s="1"/>
  <c r="W273" i="2" a="1"/>
  <c r="W273" i="2" s="1"/>
  <c r="AC196" i="2" a="1"/>
  <c r="AC196" i="2" s="1"/>
  <c r="X196" i="2" a="1"/>
  <c r="X196" i="2" s="1"/>
  <c r="S196" i="2" a="1"/>
  <c r="S196" i="2" s="1"/>
  <c r="W196" i="2" a="1"/>
  <c r="W196" i="2" s="1"/>
  <c r="W650" i="12" a="1"/>
  <c r="W650" i="12" s="1"/>
  <c r="AP142" i="2" a="1"/>
  <c r="AP142" i="2" s="1"/>
  <c r="E500" i="12" a="1"/>
  <c r="E500" i="12" s="1"/>
  <c r="E227" i="12" a="1"/>
  <c r="E227" i="12" s="1"/>
  <c r="D94" i="7" a="1"/>
  <c r="D94" i="7" s="1"/>
  <c r="D84" i="6" a="1"/>
  <c r="D84" i="6" s="1"/>
  <c r="D168" i="4" a="1"/>
  <c r="D168" i="4" s="1"/>
  <c r="E541" i="12" a="1"/>
  <c r="E541" i="12" s="1"/>
  <c r="D91" i="5" a="1"/>
  <c r="D91" i="5" s="1"/>
  <c r="D181" i="4" a="1"/>
  <c r="D181" i="4" s="1"/>
  <c r="E407" i="12" a="1"/>
  <c r="E407" i="12" s="1"/>
  <c r="AF430" i="2" a="1"/>
  <c r="AF430" i="2" s="1"/>
  <c r="AA430" i="2" a="1"/>
  <c r="AA430" i="2" s="1"/>
  <c r="V430" i="2" a="1"/>
  <c r="V430" i="2" s="1"/>
  <c r="AG430" i="2" a="1"/>
  <c r="AG430" i="2" s="1"/>
  <c r="AB430" i="2" a="1"/>
  <c r="AB430" i="2" s="1"/>
  <c r="W430" i="2" a="1"/>
  <c r="W430" i="2" s="1"/>
  <c r="AD430" i="2" a="1"/>
  <c r="AD430" i="2" s="1"/>
  <c r="AF165" i="2" a="1"/>
  <c r="AF165" i="2" s="1"/>
  <c r="AA165" i="2" a="1"/>
  <c r="AA165" i="2" s="1"/>
  <c r="V165" i="2" a="1"/>
  <c r="V165" i="2" s="1"/>
  <c r="AG165" i="2" a="1"/>
  <c r="AG165" i="2" s="1"/>
  <c r="AB165" i="2" a="1"/>
  <c r="AB165" i="2" s="1"/>
  <c r="W165" i="2" a="1"/>
  <c r="W165" i="2" s="1"/>
  <c r="AD165" i="2" a="1"/>
  <c r="AD165" i="2" s="1"/>
  <c r="AF275" i="2" a="1"/>
  <c r="AF275" i="2" s="1"/>
  <c r="AA275" i="2" a="1"/>
  <c r="AA275" i="2" s="1"/>
  <c r="V275" i="2" a="1"/>
  <c r="V275" i="2" s="1"/>
  <c r="AG275" i="2" a="1"/>
  <c r="AG275" i="2" s="1"/>
  <c r="AB275" i="2" a="1"/>
  <c r="AB275" i="2" s="1"/>
  <c r="W275" i="2" a="1"/>
  <c r="W275" i="2" s="1"/>
  <c r="AD275" i="2" a="1"/>
  <c r="AD275" i="2" s="1"/>
  <c r="AF280" i="2" a="1"/>
  <c r="AF280" i="2" s="1"/>
  <c r="AA280" i="2" a="1"/>
  <c r="AA280" i="2" s="1"/>
  <c r="V280" i="2" a="1"/>
  <c r="V280" i="2" s="1"/>
  <c r="AG280" i="2" a="1"/>
  <c r="AG280" i="2" s="1"/>
  <c r="AB280" i="2" a="1"/>
  <c r="AB280" i="2" s="1"/>
  <c r="W280" i="2" a="1"/>
  <c r="W280" i="2" s="1"/>
  <c r="AD280" i="2" a="1"/>
  <c r="AD280" i="2" s="1"/>
  <c r="AF442" i="2" a="1"/>
  <c r="AF442" i="2" s="1"/>
  <c r="AA442" i="2" a="1"/>
  <c r="AA442" i="2" s="1"/>
  <c r="V442" i="2" a="1"/>
  <c r="V442" i="2" s="1"/>
  <c r="AG442" i="2" a="1"/>
  <c r="AG442" i="2" s="1"/>
  <c r="AB442" i="2" a="1"/>
  <c r="AB442" i="2" s="1"/>
  <c r="W442" i="2" a="1"/>
  <c r="W442" i="2" s="1"/>
  <c r="AD442" i="2" a="1"/>
  <c r="AD442" i="2" s="1"/>
  <c r="AF151" i="2" a="1"/>
  <c r="AF151" i="2" s="1"/>
  <c r="AA151" i="2" a="1"/>
  <c r="AA151" i="2" s="1"/>
  <c r="V151" i="2" a="1"/>
  <c r="V151" i="2" s="1"/>
  <c r="AG151" i="2" a="1"/>
  <c r="AG151" i="2" s="1"/>
  <c r="AB151" i="2" a="1"/>
  <c r="AB151" i="2" s="1"/>
  <c r="W151" i="2" a="1"/>
  <c r="W151" i="2" s="1"/>
  <c r="AD151" i="2" a="1"/>
  <c r="AD151" i="2" s="1"/>
  <c r="B99" i="7" a="1"/>
  <c r="B99" i="7" s="1"/>
  <c r="B88" i="6" a="1"/>
  <c r="B88" i="6" s="1"/>
  <c r="B175" i="4" a="1"/>
  <c r="B175" i="4" s="1"/>
  <c r="AC485" i="2" a="1"/>
  <c r="AC485" i="2" s="1"/>
  <c r="B101" i="7" a="1"/>
  <c r="B101" i="7" s="1"/>
  <c r="B90" i="6" a="1"/>
  <c r="B90" i="6" s="1"/>
  <c r="B178" i="4" a="1"/>
  <c r="B178" i="4" s="1"/>
  <c r="AC459" i="2" a="1"/>
  <c r="AC459" i="2" s="1"/>
  <c r="B87" i="6" a="1"/>
  <c r="B87" i="6" s="1"/>
  <c r="B87" i="5" a="1"/>
  <c r="B87" i="5" s="1"/>
  <c r="B172" i="4" a="1"/>
  <c r="B172" i="4" s="1"/>
  <c r="AC369" i="2" a="1"/>
  <c r="AC369" i="2" s="1"/>
  <c r="B159" i="8" a="1"/>
  <c r="B159" i="8" s="1"/>
  <c r="AC319" i="2" a="1"/>
  <c r="AC319" i="2" s="1"/>
  <c r="B42" i="9" a="1"/>
  <c r="B42" i="9" s="1"/>
  <c r="AC412" i="2" a="1"/>
  <c r="AC412" i="2" s="1"/>
  <c r="U187" i="12" a="1"/>
  <c r="U187" i="12" s="1"/>
  <c r="AF258" i="2" a="1"/>
  <c r="AF258" i="2" s="1"/>
  <c r="AD279" i="2" a="1"/>
  <c r="AD279" i="2" s="1"/>
  <c r="E588" i="12" a="1"/>
  <c r="E588" i="12" s="1"/>
  <c r="T615" i="2" a="1"/>
  <c r="T615" i="2" s="1"/>
  <c r="B109" i="7" a="1"/>
  <c r="B109" i="7" s="1"/>
  <c r="B190" i="4" a="1"/>
  <c r="B190" i="4" s="1"/>
  <c r="E83" i="12" a="1"/>
  <c r="E83" i="12" s="1"/>
  <c r="V238" i="2" a="1"/>
  <c r="V238" i="2" s="1"/>
  <c r="AE238" i="2" a="1"/>
  <c r="AE238" i="2" s="1"/>
  <c r="S368" i="2" a="1"/>
  <c r="S368" i="2" s="1"/>
  <c r="B97" i="6" a="1"/>
  <c r="B97" i="6" s="1"/>
  <c r="B95" i="5" a="1"/>
  <c r="B95" i="5" s="1"/>
  <c r="B189" i="4" a="1"/>
  <c r="B189" i="4" s="1"/>
  <c r="E239" i="12" a="1"/>
  <c r="E239" i="12" s="1"/>
  <c r="B99" i="6" a="1"/>
  <c r="B99" i="6" s="1"/>
  <c r="B193" i="4" a="1"/>
  <c r="B193" i="4" s="1"/>
  <c r="B96" i="5" a="1"/>
  <c r="B96" i="5" s="1"/>
  <c r="D100" i="6" a="1"/>
  <c r="D100" i="6" s="1"/>
  <c r="D194" i="4" a="1"/>
  <c r="D194" i="4" s="1"/>
  <c r="AE456" i="2" a="1"/>
  <c r="AE456" i="2" s="1"/>
  <c r="Y456" i="2" a="1"/>
  <c r="Y456" i="2" s="1"/>
  <c r="AD456" i="2" a="1"/>
  <c r="AD456" i="2" s="1"/>
  <c r="S456" i="2" a="1"/>
  <c r="S456" i="2" s="1"/>
  <c r="AB456" i="2" a="1"/>
  <c r="AB456" i="2" s="1"/>
  <c r="AF456" i="2" a="1"/>
  <c r="AF456" i="2" s="1"/>
  <c r="X456" i="2" a="1"/>
  <c r="X456" i="2" s="1"/>
  <c r="U208" i="12" a="1"/>
  <c r="U208" i="12" s="1"/>
  <c r="AC523" i="2" a="1"/>
  <c r="AC523" i="2" s="1"/>
  <c r="W484" i="2" a="1"/>
  <c r="W484" i="2" s="1"/>
  <c r="S385" i="2" a="1"/>
  <c r="S385" i="2" s="1"/>
  <c r="AB385" i="2" a="1"/>
  <c r="AB385" i="2" s="1"/>
  <c r="E514" i="12" a="1"/>
  <c r="E514" i="12" s="1"/>
  <c r="AA341" i="2" a="1"/>
  <c r="AA341" i="2" s="1"/>
  <c r="AE447" i="2" a="1"/>
  <c r="AE447" i="2" s="1"/>
  <c r="W666" i="12" a="1"/>
  <c r="W666" i="12" s="1"/>
  <c r="AN509" i="2" a="1"/>
  <c r="AN509" i="2" s="1"/>
  <c r="AM509" i="2" a="1"/>
  <c r="AM509" i="2" s="1"/>
  <c r="AK509" i="2" a="1"/>
  <c r="AK509" i="2" s="1"/>
  <c r="AO509" i="2" a="1"/>
  <c r="AO509" i="2" s="1"/>
  <c r="T194" i="2" a="1"/>
  <c r="T194" i="2" s="1"/>
  <c r="D111" i="5" a="1"/>
  <c r="D111" i="5" s="1"/>
  <c r="D221" i="4" a="1"/>
  <c r="D221" i="4" s="1"/>
  <c r="AC291" i="2" a="1"/>
  <c r="AC291" i="2" s="1"/>
  <c r="S366" i="2" a="1"/>
  <c r="S366" i="2" s="1"/>
  <c r="AD470" i="2" a="1"/>
  <c r="AD470" i="2" s="1"/>
  <c r="S455" i="2" a="1"/>
  <c r="S455" i="2" s="1"/>
  <c r="B110" i="6" a="1"/>
  <c r="B110" i="6" s="1"/>
  <c r="B121" i="7" a="1"/>
  <c r="B121" i="7" s="1"/>
  <c r="B212" i="4" a="1"/>
  <c r="B212" i="4" s="1"/>
  <c r="B116" i="5" a="1"/>
  <c r="B116" i="5" s="1"/>
  <c r="B232" i="4" a="1"/>
  <c r="B232" i="4" s="1"/>
  <c r="AA476" i="2" a="1"/>
  <c r="AA476" i="2" s="1"/>
  <c r="Y469" i="2" a="1"/>
  <c r="Y469" i="2" s="1"/>
  <c r="E557" i="12" a="1"/>
  <c r="E557" i="12" s="1"/>
  <c r="AE473" i="2" a="1"/>
  <c r="AE473" i="2" s="1"/>
  <c r="W276" i="2" a="1"/>
  <c r="W276" i="2" s="1"/>
  <c r="T276" i="2" a="1"/>
  <c r="T276" i="2" s="1"/>
  <c r="W643" i="2" a="1"/>
  <c r="W643" i="2" s="1"/>
  <c r="AC643" i="2" a="1"/>
  <c r="AC643" i="2" s="1"/>
  <c r="T643" i="2" a="1"/>
  <c r="T643" i="2" s="1"/>
  <c r="E329" i="12" a="1"/>
  <c r="E329" i="12" s="1"/>
  <c r="B122" i="6" a="1"/>
  <c r="B122" i="6" s="1"/>
  <c r="B135" i="7" a="1"/>
  <c r="B135" i="7" s="1"/>
  <c r="B234" i="4" a="1"/>
  <c r="B234" i="4" s="1"/>
  <c r="AF242" i="2" a="1"/>
  <c r="AF242" i="2" s="1"/>
  <c r="AD242" i="2" a="1"/>
  <c r="AD242" i="2" s="1"/>
  <c r="S242" i="2" a="1"/>
  <c r="S242" i="2" s="1"/>
  <c r="W242" i="2" a="1"/>
  <c r="W242" i="2" s="1"/>
  <c r="AC242" i="2" a="1"/>
  <c r="AC242" i="2" s="1"/>
  <c r="V242" i="2" a="1"/>
  <c r="V242" i="2" s="1"/>
  <c r="AB242" i="2" a="1"/>
  <c r="AB242" i="2" s="1"/>
  <c r="AA242" i="2" a="1"/>
  <c r="AA242" i="2" s="1"/>
  <c r="T242" i="2" a="1"/>
  <c r="T242" i="2" s="1"/>
  <c r="Z242" i="2" a="1"/>
  <c r="Z242" i="2" s="1"/>
  <c r="AG242" i="2" a="1"/>
  <c r="AG242" i="2" s="1"/>
  <c r="Y242" i="2" a="1"/>
  <c r="Y242" i="2" s="1"/>
  <c r="AE242" i="2" a="1"/>
  <c r="AE242" i="2" s="1"/>
  <c r="X242" i="2" a="1"/>
  <c r="X242" i="2" s="1"/>
  <c r="AA661" i="2" a="1"/>
  <c r="AA661" i="2" s="1"/>
  <c r="AF661" i="2" a="1"/>
  <c r="AF661" i="2" s="1"/>
  <c r="Y661" i="2" a="1"/>
  <c r="Y661" i="2" s="1"/>
  <c r="S661" i="2" a="1"/>
  <c r="S661" i="2" s="1"/>
  <c r="AD661" i="2" a="1"/>
  <c r="AD661" i="2" s="1"/>
  <c r="X661" i="2" a="1"/>
  <c r="X661" i="2" s="1"/>
  <c r="AC661" i="2" a="1"/>
  <c r="AC661" i="2" s="1"/>
  <c r="AG661" i="2" a="1"/>
  <c r="AG661" i="2" s="1"/>
  <c r="V661" i="2" a="1"/>
  <c r="V661" i="2" s="1"/>
  <c r="AE661" i="2" a="1"/>
  <c r="AE661" i="2" s="1"/>
  <c r="T661" i="2" a="1"/>
  <c r="T661" i="2" s="1"/>
  <c r="AB661" i="2" a="1"/>
  <c r="AB661" i="2" s="1"/>
  <c r="Z661" i="2" a="1"/>
  <c r="Z661" i="2" s="1"/>
  <c r="W661" i="2" a="1"/>
  <c r="W661" i="2" s="1"/>
  <c r="B137" i="6" a="1"/>
  <c r="B137" i="6" s="1"/>
  <c r="B146" i="7" a="1"/>
  <c r="B146" i="7" s="1"/>
  <c r="B257" i="4" a="1"/>
  <c r="B257" i="4" s="1"/>
  <c r="D102" i="6" a="1"/>
  <c r="D102" i="6" s="1"/>
  <c r="D114" i="7" a="1"/>
  <c r="D114" i="7" s="1"/>
  <c r="D199" i="4" a="1"/>
  <c r="D199" i="4" s="1"/>
  <c r="U263" i="12" a="1"/>
  <c r="U263" i="12" s="1"/>
  <c r="AF349" i="2" a="1"/>
  <c r="AF349" i="2" s="1"/>
  <c r="E213" i="12" a="1"/>
  <c r="E213" i="12" s="1"/>
  <c r="AF462" i="2" a="1"/>
  <c r="AF462" i="2" s="1"/>
  <c r="Z462" i="2" a="1"/>
  <c r="Z462" i="2" s="1"/>
  <c r="T462" i="2" a="1"/>
  <c r="T462" i="2" s="1"/>
  <c r="AC462" i="2" a="1"/>
  <c r="AC462" i="2" s="1"/>
  <c r="AG462" i="2" a="1"/>
  <c r="AG462" i="2" s="1"/>
  <c r="V462" i="2" a="1"/>
  <c r="V462" i="2" s="1"/>
  <c r="T385" i="2" a="1"/>
  <c r="T385" i="2" s="1"/>
  <c r="U566" i="12" a="1"/>
  <c r="U566" i="12" s="1"/>
  <c r="V447" i="2" a="1"/>
  <c r="V447" i="2" s="1"/>
  <c r="AF447" i="2" a="1"/>
  <c r="AF447" i="2" s="1"/>
  <c r="B117" i="7" a="1"/>
  <c r="B117" i="7" s="1"/>
  <c r="B100" i="5" a="1"/>
  <c r="B100" i="5" s="1"/>
  <c r="B104" i="6" a="1"/>
  <c r="B104" i="6" s="1"/>
  <c r="B202" i="4" a="1"/>
  <c r="B202" i="4" s="1"/>
  <c r="AE278" i="2" a="1"/>
  <c r="AE278" i="2" s="1"/>
  <c r="T278" i="2" a="1"/>
  <c r="T278" i="2" s="1"/>
  <c r="Y278" i="2" a="1"/>
  <c r="Y278" i="2" s="1"/>
  <c r="S278" i="2" a="1"/>
  <c r="S278" i="2" s="1"/>
  <c r="AB278" i="2" a="1"/>
  <c r="AB278" i="2" s="1"/>
  <c r="AF278" i="2" a="1"/>
  <c r="AF278" i="2" s="1"/>
  <c r="X278" i="2" a="1"/>
  <c r="X278" i="2" s="1"/>
  <c r="U483" i="12" a="1"/>
  <c r="U483" i="12" s="1"/>
  <c r="AE379" i="2" a="1"/>
  <c r="AE379" i="2" s="1"/>
  <c r="AK313" i="2" a="1"/>
  <c r="AK313" i="2" s="1"/>
  <c r="AE366" i="2" a="1"/>
  <c r="AE366" i="2" s="1"/>
  <c r="U264" i="2" a="1"/>
  <c r="U264" i="2" s="1"/>
  <c r="D121" i="7" a="1"/>
  <c r="D121" i="7" s="1"/>
  <c r="D110" i="6" a="1"/>
  <c r="D110" i="6" s="1"/>
  <c r="D212" i="4" a="1"/>
  <c r="D212" i="4" s="1"/>
  <c r="B122" i="7" a="1"/>
  <c r="B122" i="7" s="1"/>
  <c r="B112" i="6" a="1"/>
  <c r="B112" i="6" s="1"/>
  <c r="B214" i="4" a="1"/>
  <c r="B214" i="4" s="1"/>
  <c r="AF415" i="2" a="1"/>
  <c r="AF415" i="2" s="1"/>
  <c r="AD415" i="2" a="1"/>
  <c r="AD415" i="2" s="1"/>
  <c r="X415" i="2" a="1"/>
  <c r="X415" i="2" s="1"/>
  <c r="AG415" i="2" a="1"/>
  <c r="AG415" i="2" s="1"/>
  <c r="Z415" i="2" a="1"/>
  <c r="Z415" i="2" s="1"/>
  <c r="T415" i="2" a="1"/>
  <c r="T415" i="2" s="1"/>
  <c r="AE415" i="2" a="1"/>
  <c r="AE415" i="2" s="1"/>
  <c r="Y415" i="2" a="1"/>
  <c r="Y415" i="2" s="1"/>
  <c r="S415" i="2" a="1"/>
  <c r="S415" i="2" s="1"/>
  <c r="AC415" i="2" a="1"/>
  <c r="AC415" i="2" s="1"/>
  <c r="D123" i="7" a="1"/>
  <c r="D123" i="7" s="1"/>
  <c r="D107" i="5" a="1"/>
  <c r="D107" i="5" s="1"/>
  <c r="D215" i="4" a="1"/>
  <c r="D215" i="4" s="1"/>
  <c r="AE450" i="2" a="1"/>
  <c r="AE450" i="2" s="1"/>
  <c r="T450" i="2" a="1"/>
  <c r="T450" i="2" s="1"/>
  <c r="AC450" i="2" a="1"/>
  <c r="AC450" i="2" s="1"/>
  <c r="W450" i="2" a="1"/>
  <c r="W450" i="2" s="1"/>
  <c r="AF450" i="2" a="1"/>
  <c r="AF450" i="2" s="1"/>
  <c r="Y450" i="2" a="1"/>
  <c r="Y450" i="2" s="1"/>
  <c r="AB450" i="2" a="1"/>
  <c r="AB450" i="2" s="1"/>
  <c r="AA450" i="2" a="1"/>
  <c r="AA450" i="2" s="1"/>
  <c r="AG450" i="2" a="1"/>
  <c r="AG450" i="2" s="1"/>
  <c r="Z450" i="2" a="1"/>
  <c r="Z450" i="2" s="1"/>
  <c r="S450" i="2" a="1"/>
  <c r="S450" i="2" s="1"/>
  <c r="B118" i="5" a="1"/>
  <c r="B118" i="5" s="1"/>
  <c r="B239" i="4" a="1"/>
  <c r="B239" i="4" s="1"/>
  <c r="U287" i="12" a="1"/>
  <c r="U287" i="12" s="1"/>
  <c r="W411" i="2" a="1"/>
  <c r="W411" i="2" s="1"/>
  <c r="T411" i="2" a="1"/>
  <c r="T411" i="2" s="1"/>
  <c r="D127" i="7" a="1"/>
  <c r="D127" i="7" s="1"/>
  <c r="D222" i="4" a="1"/>
  <c r="D222" i="4" s="1"/>
  <c r="D113" i="5" a="1"/>
  <c r="D113" i="5" s="1"/>
  <c r="D129" i="7" a="1"/>
  <c r="D129" i="7" s="1"/>
  <c r="D225" i="4" a="1"/>
  <c r="D225" i="4" s="1"/>
  <c r="E254" i="12" a="1"/>
  <c r="E254" i="12" s="1"/>
  <c r="D122" i="6" a="1"/>
  <c r="D122" i="6" s="1"/>
  <c r="D135" i="7" a="1"/>
  <c r="D135" i="7" s="1"/>
  <c r="D234" i="4" a="1"/>
  <c r="D234" i="4" s="1"/>
  <c r="D115" i="5" a="1"/>
  <c r="D115" i="5" s="1"/>
  <c r="D120" i="6" a="1"/>
  <c r="D120" i="6" s="1"/>
  <c r="D230" i="4" a="1"/>
  <c r="D230" i="4" s="1"/>
  <c r="B127" i="5" a="1"/>
  <c r="B127" i="5" s="1"/>
  <c r="B250" i="4" a="1"/>
  <c r="B250" i="4" s="1"/>
  <c r="E308" i="12" a="1"/>
  <c r="E308" i="12" s="1"/>
  <c r="E528" i="12" a="1"/>
  <c r="E528" i="12" s="1"/>
  <c r="AF235" i="2" a="1"/>
  <c r="AF235" i="2" s="1"/>
  <c r="AA235" i="2" a="1"/>
  <c r="AA235" i="2" s="1"/>
  <c r="V235" i="2" a="1"/>
  <c r="V235" i="2" s="1"/>
  <c r="E403" i="12" a="1"/>
  <c r="E403" i="12" s="1"/>
  <c r="E586" i="12" a="1"/>
  <c r="E586" i="12" s="1"/>
  <c r="AK142" i="2" a="1"/>
  <c r="AK142" i="2" s="1"/>
  <c r="E509" i="12" a="1"/>
  <c r="E509" i="12" s="1"/>
  <c r="E508" i="12" a="1"/>
  <c r="E508" i="12" s="1"/>
  <c r="D85" i="6" a="1"/>
  <c r="D85" i="6" s="1"/>
  <c r="D95" i="7" a="1"/>
  <c r="D95" i="7" s="1"/>
  <c r="D169" i="4" a="1"/>
  <c r="D169" i="4" s="1"/>
  <c r="E426" i="12" a="1"/>
  <c r="E426" i="12" s="1"/>
  <c r="AG396" i="2" a="1"/>
  <c r="AG396" i="2" s="1"/>
  <c r="AB396" i="2" a="1"/>
  <c r="AB396" i="2" s="1"/>
  <c r="W396" i="2" a="1"/>
  <c r="W396" i="2" s="1"/>
  <c r="AC396" i="2" a="1"/>
  <c r="AC396" i="2" s="1"/>
  <c r="X396" i="2" a="1"/>
  <c r="X396" i="2" s="1"/>
  <c r="S396" i="2" a="1"/>
  <c r="S396" i="2" s="1"/>
  <c r="AD396" i="2" a="1"/>
  <c r="AD396" i="2" s="1"/>
  <c r="E197" i="12" a="1"/>
  <c r="E197" i="12" s="1"/>
  <c r="X430" i="2" a="1"/>
  <c r="X430" i="2" s="1"/>
  <c r="AE430" i="2" a="1"/>
  <c r="AE430" i="2" s="1"/>
  <c r="E531" i="12" a="1"/>
  <c r="E531" i="12" s="1"/>
  <c r="X165" i="2" a="1"/>
  <c r="X165" i="2" s="1"/>
  <c r="AE165" i="2" a="1"/>
  <c r="AE165" i="2" s="1"/>
  <c r="E562" i="12" a="1"/>
  <c r="E562" i="12" s="1"/>
  <c r="X275" i="2" a="1"/>
  <c r="X275" i="2" s="1"/>
  <c r="AE275" i="2" a="1"/>
  <c r="AE275" i="2" s="1"/>
  <c r="E527" i="12" a="1"/>
  <c r="E527" i="12" s="1"/>
  <c r="X280" i="2" a="1"/>
  <c r="X280" i="2" s="1"/>
  <c r="AE280" i="2" a="1"/>
  <c r="AE280" i="2" s="1"/>
  <c r="E228" i="12" a="1"/>
  <c r="E228" i="12" s="1"/>
  <c r="X442" i="2" a="1"/>
  <c r="X442" i="2" s="1"/>
  <c r="AE442" i="2" a="1"/>
  <c r="AE442" i="2" s="1"/>
  <c r="E568" i="12" a="1"/>
  <c r="E568" i="12" s="1"/>
  <c r="X151" i="2" a="1"/>
  <c r="X151" i="2" s="1"/>
  <c r="AE151" i="2" a="1"/>
  <c r="AE151" i="2" s="1"/>
  <c r="U221" i="12" a="1"/>
  <c r="U221" i="12" s="1"/>
  <c r="AE485" i="2" a="1"/>
  <c r="AE485" i="2" s="1"/>
  <c r="Z485" i="2" a="1"/>
  <c r="Z485" i="2" s="1"/>
  <c r="AF485" i="2" a="1"/>
  <c r="AF485" i="2" s="1"/>
  <c r="AA485" i="2" a="1"/>
  <c r="AA485" i="2" s="1"/>
  <c r="V485" i="2" a="1"/>
  <c r="V485" i="2" s="1"/>
  <c r="W485" i="2" a="1"/>
  <c r="W485" i="2" s="1"/>
  <c r="AD485" i="2" a="1"/>
  <c r="AD485" i="2" s="1"/>
  <c r="U225" i="12" a="1"/>
  <c r="U225" i="12" s="1"/>
  <c r="AE459" i="2" a="1"/>
  <c r="AE459" i="2" s="1"/>
  <c r="Z459" i="2" a="1"/>
  <c r="Z459" i="2" s="1"/>
  <c r="AF459" i="2" a="1"/>
  <c r="AF459" i="2" s="1"/>
  <c r="AA459" i="2" a="1"/>
  <c r="AA459" i="2" s="1"/>
  <c r="V459" i="2" a="1"/>
  <c r="V459" i="2" s="1"/>
  <c r="W459" i="2" a="1"/>
  <c r="W459" i="2" s="1"/>
  <c r="AD459" i="2" a="1"/>
  <c r="AD459" i="2" s="1"/>
  <c r="U210" i="12" a="1"/>
  <c r="U210" i="12" s="1"/>
  <c r="AE369" i="2" a="1"/>
  <c r="AE369" i="2" s="1"/>
  <c r="Z369" i="2" a="1"/>
  <c r="Z369" i="2" s="1"/>
  <c r="AF369" i="2" a="1"/>
  <c r="AF369" i="2" s="1"/>
  <c r="AA369" i="2" a="1"/>
  <c r="AA369" i="2" s="1"/>
  <c r="V369" i="2" a="1"/>
  <c r="V369" i="2" s="1"/>
  <c r="W369" i="2" a="1"/>
  <c r="W369" i="2" s="1"/>
  <c r="AD369" i="2" a="1"/>
  <c r="AD369" i="2" s="1"/>
  <c r="U451" i="12" a="1"/>
  <c r="U451" i="12" s="1"/>
  <c r="AE319" i="2" a="1"/>
  <c r="AE319" i="2" s="1"/>
  <c r="Z319" i="2" a="1"/>
  <c r="Z319" i="2" s="1"/>
  <c r="AF319" i="2" a="1"/>
  <c r="AF319" i="2" s="1"/>
  <c r="AA319" i="2" a="1"/>
  <c r="AA319" i="2" s="1"/>
  <c r="V319" i="2" a="1"/>
  <c r="V319" i="2" s="1"/>
  <c r="W319" i="2" a="1"/>
  <c r="W319" i="2" s="1"/>
  <c r="AD319" i="2" a="1"/>
  <c r="AD319" i="2" s="1"/>
  <c r="B187" i="4" a="1"/>
  <c r="B187" i="4" s="1"/>
  <c r="B94" i="5" a="1"/>
  <c r="B94" i="5" s="1"/>
  <c r="E220" i="12" a="1"/>
  <c r="E220" i="12" s="1"/>
  <c r="W630" i="12" a="1"/>
  <c r="W630" i="12" s="1"/>
  <c r="AM233" i="2" a="1"/>
  <c r="AM233" i="2" s="1"/>
  <c r="B104" i="7" a="1"/>
  <c r="B104" i="7" s="1"/>
  <c r="B183" i="4" a="1"/>
  <c r="B183" i="4" s="1"/>
  <c r="W412" i="2" a="1"/>
  <c r="W412" i="2" s="1"/>
  <c r="AE412" i="2" a="1"/>
  <c r="AE412" i="2" s="1"/>
  <c r="T392" i="2" a="1"/>
  <c r="T392" i="2" s="1"/>
  <c r="X258" i="2" a="1"/>
  <c r="X258" i="2" s="1"/>
  <c r="U474" i="12" a="1"/>
  <c r="U474" i="12" s="1"/>
  <c r="V279" i="2" a="1"/>
  <c r="V279" i="2" s="1"/>
  <c r="U181" i="12" a="1"/>
  <c r="U181" i="12" s="1"/>
  <c r="T345" i="2" a="1"/>
  <c r="T345" i="2" s="1"/>
  <c r="AC345" i="2" a="1"/>
  <c r="AC345" i="2" s="1"/>
  <c r="V615" i="2" a="1"/>
  <c r="V615" i="2" s="1"/>
  <c r="AE615" i="2" a="1"/>
  <c r="AE615" i="2" s="1"/>
  <c r="E533" i="12" a="1"/>
  <c r="E533" i="12" s="1"/>
  <c r="T384" i="2" a="1"/>
  <c r="T384" i="2" s="1"/>
  <c r="AD433" i="2" a="1"/>
  <c r="AD433" i="2" s="1"/>
  <c r="B112" i="7" a="1"/>
  <c r="B112" i="7" s="1"/>
  <c r="B197" i="4" a="1"/>
  <c r="B197" i="4" s="1"/>
  <c r="AB547" i="2" a="1"/>
  <c r="AB547" i="2" s="1"/>
  <c r="W238" i="2" a="1"/>
  <c r="W238" i="2" s="1"/>
  <c r="AG238" i="2" a="1"/>
  <c r="AG238" i="2" s="1"/>
  <c r="W658" i="12" a="1"/>
  <c r="W658" i="12" s="1"/>
  <c r="AO354" i="2" a="1"/>
  <c r="AO354" i="2" s="1"/>
  <c r="AN354" i="2" a="1"/>
  <c r="AN354" i="2" s="1"/>
  <c r="AL354" i="2" a="1"/>
  <c r="AL354" i="2" s="1"/>
  <c r="AP354" i="2" a="1"/>
  <c r="AP354" i="2" s="1"/>
  <c r="AD368" i="2" a="1"/>
  <c r="AD368" i="2" s="1"/>
  <c r="S418" i="2" a="1"/>
  <c r="S418" i="2" s="1"/>
  <c r="AB418" i="2" a="1"/>
  <c r="AB418" i="2" s="1"/>
  <c r="D99" i="6" a="1"/>
  <c r="D99" i="6" s="1"/>
  <c r="D96" i="5" a="1"/>
  <c r="D96" i="5" s="1"/>
  <c r="D193" i="4" a="1"/>
  <c r="D193" i="4" s="1"/>
  <c r="AF389" i="2" a="1"/>
  <c r="AF389" i="2" s="1"/>
  <c r="AA456" i="2" a="1"/>
  <c r="AA456" i="2" s="1"/>
  <c r="AE523" i="2" a="1"/>
  <c r="AE523" i="2" s="1"/>
  <c r="AF484" i="2" a="1"/>
  <c r="AF484" i="2" s="1"/>
  <c r="Z484" i="2" a="1"/>
  <c r="Z484" i="2" s="1"/>
  <c r="T484" i="2" a="1"/>
  <c r="T484" i="2" s="1"/>
  <c r="AC484" i="2" a="1"/>
  <c r="AC484" i="2" s="1"/>
  <c r="AG484" i="2" a="1"/>
  <c r="AG484" i="2" s="1"/>
  <c r="V484" i="2" a="1"/>
  <c r="V484" i="2" s="1"/>
  <c r="X349" i="2" a="1"/>
  <c r="X349" i="2" s="1"/>
  <c r="U537" i="12" a="1"/>
  <c r="U537" i="12" s="1"/>
  <c r="V271" i="2" a="1"/>
  <c r="V271" i="2" s="1"/>
  <c r="AF271" i="2" a="1"/>
  <c r="AF271" i="2" s="1"/>
  <c r="E248" i="12" a="1"/>
  <c r="E248" i="12" s="1"/>
  <c r="Y462" i="2" a="1"/>
  <c r="Y462" i="2" s="1"/>
  <c r="AD385" i="2" a="1"/>
  <c r="AD385" i="2" s="1"/>
  <c r="AF477" i="2" a="1"/>
  <c r="AF477" i="2" s="1"/>
  <c r="Z278" i="2" a="1"/>
  <c r="Z278" i="2" s="1"/>
  <c r="W379" i="2" a="1"/>
  <c r="W379" i="2" s="1"/>
  <c r="V194" i="2" a="1"/>
  <c r="V194" i="2" s="1"/>
  <c r="E280" i="12" a="1"/>
  <c r="E280" i="12" s="1"/>
  <c r="S308" i="2" a="1"/>
  <c r="S308" i="2" s="1"/>
  <c r="AE308" i="2" a="1"/>
  <c r="AE308" i="2" s="1"/>
  <c r="S291" i="2" a="1"/>
  <c r="S291" i="2" s="1"/>
  <c r="AE291" i="2" a="1"/>
  <c r="AE291" i="2" s="1"/>
  <c r="E559" i="12" a="1"/>
  <c r="E559" i="12" s="1"/>
  <c r="S470" i="2" a="1"/>
  <c r="S470" i="2" s="1"/>
  <c r="T455" i="2" a="1"/>
  <c r="T455" i="2" s="1"/>
  <c r="B119" i="7" a="1"/>
  <c r="B119" i="7" s="1"/>
  <c r="B109" i="6" a="1"/>
  <c r="B109" i="6" s="1"/>
  <c r="B210" i="4" a="1"/>
  <c r="B210" i="4" s="1"/>
  <c r="D120" i="7" a="1"/>
  <c r="D120" i="7" s="1"/>
  <c r="D211" i="4" a="1"/>
  <c r="D211" i="4" s="1"/>
  <c r="V549" i="2" a="1"/>
  <c r="V549" i="2" s="1"/>
  <c r="X516" i="2" a="1"/>
  <c r="X516" i="2" s="1"/>
  <c r="AG476" i="2" a="1"/>
  <c r="AG476" i="2" s="1"/>
  <c r="AE469" i="2" a="1"/>
  <c r="AE469" i="2" s="1"/>
  <c r="B125" i="7" a="1"/>
  <c r="B125" i="7" s="1"/>
  <c r="B113" i="6" a="1"/>
  <c r="B113" i="6" s="1"/>
  <c r="B218" i="4" a="1"/>
  <c r="B218" i="4" s="1"/>
  <c r="U269" i="12" a="1"/>
  <c r="U269" i="12" s="1"/>
  <c r="AC498" i="2" a="1"/>
  <c r="AC498" i="2" s="1"/>
  <c r="W498" i="2" a="1"/>
  <c r="W498" i="2" s="1"/>
  <c r="AF498" i="2" a="1"/>
  <c r="AF498" i="2" s="1"/>
  <c r="V498" i="2" a="1"/>
  <c r="V498" i="2" s="1"/>
  <c r="AB498" i="2" a="1"/>
  <c r="AB498" i="2" s="1"/>
  <c r="S498" i="2" a="1"/>
  <c r="S498" i="2" s="1"/>
  <c r="Y498" i="2" a="1"/>
  <c r="Y498" i="2" s="1"/>
  <c r="AE498" i="2" a="1"/>
  <c r="AE498" i="2" s="1"/>
  <c r="X498" i="2" a="1"/>
  <c r="X498" i="2" s="1"/>
  <c r="AD498" i="2" a="1"/>
  <c r="AD498" i="2" s="1"/>
  <c r="X500" i="2" a="1"/>
  <c r="X500" i="2" s="1"/>
  <c r="W371" i="2" a="1"/>
  <c r="W371" i="2" s="1"/>
  <c r="D130" i="7" a="1"/>
  <c r="D130" i="7" s="1"/>
  <c r="D118" i="6" a="1"/>
  <c r="D118" i="6" s="1"/>
  <c r="D227" i="4" a="1"/>
  <c r="D227" i="4" s="1"/>
  <c r="AE448" i="2" a="1"/>
  <c r="AE448" i="2" s="1"/>
  <c r="T448" i="2" a="1"/>
  <c r="T448" i="2" s="1"/>
  <c r="AC448" i="2" a="1"/>
  <c r="AC448" i="2" s="1"/>
  <c r="W448" i="2" a="1"/>
  <c r="W448" i="2" s="1"/>
  <c r="AF448" i="2" a="1"/>
  <c r="AF448" i="2" s="1"/>
  <c r="Y448" i="2" a="1"/>
  <c r="Y448" i="2" s="1"/>
  <c r="X448" i="2" a="1"/>
  <c r="X448" i="2" s="1"/>
  <c r="AD448" i="2" a="1"/>
  <c r="AD448" i="2" s="1"/>
  <c r="V448" i="2" a="1"/>
  <c r="V448" i="2" s="1"/>
  <c r="AB448" i="2" a="1"/>
  <c r="AB448" i="2" s="1"/>
  <c r="AA448" i="2" a="1"/>
  <c r="AA448" i="2" s="1"/>
  <c r="AG448" i="2" a="1"/>
  <c r="AG448" i="2" s="1"/>
  <c r="Z448" i="2" a="1"/>
  <c r="Z448" i="2" s="1"/>
  <c r="S448" i="2" a="1"/>
  <c r="S448" i="2" s="1"/>
  <c r="AF376" i="2" a="1"/>
  <c r="AF376" i="2" s="1"/>
  <c r="AA376" i="2" a="1"/>
  <c r="AA376" i="2" s="1"/>
  <c r="V376" i="2" a="1"/>
  <c r="V376" i="2" s="1"/>
  <c r="E454" i="12" a="1"/>
  <c r="E454" i="12" s="1"/>
  <c r="E190" i="12" a="1"/>
  <c r="E190" i="12" s="1"/>
  <c r="D75" i="6" a="1"/>
  <c r="D75" i="6" s="1"/>
  <c r="D73" i="5" a="1"/>
  <c r="D73" i="5" s="1"/>
  <c r="D148" i="4" a="1"/>
  <c r="D148" i="4" s="1"/>
  <c r="Y348" i="2" a="1"/>
  <c r="Y348" i="2" s="1"/>
  <c r="AE348" i="2" a="1"/>
  <c r="AE348" i="2" s="1"/>
  <c r="Y388" i="2" a="1"/>
  <c r="Y388" i="2" s="1"/>
  <c r="AE388" i="2" a="1"/>
  <c r="AE388" i="2" s="1"/>
  <c r="Y486" i="2" a="1"/>
  <c r="Y486" i="2" s="1"/>
  <c r="AE486" i="2" a="1"/>
  <c r="AE486" i="2" s="1"/>
  <c r="Y185" i="2" a="1"/>
  <c r="Y185" i="2" s="1"/>
  <c r="AE185" i="2" a="1"/>
  <c r="AE185" i="2" s="1"/>
  <c r="Y259" i="2" a="1"/>
  <c r="Y259" i="2" s="1"/>
  <c r="AE259" i="2" a="1"/>
  <c r="AE259" i="2" s="1"/>
  <c r="Y311" i="2" a="1"/>
  <c r="Y311" i="2" s="1"/>
  <c r="AE311" i="2" a="1"/>
  <c r="AE311" i="2" s="1"/>
  <c r="Y273" i="2" a="1"/>
  <c r="Y273" i="2" s="1"/>
  <c r="AE273" i="2" a="1"/>
  <c r="AE273" i="2" s="1"/>
  <c r="Y196" i="2" a="1"/>
  <c r="Y196" i="2" s="1"/>
  <c r="AE196" i="2" a="1"/>
  <c r="AE196" i="2" s="1"/>
  <c r="U500" i="12" a="1"/>
  <c r="U500" i="12" s="1"/>
  <c r="U227" i="12" a="1"/>
  <c r="U227" i="12" s="1"/>
  <c r="U541" i="12" a="1"/>
  <c r="U541" i="12" s="1"/>
  <c r="AE396" i="2" a="1"/>
  <c r="AE396" i="2" s="1"/>
  <c r="U407" i="12" a="1"/>
  <c r="U407" i="12" s="1"/>
  <c r="Y430" i="2" a="1"/>
  <c r="Y430" i="2" s="1"/>
  <c r="Y165" i="2" a="1"/>
  <c r="Y165" i="2" s="1"/>
  <c r="Y275" i="2" a="1"/>
  <c r="Y275" i="2" s="1"/>
  <c r="Y280" i="2" a="1"/>
  <c r="Y280" i="2" s="1"/>
  <c r="Y442" i="2" a="1"/>
  <c r="Y442" i="2" s="1"/>
  <c r="Y151" i="2" a="1"/>
  <c r="Y151" i="2" s="1"/>
  <c r="AO326" i="2" a="1"/>
  <c r="AO326" i="2" s="1"/>
  <c r="AF412" i="2" a="1"/>
  <c r="AF412" i="2" s="1"/>
  <c r="W279" i="2" a="1"/>
  <c r="W279" i="2" s="1"/>
  <c r="AG279" i="2" a="1"/>
  <c r="AG279" i="2" s="1"/>
  <c r="AG429" i="2" a="1"/>
  <c r="AG429" i="2" s="1"/>
  <c r="AA429" i="2" a="1"/>
  <c r="AA429" i="2" s="1"/>
  <c r="AF429" i="2" a="1"/>
  <c r="AF429" i="2" s="1"/>
  <c r="AD429" i="2" a="1"/>
  <c r="AD429" i="2" s="1"/>
  <c r="S429" i="2" a="1"/>
  <c r="S429" i="2" s="1"/>
  <c r="W429" i="2" a="1"/>
  <c r="W429" i="2" s="1"/>
  <c r="Y429" i="2" a="1"/>
  <c r="Y429" i="2" s="1"/>
  <c r="D105" i="7" a="1"/>
  <c r="D105" i="7" s="1"/>
  <c r="D92" i="5" a="1"/>
  <c r="D92" i="5" s="1"/>
  <c r="D93" i="6" a="1"/>
  <c r="D93" i="6" s="1"/>
  <c r="D184" i="4" a="1"/>
  <c r="D184" i="4" s="1"/>
  <c r="D108" i="7" a="1"/>
  <c r="D108" i="7" s="1"/>
  <c r="D96" i="6" a="1"/>
  <c r="D96" i="6" s="1"/>
  <c r="D188" i="4" a="1"/>
  <c r="D188" i="4" s="1"/>
  <c r="Y545" i="2" a="1"/>
  <c r="Y545" i="2" s="1"/>
  <c r="AD545" i="2" a="1"/>
  <c r="AD545" i="2" s="1"/>
  <c r="S545" i="2" a="1"/>
  <c r="S545" i="2" s="1"/>
  <c r="AB545" i="2" a="1"/>
  <c r="AB545" i="2" s="1"/>
  <c r="V545" i="2" a="1"/>
  <c r="V545" i="2" s="1"/>
  <c r="Z545" i="2" a="1"/>
  <c r="Z545" i="2" s="1"/>
  <c r="V433" i="2" a="1"/>
  <c r="V433" i="2" s="1"/>
  <c r="W578" i="2" a="1"/>
  <c r="W578" i="2" s="1"/>
  <c r="AF422" i="2" a="1"/>
  <c r="AF422" i="2" s="1"/>
  <c r="Z422" i="2" a="1"/>
  <c r="Z422" i="2" s="1"/>
  <c r="T422" i="2" a="1"/>
  <c r="T422" i="2" s="1"/>
  <c r="AC422" i="2" a="1"/>
  <c r="AC422" i="2" s="1"/>
  <c r="AG422" i="2" a="1"/>
  <c r="AG422" i="2" s="1"/>
  <c r="V422" i="2" a="1"/>
  <c r="V422" i="2" s="1"/>
  <c r="T418" i="2" a="1"/>
  <c r="T418" i="2" s="1"/>
  <c r="X389" i="2" a="1"/>
  <c r="X389" i="2" s="1"/>
  <c r="U277" i="12" a="1"/>
  <c r="U277" i="12" s="1"/>
  <c r="V523" i="2" a="1"/>
  <c r="V523" i="2" s="1"/>
  <c r="AF523" i="2" a="1"/>
  <c r="AF523" i="2" s="1"/>
  <c r="E263" i="12" a="1"/>
  <c r="E263" i="12" s="1"/>
  <c r="Y349" i="2" a="1"/>
  <c r="Y349" i="2" s="1"/>
  <c r="AA462" i="2" a="1"/>
  <c r="AA462" i="2" s="1"/>
  <c r="V385" i="2" a="1"/>
  <c r="V385" i="2" s="1"/>
  <c r="AG247" i="2" a="1"/>
  <c r="AG247" i="2" s="1"/>
  <c r="V247" i="2" a="1"/>
  <c r="V247" i="2" s="1"/>
  <c r="AA247" i="2" a="1"/>
  <c r="AA247" i="2" s="1"/>
  <c r="AD247" i="2" a="1"/>
  <c r="AD247" i="2" s="1"/>
  <c r="S247" i="2" a="1"/>
  <c r="S247" i="2" s="1"/>
  <c r="W247" i="2" a="1"/>
  <c r="W247" i="2" s="1"/>
  <c r="Z247" i="2" a="1"/>
  <c r="Z247" i="2" s="1"/>
  <c r="T341" i="2" a="1"/>
  <c r="T341" i="2" s="1"/>
  <c r="AC341" i="2" a="1"/>
  <c r="AC341" i="2" s="1"/>
  <c r="D116" i="7" a="1"/>
  <c r="D116" i="7" s="1"/>
  <c r="D99" i="5" a="1"/>
  <c r="D99" i="5" s="1"/>
  <c r="D201" i="4" a="1"/>
  <c r="D201" i="4" s="1"/>
  <c r="AG447" i="2" a="1"/>
  <c r="AG447" i="2" s="1"/>
  <c r="D117" i="7" a="1"/>
  <c r="D117" i="7" s="1"/>
  <c r="D104" i="6" a="1"/>
  <c r="D104" i="6" s="1"/>
  <c r="D100" i="5" a="1"/>
  <c r="D100" i="5" s="1"/>
  <c r="D202" i="4" a="1"/>
  <c r="D202" i="4" s="1"/>
  <c r="X477" i="2" a="1"/>
  <c r="X477" i="2" s="1"/>
  <c r="U260" i="12" a="1"/>
  <c r="U260" i="12" s="1"/>
  <c r="AA278" i="2" a="1"/>
  <c r="AA278" i="2" s="1"/>
  <c r="B108" i="5" a="1"/>
  <c r="B108" i="5" s="1"/>
  <c r="B217" i="4" a="1"/>
  <c r="B217" i="4" s="1"/>
  <c r="X379" i="2" a="1"/>
  <c r="X379" i="2" s="1"/>
  <c r="AN313" i="2" a="1"/>
  <c r="AN313" i="2" s="1"/>
  <c r="AG291" i="2" a="1"/>
  <c r="AG291" i="2" s="1"/>
  <c r="AG470" i="2" a="1"/>
  <c r="AG470" i="2" s="1"/>
  <c r="D112" i="6" a="1"/>
  <c r="D112" i="6" s="1"/>
  <c r="D122" i="7" a="1"/>
  <c r="D122" i="7" s="1"/>
  <c r="D214" i="4" a="1"/>
  <c r="D214" i="4" s="1"/>
  <c r="B124" i="7" a="1"/>
  <c r="B124" i="7" s="1"/>
  <c r="B216" i="4" a="1"/>
  <c r="B216" i="4" s="1"/>
  <c r="U234" i="12" a="1"/>
  <c r="U234" i="12" s="1"/>
  <c r="W286" i="2" a="1"/>
  <c r="W286" i="2" s="1"/>
  <c r="T286" i="2" a="1"/>
  <c r="T286" i="2" s="1"/>
  <c r="E269" i="12" a="1"/>
  <c r="E269" i="12" s="1"/>
  <c r="D118" i="5" a="1"/>
  <c r="D118" i="5" s="1"/>
  <c r="D239" i="4" a="1"/>
  <c r="D239" i="4" s="1"/>
  <c r="AC411" i="2" a="1"/>
  <c r="AC411" i="2" s="1"/>
  <c r="Z663" i="2" a="1"/>
  <c r="Z663" i="2" s="1"/>
  <c r="X371" i="2" a="1"/>
  <c r="X371" i="2" s="1"/>
  <c r="B119" i="5" a="1"/>
  <c r="B119" i="5" s="1"/>
  <c r="B240" i="4" a="1"/>
  <c r="B240" i="4" s="1"/>
  <c r="U402" i="2" a="1"/>
  <c r="U402" i="2" s="1"/>
  <c r="E198" i="12" a="1"/>
  <c r="E198" i="12" s="1"/>
  <c r="U298" i="12" a="1"/>
  <c r="U298" i="12" s="1"/>
  <c r="AD424" i="2" a="1"/>
  <c r="AD424" i="2" s="1"/>
  <c r="S424" i="2" a="1"/>
  <c r="S424" i="2" s="1"/>
  <c r="AC424" i="2" a="1"/>
  <c r="AC424" i="2" s="1"/>
  <c r="E282" i="12" a="1"/>
  <c r="E282" i="12" s="1"/>
  <c r="E315" i="12" a="1"/>
  <c r="E315" i="12" s="1"/>
  <c r="AA507" i="2" a="1"/>
  <c r="AA507" i="2" s="1"/>
  <c r="AG507" i="2" a="1"/>
  <c r="AG507" i="2" s="1"/>
  <c r="U233" i="12" a="1"/>
  <c r="U233" i="12" s="1"/>
  <c r="E571" i="12" a="1"/>
  <c r="E571" i="12" s="1"/>
  <c r="B111" i="6" a="1"/>
  <c r="B111" i="6" s="1"/>
  <c r="B106" i="5" a="1"/>
  <c r="B106" i="5" s="1"/>
  <c r="B213" i="4" a="1"/>
  <c r="B213" i="4" s="1"/>
  <c r="U511" i="12" a="1"/>
  <c r="U511" i="12" s="1"/>
  <c r="E219" i="12" a="1"/>
  <c r="E219" i="12" s="1"/>
  <c r="B127" i="7" a="1"/>
  <c r="B127" i="7" s="1"/>
  <c r="B222" i="4" a="1"/>
  <c r="B222" i="4" s="1"/>
  <c r="U557" i="12" a="1"/>
  <c r="U557" i="12" s="1"/>
  <c r="E261" i="12" a="1"/>
  <c r="E261" i="12" s="1"/>
  <c r="B118" i="6" a="1"/>
  <c r="B118" i="6" s="1"/>
  <c r="B130" i="7" a="1"/>
  <c r="B130" i="7" s="1"/>
  <c r="B227" i="4" a="1"/>
  <c r="B227" i="4" s="1"/>
  <c r="U311" i="12" a="1"/>
  <c r="U311" i="12" s="1"/>
  <c r="E596" i="12" a="1"/>
  <c r="E596" i="12" s="1"/>
  <c r="B122" i="5" a="1"/>
  <c r="B122" i="5" s="1"/>
  <c r="B244" i="4" a="1"/>
  <c r="B244" i="4" s="1"/>
  <c r="T423" i="2" a="1"/>
  <c r="T423" i="2" s="1"/>
  <c r="AA423" i="2" a="1"/>
  <c r="AA423" i="2" s="1"/>
  <c r="U198" i="12" a="1"/>
  <c r="U198" i="12" s="1"/>
  <c r="E286" i="12" a="1"/>
  <c r="E286" i="12" s="1"/>
  <c r="B195" i="8" a="1"/>
  <c r="B195" i="8" s="1"/>
  <c r="T537" i="2" a="1"/>
  <c r="T537" i="2" s="1"/>
  <c r="AA537" i="2" a="1"/>
  <c r="AA537" i="2" s="1"/>
  <c r="U320" i="12" a="1"/>
  <c r="U320" i="12" s="1"/>
  <c r="E347" i="12" a="1"/>
  <c r="E347" i="12" s="1"/>
  <c r="B51" i="9" a="1"/>
  <c r="B51" i="9" s="1"/>
  <c r="B126" i="6" a="1"/>
  <c r="B126" i="6" s="1"/>
  <c r="B139" i="7" a="1"/>
  <c r="B139" i="7" s="1"/>
  <c r="B238" i="4" a="1"/>
  <c r="B238" i="4" s="1"/>
  <c r="S501" i="2" a="1"/>
  <c r="S501" i="2" s="1"/>
  <c r="AA501" i="2" a="1"/>
  <c r="AA501" i="2" s="1"/>
  <c r="W632" i="12" a="1"/>
  <c r="W632" i="12" s="1"/>
  <c r="AN261" i="2" a="1"/>
  <c r="AN261" i="2" s="1"/>
  <c r="AK261" i="2" a="1"/>
  <c r="AK261" i="2" s="1"/>
  <c r="U591" i="12" a="1"/>
  <c r="U591" i="12" s="1"/>
  <c r="V526" i="2" a="1"/>
  <c r="V526" i="2" s="1"/>
  <c r="T580" i="2" a="1"/>
  <c r="T580" i="2" s="1"/>
  <c r="V513" i="2" a="1"/>
  <c r="V513" i="2" s="1"/>
  <c r="B55" i="9" a="1"/>
  <c r="B55" i="9" s="1"/>
  <c r="D139" i="5" a="1"/>
  <c r="D139" i="5" s="1"/>
  <c r="D267" i="4" a="1"/>
  <c r="D267" i="4" s="1"/>
  <c r="AG453" i="2" a="1"/>
  <c r="AG453" i="2" s="1"/>
  <c r="V453" i="2" a="1"/>
  <c r="V453" i="2" s="1"/>
  <c r="AE453" i="2" a="1"/>
  <c r="AE453" i="2" s="1"/>
  <c r="Y453" i="2" a="1"/>
  <c r="Y453" i="2" s="1"/>
  <c r="S453" i="2" a="1"/>
  <c r="S453" i="2" s="1"/>
  <c r="AC453" i="2" a="1"/>
  <c r="AC453" i="2" s="1"/>
  <c r="AB453" i="2" a="1"/>
  <c r="AB453" i="2" s="1"/>
  <c r="AA453" i="2" a="1"/>
  <c r="AA453" i="2" s="1"/>
  <c r="AF453" i="2" a="1"/>
  <c r="AF453" i="2" s="1"/>
  <c r="Z453" i="2" a="1"/>
  <c r="Z453" i="2" s="1"/>
  <c r="T453" i="2" a="1"/>
  <c r="T453" i="2" s="1"/>
  <c r="AD453" i="2" a="1"/>
  <c r="AD453" i="2" s="1"/>
  <c r="T531" i="2" a="1"/>
  <c r="T531" i="2" s="1"/>
  <c r="T497" i="2" a="1"/>
  <c r="T497" i="2" s="1"/>
  <c r="S497" i="2" a="1"/>
  <c r="S497" i="2" s="1"/>
  <c r="T620" i="2" a="1"/>
  <c r="T620" i="2" s="1"/>
  <c r="S620" i="2" a="1"/>
  <c r="S620" i="2" s="1"/>
  <c r="D146" i="6" a="1"/>
  <c r="D146" i="6" s="1"/>
  <c r="D145" i="5" a="1"/>
  <c r="D145" i="5" s="1"/>
  <c r="D276" i="4" a="1"/>
  <c r="D276" i="4" s="1"/>
  <c r="T559" i="2" a="1"/>
  <c r="T559" i="2" s="1"/>
  <c r="S559" i="2" a="1"/>
  <c r="S559" i="2" s="1"/>
  <c r="D156" i="5" a="1"/>
  <c r="D156" i="5" s="1"/>
  <c r="D156" i="7" a="1"/>
  <c r="D156" i="7" s="1"/>
  <c r="D288" i="4" a="1"/>
  <c r="D288" i="4" s="1"/>
  <c r="E300" i="12" a="1"/>
  <c r="E300" i="12" s="1"/>
  <c r="B153" i="6" a="1"/>
  <c r="B153" i="6" s="1"/>
  <c r="B158" i="5" a="1"/>
  <c r="B158" i="5" s="1"/>
  <c r="B290" i="4" a="1"/>
  <c r="B290" i="4" s="1"/>
  <c r="AF511" i="2" a="1"/>
  <c r="AF511" i="2" s="1"/>
  <c r="AE511" i="2" a="1"/>
  <c r="AE511" i="2" s="1"/>
  <c r="T511" i="2" a="1"/>
  <c r="T511" i="2" s="1"/>
  <c r="Y511" i="2" a="1"/>
  <c r="Y511" i="2" s="1"/>
  <c r="S511" i="2" a="1"/>
  <c r="S511" i="2" s="1"/>
  <c r="AA511" i="2" a="1"/>
  <c r="AA511" i="2" s="1"/>
  <c r="Z511" i="2" a="1"/>
  <c r="Z511" i="2" s="1"/>
  <c r="AG511" i="2" a="1"/>
  <c r="AG511" i="2" s="1"/>
  <c r="X511" i="2" a="1"/>
  <c r="X511" i="2" s="1"/>
  <c r="W511" i="2" a="1"/>
  <c r="W511" i="2" s="1"/>
  <c r="AD511" i="2" a="1"/>
  <c r="AD511" i="2" s="1"/>
  <c r="AC511" i="2" a="1"/>
  <c r="AC511" i="2" s="1"/>
  <c r="V511" i="2" a="1"/>
  <c r="V511" i="2" s="1"/>
  <c r="AB511" i="2" a="1"/>
  <c r="AB511" i="2" s="1"/>
  <c r="U608" i="2" a="1"/>
  <c r="U608" i="2" s="1"/>
  <c r="U498" i="12" a="1"/>
  <c r="U498" i="12" s="1"/>
  <c r="AK186" i="2" a="1"/>
  <c r="AK186" i="2" s="1"/>
  <c r="U503" i="12" a="1"/>
  <c r="U503" i="12" s="1"/>
  <c r="AK136" i="2" a="1"/>
  <c r="AK136" i="2" s="1"/>
  <c r="X449" i="2" a="1"/>
  <c r="X449" i="2" s="1"/>
  <c r="X248" i="2" a="1"/>
  <c r="X248" i="2" s="1"/>
  <c r="X404" i="2" a="1"/>
  <c r="X404" i="2" s="1"/>
  <c r="Z435" i="2" a="1"/>
  <c r="Z435" i="2" s="1"/>
  <c r="AF435" i="2" a="1"/>
  <c r="AF435" i="2" s="1"/>
  <c r="X578" i="2" a="1"/>
  <c r="X578" i="2" s="1"/>
  <c r="U271" i="12" a="1"/>
  <c r="U271" i="12" s="1"/>
  <c r="U323" i="12" a="1"/>
  <c r="U323" i="12" s="1"/>
  <c r="W424" i="2" a="1"/>
  <c r="W424" i="2" s="1"/>
  <c r="B120" i="7" a="1"/>
  <c r="B120" i="7" s="1"/>
  <c r="B211" i="4" a="1"/>
  <c r="B211" i="4" s="1"/>
  <c r="U272" i="12" a="1"/>
  <c r="U272" i="12" s="1"/>
  <c r="U241" i="12" a="1"/>
  <c r="U241" i="12" s="1"/>
  <c r="AC402" i="2" a="1"/>
  <c r="AC402" i="2" s="1"/>
  <c r="W402" i="2" a="1"/>
  <c r="W402" i="2" s="1"/>
  <c r="AF402" i="2" a="1"/>
  <c r="AF402" i="2" s="1"/>
  <c r="X402" i="2" a="1"/>
  <c r="X402" i="2" s="1"/>
  <c r="AC544" i="2" a="1"/>
  <c r="AC544" i="2" s="1"/>
  <c r="W544" i="2" a="1"/>
  <c r="W544" i="2" s="1"/>
  <c r="AF544" i="2" a="1"/>
  <c r="AF544" i="2" s="1"/>
  <c r="X544" i="2" a="1"/>
  <c r="X544" i="2" s="1"/>
  <c r="AC555" i="2" a="1"/>
  <c r="AC555" i="2" s="1"/>
  <c r="W555" i="2" a="1"/>
  <c r="W555" i="2" s="1"/>
  <c r="AF555" i="2" a="1"/>
  <c r="AF555" i="2" s="1"/>
  <c r="X555" i="2" a="1"/>
  <c r="X555" i="2" s="1"/>
  <c r="E536" i="12" a="1"/>
  <c r="E536" i="12" s="1"/>
  <c r="D117" i="6" a="1"/>
  <c r="D117" i="6" s="1"/>
  <c r="D226" i="4" a="1"/>
  <c r="D226" i="4" s="1"/>
  <c r="AB501" i="2" a="1"/>
  <c r="AB501" i="2" s="1"/>
  <c r="AM228" i="2" a="1"/>
  <c r="AM228" i="2" s="1"/>
  <c r="V340" i="2" a="1"/>
  <c r="V340" i="2" s="1"/>
  <c r="AC340" i="2" a="1"/>
  <c r="AC340" i="2" s="1"/>
  <c r="D127" i="5" a="1"/>
  <c r="D127" i="5" s="1"/>
  <c r="D250" i="4" a="1"/>
  <c r="D250" i="4" s="1"/>
  <c r="AD494" i="2" a="1"/>
  <c r="AD494" i="2" s="1"/>
  <c r="X309" i="2" a="1"/>
  <c r="X309" i="2" s="1"/>
  <c r="B200" i="8" a="1"/>
  <c r="B200" i="8" s="1"/>
  <c r="V580" i="2" a="1"/>
  <c r="V580" i="2" s="1"/>
  <c r="U290" i="12" a="1"/>
  <c r="U290" i="12" s="1"/>
  <c r="T542" i="2" a="1"/>
  <c r="T542" i="2" s="1"/>
  <c r="S542" i="2" a="1"/>
  <c r="S542" i="2" s="1"/>
  <c r="X542" i="2" a="1"/>
  <c r="X542" i="2" s="1"/>
  <c r="B136" i="5" a="1"/>
  <c r="B136" i="5" s="1"/>
  <c r="B263" i="4" a="1"/>
  <c r="B263" i="4" s="1"/>
  <c r="AE609" i="2" a="1"/>
  <c r="AE609" i="2" s="1"/>
  <c r="T609" i="2" a="1"/>
  <c r="T609" i="2" s="1"/>
  <c r="AD609" i="2" a="1"/>
  <c r="AD609" i="2" s="1"/>
  <c r="AC609" i="2" a="1"/>
  <c r="AC609" i="2" s="1"/>
  <c r="W609" i="2" a="1"/>
  <c r="W609" i="2" s="1"/>
  <c r="AG609" i="2" a="1"/>
  <c r="AG609" i="2" s="1"/>
  <c r="AA609" i="2" a="1"/>
  <c r="AA609" i="2" s="1"/>
  <c r="Y609" i="2" a="1"/>
  <c r="Y609" i="2" s="1"/>
  <c r="T520" i="2" a="1"/>
  <c r="T520" i="2" s="1"/>
  <c r="W543" i="2" a="1"/>
  <c r="W543" i="2" s="1"/>
  <c r="W660" i="12" a="1"/>
  <c r="W660" i="12" s="1"/>
  <c r="AN255" i="2" a="1"/>
  <c r="AN255" i="2" s="1"/>
  <c r="AK255" i="2" a="1"/>
  <c r="AK255" i="2" s="1"/>
  <c r="E331" i="12" a="1"/>
  <c r="E331" i="12" s="1"/>
  <c r="B56" i="9" a="1"/>
  <c r="B56" i="9" s="1"/>
  <c r="B131" i="6" a="1"/>
  <c r="B131" i="6" s="1"/>
  <c r="B251" i="4" a="1"/>
  <c r="B251" i="4" s="1"/>
  <c r="V475" i="2" a="1"/>
  <c r="V475" i="2" s="1"/>
  <c r="T640" i="2" a="1"/>
  <c r="T640" i="2" s="1"/>
  <c r="W531" i="2" a="1"/>
  <c r="W531" i="2" s="1"/>
  <c r="AE535" i="2" a="1"/>
  <c r="AE535" i="2" s="1"/>
  <c r="S535" i="2" a="1"/>
  <c r="S535" i="2" s="1"/>
  <c r="AR463" i="2" a="1"/>
  <c r="AR463" i="2" s="1"/>
  <c r="AC620" i="2" a="1"/>
  <c r="AC620" i="2" s="1"/>
  <c r="AC559" i="2" a="1"/>
  <c r="AC559" i="2" s="1"/>
  <c r="D155" i="7" a="1"/>
  <c r="D155" i="7" s="1"/>
  <c r="D155" i="5" a="1"/>
  <c r="D155" i="5" s="1"/>
  <c r="D287" i="4" a="1"/>
  <c r="D287" i="4" s="1"/>
  <c r="T629" i="2" a="1"/>
  <c r="T629" i="2" s="1"/>
  <c r="S629" i="2" a="1"/>
  <c r="S629" i="2" s="1"/>
  <c r="D159" i="7" a="1"/>
  <c r="D159" i="7" s="1"/>
  <c r="D155" i="6" a="1"/>
  <c r="D155" i="6" s="1"/>
  <c r="D294" i="4" a="1"/>
  <c r="D294" i="4" s="1"/>
  <c r="E411" i="12" a="1"/>
  <c r="E411" i="12" s="1"/>
  <c r="B168" i="5" a="1"/>
  <c r="B168" i="5" s="1"/>
  <c r="B314" i="4" a="1"/>
  <c r="B314" i="4" s="1"/>
  <c r="AG588" i="2" a="1"/>
  <c r="AG588" i="2" s="1"/>
  <c r="AA588" i="2" a="1"/>
  <c r="AA588" i="2" s="1"/>
  <c r="AF588" i="2" a="1"/>
  <c r="AF588" i="2" s="1"/>
  <c r="Z588" i="2" a="1"/>
  <c r="Z588" i="2" s="1"/>
  <c r="AE588" i="2" a="1"/>
  <c r="AE588" i="2" s="1"/>
  <c r="T588" i="2" a="1"/>
  <c r="T588" i="2" s="1"/>
  <c r="Y588" i="2" a="1"/>
  <c r="Y588" i="2" s="1"/>
  <c r="X588" i="2" a="1"/>
  <c r="X588" i="2" s="1"/>
  <c r="S588" i="2" a="1"/>
  <c r="S588" i="2" s="1"/>
  <c r="AD588" i="2" a="1"/>
  <c r="AD588" i="2" s="1"/>
  <c r="AC588" i="2" a="1"/>
  <c r="AC588" i="2" s="1"/>
  <c r="AB588" i="2" a="1"/>
  <c r="AB588" i="2" s="1"/>
  <c r="W588" i="2" a="1"/>
  <c r="W588" i="2" s="1"/>
  <c r="V588" i="2" a="1"/>
  <c r="V588" i="2" s="1"/>
  <c r="V507" i="2" a="1"/>
  <c r="V507" i="2" s="1"/>
  <c r="D108" i="6" a="1"/>
  <c r="D108" i="6" s="1"/>
  <c r="D208" i="4" a="1"/>
  <c r="D208" i="4" s="1"/>
  <c r="W318" i="2" a="1"/>
  <c r="W318" i="2" s="1"/>
  <c r="U281" i="12" a="1"/>
  <c r="U281" i="12" s="1"/>
  <c r="W316" i="2" a="1"/>
  <c r="W316" i="2" s="1"/>
  <c r="U276" i="12" a="1"/>
  <c r="U276" i="12" s="1"/>
  <c r="W472" i="2" a="1"/>
  <c r="W472" i="2" s="1"/>
  <c r="U223" i="12" a="1"/>
  <c r="U223" i="12" s="1"/>
  <c r="AE402" i="2" a="1"/>
  <c r="AE402" i="2" s="1"/>
  <c r="D114" i="6" a="1"/>
  <c r="D114" i="6" s="1"/>
  <c r="D109" i="5" a="1"/>
  <c r="D109" i="5" s="1"/>
  <c r="D219" i="4" a="1"/>
  <c r="D219" i="4" s="1"/>
  <c r="W490" i="2" a="1"/>
  <c r="W490" i="2" s="1"/>
  <c r="U265" i="12" a="1"/>
  <c r="U265" i="12" s="1"/>
  <c r="AE544" i="2" a="1"/>
  <c r="AE544" i="2" s="1"/>
  <c r="D132" i="7" a="1"/>
  <c r="D132" i="7" s="1"/>
  <c r="D119" i="6" a="1"/>
  <c r="D119" i="6" s="1"/>
  <c r="D229" i="4" a="1"/>
  <c r="D229" i="4" s="1"/>
  <c r="AB423" i="2" a="1"/>
  <c r="AB423" i="2" s="1"/>
  <c r="W652" i="2" a="1"/>
  <c r="W652" i="2" s="1"/>
  <c r="U598" i="12" a="1"/>
  <c r="U598" i="12" s="1"/>
  <c r="AE555" i="2" a="1"/>
  <c r="AE555" i="2" s="1"/>
  <c r="D123" i="6" a="1"/>
  <c r="D123" i="6" s="1"/>
  <c r="D136" i="7" a="1"/>
  <c r="D136" i="7" s="1"/>
  <c r="D235" i="4" a="1"/>
  <c r="D235" i="4" s="1"/>
  <c r="AB537" i="2" a="1"/>
  <c r="AB537" i="2" s="1"/>
  <c r="W390" i="2" a="1"/>
  <c r="W390" i="2" s="1"/>
  <c r="T501" i="2" a="1"/>
  <c r="T501" i="2" s="1"/>
  <c r="W512" i="2" a="1"/>
  <c r="W512" i="2" s="1"/>
  <c r="S494" i="2" a="1"/>
  <c r="S494" i="2" s="1"/>
  <c r="AE587" i="2" a="1"/>
  <c r="AE587" i="2" s="1"/>
  <c r="B201" i="8" a="1"/>
  <c r="B201" i="8" s="1"/>
  <c r="AF609" i="2" a="1"/>
  <c r="AF609" i="2" s="1"/>
  <c r="E572" i="12" a="1"/>
  <c r="E572" i="12" s="1"/>
  <c r="U601" i="12" a="1"/>
  <c r="U601" i="12" s="1"/>
  <c r="Z513" i="2" a="1"/>
  <c r="Z513" i="2" s="1"/>
  <c r="W465" i="2" a="1"/>
  <c r="W465" i="2" s="1"/>
  <c r="W475" i="2" a="1"/>
  <c r="W475" i="2" s="1"/>
  <c r="V640" i="2" a="1"/>
  <c r="V640" i="2" s="1"/>
  <c r="B135" i="6" a="1"/>
  <c r="B135" i="6" s="1"/>
  <c r="B130" i="5" a="1"/>
  <c r="B130" i="5" s="1"/>
  <c r="B255" i="4" a="1"/>
  <c r="B255" i="4" s="1"/>
  <c r="B147" i="7" a="1"/>
  <c r="B147" i="7" s="1"/>
  <c r="B132" i="5" a="1"/>
  <c r="B132" i="5" s="1"/>
  <c r="B258" i="4" a="1"/>
  <c r="B258" i="4" s="1"/>
  <c r="E344" i="12" a="1"/>
  <c r="E344" i="12" s="1"/>
  <c r="E352" i="12" a="1"/>
  <c r="E352" i="12" s="1"/>
  <c r="AO391" i="2" a="1"/>
  <c r="AO391" i="2" s="1"/>
  <c r="AC629" i="2" a="1"/>
  <c r="AC629" i="2" s="1"/>
  <c r="D149" i="6" a="1"/>
  <c r="D149" i="6" s="1"/>
  <c r="D150" i="5" a="1"/>
  <c r="D150" i="5" s="1"/>
  <c r="D281" i="4" a="1"/>
  <c r="D281" i="4" s="1"/>
  <c r="T409" i="2" a="1"/>
  <c r="T409" i="2" s="1"/>
  <c r="S409" i="2" a="1"/>
  <c r="S409" i="2" s="1"/>
  <c r="D161" i="7" a="1"/>
  <c r="D161" i="7" s="1"/>
  <c r="D299" i="4" a="1"/>
  <c r="D299" i="4" s="1"/>
  <c r="E340" i="12" a="1"/>
  <c r="E340" i="12" s="1"/>
  <c r="AE657" i="2" a="1"/>
  <c r="AE657" i="2" s="1"/>
  <c r="T657" i="2" a="1"/>
  <c r="T657" i="2" s="1"/>
  <c r="AD657" i="2" a="1"/>
  <c r="AD657" i="2" s="1"/>
  <c r="X657" i="2" a="1"/>
  <c r="X657" i="2" s="1"/>
  <c r="AC657" i="2" a="1"/>
  <c r="AC657" i="2" s="1"/>
  <c r="AG657" i="2" a="1"/>
  <c r="AG657" i="2" s="1"/>
  <c r="Z657" i="2" a="1"/>
  <c r="Z657" i="2" s="1"/>
  <c r="Y657" i="2" a="1"/>
  <c r="Y657" i="2" s="1"/>
  <c r="AF657" i="2" a="1"/>
  <c r="AF657" i="2" s="1"/>
  <c r="W657" i="2" a="1"/>
  <c r="W657" i="2" s="1"/>
  <c r="V657" i="2" a="1"/>
  <c r="V657" i="2" s="1"/>
  <c r="AB657" i="2" a="1"/>
  <c r="AB657" i="2" s="1"/>
  <c r="AA657" i="2" a="1"/>
  <c r="AA657" i="2" s="1"/>
  <c r="S657" i="2" a="1"/>
  <c r="S657" i="2" s="1"/>
  <c r="B162" i="6" a="1"/>
  <c r="B162" i="6" s="1"/>
  <c r="B305" i="4" a="1"/>
  <c r="B305" i="4" s="1"/>
  <c r="AA557" i="2" a="1"/>
  <c r="AA557" i="2" s="1"/>
  <c r="AF557" i="2" a="1"/>
  <c r="AF557" i="2" s="1"/>
  <c r="AE557" i="2" a="1"/>
  <c r="AE557" i="2" s="1"/>
  <c r="T557" i="2" a="1"/>
  <c r="T557" i="2" s="1"/>
  <c r="Y557" i="2" a="1"/>
  <c r="Y557" i="2" s="1"/>
  <c r="S557" i="2" a="1"/>
  <c r="S557" i="2" s="1"/>
  <c r="AB557" i="2" a="1"/>
  <c r="AB557" i="2" s="1"/>
  <c r="Z557" i="2" a="1"/>
  <c r="Z557" i="2" s="1"/>
  <c r="X557" i="2" a="1"/>
  <c r="X557" i="2" s="1"/>
  <c r="AG557" i="2" a="1"/>
  <c r="AG557" i="2" s="1"/>
  <c r="W557" i="2" a="1"/>
  <c r="W557" i="2" s="1"/>
  <c r="AD557" i="2" a="1"/>
  <c r="AD557" i="2" s="1"/>
  <c r="V557" i="2" a="1"/>
  <c r="V557" i="2" s="1"/>
  <c r="AC557" i="2" a="1"/>
  <c r="AC557" i="2" s="1"/>
  <c r="B182" i="7" a="1"/>
  <c r="B182" i="7" s="1"/>
  <c r="B174" i="6" a="1"/>
  <c r="B174" i="6" s="1"/>
  <c r="B334" i="4" a="1"/>
  <c r="B334" i="4" s="1"/>
  <c r="U584" i="12" a="1"/>
  <c r="U584" i="12" s="1"/>
  <c r="AE507" i="2" a="1"/>
  <c r="AE507" i="2" s="1"/>
  <c r="T507" i="2" a="1"/>
  <c r="T507" i="2" s="1"/>
  <c r="AC507" i="2" a="1"/>
  <c r="AC507" i="2" s="1"/>
  <c r="E234" i="12" a="1"/>
  <c r="E234" i="12" s="1"/>
  <c r="U571" i="12" a="1"/>
  <c r="U571" i="12" s="1"/>
  <c r="AG318" i="2" a="1"/>
  <c r="AG318" i="2" s="1"/>
  <c r="V318" i="2" a="1"/>
  <c r="V318" i="2" s="1"/>
  <c r="AE318" i="2" a="1"/>
  <c r="AE318" i="2" s="1"/>
  <c r="T318" i="2" a="1"/>
  <c r="T318" i="2" s="1"/>
  <c r="X318" i="2" a="1"/>
  <c r="X318" i="2" s="1"/>
  <c r="E287" i="12" a="1"/>
  <c r="E287" i="12" s="1"/>
  <c r="B126" i="7" a="1"/>
  <c r="B126" i="7" s="1"/>
  <c r="B115" i="6" a="1"/>
  <c r="B115" i="6" s="1"/>
  <c r="B110" i="5" a="1"/>
  <c r="B110" i="5" s="1"/>
  <c r="B220" i="4" a="1"/>
  <c r="B220" i="4" s="1"/>
  <c r="U219" i="12" a="1"/>
  <c r="U219" i="12" s="1"/>
  <c r="AG316" i="2" a="1"/>
  <c r="AG316" i="2" s="1"/>
  <c r="V316" i="2" a="1"/>
  <c r="V316" i="2" s="1"/>
  <c r="AE316" i="2" a="1"/>
  <c r="AE316" i="2" s="1"/>
  <c r="T316" i="2" a="1"/>
  <c r="T316" i="2" s="1"/>
  <c r="X316" i="2" a="1"/>
  <c r="X316" i="2" s="1"/>
  <c r="E258" i="12" a="1"/>
  <c r="E258" i="12" s="1"/>
  <c r="B129" i="7" a="1"/>
  <c r="B129" i="7" s="1"/>
  <c r="B113" i="5" a="1"/>
  <c r="B113" i="5" s="1"/>
  <c r="B225" i="4" a="1"/>
  <c r="B225" i="4" s="1"/>
  <c r="T406" i="2" a="1"/>
  <c r="T406" i="2" s="1"/>
  <c r="U261" i="12" a="1"/>
  <c r="U261" i="12" s="1"/>
  <c r="AG472" i="2" a="1"/>
  <c r="AG472" i="2" s="1"/>
  <c r="V472" i="2" a="1"/>
  <c r="V472" i="2" s="1"/>
  <c r="AE472" i="2" a="1"/>
  <c r="AE472" i="2" s="1"/>
  <c r="T472" i="2" a="1"/>
  <c r="T472" i="2" s="1"/>
  <c r="U472" i="2" s="1" a="1"/>
  <c r="U472" i="2" s="1"/>
  <c r="X472" i="2" a="1"/>
  <c r="X472" i="2" s="1"/>
  <c r="E594" i="12" a="1"/>
  <c r="E594" i="12" s="1"/>
  <c r="U596" i="12" a="1"/>
  <c r="U596" i="12" s="1"/>
  <c r="AG490" i="2" a="1"/>
  <c r="AG490" i="2" s="1"/>
  <c r="V490" i="2" a="1"/>
  <c r="V490" i="2" s="1"/>
  <c r="AE490" i="2" a="1"/>
  <c r="AE490" i="2" s="1"/>
  <c r="T490" i="2" a="1"/>
  <c r="T490" i="2" s="1"/>
  <c r="X490" i="2" a="1"/>
  <c r="X490" i="2" s="1"/>
  <c r="E301" i="12" a="1"/>
  <c r="E301" i="12" s="1"/>
  <c r="V423" i="2" a="1"/>
  <c r="V423" i="2" s="1"/>
  <c r="B133" i="7" a="1"/>
  <c r="B133" i="7" s="1"/>
  <c r="B231" i="4" a="1"/>
  <c r="B231" i="4" s="1"/>
  <c r="U286" i="12" a="1"/>
  <c r="U286" i="12" s="1"/>
  <c r="AG652" i="2" a="1"/>
  <c r="AG652" i="2" s="1"/>
  <c r="V652" i="2" a="1"/>
  <c r="V652" i="2" s="1"/>
  <c r="AE652" i="2" a="1"/>
  <c r="AE652" i="2" s="1"/>
  <c r="T652" i="2" a="1"/>
  <c r="T652" i="2" s="1"/>
  <c r="U652" i="2" s="1" a="1"/>
  <c r="U652" i="2" s="1"/>
  <c r="X652" i="2" a="1"/>
  <c r="X652" i="2" s="1"/>
  <c r="E247" i="12" a="1"/>
  <c r="E247" i="12" s="1"/>
  <c r="V537" i="2" a="1"/>
  <c r="V537" i="2" s="1"/>
  <c r="B124" i="5" a="1"/>
  <c r="B124" i="5" s="1"/>
  <c r="B246" i="4" a="1"/>
  <c r="B246" i="4" s="1"/>
  <c r="U347" i="12" a="1"/>
  <c r="U347" i="12" s="1"/>
  <c r="AG390" i="2" a="1"/>
  <c r="AG390" i="2" s="1"/>
  <c r="V390" i="2" a="1"/>
  <c r="V390" i="2" s="1"/>
  <c r="AE390" i="2" a="1"/>
  <c r="AE390" i="2" s="1"/>
  <c r="T390" i="2" a="1"/>
  <c r="T390" i="2" s="1"/>
  <c r="U390" i="2" s="1" a="1"/>
  <c r="U390" i="2" s="1"/>
  <c r="X390" i="2" a="1"/>
  <c r="X390" i="2" s="1"/>
  <c r="U536" i="12" a="1"/>
  <c r="U536" i="12" s="1"/>
  <c r="D139" i="7" a="1"/>
  <c r="D139" i="7" s="1"/>
  <c r="D126" i="6" a="1"/>
  <c r="D126" i="6" s="1"/>
  <c r="D238" i="4" a="1"/>
  <c r="D238" i="4" s="1"/>
  <c r="AE340" i="2" a="1"/>
  <c r="AE340" i="2" s="1"/>
  <c r="T340" i="2" a="1"/>
  <c r="T340" i="2" s="1"/>
  <c r="S340" i="2" a="1"/>
  <c r="S340" i="2" s="1"/>
  <c r="V488" i="2" a="1"/>
  <c r="V488" i="2" s="1"/>
  <c r="U313" i="12" a="1"/>
  <c r="U313" i="12" s="1"/>
  <c r="AM261" i="2" a="1"/>
  <c r="AM261" i="2" s="1"/>
  <c r="B140" i="7" a="1"/>
  <c r="B140" i="7" s="1"/>
  <c r="B120" i="5" a="1"/>
  <c r="B120" i="5" s="1"/>
  <c r="B127" i="6" a="1"/>
  <c r="B127" i="6" s="1"/>
  <c r="B241" i="4" a="1"/>
  <c r="B241" i="4" s="1"/>
  <c r="T494" i="2" a="1"/>
  <c r="T494" i="2" s="1"/>
  <c r="AE494" i="2" a="1"/>
  <c r="AE494" i="2" s="1"/>
  <c r="B130" i="6" a="1"/>
  <c r="B130" i="6" s="1"/>
  <c r="B144" i="7" a="1"/>
  <c r="B144" i="7" s="1"/>
  <c r="B126" i="5" a="1"/>
  <c r="B126" i="5" s="1"/>
  <c r="B249" i="4" a="1"/>
  <c r="B249" i="4" s="1"/>
  <c r="E240" i="12" a="1"/>
  <c r="E240" i="12" s="1"/>
  <c r="U240" i="12" a="1"/>
  <c r="U240" i="12" s="1"/>
  <c r="W520" i="2" a="1"/>
  <c r="W520" i="2" s="1"/>
  <c r="B137" i="5" a="1"/>
  <c r="B137" i="5" s="1"/>
  <c r="B264" i="4" a="1"/>
  <c r="B264" i="4" s="1"/>
  <c r="Z543" i="2" a="1"/>
  <c r="Z543" i="2" s="1"/>
  <c r="AM255" i="2" a="1"/>
  <c r="AM255" i="2" s="1"/>
  <c r="X465" i="2" a="1"/>
  <c r="X465" i="2" s="1"/>
  <c r="AD467" i="2" a="1"/>
  <c r="AD467" i="2" s="1"/>
  <c r="S467" i="2" a="1"/>
  <c r="S467" i="2" s="1"/>
  <c r="AC467" i="2" a="1"/>
  <c r="AC467" i="2" s="1"/>
  <c r="W467" i="2" a="1"/>
  <c r="W467" i="2" s="1"/>
  <c r="V467" i="2" a="1"/>
  <c r="V467" i="2" s="1"/>
  <c r="AG467" i="2" a="1"/>
  <c r="AG467" i="2" s="1"/>
  <c r="AF467" i="2" a="1"/>
  <c r="AF467" i="2" s="1"/>
  <c r="Z467" i="2" a="1"/>
  <c r="Z467" i="2" s="1"/>
  <c r="T467" i="2" a="1"/>
  <c r="T467" i="2" s="1"/>
  <c r="X467" i="2" a="1"/>
  <c r="X467" i="2" s="1"/>
  <c r="AE467" i="2" a="1"/>
  <c r="AE467" i="2" s="1"/>
  <c r="W640" i="2" a="1"/>
  <c r="W640" i="2" s="1"/>
  <c r="B134" i="6" a="1"/>
  <c r="B134" i="6" s="1"/>
  <c r="B129" i="5" a="1"/>
  <c r="B129" i="5" s="1"/>
  <c r="B254" i="4" a="1"/>
  <c r="B254" i="4" s="1"/>
  <c r="Y531" i="2" a="1"/>
  <c r="Y531" i="2" s="1"/>
  <c r="D147" i="7" a="1"/>
  <c r="D147" i="7" s="1"/>
  <c r="D132" i="5" a="1"/>
  <c r="D132" i="5" s="1"/>
  <c r="D258" i="4" a="1"/>
  <c r="D258" i="4" s="1"/>
  <c r="W672" i="12" a="1"/>
  <c r="W672" i="12" s="1"/>
  <c r="AK377" i="2" a="1"/>
  <c r="AK377" i="2" s="1"/>
  <c r="AO377" i="2" a="1"/>
  <c r="AO377" i="2" s="1"/>
  <c r="AQ377" i="2" s="1" a="1"/>
  <c r="AQ377" i="2" s="1"/>
  <c r="AN377" i="2" a="1"/>
  <c r="AN377" i="2" s="1"/>
  <c r="AM377" i="2" a="1"/>
  <c r="AM377" i="2" s="1"/>
  <c r="AE425" i="2" a="1"/>
  <c r="AE425" i="2" s="1"/>
  <c r="T425" i="2" a="1"/>
  <c r="T425" i="2" s="1"/>
  <c r="AD425" i="2" a="1"/>
  <c r="AD425" i="2" s="1"/>
  <c r="X425" i="2" a="1"/>
  <c r="X425" i="2" s="1"/>
  <c r="AB425" i="2" a="1"/>
  <c r="AB425" i="2" s="1"/>
  <c r="AA425" i="2" a="1"/>
  <c r="AA425" i="2" s="1"/>
  <c r="AG425" i="2" a="1"/>
  <c r="AG425" i="2" s="1"/>
  <c r="S425" i="2" a="1"/>
  <c r="S425" i="2" s="1"/>
  <c r="Z425" i="2" a="1"/>
  <c r="Z425" i="2" s="1"/>
  <c r="AF425" i="2" a="1"/>
  <c r="AF425" i="2" s="1"/>
  <c r="Y425" i="2" a="1"/>
  <c r="Y425" i="2" s="1"/>
  <c r="W425" i="2" a="1"/>
  <c r="W425" i="2" s="1"/>
  <c r="AC425" i="2" a="1"/>
  <c r="AC425" i="2" s="1"/>
  <c r="V425" i="2" a="1"/>
  <c r="V425" i="2" s="1"/>
  <c r="D152" i="6" a="1"/>
  <c r="D152" i="6" s="1"/>
  <c r="D157" i="5" a="1"/>
  <c r="D157" i="5" s="1"/>
  <c r="D289" i="4" a="1"/>
  <c r="D289" i="4" s="1"/>
  <c r="T525" i="2" a="1"/>
  <c r="T525" i="2" s="1"/>
  <c r="S525" i="2" a="1"/>
  <c r="S525" i="2" s="1"/>
  <c r="AC525" i="2" a="1"/>
  <c r="AC525" i="2" s="1"/>
  <c r="V525" i="2" a="1"/>
  <c r="V525" i="2" s="1"/>
  <c r="D158" i="6" a="1"/>
  <c r="D158" i="6" s="1"/>
  <c r="D297" i="4" a="1"/>
  <c r="D297" i="4" s="1"/>
  <c r="D98" i="5" a="1"/>
  <c r="D98" i="5" s="1"/>
  <c r="D196" i="4" a="1"/>
  <c r="D196" i="4" s="1"/>
  <c r="T449" i="2" a="1"/>
  <c r="T449" i="2" s="1"/>
  <c r="AE449" i="2" a="1"/>
  <c r="AE449" i="2" s="1"/>
  <c r="E173" i="12" a="1"/>
  <c r="E173" i="12" s="1"/>
  <c r="D107" i="7" a="1"/>
  <c r="D107" i="7" s="1"/>
  <c r="D95" i="6" a="1"/>
  <c r="D95" i="6" s="1"/>
  <c r="D93" i="5" a="1"/>
  <c r="D93" i="5" s="1"/>
  <c r="D186" i="4" a="1"/>
  <c r="D186" i="4" s="1"/>
  <c r="T248" i="2" a="1"/>
  <c r="T248" i="2" s="1"/>
  <c r="AE248" i="2" a="1"/>
  <c r="AE248" i="2" s="1"/>
  <c r="E267" i="12" a="1"/>
  <c r="E267" i="12" s="1"/>
  <c r="T404" i="2" a="1"/>
  <c r="T404" i="2" s="1"/>
  <c r="AE404" i="2" a="1"/>
  <c r="AE404" i="2" s="1"/>
  <c r="E257" i="12" a="1"/>
  <c r="E257" i="12" s="1"/>
  <c r="AB435" i="2" a="1"/>
  <c r="AB435" i="2" s="1"/>
  <c r="T578" i="2" a="1"/>
  <c r="T578" i="2" s="1"/>
  <c r="AE578" i="2" a="1"/>
  <c r="AE578" i="2" s="1"/>
  <c r="B100" i="6" a="1"/>
  <c r="B100" i="6" s="1"/>
  <c r="B194" i="4" a="1"/>
  <c r="B194" i="4" s="1"/>
  <c r="B105" i="5" a="1"/>
  <c r="B105" i="5" s="1"/>
  <c r="B209" i="4" a="1"/>
  <c r="B209" i="4" s="1"/>
  <c r="U539" i="12" a="1"/>
  <c r="U539" i="12" s="1"/>
  <c r="AG366" i="2" a="1"/>
  <c r="AG366" i="2" s="1"/>
  <c r="V366" i="2" a="1"/>
  <c r="V366" i="2" s="1"/>
  <c r="W366" i="2" a="1"/>
  <c r="W366" i="2" s="1"/>
  <c r="E597" i="12" a="1"/>
  <c r="E597" i="12" s="1"/>
  <c r="U238" i="12" a="1"/>
  <c r="U238" i="12" s="1"/>
  <c r="AG516" i="2" a="1"/>
  <c r="AG516" i="2" s="1"/>
  <c r="V516" i="2" a="1"/>
  <c r="V516" i="2" s="1"/>
  <c r="W516" i="2" a="1"/>
  <c r="W516" i="2" s="1"/>
  <c r="W507" i="2" a="1"/>
  <c r="W507" i="2" s="1"/>
  <c r="U544" i="2" a="1"/>
  <c r="U544" i="2" s="1"/>
  <c r="S555" i="2" a="1"/>
  <c r="S555" i="2" s="1"/>
  <c r="AD605" i="2" a="1"/>
  <c r="AD605" i="2" s="1"/>
  <c r="S605" i="2" a="1"/>
  <c r="S605" i="2" s="1"/>
  <c r="AB605" i="2" a="1"/>
  <c r="AB605" i="2" s="1"/>
  <c r="V605" i="2" a="1"/>
  <c r="V605" i="2" s="1"/>
  <c r="AG605" i="2" a="1"/>
  <c r="AG605" i="2" s="1"/>
  <c r="AA605" i="2" a="1"/>
  <c r="AA605" i="2" s="1"/>
  <c r="Y605" i="2" a="1"/>
  <c r="Y605" i="2" s="1"/>
  <c r="AF605" i="2" a="1"/>
  <c r="AF605" i="2" s="1"/>
  <c r="AB367" i="2" a="1"/>
  <c r="AB367" i="2" s="1"/>
  <c r="V367" i="2" a="1"/>
  <c r="V367" i="2" s="1"/>
  <c r="AE367" i="2" a="1"/>
  <c r="AE367" i="2" s="1"/>
  <c r="T367" i="2" a="1"/>
  <c r="T367" i="2" s="1"/>
  <c r="Y367" i="2" a="1"/>
  <c r="Y367" i="2" s="1"/>
  <c r="AG367" i="2" a="1"/>
  <c r="AG367" i="2" s="1"/>
  <c r="AE481" i="2" a="1"/>
  <c r="AE481" i="2" s="1"/>
  <c r="T481" i="2" a="1"/>
  <c r="T481" i="2" s="1"/>
  <c r="AC481" i="2" a="1"/>
  <c r="AC481" i="2" s="1"/>
  <c r="W481" i="2" a="1"/>
  <c r="W481" i="2" s="1"/>
  <c r="X481" i="2" a="1"/>
  <c r="X481" i="2" s="1"/>
  <c r="V501" i="2" a="1"/>
  <c r="V501" i="2" s="1"/>
  <c r="X340" i="2" a="1"/>
  <c r="X340" i="2" s="1"/>
  <c r="X488" i="2" a="1"/>
  <c r="X488" i="2" s="1"/>
  <c r="AC512" i="2" a="1"/>
  <c r="AC512" i="2" s="1"/>
  <c r="AA512" i="2" a="1"/>
  <c r="AA512" i="2" s="1"/>
  <c r="AF512" i="2" a="1"/>
  <c r="AF512" i="2" s="1"/>
  <c r="Z512" i="2" a="1"/>
  <c r="Z512" i="2" s="1"/>
  <c r="AE512" i="2" a="1"/>
  <c r="AE512" i="2" s="1"/>
  <c r="T512" i="2" a="1"/>
  <c r="T512" i="2" s="1"/>
  <c r="AO261" i="2" a="1"/>
  <c r="AO261" i="2" s="1"/>
  <c r="AQ261" i="2" s="1" a="1"/>
  <c r="AQ261" i="2" s="1"/>
  <c r="V494" i="2" a="1"/>
  <c r="V494" i="2" s="1"/>
  <c r="E298" i="12" a="1"/>
  <c r="E298" i="12" s="1"/>
  <c r="AE362" i="2" a="1"/>
  <c r="AE362" i="2" s="1"/>
  <c r="T362" i="2" a="1"/>
  <c r="T362" i="2" s="1"/>
  <c r="AG362" i="2" a="1"/>
  <c r="AG362" i="2" s="1"/>
  <c r="AA362" i="2" a="1"/>
  <c r="AA362" i="2" s="1"/>
  <c r="X362" i="2" a="1"/>
  <c r="X362" i="2" s="1"/>
  <c r="AD362" i="2" a="1"/>
  <c r="AD362" i="2" s="1"/>
  <c r="AC362" i="2" a="1"/>
  <c r="AC362" i="2" s="1"/>
  <c r="W362" i="2" a="1"/>
  <c r="W362" i="2" s="1"/>
  <c r="Z362" i="2" a="1"/>
  <c r="Z362" i="2" s="1"/>
  <c r="AD401" i="2" a="1"/>
  <c r="AD401" i="2" s="1"/>
  <c r="X401" i="2" a="1"/>
  <c r="X401" i="2" s="1"/>
  <c r="AB401" i="2" a="1"/>
  <c r="AB401" i="2" s="1"/>
  <c r="V401" i="2" a="1"/>
  <c r="V401" i="2" s="1"/>
  <c r="AF401" i="2" a="1"/>
  <c r="AF401" i="2" s="1"/>
  <c r="Z401" i="2" a="1"/>
  <c r="Z401" i="2" s="1"/>
  <c r="T401" i="2" a="1"/>
  <c r="T401" i="2" s="1"/>
  <c r="S401" i="2" a="1"/>
  <c r="S401" i="2" s="1"/>
  <c r="AE401" i="2" a="1"/>
  <c r="AE401" i="2" s="1"/>
  <c r="Y401" i="2" a="1"/>
  <c r="Y401" i="2" s="1"/>
  <c r="AC401" i="2" a="1"/>
  <c r="AC401" i="2" s="1"/>
  <c r="W401" i="2" a="1"/>
  <c r="W401" i="2" s="1"/>
  <c r="E327" i="12" a="1"/>
  <c r="E327" i="12" s="1"/>
  <c r="S609" i="2" a="1"/>
  <c r="S609" i="2" s="1"/>
  <c r="B145" i="7" a="1"/>
  <c r="B145" i="7" s="1"/>
  <c r="B133" i="6" a="1"/>
  <c r="B133" i="6" s="1"/>
  <c r="B253" i="4" a="1"/>
  <c r="B253" i="4" s="1"/>
  <c r="U572" i="12" a="1"/>
  <c r="U572" i="12" s="1"/>
  <c r="AO255" i="2" a="1"/>
  <c r="AO255" i="2" s="1"/>
  <c r="AQ255" i="2" s="1" a="1"/>
  <c r="AQ255" i="2" s="1"/>
  <c r="AK434" i="2" a="1"/>
  <c r="AK434" i="2" s="1"/>
  <c r="E306" i="12" a="1"/>
  <c r="E306" i="12" s="1"/>
  <c r="U344" i="12" a="1"/>
  <c r="U344" i="12" s="1"/>
  <c r="U307" i="12" a="1"/>
  <c r="U307" i="12" s="1"/>
  <c r="B57" i="9" a="1"/>
  <c r="B57" i="9" s="1"/>
  <c r="AR377" i="2" a="1"/>
  <c r="AR377" i="2" s="1"/>
  <c r="W610" i="12" a="1"/>
  <c r="W610" i="12" s="1"/>
  <c r="AK514" i="2" a="1"/>
  <c r="AK514" i="2" s="1"/>
  <c r="AO514" i="2" a="1"/>
  <c r="AO514" i="2" s="1"/>
  <c r="AQ514" i="2" s="1" a="1"/>
  <c r="AQ514" i="2" s="1"/>
  <c r="AN514" i="2" a="1"/>
  <c r="AN514" i="2" s="1"/>
  <c r="AM514" i="2" a="1"/>
  <c r="AM514" i="2" s="1"/>
  <c r="B151" i="7" a="1"/>
  <c r="B151" i="7" s="1"/>
  <c r="B272" i="4" a="1"/>
  <c r="B272" i="4" s="1"/>
  <c r="U288" i="12" a="1"/>
  <c r="U288" i="12" s="1"/>
  <c r="AE561" i="2" a="1"/>
  <c r="AE561" i="2" s="1"/>
  <c r="T561" i="2" a="1"/>
  <c r="T561" i="2" s="1"/>
  <c r="AD561" i="2" a="1"/>
  <c r="AD561" i="2" s="1"/>
  <c r="X561" i="2" a="1"/>
  <c r="X561" i="2" s="1"/>
  <c r="AB561" i="2" a="1"/>
  <c r="AB561" i="2" s="1"/>
  <c r="AA561" i="2" a="1"/>
  <c r="AA561" i="2" s="1"/>
  <c r="AG561" i="2" a="1"/>
  <c r="AG561" i="2" s="1"/>
  <c r="S561" i="2" a="1"/>
  <c r="S561" i="2" s="1"/>
  <c r="Z561" i="2" a="1"/>
  <c r="Z561" i="2" s="1"/>
  <c r="AF561" i="2" a="1"/>
  <c r="AF561" i="2" s="1"/>
  <c r="Y561" i="2" a="1"/>
  <c r="Y561" i="2" s="1"/>
  <c r="W561" i="2" a="1"/>
  <c r="W561" i="2" s="1"/>
  <c r="AC561" i="2" a="1"/>
  <c r="AC561" i="2" s="1"/>
  <c r="V561" i="2" a="1"/>
  <c r="V561" i="2" s="1"/>
  <c r="U359" i="12" a="1"/>
  <c r="U359" i="12" s="1"/>
  <c r="AE478" i="2" a="1"/>
  <c r="AE478" i="2" s="1"/>
  <c r="T478" i="2" a="1"/>
  <c r="T478" i="2" s="1"/>
  <c r="AD478" i="2" a="1"/>
  <c r="AD478" i="2" s="1"/>
  <c r="X478" i="2" a="1"/>
  <c r="X478" i="2" s="1"/>
  <c r="AB478" i="2" a="1"/>
  <c r="AB478" i="2" s="1"/>
  <c r="AA478" i="2" a="1"/>
  <c r="AA478" i="2" s="1"/>
  <c r="AG478" i="2" a="1"/>
  <c r="AG478" i="2" s="1"/>
  <c r="S478" i="2" a="1"/>
  <c r="S478" i="2" s="1"/>
  <c r="Z478" i="2" a="1"/>
  <c r="Z478" i="2" s="1"/>
  <c r="AF478" i="2" a="1"/>
  <c r="AF478" i="2" s="1"/>
  <c r="Y478" i="2" a="1"/>
  <c r="Y478" i="2" s="1"/>
  <c r="W478" i="2" a="1"/>
  <c r="W478" i="2" s="1"/>
  <c r="AC478" i="2" a="1"/>
  <c r="AC478" i="2" s="1"/>
  <c r="V478" i="2" a="1"/>
  <c r="V478" i="2" s="1"/>
  <c r="D163" i="7" a="1"/>
  <c r="D163" i="7" s="1"/>
  <c r="D162" i="5" a="1"/>
  <c r="D162" i="5" s="1"/>
  <c r="D302" i="4" a="1"/>
  <c r="D302" i="4" s="1"/>
  <c r="E361" i="12" a="1"/>
  <c r="E361" i="12" s="1"/>
  <c r="AF600" i="2" a="1"/>
  <c r="AF600" i="2" s="1"/>
  <c r="AE600" i="2" a="1"/>
  <c r="AE600" i="2" s="1"/>
  <c r="T600" i="2" a="1"/>
  <c r="T600" i="2" s="1"/>
  <c r="Y600" i="2" a="1"/>
  <c r="Y600" i="2" s="1"/>
  <c r="S600" i="2" a="1"/>
  <c r="S600" i="2" s="1"/>
  <c r="AA600" i="2" a="1"/>
  <c r="AA600" i="2" s="1"/>
  <c r="Z600" i="2" a="1"/>
  <c r="Z600" i="2" s="1"/>
  <c r="AG600" i="2" a="1"/>
  <c r="AG600" i="2" s="1"/>
  <c r="X600" i="2" a="1"/>
  <c r="X600" i="2" s="1"/>
  <c r="W600" i="2" a="1"/>
  <c r="W600" i="2" s="1"/>
  <c r="AD600" i="2" a="1"/>
  <c r="AD600" i="2" s="1"/>
  <c r="AC600" i="2" a="1"/>
  <c r="AC600" i="2" s="1"/>
  <c r="V600" i="2" a="1"/>
  <c r="V600" i="2" s="1"/>
  <c r="AB600" i="2" a="1"/>
  <c r="AB600" i="2" s="1"/>
  <c r="D173" i="5" a="1"/>
  <c r="D173" i="5" s="1"/>
  <c r="D324" i="4" a="1"/>
  <c r="D324" i="4" s="1"/>
  <c r="AG527" i="2" a="1"/>
  <c r="AG527" i="2" s="1"/>
  <c r="AA527" i="2" a="1"/>
  <c r="AA527" i="2" s="1"/>
  <c r="AF527" i="2" a="1"/>
  <c r="AF527" i="2" s="1"/>
  <c r="AE527" i="2" a="1"/>
  <c r="AE527" i="2" s="1"/>
  <c r="T527" i="2" a="1"/>
  <c r="T527" i="2" s="1"/>
  <c r="Y527" i="2" a="1"/>
  <c r="Y527" i="2" s="1"/>
  <c r="X527" i="2" a="1"/>
  <c r="X527" i="2" s="1"/>
  <c r="W527" i="2" a="1"/>
  <c r="W527" i="2" s="1"/>
  <c r="V527" i="2" a="1"/>
  <c r="V527" i="2" s="1"/>
  <c r="AD527" i="2" a="1"/>
  <c r="AD527" i="2" s="1"/>
  <c r="S527" i="2" a="1"/>
  <c r="S527" i="2" s="1"/>
  <c r="AC527" i="2" a="1"/>
  <c r="AC527" i="2" s="1"/>
  <c r="AB527" i="2" a="1"/>
  <c r="AB527" i="2" s="1"/>
  <c r="Z527" i="2" a="1"/>
  <c r="Z527" i="2" s="1"/>
  <c r="AF423" i="2" a="1"/>
  <c r="AF423" i="2" s="1"/>
  <c r="AD423" i="2" a="1"/>
  <c r="AD423" i="2" s="1"/>
  <c r="S423" i="2" a="1"/>
  <c r="S423" i="2" s="1"/>
  <c r="W423" i="2" a="1"/>
  <c r="W423" i="2" s="1"/>
  <c r="AF537" i="2" a="1"/>
  <c r="AF537" i="2" s="1"/>
  <c r="AD537" i="2" a="1"/>
  <c r="AD537" i="2" s="1"/>
  <c r="S537" i="2" a="1"/>
  <c r="S537" i="2" s="1"/>
  <c r="W537" i="2" a="1"/>
  <c r="W537" i="2" s="1"/>
  <c r="E252" i="12" a="1"/>
  <c r="E252" i="12" s="1"/>
  <c r="U252" i="12" a="1"/>
  <c r="U252" i="12" s="1"/>
  <c r="E575" i="12" a="1"/>
  <c r="E575" i="12" s="1"/>
  <c r="U575" i="12" a="1"/>
  <c r="U575" i="12" s="1"/>
  <c r="AQ228" i="2" a="1"/>
  <c r="AQ228" i="2" s="1"/>
  <c r="E313" i="12" a="1"/>
  <c r="E313" i="12" s="1"/>
  <c r="D127" i="6" a="1"/>
  <c r="D127" i="6" s="1"/>
  <c r="D140" i="7" a="1"/>
  <c r="D140" i="7" s="1"/>
  <c r="D120" i="5" a="1"/>
  <c r="D120" i="5" s="1"/>
  <c r="D241" i="4" a="1"/>
  <c r="D241" i="4" s="1"/>
  <c r="U350" i="12" a="1"/>
  <c r="U350" i="12" s="1"/>
  <c r="U242" i="12" a="1"/>
  <c r="U242" i="12" s="1"/>
  <c r="D129" i="6" a="1"/>
  <c r="D129" i="6" s="1"/>
  <c r="D143" i="7" a="1"/>
  <c r="D143" i="7" s="1"/>
  <c r="D248" i="4" a="1"/>
  <c r="D248" i="4" s="1"/>
  <c r="W526" i="2" a="1"/>
  <c r="W526" i="2" s="1"/>
  <c r="AG526" i="2" a="1"/>
  <c r="AG526" i="2" s="1"/>
  <c r="AA526" i="2" a="1"/>
  <c r="AA526" i="2" s="1"/>
  <c r="S526" i="2" a="1"/>
  <c r="S526" i="2" s="1"/>
  <c r="AE526" i="2" a="1"/>
  <c r="AE526" i="2" s="1"/>
  <c r="Y526" i="2" a="1"/>
  <c r="Y526" i="2" s="1"/>
  <c r="X526" i="2" a="1"/>
  <c r="X526" i="2" s="1"/>
  <c r="AB526" i="2" a="1"/>
  <c r="AB526" i="2" s="1"/>
  <c r="D130" i="6" a="1"/>
  <c r="D130" i="6" s="1"/>
  <c r="D144" i="7" a="1"/>
  <c r="D144" i="7" s="1"/>
  <c r="D126" i="5" a="1"/>
  <c r="D126" i="5" s="1"/>
  <c r="D249" i="4" a="1"/>
  <c r="D249" i="4" s="1"/>
  <c r="AF580" i="2" a="1"/>
  <c r="AF580" i="2" s="1"/>
  <c r="AG580" i="2" a="1"/>
  <c r="AG580" i="2" s="1"/>
  <c r="AA580" i="2" a="1"/>
  <c r="AA580" i="2" s="1"/>
  <c r="AE580" i="2" a="1"/>
  <c r="AE580" i="2" s="1"/>
  <c r="Y580" i="2" a="1"/>
  <c r="Y580" i="2" s="1"/>
  <c r="X580" i="2" a="1"/>
  <c r="X580" i="2" s="1"/>
  <c r="AD580" i="2" a="1"/>
  <c r="AD580" i="2" s="1"/>
  <c r="Z580" i="2" a="1"/>
  <c r="Z580" i="2" s="1"/>
  <c r="AR255" i="2" a="1"/>
  <c r="AR255" i="2" s="1"/>
  <c r="T584" i="2" a="1"/>
  <c r="T584" i="2" s="1"/>
  <c r="AE584" i="2" a="1"/>
  <c r="AE584" i="2" s="1"/>
  <c r="S584" i="2" a="1"/>
  <c r="S584" i="2" s="1"/>
  <c r="B136" i="6" a="1"/>
  <c r="B136" i="6" s="1"/>
  <c r="B131" i="5" a="1"/>
  <c r="B131" i="5" s="1"/>
  <c r="B256" i="4" a="1"/>
  <c r="B256" i="4" s="1"/>
  <c r="AA491" i="2" a="1"/>
  <c r="AA491" i="2" s="1"/>
  <c r="AD491" i="2" a="1"/>
  <c r="AD491" i="2" s="1"/>
  <c r="X491" i="2" a="1"/>
  <c r="X491" i="2" s="1"/>
  <c r="AB491" i="2" a="1"/>
  <c r="AB491" i="2" s="1"/>
  <c r="V491" i="2" a="1"/>
  <c r="V491" i="2" s="1"/>
  <c r="AG491" i="2" a="1"/>
  <c r="AG491" i="2" s="1"/>
  <c r="Z491" i="2" a="1"/>
  <c r="Z491" i="2" s="1"/>
  <c r="T491" i="2" a="1"/>
  <c r="T491" i="2" s="1"/>
  <c r="AF491" i="2" a="1"/>
  <c r="AF491" i="2" s="1"/>
  <c r="AE491" i="2" a="1"/>
  <c r="AE491" i="2" s="1"/>
  <c r="Y491" i="2" a="1"/>
  <c r="Y491" i="2" s="1"/>
  <c r="S491" i="2" a="1"/>
  <c r="S491" i="2" s="1"/>
  <c r="B60" i="9" a="1"/>
  <c r="B60" i="9" s="1"/>
  <c r="AR514" i="2" a="1"/>
  <c r="AR514" i="2" s="1"/>
  <c r="W622" i="12" a="1"/>
  <c r="W622" i="12" s="1"/>
  <c r="AP567" i="2" a="1"/>
  <c r="AP567" i="2" s="1"/>
  <c r="AN567" i="2" a="1"/>
  <c r="AN567" i="2" s="1"/>
  <c r="AM567" i="2" a="1"/>
  <c r="AM567" i="2" s="1"/>
  <c r="AK567" i="2" a="1"/>
  <c r="AK567" i="2" s="1"/>
  <c r="AO567" i="2" a="1"/>
  <c r="AO567" i="2" s="1"/>
  <c r="U300" i="12" a="1"/>
  <c r="U300" i="12" s="1"/>
  <c r="AE670" i="2" a="1"/>
  <c r="AE670" i="2" s="1"/>
  <c r="T670" i="2" a="1"/>
  <c r="T670" i="2" s="1"/>
  <c r="AD670" i="2" a="1"/>
  <c r="AD670" i="2" s="1"/>
  <c r="X670" i="2" a="1"/>
  <c r="X670" i="2" s="1"/>
  <c r="AB670" i="2" a="1"/>
  <c r="AB670" i="2" s="1"/>
  <c r="AA670" i="2" a="1"/>
  <c r="AA670" i="2" s="1"/>
  <c r="AG670" i="2" a="1"/>
  <c r="AG670" i="2" s="1"/>
  <c r="S670" i="2" a="1"/>
  <c r="S670" i="2" s="1"/>
  <c r="Z670" i="2" a="1"/>
  <c r="Z670" i="2" s="1"/>
  <c r="AF670" i="2" a="1"/>
  <c r="AF670" i="2" s="1"/>
  <c r="Y670" i="2" a="1"/>
  <c r="Y670" i="2" s="1"/>
  <c r="W670" i="2" a="1"/>
  <c r="W670" i="2" s="1"/>
  <c r="AC670" i="2" a="1"/>
  <c r="AC670" i="2" s="1"/>
  <c r="V670" i="2" a="1"/>
  <c r="V670" i="2" s="1"/>
  <c r="U361" i="12" a="1"/>
  <c r="U361" i="12" s="1"/>
  <c r="U390" i="12" a="1"/>
  <c r="U390" i="12" s="1"/>
  <c r="AA591" i="2" a="1"/>
  <c r="AA591" i="2" s="1"/>
  <c r="AF591" i="2" a="1"/>
  <c r="AF591" i="2" s="1"/>
  <c r="AE591" i="2" a="1"/>
  <c r="AE591" i="2" s="1"/>
  <c r="T591" i="2" a="1"/>
  <c r="T591" i="2" s="1"/>
  <c r="Y591" i="2" a="1"/>
  <c r="Y591" i="2" s="1"/>
  <c r="X591" i="2" a="1"/>
  <c r="X591" i="2" s="1"/>
  <c r="AD591" i="2" a="1"/>
  <c r="AD591" i="2" s="1"/>
  <c r="S591" i="2" a="1"/>
  <c r="S591" i="2" s="1"/>
  <c r="AC591" i="2" a="1"/>
  <c r="AC591" i="2" s="1"/>
  <c r="AB591" i="2" a="1"/>
  <c r="AB591" i="2" s="1"/>
  <c r="Z591" i="2" a="1"/>
  <c r="Z591" i="2" s="1"/>
  <c r="W591" i="2" a="1"/>
  <c r="W591" i="2" s="1"/>
  <c r="AG591" i="2" a="1"/>
  <c r="AG591" i="2" s="1"/>
  <c r="V591" i="2" a="1"/>
  <c r="V591" i="2" s="1"/>
  <c r="U301" i="12" a="1"/>
  <c r="U301" i="12" s="1"/>
  <c r="X423" i="2" a="1"/>
  <c r="X423" i="2" s="1"/>
  <c r="AE423" i="2" a="1"/>
  <c r="AE423" i="2" s="1"/>
  <c r="D133" i="7" a="1"/>
  <c r="D133" i="7" s="1"/>
  <c r="D231" i="4" a="1"/>
  <c r="D231" i="4" s="1"/>
  <c r="B121" i="6" a="1"/>
  <c r="B121" i="6" s="1"/>
  <c r="B134" i="7" a="1"/>
  <c r="B134" i="7" s="1"/>
  <c r="B233" i="4" a="1"/>
  <c r="B233" i="4" s="1"/>
  <c r="U247" i="12" a="1"/>
  <c r="U247" i="12" s="1"/>
  <c r="X537" i="2" a="1"/>
  <c r="X537" i="2" s="1"/>
  <c r="AE537" i="2" a="1"/>
  <c r="AE537" i="2" s="1"/>
  <c r="D124" i="5" a="1"/>
  <c r="D124" i="5" s="1"/>
  <c r="D246" i="4" a="1"/>
  <c r="D246" i="4" s="1"/>
  <c r="B124" i="6" a="1"/>
  <c r="B124" i="6" s="1"/>
  <c r="B137" i="7" a="1"/>
  <c r="B137" i="7" s="1"/>
  <c r="B236" i="4" a="1"/>
  <c r="B236" i="4" s="1"/>
  <c r="AC501" i="2" a="1"/>
  <c r="AC501" i="2" s="1"/>
  <c r="AF501" i="2" a="1"/>
  <c r="AF501" i="2" s="1"/>
  <c r="Z501" i="2" a="1"/>
  <c r="Z501" i="2" s="1"/>
  <c r="X501" i="2" a="1"/>
  <c r="X501" i="2" s="1"/>
  <c r="AE501" i="2" a="1"/>
  <c r="AE501" i="2" s="1"/>
  <c r="E576" i="12" a="1"/>
  <c r="E576" i="12" s="1"/>
  <c r="AC526" i="2" a="1"/>
  <c r="AC526" i="2" s="1"/>
  <c r="AB580" i="2" a="1"/>
  <c r="AB580" i="2" s="1"/>
  <c r="E574" i="12" a="1"/>
  <c r="E574" i="12" s="1"/>
  <c r="AF520" i="2" a="1"/>
  <c r="AF520" i="2" s="1"/>
  <c r="X520" i="2" a="1"/>
  <c r="X520" i="2" s="1"/>
  <c r="AD520" i="2" a="1"/>
  <c r="AD520" i="2" s="1"/>
  <c r="AB520" i="2" a="1"/>
  <c r="AB520" i="2" s="1"/>
  <c r="V520" i="2" a="1"/>
  <c r="V520" i="2" s="1"/>
  <c r="AG520" i="2" a="1"/>
  <c r="AG520" i="2" s="1"/>
  <c r="AA520" i="2" a="1"/>
  <c r="AA520" i="2" s="1"/>
  <c r="S520" i="2" a="1"/>
  <c r="S520" i="2" s="1"/>
  <c r="AD543" i="2" a="1"/>
  <c r="AD543" i="2" s="1"/>
  <c r="X543" i="2" a="1"/>
  <c r="X543" i="2" s="1"/>
  <c r="S543" i="2" a="1"/>
  <c r="S543" i="2" s="1"/>
  <c r="AE543" i="2" a="1"/>
  <c r="AE543" i="2" s="1"/>
  <c r="Y543" i="2" a="1"/>
  <c r="Y543" i="2" s="1"/>
  <c r="AB543" i="2" a="1"/>
  <c r="AB543" i="2" s="1"/>
  <c r="V543" i="2" a="1"/>
  <c r="V543" i="2" s="1"/>
  <c r="W513" i="2" a="1"/>
  <c r="W513" i="2" s="1"/>
  <c r="AG513" i="2" a="1"/>
  <c r="AG513" i="2" s="1"/>
  <c r="AA513" i="2" a="1"/>
  <c r="AA513" i="2" s="1"/>
  <c r="S513" i="2" a="1"/>
  <c r="S513" i="2" s="1"/>
  <c r="AE513" i="2" a="1"/>
  <c r="AE513" i="2" s="1"/>
  <c r="Y513" i="2" a="1"/>
  <c r="Y513" i="2" s="1"/>
  <c r="X513" i="2" a="1"/>
  <c r="X513" i="2" s="1"/>
  <c r="AC513" i="2" a="1"/>
  <c r="AC513" i="2" s="1"/>
  <c r="AF513" i="2" a="1"/>
  <c r="AF513" i="2" s="1"/>
  <c r="D137" i="6" a="1"/>
  <c r="D137" i="6" s="1"/>
  <c r="D146" i="7" a="1"/>
  <c r="D146" i="7" s="1"/>
  <c r="D257" i="4" a="1"/>
  <c r="D257" i="4" s="1"/>
  <c r="B132" i="6" a="1"/>
  <c r="B132" i="6" s="1"/>
  <c r="B128" i="5" a="1"/>
  <c r="B128" i="5" s="1"/>
  <c r="B252" i="4" a="1"/>
  <c r="B252" i="4" s="1"/>
  <c r="AE475" i="2" a="1"/>
  <c r="AE475" i="2" s="1"/>
  <c r="T475" i="2" a="1"/>
  <c r="T475" i="2" s="1"/>
  <c r="AD475" i="2" a="1"/>
  <c r="AD475" i="2" s="1"/>
  <c r="X475" i="2" a="1"/>
  <c r="X475" i="2" s="1"/>
  <c r="AB475" i="2" a="1"/>
  <c r="AB475" i="2" s="1"/>
  <c r="AA475" i="2" a="1"/>
  <c r="AA475" i="2" s="1"/>
  <c r="AG475" i="2" a="1"/>
  <c r="AG475" i="2" s="1"/>
  <c r="Y475" i="2" a="1"/>
  <c r="Y475" i="2" s="1"/>
  <c r="S475" i="2" a="1"/>
  <c r="S475" i="2" s="1"/>
  <c r="AC475" i="2" a="1"/>
  <c r="AC475" i="2" s="1"/>
  <c r="AF531" i="2" a="1"/>
  <c r="AF531" i="2" s="1"/>
  <c r="AD531" i="2" a="1"/>
  <c r="AD531" i="2" s="1"/>
  <c r="X531" i="2" a="1"/>
  <c r="X531" i="2" s="1"/>
  <c r="V531" i="2" a="1"/>
  <c r="V531" i="2" s="1"/>
  <c r="AB531" i="2" a="1"/>
  <c r="AB531" i="2" s="1"/>
  <c r="AA531" i="2" a="1"/>
  <c r="AA531" i="2" s="1"/>
  <c r="AD503" i="2" a="1"/>
  <c r="AD503" i="2" s="1"/>
  <c r="S503" i="2" a="1"/>
  <c r="S503" i="2" s="1"/>
  <c r="AE503" i="2" a="1"/>
  <c r="AE503" i="2" s="1"/>
  <c r="Y503" i="2" a="1"/>
  <c r="Y503" i="2" s="1"/>
  <c r="X503" i="2" a="1"/>
  <c r="X503" i="2" s="1"/>
  <c r="V503" i="2" a="1"/>
  <c r="V503" i="2" s="1"/>
  <c r="AB503" i="2" a="1"/>
  <c r="AB503" i="2" s="1"/>
  <c r="AA503" i="2" a="1"/>
  <c r="AA503" i="2" s="1"/>
  <c r="AF503" i="2" a="1"/>
  <c r="AF503" i="2" s="1"/>
  <c r="Z503" i="2" a="1"/>
  <c r="Z503" i="2" s="1"/>
  <c r="T503" i="2" a="1"/>
  <c r="T503" i="2" s="1"/>
  <c r="U411" i="12" a="1"/>
  <c r="U411" i="12" s="1"/>
  <c r="AE506" i="2" a="1"/>
  <c r="AE506" i="2" s="1"/>
  <c r="T506" i="2" a="1"/>
  <c r="T506" i="2" s="1"/>
  <c r="AD506" i="2" a="1"/>
  <c r="AD506" i="2" s="1"/>
  <c r="X506" i="2" a="1"/>
  <c r="X506" i="2" s="1"/>
  <c r="AB506" i="2" a="1"/>
  <c r="AB506" i="2" s="1"/>
  <c r="AA506" i="2" a="1"/>
  <c r="AA506" i="2" s="1"/>
  <c r="AG506" i="2" a="1"/>
  <c r="AG506" i="2" s="1"/>
  <c r="S506" i="2" a="1"/>
  <c r="S506" i="2" s="1"/>
  <c r="Z506" i="2" a="1"/>
  <c r="Z506" i="2" s="1"/>
  <c r="AF506" i="2" a="1"/>
  <c r="AF506" i="2" s="1"/>
  <c r="Y506" i="2" a="1"/>
  <c r="Y506" i="2" s="1"/>
  <c r="W506" i="2" a="1"/>
  <c r="W506" i="2" s="1"/>
  <c r="AC506" i="2" a="1"/>
  <c r="AC506" i="2" s="1"/>
  <c r="V506" i="2" a="1"/>
  <c r="V506" i="2" s="1"/>
  <c r="B166" i="7" a="1"/>
  <c r="B166" i="7" s="1"/>
  <c r="B165" i="6" a="1"/>
  <c r="B165" i="6" s="1"/>
  <c r="B166" i="5" a="1"/>
  <c r="B166" i="5" s="1"/>
  <c r="B310" i="4" a="1"/>
  <c r="B310" i="4" s="1"/>
  <c r="B163" i="6" a="1"/>
  <c r="B163" i="6" s="1"/>
  <c r="B306" i="4" a="1"/>
  <c r="B306" i="4" s="1"/>
  <c r="AG563" i="2" a="1"/>
  <c r="AG563" i="2" s="1"/>
  <c r="AA563" i="2" a="1"/>
  <c r="AA563" i="2" s="1"/>
  <c r="AF563" i="2" a="1"/>
  <c r="AF563" i="2" s="1"/>
  <c r="AE563" i="2" a="1"/>
  <c r="AE563" i="2" s="1"/>
  <c r="T563" i="2" a="1"/>
  <c r="T563" i="2" s="1"/>
  <c r="Y563" i="2" a="1"/>
  <c r="Y563" i="2" s="1"/>
  <c r="X563" i="2" a="1"/>
  <c r="X563" i="2" s="1"/>
  <c r="W563" i="2" a="1"/>
  <c r="W563" i="2" s="1"/>
  <c r="V563" i="2" a="1"/>
  <c r="V563" i="2" s="1"/>
  <c r="AD563" i="2" a="1"/>
  <c r="AD563" i="2" s="1"/>
  <c r="S563" i="2" a="1"/>
  <c r="S563" i="2" s="1"/>
  <c r="AC563" i="2" a="1"/>
  <c r="AC563" i="2" s="1"/>
  <c r="AB563" i="2" a="1"/>
  <c r="AB563" i="2" s="1"/>
  <c r="Z563" i="2" a="1"/>
  <c r="Z563" i="2" s="1"/>
  <c r="U413" i="12" a="1"/>
  <c r="U413" i="12" s="1"/>
  <c r="U254" i="12" a="1"/>
  <c r="U254" i="12" s="1"/>
  <c r="U158" i="12" a="1"/>
  <c r="U158" i="12" s="1"/>
  <c r="Y423" i="2" a="1"/>
  <c r="Y423" i="2" s="1"/>
  <c r="U329" i="12" a="1"/>
  <c r="U329" i="12" s="1"/>
  <c r="Y537" i="2" a="1"/>
  <c r="Y537" i="2" s="1"/>
  <c r="U334" i="12" a="1"/>
  <c r="U334" i="12" s="1"/>
  <c r="W664" i="12" a="1"/>
  <c r="W664" i="12" s="1"/>
  <c r="AM297" i="2" a="1"/>
  <c r="AM297" i="2" s="1"/>
  <c r="AP297" i="2" a="1"/>
  <c r="AP297" i="2" s="1"/>
  <c r="B138" i="7" a="1"/>
  <c r="B138" i="7" s="1"/>
  <c r="B125" i="6" a="1"/>
  <c r="B125" i="6" s="1"/>
  <c r="B117" i="5" a="1"/>
  <c r="B117" i="5" s="1"/>
  <c r="B237" i="4" a="1"/>
  <c r="B237" i="4" s="1"/>
  <c r="U605" i="12" a="1"/>
  <c r="U605" i="12" s="1"/>
  <c r="AG501" i="2" a="1"/>
  <c r="AG501" i="2" s="1"/>
  <c r="W626" i="12" a="1"/>
  <c r="W626" i="12" s="1"/>
  <c r="AN228" i="2" a="1"/>
  <c r="AN228" i="2" s="1"/>
  <c r="AR228" i="2" a="1"/>
  <c r="AR228" i="2" s="1"/>
  <c r="U576" i="12" a="1"/>
  <c r="U576" i="12" s="1"/>
  <c r="AR261" i="2" a="1"/>
  <c r="AR261" i="2" s="1"/>
  <c r="AC494" i="2" a="1"/>
  <c r="AC494" i="2" s="1"/>
  <c r="W494" i="2" a="1"/>
  <c r="W494" i="2" s="1"/>
  <c r="AA494" i="2" a="1"/>
  <c r="AA494" i="2" s="1"/>
  <c r="AF494" i="2" a="1"/>
  <c r="AF494" i="2" s="1"/>
  <c r="Z494" i="2" a="1"/>
  <c r="Z494" i="2" s="1"/>
  <c r="Y494" i="2" a="1"/>
  <c r="Y494" i="2" s="1"/>
  <c r="B141" i="7" a="1"/>
  <c r="B141" i="7" s="1"/>
  <c r="B121" i="5" a="1"/>
  <c r="B121" i="5" s="1"/>
  <c r="B242" i="4" a="1"/>
  <c r="B242" i="4" s="1"/>
  <c r="AD526" i="2" a="1"/>
  <c r="AD526" i="2" s="1"/>
  <c r="D145" i="7" a="1"/>
  <c r="D145" i="7" s="1"/>
  <c r="D133" i="6" a="1"/>
  <c r="D133" i="6" s="1"/>
  <c r="D253" i="4" a="1"/>
  <c r="D253" i="4" s="1"/>
  <c r="AC520" i="2" a="1"/>
  <c r="AC520" i="2" s="1"/>
  <c r="E343" i="12" a="1"/>
  <c r="E343" i="12" s="1"/>
  <c r="AF543" i="2" a="1"/>
  <c r="AF543" i="2" s="1"/>
  <c r="D138" i="5" a="1"/>
  <c r="D138" i="5" s="1"/>
  <c r="D266" i="4" a="1"/>
  <c r="D266" i="4" s="1"/>
  <c r="AE465" i="2" a="1"/>
  <c r="AE465" i="2" s="1"/>
  <c r="T465" i="2" a="1"/>
  <c r="T465" i="2" s="1"/>
  <c r="Y465" i="2" a="1"/>
  <c r="Y465" i="2" s="1"/>
  <c r="S465" i="2" a="1"/>
  <c r="S465" i="2" s="1"/>
  <c r="AC465" i="2" a="1"/>
  <c r="AC465" i="2" s="1"/>
  <c r="AB465" i="2" a="1"/>
  <c r="AB465" i="2" s="1"/>
  <c r="V465" i="2" a="1"/>
  <c r="V465" i="2" s="1"/>
  <c r="AD465" i="2" a="1"/>
  <c r="AD465" i="2" s="1"/>
  <c r="AC640" i="2" a="1"/>
  <c r="AC640" i="2" s="1"/>
  <c r="AD640" i="2" a="1"/>
  <c r="AD640" i="2" s="1"/>
  <c r="X640" i="2" a="1"/>
  <c r="X640" i="2" s="1"/>
  <c r="AB640" i="2" a="1"/>
  <c r="AB640" i="2" s="1"/>
  <c r="AA640" i="2" a="1"/>
  <c r="AA640" i="2" s="1"/>
  <c r="AG640" i="2" a="1"/>
  <c r="AG640" i="2" s="1"/>
  <c r="AE531" i="2" a="1"/>
  <c r="AE531" i="2" s="1"/>
  <c r="U338" i="12" a="1"/>
  <c r="U338" i="12" s="1"/>
  <c r="U340" i="12" a="1"/>
  <c r="U340" i="12" s="1"/>
  <c r="AE528" i="2" a="1"/>
  <c r="AE528" i="2" s="1"/>
  <c r="T528" i="2" a="1"/>
  <c r="T528" i="2" s="1"/>
  <c r="AD528" i="2" a="1"/>
  <c r="AD528" i="2" s="1"/>
  <c r="X528" i="2" a="1"/>
  <c r="X528" i="2" s="1"/>
  <c r="AB528" i="2" a="1"/>
  <c r="AB528" i="2" s="1"/>
  <c r="AA528" i="2" a="1"/>
  <c r="AA528" i="2" s="1"/>
  <c r="AG528" i="2" a="1"/>
  <c r="AG528" i="2" s="1"/>
  <c r="S528" i="2" a="1"/>
  <c r="S528" i="2" s="1"/>
  <c r="Z528" i="2" a="1"/>
  <c r="Z528" i="2" s="1"/>
  <c r="AF528" i="2" a="1"/>
  <c r="AF528" i="2" s="1"/>
  <c r="Y528" i="2" a="1"/>
  <c r="Y528" i="2" s="1"/>
  <c r="W528" i="2" a="1"/>
  <c r="W528" i="2" s="1"/>
  <c r="AC528" i="2" a="1"/>
  <c r="AC528" i="2" s="1"/>
  <c r="V528" i="2" a="1"/>
  <c r="V528" i="2" s="1"/>
  <c r="V596" i="2" a="1"/>
  <c r="V596" i="2" s="1"/>
  <c r="AC596" i="2" a="1"/>
  <c r="AC596" i="2" s="1"/>
  <c r="U582" i="2" a="1"/>
  <c r="U582" i="2" s="1"/>
  <c r="W629" i="12" a="1"/>
  <c r="W629" i="12" s="1"/>
  <c r="AO186" i="2" a="1"/>
  <c r="AO186" i="2" s="1"/>
  <c r="E187" i="12" a="1"/>
  <c r="E187" i="12" s="1"/>
  <c r="W668" i="12" a="1"/>
  <c r="W668" i="12" s="1"/>
  <c r="AO136" i="2" a="1"/>
  <c r="AO136" i="2" s="1"/>
  <c r="E499" i="12" a="1"/>
  <c r="E499" i="12" s="1"/>
  <c r="B93" i="6" a="1"/>
  <c r="B93" i="6" s="1"/>
  <c r="B105" i="7" a="1"/>
  <c r="B105" i="7" s="1"/>
  <c r="B184" i="4" a="1"/>
  <c r="B184" i="4" s="1"/>
  <c r="B92" i="5" a="1"/>
  <c r="B92" i="5" s="1"/>
  <c r="V449" i="2" a="1"/>
  <c r="V449" i="2" s="1"/>
  <c r="AB449" i="2" a="1"/>
  <c r="AB449" i="2" s="1"/>
  <c r="U246" i="12" a="1"/>
  <c r="U246" i="12" s="1"/>
  <c r="E564" i="12" a="1"/>
  <c r="E564" i="12" s="1"/>
  <c r="V248" i="2" a="1"/>
  <c r="V248" i="2" s="1"/>
  <c r="AB248" i="2" a="1"/>
  <c r="AB248" i="2" s="1"/>
  <c r="U457" i="12" a="1"/>
  <c r="U457" i="12" s="1"/>
  <c r="E475" i="12" a="1"/>
  <c r="E475" i="12" s="1"/>
  <c r="D109" i="7" a="1"/>
  <c r="D109" i="7" s="1"/>
  <c r="D190" i="4" a="1"/>
  <c r="D190" i="4" s="1"/>
  <c r="B110" i="7" a="1"/>
  <c r="B110" i="7" s="1"/>
  <c r="B98" i="6" a="1"/>
  <c r="B98" i="6" s="1"/>
  <c r="B191" i="4" a="1"/>
  <c r="B191" i="4" s="1"/>
  <c r="V404" i="2" a="1"/>
  <c r="V404" i="2" s="1"/>
  <c r="AB404" i="2" a="1"/>
  <c r="AB404" i="2" s="1"/>
  <c r="U214" i="12" a="1"/>
  <c r="U214" i="12" s="1"/>
  <c r="B102" i="5" a="1"/>
  <c r="B102" i="5" s="1"/>
  <c r="B204" i="4" a="1"/>
  <c r="B204" i="4" s="1"/>
  <c r="AB578" i="2" a="1"/>
  <c r="AB578" i="2" s="1"/>
  <c r="U273" i="12" a="1"/>
  <c r="U273" i="12" s="1"/>
  <c r="U519" i="12" a="1"/>
  <c r="U519" i="12" s="1"/>
  <c r="B101" i="6" a="1"/>
  <c r="B101" i="6" s="1"/>
  <c r="B97" i="5" a="1"/>
  <c r="B97" i="5" s="1"/>
  <c r="B195" i="4" a="1"/>
  <c r="B195" i="4" s="1"/>
  <c r="U218" i="12" a="1"/>
  <c r="U218" i="12" s="1"/>
  <c r="U561" i="12" a="1"/>
  <c r="U561" i="12" s="1"/>
  <c r="B116" i="7" a="1"/>
  <c r="B116" i="7" s="1"/>
  <c r="B99" i="5" a="1"/>
  <c r="B99" i="5" s="1"/>
  <c r="B201" i="4" a="1"/>
  <c r="B201" i="4" s="1"/>
  <c r="U237" i="12" a="1"/>
  <c r="U237" i="12" s="1"/>
  <c r="U226" i="12" a="1"/>
  <c r="U226" i="12" s="1"/>
  <c r="AE515" i="2" a="1"/>
  <c r="AE515" i="2" s="1"/>
  <c r="T515" i="2" a="1"/>
  <c r="T515" i="2" s="1"/>
  <c r="AC515" i="2" a="1"/>
  <c r="AC515" i="2" s="1"/>
  <c r="E539" i="12" a="1"/>
  <c r="E539" i="12" s="1"/>
  <c r="D107" i="6" a="1"/>
  <c r="D107" i="6" s="1"/>
  <c r="D118" i="7" a="1"/>
  <c r="D118" i="7" s="1"/>
  <c r="D207" i="4" a="1"/>
  <c r="D207" i="4" s="1"/>
  <c r="U295" i="12" a="1"/>
  <c r="U295" i="12" s="1"/>
  <c r="AE538" i="2" a="1"/>
  <c r="AE538" i="2" s="1"/>
  <c r="T538" i="2" a="1"/>
  <c r="T538" i="2" s="1"/>
  <c r="AC538" i="2" a="1"/>
  <c r="AC538" i="2" s="1"/>
  <c r="E238" i="12" a="1"/>
  <c r="E238" i="12" s="1"/>
  <c r="D116" i="5" a="1"/>
  <c r="D116" i="5" s="1"/>
  <c r="D232" i="4" a="1"/>
  <c r="D232" i="4" s="1"/>
  <c r="Z507" i="2" a="1"/>
  <c r="Z507" i="2" s="1"/>
  <c r="AF507" i="2" a="1"/>
  <c r="AF507" i="2" s="1"/>
  <c r="B108" i="6" a="1"/>
  <c r="B108" i="6" s="1"/>
  <c r="B208" i="4" a="1"/>
  <c r="B208" i="4" s="1"/>
  <c r="B109" i="5" a="1"/>
  <c r="B109" i="5" s="1"/>
  <c r="B114" i="6" a="1"/>
  <c r="B114" i="6" s="1"/>
  <c r="B219" i="4" a="1"/>
  <c r="B219" i="4" s="1"/>
  <c r="B119" i="6" a="1"/>
  <c r="B119" i="6" s="1"/>
  <c r="B132" i="7" a="1"/>
  <c r="B132" i="7" s="1"/>
  <c r="B229" i="4" a="1"/>
  <c r="B229" i="4" s="1"/>
  <c r="B136" i="7" a="1"/>
  <c r="B136" i="7" s="1"/>
  <c r="B123" i="6" a="1"/>
  <c r="B123" i="6" s="1"/>
  <c r="B235" i="4" a="1"/>
  <c r="B235" i="4" s="1"/>
  <c r="AA390" i="2" a="1"/>
  <c r="AA390" i="2" s="1"/>
  <c r="T605" i="2" a="1"/>
  <c r="T605" i="2" s="1"/>
  <c r="B117" i="6" a="1"/>
  <c r="B117" i="6" s="1"/>
  <c r="B226" i="4" a="1"/>
  <c r="B226" i="4" s="1"/>
  <c r="S481" i="2" a="1"/>
  <c r="S481" i="2" s="1"/>
  <c r="Y501" i="2" a="1"/>
  <c r="Y501" i="2" s="1"/>
  <c r="U251" i="12" a="1"/>
  <c r="U251" i="12" s="1"/>
  <c r="S512" i="2" a="1"/>
  <c r="S512" i="2" s="1"/>
  <c r="E242" i="12" a="1"/>
  <c r="E242" i="12" s="1"/>
  <c r="T526" i="2" a="1"/>
  <c r="T526" i="2" s="1"/>
  <c r="AF526" i="2" a="1"/>
  <c r="AF526" i="2" s="1"/>
  <c r="AC580" i="2" a="1"/>
  <c r="AC580" i="2" s="1"/>
  <c r="Z609" i="2" a="1"/>
  <c r="Z609" i="2" s="1"/>
  <c r="D128" i="6" a="1"/>
  <c r="D128" i="6" s="1"/>
  <c r="D125" i="5" a="1"/>
  <c r="D125" i="5" s="1"/>
  <c r="D247" i="4" a="1"/>
  <c r="D247" i="4" s="1"/>
  <c r="W451" i="2" a="1"/>
  <c r="W451" i="2" s="1"/>
  <c r="AE451" i="2" a="1"/>
  <c r="AE451" i="2" s="1"/>
  <c r="Y451" i="2" a="1"/>
  <c r="Y451" i="2" s="1"/>
  <c r="X451" i="2" a="1"/>
  <c r="X451" i="2" s="1"/>
  <c r="AB451" i="2" a="1"/>
  <c r="AB451" i="2" s="1"/>
  <c r="V451" i="2" a="1"/>
  <c r="V451" i="2" s="1"/>
  <c r="AG451" i="2" a="1"/>
  <c r="AG451" i="2" s="1"/>
  <c r="AA451" i="2" a="1"/>
  <c r="AA451" i="2" s="1"/>
  <c r="AF451" i="2" a="1"/>
  <c r="AF451" i="2" s="1"/>
  <c r="Z451" i="2" a="1"/>
  <c r="Z451" i="2" s="1"/>
  <c r="T451" i="2" a="1"/>
  <c r="T451" i="2" s="1"/>
  <c r="AD451" i="2" a="1"/>
  <c r="AD451" i="2" s="1"/>
  <c r="AE520" i="2" a="1"/>
  <c r="AE520" i="2" s="1"/>
  <c r="AG543" i="2" a="1"/>
  <c r="AG543" i="2" s="1"/>
  <c r="AE452" i="2" a="1"/>
  <c r="AE452" i="2" s="1"/>
  <c r="T452" i="2" a="1"/>
  <c r="T452" i="2" s="1"/>
  <c r="AG452" i="2" a="1"/>
  <c r="AG452" i="2" s="1"/>
  <c r="AA452" i="2" a="1"/>
  <c r="AA452" i="2" s="1"/>
  <c r="X452" i="2" a="1"/>
  <c r="X452" i="2" s="1"/>
  <c r="AD452" i="2" a="1"/>
  <c r="AD452" i="2" s="1"/>
  <c r="AC452" i="2" a="1"/>
  <c r="AC452" i="2" s="1"/>
  <c r="W452" i="2" a="1"/>
  <c r="W452" i="2" s="1"/>
  <c r="AB452" i="2" a="1"/>
  <c r="AB452" i="2" s="1"/>
  <c r="V452" i="2" a="1"/>
  <c r="V452" i="2" s="1"/>
  <c r="T513" i="2" a="1"/>
  <c r="T513" i="2" s="1"/>
  <c r="E364" i="12" a="1"/>
  <c r="E364" i="12" s="1"/>
  <c r="AF465" i="2" a="1"/>
  <c r="AF465" i="2" s="1"/>
  <c r="AC584" i="2" a="1"/>
  <c r="AC584" i="2" s="1"/>
  <c r="D141" i="5" a="1"/>
  <c r="D141" i="5" s="1"/>
  <c r="D269" i="4" a="1"/>
  <c r="D269" i="4" s="1"/>
  <c r="AF475" i="2" a="1"/>
  <c r="AF475" i="2" s="1"/>
  <c r="AE640" i="2" a="1"/>
  <c r="AE640" i="2" s="1"/>
  <c r="AG531" i="2" a="1"/>
  <c r="AG531" i="2" s="1"/>
  <c r="AG503" i="2" a="1"/>
  <c r="AG503" i="2" s="1"/>
  <c r="B148" i="7" a="1"/>
  <c r="B148" i="7" s="1"/>
  <c r="B259" i="4" a="1"/>
  <c r="B259" i="4" s="1"/>
  <c r="D150" i="7" a="1"/>
  <c r="D150" i="7" s="1"/>
  <c r="D142" i="6" a="1"/>
  <c r="D142" i="6" s="1"/>
  <c r="D270" i="4" a="1"/>
  <c r="D270" i="4" s="1"/>
  <c r="W491" i="2" a="1"/>
  <c r="W491" i="2" s="1"/>
  <c r="D151" i="5" a="1"/>
  <c r="D151" i="5" s="1"/>
  <c r="D282" i="4" a="1"/>
  <c r="D282" i="4" s="1"/>
  <c r="D159" i="5" a="1"/>
  <c r="D159" i="5" s="1"/>
  <c r="D292" i="4" a="1"/>
  <c r="D292" i="4" s="1"/>
  <c r="E288" i="12" a="1"/>
  <c r="E288" i="12" s="1"/>
  <c r="B145" i="6" a="1"/>
  <c r="B145" i="6" s="1"/>
  <c r="B275" i="4" a="1"/>
  <c r="B275" i="4" s="1"/>
  <c r="B164" i="5" a="1"/>
  <c r="B164" i="5" s="1"/>
  <c r="B304" i="4" a="1"/>
  <c r="B304" i="4" s="1"/>
  <c r="D165" i="7" a="1"/>
  <c r="D165" i="7" s="1"/>
  <c r="D308" i="4" a="1"/>
  <c r="D308" i="4" s="1"/>
  <c r="AE602" i="2" a="1"/>
  <c r="AE602" i="2" s="1"/>
  <c r="T602" i="2" a="1"/>
  <c r="T602" i="2" s="1"/>
  <c r="AD602" i="2" a="1"/>
  <c r="AD602" i="2" s="1"/>
  <c r="X602" i="2" a="1"/>
  <c r="X602" i="2" s="1"/>
  <c r="AC602" i="2" a="1"/>
  <c r="AC602" i="2" s="1"/>
  <c r="AA602" i="2" a="1"/>
  <c r="AA602" i="2" s="1"/>
  <c r="S602" i="2" a="1"/>
  <c r="S602" i="2" s="1"/>
  <c r="AG602" i="2" a="1"/>
  <c r="AG602" i="2" s="1"/>
  <c r="Z602" i="2" a="1"/>
  <c r="Z602" i="2" s="1"/>
  <c r="Y602" i="2" a="1"/>
  <c r="Y602" i="2" s="1"/>
  <c r="AF602" i="2" a="1"/>
  <c r="AF602" i="2" s="1"/>
  <c r="W602" i="2" a="1"/>
  <c r="W602" i="2" s="1"/>
  <c r="V602" i="2" a="1"/>
  <c r="V602" i="2" s="1"/>
  <c r="AB602" i="2" a="1"/>
  <c r="AB602" i="2" s="1"/>
  <c r="B175" i="5" a="1"/>
  <c r="B175" i="5" s="1"/>
  <c r="B330" i="4" a="1"/>
  <c r="B330" i="4" s="1"/>
  <c r="U380" i="12" a="1"/>
  <c r="U380" i="12" s="1"/>
  <c r="B175" i="7" a="1"/>
  <c r="B175" i="7" s="1"/>
  <c r="B323" i="4" a="1"/>
  <c r="B323" i="4" s="1"/>
  <c r="AG553" i="2" a="1"/>
  <c r="AG553" i="2" s="1"/>
  <c r="AA553" i="2" a="1"/>
  <c r="AA553" i="2" s="1"/>
  <c r="AF553" i="2" a="1"/>
  <c r="AF553" i="2" s="1"/>
  <c r="Z553" i="2" a="1"/>
  <c r="Z553" i="2" s="1"/>
  <c r="AE553" i="2" a="1"/>
  <c r="AE553" i="2" s="1"/>
  <c r="T553" i="2" a="1"/>
  <c r="T553" i="2" s="1"/>
  <c r="Y553" i="2" a="1"/>
  <c r="Y553" i="2" s="1"/>
  <c r="AD553" i="2" a="1"/>
  <c r="AD553" i="2" s="1"/>
  <c r="S553" i="2" a="1"/>
  <c r="S553" i="2" s="1"/>
  <c r="X553" i="2" a="1"/>
  <c r="X553" i="2" s="1"/>
  <c r="V553" i="2" a="1"/>
  <c r="V553" i="2" s="1"/>
  <c r="AC553" i="2" a="1"/>
  <c r="AC553" i="2" s="1"/>
  <c r="AB553" i="2" a="1"/>
  <c r="AB553" i="2" s="1"/>
  <c r="W553" i="2" a="1"/>
  <c r="W553" i="2" s="1"/>
  <c r="W515" i="2" a="1"/>
  <c r="W515" i="2" s="1"/>
  <c r="E505" i="12" a="1"/>
  <c r="E505" i="12" s="1"/>
  <c r="T366" i="2" a="1"/>
  <c r="T366" i="2" s="1"/>
  <c r="Z366" i="2" a="1"/>
  <c r="Z366" i="2" s="1"/>
  <c r="AF366" i="2" a="1"/>
  <c r="AF366" i="2" s="1"/>
  <c r="U243" i="12" a="1"/>
  <c r="U243" i="12" s="1"/>
  <c r="V424" i="2" a="1"/>
  <c r="V424" i="2" s="1"/>
  <c r="AB424" i="2" a="1"/>
  <c r="AB424" i="2" s="1"/>
  <c r="AG479" i="2" a="1"/>
  <c r="AG479" i="2" s="1"/>
  <c r="V479" i="2" a="1"/>
  <c r="V479" i="2" s="1"/>
  <c r="W479" i="2" a="1"/>
  <c r="W479" i="2" s="1"/>
  <c r="W538" i="2" a="1"/>
  <c r="W538" i="2" s="1"/>
  <c r="E211" i="12" a="1"/>
  <c r="E211" i="12" s="1"/>
  <c r="T516" i="2" a="1"/>
  <c r="T516" i="2" s="1"/>
  <c r="Z516" i="2" a="1"/>
  <c r="Z516" i="2" s="1"/>
  <c r="AF516" i="2" a="1"/>
  <c r="AF516" i="2" s="1"/>
  <c r="AD286" i="2" a="1"/>
  <c r="AD286" i="2" s="1"/>
  <c r="S286" i="2" a="1"/>
  <c r="S286" i="2" s="1"/>
  <c r="AG286" i="2" a="1"/>
  <c r="AG286" i="2" s="1"/>
  <c r="V286" i="2" a="1"/>
  <c r="V286" i="2" s="1"/>
  <c r="X286" i="2" a="1"/>
  <c r="X286" i="2" s="1"/>
  <c r="AE286" i="2" a="1"/>
  <c r="AE286" i="2" s="1"/>
  <c r="AB318" i="2" a="1"/>
  <c r="AB318" i="2" s="1"/>
  <c r="E281" i="12" a="1"/>
  <c r="E281" i="12" s="1"/>
  <c r="AD411" i="2" a="1"/>
  <c r="AD411" i="2" s="1"/>
  <c r="S411" i="2" a="1"/>
  <c r="S411" i="2" s="1"/>
  <c r="AG411" i="2" a="1"/>
  <c r="AG411" i="2" s="1"/>
  <c r="V411" i="2" a="1"/>
  <c r="V411" i="2" s="1"/>
  <c r="X411" i="2" a="1"/>
  <c r="X411" i="2" s="1"/>
  <c r="AE411" i="2" a="1"/>
  <c r="AE411" i="2" s="1"/>
  <c r="AB316" i="2" a="1"/>
  <c r="AB316" i="2" s="1"/>
  <c r="E276" i="12" a="1"/>
  <c r="E276" i="12" s="1"/>
  <c r="AD406" i="2" a="1"/>
  <c r="AD406" i="2" s="1"/>
  <c r="S406" i="2" a="1"/>
  <c r="S406" i="2" s="1"/>
  <c r="AG406" i="2" a="1"/>
  <c r="AG406" i="2" s="1"/>
  <c r="V406" i="2" a="1"/>
  <c r="V406" i="2" s="1"/>
  <c r="X406" i="2" a="1"/>
  <c r="X406" i="2" s="1"/>
  <c r="AE406" i="2" a="1"/>
  <c r="AE406" i="2" s="1"/>
  <c r="AB472" i="2" a="1"/>
  <c r="AB472" i="2" s="1"/>
  <c r="E223" i="12" a="1"/>
  <c r="E223" i="12" s="1"/>
  <c r="V402" i="2" a="1"/>
  <c r="V402" i="2" s="1"/>
  <c r="AD276" i="2" a="1"/>
  <c r="AD276" i="2" s="1"/>
  <c r="S276" i="2" a="1"/>
  <c r="S276" i="2" s="1"/>
  <c r="AG276" i="2" a="1"/>
  <c r="AG276" i="2" s="1"/>
  <c r="V276" i="2" a="1"/>
  <c r="V276" i="2" s="1"/>
  <c r="X276" i="2" a="1"/>
  <c r="X276" i="2" s="1"/>
  <c r="AE276" i="2" a="1"/>
  <c r="AE276" i="2" s="1"/>
  <c r="AB490" i="2" a="1"/>
  <c r="AB490" i="2" s="1"/>
  <c r="E265" i="12" a="1"/>
  <c r="E265" i="12" s="1"/>
  <c r="V544" i="2" a="1"/>
  <c r="V544" i="2" s="1"/>
  <c r="Z423" i="2" a="1"/>
  <c r="Z423" i="2" s="1"/>
  <c r="AG423" i="2" a="1"/>
  <c r="AG423" i="2" s="1"/>
  <c r="AD643" i="2" a="1"/>
  <c r="AD643" i="2" s="1"/>
  <c r="S643" i="2" a="1"/>
  <c r="S643" i="2" s="1"/>
  <c r="AG643" i="2" a="1"/>
  <c r="AG643" i="2" s="1"/>
  <c r="V643" i="2" a="1"/>
  <c r="V643" i="2" s="1"/>
  <c r="X643" i="2" a="1"/>
  <c r="X643" i="2" s="1"/>
  <c r="AE643" i="2" a="1"/>
  <c r="AE643" i="2" s="1"/>
  <c r="AB652" i="2" a="1"/>
  <c r="AB652" i="2" s="1"/>
  <c r="E598" i="12" a="1"/>
  <c r="E598" i="12" s="1"/>
  <c r="V555" i="2" a="1"/>
  <c r="V555" i="2" s="1"/>
  <c r="Z537" i="2" a="1"/>
  <c r="Z537" i="2" s="1"/>
  <c r="AG537" i="2" a="1"/>
  <c r="AG537" i="2" s="1"/>
  <c r="AD589" i="2" a="1"/>
  <c r="AD589" i="2" s="1"/>
  <c r="S589" i="2" a="1"/>
  <c r="S589" i="2" s="1"/>
  <c r="AG589" i="2" a="1"/>
  <c r="AG589" i="2" s="1"/>
  <c r="V589" i="2" a="1"/>
  <c r="V589" i="2" s="1"/>
  <c r="X589" i="2" a="1"/>
  <c r="X589" i="2" s="1"/>
  <c r="AE589" i="2" a="1"/>
  <c r="AE589" i="2" s="1"/>
  <c r="AB390" i="2" a="1"/>
  <c r="AB390" i="2" s="1"/>
  <c r="AK297" i="2" a="1"/>
  <c r="AK297" i="2" s="1"/>
  <c r="AC605" i="2" a="1"/>
  <c r="AC605" i="2" s="1"/>
  <c r="AC367" i="2" a="1"/>
  <c r="AC367" i="2" s="1"/>
  <c r="AA481" i="2" a="1"/>
  <c r="AA481" i="2" s="1"/>
  <c r="AK228" i="2" a="1"/>
  <c r="AK228" i="2" s="1"/>
  <c r="U593" i="12" a="1"/>
  <c r="U593" i="12" s="1"/>
  <c r="S362" i="2" a="1"/>
  <c r="S362" i="2" s="1"/>
  <c r="AF362" i="2" a="1"/>
  <c r="AF362" i="2" s="1"/>
  <c r="S580" i="2" a="1"/>
  <c r="S580" i="2" s="1"/>
  <c r="AB609" i="2" a="1"/>
  <c r="AB609" i="2" s="1"/>
  <c r="T543" i="2" a="1"/>
  <c r="T543" i="2" s="1"/>
  <c r="AG465" i="2" a="1"/>
  <c r="AG465" i="2" s="1"/>
  <c r="Y467" i="2" a="1"/>
  <c r="Y467" i="2" s="1"/>
  <c r="AF640" i="2" a="1"/>
  <c r="AF640" i="2" s="1"/>
  <c r="S531" i="2" a="1"/>
  <c r="S531" i="2" s="1"/>
  <c r="U381" i="12" a="1"/>
  <c r="U381" i="12" s="1"/>
  <c r="T658" i="2" a="1"/>
  <c r="T658" i="2" s="1"/>
  <c r="X658" i="2" a="1"/>
  <c r="X658" i="2" s="1"/>
  <c r="AC658" i="2" a="1"/>
  <c r="AC658" i="2" s="1"/>
  <c r="W658" i="2" a="1"/>
  <c r="W658" i="2" s="1"/>
  <c r="AC491" i="2" a="1"/>
  <c r="AC491" i="2" s="1"/>
  <c r="W646" i="2" a="1"/>
  <c r="W646" i="2" s="1"/>
  <c r="D152" i="7" a="1"/>
  <c r="D152" i="7" s="1"/>
  <c r="D147" i="5" a="1"/>
  <c r="D147" i="5" s="1"/>
  <c r="D278" i="4" a="1"/>
  <c r="D278" i="4" s="1"/>
  <c r="E359" i="12" a="1"/>
  <c r="E359" i="12" s="1"/>
  <c r="B158" i="7" a="1"/>
  <c r="B158" i="7" s="1"/>
  <c r="B160" i="5" a="1"/>
  <c r="B160" i="5" s="1"/>
  <c r="B293" i="4" a="1"/>
  <c r="B293" i="4" s="1"/>
  <c r="W648" i="12" a="1"/>
  <c r="W648" i="12" s="1"/>
  <c r="AM322" i="2" a="1"/>
  <c r="AM322" i="2" s="1"/>
  <c r="D152" i="5" a="1"/>
  <c r="D152" i="5" s="1"/>
  <c r="D283" i="4" a="1"/>
  <c r="D283" i="4" s="1"/>
  <c r="B141" i="6" a="1"/>
  <c r="B141" i="6" s="1"/>
  <c r="B140" i="5" a="1"/>
  <c r="B140" i="5" s="1"/>
  <c r="B268" i="4" a="1"/>
  <c r="B268" i="4" s="1"/>
  <c r="E391" i="12" a="1"/>
  <c r="E391" i="12" s="1"/>
  <c r="AE532" i="2" a="1"/>
  <c r="AE532" i="2" s="1"/>
  <c r="AK393" i="2" a="1"/>
  <c r="AK393" i="2" s="1"/>
  <c r="E405" i="12" a="1"/>
  <c r="E405" i="12" s="1"/>
  <c r="X573" i="2" a="1"/>
  <c r="X573" i="2" s="1"/>
  <c r="D143" i="6" a="1"/>
  <c r="D143" i="6" s="1"/>
  <c r="D143" i="5" a="1"/>
  <c r="D143" i="5" s="1"/>
  <c r="D273" i="4" a="1"/>
  <c r="D273" i="4" s="1"/>
  <c r="B152" i="7" a="1"/>
  <c r="B152" i="7" s="1"/>
  <c r="B147" i="5" a="1"/>
  <c r="B147" i="5" s="1"/>
  <c r="B278" i="4" a="1"/>
  <c r="B278" i="4" s="1"/>
  <c r="T517" i="2" a="1"/>
  <c r="T517" i="2" s="1"/>
  <c r="U355" i="12" a="1"/>
  <c r="U355" i="12" s="1"/>
  <c r="AF454" i="2" a="1"/>
  <c r="AF454" i="2" s="1"/>
  <c r="AE454" i="2" a="1"/>
  <c r="AE454" i="2" s="1"/>
  <c r="T454" i="2" a="1"/>
  <c r="T454" i="2" s="1"/>
  <c r="W454" i="2" a="1"/>
  <c r="W454" i="2" s="1"/>
  <c r="AD454" i="2" a="1"/>
  <c r="AD454" i="2" s="1"/>
  <c r="E600" i="12" a="1"/>
  <c r="E600" i="12" s="1"/>
  <c r="X397" i="2" a="1"/>
  <c r="X397" i="2" s="1"/>
  <c r="AE397" i="2" a="1"/>
  <c r="AE397" i="2" s="1"/>
  <c r="D145" i="6" a="1"/>
  <c r="D145" i="6" s="1"/>
  <c r="D275" i="4" a="1"/>
  <c r="D275" i="4" s="1"/>
  <c r="B146" i="6" a="1"/>
  <c r="B146" i="6" s="1"/>
  <c r="B145" i="5" a="1"/>
  <c r="B145" i="5" s="1"/>
  <c r="B276" i="4" a="1"/>
  <c r="B276" i="4" s="1"/>
  <c r="T466" i="2" a="1"/>
  <c r="T466" i="2" s="1"/>
  <c r="U406" i="12" a="1"/>
  <c r="U406" i="12" s="1"/>
  <c r="AF636" i="2" a="1"/>
  <c r="AF636" i="2" s="1"/>
  <c r="AE636" i="2" a="1"/>
  <c r="AE636" i="2" s="1"/>
  <c r="T636" i="2" a="1"/>
  <c r="T636" i="2" s="1"/>
  <c r="W636" i="2" a="1"/>
  <c r="W636" i="2" s="1"/>
  <c r="AD636" i="2" a="1"/>
  <c r="AD636" i="2" s="1"/>
  <c r="E303" i="12" a="1"/>
  <c r="E303" i="12" s="1"/>
  <c r="X566" i="2" a="1"/>
  <c r="X566" i="2" s="1"/>
  <c r="AE566" i="2" a="1"/>
  <c r="AE566" i="2" s="1"/>
  <c r="D164" i="5" a="1"/>
  <c r="D164" i="5" s="1"/>
  <c r="D304" i="4" a="1"/>
  <c r="D304" i="4" s="1"/>
  <c r="B156" i="7" a="1"/>
  <c r="B156" i="7" s="1"/>
  <c r="B156" i="5" a="1"/>
  <c r="B156" i="5" s="1"/>
  <c r="B288" i="4" a="1"/>
  <c r="B288" i="4" s="1"/>
  <c r="T536" i="2" a="1"/>
  <c r="T536" i="2" s="1"/>
  <c r="U342" i="12" a="1"/>
  <c r="U342" i="12" s="1"/>
  <c r="AF603" i="2" a="1"/>
  <c r="AF603" i="2" s="1"/>
  <c r="AE603" i="2" a="1"/>
  <c r="AE603" i="2" s="1"/>
  <c r="T603" i="2" a="1"/>
  <c r="T603" i="2" s="1"/>
  <c r="W603" i="2" a="1"/>
  <c r="W603" i="2" s="1"/>
  <c r="AD603" i="2" a="1"/>
  <c r="AD603" i="2" s="1"/>
  <c r="E386" i="12" a="1"/>
  <c r="E386" i="12" s="1"/>
  <c r="X529" i="2" a="1"/>
  <c r="X529" i="2" s="1"/>
  <c r="AE529" i="2" a="1"/>
  <c r="AE529" i="2" s="1"/>
  <c r="D158" i="7" a="1"/>
  <c r="D158" i="7" s="1"/>
  <c r="D160" i="5" a="1"/>
  <c r="D160" i="5" s="1"/>
  <c r="D293" i="4" a="1"/>
  <c r="D293" i="4" s="1"/>
  <c r="B159" i="7" a="1"/>
  <c r="B159" i="7" s="1"/>
  <c r="B155" i="6" a="1"/>
  <c r="B155" i="6" s="1"/>
  <c r="B294" i="4" a="1"/>
  <c r="B294" i="4" s="1"/>
  <c r="T662" i="2" a="1"/>
  <c r="T662" i="2" s="1"/>
  <c r="U322" i="12" a="1"/>
  <c r="U322" i="12" s="1"/>
  <c r="AF495" i="2" a="1"/>
  <c r="AF495" i="2" s="1"/>
  <c r="AE495" i="2" a="1"/>
  <c r="AE495" i="2" s="1"/>
  <c r="T495" i="2" a="1"/>
  <c r="T495" i="2" s="1"/>
  <c r="W495" i="2" a="1"/>
  <c r="W495" i="2" s="1"/>
  <c r="AD495" i="2" a="1"/>
  <c r="AD495" i="2" s="1"/>
  <c r="E360" i="12" a="1"/>
  <c r="E360" i="12" s="1"/>
  <c r="X487" i="2" a="1"/>
  <c r="X487" i="2" s="1"/>
  <c r="AE487" i="2" a="1"/>
  <c r="AE487" i="2" s="1"/>
  <c r="D158" i="5" a="1"/>
  <c r="D158" i="5" s="1"/>
  <c r="D153" i="6" a="1"/>
  <c r="D153" i="6" s="1"/>
  <c r="D290" i="4" a="1"/>
  <c r="D290" i="4" s="1"/>
  <c r="B161" i="7" a="1"/>
  <c r="B161" i="7" s="1"/>
  <c r="B299" i="4" a="1"/>
  <c r="B299" i="4" s="1"/>
  <c r="T572" i="2" a="1"/>
  <c r="T572" i="2" s="1"/>
  <c r="U399" i="12" a="1"/>
  <c r="U399" i="12" s="1"/>
  <c r="AF667" i="2" a="1"/>
  <c r="AF667" i="2" s="1"/>
  <c r="AE667" i="2" a="1"/>
  <c r="AE667" i="2" s="1"/>
  <c r="T667" i="2" a="1"/>
  <c r="T667" i="2" s="1"/>
  <c r="W667" i="2" a="1"/>
  <c r="W667" i="2" s="1"/>
  <c r="AD667" i="2" a="1"/>
  <c r="AD667" i="2" s="1"/>
  <c r="E506" i="12" a="1"/>
  <c r="E506" i="12" s="1"/>
  <c r="X590" i="2" a="1"/>
  <c r="X590" i="2" s="1"/>
  <c r="AE590" i="2" a="1"/>
  <c r="AE590" i="2" s="1"/>
  <c r="D168" i="5" a="1"/>
  <c r="D168" i="5" s="1"/>
  <c r="D314" i="4" a="1"/>
  <c r="D314" i="4" s="1"/>
  <c r="B158" i="6" a="1"/>
  <c r="B158" i="6" s="1"/>
  <c r="B297" i="4" a="1"/>
  <c r="B297" i="4" s="1"/>
  <c r="T518" i="2" a="1"/>
  <c r="T518" i="2" s="1"/>
  <c r="AB518" i="2" a="1"/>
  <c r="AB518" i="2" s="1"/>
  <c r="B164" i="7" a="1"/>
  <c r="B164" i="7" s="1"/>
  <c r="B165" i="5" a="1"/>
  <c r="B165" i="5" s="1"/>
  <c r="B307" i="4" a="1"/>
  <c r="B307" i="4" s="1"/>
  <c r="T592" i="2" a="1"/>
  <c r="T592" i="2" s="1"/>
  <c r="AA592" i="2" a="1"/>
  <c r="AA592" i="2" s="1"/>
  <c r="T604" i="2" a="1"/>
  <c r="T604" i="2" s="1"/>
  <c r="AB604" i="2" a="1"/>
  <c r="AB604" i="2" s="1"/>
  <c r="B160" i="6" a="1"/>
  <c r="B160" i="6" s="1"/>
  <c r="B161" i="5" a="1"/>
  <c r="B161" i="5" s="1"/>
  <c r="B300" i="4" a="1"/>
  <c r="B300" i="4" s="1"/>
  <c r="T562" i="2" a="1"/>
  <c r="T562" i="2" s="1"/>
  <c r="AA562" i="2" a="1"/>
  <c r="AA562" i="2" s="1"/>
  <c r="AA625" i="2" a="1"/>
  <c r="AA625" i="2" s="1"/>
  <c r="B173" i="5" a="1"/>
  <c r="B173" i="5" s="1"/>
  <c r="B324" i="4" a="1"/>
  <c r="B324" i="4" s="1"/>
  <c r="AC496" i="2" a="1"/>
  <c r="AC496" i="2" s="1"/>
  <c r="V569" i="2" a="1"/>
  <c r="V569" i="2" s="1"/>
  <c r="AG569" i="2" a="1"/>
  <c r="AG569" i="2" s="1"/>
  <c r="U353" i="12" a="1"/>
  <c r="U353" i="12" s="1"/>
  <c r="B169" i="7" a="1"/>
  <c r="B169" i="7" s="1"/>
  <c r="B316" i="4" a="1"/>
  <c r="B316" i="4" s="1"/>
  <c r="B171" i="7" a="1"/>
  <c r="B171" i="7" s="1"/>
  <c r="B168" i="6" a="1"/>
  <c r="B168" i="6" s="1"/>
  <c r="B171" i="5" a="1"/>
  <c r="B171" i="5" s="1"/>
  <c r="B319" i="4" a="1"/>
  <c r="B319" i="4" s="1"/>
  <c r="V338" i="2" a="1"/>
  <c r="V338" i="2" s="1"/>
  <c r="U478" i="12" a="1"/>
  <c r="U478" i="12" s="1"/>
  <c r="B167" i="6" a="1"/>
  <c r="B167" i="6" s="1"/>
  <c r="B315" i="4" a="1"/>
  <c r="B315" i="4" s="1"/>
  <c r="V510" i="2" a="1"/>
  <c r="V510" i="2" s="1"/>
  <c r="U409" i="12" a="1"/>
  <c r="U409" i="12" s="1"/>
  <c r="D178" i="7" a="1"/>
  <c r="D178" i="7" s="1"/>
  <c r="D327" i="4" a="1"/>
  <c r="D327" i="4" s="1"/>
  <c r="E512" i="12" a="1"/>
  <c r="E512" i="12" s="1"/>
  <c r="U552" i="12" a="1"/>
  <c r="U552" i="12" s="1"/>
  <c r="U560" i="12" a="1"/>
  <c r="U560" i="12" s="1"/>
  <c r="X548" i="2" a="1"/>
  <c r="X548" i="2" s="1"/>
  <c r="AC548" i="2" a="1"/>
  <c r="AC548" i="2" s="1"/>
  <c r="W548" i="2" a="1"/>
  <c r="W548" i="2" s="1"/>
  <c r="AB548" i="2" a="1"/>
  <c r="AB548" i="2" s="1"/>
  <c r="V548" i="2" a="1"/>
  <c r="V548" i="2" s="1"/>
  <c r="AG548" i="2" a="1"/>
  <c r="AG548" i="2" s="1"/>
  <c r="AA548" i="2" a="1"/>
  <c r="AA548" i="2" s="1"/>
  <c r="AF548" i="2" a="1"/>
  <c r="AF548" i="2" s="1"/>
  <c r="Z548" i="2" a="1"/>
  <c r="Z548" i="2" s="1"/>
  <c r="AD548" i="2" a="1"/>
  <c r="AD548" i="2" s="1"/>
  <c r="S548" i="2" a="1"/>
  <c r="S548" i="2" s="1"/>
  <c r="AB522" i="2" a="1"/>
  <c r="AB522" i="2" s="1"/>
  <c r="B175" i="6" a="1"/>
  <c r="B175" i="6" s="1"/>
  <c r="B335" i="4" a="1"/>
  <c r="B335" i="4" s="1"/>
  <c r="W633" i="2" a="1"/>
  <c r="W633" i="2" s="1"/>
  <c r="AB633" i="2" a="1"/>
  <c r="AB633" i="2" s="1"/>
  <c r="V633" i="2" a="1"/>
  <c r="V633" i="2" s="1"/>
  <c r="AG633" i="2" a="1"/>
  <c r="AG633" i="2" s="1"/>
  <c r="AA633" i="2" a="1"/>
  <c r="AA633" i="2" s="1"/>
  <c r="AF633" i="2" a="1"/>
  <c r="AF633" i="2" s="1"/>
  <c r="Z633" i="2" a="1"/>
  <c r="Z633" i="2" s="1"/>
  <c r="AE633" i="2" a="1"/>
  <c r="AE633" i="2" s="1"/>
  <c r="T633" i="2" a="1"/>
  <c r="T633" i="2" s="1"/>
  <c r="Y633" i="2" a="1"/>
  <c r="Y633" i="2" s="1"/>
  <c r="AC633" i="2" a="1"/>
  <c r="AC633" i="2" s="1"/>
  <c r="B189" i="7" a="1"/>
  <c r="B189" i="7" s="1"/>
  <c r="B180" i="5" a="1"/>
  <c r="B180" i="5" s="1"/>
  <c r="B349" i="4" a="1"/>
  <c r="B349" i="4" s="1"/>
  <c r="D180" i="6" a="1"/>
  <c r="D180" i="6" s="1"/>
  <c r="D342" i="4" a="1"/>
  <c r="D342" i="4" s="1"/>
  <c r="V664" i="2" a="1"/>
  <c r="V664" i="2" s="1"/>
  <c r="AE426" i="2" a="1"/>
  <c r="AE426" i="2" s="1"/>
  <c r="AD426" i="2" a="1"/>
  <c r="AD426" i="2" s="1"/>
  <c r="W426" i="2" a="1"/>
  <c r="W426" i="2" s="1"/>
  <c r="AC426" i="2" a="1"/>
  <c r="AC426" i="2" s="1"/>
  <c r="V426" i="2" a="1"/>
  <c r="V426" i="2" s="1"/>
  <c r="AB426" i="2" a="1"/>
  <c r="AB426" i="2" s="1"/>
  <c r="AA426" i="2" a="1"/>
  <c r="AA426" i="2" s="1"/>
  <c r="T426" i="2" a="1"/>
  <c r="T426" i="2" s="1"/>
  <c r="S426" i="2" a="1"/>
  <c r="S426" i="2" s="1"/>
  <c r="AF426" i="2" a="1"/>
  <c r="AF426" i="2" s="1"/>
  <c r="Y426" i="2" a="1"/>
  <c r="Y426" i="2" s="1"/>
  <c r="X426" i="2" a="1"/>
  <c r="X426" i="2" s="1"/>
  <c r="AE655" i="2" a="1"/>
  <c r="AE655" i="2" s="1"/>
  <c r="AD655" i="2" a="1"/>
  <c r="AD655" i="2" s="1"/>
  <c r="W655" i="2" a="1"/>
  <c r="W655" i="2" s="1"/>
  <c r="AC655" i="2" a="1"/>
  <c r="AC655" i="2" s="1"/>
  <c r="V655" i="2" a="1"/>
  <c r="V655" i="2" s="1"/>
  <c r="AB655" i="2" a="1"/>
  <c r="AB655" i="2" s="1"/>
  <c r="AA655" i="2" a="1"/>
  <c r="AA655" i="2" s="1"/>
  <c r="T655" i="2" a="1"/>
  <c r="T655" i="2" s="1"/>
  <c r="S655" i="2" a="1"/>
  <c r="S655" i="2" s="1"/>
  <c r="AG655" i="2" a="1"/>
  <c r="AG655" i="2" s="1"/>
  <c r="Z655" i="2" a="1"/>
  <c r="Z655" i="2" s="1"/>
  <c r="AF655" i="2" a="1"/>
  <c r="AF655" i="2" s="1"/>
  <c r="Y655" i="2" a="1"/>
  <c r="Y655" i="2" s="1"/>
  <c r="X655" i="2" a="1"/>
  <c r="X655" i="2" s="1"/>
  <c r="U517" i="12" a="1"/>
  <c r="U517" i="12" s="1"/>
  <c r="U614" i="2" a="1"/>
  <c r="U614" i="2" s="1"/>
  <c r="U467" i="12" a="1"/>
  <c r="U467" i="12" s="1"/>
  <c r="U516" i="12" a="1"/>
  <c r="U516" i="12" s="1"/>
  <c r="B135" i="5" a="1"/>
  <c r="B135" i="5" s="1"/>
  <c r="B262" i="4" a="1"/>
  <c r="B262" i="4" s="1"/>
  <c r="D137" i="5" a="1"/>
  <c r="D137" i="5" s="1"/>
  <c r="D264" i="4" a="1"/>
  <c r="D264" i="4" s="1"/>
  <c r="E319" i="12" a="1"/>
  <c r="E319" i="12" s="1"/>
  <c r="D142" i="5" a="1"/>
  <c r="D142" i="5" s="1"/>
  <c r="D271" i="4" a="1"/>
  <c r="D271" i="4" s="1"/>
  <c r="D134" i="6" a="1"/>
  <c r="D134" i="6" s="1"/>
  <c r="D129" i="5" a="1"/>
  <c r="D129" i="5" s="1"/>
  <c r="D254" i="4" a="1"/>
  <c r="D254" i="4" s="1"/>
  <c r="W646" i="12" a="1"/>
  <c r="W646" i="12" s="1"/>
  <c r="AM372" i="2" a="1"/>
  <c r="AM372" i="2" s="1"/>
  <c r="AP372" i="2" a="1"/>
  <c r="AP372" i="2" s="1"/>
  <c r="AP322" i="2" a="1"/>
  <c r="AP322" i="2" s="1"/>
  <c r="AB564" i="2" a="1"/>
  <c r="AB564" i="2" s="1"/>
  <c r="AA564" i="2" a="1"/>
  <c r="AA564" i="2" s="1"/>
  <c r="W564" i="2" a="1"/>
  <c r="W564" i="2" s="1"/>
  <c r="AD564" i="2" a="1"/>
  <c r="AD564" i="2" s="1"/>
  <c r="S552" i="2" a="1"/>
  <c r="S552" i="2" s="1"/>
  <c r="AG552" i="2" a="1"/>
  <c r="AG552" i="2" s="1"/>
  <c r="V497" i="2" a="1"/>
  <c r="V497" i="2" s="1"/>
  <c r="AC497" i="2" a="1"/>
  <c r="AC497" i="2" s="1"/>
  <c r="Y532" i="2" a="1"/>
  <c r="Y532" i="2" s="1"/>
  <c r="D154" i="5" a="1"/>
  <c r="D154" i="5" s="1"/>
  <c r="D285" i="4" a="1"/>
  <c r="D285" i="4" s="1"/>
  <c r="V646" i="2" a="1"/>
  <c r="V646" i="2" s="1"/>
  <c r="AC646" i="2" a="1"/>
  <c r="AC646" i="2" s="1"/>
  <c r="AL393" i="2" a="1"/>
  <c r="AL393" i="2" s="1"/>
  <c r="AK463" i="2" a="1"/>
  <c r="AK463" i="2" s="1"/>
  <c r="AA517" i="2" a="1"/>
  <c r="AA517" i="2" s="1"/>
  <c r="D153" i="7" a="1"/>
  <c r="D153" i="7" s="1"/>
  <c r="D148" i="5" a="1"/>
  <c r="D148" i="5" s="1"/>
  <c r="D279" i="4" a="1"/>
  <c r="D279" i="4" s="1"/>
  <c r="AB620" i="2" a="1"/>
  <c r="AB620" i="2" s="1"/>
  <c r="AA466" i="2" a="1"/>
  <c r="AA466" i="2" s="1"/>
  <c r="D154" i="7" a="1"/>
  <c r="D154" i="7" s="1"/>
  <c r="D151" i="6" a="1"/>
  <c r="D151" i="6" s="1"/>
  <c r="D286" i="4" a="1"/>
  <c r="D286" i="4" s="1"/>
  <c r="AB559" i="2" a="1"/>
  <c r="AB559" i="2" s="1"/>
  <c r="AA536" i="2" a="1"/>
  <c r="AA536" i="2" s="1"/>
  <c r="D148" i="6" a="1"/>
  <c r="D148" i="6" s="1"/>
  <c r="D149" i="5" a="1"/>
  <c r="D149" i="5" s="1"/>
  <c r="D280" i="4" a="1"/>
  <c r="D280" i="4" s="1"/>
  <c r="AB629" i="2" a="1"/>
  <c r="AB629" i="2" s="1"/>
  <c r="AA662" i="2" a="1"/>
  <c r="AA662" i="2" s="1"/>
  <c r="D150" i="6" a="1"/>
  <c r="D150" i="6" s="1"/>
  <c r="D153" i="5" a="1"/>
  <c r="D153" i="5" s="1"/>
  <c r="D284" i="4" a="1"/>
  <c r="D284" i="4" s="1"/>
  <c r="AB409" i="2" a="1"/>
  <c r="AB409" i="2" s="1"/>
  <c r="AA572" i="2" a="1"/>
  <c r="AA572" i="2" s="1"/>
  <c r="D162" i="7" a="1"/>
  <c r="D162" i="7" s="1"/>
  <c r="D301" i="4" a="1"/>
  <c r="D301" i="4" s="1"/>
  <c r="AC518" i="2" a="1"/>
  <c r="AC518" i="2" s="1"/>
  <c r="B159" i="6" a="1"/>
  <c r="B159" i="6" s="1"/>
  <c r="B298" i="4" a="1"/>
  <c r="B298" i="4" s="1"/>
  <c r="AA575" i="2" a="1"/>
  <c r="AA575" i="2" s="1"/>
  <c r="B170" i="5" a="1"/>
  <c r="B170" i="5" s="1"/>
  <c r="B318" i="4" a="1"/>
  <c r="B318" i="4" s="1"/>
  <c r="AC604" i="2" a="1"/>
  <c r="AC604" i="2" s="1"/>
  <c r="B167" i="7" a="1"/>
  <c r="B167" i="7" s="1"/>
  <c r="B311" i="4" a="1"/>
  <c r="B311" i="4" s="1"/>
  <c r="B161" i="6" a="1"/>
  <c r="B161" i="6" s="1"/>
  <c r="B163" i="5" a="1"/>
  <c r="B163" i="5" s="1"/>
  <c r="B303" i="4" a="1"/>
  <c r="B303" i="4" s="1"/>
  <c r="S625" i="2" a="1"/>
  <c r="S625" i="2" s="1"/>
  <c r="AB625" i="2" a="1"/>
  <c r="AB625" i="2" s="1"/>
  <c r="W642" i="12" a="1"/>
  <c r="W642" i="12" s="1"/>
  <c r="AL445" i="2" a="1"/>
  <c r="AL445" i="2" s="1"/>
  <c r="AP445" i="2" a="1"/>
  <c r="AP445" i="2" s="1"/>
  <c r="B164" i="6" a="1"/>
  <c r="B164" i="6" s="1"/>
  <c r="B309" i="4" a="1"/>
  <c r="B309" i="4" s="1"/>
  <c r="W569" i="2" a="1"/>
  <c r="W569" i="2" s="1"/>
  <c r="AM134" i="2" a="1"/>
  <c r="AM134" i="2" s="1"/>
  <c r="AL134" i="2" s="1" a="1"/>
  <c r="AL134" i="2" s="1"/>
  <c r="Z596" i="2" a="1"/>
  <c r="Z596" i="2" s="1"/>
  <c r="AE596" i="2" a="1"/>
  <c r="AE596" i="2" s="1"/>
  <c r="T596" i="2" a="1"/>
  <c r="T596" i="2" s="1"/>
  <c r="AD596" i="2" a="1"/>
  <c r="AD596" i="2" s="1"/>
  <c r="S596" i="2" a="1"/>
  <c r="S596" i="2" s="1"/>
  <c r="X596" i="2" a="1"/>
  <c r="X596" i="2" s="1"/>
  <c r="W596" i="2" a="1"/>
  <c r="W596" i="2" s="1"/>
  <c r="AA596" i="2" a="1"/>
  <c r="AA596" i="2" s="1"/>
  <c r="D169" i="7" a="1"/>
  <c r="D169" i="7" s="1"/>
  <c r="D316" i="4" a="1"/>
  <c r="D316" i="4" s="1"/>
  <c r="X623" i="2" a="1"/>
  <c r="X623" i="2" s="1"/>
  <c r="AC623" i="2" a="1"/>
  <c r="AC623" i="2" s="1"/>
  <c r="AB623" i="2" a="1"/>
  <c r="AB623" i="2" s="1"/>
  <c r="V623" i="2" a="1"/>
  <c r="V623" i="2" s="1"/>
  <c r="AG623" i="2" a="1"/>
  <c r="AG623" i="2" s="1"/>
  <c r="AA623" i="2" a="1"/>
  <c r="AA623" i="2" s="1"/>
  <c r="Z623" i="2" a="1"/>
  <c r="Z623" i="2" s="1"/>
  <c r="D170" i="7" a="1"/>
  <c r="D170" i="7" s="1"/>
  <c r="D169" i="5" a="1"/>
  <c r="D169" i="5" s="1"/>
  <c r="D317" i="4" a="1"/>
  <c r="D317" i="4" s="1"/>
  <c r="B174" i="7" a="1"/>
  <c r="B174" i="7" s="1"/>
  <c r="B169" i="6" a="1"/>
  <c r="B169" i="6" s="1"/>
  <c r="B322" i="4" a="1"/>
  <c r="B322" i="4" s="1"/>
  <c r="X618" i="2" a="1"/>
  <c r="X618" i="2" s="1"/>
  <c r="B177" i="7" a="1"/>
  <c r="B177" i="7" s="1"/>
  <c r="B174" i="5" a="1"/>
  <c r="B174" i="5" s="1"/>
  <c r="B326" i="4" a="1"/>
  <c r="B326" i="4" s="1"/>
  <c r="AA597" i="2" a="1"/>
  <c r="AA597" i="2" s="1"/>
  <c r="S502" i="2" a="1"/>
  <c r="S502" i="2" s="1"/>
  <c r="B180" i="7" a="1"/>
  <c r="B180" i="7" s="1"/>
  <c r="B176" i="5" a="1"/>
  <c r="B176" i="5" s="1"/>
  <c r="B331" i="4" a="1"/>
  <c r="B331" i="4" s="1"/>
  <c r="D183" i="5" a="1"/>
  <c r="D183" i="5" s="1"/>
  <c r="D353" i="4" a="1"/>
  <c r="D353" i="4" s="1"/>
  <c r="AE558" i="2" a="1"/>
  <c r="AE558" i="2" s="1"/>
  <c r="T570" i="2" a="1"/>
  <c r="T570" i="2" s="1"/>
  <c r="Z665" i="2" a="1"/>
  <c r="Z665" i="2" s="1"/>
  <c r="AE665" i="2" a="1"/>
  <c r="AE665" i="2" s="1"/>
  <c r="T665" i="2" a="1"/>
  <c r="T665" i="2" s="1"/>
  <c r="Y665" i="2" a="1"/>
  <c r="Y665" i="2" s="1"/>
  <c r="AD665" i="2" a="1"/>
  <c r="AD665" i="2" s="1"/>
  <c r="S665" i="2" a="1"/>
  <c r="S665" i="2" s="1"/>
  <c r="X665" i="2" a="1"/>
  <c r="X665" i="2" s="1"/>
  <c r="AC665" i="2" a="1"/>
  <c r="AC665" i="2" s="1"/>
  <c r="W665" i="2" a="1"/>
  <c r="W665" i="2" s="1"/>
  <c r="AF665" i="2" a="1"/>
  <c r="AF665" i="2" s="1"/>
  <c r="B184" i="7" a="1"/>
  <c r="B184" i="7" s="1"/>
  <c r="B337" i="4" a="1"/>
  <c r="B337" i="4" s="1"/>
  <c r="AG522" i="2" a="1"/>
  <c r="AG522" i="2" s="1"/>
  <c r="U523" i="12" a="1"/>
  <c r="U523" i="12" s="1"/>
  <c r="S458" i="2" a="1"/>
  <c r="S458" i="2" s="1"/>
  <c r="AB664" i="2" a="1"/>
  <c r="AB664" i="2" s="1"/>
  <c r="U464" i="12" a="1"/>
  <c r="U464" i="12" s="1"/>
  <c r="U654" i="2" a="1"/>
  <c r="U654" i="2" s="1"/>
  <c r="U392" i="12" a="1"/>
  <c r="U392" i="12" s="1"/>
  <c r="U539" i="2" a="1"/>
  <c r="U539" i="2" s="1"/>
  <c r="U612" i="2" a="1"/>
  <c r="U612" i="2" s="1"/>
  <c r="U507" i="12" a="1"/>
  <c r="U507" i="12" s="1"/>
  <c r="U613" i="2" a="1"/>
  <c r="U613" i="2" s="1"/>
  <c r="U563" i="12" a="1"/>
  <c r="U563" i="12" s="1"/>
  <c r="P86" i="3" a="1"/>
  <c r="P86" i="3" s="1"/>
  <c r="Q86" i="3" a="1"/>
  <c r="Q86" i="3" s="1"/>
  <c r="U306" i="12" a="1"/>
  <c r="U306" i="12" s="1"/>
  <c r="AB658" i="2" a="1"/>
  <c r="AB658" i="2" s="1"/>
  <c r="V658" i="2" a="1"/>
  <c r="V658" i="2" s="1"/>
  <c r="B151" i="5" a="1"/>
  <c r="B151" i="5" s="1"/>
  <c r="B282" i="4" a="1"/>
  <c r="B282" i="4" s="1"/>
  <c r="X564" i="2" a="1"/>
  <c r="X564" i="2" s="1"/>
  <c r="T552" i="2" a="1"/>
  <c r="T552" i="2" s="1"/>
  <c r="AA552" i="2" a="1"/>
  <c r="AA552" i="2" s="1"/>
  <c r="U352" i="12" a="1"/>
  <c r="U352" i="12" s="1"/>
  <c r="W628" i="12" a="1"/>
  <c r="W628" i="12" s="1"/>
  <c r="AK391" i="2" a="1"/>
  <c r="AK391" i="2" s="1"/>
  <c r="AL391" i="2" s="1" a="1"/>
  <c r="AL391" i="2" s="1"/>
  <c r="AP391" i="2" a="1"/>
  <c r="AP391" i="2" s="1"/>
  <c r="W497" i="2" a="1"/>
  <c r="W497" i="2" s="1"/>
  <c r="S532" i="2" a="1"/>
  <c r="S532" i="2" s="1"/>
  <c r="AF532" i="2" a="1"/>
  <c r="AF532" i="2" s="1"/>
  <c r="Z573" i="2" a="1"/>
  <c r="Z573" i="2" s="1"/>
  <c r="AG573" i="2" a="1"/>
  <c r="AG573" i="2" s="1"/>
  <c r="AB517" i="2" a="1"/>
  <c r="AB517" i="2" s="1"/>
  <c r="X454" i="2" a="1"/>
  <c r="X454" i="2" s="1"/>
  <c r="V620" i="2" a="1"/>
  <c r="V620" i="2" s="1"/>
  <c r="AB466" i="2" a="1"/>
  <c r="AB466" i="2" s="1"/>
  <c r="X636" i="2" a="1"/>
  <c r="X636" i="2" s="1"/>
  <c r="V559" i="2" a="1"/>
  <c r="V559" i="2" s="1"/>
  <c r="B155" i="7" a="1"/>
  <c r="B155" i="7" s="1"/>
  <c r="B287" i="4" a="1"/>
  <c r="B287" i="4" s="1"/>
  <c r="B155" i="5" a="1"/>
  <c r="B155" i="5" s="1"/>
  <c r="AB536" i="2" a="1"/>
  <c r="AB536" i="2" s="1"/>
  <c r="X603" i="2" a="1"/>
  <c r="X603" i="2" s="1"/>
  <c r="V629" i="2" a="1"/>
  <c r="V629" i="2" s="1"/>
  <c r="B149" i="6" a="1"/>
  <c r="B149" i="6" s="1"/>
  <c r="B150" i="5" a="1"/>
  <c r="B150" i="5" s="1"/>
  <c r="B281" i="4" a="1"/>
  <c r="B281" i="4" s="1"/>
  <c r="AB662" i="2" a="1"/>
  <c r="AB662" i="2" s="1"/>
  <c r="X495" i="2" a="1"/>
  <c r="X495" i="2" s="1"/>
  <c r="V409" i="2" a="1"/>
  <c r="V409" i="2" s="1"/>
  <c r="B157" i="5" a="1"/>
  <c r="B157" i="5" s="1"/>
  <c r="B152" i="6" a="1"/>
  <c r="B152" i="6" s="1"/>
  <c r="B289" i="4" a="1"/>
  <c r="B289" i="4" s="1"/>
  <c r="AB572" i="2" a="1"/>
  <c r="AB572" i="2" s="1"/>
  <c r="X667" i="2" a="1"/>
  <c r="X667" i="2" s="1"/>
  <c r="B163" i="7" a="1"/>
  <c r="B163" i="7" s="1"/>
  <c r="B162" i="5" a="1"/>
  <c r="B162" i="5" s="1"/>
  <c r="B302" i="4" a="1"/>
  <c r="B302" i="4" s="1"/>
  <c r="AD518" i="2" a="1"/>
  <c r="AD518" i="2" s="1"/>
  <c r="AC592" i="2" a="1"/>
  <c r="AC592" i="2" s="1"/>
  <c r="B165" i="7" a="1"/>
  <c r="B165" i="7" s="1"/>
  <c r="B308" i="4" a="1"/>
  <c r="B308" i="4" s="1"/>
  <c r="S575" i="2" a="1"/>
  <c r="S575" i="2" s="1"/>
  <c r="AB575" i="2" a="1"/>
  <c r="AB575" i="2" s="1"/>
  <c r="AD604" i="2" a="1"/>
  <c r="AD604" i="2" s="1"/>
  <c r="AC562" i="2" a="1"/>
  <c r="AC562" i="2" s="1"/>
  <c r="T625" i="2" a="1"/>
  <c r="T625" i="2" s="1"/>
  <c r="U291" i="12" a="1"/>
  <c r="U291" i="12" s="1"/>
  <c r="Z628" i="2" a="1"/>
  <c r="Z628" i="2" s="1"/>
  <c r="AE628" i="2" a="1"/>
  <c r="AE628" i="2" s="1"/>
  <c r="T628" i="2" a="1"/>
  <c r="T628" i="2" s="1"/>
  <c r="AD628" i="2" a="1"/>
  <c r="AD628" i="2" s="1"/>
  <c r="S628" i="2" a="1"/>
  <c r="S628" i="2" s="1"/>
  <c r="X628" i="2" a="1"/>
  <c r="X628" i="2" s="1"/>
  <c r="W628" i="2" a="1"/>
  <c r="W628" i="2" s="1"/>
  <c r="AA628" i="2" a="1"/>
  <c r="AA628" i="2" s="1"/>
  <c r="D174" i="7" a="1"/>
  <c r="D174" i="7" s="1"/>
  <c r="D169" i="6" a="1"/>
  <c r="D169" i="6" s="1"/>
  <c r="D322" i="4" a="1"/>
  <c r="D322" i="4" s="1"/>
  <c r="X582" i="2" a="1"/>
  <c r="X582" i="2" s="1"/>
  <c r="AC582" i="2" a="1"/>
  <c r="AC582" i="2" s="1"/>
  <c r="AB582" i="2" a="1"/>
  <c r="AB582" i="2" s="1"/>
  <c r="V582" i="2" a="1"/>
  <c r="V582" i="2" s="1"/>
  <c r="AG582" i="2" a="1"/>
  <c r="AG582" i="2" s="1"/>
  <c r="AA582" i="2" a="1"/>
  <c r="AA582" i="2" s="1"/>
  <c r="Z582" i="2" a="1"/>
  <c r="Z582" i="2" s="1"/>
  <c r="D175" i="7" a="1"/>
  <c r="D175" i="7" s="1"/>
  <c r="D323" i="4" a="1"/>
  <c r="D323" i="4" s="1"/>
  <c r="Y635" i="2" a="1"/>
  <c r="Y635" i="2" s="1"/>
  <c r="AD635" i="2" a="1"/>
  <c r="AD635" i="2" s="1"/>
  <c r="S635" i="2" a="1"/>
  <c r="S635" i="2" s="1"/>
  <c r="X635" i="2" a="1"/>
  <c r="X635" i="2" s="1"/>
  <c r="AC635" i="2" a="1"/>
  <c r="AC635" i="2" s="1"/>
  <c r="W635" i="2" a="1"/>
  <c r="W635" i="2" s="1"/>
  <c r="AG635" i="2" a="1"/>
  <c r="AG635" i="2" s="1"/>
  <c r="AA635" i="2" a="1"/>
  <c r="AA635" i="2" s="1"/>
  <c r="AB635" i="2" a="1"/>
  <c r="AB635" i="2" s="1"/>
  <c r="S558" i="2" a="1"/>
  <c r="S558" i="2" s="1"/>
  <c r="U512" i="12" a="1"/>
  <c r="U512" i="12" s="1"/>
  <c r="V576" i="2" a="1"/>
  <c r="V576" i="2" s="1"/>
  <c r="B188" i="5" a="1"/>
  <c r="B188" i="5" s="1"/>
  <c r="B360" i="4" a="1"/>
  <c r="B360" i="4" s="1"/>
  <c r="W568" i="2" a="1"/>
  <c r="W568" i="2" s="1"/>
  <c r="AB568" i="2" a="1"/>
  <c r="AB568" i="2" s="1"/>
  <c r="V568" i="2" a="1"/>
  <c r="V568" i="2" s="1"/>
  <c r="AG568" i="2" a="1"/>
  <c r="AG568" i="2" s="1"/>
  <c r="AA568" i="2" a="1"/>
  <c r="AA568" i="2" s="1"/>
  <c r="AF568" i="2" a="1"/>
  <c r="AF568" i="2" s="1"/>
  <c r="Z568" i="2" a="1"/>
  <c r="Z568" i="2" s="1"/>
  <c r="AE568" i="2" a="1"/>
  <c r="AE568" i="2" s="1"/>
  <c r="T568" i="2" a="1"/>
  <c r="T568" i="2" s="1"/>
  <c r="Y568" i="2" a="1"/>
  <c r="Y568" i="2" s="1"/>
  <c r="AC568" i="2" a="1"/>
  <c r="AC568" i="2" s="1"/>
  <c r="B183" i="7" a="1"/>
  <c r="B183" i="7" s="1"/>
  <c r="B176" i="6" a="1"/>
  <c r="B176" i="6" s="1"/>
  <c r="B336" i="4" a="1"/>
  <c r="B336" i="4" s="1"/>
  <c r="U453" i="12" a="1"/>
  <c r="U453" i="12" s="1"/>
  <c r="B188" i="7" a="1"/>
  <c r="B188" i="7" s="1"/>
  <c r="B346" i="4" a="1"/>
  <c r="B346" i="4" s="1"/>
  <c r="AG630" i="2" a="1"/>
  <c r="AG630" i="2" s="1"/>
  <c r="AA630" i="2" a="1"/>
  <c r="AA630" i="2" s="1"/>
  <c r="AF630" i="2" a="1"/>
  <c r="AF630" i="2" s="1"/>
  <c r="Z630" i="2" a="1"/>
  <c r="Z630" i="2" s="1"/>
  <c r="AE630" i="2" a="1"/>
  <c r="AE630" i="2" s="1"/>
  <c r="T630" i="2" a="1"/>
  <c r="T630" i="2" s="1"/>
  <c r="Y630" i="2" a="1"/>
  <c r="Y630" i="2" s="1"/>
  <c r="AD630" i="2" a="1"/>
  <c r="AD630" i="2" s="1"/>
  <c r="S630" i="2" a="1"/>
  <c r="S630" i="2" s="1"/>
  <c r="X630" i="2" a="1"/>
  <c r="X630" i="2" s="1"/>
  <c r="AB630" i="2" a="1"/>
  <c r="AB630" i="2" s="1"/>
  <c r="V630" i="2" a="1"/>
  <c r="V630" i="2" s="1"/>
  <c r="D175" i="6" a="1"/>
  <c r="D175" i="6" s="1"/>
  <c r="D335" i="4" a="1"/>
  <c r="D335" i="4" s="1"/>
  <c r="X458" i="2" a="1"/>
  <c r="X458" i="2" s="1"/>
  <c r="U444" i="12" a="1"/>
  <c r="U444" i="12" s="1"/>
  <c r="X626" i="2" a="1"/>
  <c r="X626" i="2" s="1"/>
  <c r="AC626" i="2" a="1"/>
  <c r="AC626" i="2" s="1"/>
  <c r="W626" i="2" a="1"/>
  <c r="W626" i="2" s="1"/>
  <c r="AB626" i="2" a="1"/>
  <c r="AB626" i="2" s="1"/>
  <c r="V626" i="2" a="1"/>
  <c r="V626" i="2" s="1"/>
  <c r="AG626" i="2" a="1"/>
  <c r="AG626" i="2" s="1"/>
  <c r="AA626" i="2" a="1"/>
  <c r="AA626" i="2" s="1"/>
  <c r="AF626" i="2" a="1"/>
  <c r="AF626" i="2" s="1"/>
  <c r="Z626" i="2" a="1"/>
  <c r="Z626" i="2" s="1"/>
  <c r="Y626" i="2" a="1"/>
  <c r="Y626" i="2" s="1"/>
  <c r="AD626" i="2" a="1"/>
  <c r="AD626" i="2" s="1"/>
  <c r="S626" i="2" a="1"/>
  <c r="S626" i="2" s="1"/>
  <c r="B190" i="7" a="1"/>
  <c r="B190" i="7" s="1"/>
  <c r="B356" i="4" a="1"/>
  <c r="B356" i="4" s="1"/>
  <c r="U375" i="12" a="1"/>
  <c r="U375" i="12" s="1"/>
  <c r="AC550" i="2" a="1"/>
  <c r="AC550" i="2" s="1"/>
  <c r="V550" i="2" a="1"/>
  <c r="V550" i="2" s="1"/>
  <c r="AB550" i="2" a="1"/>
  <c r="AB550" i="2" s="1"/>
  <c r="AA550" i="2" a="1"/>
  <c r="AA550" i="2" s="1"/>
  <c r="T550" i="2" a="1"/>
  <c r="T550" i="2" s="1"/>
  <c r="S550" i="2" a="1"/>
  <c r="S550" i="2" s="1"/>
  <c r="AG550" i="2" a="1"/>
  <c r="AG550" i="2" s="1"/>
  <c r="Z550" i="2" a="1"/>
  <c r="Z550" i="2" s="1"/>
  <c r="AF550" i="2" a="1"/>
  <c r="AF550" i="2" s="1"/>
  <c r="Y550" i="2" a="1"/>
  <c r="Y550" i="2" s="1"/>
  <c r="AE550" i="2" a="1"/>
  <c r="AE550" i="2" s="1"/>
  <c r="AD550" i="2" a="1"/>
  <c r="AD550" i="2" s="1"/>
  <c r="W550" i="2" a="1"/>
  <c r="W550" i="2" s="1"/>
  <c r="B195" i="5" a="1"/>
  <c r="B195" i="5" s="1"/>
  <c r="B377" i="4" a="1"/>
  <c r="B377" i="4" s="1"/>
  <c r="U553" i="12" a="1"/>
  <c r="U553" i="12" s="1"/>
  <c r="U637" i="2" a="1"/>
  <c r="U637" i="2" s="1"/>
  <c r="U666" i="2" a="1"/>
  <c r="U666" i="2" s="1"/>
  <c r="B120" i="6" a="1"/>
  <c r="B120" i="6" s="1"/>
  <c r="B115" i="5" a="1"/>
  <c r="B115" i="5" s="1"/>
  <c r="B230" i="4" a="1"/>
  <c r="B230" i="4" s="1"/>
  <c r="AB488" i="2" a="1"/>
  <c r="AB488" i="2" s="1"/>
  <c r="U262" i="12" a="1"/>
  <c r="U262" i="12" s="1"/>
  <c r="AL365" i="2" a="1"/>
  <c r="AL365" i="2" s="1"/>
  <c r="S309" i="2" a="1"/>
  <c r="S309" i="2" s="1"/>
  <c r="Y309" i="2" a="1"/>
  <c r="Y309" i="2" s="1"/>
  <c r="B143" i="7" a="1"/>
  <c r="B143" i="7" s="1"/>
  <c r="B129" i="6" a="1"/>
  <c r="B129" i="6" s="1"/>
  <c r="B248" i="4" a="1"/>
  <c r="B248" i="4" s="1"/>
  <c r="E294" i="12" a="1"/>
  <c r="E294" i="12" s="1"/>
  <c r="E290" i="12" a="1"/>
  <c r="E290" i="12" s="1"/>
  <c r="D136" i="5" a="1"/>
  <c r="D136" i="5" s="1"/>
  <c r="D263" i="4" a="1"/>
  <c r="D263" i="4" s="1"/>
  <c r="U343" i="12" a="1"/>
  <c r="U343" i="12" s="1"/>
  <c r="B138" i="5" a="1"/>
  <c r="B138" i="5" s="1"/>
  <c r="B266" i="4" a="1"/>
  <c r="B266" i="4" s="1"/>
  <c r="E328" i="12" a="1"/>
  <c r="E328" i="12" s="1"/>
  <c r="U331" i="12" a="1"/>
  <c r="U331" i="12" s="1"/>
  <c r="U364" i="12" a="1"/>
  <c r="U364" i="12" s="1"/>
  <c r="D132" i="6" a="1"/>
  <c r="D132" i="6" s="1"/>
  <c r="D128" i="5" a="1"/>
  <c r="D128" i="5" s="1"/>
  <c r="D252" i="4" a="1"/>
  <c r="D252" i="4" s="1"/>
  <c r="U249" i="12" a="1"/>
  <c r="U249" i="12" s="1"/>
  <c r="U302" i="12" a="1"/>
  <c r="U302" i="12" s="1"/>
  <c r="V383" i="2" a="1"/>
  <c r="V383" i="2" s="1"/>
  <c r="AC535" i="2" a="1"/>
  <c r="AC535" i="2" s="1"/>
  <c r="V535" i="2" a="1"/>
  <c r="V535" i="2" s="1"/>
  <c r="W541" i="2" a="1"/>
  <c r="W541" i="2" s="1"/>
  <c r="AC541" i="2" a="1"/>
  <c r="AC541" i="2" s="1"/>
  <c r="AD413" i="2" a="1"/>
  <c r="AD413" i="2" s="1"/>
  <c r="S413" i="2" a="1"/>
  <c r="S413" i="2" s="1"/>
  <c r="W413" i="2" a="1"/>
  <c r="W413" i="2" s="1"/>
  <c r="AC413" i="2" a="1"/>
  <c r="AC413" i="2" s="1"/>
  <c r="E326" i="12" a="1"/>
  <c r="E326" i="12" s="1"/>
  <c r="AK372" i="2" a="1"/>
  <c r="AK372" i="2" s="1"/>
  <c r="U351" i="12" a="1"/>
  <c r="U351" i="12" s="1"/>
  <c r="AK322" i="2" a="1"/>
  <c r="AK322" i="2" s="1"/>
  <c r="E137" i="12" a="1"/>
  <c r="E137" i="12" s="1"/>
  <c r="AE564" i="2" a="1"/>
  <c r="AE564" i="2" s="1"/>
  <c r="Y497" i="2" a="1"/>
  <c r="Y497" i="2" s="1"/>
  <c r="X497" i="2" a="1"/>
  <c r="X497" i="2" s="1"/>
  <c r="AE497" i="2" a="1"/>
  <c r="AE497" i="2" s="1"/>
  <c r="U391" i="12" a="1"/>
  <c r="U391" i="12" s="1"/>
  <c r="Z646" i="2" a="1"/>
  <c r="Z646" i="2" s="1"/>
  <c r="Y646" i="2" a="1"/>
  <c r="Y646" i="2" s="1"/>
  <c r="AD646" i="2" a="1"/>
  <c r="AD646" i="2" s="1"/>
  <c r="B159" i="5" a="1"/>
  <c r="B159" i="5" s="1"/>
  <c r="B292" i="4" a="1"/>
  <c r="B292" i="4" s="1"/>
  <c r="S573" i="2" a="1"/>
  <c r="S573" i="2" s="1"/>
  <c r="U405" i="12" a="1"/>
  <c r="U405" i="12" s="1"/>
  <c r="AC517" i="2" a="1"/>
  <c r="AC517" i="2" s="1"/>
  <c r="B144" i="6" a="1"/>
  <c r="B144" i="6" s="1"/>
  <c r="B144" i="5" a="1"/>
  <c r="B144" i="5" s="1"/>
  <c r="B274" i="4" a="1"/>
  <c r="B274" i="4" s="1"/>
  <c r="U600" i="12" a="1"/>
  <c r="U600" i="12" s="1"/>
  <c r="AC466" i="2" a="1"/>
  <c r="AC466" i="2" s="1"/>
  <c r="B147" i="6" a="1"/>
  <c r="B147" i="6" s="1"/>
  <c r="B277" i="4" a="1"/>
  <c r="B277" i="4" s="1"/>
  <c r="B146" i="5" a="1"/>
  <c r="B146" i="5" s="1"/>
  <c r="U303" i="12" a="1"/>
  <c r="U303" i="12" s="1"/>
  <c r="AC536" i="2" a="1"/>
  <c r="AC536" i="2" s="1"/>
  <c r="B154" i="6" a="1"/>
  <c r="B154" i="6" s="1"/>
  <c r="B157" i="7" a="1"/>
  <c r="B157" i="7" s="1"/>
  <c r="B291" i="4" a="1"/>
  <c r="B291" i="4" s="1"/>
  <c r="U386" i="12" a="1"/>
  <c r="U386" i="12" s="1"/>
  <c r="AC662" i="2" a="1"/>
  <c r="AC662" i="2" s="1"/>
  <c r="B160" i="7" a="1"/>
  <c r="B160" i="7" s="1"/>
  <c r="B156" i="6" a="1"/>
  <c r="B156" i="6" s="1"/>
  <c r="B295" i="4" a="1"/>
  <c r="B295" i="4" s="1"/>
  <c r="U360" i="12" a="1"/>
  <c r="U360" i="12" s="1"/>
  <c r="AC572" i="2" a="1"/>
  <c r="AC572" i="2" s="1"/>
  <c r="B157" i="6" a="1"/>
  <c r="B157" i="6" s="1"/>
  <c r="B296" i="4" a="1"/>
  <c r="B296" i="4" s="1"/>
  <c r="U506" i="12" a="1"/>
  <c r="U506" i="12" s="1"/>
  <c r="T575" i="2" a="1"/>
  <c r="T575" i="2" s="1"/>
  <c r="D170" i="5" a="1"/>
  <c r="D170" i="5" s="1"/>
  <c r="D318" i="4" a="1"/>
  <c r="D318" i="4" s="1"/>
  <c r="AC625" i="2" a="1"/>
  <c r="AC625" i="2" s="1"/>
  <c r="AE496" i="2" a="1"/>
  <c r="AE496" i="2" s="1"/>
  <c r="D163" i="6" a="1"/>
  <c r="D163" i="6" s="1"/>
  <c r="D306" i="4" a="1"/>
  <c r="D306" i="4" s="1"/>
  <c r="Z569" i="2" a="1"/>
  <c r="Z569" i="2" s="1"/>
  <c r="AE569" i="2" a="1"/>
  <c r="AE569" i="2" s="1"/>
  <c r="T569" i="2" a="1"/>
  <c r="T569" i="2" s="1"/>
  <c r="AD569" i="2" a="1"/>
  <c r="AD569" i="2" s="1"/>
  <c r="S569" i="2" a="1"/>
  <c r="S569" i="2" s="1"/>
  <c r="X569" i="2" a="1"/>
  <c r="X569" i="2" s="1"/>
  <c r="AB569" i="2" a="1"/>
  <c r="AB569" i="2" s="1"/>
  <c r="B168" i="7" a="1"/>
  <c r="B168" i="7" s="1"/>
  <c r="B167" i="5" a="1"/>
  <c r="B167" i="5" s="1"/>
  <c r="B313" i="4" a="1"/>
  <c r="B313" i="4" s="1"/>
  <c r="E371" i="12" a="1"/>
  <c r="E371" i="12" s="1"/>
  <c r="Y338" i="2" a="1"/>
  <c r="Y338" i="2" s="1"/>
  <c r="AD338" i="2" a="1"/>
  <c r="AD338" i="2" s="1"/>
  <c r="S338" i="2" a="1"/>
  <c r="S338" i="2" s="1"/>
  <c r="AC338" i="2" a="1"/>
  <c r="AC338" i="2" s="1"/>
  <c r="W338" i="2" a="1"/>
  <c r="W338" i="2" s="1"/>
  <c r="AG338" i="2" a="1"/>
  <c r="AG338" i="2" s="1"/>
  <c r="AA338" i="2" a="1"/>
  <c r="AA338" i="2" s="1"/>
  <c r="Z338" i="2" a="1"/>
  <c r="Z338" i="2" s="1"/>
  <c r="Y510" i="2" a="1"/>
  <c r="Y510" i="2" s="1"/>
  <c r="AD510" i="2" a="1"/>
  <c r="AD510" i="2" s="1"/>
  <c r="S510" i="2" a="1"/>
  <c r="S510" i="2" s="1"/>
  <c r="AC510" i="2" a="1"/>
  <c r="AC510" i="2" s="1"/>
  <c r="W510" i="2" a="1"/>
  <c r="W510" i="2" s="1"/>
  <c r="AG510" i="2" a="1"/>
  <c r="AG510" i="2" s="1"/>
  <c r="AA510" i="2" a="1"/>
  <c r="AA510" i="2" s="1"/>
  <c r="Z510" i="2" a="1"/>
  <c r="Z510" i="2" s="1"/>
  <c r="B176" i="7" a="1"/>
  <c r="B176" i="7" s="1"/>
  <c r="B325" i="4" a="1"/>
  <c r="B325" i="4" s="1"/>
  <c r="Z597" i="2" a="1"/>
  <c r="Z597" i="2" s="1"/>
  <c r="AE597" i="2" a="1"/>
  <c r="AE597" i="2" s="1"/>
  <c r="T597" i="2" a="1"/>
  <c r="T597" i="2" s="1"/>
  <c r="Y597" i="2" a="1"/>
  <c r="Y597" i="2" s="1"/>
  <c r="AD597" i="2" a="1"/>
  <c r="AD597" i="2" s="1"/>
  <c r="S597" i="2" a="1"/>
  <c r="S597" i="2" s="1"/>
  <c r="X597" i="2" a="1"/>
  <c r="X597" i="2" s="1"/>
  <c r="W597" i="2" a="1"/>
  <c r="W597" i="2" s="1"/>
  <c r="AC597" i="2" a="1"/>
  <c r="AC597" i="2" s="1"/>
  <c r="U471" i="12" a="1"/>
  <c r="U471" i="12" s="1"/>
  <c r="B181" i="7" a="1"/>
  <c r="B181" i="7" s="1"/>
  <c r="B172" i="6" a="1"/>
  <c r="B172" i="6" s="1"/>
  <c r="B332" i="4" a="1"/>
  <c r="B332" i="4" s="1"/>
  <c r="X533" i="2" a="1"/>
  <c r="X533" i="2" s="1"/>
  <c r="AC533" i="2" a="1"/>
  <c r="AC533" i="2" s="1"/>
  <c r="W533" i="2" a="1"/>
  <c r="W533" i="2" s="1"/>
  <c r="AB533" i="2" a="1"/>
  <c r="AB533" i="2" s="1"/>
  <c r="V533" i="2" a="1"/>
  <c r="V533" i="2" s="1"/>
  <c r="AG533" i="2" a="1"/>
  <c r="AG533" i="2" s="1"/>
  <c r="AA533" i="2" a="1"/>
  <c r="AA533" i="2" s="1"/>
  <c r="AF533" i="2" a="1"/>
  <c r="AF533" i="2" s="1"/>
  <c r="Z533" i="2" a="1"/>
  <c r="Z533" i="2" s="1"/>
  <c r="AE533" i="2" a="1"/>
  <c r="AE533" i="2" s="1"/>
  <c r="X648" i="2" a="1"/>
  <c r="X648" i="2" s="1"/>
  <c r="AE648" i="2" a="1"/>
  <c r="AE648" i="2" s="1"/>
  <c r="T648" i="2" a="1"/>
  <c r="T648" i="2" s="1"/>
  <c r="U429" i="12" a="1"/>
  <c r="U429" i="12" s="1"/>
  <c r="X574" i="2" a="1"/>
  <c r="X574" i="2" s="1"/>
  <c r="AC574" i="2" a="1"/>
  <c r="AC574" i="2" s="1"/>
  <c r="W574" i="2" a="1"/>
  <c r="W574" i="2" s="1"/>
  <c r="AB574" i="2" a="1"/>
  <c r="AB574" i="2" s="1"/>
  <c r="V574" i="2" a="1"/>
  <c r="V574" i="2" s="1"/>
  <c r="AG574" i="2" a="1"/>
  <c r="AG574" i="2" s="1"/>
  <c r="AA574" i="2" a="1"/>
  <c r="AA574" i="2" s="1"/>
  <c r="AF574" i="2" a="1"/>
  <c r="AF574" i="2" s="1"/>
  <c r="Z574" i="2" a="1"/>
  <c r="Z574" i="2" s="1"/>
  <c r="AD574" i="2" a="1"/>
  <c r="AD574" i="2" s="1"/>
  <c r="S574" i="2" a="1"/>
  <c r="S574" i="2" s="1"/>
  <c r="E487" i="12" a="1"/>
  <c r="E487" i="12" s="1"/>
  <c r="X644" i="2" a="1"/>
  <c r="X644" i="2" s="1"/>
  <c r="AE644" i="2" a="1"/>
  <c r="AE644" i="2" s="1"/>
  <c r="T644" i="2" a="1"/>
  <c r="T644" i="2" s="1"/>
  <c r="D190" i="7" a="1"/>
  <c r="D190" i="7" s="1"/>
  <c r="D356" i="4" a="1"/>
  <c r="D356" i="4" s="1"/>
  <c r="U430" i="12" a="1"/>
  <c r="U430" i="12" s="1"/>
  <c r="S482" i="2" a="1"/>
  <c r="S482" i="2" s="1"/>
  <c r="AC482" i="2" a="1"/>
  <c r="AC482" i="2" s="1"/>
  <c r="V482" i="2" a="1"/>
  <c r="V482" i="2" s="1"/>
  <c r="AE607" i="2" a="1"/>
  <c r="AE607" i="2" s="1"/>
  <c r="AD607" i="2" a="1"/>
  <c r="AD607" i="2" s="1"/>
  <c r="W607" i="2" a="1"/>
  <c r="W607" i="2" s="1"/>
  <c r="AC607" i="2" a="1"/>
  <c r="AC607" i="2" s="1"/>
  <c r="V607" i="2" a="1"/>
  <c r="V607" i="2" s="1"/>
  <c r="AB607" i="2" a="1"/>
  <c r="AB607" i="2" s="1"/>
  <c r="AA607" i="2" a="1"/>
  <c r="AA607" i="2" s="1"/>
  <c r="T607" i="2" a="1"/>
  <c r="T607" i="2" s="1"/>
  <c r="S607" i="2" a="1"/>
  <c r="S607" i="2" s="1"/>
  <c r="AF607" i="2" a="1"/>
  <c r="AF607" i="2" s="1"/>
  <c r="Y607" i="2" a="1"/>
  <c r="Y607" i="2" s="1"/>
  <c r="X607" i="2" a="1"/>
  <c r="X607" i="2" s="1"/>
  <c r="U548" i="12" a="1"/>
  <c r="U548" i="12" s="1"/>
  <c r="U477" i="12" a="1"/>
  <c r="U477" i="12" s="1"/>
  <c r="U595" i="12" a="1"/>
  <c r="U595" i="12" s="1"/>
  <c r="U599" i="12" a="1"/>
  <c r="U599" i="12" s="1"/>
  <c r="U98" i="12" a="1"/>
  <c r="U98" i="12" s="1"/>
  <c r="E262" i="12" a="1"/>
  <c r="E262" i="12" s="1"/>
  <c r="W488" i="2" a="1"/>
  <c r="W488" i="2" s="1"/>
  <c r="D141" i="7" a="1"/>
  <c r="D141" i="7" s="1"/>
  <c r="D121" i="5" a="1"/>
  <c r="D121" i="5" s="1"/>
  <c r="D242" i="4" a="1"/>
  <c r="D242" i="4" s="1"/>
  <c r="B142" i="7" a="1"/>
  <c r="B142" i="7" s="1"/>
  <c r="B243" i="4" a="1"/>
  <c r="B243" i="4" s="1"/>
  <c r="V587" i="2" a="1"/>
  <c r="V587" i="2" s="1"/>
  <c r="AG587" i="2" a="1"/>
  <c r="AG587" i="2" s="1"/>
  <c r="T309" i="2" a="1"/>
  <c r="T309" i="2" s="1"/>
  <c r="AE309" i="2" a="1"/>
  <c r="AE309" i="2" s="1"/>
  <c r="E591" i="12" a="1"/>
  <c r="E591" i="12" s="1"/>
  <c r="D135" i="5" a="1"/>
  <c r="D135" i="5" s="1"/>
  <c r="D262" i="4" a="1"/>
  <c r="D262" i="4" s="1"/>
  <c r="U270" i="12" a="1"/>
  <c r="U270" i="12" s="1"/>
  <c r="U349" i="12" a="1"/>
  <c r="U349" i="12" s="1"/>
  <c r="AG414" i="2" a="1"/>
  <c r="AG414" i="2" s="1"/>
  <c r="V414" i="2" a="1"/>
  <c r="V414" i="2" s="1"/>
  <c r="W414" i="2" a="1"/>
  <c r="W414" i="2" s="1"/>
  <c r="AC414" i="2" a="1"/>
  <c r="AC414" i="2" s="1"/>
  <c r="E601" i="12" a="1"/>
  <c r="E601" i="12" s="1"/>
  <c r="W620" i="12" a="1"/>
  <c r="W620" i="12" s="1"/>
  <c r="AP434" i="2" a="1"/>
  <c r="AP434" i="2" s="1"/>
  <c r="AG584" i="2" a="1"/>
  <c r="AG584" i="2" s="1"/>
  <c r="U367" i="12" a="1"/>
  <c r="U367" i="12" s="1"/>
  <c r="U362" i="12" a="1"/>
  <c r="U362" i="12" s="1"/>
  <c r="W534" i="2" a="1"/>
  <c r="W534" i="2" s="1"/>
  <c r="AC534" i="2" a="1"/>
  <c r="AC534" i="2" s="1"/>
  <c r="AE383" i="2" a="1"/>
  <c r="AE383" i="2" s="1"/>
  <c r="T383" i="2" a="1"/>
  <c r="T383" i="2" s="1"/>
  <c r="W383" i="2" a="1"/>
  <c r="W383" i="2" s="1"/>
  <c r="AC383" i="2" a="1"/>
  <c r="AC383" i="2" s="1"/>
  <c r="W535" i="2" a="1"/>
  <c r="W535" i="2" s="1"/>
  <c r="B140" i="6" a="1"/>
  <c r="B140" i="6" s="1"/>
  <c r="B149" i="7" a="1"/>
  <c r="B149" i="7" s="1"/>
  <c r="B265" i="4" a="1"/>
  <c r="B265" i="4" s="1"/>
  <c r="B138" i="6" a="1"/>
  <c r="B138" i="6" s="1"/>
  <c r="B133" i="5" a="1"/>
  <c r="B133" i="5" s="1"/>
  <c r="B260" i="4" a="1"/>
  <c r="B260" i="4" s="1"/>
  <c r="B139" i="6" a="1"/>
  <c r="B139" i="6" s="1"/>
  <c r="B134" i="5" a="1"/>
  <c r="B134" i="5" s="1"/>
  <c r="B261" i="4" a="1"/>
  <c r="B261" i="4" s="1"/>
  <c r="Y564" i="2" a="1"/>
  <c r="Y564" i="2" s="1"/>
  <c r="D151" i="7" a="1"/>
  <c r="D151" i="7" s="1"/>
  <c r="D272" i="4" a="1"/>
  <c r="D272" i="4" s="1"/>
  <c r="AB552" i="2" a="1"/>
  <c r="AB552" i="2" s="1"/>
  <c r="D141" i="6" a="1"/>
  <c r="D141" i="6" s="1"/>
  <c r="D140" i="5" a="1"/>
  <c r="D140" i="5" s="1"/>
  <c r="D268" i="4" a="1"/>
  <c r="D268" i="4" s="1"/>
  <c r="T532" i="2" a="1"/>
  <c r="T532" i="2" s="1"/>
  <c r="X646" i="2" a="1"/>
  <c r="X646" i="2" s="1"/>
  <c r="AE646" i="2" a="1"/>
  <c r="AE646" i="2" s="1"/>
  <c r="T573" i="2" a="1"/>
  <c r="T573" i="2" s="1"/>
  <c r="E336" i="12" a="1"/>
  <c r="E336" i="12" s="1"/>
  <c r="Z454" i="2" a="1"/>
  <c r="Z454" i="2" s="1"/>
  <c r="AG454" i="2" a="1"/>
  <c r="AG454" i="2" s="1"/>
  <c r="AD620" i="2" a="1"/>
  <c r="AD620" i="2" s="1"/>
  <c r="X620" i="2" a="1"/>
  <c r="X620" i="2" s="1"/>
  <c r="W620" i="2" a="1"/>
  <c r="W620" i="2" s="1"/>
  <c r="AE620" i="2" a="1"/>
  <c r="AE620" i="2" s="1"/>
  <c r="T397" i="2" a="1"/>
  <c r="T397" i="2" s="1"/>
  <c r="E440" i="12" a="1"/>
  <c r="E440" i="12" s="1"/>
  <c r="Z636" i="2" a="1"/>
  <c r="Z636" i="2" s="1"/>
  <c r="AG636" i="2" a="1"/>
  <c r="AG636" i="2" s="1"/>
  <c r="AD559" i="2" a="1"/>
  <c r="AD559" i="2" s="1"/>
  <c r="X559" i="2" a="1"/>
  <c r="X559" i="2" s="1"/>
  <c r="W559" i="2" a="1"/>
  <c r="W559" i="2" s="1"/>
  <c r="AE559" i="2" a="1"/>
  <c r="AE559" i="2" s="1"/>
  <c r="T566" i="2" a="1"/>
  <c r="T566" i="2" s="1"/>
  <c r="U566" i="2" s="1" a="1"/>
  <c r="U566" i="2" s="1"/>
  <c r="E521" i="12" a="1"/>
  <c r="E521" i="12" s="1"/>
  <c r="Z603" i="2" a="1"/>
  <c r="Z603" i="2" s="1"/>
  <c r="AG603" i="2" a="1"/>
  <c r="AG603" i="2" s="1"/>
  <c r="AD629" i="2" a="1"/>
  <c r="AD629" i="2" s="1"/>
  <c r="X629" i="2" a="1"/>
  <c r="X629" i="2" s="1"/>
  <c r="W629" i="2" a="1"/>
  <c r="W629" i="2" s="1"/>
  <c r="AE629" i="2" a="1"/>
  <c r="AE629" i="2" s="1"/>
  <c r="T529" i="2" a="1"/>
  <c r="T529" i="2" s="1"/>
  <c r="U529" i="2" s="1" a="1"/>
  <c r="U529" i="2" s="1"/>
  <c r="E400" i="12" a="1"/>
  <c r="E400" i="12" s="1"/>
  <c r="Z495" i="2" a="1"/>
  <c r="Z495" i="2" s="1"/>
  <c r="AG495" i="2" a="1"/>
  <c r="AG495" i="2" s="1"/>
  <c r="AD409" i="2" a="1"/>
  <c r="AD409" i="2" s="1"/>
  <c r="X409" i="2" a="1"/>
  <c r="X409" i="2" s="1"/>
  <c r="W409" i="2" a="1"/>
  <c r="W409" i="2" s="1"/>
  <c r="AE409" i="2" a="1"/>
  <c r="AE409" i="2" s="1"/>
  <c r="T487" i="2" a="1"/>
  <c r="T487" i="2" s="1"/>
  <c r="U487" i="2" s="1" a="1"/>
  <c r="U487" i="2" s="1"/>
  <c r="E357" i="12" a="1"/>
  <c r="E357" i="12" s="1"/>
  <c r="Z667" i="2" a="1"/>
  <c r="Z667" i="2" s="1"/>
  <c r="AG667" i="2" a="1"/>
  <c r="AG667" i="2" s="1"/>
  <c r="AD525" i="2" a="1"/>
  <c r="AD525" i="2" s="1"/>
  <c r="X525" i="2" a="1"/>
  <c r="X525" i="2" s="1"/>
  <c r="W525" i="2" a="1"/>
  <c r="W525" i="2" s="1"/>
  <c r="AE525" i="2" a="1"/>
  <c r="AE525" i="2" s="1"/>
  <c r="T590" i="2" a="1"/>
  <c r="T590" i="2" s="1"/>
  <c r="E448" i="12" a="1"/>
  <c r="E448" i="12" s="1"/>
  <c r="AE518" i="2" a="1"/>
  <c r="AE518" i="2" s="1"/>
  <c r="D164" i="7" a="1"/>
  <c r="D164" i="7" s="1"/>
  <c r="D165" i="5" a="1"/>
  <c r="D165" i="5" s="1"/>
  <c r="D307" i="4" a="1"/>
  <c r="D307" i="4" s="1"/>
  <c r="D159" i="6" a="1"/>
  <c r="D159" i="6" s="1"/>
  <c r="D298" i="4" a="1"/>
  <c r="D298" i="4" s="1"/>
  <c r="V592" i="2" a="1"/>
  <c r="V592" i="2" s="1"/>
  <c r="AC575" i="2" a="1"/>
  <c r="AC575" i="2" s="1"/>
  <c r="AE604" i="2" a="1"/>
  <c r="AE604" i="2" s="1"/>
  <c r="D160" i="6" a="1"/>
  <c r="D160" i="6" s="1"/>
  <c r="D161" i="5" a="1"/>
  <c r="D161" i="5" s="1"/>
  <c r="D300" i="4" a="1"/>
  <c r="D300" i="4" s="1"/>
  <c r="D167" i="7" a="1"/>
  <c r="D167" i="7" s="1"/>
  <c r="D311" i="4" a="1"/>
  <c r="D311" i="4" s="1"/>
  <c r="V562" i="2" a="1"/>
  <c r="V562" i="2" s="1"/>
  <c r="D161" i="6" a="1"/>
  <c r="D161" i="6" s="1"/>
  <c r="D163" i="5" a="1"/>
  <c r="D163" i="5" s="1"/>
  <c r="D303" i="4" a="1"/>
  <c r="D303" i="4" s="1"/>
  <c r="AD625" i="2" a="1"/>
  <c r="AD625" i="2" s="1"/>
  <c r="D162" i="6" a="1"/>
  <c r="D162" i="6" s="1"/>
  <c r="D305" i="4" a="1"/>
  <c r="D305" i="4" s="1"/>
  <c r="X496" i="2" a="1"/>
  <c r="X496" i="2" s="1"/>
  <c r="U470" i="12" a="1"/>
  <c r="U470" i="12" s="1"/>
  <c r="D164" i="6" a="1"/>
  <c r="D164" i="6" s="1"/>
  <c r="D309" i="4" a="1"/>
  <c r="D309" i="4" s="1"/>
  <c r="AA569" i="2" a="1"/>
  <c r="AA569" i="2" s="1"/>
  <c r="D168" i="7" a="1"/>
  <c r="D168" i="7" s="1"/>
  <c r="D167" i="5" a="1"/>
  <c r="D167" i="5" s="1"/>
  <c r="D313" i="4" a="1"/>
  <c r="D313" i="4" s="1"/>
  <c r="X647" i="2" a="1"/>
  <c r="X647" i="2" s="1"/>
  <c r="AC647" i="2" a="1"/>
  <c r="AC647" i="2" s="1"/>
  <c r="W647" i="2" a="1"/>
  <c r="W647" i="2" s="1"/>
  <c r="AG647" i="2" a="1"/>
  <c r="AG647" i="2" s="1"/>
  <c r="V647" i="2" a="1"/>
  <c r="V647" i="2" s="1"/>
  <c r="AA647" i="2" a="1"/>
  <c r="AA647" i="2" s="1"/>
  <c r="Z647" i="2" a="1"/>
  <c r="Z647" i="2" s="1"/>
  <c r="D175" i="5" a="1"/>
  <c r="D175" i="5" s="1"/>
  <c r="D330" i="4" a="1"/>
  <c r="D330" i="4" s="1"/>
  <c r="B66" i="9" a="1"/>
  <c r="B66" i="9" s="1"/>
  <c r="E380" i="12" a="1"/>
  <c r="E380" i="12" s="1"/>
  <c r="E455" i="12" a="1"/>
  <c r="E455" i="12" s="1"/>
  <c r="E413" i="12" a="1"/>
  <c r="E413" i="12" s="1"/>
  <c r="AF597" i="2" a="1"/>
  <c r="AF597" i="2" s="1"/>
  <c r="B179" i="7" a="1"/>
  <c r="B179" i="7" s="1"/>
  <c r="B170" i="6" a="1"/>
  <c r="B170" i="6" s="1"/>
  <c r="B328" i="4" a="1"/>
  <c r="B328" i="4" s="1"/>
  <c r="D172" i="6" a="1"/>
  <c r="D172" i="6" s="1"/>
  <c r="D181" i="7" a="1"/>
  <c r="D181" i="7" s="1"/>
  <c r="D332" i="4" a="1"/>
  <c r="D332" i="4" s="1"/>
  <c r="U486" i="12" a="1"/>
  <c r="U486" i="12" s="1"/>
  <c r="U472" i="12" a="1"/>
  <c r="U472" i="12" s="1"/>
  <c r="Z522" i="2" a="1"/>
  <c r="Z522" i="2" s="1"/>
  <c r="AE522" i="2" a="1"/>
  <c r="AE522" i="2" s="1"/>
  <c r="T522" i="2" a="1"/>
  <c r="T522" i="2" s="1"/>
  <c r="Y522" i="2" a="1"/>
  <c r="Y522" i="2" s="1"/>
  <c r="AD522" i="2" a="1"/>
  <c r="AD522" i="2" s="1"/>
  <c r="S522" i="2" a="1"/>
  <c r="S522" i="2" s="1"/>
  <c r="X522" i="2" a="1"/>
  <c r="X522" i="2" s="1"/>
  <c r="AC522" i="2" a="1"/>
  <c r="AC522" i="2" s="1"/>
  <c r="W522" i="2" a="1"/>
  <c r="W522" i="2" s="1"/>
  <c r="AF522" i="2" a="1"/>
  <c r="AF522" i="2" s="1"/>
  <c r="B189" i="5" a="1"/>
  <c r="B189" i="5" s="1"/>
  <c r="B363" i="4" a="1"/>
  <c r="B363" i="4" s="1"/>
  <c r="X633" i="2" a="1"/>
  <c r="X633" i="2" s="1"/>
  <c r="U410" i="12" a="1"/>
  <c r="U410" i="12" s="1"/>
  <c r="B193" i="5" a="1"/>
  <c r="B193" i="5" s="1"/>
  <c r="B374" i="4" a="1"/>
  <c r="B374" i="4" s="1"/>
  <c r="T626" i="2" a="1"/>
  <c r="T626" i="2" s="1"/>
  <c r="U624" i="2" a="1"/>
  <c r="U624" i="2" s="1"/>
  <c r="AG426" i="2" a="1"/>
  <c r="AG426" i="2" s="1"/>
  <c r="X550" i="2" a="1"/>
  <c r="X550" i="2" s="1"/>
  <c r="U530" i="2" a="1"/>
  <c r="U530" i="2" s="1"/>
  <c r="U473" i="12" a="1"/>
  <c r="U473" i="12" s="1"/>
  <c r="U601" i="2" a="1"/>
  <c r="U601" i="2" s="1"/>
  <c r="AC616" i="2" a="1"/>
  <c r="AC616" i="2" s="1"/>
  <c r="V616" i="2" a="1"/>
  <c r="V616" i="2" s="1"/>
  <c r="AB616" i="2" a="1"/>
  <c r="AB616" i="2" s="1"/>
  <c r="AA616" i="2" a="1"/>
  <c r="AA616" i="2" s="1"/>
  <c r="T616" i="2" a="1"/>
  <c r="T616" i="2" s="1"/>
  <c r="S616" i="2" a="1"/>
  <c r="S616" i="2" s="1"/>
  <c r="AG616" i="2" a="1"/>
  <c r="AG616" i="2" s="1"/>
  <c r="Z616" i="2" a="1"/>
  <c r="Z616" i="2" s="1"/>
  <c r="AF616" i="2" a="1"/>
  <c r="AF616" i="2" s="1"/>
  <c r="Y616" i="2" a="1"/>
  <c r="Y616" i="2" s="1"/>
  <c r="X616" i="2" a="1"/>
  <c r="X616" i="2" s="1"/>
  <c r="AE616" i="2" a="1"/>
  <c r="AE616" i="2" s="1"/>
  <c r="AD616" i="2" a="1"/>
  <c r="AD616" i="2" s="1"/>
  <c r="W616" i="2" a="1"/>
  <c r="W616" i="2" s="1"/>
  <c r="U554" i="12" a="1"/>
  <c r="U554" i="12" s="1"/>
  <c r="U543" i="12" a="1"/>
  <c r="U543" i="12" s="1"/>
  <c r="U659" i="2" a="1"/>
  <c r="U659" i="2" s="1"/>
  <c r="U542" i="12" a="1"/>
  <c r="U542" i="12" s="1"/>
  <c r="W51" i="3" a="1"/>
  <c r="W51" i="3" s="1"/>
  <c r="E605" i="12" a="1"/>
  <c r="E605" i="12" s="1"/>
  <c r="AC488" i="2" a="1"/>
  <c r="AC488" i="2" s="1"/>
  <c r="AB587" i="2" a="1"/>
  <c r="AB587" i="2" s="1"/>
  <c r="Z309" i="2" a="1"/>
  <c r="Z309" i="2" s="1"/>
  <c r="AD414" i="2" a="1"/>
  <c r="AD414" i="2" s="1"/>
  <c r="U284" i="12" a="1"/>
  <c r="U284" i="12" s="1"/>
  <c r="AB534" i="2" a="1"/>
  <c r="AB534" i="2" s="1"/>
  <c r="V534" i="2" a="1"/>
  <c r="V534" i="2" s="1"/>
  <c r="X535" i="2" a="1"/>
  <c r="X535" i="2" s="1"/>
  <c r="AD535" i="2" a="1"/>
  <c r="AD535" i="2" s="1"/>
  <c r="E338" i="12" a="1"/>
  <c r="E338" i="12" s="1"/>
  <c r="X541" i="2" a="1"/>
  <c r="X541" i="2" s="1"/>
  <c r="AD541" i="2" a="1"/>
  <c r="AD541" i="2" s="1"/>
  <c r="E381" i="12" a="1"/>
  <c r="E381" i="12" s="1"/>
  <c r="X413" i="2" a="1"/>
  <c r="X413" i="2" s="1"/>
  <c r="S658" i="2" a="1"/>
  <c r="S658" i="2" s="1"/>
  <c r="Y658" i="2" a="1"/>
  <c r="Y658" i="2" s="1"/>
  <c r="AE658" i="2" a="1"/>
  <c r="AE658" i="2" s="1"/>
  <c r="S564" i="2" a="1"/>
  <c r="S564" i="2" s="1"/>
  <c r="AF564" i="2" a="1"/>
  <c r="AF564" i="2" s="1"/>
  <c r="V552" i="2" a="1"/>
  <c r="V552" i="2" s="1"/>
  <c r="E318" i="12" a="1"/>
  <c r="E318" i="12" s="1"/>
  <c r="AF497" i="2" a="1"/>
  <c r="AF497" i="2" s="1"/>
  <c r="E339" i="12" a="1"/>
  <c r="E339" i="12" s="1"/>
  <c r="AF646" i="2" a="1"/>
  <c r="AF646" i="2" s="1"/>
  <c r="S454" i="2" a="1"/>
  <c r="S454" i="2" s="1"/>
  <c r="AA454" i="2" a="1"/>
  <c r="AA454" i="2" s="1"/>
  <c r="Y620" i="2" a="1"/>
  <c r="Y620" i="2" s="1"/>
  <c r="S636" i="2" a="1"/>
  <c r="S636" i="2" s="1"/>
  <c r="AA636" i="2" a="1"/>
  <c r="AA636" i="2" s="1"/>
  <c r="Y559" i="2" a="1"/>
  <c r="Y559" i="2" s="1"/>
  <c r="S603" i="2" a="1"/>
  <c r="S603" i="2" s="1"/>
  <c r="AA603" i="2" a="1"/>
  <c r="AA603" i="2" s="1"/>
  <c r="Y629" i="2" a="1"/>
  <c r="Y629" i="2" s="1"/>
  <c r="S495" i="2" a="1"/>
  <c r="S495" i="2" s="1"/>
  <c r="AA495" i="2" a="1"/>
  <c r="AA495" i="2" s="1"/>
  <c r="Y409" i="2" a="1"/>
  <c r="Y409" i="2" s="1"/>
  <c r="S667" i="2" a="1"/>
  <c r="S667" i="2" s="1"/>
  <c r="AA667" i="2" a="1"/>
  <c r="AA667" i="2" s="1"/>
  <c r="Y525" i="2" a="1"/>
  <c r="Y525" i="2" s="1"/>
  <c r="D165" i="6" a="1"/>
  <c r="D165" i="6" s="1"/>
  <c r="D166" i="7" a="1"/>
  <c r="D166" i="7" s="1"/>
  <c r="D166" i="5" a="1"/>
  <c r="D166" i="5" s="1"/>
  <c r="D310" i="4" a="1"/>
  <c r="D310" i="4" s="1"/>
  <c r="W625" i="2" a="1"/>
  <c r="W625" i="2" s="1"/>
  <c r="W496" i="2" a="1"/>
  <c r="W496" i="2" s="1"/>
  <c r="AG496" i="2" a="1"/>
  <c r="AG496" i="2" s="1"/>
  <c r="V496" i="2" a="1"/>
  <c r="V496" i="2" s="1"/>
  <c r="AA496" i="2" a="1"/>
  <c r="AA496" i="2" s="1"/>
  <c r="Y496" i="2" a="1"/>
  <c r="Y496" i="2" s="1"/>
  <c r="AF496" i="2" a="1"/>
  <c r="AF496" i="2" s="1"/>
  <c r="E310" i="12" a="1"/>
  <c r="E310" i="12" s="1"/>
  <c r="E353" i="12" a="1"/>
  <c r="E353" i="12" s="1"/>
  <c r="AB647" i="2" a="1"/>
  <c r="AB647" i="2" s="1"/>
  <c r="AF596" i="2" a="1"/>
  <c r="AF596" i="2" s="1"/>
  <c r="T623" i="2" a="1"/>
  <c r="T623" i="2" s="1"/>
  <c r="U623" i="2" s="1" a="1"/>
  <c r="U623" i="2" s="1"/>
  <c r="AE623" i="2" a="1"/>
  <c r="AE623" i="2" s="1"/>
  <c r="AB338" i="2" a="1"/>
  <c r="AB338" i="2" s="1"/>
  <c r="AB510" i="2" a="1"/>
  <c r="AB510" i="2" s="1"/>
  <c r="W618" i="2" a="1"/>
  <c r="W618" i="2" s="1"/>
  <c r="AB618" i="2" a="1"/>
  <c r="AB618" i="2" s="1"/>
  <c r="V618" i="2" a="1"/>
  <c r="V618" i="2" s="1"/>
  <c r="AG618" i="2" a="1"/>
  <c r="AG618" i="2" s="1"/>
  <c r="AA618" i="2" a="1"/>
  <c r="AA618" i="2" s="1"/>
  <c r="AF618" i="2" a="1"/>
  <c r="AF618" i="2" s="1"/>
  <c r="Z618" i="2" a="1"/>
  <c r="Z618" i="2" s="1"/>
  <c r="Y618" i="2" a="1"/>
  <c r="Y618" i="2" s="1"/>
  <c r="E535" i="12" a="1"/>
  <c r="E535" i="12" s="1"/>
  <c r="AG597" i="2" a="1"/>
  <c r="AG597" i="2" s="1"/>
  <c r="T635" i="2" a="1"/>
  <c r="T635" i="2" s="1"/>
  <c r="AF635" i="2" a="1"/>
  <c r="AF635" i="2" s="1"/>
  <c r="B184" i="5" a="1"/>
  <c r="B184" i="5" s="1"/>
  <c r="B354" i="4" a="1"/>
  <c r="B354" i="4" s="1"/>
  <c r="AA576" i="2" a="1"/>
  <c r="AA576" i="2" s="1"/>
  <c r="S533" i="2" a="1"/>
  <c r="S533" i="2" s="1"/>
  <c r="D188" i="5" a="1"/>
  <c r="D188" i="5" s="1"/>
  <c r="D360" i="4" a="1"/>
  <c r="D360" i="4" s="1"/>
  <c r="S568" i="2" a="1"/>
  <c r="S568" i="2" s="1"/>
  <c r="V665" i="2" a="1"/>
  <c r="V665" i="2" s="1"/>
  <c r="W611" i="2" a="1"/>
  <c r="W611" i="2" s="1"/>
  <c r="AB611" i="2" a="1"/>
  <c r="AB611" i="2" s="1"/>
  <c r="V611" i="2" a="1"/>
  <c r="V611" i="2" s="1"/>
  <c r="AG611" i="2" a="1"/>
  <c r="AG611" i="2" s="1"/>
  <c r="AA611" i="2" a="1"/>
  <c r="AA611" i="2" s="1"/>
  <c r="AF611" i="2" a="1"/>
  <c r="AF611" i="2" s="1"/>
  <c r="Z611" i="2" a="1"/>
  <c r="Z611" i="2" s="1"/>
  <c r="AE611" i="2" a="1"/>
  <c r="AE611" i="2" s="1"/>
  <c r="T611" i="2" a="1"/>
  <c r="T611" i="2" s="1"/>
  <c r="U611" i="2" s="1" a="1"/>
  <c r="U611" i="2" s="1"/>
  <c r="Y611" i="2" a="1"/>
  <c r="Y611" i="2" s="1"/>
  <c r="AC611" i="2" a="1"/>
  <c r="AC611" i="2" s="1"/>
  <c r="B187" i="7" a="1"/>
  <c r="B187" i="7" s="1"/>
  <c r="B179" i="6" a="1"/>
  <c r="B179" i="6" s="1"/>
  <c r="B341" i="4" a="1"/>
  <c r="B341" i="4" s="1"/>
  <c r="AC650" i="2" a="1"/>
  <c r="AC650" i="2" s="1"/>
  <c r="V650" i="2" a="1"/>
  <c r="V650" i="2" s="1"/>
  <c r="AB650" i="2" a="1"/>
  <c r="AB650" i="2" s="1"/>
  <c r="AA650" i="2" a="1"/>
  <c r="AA650" i="2" s="1"/>
  <c r="T650" i="2" a="1"/>
  <c r="T650" i="2" s="1"/>
  <c r="S650" i="2" a="1"/>
  <c r="S650" i="2" s="1"/>
  <c r="AG650" i="2" a="1"/>
  <c r="AG650" i="2" s="1"/>
  <c r="Z650" i="2" a="1"/>
  <c r="Z650" i="2" s="1"/>
  <c r="AF650" i="2" a="1"/>
  <c r="AF650" i="2" s="1"/>
  <c r="Y650" i="2" a="1"/>
  <c r="Y650" i="2" s="1"/>
  <c r="AE650" i="2" a="1"/>
  <c r="AE650" i="2" s="1"/>
  <c r="AD650" i="2" a="1"/>
  <c r="AD650" i="2" s="1"/>
  <c r="W650" i="2" a="1"/>
  <c r="W650" i="2" s="1"/>
  <c r="B191" i="6" a="1"/>
  <c r="B191" i="6" s="1"/>
  <c r="B195" i="7" a="1"/>
  <c r="B195" i="7" s="1"/>
  <c r="B364" i="4" a="1"/>
  <c r="B364" i="4" s="1"/>
  <c r="AE619" i="2" a="1"/>
  <c r="AE619" i="2" s="1"/>
  <c r="AD619" i="2" a="1"/>
  <c r="AD619" i="2" s="1"/>
  <c r="W619" i="2" a="1"/>
  <c r="W619" i="2" s="1"/>
  <c r="AC619" i="2" a="1"/>
  <c r="AC619" i="2" s="1"/>
  <c r="V619" i="2" a="1"/>
  <c r="V619" i="2" s="1"/>
  <c r="AB619" i="2" a="1"/>
  <c r="AB619" i="2" s="1"/>
  <c r="AA619" i="2" a="1"/>
  <c r="AA619" i="2" s="1"/>
  <c r="T619" i="2" a="1"/>
  <c r="T619" i="2" s="1"/>
  <c r="S619" i="2" a="1"/>
  <c r="S619" i="2" s="1"/>
  <c r="AG619" i="2" a="1"/>
  <c r="AG619" i="2" s="1"/>
  <c r="Z619" i="2" a="1"/>
  <c r="Z619" i="2" s="1"/>
  <c r="AF619" i="2" a="1"/>
  <c r="AF619" i="2" s="1"/>
  <c r="Y619" i="2" a="1"/>
  <c r="Y619" i="2" s="1"/>
  <c r="X619" i="2" a="1"/>
  <c r="X619" i="2" s="1"/>
  <c r="U586" i="2" a="1"/>
  <c r="U586" i="2" s="1"/>
  <c r="U546" i="2" a="1"/>
  <c r="U546" i="2" s="1"/>
  <c r="U610" i="2" a="1"/>
  <c r="U610" i="2" s="1"/>
  <c r="U593" i="2" a="1"/>
  <c r="U593" i="2" s="1"/>
  <c r="AO463" i="2" a="1"/>
  <c r="AO463" i="2" s="1"/>
  <c r="V573" i="2" a="1"/>
  <c r="V573" i="2" s="1"/>
  <c r="B143" i="6" a="1"/>
  <c r="B143" i="6" s="1"/>
  <c r="B143" i="5" a="1"/>
  <c r="B143" i="5" s="1"/>
  <c r="B273" i="4" a="1"/>
  <c r="B273" i="4" s="1"/>
  <c r="W517" i="2" a="1"/>
  <c r="W517" i="2" s="1"/>
  <c r="AG517" i="2" a="1"/>
  <c r="AG517" i="2" s="1"/>
  <c r="V517" i="2" a="1"/>
  <c r="V517" i="2" s="1"/>
  <c r="X517" i="2" a="1"/>
  <c r="X517" i="2" s="1"/>
  <c r="AE517" i="2" a="1"/>
  <c r="AE517" i="2" s="1"/>
  <c r="E373" i="12" a="1"/>
  <c r="E373" i="12" s="1"/>
  <c r="W466" i="2" a="1"/>
  <c r="W466" i="2" s="1"/>
  <c r="AG466" i="2" a="1"/>
  <c r="AG466" i="2" s="1"/>
  <c r="V466" i="2" a="1"/>
  <c r="V466" i="2" s="1"/>
  <c r="X466" i="2" a="1"/>
  <c r="X466" i="2" s="1"/>
  <c r="AE466" i="2" a="1"/>
  <c r="AE466" i="2" s="1"/>
  <c r="E304" i="12" a="1"/>
  <c r="E304" i="12" s="1"/>
  <c r="W536" i="2" a="1"/>
  <c r="W536" i="2" s="1"/>
  <c r="AG536" i="2" a="1"/>
  <c r="AG536" i="2" s="1"/>
  <c r="V536" i="2" a="1"/>
  <c r="V536" i="2" s="1"/>
  <c r="X536" i="2" a="1"/>
  <c r="X536" i="2" s="1"/>
  <c r="AE536" i="2" a="1"/>
  <c r="AE536" i="2" s="1"/>
  <c r="E341" i="12" a="1"/>
  <c r="E341" i="12" s="1"/>
  <c r="W662" i="2" a="1"/>
  <c r="W662" i="2" s="1"/>
  <c r="AG662" i="2" a="1"/>
  <c r="AG662" i="2" s="1"/>
  <c r="V662" i="2" a="1"/>
  <c r="V662" i="2" s="1"/>
  <c r="X662" i="2" a="1"/>
  <c r="X662" i="2" s="1"/>
  <c r="AE662" i="2" a="1"/>
  <c r="AE662" i="2" s="1"/>
  <c r="E385" i="12" a="1"/>
  <c r="E385" i="12" s="1"/>
  <c r="W572" i="2" a="1"/>
  <c r="W572" i="2" s="1"/>
  <c r="AG572" i="2" a="1"/>
  <c r="AG572" i="2" s="1"/>
  <c r="V572" i="2" a="1"/>
  <c r="V572" i="2" s="1"/>
  <c r="X572" i="2" a="1"/>
  <c r="X572" i="2" s="1"/>
  <c r="AE572" i="2" a="1"/>
  <c r="AE572" i="2" s="1"/>
  <c r="E443" i="12" a="1"/>
  <c r="E443" i="12" s="1"/>
  <c r="W518" i="2" a="1"/>
  <c r="W518" i="2" s="1"/>
  <c r="AG518" i="2" a="1"/>
  <c r="AG518" i="2" s="1"/>
  <c r="V518" i="2" a="1"/>
  <c r="V518" i="2" s="1"/>
  <c r="AA518" i="2" a="1"/>
  <c r="AA518" i="2" s="1"/>
  <c r="Y518" i="2" a="1"/>
  <c r="Y518" i="2" s="1"/>
  <c r="AF518" i="2" a="1"/>
  <c r="AF518" i="2" s="1"/>
  <c r="AD592" i="2" a="1"/>
  <c r="AD592" i="2" s="1"/>
  <c r="X592" i="2" a="1"/>
  <c r="X592" i="2" s="1"/>
  <c r="W592" i="2" a="1"/>
  <c r="W592" i="2" s="1"/>
  <c r="AB592" i="2" a="1"/>
  <c r="AB592" i="2" s="1"/>
  <c r="Y592" i="2" a="1"/>
  <c r="Y592" i="2" s="1"/>
  <c r="AF592" i="2" a="1"/>
  <c r="AF592" i="2" s="1"/>
  <c r="W575" i="2" a="1"/>
  <c r="W575" i="2" s="1"/>
  <c r="W604" i="2" a="1"/>
  <c r="W604" i="2" s="1"/>
  <c r="AG604" i="2" a="1"/>
  <c r="AG604" i="2" s="1"/>
  <c r="V604" i="2" a="1"/>
  <c r="V604" i="2" s="1"/>
  <c r="AA604" i="2" a="1"/>
  <c r="AA604" i="2" s="1"/>
  <c r="Y604" i="2" a="1"/>
  <c r="Y604" i="2" s="1"/>
  <c r="AF604" i="2" a="1"/>
  <c r="AF604" i="2" s="1"/>
  <c r="AD562" i="2" a="1"/>
  <c r="AD562" i="2" s="1"/>
  <c r="X562" i="2" a="1"/>
  <c r="X562" i="2" s="1"/>
  <c r="W562" i="2" a="1"/>
  <c r="W562" i="2" s="1"/>
  <c r="AB562" i="2" a="1"/>
  <c r="AB562" i="2" s="1"/>
  <c r="Y562" i="2" a="1"/>
  <c r="Y562" i="2" s="1"/>
  <c r="AF562" i="2" a="1"/>
  <c r="AF562" i="2" s="1"/>
  <c r="E369" i="12" a="1"/>
  <c r="E369" i="12" s="1"/>
  <c r="U369" i="12" a="1"/>
  <c r="U369" i="12" s="1"/>
  <c r="D176" i="7" a="1"/>
  <c r="D176" i="7" s="1"/>
  <c r="D325" i="4" a="1"/>
  <c r="D325" i="4" s="1"/>
  <c r="E324" i="12" a="1"/>
  <c r="E324" i="12" s="1"/>
  <c r="U535" i="12" a="1"/>
  <c r="U535" i="12" s="1"/>
  <c r="U433" i="12" a="1"/>
  <c r="U433" i="12" s="1"/>
  <c r="B178" i="6" a="1"/>
  <c r="B178" i="6" s="1"/>
  <c r="B186" i="7" a="1"/>
  <c r="B186" i="7" s="1"/>
  <c r="B340" i="4" a="1"/>
  <c r="B340" i="4" s="1"/>
  <c r="T574" i="2" a="1"/>
  <c r="T574" i="2" s="1"/>
  <c r="U447" i="12" a="1"/>
  <c r="U447" i="12" s="1"/>
  <c r="U424" i="12" a="1"/>
  <c r="U424" i="12" s="1"/>
  <c r="Z607" i="2" a="1"/>
  <c r="Z607" i="2" s="1"/>
  <c r="S653" i="2" a="1"/>
  <c r="S653" i="2" s="1"/>
  <c r="AC653" i="2" a="1"/>
  <c r="AC653" i="2" s="1"/>
  <c r="V653" i="2" a="1"/>
  <c r="V653" i="2" s="1"/>
  <c r="U481" i="12" a="1"/>
  <c r="U481" i="12" s="1"/>
  <c r="U592" i="12" a="1"/>
  <c r="U592" i="12" s="1"/>
  <c r="U550" i="12" a="1"/>
  <c r="U550" i="12" s="1"/>
  <c r="U590" i="12" a="1"/>
  <c r="U590" i="12" s="1"/>
  <c r="Y51" i="3" a="1"/>
  <c r="Y51" i="3" s="1"/>
  <c r="Z51" i="3" s="1" a="1"/>
  <c r="Z51" i="3" s="1"/>
  <c r="D139" i="6" a="1"/>
  <c r="D139" i="6" s="1"/>
  <c r="D134" i="5" a="1"/>
  <c r="D134" i="5" s="1"/>
  <c r="D261" i="4" a="1"/>
  <c r="D261" i="4" s="1"/>
  <c r="B142" i="6" a="1"/>
  <c r="B142" i="6" s="1"/>
  <c r="B150" i="7" a="1"/>
  <c r="B150" i="7" s="1"/>
  <c r="B270" i="4" a="1"/>
  <c r="B270" i="4" s="1"/>
  <c r="E351" i="12" a="1"/>
  <c r="E351" i="12" s="1"/>
  <c r="AN322" i="2" a="1"/>
  <c r="AN322" i="2" s="1"/>
  <c r="Z552" i="2" a="1"/>
  <c r="Z552" i="2" s="1"/>
  <c r="Y552" i="2" a="1"/>
  <c r="Y552" i="2" s="1"/>
  <c r="W552" i="2" a="1"/>
  <c r="W552" i="2" s="1"/>
  <c r="AD552" i="2" a="1"/>
  <c r="AD552" i="2" s="1"/>
  <c r="B152" i="5" a="1"/>
  <c r="B152" i="5" s="1"/>
  <c r="B283" i="4" a="1"/>
  <c r="B283" i="4" s="1"/>
  <c r="U318" i="12" a="1"/>
  <c r="U318" i="12" s="1"/>
  <c r="B154" i="5" a="1"/>
  <c r="B154" i="5" s="1"/>
  <c r="B285" i="4" a="1"/>
  <c r="B285" i="4" s="1"/>
  <c r="U339" i="12" a="1"/>
  <c r="U339" i="12" s="1"/>
  <c r="B64" i="9" a="1"/>
  <c r="B64" i="9" s="1"/>
  <c r="U336" i="12" a="1"/>
  <c r="U336" i="12" s="1"/>
  <c r="E355" i="12" a="1"/>
  <c r="E355" i="12" s="1"/>
  <c r="Y517" i="2" a="1"/>
  <c r="Y517" i="2" s="1"/>
  <c r="D144" i="5" a="1"/>
  <c r="D144" i="5" s="1"/>
  <c r="D144" i="6" a="1"/>
  <c r="D144" i="6" s="1"/>
  <c r="D274" i="4" a="1"/>
  <c r="D274" i="4" s="1"/>
  <c r="U440" i="12" a="1"/>
  <c r="U440" i="12" s="1"/>
  <c r="E406" i="12" a="1"/>
  <c r="E406" i="12" s="1"/>
  <c r="Y466" i="2" a="1"/>
  <c r="Y466" i="2" s="1"/>
  <c r="D147" i="6" a="1"/>
  <c r="D147" i="6" s="1"/>
  <c r="D146" i="5" a="1"/>
  <c r="D146" i="5" s="1"/>
  <c r="D277" i="4" a="1"/>
  <c r="D277" i="4" s="1"/>
  <c r="U521" i="12" a="1"/>
  <c r="U521" i="12" s="1"/>
  <c r="E342" i="12" a="1"/>
  <c r="E342" i="12" s="1"/>
  <c r="D154" i="6" a="1"/>
  <c r="D154" i="6" s="1"/>
  <c r="D157" i="7" a="1"/>
  <c r="D157" i="7" s="1"/>
  <c r="D291" i="4" a="1"/>
  <c r="D291" i="4" s="1"/>
  <c r="U400" i="12" a="1"/>
  <c r="U400" i="12" s="1"/>
  <c r="E322" i="12" a="1"/>
  <c r="E322" i="12" s="1"/>
  <c r="D160" i="7" a="1"/>
  <c r="D160" i="7" s="1"/>
  <c r="D156" i="6" a="1"/>
  <c r="D156" i="6" s="1"/>
  <c r="D295" i="4" a="1"/>
  <c r="D295" i="4" s="1"/>
  <c r="U357" i="12" a="1"/>
  <c r="U357" i="12" s="1"/>
  <c r="E399" i="12" a="1"/>
  <c r="E399" i="12" s="1"/>
  <c r="D157" i="6" a="1"/>
  <c r="D157" i="6" s="1"/>
  <c r="D296" i="4" a="1"/>
  <c r="D296" i="4" s="1"/>
  <c r="U448" i="12" a="1"/>
  <c r="U448" i="12" s="1"/>
  <c r="E389" i="12" a="1"/>
  <c r="E389" i="12" s="1"/>
  <c r="U389" i="12" a="1"/>
  <c r="U389" i="12" s="1"/>
  <c r="E394" i="12" a="1"/>
  <c r="E394" i="12" s="1"/>
  <c r="U394" i="12" a="1"/>
  <c r="U394" i="12" s="1"/>
  <c r="AG625" i="2" a="1"/>
  <c r="AG625" i="2" s="1"/>
  <c r="V625" i="2" a="1"/>
  <c r="V625" i="2" s="1"/>
  <c r="AF625" i="2" a="1"/>
  <c r="AF625" i="2" s="1"/>
  <c r="Z625" i="2" a="1"/>
  <c r="Z625" i="2" s="1"/>
  <c r="X625" i="2" a="1"/>
  <c r="X625" i="2" s="1"/>
  <c r="E316" i="12" a="1"/>
  <c r="E316" i="12" s="1"/>
  <c r="E470" i="12" a="1"/>
  <c r="E470" i="12" s="1"/>
  <c r="B65" i="9" a="1"/>
  <c r="B65" i="9" s="1"/>
  <c r="E291" i="12" a="1"/>
  <c r="E291" i="12" s="1"/>
  <c r="U371" i="12" a="1"/>
  <c r="U371" i="12" s="1"/>
  <c r="U417" i="12" a="1"/>
  <c r="U417" i="12" s="1"/>
  <c r="T338" i="2" a="1"/>
  <c r="T338" i="2" s="1"/>
  <c r="AE338" i="2" a="1"/>
  <c r="AE338" i="2" s="1"/>
  <c r="D172" i="7" a="1"/>
  <c r="D172" i="7" s="1"/>
  <c r="D172" i="5" a="1"/>
  <c r="D172" i="5" s="1"/>
  <c r="D320" i="4" a="1"/>
  <c r="D320" i="4" s="1"/>
  <c r="T510" i="2" a="1"/>
  <c r="T510" i="2" s="1"/>
  <c r="AE510" i="2" a="1"/>
  <c r="AE510" i="2" s="1"/>
  <c r="D179" i="7" a="1"/>
  <c r="D179" i="7" s="1"/>
  <c r="D170" i="6" a="1"/>
  <c r="D170" i="6" s="1"/>
  <c r="D328" i="4" a="1"/>
  <c r="D328" i="4" s="1"/>
  <c r="Z576" i="2" a="1"/>
  <c r="Z576" i="2" s="1"/>
  <c r="AE576" i="2" a="1"/>
  <c r="AE576" i="2" s="1"/>
  <c r="T576" i="2" a="1"/>
  <c r="T576" i="2" s="1"/>
  <c r="Y576" i="2" a="1"/>
  <c r="Y576" i="2" s="1"/>
  <c r="AD576" i="2" a="1"/>
  <c r="AD576" i="2" s="1"/>
  <c r="S576" i="2" a="1"/>
  <c r="S576" i="2" s="1"/>
  <c r="X576" i="2" a="1"/>
  <c r="X576" i="2" s="1"/>
  <c r="W576" i="2" a="1"/>
  <c r="W576" i="2" s="1"/>
  <c r="AC576" i="2" a="1"/>
  <c r="AC576" i="2" s="1"/>
  <c r="T533" i="2" a="1"/>
  <c r="T533" i="2" s="1"/>
  <c r="Y574" i="2" a="1"/>
  <c r="Y574" i="2" s="1"/>
  <c r="X474" i="2" a="1"/>
  <c r="X474" i="2" s="1"/>
  <c r="AE474" i="2" a="1"/>
  <c r="AE474" i="2" s="1"/>
  <c r="T474" i="2" a="1"/>
  <c r="T474" i="2" s="1"/>
  <c r="U445" i="12" a="1"/>
  <c r="U445" i="12" s="1"/>
  <c r="U482" i="12" a="1"/>
  <c r="U482" i="12" s="1"/>
  <c r="Z664" i="2" a="1"/>
  <c r="Z664" i="2" s="1"/>
  <c r="AE664" i="2" a="1"/>
  <c r="AE664" i="2" s="1"/>
  <c r="T664" i="2" a="1"/>
  <c r="T664" i="2" s="1"/>
  <c r="Y664" i="2" a="1"/>
  <c r="Y664" i="2" s="1"/>
  <c r="AD664" i="2" a="1"/>
  <c r="AD664" i="2" s="1"/>
  <c r="S664" i="2" a="1"/>
  <c r="S664" i="2" s="1"/>
  <c r="X664" i="2" a="1"/>
  <c r="X664" i="2" s="1"/>
  <c r="AC664" i="2" a="1"/>
  <c r="AC664" i="2" s="1"/>
  <c r="W664" i="2" a="1"/>
  <c r="W664" i="2" s="1"/>
  <c r="AG664" i="2" a="1"/>
  <c r="AG664" i="2" s="1"/>
  <c r="AA664" i="2" a="1"/>
  <c r="AA664" i="2" s="1"/>
  <c r="AF664" i="2" a="1"/>
  <c r="AF664" i="2" s="1"/>
  <c r="U395" i="12" a="1"/>
  <c r="U395" i="12" s="1"/>
  <c r="AG489" i="2" a="1"/>
  <c r="AG489" i="2" s="1"/>
  <c r="AA489" i="2" a="1"/>
  <c r="AA489" i="2" s="1"/>
  <c r="AF489" i="2" a="1"/>
  <c r="AF489" i="2" s="1"/>
  <c r="Z489" i="2" a="1"/>
  <c r="Z489" i="2" s="1"/>
  <c r="AE489" i="2" a="1"/>
  <c r="AE489" i="2" s="1"/>
  <c r="T489" i="2" a="1"/>
  <c r="T489" i="2" s="1"/>
  <c r="Y489" i="2" a="1"/>
  <c r="Y489" i="2" s="1"/>
  <c r="AD489" i="2" a="1"/>
  <c r="AD489" i="2" s="1"/>
  <c r="S489" i="2" a="1"/>
  <c r="S489" i="2" s="1"/>
  <c r="X489" i="2" a="1"/>
  <c r="X489" i="2" s="1"/>
  <c r="W489" i="2" a="1"/>
  <c r="W489" i="2" s="1"/>
  <c r="AB489" i="2" a="1"/>
  <c r="AB489" i="2" s="1"/>
  <c r="V489" i="2" a="1"/>
  <c r="V489" i="2" s="1"/>
  <c r="U595" i="2" a="1"/>
  <c r="U595" i="2" s="1"/>
  <c r="U513" i="12" a="1"/>
  <c r="U513" i="12" s="1"/>
  <c r="U544" i="12" a="1"/>
  <c r="U544" i="12" s="1"/>
  <c r="U545" i="12" a="1"/>
  <c r="U545" i="12" s="1"/>
  <c r="R80" i="3" a="1"/>
  <c r="R80" i="3" s="1"/>
  <c r="W612" i="12" a="1"/>
  <c r="W612" i="12" s="1"/>
  <c r="AO365" i="2" a="1"/>
  <c r="AO365" i="2" s="1"/>
  <c r="E350" i="12" a="1"/>
  <c r="E350" i="12" s="1"/>
  <c r="D142" i="7" a="1"/>
  <c r="D142" i="7" s="1"/>
  <c r="D243" i="4" a="1"/>
  <c r="D243" i="4" s="1"/>
  <c r="V309" i="2" a="1"/>
  <c r="V309" i="2" s="1"/>
  <c r="AG309" i="2" a="1"/>
  <c r="AG309" i="2" s="1"/>
  <c r="U574" i="12" a="1"/>
  <c r="U574" i="12" s="1"/>
  <c r="B128" i="6" a="1"/>
  <c r="B128" i="6" s="1"/>
  <c r="B125" i="5" a="1"/>
  <c r="B125" i="5" s="1"/>
  <c r="B247" i="4" a="1"/>
  <c r="B247" i="4" s="1"/>
  <c r="E270" i="12" a="1"/>
  <c r="E270" i="12" s="1"/>
  <c r="E349" i="12" a="1"/>
  <c r="E349" i="12" s="1"/>
  <c r="B139" i="5" a="1"/>
  <c r="B139" i="5" s="1"/>
  <c r="B267" i="4" a="1"/>
  <c r="B267" i="4" s="1"/>
  <c r="AB584" i="2" a="1"/>
  <c r="AB584" i="2" s="1"/>
  <c r="V584" i="2" a="1"/>
  <c r="V584" i="2" s="1"/>
  <c r="B141" i="5" a="1"/>
  <c r="B141" i="5" s="1"/>
  <c r="B269" i="4" a="1"/>
  <c r="B269" i="4" s="1"/>
  <c r="B142" i="5" a="1"/>
  <c r="B142" i="5" s="1"/>
  <c r="B271" i="4" a="1"/>
  <c r="B271" i="4" s="1"/>
  <c r="E249" i="12" a="1"/>
  <c r="E249" i="12" s="1"/>
  <c r="E302" i="12" a="1"/>
  <c r="E302" i="12" s="1"/>
  <c r="S534" i="2" a="1"/>
  <c r="S534" i="2" s="1"/>
  <c r="D136" i="6" a="1"/>
  <c r="D136" i="6" s="1"/>
  <c r="D131" i="5" a="1"/>
  <c r="D131" i="5" s="1"/>
  <c r="D256" i="4" a="1"/>
  <c r="D256" i="4" s="1"/>
  <c r="D149" i="7" a="1"/>
  <c r="D149" i="7" s="1"/>
  <c r="D140" i="6" a="1"/>
  <c r="D140" i="6" s="1"/>
  <c r="D265" i="4" a="1"/>
  <c r="D265" i="4" s="1"/>
  <c r="T413" i="2" a="1"/>
  <c r="T413" i="2" s="1"/>
  <c r="Z413" i="2" a="1"/>
  <c r="Z413" i="2" s="1"/>
  <c r="AF413" i="2" a="1"/>
  <c r="AF413" i="2" s="1"/>
  <c r="AN372" i="2" a="1"/>
  <c r="AN372" i="2" s="1"/>
  <c r="X552" i="2" a="1"/>
  <c r="X552" i="2" s="1"/>
  <c r="AE552" i="2" a="1"/>
  <c r="AE552" i="2" s="1"/>
  <c r="AA497" i="2" a="1"/>
  <c r="AA497" i="2" s="1"/>
  <c r="W532" i="2" a="1"/>
  <c r="W532" i="2" s="1"/>
  <c r="AG532" i="2" a="1"/>
  <c r="AG532" i="2" s="1"/>
  <c r="AA532" i="2" a="1"/>
  <c r="AA532" i="2" s="1"/>
  <c r="AD532" i="2" a="1"/>
  <c r="AD532" i="2" s="1"/>
  <c r="T646" i="2" a="1"/>
  <c r="T646" i="2" s="1"/>
  <c r="AA646" i="2" a="1"/>
  <c r="AA646" i="2" s="1"/>
  <c r="W618" i="12" a="1"/>
  <c r="W618" i="12" s="1"/>
  <c r="AP393" i="2" a="1"/>
  <c r="AP393" i="2" s="1"/>
  <c r="AF573" i="2" a="1"/>
  <c r="AF573" i="2" s="1"/>
  <c r="AE573" i="2" a="1"/>
  <c r="AE573" i="2" s="1"/>
  <c r="Y573" i="2" a="1"/>
  <c r="Y573" i="2" s="1"/>
  <c r="W573" i="2" a="1"/>
  <c r="W573" i="2" s="1"/>
  <c r="AF517" i="2" a="1"/>
  <c r="AF517" i="2" s="1"/>
  <c r="B153" i="7" a="1"/>
  <c r="B153" i="7" s="1"/>
  <c r="B148" i="5" a="1"/>
  <c r="B148" i="5" s="1"/>
  <c r="B279" i="4" a="1"/>
  <c r="B279" i="4" s="1"/>
  <c r="AF466" i="2" a="1"/>
  <c r="AF466" i="2" s="1"/>
  <c r="B154" i="7" a="1"/>
  <c r="B154" i="7" s="1"/>
  <c r="B151" i="6" a="1"/>
  <c r="B151" i="6" s="1"/>
  <c r="B286" i="4" a="1"/>
  <c r="B286" i="4" s="1"/>
  <c r="AF536" i="2" a="1"/>
  <c r="AF536" i="2" s="1"/>
  <c r="B148" i="6" a="1"/>
  <c r="B148" i="6" s="1"/>
  <c r="B149" i="5" a="1"/>
  <c r="B149" i="5" s="1"/>
  <c r="B280" i="4" a="1"/>
  <c r="B280" i="4" s="1"/>
  <c r="AF662" i="2" a="1"/>
  <c r="AF662" i="2" s="1"/>
  <c r="B150" i="6" a="1"/>
  <c r="B150" i="6" s="1"/>
  <c r="B153" i="5" a="1"/>
  <c r="B153" i="5" s="1"/>
  <c r="B284" i="4" a="1"/>
  <c r="B284" i="4" s="1"/>
  <c r="AF572" i="2" a="1"/>
  <c r="AF572" i="2" s="1"/>
  <c r="B162" i="7" a="1"/>
  <c r="B162" i="7" s="1"/>
  <c r="B301" i="4" a="1"/>
  <c r="B301" i="4" s="1"/>
  <c r="Z518" i="2" a="1"/>
  <c r="Z518" i="2" s="1"/>
  <c r="E468" i="12" a="1"/>
  <c r="E468" i="12" s="1"/>
  <c r="U468" i="12" a="1"/>
  <c r="U468" i="12" s="1"/>
  <c r="E278" i="12" a="1"/>
  <c r="E278" i="12" s="1"/>
  <c r="Z592" i="2" a="1"/>
  <c r="Z592" i="2" s="1"/>
  <c r="AG592" i="2" a="1"/>
  <c r="AG592" i="2" s="1"/>
  <c r="AG575" i="2" a="1"/>
  <c r="AG575" i="2" s="1"/>
  <c r="V575" i="2" a="1"/>
  <c r="V575" i="2" s="1"/>
  <c r="AF575" i="2" a="1"/>
  <c r="AF575" i="2" s="1"/>
  <c r="Z575" i="2" a="1"/>
  <c r="Z575" i="2" s="1"/>
  <c r="X575" i="2" a="1"/>
  <c r="X575" i="2" s="1"/>
  <c r="E390" i="12" a="1"/>
  <c r="E390" i="12" s="1"/>
  <c r="Z604" i="2" a="1"/>
  <c r="Z604" i="2" s="1"/>
  <c r="E402" i="12" a="1"/>
  <c r="E402" i="12" s="1"/>
  <c r="U402" i="12" a="1"/>
  <c r="U402" i="12" s="1"/>
  <c r="E396" i="12" a="1"/>
  <c r="E396" i="12" s="1"/>
  <c r="Z562" i="2" a="1"/>
  <c r="Z562" i="2" s="1"/>
  <c r="AG562" i="2" a="1"/>
  <c r="AG562" i="2" s="1"/>
  <c r="E461" i="12" a="1"/>
  <c r="E461" i="12" s="1"/>
  <c r="Y625" i="2" a="1"/>
  <c r="Y625" i="2" s="1"/>
  <c r="U461" i="12" a="1"/>
  <c r="U461" i="12" s="1"/>
  <c r="U316" i="12" a="1"/>
  <c r="U316" i="12" s="1"/>
  <c r="AF569" i="2" a="1"/>
  <c r="AF569" i="2" s="1"/>
  <c r="W670" i="12" a="1"/>
  <c r="W670" i="12" s="1"/>
  <c r="AP134" i="2" a="1"/>
  <c r="AP134" i="2" s="1"/>
  <c r="B166" i="6" a="1"/>
  <c r="B166" i="6" s="1"/>
  <c r="B312" i="4" a="1"/>
  <c r="B312" i="4" s="1"/>
  <c r="B170" i="7" a="1"/>
  <c r="B170" i="7" s="1"/>
  <c r="B169" i="5" a="1"/>
  <c r="B169" i="5" s="1"/>
  <c r="B317" i="4" a="1"/>
  <c r="B317" i="4" s="1"/>
  <c r="E525" i="12" a="1"/>
  <c r="E525" i="12" s="1"/>
  <c r="U455" i="12" a="1"/>
  <c r="U455" i="12" s="1"/>
  <c r="U532" i="12" a="1"/>
  <c r="U532" i="12" s="1"/>
  <c r="U324" i="12" a="1"/>
  <c r="U324" i="12" s="1"/>
  <c r="V597" i="2" a="1"/>
  <c r="V597" i="2" s="1"/>
  <c r="E420" i="12" a="1"/>
  <c r="E420" i="12" s="1"/>
  <c r="U420" i="12" a="1"/>
  <c r="U420" i="12" s="1"/>
  <c r="B353" i="4" a="1"/>
  <c r="B353" i="4" s="1"/>
  <c r="B183" i="5" a="1"/>
  <c r="B183" i="5" s="1"/>
  <c r="E498" i="12" a="1"/>
  <c r="E498" i="12" s="1"/>
  <c r="U437" i="12" a="1"/>
  <c r="U437" i="12" s="1"/>
  <c r="AG457" i="2" a="1"/>
  <c r="AG457" i="2" s="1"/>
  <c r="AA457" i="2" a="1"/>
  <c r="AA457" i="2" s="1"/>
  <c r="AF457" i="2" a="1"/>
  <c r="AF457" i="2" s="1"/>
  <c r="Z457" i="2" a="1"/>
  <c r="Z457" i="2" s="1"/>
  <c r="AE457" i="2" a="1"/>
  <c r="AE457" i="2" s="1"/>
  <c r="T457" i="2" a="1"/>
  <c r="T457" i="2" s="1"/>
  <c r="Y457" i="2" a="1"/>
  <c r="Y457" i="2" s="1"/>
  <c r="AD457" i="2" a="1"/>
  <c r="AD457" i="2" s="1"/>
  <c r="S457" i="2" a="1"/>
  <c r="S457" i="2" s="1"/>
  <c r="X457" i="2" a="1"/>
  <c r="X457" i="2" s="1"/>
  <c r="AB457" i="2" a="1"/>
  <c r="AB457" i="2" s="1"/>
  <c r="V457" i="2" a="1"/>
  <c r="V457" i="2" s="1"/>
  <c r="D186" i="7" a="1"/>
  <c r="D186" i="7" s="1"/>
  <c r="D178" i="6" a="1"/>
  <c r="D178" i="6" s="1"/>
  <c r="D340" i="4" a="1"/>
  <c r="D340" i="4" s="1"/>
  <c r="U487" i="12" a="1"/>
  <c r="U487" i="12" s="1"/>
  <c r="U524" i="12" a="1"/>
  <c r="U524" i="12" s="1"/>
  <c r="B177" i="5" a="1"/>
  <c r="B177" i="5" s="1"/>
  <c r="B177" i="6" a="1"/>
  <c r="B177" i="6" s="1"/>
  <c r="B339" i="4" a="1"/>
  <c r="B339" i="4" s="1"/>
  <c r="AG671" i="2" a="1"/>
  <c r="AG671" i="2" s="1"/>
  <c r="AA671" i="2" a="1"/>
  <c r="AA671" i="2" s="1"/>
  <c r="AF671" i="2" a="1"/>
  <c r="AF671" i="2" s="1"/>
  <c r="Z671" i="2" a="1"/>
  <c r="Z671" i="2" s="1"/>
  <c r="AE671" i="2" a="1"/>
  <c r="AE671" i="2" s="1"/>
  <c r="T671" i="2" a="1"/>
  <c r="T671" i="2" s="1"/>
  <c r="Y671" i="2" a="1"/>
  <c r="Y671" i="2" s="1"/>
  <c r="AD671" i="2" a="1"/>
  <c r="AD671" i="2" s="1"/>
  <c r="S671" i="2" a="1"/>
  <c r="S671" i="2" s="1"/>
  <c r="X671" i="2" a="1"/>
  <c r="X671" i="2" s="1"/>
  <c r="AB671" i="2" a="1"/>
  <c r="AB671" i="2" s="1"/>
  <c r="V671" i="2" a="1"/>
  <c r="V671" i="2" s="1"/>
  <c r="B180" i="6" a="1"/>
  <c r="B180" i="6" s="1"/>
  <c r="B342" i="4" a="1"/>
  <c r="B342" i="4" s="1"/>
  <c r="W458" i="2" a="1"/>
  <c r="W458" i="2" s="1"/>
  <c r="AB458" i="2" a="1"/>
  <c r="AB458" i="2" s="1"/>
  <c r="V458" i="2" a="1"/>
  <c r="V458" i="2" s="1"/>
  <c r="AG458" i="2" a="1"/>
  <c r="AG458" i="2" s="1"/>
  <c r="AA458" i="2" a="1"/>
  <c r="AA458" i="2" s="1"/>
  <c r="AF458" i="2" a="1"/>
  <c r="AF458" i="2" s="1"/>
  <c r="Z458" i="2" a="1"/>
  <c r="Z458" i="2" s="1"/>
  <c r="AE458" i="2" a="1"/>
  <c r="AE458" i="2" s="1"/>
  <c r="T458" i="2" a="1"/>
  <c r="T458" i="2" s="1"/>
  <c r="Y458" i="2" a="1"/>
  <c r="Y458" i="2" s="1"/>
  <c r="AC458" i="2" a="1"/>
  <c r="AC458" i="2" s="1"/>
  <c r="B181" i="6" a="1"/>
  <c r="B181" i="6" s="1"/>
  <c r="B343" i="4" a="1"/>
  <c r="B343" i="4" s="1"/>
  <c r="B182" i="6" a="1"/>
  <c r="B182" i="6" s="1"/>
  <c r="B344" i="4" a="1"/>
  <c r="B344" i="4" s="1"/>
  <c r="E464" i="12" a="1"/>
  <c r="E464" i="12" s="1"/>
  <c r="X641" i="2" a="1"/>
  <c r="X641" i="2" s="1"/>
  <c r="AE641" i="2" a="1"/>
  <c r="AE641" i="2" s="1"/>
  <c r="T641" i="2" a="1"/>
  <c r="T641" i="2" s="1"/>
  <c r="U606" i="2" a="1"/>
  <c r="U606" i="2" s="1"/>
  <c r="U489" i="12" a="1"/>
  <c r="U489" i="12" s="1"/>
  <c r="U480" i="2" a="1"/>
  <c r="U480" i="2" s="1"/>
  <c r="U656" i="2" a="1"/>
  <c r="U656" i="2" s="1"/>
  <c r="U491" i="12" a="1"/>
  <c r="U491" i="12" s="1"/>
  <c r="U669" i="2" a="1"/>
  <c r="U669" i="2" s="1"/>
  <c r="U668" i="2" a="1"/>
  <c r="U668" i="2" s="1"/>
  <c r="U578" i="12" a="1"/>
  <c r="U578" i="12" s="1"/>
  <c r="U587" i="12" a="1"/>
  <c r="U587" i="12" s="1"/>
  <c r="I51" i="3" a="1"/>
  <c r="I51" i="3" s="1"/>
  <c r="R51" i="3" a="1"/>
  <c r="R51" i="3" s="1"/>
  <c r="U112" i="3" a="1"/>
  <c r="U112" i="3" s="1"/>
  <c r="D125" i="6" a="1"/>
  <c r="D125" i="6" s="1"/>
  <c r="D138" i="7" a="1"/>
  <c r="D138" i="7" s="1"/>
  <c r="D117" i="5" a="1"/>
  <c r="D117" i="5" s="1"/>
  <c r="D237" i="4" a="1"/>
  <c r="D237" i="4" s="1"/>
  <c r="E251" i="12" a="1"/>
  <c r="E251" i="12" s="1"/>
  <c r="T488" i="2" a="1"/>
  <c r="T488" i="2" s="1"/>
  <c r="S587" i="2" a="1"/>
  <c r="S587" i="2" s="1"/>
  <c r="U294" i="12" a="1"/>
  <c r="U294" i="12" s="1"/>
  <c r="AG542" i="2" a="1"/>
  <c r="AG542" i="2" s="1"/>
  <c r="V542" i="2" a="1"/>
  <c r="V542" i="2" s="1"/>
  <c r="W542" i="2" a="1"/>
  <c r="W542" i="2" s="1"/>
  <c r="AC542" i="2" a="1"/>
  <c r="AC542" i="2" s="1"/>
  <c r="T414" i="2" a="1"/>
  <c r="T414" i="2" s="1"/>
  <c r="Z414" i="2" a="1"/>
  <c r="Z414" i="2" s="1"/>
  <c r="AF414" i="2" a="1"/>
  <c r="AF414" i="2" s="1"/>
  <c r="U328" i="12" a="1"/>
  <c r="U328" i="12" s="1"/>
  <c r="AM434" i="2" a="1"/>
  <c r="AM434" i="2" s="1"/>
  <c r="E284" i="12" a="1"/>
  <c r="E284" i="12" s="1"/>
  <c r="X584" i="2" a="1"/>
  <c r="X584" i="2" s="1"/>
  <c r="AD584" i="2" a="1"/>
  <c r="AD584" i="2" s="1"/>
  <c r="E367" i="12" a="1"/>
  <c r="E367" i="12" s="1"/>
  <c r="D148" i="7" a="1"/>
  <c r="D148" i="7" s="1"/>
  <c r="D259" i="4" a="1"/>
  <c r="D259" i="4" s="1"/>
  <c r="Z383" i="2" a="1"/>
  <c r="Z383" i="2" s="1"/>
  <c r="AF383" i="2" a="1"/>
  <c r="AF383" i="2" s="1"/>
  <c r="T535" i="2" a="1"/>
  <c r="T535" i="2" s="1"/>
  <c r="Z535" i="2" a="1"/>
  <c r="Z535" i="2" s="1"/>
  <c r="AF535" i="2" a="1"/>
  <c r="AF535" i="2" s="1"/>
  <c r="T541" i="2" a="1"/>
  <c r="T541" i="2" s="1"/>
  <c r="Z541" i="2" a="1"/>
  <c r="Z541" i="2" s="1"/>
  <c r="AG541" i="2" a="1"/>
  <c r="AG541" i="2" s="1"/>
  <c r="AG413" i="2" a="1"/>
  <c r="AG413" i="2" s="1"/>
  <c r="AA658" i="2" a="1"/>
  <c r="AA658" i="2" s="1"/>
  <c r="U326" i="12" a="1"/>
  <c r="U326" i="12" s="1"/>
  <c r="AO322" i="2" a="1"/>
  <c r="AO322" i="2" s="1"/>
  <c r="AC564" i="2" a="1"/>
  <c r="AC564" i="2" s="1"/>
  <c r="AF552" i="2" a="1"/>
  <c r="AF552" i="2" s="1"/>
  <c r="AN391" i="2" a="1"/>
  <c r="AN391" i="2" s="1"/>
  <c r="AB497" i="2" a="1"/>
  <c r="AB497" i="2" s="1"/>
  <c r="X532" i="2" a="1"/>
  <c r="X532" i="2" s="1"/>
  <c r="AB646" i="2" a="1"/>
  <c r="AB646" i="2" s="1"/>
  <c r="W644" i="12" a="1"/>
  <c r="W644" i="12" s="1"/>
  <c r="AD573" i="2" a="1"/>
  <c r="AD573" i="2" s="1"/>
  <c r="S517" i="2" a="1"/>
  <c r="S517" i="2" s="1"/>
  <c r="Z517" i="2" a="1"/>
  <c r="Z517" i="2" s="1"/>
  <c r="AC454" i="2" a="1"/>
  <c r="AC454" i="2" s="1"/>
  <c r="AA620" i="2" a="1"/>
  <c r="AA620" i="2" s="1"/>
  <c r="U373" i="12" a="1"/>
  <c r="U373" i="12" s="1"/>
  <c r="AG397" i="2" a="1"/>
  <c r="AG397" i="2" s="1"/>
  <c r="V397" i="2" a="1"/>
  <c r="V397" i="2" s="1"/>
  <c r="AF397" i="2" a="1"/>
  <c r="AF397" i="2" s="1"/>
  <c r="S466" i="2" a="1"/>
  <c r="S466" i="2" s="1"/>
  <c r="Z466" i="2" a="1"/>
  <c r="Z466" i="2" s="1"/>
  <c r="AC636" i="2" a="1"/>
  <c r="AC636" i="2" s="1"/>
  <c r="AA559" i="2" a="1"/>
  <c r="AA559" i="2" s="1"/>
  <c r="U304" i="12" a="1"/>
  <c r="U304" i="12" s="1"/>
  <c r="AG566" i="2" a="1"/>
  <c r="AG566" i="2" s="1"/>
  <c r="V566" i="2" a="1"/>
  <c r="V566" i="2" s="1"/>
  <c r="AF566" i="2" a="1"/>
  <c r="AF566" i="2" s="1"/>
  <c r="S536" i="2" a="1"/>
  <c r="S536" i="2" s="1"/>
  <c r="Z536" i="2" a="1"/>
  <c r="Z536" i="2" s="1"/>
  <c r="AC603" i="2" a="1"/>
  <c r="AC603" i="2" s="1"/>
  <c r="AA629" i="2" a="1"/>
  <c r="AA629" i="2" s="1"/>
  <c r="U341" i="12" a="1"/>
  <c r="U341" i="12" s="1"/>
  <c r="AG529" i="2" a="1"/>
  <c r="AG529" i="2" s="1"/>
  <c r="V529" i="2" a="1"/>
  <c r="V529" i="2" s="1"/>
  <c r="AF529" i="2" a="1"/>
  <c r="AF529" i="2" s="1"/>
  <c r="S662" i="2" a="1"/>
  <c r="S662" i="2" s="1"/>
  <c r="Z662" i="2" a="1"/>
  <c r="Z662" i="2" s="1"/>
  <c r="AC495" i="2" a="1"/>
  <c r="AC495" i="2" s="1"/>
  <c r="AA409" i="2" a="1"/>
  <c r="AA409" i="2" s="1"/>
  <c r="U385" i="12" a="1"/>
  <c r="U385" i="12" s="1"/>
  <c r="AG487" i="2" a="1"/>
  <c r="AG487" i="2" s="1"/>
  <c r="V487" i="2" a="1"/>
  <c r="V487" i="2" s="1"/>
  <c r="AF487" i="2" a="1"/>
  <c r="AF487" i="2" s="1"/>
  <c r="S572" i="2" a="1"/>
  <c r="S572" i="2" s="1"/>
  <c r="Z572" i="2" a="1"/>
  <c r="Z572" i="2" s="1"/>
  <c r="AC667" i="2" a="1"/>
  <c r="AC667" i="2" s="1"/>
  <c r="AA525" i="2" a="1"/>
  <c r="AA525" i="2" s="1"/>
  <c r="U443" i="12" a="1"/>
  <c r="U443" i="12" s="1"/>
  <c r="AG590" i="2" a="1"/>
  <c r="AG590" i="2" s="1"/>
  <c r="V590" i="2" a="1"/>
  <c r="V590" i="2" s="1"/>
  <c r="AF590" i="2" a="1"/>
  <c r="AF590" i="2" s="1"/>
  <c r="S518" i="2" a="1"/>
  <c r="S518" i="2" s="1"/>
  <c r="S592" i="2" a="1"/>
  <c r="S592" i="2" s="1"/>
  <c r="Y575" i="2" a="1"/>
  <c r="Y575" i="2" s="1"/>
  <c r="S604" i="2" a="1"/>
  <c r="S604" i="2" s="1"/>
  <c r="S562" i="2" a="1"/>
  <c r="S562" i="2" s="1"/>
  <c r="U396" i="12" a="1"/>
  <c r="U396" i="12" s="1"/>
  <c r="T496" i="2" a="1"/>
  <c r="T496" i="2" s="1"/>
  <c r="U496" i="2" s="1" a="1"/>
  <c r="U496" i="2" s="1"/>
  <c r="AB496" i="2" a="1"/>
  <c r="AB496" i="2" s="1"/>
  <c r="U647" i="2" a="1"/>
  <c r="U647" i="2" s="1"/>
  <c r="AF647" i="2" a="1"/>
  <c r="AF647" i="2" s="1"/>
  <c r="Y596" i="2" a="1"/>
  <c r="Y596" i="2" s="1"/>
  <c r="Y623" i="2" a="1"/>
  <c r="Y623" i="2" s="1"/>
  <c r="AF338" i="2" a="1"/>
  <c r="AF338" i="2" s="1"/>
  <c r="B173" i="7" a="1"/>
  <c r="B173" i="7" s="1"/>
  <c r="B321" i="4" a="1"/>
  <c r="B321" i="4" s="1"/>
  <c r="AF510" i="2" a="1"/>
  <c r="AF510" i="2" s="1"/>
  <c r="T618" i="2" a="1"/>
  <c r="T618" i="2" s="1"/>
  <c r="B178" i="7" a="1"/>
  <c r="B178" i="7" s="1"/>
  <c r="B327" i="4" a="1"/>
  <c r="B327" i="4" s="1"/>
  <c r="X502" i="2" a="1"/>
  <c r="X502" i="2" s="1"/>
  <c r="AC502" i="2" a="1"/>
  <c r="AC502" i="2" s="1"/>
  <c r="W502" i="2" a="1"/>
  <c r="W502" i="2" s="1"/>
  <c r="AB502" i="2" a="1"/>
  <c r="AB502" i="2" s="1"/>
  <c r="V502" i="2" a="1"/>
  <c r="V502" i="2" s="1"/>
  <c r="AG502" i="2" a="1"/>
  <c r="AG502" i="2" s="1"/>
  <c r="AA502" i="2" a="1"/>
  <c r="AA502" i="2" s="1"/>
  <c r="Z502" i="2" a="1"/>
  <c r="Z502" i="2" s="1"/>
  <c r="AD502" i="2" a="1"/>
  <c r="AD502" i="2" s="1"/>
  <c r="W558" i="2" a="1"/>
  <c r="W558" i="2" s="1"/>
  <c r="AB558" i="2" a="1"/>
  <c r="AB558" i="2" s="1"/>
  <c r="V558" i="2" a="1"/>
  <c r="V558" i="2" s="1"/>
  <c r="AG558" i="2" a="1"/>
  <c r="AG558" i="2" s="1"/>
  <c r="AA558" i="2" a="1"/>
  <c r="AA558" i="2" s="1"/>
  <c r="AF558" i="2" a="1"/>
  <c r="AF558" i="2" s="1"/>
  <c r="Z558" i="2" a="1"/>
  <c r="Z558" i="2" s="1"/>
  <c r="Y558" i="2" a="1"/>
  <c r="Y558" i="2" s="1"/>
  <c r="E552" i="12" a="1"/>
  <c r="E552" i="12" s="1"/>
  <c r="AG576" i="2" a="1"/>
  <c r="AG576" i="2" s="1"/>
  <c r="Y533" i="2" a="1"/>
  <c r="Y533" i="2" s="1"/>
  <c r="AD568" i="2" a="1"/>
  <c r="AD568" i="2" s="1"/>
  <c r="U446" i="12" a="1"/>
  <c r="U446" i="12" s="1"/>
  <c r="B171" i="6" a="1"/>
  <c r="B171" i="6" s="1"/>
  <c r="B329" i="4" a="1"/>
  <c r="B329" i="4" s="1"/>
  <c r="E472" i="12" a="1"/>
  <c r="E472" i="12" s="1"/>
  <c r="X611" i="2" a="1"/>
  <c r="X611" i="2" s="1"/>
  <c r="AA522" i="2" a="1"/>
  <c r="AA522" i="2" s="1"/>
  <c r="Z554" i="2" a="1"/>
  <c r="Z554" i="2" s="1"/>
  <c r="AE554" i="2" a="1"/>
  <c r="AE554" i="2" s="1"/>
  <c r="T554" i="2" a="1"/>
  <c r="T554" i="2" s="1"/>
  <c r="Y554" i="2" a="1"/>
  <c r="Y554" i="2" s="1"/>
  <c r="AD554" i="2" a="1"/>
  <c r="AD554" i="2" s="1"/>
  <c r="S554" i="2" a="1"/>
  <c r="S554" i="2" s="1"/>
  <c r="X554" i="2" a="1"/>
  <c r="X554" i="2" s="1"/>
  <c r="AC554" i="2" a="1"/>
  <c r="AC554" i="2" s="1"/>
  <c r="W554" i="2" a="1"/>
  <c r="W554" i="2" s="1"/>
  <c r="AF554" i="2" a="1"/>
  <c r="AF554" i="2" s="1"/>
  <c r="B191" i="5" a="1"/>
  <c r="B191" i="5" s="1"/>
  <c r="B369" i="4" a="1"/>
  <c r="B369" i="4" s="1"/>
  <c r="X583" i="2" a="1"/>
  <c r="X583" i="2" s="1"/>
  <c r="AC583" i="2" a="1"/>
  <c r="AC583" i="2" s="1"/>
  <c r="W583" i="2" a="1"/>
  <c r="W583" i="2" s="1"/>
  <c r="AB583" i="2" a="1"/>
  <c r="AB583" i="2" s="1"/>
  <c r="V583" i="2" a="1"/>
  <c r="V583" i="2" s="1"/>
  <c r="AG583" i="2" a="1"/>
  <c r="AG583" i="2" s="1"/>
  <c r="AA583" i="2" a="1"/>
  <c r="AA583" i="2" s="1"/>
  <c r="AF583" i="2" a="1"/>
  <c r="AF583" i="2" s="1"/>
  <c r="Z583" i="2" a="1"/>
  <c r="Z583" i="2" s="1"/>
  <c r="AD583" i="2" a="1"/>
  <c r="AD583" i="2" s="1"/>
  <c r="S583" i="2" a="1"/>
  <c r="S583" i="2" s="1"/>
  <c r="E410" i="12" a="1"/>
  <c r="E410" i="12" s="1"/>
  <c r="S622" i="2" a="1"/>
  <c r="S622" i="2" s="1"/>
  <c r="AC622" i="2" a="1"/>
  <c r="AC622" i="2" s="1"/>
  <c r="V622" i="2" a="1"/>
  <c r="V622" i="2" s="1"/>
  <c r="B185" i="6" a="1"/>
  <c r="B185" i="6" s="1"/>
  <c r="B179" i="5" a="1"/>
  <c r="B179" i="5" s="1"/>
  <c r="B348" i="4" a="1"/>
  <c r="B348" i="4" s="1"/>
  <c r="U441" i="12" a="1"/>
  <c r="U441" i="12" s="1"/>
  <c r="U632" i="2" a="1"/>
  <c r="U632" i="2" s="1"/>
  <c r="U570" i="12" a="1"/>
  <c r="U570" i="12" s="1"/>
  <c r="S51" i="3" a="1"/>
  <c r="S51" i="3" s="1"/>
  <c r="E560" i="12" a="1"/>
  <c r="E560" i="12" s="1"/>
  <c r="D184" i="7" a="1"/>
  <c r="D184" i="7" s="1"/>
  <c r="D337" i="4" a="1"/>
  <c r="D337" i="4" s="1"/>
  <c r="E429" i="12" a="1"/>
  <c r="E429" i="12" s="1"/>
  <c r="D189" i="5" a="1"/>
  <c r="D189" i="5" s="1"/>
  <c r="D363" i="4" a="1"/>
  <c r="D363" i="4" s="1"/>
  <c r="E524" i="12" a="1"/>
  <c r="E524" i="12" s="1"/>
  <c r="D191" i="5" a="1"/>
  <c r="D191" i="5" s="1"/>
  <c r="D369" i="4" a="1"/>
  <c r="D369" i="4" s="1"/>
  <c r="E447" i="12" a="1"/>
  <c r="E447" i="12" s="1"/>
  <c r="D193" i="5" a="1"/>
  <c r="D193" i="5" s="1"/>
  <c r="D374" i="4" a="1"/>
  <c r="D374" i="4" s="1"/>
  <c r="B184" i="6" a="1"/>
  <c r="B184" i="6" s="1"/>
  <c r="B347" i="4" a="1"/>
  <c r="B347" i="4" s="1"/>
  <c r="B193" i="7" a="1"/>
  <c r="B193" i="7" s="1"/>
  <c r="B361" i="4" a="1"/>
  <c r="B361" i="4" s="1"/>
  <c r="B189" i="6" a="1"/>
  <c r="B189" i="6" s="1"/>
  <c r="B185" i="5" a="1"/>
  <c r="B185" i="5" s="1"/>
  <c r="B355" i="4" a="1"/>
  <c r="B355" i="4" s="1"/>
  <c r="B196" i="6" a="1"/>
  <c r="B196" i="6" s="1"/>
  <c r="B198" i="7" a="1"/>
  <c r="B198" i="7" s="1"/>
  <c r="B371" i="4" a="1"/>
  <c r="B371" i="4" s="1"/>
  <c r="W565" i="2" a="1"/>
  <c r="W565" i="2" s="1"/>
  <c r="AD565" i="2" a="1"/>
  <c r="AD565" i="2" s="1"/>
  <c r="AF599" i="2" a="1"/>
  <c r="AF599" i="2" s="1"/>
  <c r="Y598" i="2" a="1"/>
  <c r="Y598" i="2" s="1"/>
  <c r="AF594" i="2" a="1"/>
  <c r="AF594" i="2" s="1"/>
  <c r="Y645" i="2" a="1"/>
  <c r="Y645" i="2" s="1"/>
  <c r="AF642" i="2" a="1"/>
  <c r="AF642" i="2" s="1"/>
  <c r="Y634" i="2" a="1"/>
  <c r="Y634" i="2" s="1"/>
  <c r="Y638" i="2" a="1"/>
  <c r="Y638" i="2" s="1"/>
  <c r="Y639" i="2" a="1"/>
  <c r="Y639" i="2" s="1"/>
  <c r="T631" i="2" a="1"/>
  <c r="T631" i="2" s="1"/>
  <c r="AF651" i="2" a="1"/>
  <c r="AF651" i="2" s="1"/>
  <c r="V621" i="2" a="1"/>
  <c r="V621" i="2" s="1"/>
  <c r="Y617" i="2" a="1"/>
  <c r="Y617" i="2" s="1"/>
  <c r="U51" i="3" a="1"/>
  <c r="U51" i="3" s="1"/>
  <c r="Q80" i="3" a="1"/>
  <c r="Q80" i="3" s="1"/>
  <c r="Y80" i="3" a="1"/>
  <c r="Y80" i="3" s="1"/>
  <c r="Z80" i="3" s="1" a="1"/>
  <c r="Z80" i="3" s="1"/>
  <c r="I109" i="3" a="1"/>
  <c r="I109" i="3" s="1"/>
  <c r="D191" i="7" a="1"/>
  <c r="D191" i="7" s="1"/>
  <c r="D357" i="4" a="1"/>
  <c r="D357" i="4" s="1"/>
  <c r="E459" i="12" a="1"/>
  <c r="E459" i="12" s="1"/>
  <c r="D192" i="7" a="1"/>
  <c r="D192" i="7" s="1"/>
  <c r="D190" i="6" a="1"/>
  <c r="D190" i="6" s="1"/>
  <c r="D187" i="5" a="1"/>
  <c r="D187" i="5" s="1"/>
  <c r="D359" i="4" a="1"/>
  <c r="D359" i="4" s="1"/>
  <c r="E567" i="12" a="1"/>
  <c r="E567" i="12" s="1"/>
  <c r="D196" i="5" a="1"/>
  <c r="D196" i="5" s="1"/>
  <c r="D378" i="4" a="1"/>
  <c r="D378" i="4" s="1"/>
  <c r="E569" i="12" a="1"/>
  <c r="E569" i="12" s="1"/>
  <c r="D197" i="7" a="1"/>
  <c r="D197" i="7" s="1"/>
  <c r="D193" i="6" a="1"/>
  <c r="D193" i="6" s="1"/>
  <c r="D367" i="4" a="1"/>
  <c r="D367" i="4" s="1"/>
  <c r="V581" i="2" a="1"/>
  <c r="V581" i="2" s="1"/>
  <c r="AC581" i="2" a="1"/>
  <c r="AC581" i="2" s="1"/>
  <c r="U418" i="12" a="1"/>
  <c r="U418" i="12" s="1"/>
  <c r="E384" i="12" a="1"/>
  <c r="E384" i="12" s="1"/>
  <c r="AE565" i="2" a="1"/>
  <c r="AE565" i="2" s="1"/>
  <c r="D195" i="6" a="1"/>
  <c r="D195" i="6" s="1"/>
  <c r="D370" i="4" a="1"/>
  <c r="D370" i="4" s="1"/>
  <c r="D197" i="6" a="1"/>
  <c r="D197" i="6" s="1"/>
  <c r="D373" i="4" a="1"/>
  <c r="D373" i="4" s="1"/>
  <c r="B198" i="6" a="1"/>
  <c r="B198" i="6" s="1"/>
  <c r="B375" i="4" a="1"/>
  <c r="B375" i="4" s="1"/>
  <c r="E553" i="12" a="1"/>
  <c r="E553" i="12" s="1"/>
  <c r="D204" i="5" a="1"/>
  <c r="D204" i="5" s="1"/>
  <c r="D390" i="4" a="1"/>
  <c r="D390" i="4" s="1"/>
  <c r="X594" i="2" a="1"/>
  <c r="X594" i="2" s="1"/>
  <c r="AG594" i="2" a="1"/>
  <c r="AG594" i="2" s="1"/>
  <c r="B206" i="5" a="1"/>
  <c r="B206" i="5" s="1"/>
  <c r="B395" i="4" a="1"/>
  <c r="B395" i="4" s="1"/>
  <c r="E543" i="12" a="1"/>
  <c r="E543" i="12" s="1"/>
  <c r="D398" i="4" a="1"/>
  <c r="D398" i="4" s="1"/>
  <c r="D207" i="5" a="1"/>
  <c r="D207" i="5" s="1"/>
  <c r="B202" i="7" a="1"/>
  <c r="B202" i="7" s="1"/>
  <c r="B391" i="4" a="1"/>
  <c r="B391" i="4" s="1"/>
  <c r="E545" i="12" a="1"/>
  <c r="E545" i="12" s="1"/>
  <c r="D204" i="6" a="1"/>
  <c r="D204" i="6" s="1"/>
  <c r="D389" i="4" a="1"/>
  <c r="D389" i="4" s="1"/>
  <c r="B205" i="6" a="1"/>
  <c r="B205" i="6" s="1"/>
  <c r="B392" i="4" a="1"/>
  <c r="B392" i="4" s="1"/>
  <c r="B205" i="5" a="1"/>
  <c r="B205" i="5" s="1"/>
  <c r="E516" i="12" a="1"/>
  <c r="E516" i="12" s="1"/>
  <c r="D208" i="5" a="1"/>
  <c r="D208" i="5" s="1"/>
  <c r="D401" i="4" a="1"/>
  <c r="D401" i="4" s="1"/>
  <c r="X627" i="2" a="1"/>
  <c r="X627" i="2" s="1"/>
  <c r="B208" i="7" a="1"/>
  <c r="B208" i="7" s="1"/>
  <c r="B400" i="4" a="1"/>
  <c r="B400" i="4" s="1"/>
  <c r="E578" i="12" a="1"/>
  <c r="E578" i="12" s="1"/>
  <c r="D407" i="4" a="1"/>
  <c r="D407" i="4" s="1"/>
  <c r="D210" i="5" a="1"/>
  <c r="D210" i="5" s="1"/>
  <c r="B210" i="7" a="1"/>
  <c r="B210" i="7" s="1"/>
  <c r="B406" i="4" a="1"/>
  <c r="B406" i="4" s="1"/>
  <c r="E98" i="12" a="1"/>
  <c r="E98" i="12" s="1"/>
  <c r="Q57" i="3" a="1"/>
  <c r="Q57" i="3" s="1"/>
  <c r="O109" i="3" a="1"/>
  <c r="O109" i="3" s="1"/>
  <c r="W581" i="2" a="1"/>
  <c r="W581" i="2" s="1"/>
  <c r="B201" i="5" a="1"/>
  <c r="B201" i="5" s="1"/>
  <c r="B384" i="4" a="1"/>
  <c r="B384" i="4" s="1"/>
  <c r="X565" i="2" a="1"/>
  <c r="X565" i="2" s="1"/>
  <c r="W471" i="2" a="1"/>
  <c r="W471" i="2" s="1"/>
  <c r="Y599" i="2" a="1"/>
  <c r="Y599" i="2" s="1"/>
  <c r="U438" i="12" a="1"/>
  <c r="U438" i="12" s="1"/>
  <c r="Y594" i="2" a="1"/>
  <c r="Y594" i="2" s="1"/>
  <c r="U579" i="12" a="1"/>
  <c r="U579" i="12" s="1"/>
  <c r="Y642" i="2" a="1"/>
  <c r="Y642" i="2" s="1"/>
  <c r="U565" i="12" a="1"/>
  <c r="U565" i="12" s="1"/>
  <c r="Y556" i="2" a="1"/>
  <c r="Y556" i="2" s="1"/>
  <c r="U518" i="12" a="1"/>
  <c r="U518" i="12" s="1"/>
  <c r="T493" i="2" a="1"/>
  <c r="T493" i="2" s="1"/>
  <c r="AA638" i="2" a="1"/>
  <c r="AA638" i="2" s="1"/>
  <c r="Y627" i="2" a="1"/>
  <c r="Y627" i="2" s="1"/>
  <c r="U589" i="12" a="1"/>
  <c r="U589" i="12" s="1"/>
  <c r="T649" i="2" a="1"/>
  <c r="T649" i="2" s="1"/>
  <c r="U649" i="2" s="1" a="1"/>
  <c r="U649" i="2" s="1"/>
  <c r="Y651" i="2" a="1"/>
  <c r="Y651" i="2" s="1"/>
  <c r="U580" i="12" a="1"/>
  <c r="U580" i="12" s="1"/>
  <c r="E51" i="3" a="1"/>
  <c r="E51" i="3" s="1"/>
  <c r="J80" i="3" a="1"/>
  <c r="J80" i="3" s="1"/>
  <c r="S80" i="3" a="1"/>
  <c r="S80" i="3" s="1"/>
  <c r="J109" i="3" a="1"/>
  <c r="J109" i="3" s="1"/>
  <c r="U310" i="12" a="1"/>
  <c r="U310" i="12" s="1"/>
  <c r="AA570" i="2" a="1"/>
  <c r="AA570" i="2" s="1"/>
  <c r="AG570" i="2" a="1"/>
  <c r="AG570" i="2" s="1"/>
  <c r="AA648" i="2" a="1"/>
  <c r="AA648" i="2" s="1"/>
  <c r="AG648" i="2" a="1"/>
  <c r="AG648" i="2" s="1"/>
  <c r="AA474" i="2" a="1"/>
  <c r="AA474" i="2" s="1"/>
  <c r="AG474" i="2" a="1"/>
  <c r="AG474" i="2" s="1"/>
  <c r="AG624" i="2" a="1"/>
  <c r="AG624" i="2" s="1"/>
  <c r="AE622" i="2" a="1"/>
  <c r="AE622" i="2" s="1"/>
  <c r="D184" i="6" a="1"/>
  <c r="D184" i="6" s="1"/>
  <c r="D347" i="4" a="1"/>
  <c r="D347" i="4" s="1"/>
  <c r="AB480" i="2" a="1"/>
  <c r="AB480" i="2" s="1"/>
  <c r="U459" i="12" a="1"/>
  <c r="U459" i="12" s="1"/>
  <c r="E488" i="12" a="1"/>
  <c r="E488" i="12" s="1"/>
  <c r="AE482" i="2" a="1"/>
  <c r="AE482" i="2" s="1"/>
  <c r="D193" i="7" a="1"/>
  <c r="D193" i="7" s="1"/>
  <c r="D361" i="4" a="1"/>
  <c r="D361" i="4" s="1"/>
  <c r="AB539" i="2" a="1"/>
  <c r="AB539" i="2" s="1"/>
  <c r="U567" i="12" a="1"/>
  <c r="U567" i="12" s="1"/>
  <c r="E428" i="12" a="1"/>
  <c r="E428" i="12" s="1"/>
  <c r="AE653" i="2" a="1"/>
  <c r="AE653" i="2" s="1"/>
  <c r="D189" i="6" a="1"/>
  <c r="D189" i="6" s="1"/>
  <c r="D185" i="5" a="1"/>
  <c r="D185" i="5" s="1"/>
  <c r="D355" i="4" a="1"/>
  <c r="D355" i="4" s="1"/>
  <c r="AB601" i="2" a="1"/>
  <c r="AB601" i="2" s="1"/>
  <c r="U569" i="12" a="1"/>
  <c r="U569" i="12" s="1"/>
  <c r="E450" i="12" a="1"/>
  <c r="E450" i="12" s="1"/>
  <c r="AE581" i="2" a="1"/>
  <c r="AE581" i="2" s="1"/>
  <c r="D196" i="6" a="1"/>
  <c r="D196" i="6" s="1"/>
  <c r="D198" i="7" a="1"/>
  <c r="D198" i="7" s="1"/>
  <c r="D371" i="4" a="1"/>
  <c r="D371" i="4" s="1"/>
  <c r="AB595" i="2" a="1"/>
  <c r="AB595" i="2" s="1"/>
  <c r="U384" i="12" a="1"/>
  <c r="U384" i="12" s="1"/>
  <c r="E398" i="12" a="1"/>
  <c r="E398" i="12" s="1"/>
  <c r="Y565" i="2" a="1"/>
  <c r="Y565" i="2" s="1"/>
  <c r="AF565" i="2" a="1"/>
  <c r="AF565" i="2" s="1"/>
  <c r="AE471" i="2" a="1"/>
  <c r="AE471" i="2" s="1"/>
  <c r="E438" i="12" a="1"/>
  <c r="E438" i="12" s="1"/>
  <c r="Z599" i="2" a="1"/>
  <c r="Z599" i="2" s="1"/>
  <c r="AC586" i="2" a="1"/>
  <c r="AC586" i="2" s="1"/>
  <c r="D198" i="6" a="1"/>
  <c r="D198" i="6" s="1"/>
  <c r="D375" i="4" a="1"/>
  <c r="D375" i="4" s="1"/>
  <c r="X612" i="2" a="1"/>
  <c r="X612" i="2" s="1"/>
  <c r="S598" i="2" a="1"/>
  <c r="S598" i="2" s="1"/>
  <c r="AB598" i="2" a="1"/>
  <c r="AB598" i="2" s="1"/>
  <c r="B200" i="7" a="1"/>
  <c r="B200" i="7" s="1"/>
  <c r="B382" i="4" a="1"/>
  <c r="B382" i="4" s="1"/>
  <c r="E579" i="12" a="1"/>
  <c r="E579" i="12" s="1"/>
  <c r="Z594" i="2" a="1"/>
  <c r="Z594" i="2" s="1"/>
  <c r="AC632" i="2" a="1"/>
  <c r="AC632" i="2" s="1"/>
  <c r="D206" i="5" a="1"/>
  <c r="D206" i="5" s="1"/>
  <c r="D395" i="4" a="1"/>
  <c r="D395" i="4" s="1"/>
  <c r="X546" i="2" a="1"/>
  <c r="X546" i="2" s="1"/>
  <c r="S645" i="2" a="1"/>
  <c r="S645" i="2" s="1"/>
  <c r="AB645" i="2" a="1"/>
  <c r="AB645" i="2" s="1"/>
  <c r="B203" i="6" a="1"/>
  <c r="B203" i="6" s="1"/>
  <c r="B201" i="7" a="1"/>
  <c r="B201" i="7" s="1"/>
  <c r="B387" i="4" a="1"/>
  <c r="B387" i="4" s="1"/>
  <c r="E565" i="12" a="1"/>
  <c r="E565" i="12" s="1"/>
  <c r="Z642" i="2" a="1"/>
  <c r="Z642" i="2" s="1"/>
  <c r="AC666" i="2" a="1"/>
  <c r="AC666" i="2" s="1"/>
  <c r="D202" i="7" a="1"/>
  <c r="D202" i="7" s="1"/>
  <c r="D391" i="4" a="1"/>
  <c r="D391" i="4" s="1"/>
  <c r="X669" i="2" a="1"/>
  <c r="X669" i="2" s="1"/>
  <c r="S634" i="2" a="1"/>
  <c r="S634" i="2" s="1"/>
  <c r="AB634" i="2" a="1"/>
  <c r="AB634" i="2" s="1"/>
  <c r="B206" i="6" a="1"/>
  <c r="B206" i="6" s="1"/>
  <c r="B203" i="7" a="1"/>
  <c r="B203" i="7" s="1"/>
  <c r="B393" i="4" a="1"/>
  <c r="B393" i="4" s="1"/>
  <c r="E518" i="12" a="1"/>
  <c r="E518" i="12" s="1"/>
  <c r="Z556" i="2" a="1"/>
  <c r="Z556" i="2" s="1"/>
  <c r="AC493" i="2" a="1"/>
  <c r="AC493" i="2" s="1"/>
  <c r="D205" i="6" a="1"/>
  <c r="D205" i="6" s="1"/>
  <c r="D205" i="5" a="1"/>
  <c r="D205" i="5" s="1"/>
  <c r="D392" i="4" a="1"/>
  <c r="D392" i="4" s="1"/>
  <c r="S638" i="2" a="1"/>
  <c r="S638" i="2" s="1"/>
  <c r="AB638" i="2" a="1"/>
  <c r="AB638" i="2" s="1"/>
  <c r="B206" i="7" a="1"/>
  <c r="B206" i="7" s="1"/>
  <c r="B207" i="6" a="1"/>
  <c r="B207" i="6" s="1"/>
  <c r="B397" i="4" a="1"/>
  <c r="B397" i="4" s="1"/>
  <c r="E589" i="12" a="1"/>
  <c r="E589" i="12" s="1"/>
  <c r="Z627" i="2" a="1"/>
  <c r="Z627" i="2" s="1"/>
  <c r="AC649" i="2" a="1"/>
  <c r="AC649" i="2" s="1"/>
  <c r="D208" i="7" a="1"/>
  <c r="D208" i="7" s="1"/>
  <c r="D400" i="4" a="1"/>
  <c r="D400" i="4" s="1"/>
  <c r="S639" i="2" a="1"/>
  <c r="S639" i="2" s="1"/>
  <c r="B208" i="6" a="1"/>
  <c r="B208" i="6" s="1"/>
  <c r="B402" i="4" a="1"/>
  <c r="B402" i="4" s="1"/>
  <c r="E580" i="12" a="1"/>
  <c r="E580" i="12" s="1"/>
  <c r="Z651" i="2" a="1"/>
  <c r="Z651" i="2" s="1"/>
  <c r="AC593" i="2" a="1"/>
  <c r="AC593" i="2" s="1"/>
  <c r="D210" i="7" a="1"/>
  <c r="D210" i="7" s="1"/>
  <c r="D406" i="4" a="1"/>
  <c r="D406" i="4" s="1"/>
  <c r="X621" i="2" a="1"/>
  <c r="X621" i="2" s="1"/>
  <c r="K80" i="3" a="1"/>
  <c r="K80" i="3" s="1"/>
  <c r="P109" i="3" a="1"/>
  <c r="P109" i="3" s="1"/>
  <c r="V109" i="3" a="1"/>
  <c r="V109" i="3" s="1"/>
  <c r="N115" i="3" a="1"/>
  <c r="N115" i="3" s="1"/>
  <c r="S138" i="3" a="1"/>
  <c r="S138" i="3" s="1"/>
  <c r="Q202" i="3" a="1"/>
  <c r="Q202" i="3" s="1"/>
  <c r="P202" i="3" a="1"/>
  <c r="P202" i="3" s="1"/>
  <c r="Q231" i="3" a="1"/>
  <c r="Q231" i="3" s="1"/>
  <c r="D182" i="7" a="1"/>
  <c r="D182" i="7" s="1"/>
  <c r="D174" i="6" a="1"/>
  <c r="D174" i="6" s="1"/>
  <c r="D334" i="4" a="1"/>
  <c r="D334" i="4" s="1"/>
  <c r="B186" i="5" a="1"/>
  <c r="B186" i="5" s="1"/>
  <c r="B358" i="4" a="1"/>
  <c r="B358" i="4" s="1"/>
  <c r="V570" i="2" a="1"/>
  <c r="V570" i="2" s="1"/>
  <c r="AB570" i="2" a="1"/>
  <c r="AB570" i="2" s="1"/>
  <c r="U480" i="12" a="1"/>
  <c r="U480" i="12" s="1"/>
  <c r="E446" i="12" a="1"/>
  <c r="E446" i="12" s="1"/>
  <c r="D171" i="6" a="1"/>
  <c r="D171" i="6" s="1"/>
  <c r="D329" i="4" a="1"/>
  <c r="D329" i="4" s="1"/>
  <c r="B185" i="7" a="1"/>
  <c r="B185" i="7" s="1"/>
  <c r="B338" i="4" a="1"/>
  <c r="B338" i="4" s="1"/>
  <c r="V648" i="2" a="1"/>
  <c r="V648" i="2" s="1"/>
  <c r="AB648" i="2" a="1"/>
  <c r="AB648" i="2" s="1"/>
  <c r="U460" i="12" a="1"/>
  <c r="U460" i="12" s="1"/>
  <c r="E453" i="12" a="1"/>
  <c r="E453" i="12" s="1"/>
  <c r="D188" i="7" a="1"/>
  <c r="D188" i="7" s="1"/>
  <c r="D346" i="4" a="1"/>
  <c r="D346" i="4" s="1"/>
  <c r="B173" i="6" a="1"/>
  <c r="B173" i="6" s="1"/>
  <c r="B333" i="4" a="1"/>
  <c r="B333" i="4" s="1"/>
  <c r="V474" i="2" a="1"/>
  <c r="V474" i="2" s="1"/>
  <c r="AB474" i="2" a="1"/>
  <c r="AB474" i="2" s="1"/>
  <c r="U538" i="12" a="1"/>
  <c r="U538" i="12" s="1"/>
  <c r="E445" i="12" a="1"/>
  <c r="E445" i="12" s="1"/>
  <c r="D177" i="6" a="1"/>
  <c r="D177" i="6" s="1"/>
  <c r="D177" i="5" a="1"/>
  <c r="D177" i="5" s="1"/>
  <c r="D339" i="4" a="1"/>
  <c r="D339" i="4" s="1"/>
  <c r="B372" i="4" a="1"/>
  <c r="B372" i="4" s="1"/>
  <c r="B192" i="5" a="1"/>
  <c r="B192" i="5" s="1"/>
  <c r="V644" i="2" a="1"/>
  <c r="V644" i="2" s="1"/>
  <c r="AB644" i="2" a="1"/>
  <c r="AB644" i="2" s="1"/>
  <c r="U436" i="12" a="1"/>
  <c r="U436" i="12" s="1"/>
  <c r="E444" i="12" a="1"/>
  <c r="E444" i="12" s="1"/>
  <c r="D182" i="6" a="1"/>
  <c r="D182" i="6" s="1"/>
  <c r="D344" i="4" a="1"/>
  <c r="D344" i="4" s="1"/>
  <c r="B183" i="6" a="1"/>
  <c r="B183" i="6" s="1"/>
  <c r="B178" i="5" a="1"/>
  <c r="B178" i="5" s="1"/>
  <c r="B345" i="4" a="1"/>
  <c r="B345" i="4" s="1"/>
  <c r="V641" i="2" a="1"/>
  <c r="V641" i="2" s="1"/>
  <c r="AB641" i="2" a="1"/>
  <c r="AB641" i="2" s="1"/>
  <c r="U434" i="12" a="1"/>
  <c r="U434" i="12" s="1"/>
  <c r="AA624" i="2" a="1"/>
  <c r="AA624" i="2" s="1"/>
  <c r="U485" i="12" a="1"/>
  <c r="U485" i="12" s="1"/>
  <c r="V660" i="2" a="1"/>
  <c r="V660" i="2" s="1"/>
  <c r="X622" i="2" a="1"/>
  <c r="X622" i="2" s="1"/>
  <c r="W606" i="2" a="1"/>
  <c r="W606" i="2" s="1"/>
  <c r="AD606" i="2" a="1"/>
  <c r="AD606" i="2" s="1"/>
  <c r="B186" i="6" a="1"/>
  <c r="B186" i="6" s="1"/>
  <c r="B181" i="5" a="1"/>
  <c r="B181" i="5" s="1"/>
  <c r="B350" i="4" a="1"/>
  <c r="B350" i="4" s="1"/>
  <c r="X482" i="2" a="1"/>
  <c r="X482" i="2" s="1"/>
  <c r="W654" i="2" a="1"/>
  <c r="W654" i="2" s="1"/>
  <c r="AD654" i="2" a="1"/>
  <c r="AD654" i="2" s="1"/>
  <c r="B182" i="5" a="1"/>
  <c r="B182" i="5" s="1"/>
  <c r="B188" i="6" a="1"/>
  <c r="B188" i="6" s="1"/>
  <c r="B352" i="4" a="1"/>
  <c r="B352" i="4" s="1"/>
  <c r="X653" i="2" a="1"/>
  <c r="X653" i="2" s="1"/>
  <c r="W530" i="2" a="1"/>
  <c r="W530" i="2" s="1"/>
  <c r="AD530" i="2" a="1"/>
  <c r="AD530" i="2" s="1"/>
  <c r="B198" i="5" a="1"/>
  <c r="B198" i="5" s="1"/>
  <c r="B380" i="4" a="1"/>
  <c r="B380" i="4" s="1"/>
  <c r="X581" i="2" a="1"/>
  <c r="X581" i="2" s="1"/>
  <c r="W656" i="2" a="1"/>
  <c r="W656" i="2" s="1"/>
  <c r="AD656" i="2" a="1"/>
  <c r="AD656" i="2" s="1"/>
  <c r="B192" i="6" a="1"/>
  <c r="B192" i="6" s="1"/>
  <c r="B366" i="4" a="1"/>
  <c r="B366" i="4" s="1"/>
  <c r="Z565" i="2" a="1"/>
  <c r="Z565" i="2" s="1"/>
  <c r="AG565" i="2" a="1"/>
  <c r="AG565" i="2" s="1"/>
  <c r="X471" i="2" a="1"/>
  <c r="X471" i="2" s="1"/>
  <c r="AF471" i="2" a="1"/>
  <c r="AF471" i="2" s="1"/>
  <c r="AA599" i="2" a="1"/>
  <c r="AA599" i="2" s="1"/>
  <c r="V586" i="2" a="1"/>
  <c r="V586" i="2" s="1"/>
  <c r="Y612" i="2" a="1"/>
  <c r="Y612" i="2" s="1"/>
  <c r="T598" i="2" a="1"/>
  <c r="T598" i="2" s="1"/>
  <c r="AA594" i="2" a="1"/>
  <c r="AA594" i="2" s="1"/>
  <c r="V632" i="2" a="1"/>
  <c r="V632" i="2" s="1"/>
  <c r="Y546" i="2" a="1"/>
  <c r="Y546" i="2" s="1"/>
  <c r="T645" i="2" a="1"/>
  <c r="T645" i="2" s="1"/>
  <c r="AA642" i="2" a="1"/>
  <c r="AA642" i="2" s="1"/>
  <c r="V666" i="2" a="1"/>
  <c r="V666" i="2" s="1"/>
  <c r="Y669" i="2" a="1"/>
  <c r="Y669" i="2" s="1"/>
  <c r="T634" i="2" a="1"/>
  <c r="T634" i="2" s="1"/>
  <c r="AA556" i="2" a="1"/>
  <c r="AA556" i="2" s="1"/>
  <c r="V493" i="2" a="1"/>
  <c r="V493" i="2" s="1"/>
  <c r="Y613" i="2" a="1"/>
  <c r="Y613" i="2" s="1"/>
  <c r="T638" i="2" a="1"/>
  <c r="T638" i="2" s="1"/>
  <c r="AA627" i="2" a="1"/>
  <c r="AA627" i="2" s="1"/>
  <c r="V649" i="2" a="1"/>
  <c r="V649" i="2" s="1"/>
  <c r="Y659" i="2" a="1"/>
  <c r="Y659" i="2" s="1"/>
  <c r="T639" i="2" a="1"/>
  <c r="T639" i="2" s="1"/>
  <c r="AA651" i="2" a="1"/>
  <c r="AA651" i="2" s="1"/>
  <c r="V593" i="2" a="1"/>
  <c r="V593" i="2" s="1"/>
  <c r="Y621" i="2" a="1"/>
  <c r="Y621" i="2" s="1"/>
  <c r="T617" i="2" a="1"/>
  <c r="T617" i="2" s="1"/>
  <c r="U617" i="2" s="1" a="1"/>
  <c r="U617" i="2" s="1"/>
  <c r="P51" i="3" a="1"/>
  <c r="P51" i="3" s="1"/>
  <c r="L80" i="3" a="1"/>
  <c r="L80" i="3" s="1"/>
  <c r="T80" i="3" a="1"/>
  <c r="T80" i="3" s="1"/>
  <c r="K109" i="3" a="1"/>
  <c r="K109" i="3" s="1"/>
  <c r="Q109" i="3" a="1"/>
  <c r="Q109" i="3" s="1"/>
  <c r="T138" i="3" a="1"/>
  <c r="T138" i="3" s="1"/>
  <c r="P144" i="3" a="1"/>
  <c r="P144" i="3" s="1"/>
  <c r="Q144" i="3" a="1"/>
  <c r="Q144" i="3" s="1"/>
  <c r="Q173" i="3" a="1"/>
  <c r="Q173" i="3" s="1"/>
  <c r="U278" i="12" a="1"/>
  <c r="U278" i="12" s="1"/>
  <c r="Z608" i="2" a="1"/>
  <c r="Z608" i="2" s="1"/>
  <c r="W570" i="2" a="1"/>
  <c r="W570" i="2" s="1"/>
  <c r="W648" i="2" a="1"/>
  <c r="W648" i="2" s="1"/>
  <c r="W474" i="2" a="1"/>
  <c r="W474" i="2" s="1"/>
  <c r="W644" i="2" a="1"/>
  <c r="W644" i="2" s="1"/>
  <c r="W641" i="2" a="1"/>
  <c r="W641" i="2" s="1"/>
  <c r="AB624" i="2" a="1"/>
  <c r="AB624" i="2" s="1"/>
  <c r="W660" i="2" a="1"/>
  <c r="W660" i="2" s="1"/>
  <c r="AC660" i="2" a="1"/>
  <c r="AC660" i="2" s="1"/>
  <c r="B194" i="5" a="1"/>
  <c r="B194" i="5" s="1"/>
  <c r="B376" i="4" a="1"/>
  <c r="B376" i="4" s="1"/>
  <c r="E456" i="12" a="1"/>
  <c r="E456" i="12" s="1"/>
  <c r="Y622" i="2" a="1"/>
  <c r="Y622" i="2" s="1"/>
  <c r="AF622" i="2" a="1"/>
  <c r="AF622" i="2" s="1"/>
  <c r="AE606" i="2" a="1"/>
  <c r="AE606" i="2" s="1"/>
  <c r="D179" i="5" a="1"/>
  <c r="D179" i="5" s="1"/>
  <c r="D185" i="6" a="1"/>
  <c r="D185" i="6" s="1"/>
  <c r="D348" i="4" a="1"/>
  <c r="D348" i="4" s="1"/>
  <c r="V480" i="2" a="1"/>
  <c r="V480" i="2" s="1"/>
  <c r="AC480" i="2" a="1"/>
  <c r="AC480" i="2" s="1"/>
  <c r="U488" i="12" a="1"/>
  <c r="U488" i="12" s="1"/>
  <c r="E529" i="12" a="1"/>
  <c r="E529" i="12" s="1"/>
  <c r="Y482" i="2" a="1"/>
  <c r="Y482" i="2" s="1"/>
  <c r="AF482" i="2" a="1"/>
  <c r="AF482" i="2" s="1"/>
  <c r="AE654" i="2" a="1"/>
  <c r="AE654" i="2" s="1"/>
  <c r="D195" i="5" a="1"/>
  <c r="D195" i="5" s="1"/>
  <c r="D377" i="4" a="1"/>
  <c r="D377" i="4" s="1"/>
  <c r="V539" i="2" a="1"/>
  <c r="V539" i="2" s="1"/>
  <c r="AC539" i="2" a="1"/>
  <c r="AC539" i="2" s="1"/>
  <c r="U428" i="12" a="1"/>
  <c r="U428" i="12" s="1"/>
  <c r="E546" i="12" a="1"/>
  <c r="E546" i="12" s="1"/>
  <c r="Y653" i="2" a="1"/>
  <c r="Y653" i="2" s="1"/>
  <c r="AF653" i="2" a="1"/>
  <c r="AF653" i="2" s="1"/>
  <c r="AE530" i="2" a="1"/>
  <c r="AE530" i="2" s="1"/>
  <c r="D191" i="6" a="1"/>
  <c r="D191" i="6" s="1"/>
  <c r="D195" i="7" a="1"/>
  <c r="D195" i="7" s="1"/>
  <c r="D364" i="4" a="1"/>
  <c r="D364" i="4" s="1"/>
  <c r="V601" i="2" a="1"/>
  <c r="V601" i="2" s="1"/>
  <c r="AC601" i="2" a="1"/>
  <c r="AC601" i="2" s="1"/>
  <c r="U450" i="12" a="1"/>
  <c r="U450" i="12" s="1"/>
  <c r="E577" i="12" a="1"/>
  <c r="E577" i="12" s="1"/>
  <c r="Y581" i="2" a="1"/>
  <c r="Y581" i="2" s="1"/>
  <c r="AF581" i="2" a="1"/>
  <c r="AF581" i="2" s="1"/>
  <c r="AE656" i="2" a="1"/>
  <c r="AE656" i="2" s="1"/>
  <c r="D201" i="5" a="1"/>
  <c r="D201" i="5" s="1"/>
  <c r="D384" i="4" a="1"/>
  <c r="D384" i="4" s="1"/>
  <c r="V595" i="2" a="1"/>
  <c r="V595" i="2" s="1"/>
  <c r="AC595" i="2" a="1"/>
  <c r="AC595" i="2" s="1"/>
  <c r="S565" i="2" a="1"/>
  <c r="S565" i="2" s="1"/>
  <c r="U398" i="12" a="1"/>
  <c r="U398" i="12" s="1"/>
  <c r="E481" i="12" a="1"/>
  <c r="E481" i="12" s="1"/>
  <c r="Y471" i="2" a="1"/>
  <c r="Y471" i="2" s="1"/>
  <c r="AG471" i="2" a="1"/>
  <c r="AG471" i="2" s="1"/>
  <c r="S599" i="2" a="1"/>
  <c r="S599" i="2" s="1"/>
  <c r="AB599" i="2" a="1"/>
  <c r="AB599" i="2" s="1"/>
  <c r="B197" i="5" a="1"/>
  <c r="B197" i="5" s="1"/>
  <c r="B199" i="7" a="1"/>
  <c r="B199" i="7" s="1"/>
  <c r="B379" i="4" a="1"/>
  <c r="B379" i="4" s="1"/>
  <c r="W586" i="2" a="1"/>
  <c r="W586" i="2" s="1"/>
  <c r="AE586" i="2" a="1"/>
  <c r="AE586" i="2" s="1"/>
  <c r="E517" i="12" a="1"/>
  <c r="E517" i="12" s="1"/>
  <c r="AC598" i="2" a="1"/>
  <c r="AC598" i="2" s="1"/>
  <c r="D200" i="7" a="1"/>
  <c r="D200" i="7" s="1"/>
  <c r="D382" i="4" a="1"/>
  <c r="D382" i="4" s="1"/>
  <c r="S594" i="2" a="1"/>
  <c r="S594" i="2" s="1"/>
  <c r="AB594" i="2" a="1"/>
  <c r="AB594" i="2" s="1"/>
  <c r="B199" i="6" a="1"/>
  <c r="B199" i="6" s="1"/>
  <c r="B199" i="5" a="1"/>
  <c r="B199" i="5" s="1"/>
  <c r="B381" i="4" a="1"/>
  <c r="B381" i="4" s="1"/>
  <c r="W632" i="2" a="1"/>
  <c r="W632" i="2" s="1"/>
  <c r="AE632" i="2" a="1"/>
  <c r="AE632" i="2" s="1"/>
  <c r="E554" i="12" a="1"/>
  <c r="E554" i="12" s="1"/>
  <c r="AC645" i="2" a="1"/>
  <c r="AC645" i="2" s="1"/>
  <c r="D201" i="7" a="1"/>
  <c r="D201" i="7" s="1"/>
  <c r="D203" i="6" a="1"/>
  <c r="D203" i="6" s="1"/>
  <c r="D387" i="4" a="1"/>
  <c r="D387" i="4" s="1"/>
  <c r="S642" i="2" a="1"/>
  <c r="S642" i="2" s="1"/>
  <c r="AB642" i="2" a="1"/>
  <c r="AB642" i="2" s="1"/>
  <c r="B201" i="6" a="1"/>
  <c r="B201" i="6" s="1"/>
  <c r="B385" i="4" a="1"/>
  <c r="B385" i="4" s="1"/>
  <c r="B202" i="5" a="1"/>
  <c r="B202" i="5" s="1"/>
  <c r="W666" i="2" a="1"/>
  <c r="W666" i="2" s="1"/>
  <c r="AE666" i="2" a="1"/>
  <c r="AE666" i="2" s="1"/>
  <c r="E544" i="12" a="1"/>
  <c r="E544" i="12" s="1"/>
  <c r="AC634" i="2" a="1"/>
  <c r="AC634" i="2" s="1"/>
  <c r="D203" i="7" a="1"/>
  <c r="D203" i="7" s="1"/>
  <c r="D206" i="6" a="1"/>
  <c r="D206" i="6" s="1"/>
  <c r="D393" i="4" a="1"/>
  <c r="D393" i="4" s="1"/>
  <c r="S556" i="2" a="1"/>
  <c r="S556" i="2" s="1"/>
  <c r="AB556" i="2" a="1"/>
  <c r="AB556" i="2" s="1"/>
  <c r="B204" i="7" a="1"/>
  <c r="B204" i="7" s="1"/>
  <c r="B394" i="4" a="1"/>
  <c r="B394" i="4" s="1"/>
  <c r="W493" i="2" a="1"/>
  <c r="W493" i="2" s="1"/>
  <c r="AE493" i="2" a="1"/>
  <c r="AE493" i="2" s="1"/>
  <c r="E563" i="12" a="1"/>
  <c r="E563" i="12" s="1"/>
  <c r="AC638" i="2" a="1"/>
  <c r="AC638" i="2" s="1"/>
  <c r="D206" i="7" a="1"/>
  <c r="D206" i="7" s="1"/>
  <c r="D207" i="6" a="1"/>
  <c r="D207" i="6" s="1"/>
  <c r="D397" i="4" a="1"/>
  <c r="D397" i="4" s="1"/>
  <c r="S627" i="2" a="1"/>
  <c r="S627" i="2" s="1"/>
  <c r="AB627" i="2" a="1"/>
  <c r="AB627" i="2" s="1"/>
  <c r="B207" i="7" a="1"/>
  <c r="B207" i="7" s="1"/>
  <c r="B399" i="4" a="1"/>
  <c r="B399" i="4" s="1"/>
  <c r="W649" i="2" a="1"/>
  <c r="W649" i="2" s="1"/>
  <c r="AE649" i="2" a="1"/>
  <c r="AE649" i="2" s="1"/>
  <c r="E542" i="12" a="1"/>
  <c r="E542" i="12" s="1"/>
  <c r="AC639" i="2" a="1"/>
  <c r="AC639" i="2" s="1"/>
  <c r="D402" i="4" a="1"/>
  <c r="D402" i="4" s="1"/>
  <c r="D208" i="6" a="1"/>
  <c r="D208" i="6" s="1"/>
  <c r="S651" i="2" a="1"/>
  <c r="S651" i="2" s="1"/>
  <c r="AB651" i="2" a="1"/>
  <c r="AB651" i="2" s="1"/>
  <c r="B209" i="6" a="1"/>
  <c r="B209" i="6" s="1"/>
  <c r="B209" i="7" a="1"/>
  <c r="B209" i="7" s="1"/>
  <c r="B404" i="4" a="1"/>
  <c r="B404" i="4" s="1"/>
  <c r="W593" i="2" a="1"/>
  <c r="W593" i="2" s="1"/>
  <c r="AE593" i="2" a="1"/>
  <c r="AE593" i="2" s="1"/>
  <c r="E587" i="12" a="1"/>
  <c r="E587" i="12" s="1"/>
  <c r="L57" i="3" a="1"/>
  <c r="L57" i="3" s="1"/>
  <c r="U80" i="3" a="1"/>
  <c r="U80" i="3" s="1"/>
  <c r="E86" i="3" a="1"/>
  <c r="E86" i="3" s="1"/>
  <c r="W109" i="3" a="1"/>
  <c r="W109" i="3" s="1"/>
  <c r="G115" i="3" a="1"/>
  <c r="G115" i="3" s="1"/>
  <c r="O115" i="3" a="1"/>
  <c r="O115" i="3" s="1"/>
  <c r="M138" i="3" a="1"/>
  <c r="M138" i="3" s="1"/>
  <c r="D166" i="6" a="1"/>
  <c r="D166" i="6" s="1"/>
  <c r="D312" i="4" a="1"/>
  <c r="D312" i="4" s="1"/>
  <c r="E478" i="12" a="1"/>
  <c r="E478" i="12" s="1"/>
  <c r="D173" i="7" a="1"/>
  <c r="D173" i="7" s="1"/>
  <c r="D321" i="4" a="1"/>
  <c r="D321" i="4" s="1"/>
  <c r="E409" i="12" a="1"/>
  <c r="E409" i="12" s="1"/>
  <c r="D177" i="7" a="1"/>
  <c r="D177" i="7" s="1"/>
  <c r="D174" i="5" a="1"/>
  <c r="D174" i="5" s="1"/>
  <c r="D326" i="4" a="1"/>
  <c r="D326" i="4" s="1"/>
  <c r="E433" i="12" a="1"/>
  <c r="E433" i="12" s="1"/>
  <c r="D184" i="5" a="1"/>
  <c r="D184" i="5" s="1"/>
  <c r="D354" i="4" a="1"/>
  <c r="D354" i="4" s="1"/>
  <c r="E480" i="12" a="1"/>
  <c r="E480" i="12" s="1"/>
  <c r="AC570" i="2" a="1"/>
  <c r="AC570" i="2" s="1"/>
  <c r="D183" i="7" a="1"/>
  <c r="D183" i="7" s="1"/>
  <c r="D176" i="6" a="1"/>
  <c r="D176" i="6" s="1"/>
  <c r="D336" i="4" a="1"/>
  <c r="D336" i="4" s="1"/>
  <c r="E460" i="12" a="1"/>
  <c r="E460" i="12" s="1"/>
  <c r="AC648" i="2" a="1"/>
  <c r="AC648" i="2" s="1"/>
  <c r="D187" i="7" a="1"/>
  <c r="D187" i="7" s="1"/>
  <c r="D179" i="6" a="1"/>
  <c r="D179" i="6" s="1"/>
  <c r="D341" i="4" a="1"/>
  <c r="D341" i="4" s="1"/>
  <c r="E538" i="12" a="1"/>
  <c r="E538" i="12" s="1"/>
  <c r="AC474" i="2" a="1"/>
  <c r="AC474" i="2" s="1"/>
  <c r="D189" i="7" a="1"/>
  <c r="D189" i="7" s="1"/>
  <c r="D180" i="5" a="1"/>
  <c r="D180" i="5" s="1"/>
  <c r="D349" i="4" a="1"/>
  <c r="D349" i="4" s="1"/>
  <c r="E436" i="12" a="1"/>
  <c r="E436" i="12" s="1"/>
  <c r="AC644" i="2" a="1"/>
  <c r="AC644" i="2" s="1"/>
  <c r="D181" i="6" a="1"/>
  <c r="D181" i="6" s="1"/>
  <c r="D343" i="4" a="1"/>
  <c r="D343" i="4" s="1"/>
  <c r="E434" i="12" a="1"/>
  <c r="E434" i="12" s="1"/>
  <c r="AC641" i="2" a="1"/>
  <c r="AC641" i="2" s="1"/>
  <c r="V624" i="2" a="1"/>
  <c r="V624" i="2" s="1"/>
  <c r="AD660" i="2" a="1"/>
  <c r="AD660" i="2" s="1"/>
  <c r="Z622" i="2" a="1"/>
  <c r="Z622" i="2" s="1"/>
  <c r="AG622" i="2" a="1"/>
  <c r="AG622" i="2" s="1"/>
  <c r="X606" i="2" a="1"/>
  <c r="X606" i="2" s="1"/>
  <c r="W480" i="2" a="1"/>
  <c r="W480" i="2" s="1"/>
  <c r="AD480" i="2" a="1"/>
  <c r="AD480" i="2" s="1"/>
  <c r="B187" i="6" a="1"/>
  <c r="B187" i="6" s="1"/>
  <c r="B351" i="4" a="1"/>
  <c r="B351" i="4" s="1"/>
  <c r="Z482" i="2" a="1"/>
  <c r="Z482" i="2" s="1"/>
  <c r="AG482" i="2" a="1"/>
  <c r="AG482" i="2" s="1"/>
  <c r="X654" i="2" a="1"/>
  <c r="X654" i="2" s="1"/>
  <c r="W539" i="2" a="1"/>
  <c r="W539" i="2" s="1"/>
  <c r="AD539" i="2" a="1"/>
  <c r="AD539" i="2" s="1"/>
  <c r="B194" i="7" a="1"/>
  <c r="B194" i="7" s="1"/>
  <c r="B362" i="4" a="1"/>
  <c r="B362" i="4" s="1"/>
  <c r="Z653" i="2" a="1"/>
  <c r="Z653" i="2" s="1"/>
  <c r="AG653" i="2" a="1"/>
  <c r="AG653" i="2" s="1"/>
  <c r="X530" i="2" a="1"/>
  <c r="X530" i="2" s="1"/>
  <c r="W601" i="2" a="1"/>
  <c r="W601" i="2" s="1"/>
  <c r="AD601" i="2" a="1"/>
  <c r="AD601" i="2" s="1"/>
  <c r="B196" i="7" a="1"/>
  <c r="B196" i="7" s="1"/>
  <c r="B365" i="4" a="1"/>
  <c r="B365" i="4" s="1"/>
  <c r="Z581" i="2" a="1"/>
  <c r="Z581" i="2" s="1"/>
  <c r="AG581" i="2" a="1"/>
  <c r="AG581" i="2" s="1"/>
  <c r="X656" i="2" a="1"/>
  <c r="X656" i="2" s="1"/>
  <c r="W595" i="2" a="1"/>
  <c r="W595" i="2" s="1"/>
  <c r="AD595" i="2" a="1"/>
  <c r="AD595" i="2" s="1"/>
  <c r="B194" i="6" a="1"/>
  <c r="B194" i="6" s="1"/>
  <c r="B190" i="5" a="1"/>
  <c r="B190" i="5" s="1"/>
  <c r="B368" i="4" a="1"/>
  <c r="B368" i="4" s="1"/>
  <c r="T565" i="2" a="1"/>
  <c r="T565" i="2" s="1"/>
  <c r="AA565" i="2" a="1"/>
  <c r="AA565" i="2" s="1"/>
  <c r="Z471" i="2" a="1"/>
  <c r="Z471" i="2" s="1"/>
  <c r="T599" i="2" a="1"/>
  <c r="T599" i="2" s="1"/>
  <c r="AA612" i="2" a="1"/>
  <c r="AA612" i="2" s="1"/>
  <c r="V598" i="2" a="1"/>
  <c r="V598" i="2" s="1"/>
  <c r="AD598" i="2" a="1"/>
  <c r="AD598" i="2" s="1"/>
  <c r="Y614" i="2" a="1"/>
  <c r="Y614" i="2" s="1"/>
  <c r="T594" i="2" a="1"/>
  <c r="T594" i="2" s="1"/>
  <c r="AA546" i="2" a="1"/>
  <c r="AA546" i="2" s="1"/>
  <c r="V645" i="2" a="1"/>
  <c r="V645" i="2" s="1"/>
  <c r="AD645" i="2" a="1"/>
  <c r="AD645" i="2" s="1"/>
  <c r="Y637" i="2" a="1"/>
  <c r="Y637" i="2" s="1"/>
  <c r="T642" i="2" a="1"/>
  <c r="T642" i="2" s="1"/>
  <c r="AA669" i="2" a="1"/>
  <c r="AA669" i="2" s="1"/>
  <c r="V634" i="2" a="1"/>
  <c r="V634" i="2" s="1"/>
  <c r="AD634" i="2" a="1"/>
  <c r="AD634" i="2" s="1"/>
  <c r="Y610" i="2" a="1"/>
  <c r="Y610" i="2" s="1"/>
  <c r="T556" i="2" a="1"/>
  <c r="T556" i="2" s="1"/>
  <c r="AA613" i="2" a="1"/>
  <c r="AA613" i="2" s="1"/>
  <c r="V638" i="2" a="1"/>
  <c r="V638" i="2" s="1"/>
  <c r="AD638" i="2" a="1"/>
  <c r="AD638" i="2" s="1"/>
  <c r="Y668" i="2" a="1"/>
  <c r="Y668" i="2" s="1"/>
  <c r="T627" i="2" a="1"/>
  <c r="T627" i="2" s="1"/>
  <c r="AA659" i="2" a="1"/>
  <c r="AA659" i="2" s="1"/>
  <c r="V639" i="2" a="1"/>
  <c r="V639" i="2" s="1"/>
  <c r="AD639" i="2" a="1"/>
  <c r="AD639" i="2" s="1"/>
  <c r="Y631" i="2" a="1"/>
  <c r="Y631" i="2" s="1"/>
  <c r="T651" i="2" a="1"/>
  <c r="T651" i="2" s="1"/>
  <c r="AA621" i="2" a="1"/>
  <c r="AA621" i="2" s="1"/>
  <c r="V617" i="2" a="1"/>
  <c r="V617" i="2" s="1"/>
  <c r="AD617" i="2" a="1"/>
  <c r="AD617" i="2" s="1"/>
  <c r="V80" i="3" a="1"/>
  <c r="V80" i="3" s="1"/>
  <c r="L86" i="3" a="1"/>
  <c r="L86" i="3" s="1"/>
  <c r="E138" i="3" a="1"/>
  <c r="E138" i="3" s="1"/>
  <c r="N138" i="3" a="1"/>
  <c r="N138" i="3" s="1"/>
  <c r="V138" i="3" a="1"/>
  <c r="V138" i="3" s="1"/>
  <c r="E167" i="3" a="1"/>
  <c r="E167" i="3" s="1"/>
  <c r="W624" i="2" a="1"/>
  <c r="W624" i="2" s="1"/>
  <c r="AC624" i="2" a="1"/>
  <c r="AC624" i="2" s="1"/>
  <c r="B191" i="7" a="1"/>
  <c r="B191" i="7" s="1"/>
  <c r="B357" i="4" a="1"/>
  <c r="B357" i="4" s="1"/>
  <c r="E375" i="12" a="1"/>
  <c r="E375" i="12" s="1"/>
  <c r="U456" i="12" a="1"/>
  <c r="U456" i="12" s="1"/>
  <c r="E489" i="12" a="1"/>
  <c r="E489" i="12" s="1"/>
  <c r="AE480" i="2" a="1"/>
  <c r="AE480" i="2" s="1"/>
  <c r="D186" i="6" a="1"/>
  <c r="D186" i="6" s="1"/>
  <c r="D181" i="5" a="1"/>
  <c r="D181" i="5" s="1"/>
  <c r="D350" i="4" a="1"/>
  <c r="D350" i="4" s="1"/>
  <c r="U529" i="12" a="1"/>
  <c r="U529" i="12" s="1"/>
  <c r="E392" i="12" a="1"/>
  <c r="E392" i="12" s="1"/>
  <c r="AE539" i="2" a="1"/>
  <c r="AE539" i="2" s="1"/>
  <c r="D188" i="6" a="1"/>
  <c r="D188" i="6" s="1"/>
  <c r="D182" i="5" a="1"/>
  <c r="D182" i="5" s="1"/>
  <c r="D352" i="4" a="1"/>
  <c r="D352" i="4" s="1"/>
  <c r="U546" i="12" a="1"/>
  <c r="U546" i="12" s="1"/>
  <c r="E473" i="12" a="1"/>
  <c r="E473" i="12" s="1"/>
  <c r="AE601" i="2" a="1"/>
  <c r="AE601" i="2" s="1"/>
  <c r="D198" i="5" a="1"/>
  <c r="D198" i="5" s="1"/>
  <c r="D380" i="4" a="1"/>
  <c r="D380" i="4" s="1"/>
  <c r="U577" i="12" a="1"/>
  <c r="U577" i="12" s="1"/>
  <c r="E491" i="12" a="1"/>
  <c r="E491" i="12" s="1"/>
  <c r="AE595" i="2" a="1"/>
  <c r="AE595" i="2" s="1"/>
  <c r="D192" i="6" a="1"/>
  <c r="D192" i="6" s="1"/>
  <c r="D366" i="4" a="1"/>
  <c r="D366" i="4" s="1"/>
  <c r="AB565" i="2" a="1"/>
  <c r="AB565" i="2" s="1"/>
  <c r="AC599" i="2" a="1"/>
  <c r="AC599" i="2" s="1"/>
  <c r="D199" i="7" a="1"/>
  <c r="D199" i="7" s="1"/>
  <c r="D197" i="5" a="1"/>
  <c r="D197" i="5" s="1"/>
  <c r="D379" i="4" a="1"/>
  <c r="D379" i="4" s="1"/>
  <c r="B203" i="5" a="1"/>
  <c r="B203" i="5" s="1"/>
  <c r="B388" i="4" a="1"/>
  <c r="B388" i="4" s="1"/>
  <c r="E507" i="12" a="1"/>
  <c r="E507" i="12" s="1"/>
  <c r="AC594" i="2" a="1"/>
  <c r="AC594" i="2" s="1"/>
  <c r="D381" i="4" a="1"/>
  <c r="D381" i="4" s="1"/>
  <c r="D199" i="5" a="1"/>
  <c r="D199" i="5" s="1"/>
  <c r="D199" i="6" a="1"/>
  <c r="D199" i="6" s="1"/>
  <c r="B200" i="6" a="1"/>
  <c r="B200" i="6" s="1"/>
  <c r="B200" i="5" a="1"/>
  <c r="B200" i="5" s="1"/>
  <c r="B383" i="4" a="1"/>
  <c r="B383" i="4" s="1"/>
  <c r="W645" i="2" a="1"/>
  <c r="W645" i="2" s="1"/>
  <c r="AE645" i="2" a="1"/>
  <c r="AE645" i="2" s="1"/>
  <c r="E477" i="12" a="1"/>
  <c r="E477" i="12" s="1"/>
  <c r="AC642" i="2" a="1"/>
  <c r="AC642" i="2" s="1"/>
  <c r="D202" i="5" a="1"/>
  <c r="D202" i="5" s="1"/>
  <c r="D385" i="4" a="1"/>
  <c r="D385" i="4" s="1"/>
  <c r="D201" i="6" a="1"/>
  <c r="D201" i="6" s="1"/>
  <c r="B202" i="6" a="1"/>
  <c r="B202" i="6" s="1"/>
  <c r="B386" i="4" a="1"/>
  <c r="B386" i="4" s="1"/>
  <c r="W634" i="2" a="1"/>
  <c r="W634" i="2" s="1"/>
  <c r="AE634" i="2" a="1"/>
  <c r="AE634" i="2" s="1"/>
  <c r="E592" i="12" a="1"/>
  <c r="E592" i="12" s="1"/>
  <c r="AC556" i="2" a="1"/>
  <c r="AC556" i="2" s="1"/>
  <c r="D204" i="7" a="1"/>
  <c r="D204" i="7" s="1"/>
  <c r="D394" i="4" a="1"/>
  <c r="D394" i="4" s="1"/>
  <c r="B205" i="7" a="1"/>
  <c r="B205" i="7" s="1"/>
  <c r="B396" i="4" a="1"/>
  <c r="B396" i="4" s="1"/>
  <c r="W638" i="2" a="1"/>
  <c r="W638" i="2" s="1"/>
  <c r="AE638" i="2" a="1"/>
  <c r="AE638" i="2" s="1"/>
  <c r="E570" i="12" a="1"/>
  <c r="E570" i="12" s="1"/>
  <c r="D207" i="7" a="1"/>
  <c r="D207" i="7" s="1"/>
  <c r="D399" i="4" a="1"/>
  <c r="D399" i="4" s="1"/>
  <c r="B209" i="5" a="1"/>
  <c r="B209" i="5" s="1"/>
  <c r="B403" i="4" a="1"/>
  <c r="B403" i="4" s="1"/>
  <c r="E590" i="12" a="1"/>
  <c r="E590" i="12" s="1"/>
  <c r="AC651" i="2" a="1"/>
  <c r="AC651" i="2" s="1"/>
  <c r="D209" i="6" a="1"/>
  <c r="D209" i="6" s="1"/>
  <c r="D209" i="7" a="1"/>
  <c r="D209" i="7" s="1"/>
  <c r="D404" i="4" a="1"/>
  <c r="D404" i="4" s="1"/>
  <c r="S621" i="2" a="1"/>
  <c r="S621" i="2" s="1"/>
  <c r="B210" i="6" a="1"/>
  <c r="B210" i="6" s="1"/>
  <c r="B405" i="4" a="1"/>
  <c r="B405" i="4" s="1"/>
  <c r="E80" i="3" a="1"/>
  <c r="E80" i="3" s="1"/>
  <c r="W80" i="3" a="1"/>
  <c r="W80" i="3" s="1"/>
  <c r="X109" i="3" a="1"/>
  <c r="X109" i="3" s="1"/>
  <c r="I115" i="3" a="1"/>
  <c r="I115" i="3" s="1"/>
  <c r="W138" i="3" a="1"/>
  <c r="W138" i="3" s="1"/>
  <c r="E254" i="3" a="1"/>
  <c r="E254" i="3" s="1"/>
  <c r="Q260" i="3" a="1"/>
  <c r="Q260" i="3" s="1"/>
  <c r="D131" i="6" a="1"/>
  <c r="D131" i="6" s="1"/>
  <c r="D251" i="4" a="1"/>
  <c r="D251" i="4" s="1"/>
  <c r="E362" i="12" a="1"/>
  <c r="E362" i="12" s="1"/>
  <c r="D135" i="6" a="1"/>
  <c r="D135" i="6" s="1"/>
  <c r="D130" i="5" a="1"/>
  <c r="D130" i="5" s="1"/>
  <c r="D255" i="4" a="1"/>
  <c r="D255" i="4" s="1"/>
  <c r="E307" i="12" a="1"/>
  <c r="E307" i="12" s="1"/>
  <c r="D138" i="6" a="1"/>
  <c r="D138" i="6" s="1"/>
  <c r="D133" i="5" a="1"/>
  <c r="D133" i="5" s="1"/>
  <c r="D260" i="4" a="1"/>
  <c r="D260" i="4" s="1"/>
  <c r="U137" i="12" a="1"/>
  <c r="U137" i="12" s="1"/>
  <c r="E417" i="12" a="1"/>
  <c r="E417" i="12" s="1"/>
  <c r="D171" i="7" a="1"/>
  <c r="D171" i="7" s="1"/>
  <c r="D168" i="6" a="1"/>
  <c r="D168" i="6" s="1"/>
  <c r="D171" i="5" a="1"/>
  <c r="D171" i="5" s="1"/>
  <c r="D319" i="4" a="1"/>
  <c r="D319" i="4" s="1"/>
  <c r="B172" i="7" a="1"/>
  <c r="B172" i="7" s="1"/>
  <c r="B172" i="5" a="1"/>
  <c r="B172" i="5" s="1"/>
  <c r="B320" i="4" a="1"/>
  <c r="B320" i="4" s="1"/>
  <c r="V608" i="2" a="1"/>
  <c r="V608" i="2" s="1"/>
  <c r="AB608" i="2" a="1"/>
  <c r="AB608" i="2" s="1"/>
  <c r="U525" i="12" a="1"/>
  <c r="U525" i="12" s="1"/>
  <c r="E532" i="12" a="1"/>
  <c r="E532" i="12" s="1"/>
  <c r="D167" i="6" a="1"/>
  <c r="D167" i="6" s="1"/>
  <c r="D315" i="4" a="1"/>
  <c r="D315" i="4" s="1"/>
  <c r="E471" i="12" a="1"/>
  <c r="E471" i="12" s="1"/>
  <c r="D180" i="7" a="1"/>
  <c r="D180" i="7" s="1"/>
  <c r="D176" i="5" a="1"/>
  <c r="D176" i="5" s="1"/>
  <c r="D331" i="4" a="1"/>
  <c r="D331" i="4" s="1"/>
  <c r="E486" i="12" a="1"/>
  <c r="E486" i="12" s="1"/>
  <c r="D358" i="4" a="1"/>
  <c r="D358" i="4" s="1"/>
  <c r="D186" i="5" a="1"/>
  <c r="D186" i="5" s="1"/>
  <c r="S570" i="2" a="1"/>
  <c r="S570" i="2" s="1"/>
  <c r="AD570" i="2" a="1"/>
  <c r="AD570" i="2" s="1"/>
  <c r="E437" i="12" a="1"/>
  <c r="E437" i="12" s="1"/>
  <c r="D185" i="7" a="1"/>
  <c r="D185" i="7" s="1"/>
  <c r="D338" i="4" a="1"/>
  <c r="D338" i="4" s="1"/>
  <c r="S648" i="2" a="1"/>
  <c r="S648" i="2" s="1"/>
  <c r="AD648" i="2" a="1"/>
  <c r="AD648" i="2" s="1"/>
  <c r="E523" i="12" a="1"/>
  <c r="E523" i="12" s="1"/>
  <c r="D173" i="6" a="1"/>
  <c r="D173" i="6" s="1"/>
  <c r="D333" i="4" a="1"/>
  <c r="D333" i="4" s="1"/>
  <c r="S474" i="2" a="1"/>
  <c r="S474" i="2" s="1"/>
  <c r="AD474" i="2" a="1"/>
  <c r="AD474" i="2" s="1"/>
  <c r="E482" i="12" a="1"/>
  <c r="E482" i="12" s="1"/>
  <c r="D192" i="5" a="1"/>
  <c r="D192" i="5" s="1"/>
  <c r="D372" i="4" a="1"/>
  <c r="D372" i="4" s="1"/>
  <c r="S644" i="2" a="1"/>
  <c r="S644" i="2" s="1"/>
  <c r="AD644" i="2" a="1"/>
  <c r="AD644" i="2" s="1"/>
  <c r="E395" i="12" a="1"/>
  <c r="E395" i="12" s="1"/>
  <c r="D178" i="5" a="1"/>
  <c r="D178" i="5" s="1"/>
  <c r="D183" i="6" a="1"/>
  <c r="D183" i="6" s="1"/>
  <c r="D345" i="4" a="1"/>
  <c r="D345" i="4" s="1"/>
  <c r="S641" i="2" a="1"/>
  <c r="S641" i="2" s="1"/>
  <c r="AD624" i="2" a="1"/>
  <c r="AD624" i="2" s="1"/>
  <c r="Y660" i="2" a="1"/>
  <c r="Y660" i="2" s="1"/>
  <c r="T622" i="2" a="1"/>
  <c r="T622" i="2" s="1"/>
  <c r="AA622" i="2" a="1"/>
  <c r="AA622" i="2" s="1"/>
  <c r="Z606" i="2" a="1"/>
  <c r="Z606" i="2" s="1"/>
  <c r="X480" i="2" a="1"/>
  <c r="X480" i="2" s="1"/>
  <c r="B190" i="6" a="1"/>
  <c r="B190" i="6" s="1"/>
  <c r="B192" i="7" a="1"/>
  <c r="B192" i="7" s="1"/>
  <c r="B187" i="5" a="1"/>
  <c r="B187" i="5" s="1"/>
  <c r="B359" i="4" a="1"/>
  <c r="B359" i="4" s="1"/>
  <c r="T482" i="2" a="1"/>
  <c r="T482" i="2" s="1"/>
  <c r="AA482" i="2" a="1"/>
  <c r="AA482" i="2" s="1"/>
  <c r="Z654" i="2" a="1"/>
  <c r="Z654" i="2" s="1"/>
  <c r="X539" i="2" a="1"/>
  <c r="X539" i="2" s="1"/>
  <c r="B196" i="5" a="1"/>
  <c r="B196" i="5" s="1"/>
  <c r="B378" i="4" a="1"/>
  <c r="B378" i="4" s="1"/>
  <c r="T653" i="2" a="1"/>
  <c r="T653" i="2" s="1"/>
  <c r="AA653" i="2" a="1"/>
  <c r="AA653" i="2" s="1"/>
  <c r="Z530" i="2" a="1"/>
  <c r="Z530" i="2" s="1"/>
  <c r="X601" i="2" a="1"/>
  <c r="X601" i="2" s="1"/>
  <c r="B197" i="7" a="1"/>
  <c r="B197" i="7" s="1"/>
  <c r="B193" i="6" a="1"/>
  <c r="B193" i="6" s="1"/>
  <c r="B367" i="4" a="1"/>
  <c r="B367" i="4" s="1"/>
  <c r="T581" i="2" a="1"/>
  <c r="T581" i="2" s="1"/>
  <c r="AA581" i="2" a="1"/>
  <c r="AA581" i="2" s="1"/>
  <c r="Z656" i="2" a="1"/>
  <c r="Z656" i="2" s="1"/>
  <c r="X595" i="2" a="1"/>
  <c r="X595" i="2" s="1"/>
  <c r="B195" i="6" a="1"/>
  <c r="B195" i="6" s="1"/>
  <c r="B370" i="4" a="1"/>
  <c r="B370" i="4" s="1"/>
  <c r="T471" i="2" a="1"/>
  <c r="T471" i="2" s="1"/>
  <c r="U471" i="2" s="1" a="1"/>
  <c r="U471" i="2" s="1"/>
  <c r="AA471" i="2" a="1"/>
  <c r="AA471" i="2" s="1"/>
  <c r="V599" i="2" a="1"/>
  <c r="V599" i="2" s="1"/>
  <c r="AD599" i="2" a="1"/>
  <c r="AD599" i="2" s="1"/>
  <c r="AF598" i="2" a="1"/>
  <c r="AF598" i="2" s="1"/>
  <c r="V594" i="2" a="1"/>
  <c r="V594" i="2" s="1"/>
  <c r="AD594" i="2" a="1"/>
  <c r="AD594" i="2" s="1"/>
  <c r="AF645" i="2" a="1"/>
  <c r="AF645" i="2" s="1"/>
  <c r="V642" i="2" a="1"/>
  <c r="V642" i="2" s="1"/>
  <c r="AD642" i="2" a="1"/>
  <c r="AD642" i="2" s="1"/>
  <c r="AF634" i="2" a="1"/>
  <c r="AF634" i="2" s="1"/>
  <c r="V556" i="2" a="1"/>
  <c r="V556" i="2" s="1"/>
  <c r="AD556" i="2" a="1"/>
  <c r="AD556" i="2" s="1"/>
  <c r="AF638" i="2" a="1"/>
  <c r="AF638" i="2" s="1"/>
  <c r="V627" i="2" a="1"/>
  <c r="V627" i="2" s="1"/>
  <c r="AD627" i="2" a="1"/>
  <c r="AD627" i="2" s="1"/>
  <c r="V651" i="2" a="1"/>
  <c r="V651" i="2" s="1"/>
  <c r="AD651" i="2" a="1"/>
  <c r="AD651" i="2" s="1"/>
  <c r="AF617" i="2" a="1"/>
  <c r="AF617" i="2" s="1"/>
  <c r="K51" i="3" a="1"/>
  <c r="K51" i="3" s="1"/>
  <c r="F80" i="3" a="1"/>
  <c r="F80" i="3" s="1"/>
  <c r="U83" i="3" s="1" a="1"/>
  <c r="U83" i="3" s="1"/>
  <c r="O80" i="3" a="1"/>
  <c r="O80" i="3" s="1"/>
  <c r="G109" i="3" a="1"/>
  <c r="G109" i="3" s="1"/>
  <c r="J115" i="3" a="1"/>
  <c r="J115" i="3" s="1"/>
  <c r="G138" i="3" a="1"/>
  <c r="G138" i="3" s="1"/>
  <c r="X141" i="3" s="1" a="1"/>
  <c r="X141" i="3" s="1"/>
  <c r="L254" i="3" a="1"/>
  <c r="L254" i="3" s="1"/>
  <c r="E485" i="12" a="1"/>
  <c r="E485" i="12" s="1"/>
  <c r="D194" i="5" a="1"/>
  <c r="D194" i="5" s="1"/>
  <c r="D376" i="4" a="1"/>
  <c r="D376" i="4" s="1"/>
  <c r="E430" i="12" a="1"/>
  <c r="E430" i="12" s="1"/>
  <c r="Y480" i="2" a="1"/>
  <c r="Y480" i="2" s="1"/>
  <c r="D187" i="6" a="1"/>
  <c r="D187" i="6" s="1"/>
  <c r="D351" i="4" a="1"/>
  <c r="D351" i="4" s="1"/>
  <c r="E424" i="12" a="1"/>
  <c r="E424" i="12" s="1"/>
  <c r="Y539" i="2" a="1"/>
  <c r="Y539" i="2" s="1"/>
  <c r="D194" i="7" a="1"/>
  <c r="D194" i="7" s="1"/>
  <c r="D362" i="4" a="1"/>
  <c r="D362" i="4" s="1"/>
  <c r="E441" i="12" a="1"/>
  <c r="E441" i="12" s="1"/>
  <c r="Y601" i="2" a="1"/>
  <c r="Y601" i="2" s="1"/>
  <c r="D196" i="7" a="1"/>
  <c r="D196" i="7" s="1"/>
  <c r="D365" i="4" a="1"/>
  <c r="D365" i="4" s="1"/>
  <c r="E418" i="12" a="1"/>
  <c r="E418" i="12" s="1"/>
  <c r="Y595" i="2" a="1"/>
  <c r="Y595" i="2" s="1"/>
  <c r="D194" i="6" a="1"/>
  <c r="D194" i="6" s="1"/>
  <c r="D190" i="5" a="1"/>
  <c r="D190" i="5" s="1"/>
  <c r="D368" i="4" a="1"/>
  <c r="D368" i="4" s="1"/>
  <c r="V565" i="2" a="1"/>
  <c r="V565" i="2" s="1"/>
  <c r="B197" i="6" a="1"/>
  <c r="B197" i="6" s="1"/>
  <c r="B373" i="4" a="1"/>
  <c r="B373" i="4" s="1"/>
  <c r="W599" i="2" a="1"/>
  <c r="W599" i="2" s="1"/>
  <c r="E548" i="12" a="1"/>
  <c r="E548" i="12" s="1"/>
  <c r="D203" i="5" a="1"/>
  <c r="D203" i="5" s="1"/>
  <c r="D388" i="4" a="1"/>
  <c r="D388" i="4" s="1"/>
  <c r="X598" i="2" a="1"/>
  <c r="X598" i="2" s="1"/>
  <c r="B390" i="4" a="1"/>
  <c r="B390" i="4" s="1"/>
  <c r="B204" i="5" a="1"/>
  <c r="B204" i="5" s="1"/>
  <c r="W594" i="2" a="1"/>
  <c r="W594" i="2" s="1"/>
  <c r="E513" i="12" a="1"/>
  <c r="E513" i="12" s="1"/>
  <c r="D200" i="6" a="1"/>
  <c r="D200" i="6" s="1"/>
  <c r="D200" i="5" a="1"/>
  <c r="D200" i="5" s="1"/>
  <c r="D383" i="4" a="1"/>
  <c r="D383" i="4" s="1"/>
  <c r="X645" i="2" a="1"/>
  <c r="X645" i="2" s="1"/>
  <c r="B207" i="5" a="1"/>
  <c r="B207" i="5" s="1"/>
  <c r="B398" i="4" a="1"/>
  <c r="B398" i="4" s="1"/>
  <c r="W642" i="2" a="1"/>
  <c r="W642" i="2" s="1"/>
  <c r="E467" i="12" a="1"/>
  <c r="E467" i="12" s="1"/>
  <c r="D202" i="6" a="1"/>
  <c r="D202" i="6" s="1"/>
  <c r="D386" i="4" a="1"/>
  <c r="D386" i="4" s="1"/>
  <c r="X634" i="2" a="1"/>
  <c r="X634" i="2" s="1"/>
  <c r="B204" i="6" a="1"/>
  <c r="B204" i="6" s="1"/>
  <c r="B389" i="4" a="1"/>
  <c r="B389" i="4" s="1"/>
  <c r="W556" i="2" a="1"/>
  <c r="W556" i="2" s="1"/>
  <c r="E595" i="12" a="1"/>
  <c r="E595" i="12" s="1"/>
  <c r="D205" i="7" a="1"/>
  <c r="D205" i="7" s="1"/>
  <c r="D396" i="4" a="1"/>
  <c r="D396" i="4" s="1"/>
  <c r="X638" i="2" a="1"/>
  <c r="X638" i="2" s="1"/>
  <c r="B401" i="4" a="1"/>
  <c r="B401" i="4" s="1"/>
  <c r="B208" i="5" a="1"/>
  <c r="B208" i="5" s="1"/>
  <c r="W627" i="2" a="1"/>
  <c r="W627" i="2" s="1"/>
  <c r="E550" i="12" a="1"/>
  <c r="E550" i="12" s="1"/>
  <c r="D209" i="5" a="1"/>
  <c r="D209" i="5" s="1"/>
  <c r="D403" i="4" a="1"/>
  <c r="D403" i="4" s="1"/>
  <c r="B210" i="5" a="1"/>
  <c r="B210" i="5" s="1"/>
  <c r="B407" i="4" a="1"/>
  <c r="B407" i="4" s="1"/>
  <c r="W651" i="2" a="1"/>
  <c r="W651" i="2" s="1"/>
  <c r="E599" i="12" a="1"/>
  <c r="E599" i="12" s="1"/>
  <c r="D210" i="6" a="1"/>
  <c r="D210" i="6" s="1"/>
  <c r="D405" i="4" a="1"/>
  <c r="D405" i="4" s="1"/>
  <c r="X617" i="2" a="1"/>
  <c r="X617" i="2" s="1"/>
  <c r="F57" i="3" a="1"/>
  <c r="F57" i="3" s="1"/>
  <c r="U54" i="3" s="1" a="1"/>
  <c r="U54" i="3" s="1"/>
  <c r="G80" i="3" a="1"/>
  <c r="G80" i="3" s="1"/>
  <c r="X83" i="3" s="1" a="1"/>
  <c r="X83" i="3" s="1"/>
  <c r="P80" i="3" a="1"/>
  <c r="P80" i="3" s="1"/>
  <c r="N109" i="3" a="1"/>
  <c r="N109" i="3" s="1"/>
  <c r="Y109" i="3" a="1"/>
  <c r="Y109" i="3" s="1"/>
  <c r="L196" i="3" a="1"/>
  <c r="L196" i="3" s="1"/>
  <c r="W225" i="3" a="1"/>
  <c r="W225" i="3" s="1"/>
  <c r="J138" i="3" a="1"/>
  <c r="J138" i="3" s="1"/>
  <c r="P138" i="3" a="1"/>
  <c r="P138" i="3" s="1"/>
  <c r="O167" i="3" a="1"/>
  <c r="O167" i="3" s="1"/>
  <c r="Y167" i="3" a="1"/>
  <c r="Y167" i="3" s="1"/>
  <c r="L173" i="3" a="1"/>
  <c r="L173" i="3" s="1"/>
  <c r="F196" i="3" a="1"/>
  <c r="F196" i="3" s="1"/>
  <c r="U199" i="3" s="1" a="1"/>
  <c r="U199" i="3" s="1"/>
  <c r="M196" i="3" a="1"/>
  <c r="M196" i="3" s="1"/>
  <c r="M225" i="3" a="1"/>
  <c r="M225" i="3" s="1"/>
  <c r="U225" i="3" a="1"/>
  <c r="U225" i="3" s="1"/>
  <c r="R225" i="3" a="1"/>
  <c r="R225" i="3" s="1"/>
  <c r="F254" i="3" a="1"/>
  <c r="F254" i="3" s="1"/>
  <c r="V254" i="3" a="1"/>
  <c r="V254" i="3" s="1"/>
  <c r="I283" i="3" a="1"/>
  <c r="I283" i="3" s="1"/>
  <c r="W283" i="3" a="1"/>
  <c r="W283" i="3" s="1"/>
  <c r="N289" i="3" a="1"/>
  <c r="N289" i="3" s="1"/>
  <c r="P289" i="3" s="1" a="1"/>
  <c r="P289" i="3" s="1"/>
  <c r="E312" i="3" a="1"/>
  <c r="E312" i="3" s="1"/>
  <c r="N312" i="3" a="1"/>
  <c r="N312" i="3" s="1"/>
  <c r="U312" i="3" a="1"/>
  <c r="U312" i="3" s="1"/>
  <c r="T312" i="3" a="1"/>
  <c r="T312" i="3" s="1"/>
  <c r="Q318" i="3" a="1"/>
  <c r="Q318" i="3" s="1"/>
  <c r="P318" i="3" a="1"/>
  <c r="P318" i="3" s="1"/>
  <c r="G341" i="3" a="1"/>
  <c r="G341" i="3" s="1"/>
  <c r="X344" i="3" s="1" a="1"/>
  <c r="X344" i="3" s="1"/>
  <c r="W341" i="3" a="1"/>
  <c r="W341" i="3" s="1"/>
  <c r="G370" i="3" a="1"/>
  <c r="G370" i="3" s="1"/>
  <c r="X373" i="3" s="1" a="1"/>
  <c r="X373" i="3" s="1"/>
  <c r="P370" i="3" a="1"/>
  <c r="P370" i="3" s="1"/>
  <c r="X370" i="3" a="1"/>
  <c r="X370" i="3" s="1"/>
  <c r="Z370" i="3" s="1" a="1"/>
  <c r="Z370" i="3" s="1"/>
  <c r="I167" i="3" a="1"/>
  <c r="I167" i="3" s="1"/>
  <c r="P167" i="3" a="1"/>
  <c r="P167" i="3" s="1"/>
  <c r="G196" i="3" a="1"/>
  <c r="G196" i="3" s="1"/>
  <c r="X199" i="3" s="1" a="1"/>
  <c r="X199" i="3" s="1"/>
  <c r="N225" i="3" a="1"/>
  <c r="N225" i="3" s="1"/>
  <c r="N231" i="3" a="1"/>
  <c r="N231" i="3" s="1"/>
  <c r="P231" i="3" s="1" a="1"/>
  <c r="P231" i="3" s="1"/>
  <c r="G254" i="3" a="1"/>
  <c r="G254" i="3" s="1"/>
  <c r="X257" i="3" s="1" a="1"/>
  <c r="X257" i="3" s="1"/>
  <c r="O254" i="3" a="1"/>
  <c r="O254" i="3" s="1"/>
  <c r="F312" i="3" a="1"/>
  <c r="F312" i="3" s="1"/>
  <c r="U315" i="3" s="1" a="1"/>
  <c r="U315" i="3" s="1"/>
  <c r="V312" i="3" a="1"/>
  <c r="V312" i="3" s="1"/>
  <c r="R312" i="3" a="1"/>
  <c r="R312" i="3" s="1"/>
  <c r="I347" i="3" a="1"/>
  <c r="I347" i="3" s="1"/>
  <c r="Q347" i="3" s="1" a="1"/>
  <c r="Q347" i="3" s="1"/>
  <c r="T399" i="3" a="1"/>
  <c r="T399" i="3" s="1"/>
  <c r="N173" i="3" a="1"/>
  <c r="N173" i="3" s="1"/>
  <c r="P173" i="3" s="1" a="1"/>
  <c r="P173" i="3" s="1"/>
  <c r="O196" i="3" a="1"/>
  <c r="O196" i="3" s="1"/>
  <c r="G225" i="3" a="1"/>
  <c r="G225" i="3" s="1"/>
  <c r="X228" i="3" s="1" a="1"/>
  <c r="X228" i="3" s="1"/>
  <c r="P254" i="3" a="1"/>
  <c r="P254" i="3" s="1"/>
  <c r="Q289" i="3" a="1"/>
  <c r="Q289" i="3" s="1"/>
  <c r="R109" i="3" a="1"/>
  <c r="R109" i="3" s="1"/>
  <c r="R138" i="3" a="1"/>
  <c r="R138" i="3" s="1"/>
  <c r="X138" i="3" a="1"/>
  <c r="X138" i="3" s="1"/>
  <c r="Z138" i="3" s="1" a="1"/>
  <c r="Z138" i="3" s="1"/>
  <c r="J144" i="3" a="1"/>
  <c r="J144" i="3" s="1"/>
  <c r="I196" i="3" a="1"/>
  <c r="I196" i="3" s="1"/>
  <c r="P196" i="3" a="1"/>
  <c r="P196" i="3" s="1"/>
  <c r="I225" i="3" a="1"/>
  <c r="I225" i="3" s="1"/>
  <c r="O225" i="3" a="1"/>
  <c r="O225" i="3" s="1"/>
  <c r="J254" i="3" a="1"/>
  <c r="J254" i="3" s="1"/>
  <c r="X254" i="3" a="1"/>
  <c r="X254" i="3" s="1"/>
  <c r="K283" i="3" a="1"/>
  <c r="K283" i="3" s="1"/>
  <c r="R283" i="3" a="1"/>
  <c r="R283" i="3" s="1"/>
  <c r="Y283" i="3" a="1"/>
  <c r="Y283" i="3" s="1"/>
  <c r="Z283" i="3" s="1" a="1"/>
  <c r="Z283" i="3" s="1"/>
  <c r="G312" i="3" a="1"/>
  <c r="G312" i="3" s="1"/>
  <c r="X315" i="3" s="1" a="1"/>
  <c r="X315" i="3" s="1"/>
  <c r="P312" i="3" a="1"/>
  <c r="P312" i="3" s="1"/>
  <c r="K341" i="3" a="1"/>
  <c r="K341" i="3" s="1"/>
  <c r="Y341" i="3" a="1"/>
  <c r="Y341" i="3" s="1"/>
  <c r="Z341" i="3" s="1" a="1"/>
  <c r="Z341" i="3" s="1"/>
  <c r="F341" i="3" a="1"/>
  <c r="F341" i="3" s="1"/>
  <c r="U344" i="3" s="1" a="1"/>
  <c r="U344" i="3" s="1"/>
  <c r="F370" i="3" a="1"/>
  <c r="F370" i="3" s="1"/>
  <c r="U373" i="3" s="1" a="1"/>
  <c r="U373" i="3" s="1"/>
  <c r="R167" i="3" a="1"/>
  <c r="R167" i="3" s="1"/>
  <c r="X167" i="3" a="1"/>
  <c r="X167" i="3" s="1"/>
  <c r="G173" i="3" a="1"/>
  <c r="G173" i="3" s="1"/>
  <c r="J196" i="3" a="1"/>
  <c r="J196" i="3" s="1"/>
  <c r="N196" i="3" a="1"/>
  <c r="N196" i="3" s="1"/>
  <c r="J225" i="3" a="1"/>
  <c r="J225" i="3" s="1"/>
  <c r="P225" i="3" a="1"/>
  <c r="P225" i="3" s="1"/>
  <c r="R254" i="3" a="1"/>
  <c r="R254" i="3" s="1"/>
  <c r="Y254" i="3" a="1"/>
  <c r="Y254" i="3" s="1"/>
  <c r="L283" i="3" a="1"/>
  <c r="L283" i="3" s="1"/>
  <c r="X312" i="3" a="1"/>
  <c r="X312" i="3" s="1"/>
  <c r="L341" i="3" a="1"/>
  <c r="L341" i="3" s="1"/>
  <c r="K370" i="3" a="1"/>
  <c r="K370" i="3" s="1"/>
  <c r="S370" i="3" a="1"/>
  <c r="S370" i="3" s="1"/>
  <c r="G399" i="3" a="1"/>
  <c r="G399" i="3" s="1"/>
  <c r="X402" i="3" s="1" a="1"/>
  <c r="X402" i="3" s="1"/>
  <c r="W399" i="3" a="1"/>
  <c r="W399" i="3" s="1"/>
  <c r="F138" i="3" a="1"/>
  <c r="F138" i="3" s="1"/>
  <c r="U141" i="3" s="1" a="1"/>
  <c r="U141" i="3" s="1"/>
  <c r="L167" i="3" a="1"/>
  <c r="L167" i="3" s="1"/>
  <c r="S167" i="3" a="1"/>
  <c r="S167" i="3" s="1"/>
  <c r="X196" i="3" a="1"/>
  <c r="X196" i="3" s="1"/>
  <c r="X225" i="3" a="1"/>
  <c r="X225" i="3" s="1"/>
  <c r="K254" i="3" a="1"/>
  <c r="K254" i="3" s="1"/>
  <c r="L260" i="3" a="1"/>
  <c r="L260" i="3" s="1"/>
  <c r="E283" i="3" a="1"/>
  <c r="E283" i="3" s="1"/>
  <c r="S283" i="3" a="1"/>
  <c r="S283" i="3" s="1"/>
  <c r="J312" i="3" a="1"/>
  <c r="J312" i="3" s="1"/>
  <c r="Q312" i="3" a="1"/>
  <c r="Q312" i="3" s="1"/>
  <c r="Y312" i="3" a="1"/>
  <c r="Y312" i="3" s="1"/>
  <c r="S341" i="3" a="1"/>
  <c r="S341" i="3" s="1"/>
  <c r="R341" i="3" a="1"/>
  <c r="R341" i="3" s="1"/>
  <c r="L370" i="3" a="1"/>
  <c r="L370" i="3" s="1"/>
  <c r="T370" i="3" a="1"/>
  <c r="T370" i="3" s="1"/>
  <c r="I399" i="3" a="1"/>
  <c r="I399" i="3" s="1"/>
  <c r="P399" i="3" a="1"/>
  <c r="P399" i="3" s="1"/>
  <c r="Q463" i="3" a="1"/>
  <c r="Q463" i="3" s="1"/>
  <c r="P463" i="3" a="1"/>
  <c r="P463" i="3" s="1"/>
  <c r="U138" i="3" a="1"/>
  <c r="U138" i="3" s="1"/>
  <c r="R196" i="3" a="1"/>
  <c r="R196" i="3" s="1"/>
  <c r="Y196" i="3" a="1"/>
  <c r="Y196" i="3" s="1"/>
  <c r="Y225" i="3" a="1"/>
  <c r="Y225" i="3" s="1"/>
  <c r="S254" i="3" a="1"/>
  <c r="S254" i="3" s="1"/>
  <c r="F283" i="3" a="1"/>
  <c r="F283" i="3" s="1"/>
  <c r="U286" i="3" s="1" a="1"/>
  <c r="U286" i="3" s="1"/>
  <c r="M283" i="3" a="1"/>
  <c r="M283" i="3" s="1"/>
  <c r="P283" i="3" a="1"/>
  <c r="P283" i="3" s="1"/>
  <c r="K312" i="3" a="1"/>
  <c r="K312" i="3" s="1"/>
  <c r="E341" i="3" a="1"/>
  <c r="E341" i="3" s="1"/>
  <c r="M341" i="3" a="1"/>
  <c r="M341" i="3" s="1"/>
  <c r="T341" i="3" a="1"/>
  <c r="T341" i="3" s="1"/>
  <c r="M347" i="3" a="1"/>
  <c r="M347" i="3" s="1"/>
  <c r="J399" i="3" a="1"/>
  <c r="J399" i="3" s="1"/>
  <c r="P428" i="3" a="1"/>
  <c r="P428" i="3" s="1"/>
  <c r="M167" i="3" a="1"/>
  <c r="M167" i="3" s="1"/>
  <c r="T167" i="3" a="1"/>
  <c r="T167" i="3" s="1"/>
  <c r="S196" i="3" a="1"/>
  <c r="S196" i="3" s="1"/>
  <c r="T254" i="3" a="1"/>
  <c r="T254" i="3" s="1"/>
  <c r="N283" i="3" a="1"/>
  <c r="N283" i="3" s="1"/>
  <c r="T283" i="3" a="1"/>
  <c r="T283" i="3" s="1"/>
  <c r="L312" i="3" a="1"/>
  <c r="L312" i="3" s="1"/>
  <c r="N341" i="3" a="1"/>
  <c r="N341" i="3" s="1"/>
  <c r="E370" i="3" a="1"/>
  <c r="E370" i="3" s="1"/>
  <c r="M370" i="3" a="1"/>
  <c r="M370" i="3" s="1"/>
  <c r="U370" i="3" a="1"/>
  <c r="U370" i="3" s="1"/>
  <c r="R370" i="3" a="1"/>
  <c r="R370" i="3" s="1"/>
  <c r="K376" i="3" a="1"/>
  <c r="K376" i="3" s="1"/>
  <c r="Q376" i="3" a="1"/>
  <c r="Q376" i="3" s="1"/>
  <c r="P376" i="3" a="1"/>
  <c r="P376" i="3" s="1"/>
  <c r="K399" i="3" a="1"/>
  <c r="K399" i="3" s="1"/>
  <c r="V399" i="3" a="1"/>
  <c r="V399" i="3" s="1"/>
  <c r="K428" i="3" a="1"/>
  <c r="K428" i="3" s="1"/>
  <c r="I138" i="3" a="1"/>
  <c r="I138" i="3" s="1"/>
  <c r="O138" i="3" a="1"/>
  <c r="O138" i="3" s="1"/>
  <c r="M144" i="3" a="1"/>
  <c r="M144" i="3" s="1"/>
  <c r="F167" i="3" a="1"/>
  <c r="F167" i="3" s="1"/>
  <c r="U170" i="3" s="1" a="1"/>
  <c r="U170" i="3" s="1"/>
  <c r="U167" i="3" a="1"/>
  <c r="U167" i="3" s="1"/>
  <c r="J167" i="3" a="1"/>
  <c r="J167" i="3" s="1"/>
  <c r="T196" i="3" a="1"/>
  <c r="T196" i="3" s="1"/>
  <c r="S225" i="3" a="1"/>
  <c r="S225" i="3" s="1"/>
  <c r="M254" i="3" a="1"/>
  <c r="M254" i="3" s="1"/>
  <c r="U254" i="3" a="1"/>
  <c r="U254" i="3" s="1"/>
  <c r="F260" i="3" a="1"/>
  <c r="F260" i="3" s="1"/>
  <c r="N260" i="3" a="1"/>
  <c r="N260" i="3" s="1"/>
  <c r="P260" i="3" s="1" a="1"/>
  <c r="P260" i="3" s="1"/>
  <c r="G283" i="3" a="1"/>
  <c r="G283" i="3" s="1"/>
  <c r="X286" i="3" s="1" a="1"/>
  <c r="X286" i="3" s="1"/>
  <c r="U283" i="3" a="1"/>
  <c r="U283" i="3" s="1"/>
  <c r="M289" i="3" a="1"/>
  <c r="M289" i="3" s="1"/>
  <c r="S312" i="3" a="1"/>
  <c r="S312" i="3" s="1"/>
  <c r="M318" i="3" a="1"/>
  <c r="M318" i="3" s="1"/>
  <c r="O341" i="3" a="1"/>
  <c r="O341" i="3" s="1"/>
  <c r="U341" i="3" a="1"/>
  <c r="U341" i="3" s="1"/>
  <c r="N370" i="3" a="1"/>
  <c r="N370" i="3" s="1"/>
  <c r="V370" i="3" a="1"/>
  <c r="V370" i="3" s="1"/>
  <c r="L399" i="3" a="1"/>
  <c r="L399" i="3" s="1"/>
  <c r="R399" i="3" a="1"/>
  <c r="R399" i="3" s="1"/>
  <c r="Y428" i="3" a="1"/>
  <c r="Y428" i="3" s="1"/>
  <c r="G167" i="3" a="1"/>
  <c r="G167" i="3" s="1"/>
  <c r="N167" i="3" a="1"/>
  <c r="N167" i="3" s="1"/>
  <c r="U196" i="3" a="1"/>
  <c r="U196" i="3" s="1"/>
  <c r="L202" i="3" a="1"/>
  <c r="L202" i="3" s="1"/>
  <c r="T225" i="3" a="1"/>
  <c r="T225" i="3" s="1"/>
  <c r="L231" i="3" a="1"/>
  <c r="L231" i="3" s="1"/>
  <c r="N254" i="3" a="1"/>
  <c r="N254" i="3" s="1"/>
  <c r="O283" i="3" a="1"/>
  <c r="O283" i="3" s="1"/>
  <c r="V283" i="3" a="1"/>
  <c r="V283" i="3" s="1"/>
  <c r="M312" i="3" a="1"/>
  <c r="M312" i="3" s="1"/>
  <c r="P341" i="3" a="1"/>
  <c r="P341" i="3" s="1"/>
  <c r="V341" i="3" a="1"/>
  <c r="V341" i="3" s="1"/>
  <c r="P347" i="3" a="1"/>
  <c r="P347" i="3" s="1"/>
  <c r="O370" i="3" a="1"/>
  <c r="O370" i="3" s="1"/>
  <c r="W370" i="3" a="1"/>
  <c r="W370" i="3" s="1"/>
  <c r="M405" i="3" a="1"/>
  <c r="M405" i="3" s="1"/>
  <c r="L428" i="3" a="1"/>
  <c r="L428" i="3" s="1"/>
  <c r="R428" i="3" a="1"/>
  <c r="R428" i="3" s="1"/>
  <c r="X428" i="3" a="1"/>
  <c r="X428" i="3" s="1"/>
  <c r="S428" i="3" a="1"/>
  <c r="S428" i="3" s="1"/>
  <c r="F399" i="3" a="1"/>
  <c r="F399" i="3" s="1"/>
  <c r="U402" i="3" s="1" a="1"/>
  <c r="U402" i="3" s="1"/>
  <c r="M399" i="3" a="1"/>
  <c r="M399" i="3" s="1"/>
  <c r="X399" i="3" a="1"/>
  <c r="X399" i="3" s="1"/>
  <c r="E405" i="3" a="1"/>
  <c r="E405" i="3" s="1"/>
  <c r="M428" i="3" a="1"/>
  <c r="M428" i="3" s="1"/>
  <c r="U457" i="3" a="1"/>
  <c r="U457" i="3" s="1"/>
  <c r="F428" i="3" a="1"/>
  <c r="F428" i="3" s="1"/>
  <c r="U431" i="3" s="1" a="1"/>
  <c r="U431" i="3" s="1"/>
  <c r="P434" i="3" a="1"/>
  <c r="P434" i="3" s="1"/>
  <c r="O457" i="3" a="1"/>
  <c r="O457" i="3" s="1"/>
  <c r="F463" i="3" a="1"/>
  <c r="F463" i="3" s="1"/>
  <c r="U460" i="3" s="1" a="1"/>
  <c r="U460" i="3" s="1"/>
  <c r="N399" i="3" a="1"/>
  <c r="N399" i="3" s="1"/>
  <c r="Y399" i="3" a="1"/>
  <c r="Y399" i="3" s="1"/>
  <c r="G428" i="3" a="1"/>
  <c r="G428" i="3" s="1"/>
  <c r="X431" i="3" s="1" a="1"/>
  <c r="X431" i="3" s="1"/>
  <c r="N428" i="3" a="1"/>
  <c r="N428" i="3" s="1"/>
  <c r="U428" i="3" a="1"/>
  <c r="U428" i="3" s="1"/>
  <c r="I457" i="3" a="1"/>
  <c r="I457" i="3" s="1"/>
  <c r="W457" i="3" a="1"/>
  <c r="W457" i="3" s="1"/>
  <c r="I428" i="3" a="1"/>
  <c r="I428" i="3" s="1"/>
  <c r="Q434" i="3" a="1"/>
  <c r="Q434" i="3" s="1"/>
  <c r="G457" i="3" a="1"/>
  <c r="G457" i="3" s="1"/>
  <c r="X460" i="3" s="1" a="1"/>
  <c r="X460" i="3" s="1"/>
  <c r="O405" i="3" a="1"/>
  <c r="O405" i="3" s="1"/>
  <c r="J428" i="3" a="1"/>
  <c r="J428" i="3" s="1"/>
  <c r="V428" i="3" a="1"/>
  <c r="V428" i="3" s="1"/>
  <c r="J457" i="3" a="1"/>
  <c r="J457" i="3" s="1"/>
  <c r="Q457" i="3" a="1"/>
  <c r="Q457" i="3" s="1"/>
  <c r="Y457" i="3" a="1"/>
  <c r="Y457" i="3" s="1"/>
  <c r="Z457" i="3" s="1" a="1"/>
  <c r="Z457" i="3" s="1"/>
  <c r="J463" i="3" a="1"/>
  <c r="J463" i="3" s="1"/>
  <c r="R457" i="3" a="1"/>
  <c r="R457" i="3" s="1"/>
  <c r="W428" i="3" a="1"/>
  <c r="W428" i="3" s="1"/>
  <c r="K457" i="3" a="1"/>
  <c r="K457" i="3" s="1"/>
  <c r="S457" i="3" a="1"/>
  <c r="S457" i="3" s="1"/>
  <c r="Q428" i="3" a="1"/>
  <c r="Q428" i="3" s="1"/>
  <c r="L457" i="3" a="1"/>
  <c r="L457" i="3" s="1"/>
  <c r="U110" i="2" l="1" a="1"/>
  <c r="U110" i="2" s="1"/>
  <c r="U141" i="2" a="1"/>
  <c r="U141" i="2" s="1"/>
  <c r="AL92" i="2" a="1"/>
  <c r="AL92" i="2" s="1"/>
  <c r="U19" i="2" a="1"/>
  <c r="U19" i="2" s="1"/>
  <c r="U149" i="2" a="1"/>
  <c r="U149" i="2" s="1"/>
  <c r="U265" i="2" a="1"/>
  <c r="U265" i="2" s="1"/>
  <c r="U363" i="2" a="1"/>
  <c r="U363" i="2" s="1"/>
  <c r="U23" i="2" a="1"/>
  <c r="U23" i="2" s="1"/>
  <c r="U660" i="2" a="1"/>
  <c r="U660" i="2" s="1"/>
  <c r="AQ64" i="2" a="1"/>
  <c r="AQ64" i="2" s="1"/>
  <c r="U203" i="2" a="1"/>
  <c r="U203" i="2" s="1"/>
  <c r="AQ85" i="2" a="1"/>
  <c r="AQ85" i="2" s="1"/>
  <c r="AL313" i="2" a="1"/>
  <c r="AL313" i="2" s="1"/>
  <c r="AL372" i="2" a="1"/>
  <c r="AL372" i="2" s="1"/>
  <c r="U52" i="2" a="1"/>
  <c r="U52" i="2" s="1"/>
  <c r="AL217" i="2" a="1"/>
  <c r="AL217" i="2" s="1"/>
  <c r="AL228" i="2" a="1"/>
  <c r="AL228" i="2" s="1"/>
  <c r="AL55" i="2" a="1"/>
  <c r="AL55" i="2" s="1"/>
  <c r="U187" i="2" a="1"/>
  <c r="U187" i="2" s="1"/>
  <c r="AL378" i="2" a="1"/>
  <c r="AL378" i="2" s="1"/>
  <c r="AL326" i="2" a="1"/>
  <c r="AL326" i="2" s="1"/>
  <c r="Z620" i="12" a="1"/>
  <c r="Z620" i="12" s="1"/>
  <c r="AL117" i="2" a="1"/>
  <c r="AL117" i="2" s="1"/>
  <c r="AL509" i="2" a="1"/>
  <c r="AL509" i="2" s="1"/>
  <c r="AL322" i="2" a="1"/>
  <c r="AL322" i="2" s="1"/>
  <c r="U280" i="2" a="1"/>
  <c r="U280" i="2" s="1"/>
  <c r="X642" i="12" a="1"/>
  <c r="X642" i="12" s="1"/>
  <c r="AL377" i="2" a="1"/>
  <c r="AL377" i="2" s="1"/>
  <c r="AL359" i="2" a="1"/>
  <c r="AL359" i="2" s="1"/>
  <c r="O507" i="12" a="1"/>
  <c r="O507" i="12" s="1"/>
  <c r="O477" i="12" a="1"/>
  <c r="O477" i="12" s="1"/>
  <c r="AL91" i="2" a="1"/>
  <c r="AL91" i="2" s="1"/>
  <c r="Q542" i="12" a="1"/>
  <c r="Q542" i="12" s="1"/>
  <c r="K545" i="12" a="1"/>
  <c r="K545" i="12" s="1"/>
  <c r="M592" i="12" a="1"/>
  <c r="M592" i="12" s="1"/>
  <c r="S595" i="12" a="1"/>
  <c r="S595" i="12" s="1"/>
  <c r="O375" i="12" a="1"/>
  <c r="O375" i="12" s="1"/>
  <c r="O570" i="12" a="1"/>
  <c r="O570" i="12" s="1"/>
  <c r="O590" i="12" a="1"/>
  <c r="O590" i="12" s="1"/>
  <c r="P436" i="12" a="1"/>
  <c r="P436" i="12" s="1"/>
  <c r="P491" i="12" a="1"/>
  <c r="P491" i="12" s="1"/>
  <c r="AB648" i="12" a="1"/>
  <c r="AB648" i="12" s="1"/>
  <c r="L473" i="12" a="1"/>
  <c r="L473" i="12" s="1"/>
  <c r="F563" i="12" a="1"/>
  <c r="F563" i="12" s="1"/>
  <c r="AB670" i="12" a="1"/>
  <c r="AB670" i="12" s="1"/>
  <c r="O371" i="12" a="1"/>
  <c r="O371" i="12" s="1"/>
  <c r="M594" i="12" a="1"/>
  <c r="M594" i="12" s="1"/>
  <c r="Q329" i="12" a="1"/>
  <c r="Q329" i="12" s="1"/>
  <c r="R418" i="12" a="1"/>
  <c r="R418" i="12" s="1"/>
  <c r="R578" i="12" a="1"/>
  <c r="R578" i="12" s="1"/>
  <c r="O592" i="12" a="1"/>
  <c r="O592" i="12" s="1"/>
  <c r="N481" i="12" a="1"/>
  <c r="N481" i="12" s="1"/>
  <c r="G529" i="12" a="1"/>
  <c r="G529" i="12" s="1"/>
  <c r="N545" i="12" a="1"/>
  <c r="N545" i="12" s="1"/>
  <c r="P542" i="12" a="1"/>
  <c r="P542" i="12" s="1"/>
  <c r="G424" i="12" a="1"/>
  <c r="G424" i="12" s="1"/>
  <c r="L436" i="12" a="1"/>
  <c r="L436" i="12" s="1"/>
  <c r="P544" i="12" a="1"/>
  <c r="P544" i="12" s="1"/>
  <c r="X646" i="12" a="1"/>
  <c r="X646" i="12" s="1"/>
  <c r="F301" i="12" a="1"/>
  <c r="F301" i="12" s="1"/>
  <c r="N593" i="12" a="1"/>
  <c r="N593" i="12" s="1"/>
  <c r="AL102" i="2" a="1"/>
  <c r="AL102" i="2" s="1"/>
  <c r="J563" i="12" a="1"/>
  <c r="J563" i="12" s="1"/>
  <c r="T587" i="12" a="1"/>
  <c r="T587" i="12" s="1"/>
  <c r="N553" i="12" a="1"/>
  <c r="N553" i="12" s="1"/>
  <c r="M418" i="12" a="1"/>
  <c r="M418" i="12" s="1"/>
  <c r="S434" i="12" a="1"/>
  <c r="S434" i="12" s="1"/>
  <c r="S532" i="12" a="1"/>
  <c r="S532" i="12" s="1"/>
  <c r="S334" i="12" a="1"/>
  <c r="S334" i="12" s="1"/>
  <c r="AA664" i="12" a="1"/>
  <c r="AA664" i="12" s="1"/>
  <c r="F597" i="12" a="1"/>
  <c r="F597" i="12" s="1"/>
  <c r="U228" i="3" a="1"/>
  <c r="U228" i="3" s="1"/>
  <c r="I544" i="12" a="1"/>
  <c r="I544" i="12" s="1"/>
  <c r="M480" i="12" a="1"/>
  <c r="M480" i="12" s="1"/>
  <c r="N284" i="12" a="1"/>
  <c r="N284" i="12" s="1"/>
  <c r="S460" i="12" a="1"/>
  <c r="S460" i="12" s="1"/>
  <c r="P324" i="12" a="1"/>
  <c r="P324" i="12" s="1"/>
  <c r="R597" i="12" a="1"/>
  <c r="R597" i="12" s="1"/>
  <c r="Q565" i="12" a="1"/>
  <c r="Q565" i="12" s="1"/>
  <c r="K565" i="12" a="1"/>
  <c r="K565" i="12" s="1"/>
  <c r="Q242" i="12" a="1"/>
  <c r="Q242" i="12" s="1"/>
  <c r="N436" i="12" a="1"/>
  <c r="N436" i="12" s="1"/>
  <c r="M543" i="12" a="1"/>
  <c r="M543" i="12" s="1"/>
  <c r="L437" i="12" a="1"/>
  <c r="L437" i="12" s="1"/>
  <c r="J417" i="12" a="1"/>
  <c r="J417" i="12" s="1"/>
  <c r="O338" i="12" a="1"/>
  <c r="O338" i="12" s="1"/>
  <c r="S341" i="12" a="1"/>
  <c r="S341" i="12" s="1"/>
  <c r="G247" i="12" a="1"/>
  <c r="G247" i="12" s="1"/>
  <c r="M273" i="12" a="1"/>
  <c r="M273" i="12" s="1"/>
  <c r="T301" i="12" a="1"/>
  <c r="T301" i="12" s="1"/>
  <c r="L594" i="12" a="1"/>
  <c r="L594" i="12" s="1"/>
  <c r="P596" i="12" a="1"/>
  <c r="P596" i="12" s="1"/>
  <c r="S543" i="12" a="1"/>
  <c r="S543" i="12" s="1"/>
  <c r="M545" i="12" a="1"/>
  <c r="M545" i="12" s="1"/>
  <c r="T392" i="12" a="1"/>
  <c r="T392" i="12" s="1"/>
  <c r="R438" i="12" a="1"/>
  <c r="R438" i="12" s="1"/>
  <c r="M329" i="12" a="1"/>
  <c r="M329" i="12" s="1"/>
  <c r="R381" i="12" a="1"/>
  <c r="R381" i="12" s="1"/>
  <c r="O219" i="12" a="1"/>
  <c r="O219" i="12" s="1"/>
  <c r="AB618" i="12" a="1"/>
  <c r="AB618" i="12" s="1"/>
  <c r="J554" i="12" a="1"/>
  <c r="J554" i="12" s="1"/>
  <c r="M424" i="12" a="1"/>
  <c r="M424" i="12" s="1"/>
  <c r="K578" i="12" a="1"/>
  <c r="K578" i="12" s="1"/>
  <c r="I580" i="12" a="1"/>
  <c r="I580" i="12" s="1"/>
  <c r="I491" i="12" a="1"/>
  <c r="I491" i="12" s="1"/>
  <c r="J545" i="12" a="1"/>
  <c r="J545" i="12" s="1"/>
  <c r="R554" i="12" a="1"/>
  <c r="R554" i="12" s="1"/>
  <c r="Q590" i="12" a="1"/>
  <c r="Q590" i="12" s="1"/>
  <c r="J487" i="12" a="1"/>
  <c r="J487" i="12" s="1"/>
  <c r="R485" i="12" a="1"/>
  <c r="R485" i="12" s="1"/>
  <c r="O288" i="12" a="1"/>
  <c r="O288" i="12" s="1"/>
  <c r="I288" i="12" a="1"/>
  <c r="I288" i="12" s="1"/>
  <c r="L411" i="12" a="1"/>
  <c r="L411" i="12" s="1"/>
  <c r="X612" i="12" a="1"/>
  <c r="X612" i="12" s="1"/>
  <c r="F524" i="12" a="1"/>
  <c r="F524" i="12" s="1"/>
  <c r="I338" i="12" a="1"/>
  <c r="I338" i="12" s="1"/>
  <c r="L571" i="12" a="1"/>
  <c r="L571" i="12" s="1"/>
  <c r="S507" i="12" a="1"/>
  <c r="S507" i="12" s="1"/>
  <c r="M481" i="12" a="1"/>
  <c r="M481" i="12" s="1"/>
  <c r="T456" i="12" a="1"/>
  <c r="T456" i="12" s="1"/>
  <c r="M467" i="12" a="1"/>
  <c r="M467" i="12" s="1"/>
  <c r="I433" i="12" a="1"/>
  <c r="I433" i="12" s="1"/>
  <c r="R471" i="12" a="1"/>
  <c r="R471" i="12" s="1"/>
  <c r="M577" i="12" a="1"/>
  <c r="M577" i="12" s="1"/>
  <c r="S550" i="12" a="1"/>
  <c r="S550" i="12" s="1"/>
  <c r="L590" i="12" a="1"/>
  <c r="L590" i="12" s="1"/>
  <c r="O565" i="12" a="1"/>
  <c r="O565" i="12" s="1"/>
  <c r="T589" i="12" a="1"/>
  <c r="T589" i="12" s="1"/>
  <c r="S589" i="12" a="1"/>
  <c r="S589" i="12" s="1"/>
  <c r="K570" i="12" a="1"/>
  <c r="K570" i="12" s="1"/>
  <c r="T491" i="12" a="1"/>
  <c r="T491" i="12" s="1"/>
  <c r="AA646" i="12" a="1"/>
  <c r="AA646" i="12" s="1"/>
  <c r="Q369" i="12" a="1"/>
  <c r="Q369" i="12" s="1"/>
  <c r="J506" i="12" a="1"/>
  <c r="J506" i="12" s="1"/>
  <c r="O307" i="12" a="1"/>
  <c r="O307" i="12" s="1"/>
  <c r="K331" i="12" a="1"/>
  <c r="K331" i="12" s="1"/>
  <c r="J600" i="12" a="1"/>
  <c r="J600" i="12" s="1"/>
  <c r="T307" i="12" a="1"/>
  <c r="T307" i="12" s="1"/>
  <c r="R523" i="12" a="1"/>
  <c r="R523" i="12" s="1"/>
  <c r="S284" i="12" a="1"/>
  <c r="S284" i="12" s="1"/>
  <c r="P198" i="12" a="1"/>
  <c r="P198" i="12" s="1"/>
  <c r="L329" i="12" a="1"/>
  <c r="L329" i="12" s="1"/>
  <c r="S516" i="12" a="1"/>
  <c r="S516" i="12" s="1"/>
  <c r="G592" i="12" a="1"/>
  <c r="G592" i="12" s="1"/>
  <c r="T565" i="12" a="1"/>
  <c r="T565" i="12" s="1"/>
  <c r="I554" i="12" a="1"/>
  <c r="I554" i="12" s="1"/>
  <c r="R375" i="12" a="1"/>
  <c r="R375" i="12" s="1"/>
  <c r="G532" i="12" a="1"/>
  <c r="G532" i="12" s="1"/>
  <c r="M386" i="12" a="1"/>
  <c r="M386" i="12" s="1"/>
  <c r="F362" i="12" a="1"/>
  <c r="F362" i="12" s="1"/>
  <c r="Q251" i="12" a="1"/>
  <c r="Q251" i="12" s="1"/>
  <c r="AL47" i="2" a="1"/>
  <c r="AL47" i="2" s="1"/>
  <c r="P57" i="3" a="1"/>
  <c r="P57" i="3" s="1"/>
  <c r="Z312" i="3" a="1"/>
  <c r="Z312" i="3" s="1"/>
  <c r="Z254" i="3" a="1"/>
  <c r="Z254" i="3" s="1"/>
  <c r="X54" i="3" a="1"/>
  <c r="X54" i="3" s="1"/>
  <c r="X170" i="3" a="1"/>
  <c r="X170" i="3" s="1"/>
  <c r="Z167" i="3" a="1"/>
  <c r="Z167" i="3" s="1"/>
  <c r="Z428" i="3" a="1"/>
  <c r="Z428" i="3" s="1"/>
  <c r="K516" i="12" a="1"/>
  <c r="K516" i="12" s="1"/>
  <c r="K98" i="12" a="1"/>
  <c r="K98" i="12" s="1"/>
  <c r="K553" i="12" a="1"/>
  <c r="K553" i="12" s="1"/>
  <c r="K418" i="12" a="1"/>
  <c r="K418" i="12" s="1"/>
  <c r="T599" i="12" a="1"/>
  <c r="T599" i="12" s="1"/>
  <c r="R543" i="12" a="1"/>
  <c r="R543" i="12" s="1"/>
  <c r="P579" i="12" a="1"/>
  <c r="P579" i="12" s="1"/>
  <c r="L392" i="12" a="1"/>
  <c r="L392" i="12" s="1"/>
  <c r="I545" i="12" a="1"/>
  <c r="I545" i="12" s="1"/>
  <c r="L507" i="12" a="1"/>
  <c r="L507" i="12" s="1"/>
  <c r="J441" i="12" a="1"/>
  <c r="J441" i="12" s="1"/>
  <c r="M529" i="12" a="1"/>
  <c r="M529" i="12" s="1"/>
  <c r="I485" i="12" a="1"/>
  <c r="I485" i="12" s="1"/>
  <c r="P115" i="3" a="1"/>
  <c r="P115" i="3" s="1"/>
  <c r="Q115" i="3" a="1"/>
  <c r="Q115" i="3" s="1"/>
  <c r="J599" i="12" a="1"/>
  <c r="J599" i="12" s="1"/>
  <c r="P578" i="12" a="1"/>
  <c r="P578" i="12" s="1"/>
  <c r="T570" i="12" a="1"/>
  <c r="T570" i="12" s="1"/>
  <c r="R548" i="12" a="1"/>
  <c r="R548" i="12" s="1"/>
  <c r="L577" i="12" a="1"/>
  <c r="L577" i="12" s="1"/>
  <c r="S546" i="12" a="1"/>
  <c r="S546" i="12" s="1"/>
  <c r="S529" i="12" a="1"/>
  <c r="S529" i="12" s="1"/>
  <c r="R489" i="12" a="1"/>
  <c r="R489" i="12" s="1"/>
  <c r="J436" i="12" a="1"/>
  <c r="J436" i="12" s="1"/>
  <c r="N580" i="12" a="1"/>
  <c r="N580" i="12" s="1"/>
  <c r="Q595" i="12" a="1"/>
  <c r="Q595" i="12" s="1"/>
  <c r="G543" i="12" a="1"/>
  <c r="G543" i="12" s="1"/>
  <c r="N438" i="12" a="1"/>
  <c r="N438" i="12" s="1"/>
  <c r="K529" i="12" a="1"/>
  <c r="K529" i="12" s="1"/>
  <c r="N485" i="12" a="1"/>
  <c r="N485" i="12" s="1"/>
  <c r="O538" i="12" a="1"/>
  <c r="O538" i="12" s="1"/>
  <c r="F516" i="12" a="1"/>
  <c r="F516" i="12" s="1"/>
  <c r="U638" i="2" a="1"/>
  <c r="U638" i="2" s="1"/>
  <c r="J592" i="12" a="1"/>
  <c r="J592" i="12" s="1"/>
  <c r="F543" i="12" a="1"/>
  <c r="F543" i="12" s="1"/>
  <c r="U645" i="2" a="1"/>
  <c r="U645" i="2" s="1"/>
  <c r="J507" i="12" a="1"/>
  <c r="J507" i="12" s="1"/>
  <c r="P548" i="12" a="1"/>
  <c r="P548" i="12" s="1"/>
  <c r="R546" i="12" a="1"/>
  <c r="R546" i="12" s="1"/>
  <c r="N460" i="12" a="1"/>
  <c r="N460" i="12" s="1"/>
  <c r="S587" i="12" a="1"/>
  <c r="S587" i="12" s="1"/>
  <c r="L589" i="12" a="1"/>
  <c r="L589" i="12" s="1"/>
  <c r="J481" i="12" a="1"/>
  <c r="J481" i="12" s="1"/>
  <c r="T518" i="12" a="1"/>
  <c r="T518" i="12" s="1"/>
  <c r="T579" i="12" a="1"/>
  <c r="T579" i="12" s="1"/>
  <c r="O548" i="12" a="1"/>
  <c r="O548" i="12" s="1"/>
  <c r="O491" i="12" a="1"/>
  <c r="O491" i="12" s="1"/>
  <c r="G590" i="12" a="1"/>
  <c r="G590" i="12" s="1"/>
  <c r="N595" i="12" a="1"/>
  <c r="N595" i="12" s="1"/>
  <c r="Q554" i="12" a="1"/>
  <c r="Q554" i="12" s="1"/>
  <c r="Q398" i="12" a="1"/>
  <c r="Q398" i="12" s="1"/>
  <c r="G473" i="12" a="1"/>
  <c r="G473" i="12" s="1"/>
  <c r="M430" i="12" a="1"/>
  <c r="M430" i="12" s="1"/>
  <c r="G587" i="12" a="1"/>
  <c r="G587" i="12" s="1"/>
  <c r="N473" i="12" a="1"/>
  <c r="N473" i="12" s="1"/>
  <c r="S485" i="12" a="1"/>
  <c r="S485" i="12" s="1"/>
  <c r="I482" i="12" a="1"/>
  <c r="I482" i="12" s="1"/>
  <c r="P445" i="12" a="1"/>
  <c r="P445" i="12" s="1"/>
  <c r="K429" i="12" a="1"/>
  <c r="K429" i="12" s="1"/>
  <c r="M471" i="12" a="1"/>
  <c r="M471" i="12" s="1"/>
  <c r="F394" i="12" a="1"/>
  <c r="F394" i="12" s="1"/>
  <c r="U604" i="2" a="1"/>
  <c r="U604" i="2" s="1"/>
  <c r="P411" i="12" a="1"/>
  <c r="P411" i="12" s="1"/>
  <c r="F342" i="12" a="1"/>
  <c r="F342" i="12" s="1"/>
  <c r="U536" i="2" a="1"/>
  <c r="U536" i="2" s="1"/>
  <c r="I600" i="12" a="1"/>
  <c r="I600" i="12" s="1"/>
  <c r="K391" i="12" a="1"/>
  <c r="K391" i="12" s="1"/>
  <c r="T338" i="12" a="1"/>
  <c r="T338" i="12" s="1"/>
  <c r="P327" i="12" a="1"/>
  <c r="P327" i="12" s="1"/>
  <c r="K563" i="12" a="1"/>
  <c r="K563" i="12" s="1"/>
  <c r="M447" i="12" a="1"/>
  <c r="M447" i="12" s="1"/>
  <c r="I410" i="12" a="1"/>
  <c r="I410" i="12" s="1"/>
  <c r="N410" i="12" a="1"/>
  <c r="N410" i="12" s="1"/>
  <c r="I472" i="12" a="1"/>
  <c r="I472" i="12" s="1"/>
  <c r="N472" i="12" a="1"/>
  <c r="N472" i="12" s="1"/>
  <c r="T278" i="12" a="1"/>
  <c r="T278" i="12" s="1"/>
  <c r="S399" i="12" a="1"/>
  <c r="S399" i="12" s="1"/>
  <c r="K507" i="12" a="1"/>
  <c r="K507" i="12" s="1"/>
  <c r="S489" i="12" a="1"/>
  <c r="S489" i="12" s="1"/>
  <c r="G464" i="12" a="1"/>
  <c r="G464" i="12" s="1"/>
  <c r="J444" i="12" a="1"/>
  <c r="J444" i="12" s="1"/>
  <c r="P552" i="12" a="1"/>
  <c r="P552" i="12" s="1"/>
  <c r="AB642" i="12" a="1"/>
  <c r="AB642" i="12" s="1"/>
  <c r="L322" i="12" a="1"/>
  <c r="L322" i="12" s="1"/>
  <c r="K513" i="12" a="1"/>
  <c r="K513" i="12" s="1"/>
  <c r="N392" i="12" a="1"/>
  <c r="N392" i="12" s="1"/>
  <c r="S455" i="12" a="1"/>
  <c r="S455" i="12" s="1"/>
  <c r="I394" i="12" a="1"/>
  <c r="I394" i="12" s="1"/>
  <c r="S389" i="12" a="1"/>
  <c r="S389" i="12" s="1"/>
  <c r="T399" i="12" a="1"/>
  <c r="T399" i="12" s="1"/>
  <c r="K342" i="12" a="1"/>
  <c r="K342" i="12" s="1"/>
  <c r="P589" i="12" a="1"/>
  <c r="P589" i="12" s="1"/>
  <c r="G569" i="12" a="1"/>
  <c r="G569" i="12" s="1"/>
  <c r="T428" i="12" a="1"/>
  <c r="T428" i="12" s="1"/>
  <c r="L429" i="12" a="1"/>
  <c r="L429" i="12" s="1"/>
  <c r="L460" i="12" a="1"/>
  <c r="L460" i="12" s="1"/>
  <c r="G433" i="12" a="1"/>
  <c r="G433" i="12" s="1"/>
  <c r="J324" i="12" a="1"/>
  <c r="J324" i="12" s="1"/>
  <c r="N411" i="12" a="1"/>
  <c r="N411" i="12" s="1"/>
  <c r="O600" i="12" a="1"/>
  <c r="O600" i="12" s="1"/>
  <c r="K381" i="12" a="1"/>
  <c r="K381" i="12" s="1"/>
  <c r="N590" i="12" a="1"/>
  <c r="N590" i="12" s="1"/>
  <c r="P481" i="12" a="1"/>
  <c r="P481" i="12" s="1"/>
  <c r="M450" i="12" a="1"/>
  <c r="M450" i="12" s="1"/>
  <c r="F485" i="12" a="1"/>
  <c r="F485" i="12" s="1"/>
  <c r="L453" i="12" a="1"/>
  <c r="L453" i="12" s="1"/>
  <c r="K353" i="12" a="1"/>
  <c r="K353" i="12" s="1"/>
  <c r="R389" i="12" a="1"/>
  <c r="R389" i="12" s="1"/>
  <c r="O352" i="12" a="1"/>
  <c r="O352" i="12" s="1"/>
  <c r="G344" i="12" a="1"/>
  <c r="G344" i="12" s="1"/>
  <c r="P572" i="12" a="1"/>
  <c r="P572" i="12" s="1"/>
  <c r="G593" i="12" a="1"/>
  <c r="G593" i="12" s="1"/>
  <c r="N592" i="12" a="1"/>
  <c r="N592" i="12" s="1"/>
  <c r="F577" i="12" a="1"/>
  <c r="F577" i="12" s="1"/>
  <c r="I567" i="12" a="1"/>
  <c r="I567" i="12" s="1"/>
  <c r="K436" i="12" a="1"/>
  <c r="K436" i="12" s="1"/>
  <c r="R486" i="12" a="1"/>
  <c r="R486" i="12" s="1"/>
  <c r="K486" i="12" a="1"/>
  <c r="K486" i="12" s="1"/>
  <c r="K535" i="12" a="1"/>
  <c r="K535" i="12" s="1"/>
  <c r="N409" i="12" a="1"/>
  <c r="N409" i="12" s="1"/>
  <c r="M478" i="12" a="1"/>
  <c r="M478" i="12" s="1"/>
  <c r="R310" i="12" a="1"/>
  <c r="R310" i="12" s="1"/>
  <c r="P322" i="12" a="1"/>
  <c r="P322" i="12" s="1"/>
  <c r="N405" i="12" a="1"/>
  <c r="N405" i="12" s="1"/>
  <c r="K318" i="12" a="1"/>
  <c r="K318" i="12" s="1"/>
  <c r="J381" i="12" a="1"/>
  <c r="J381" i="12" s="1"/>
  <c r="L593" i="12" a="1"/>
  <c r="L593" i="12" s="1"/>
  <c r="K580" i="12" a="1"/>
  <c r="K580" i="12" s="1"/>
  <c r="P554" i="12" a="1"/>
  <c r="P554" i="12" s="1"/>
  <c r="Q488" i="12" a="1"/>
  <c r="Q488" i="12" s="1"/>
  <c r="O488" i="12" a="1"/>
  <c r="O488" i="12" s="1"/>
  <c r="M395" i="12" a="1"/>
  <c r="M395" i="12" s="1"/>
  <c r="G487" i="12" a="1"/>
  <c r="G487" i="12" s="1"/>
  <c r="T560" i="12" a="1"/>
  <c r="T560" i="12" s="1"/>
  <c r="N433" i="12" a="1"/>
  <c r="N433" i="12" s="1"/>
  <c r="R525" i="12" a="1"/>
  <c r="R525" i="12" s="1"/>
  <c r="O406" i="12" a="1"/>
  <c r="O406" i="12" s="1"/>
  <c r="J318" i="12" a="1"/>
  <c r="J318" i="12" s="1"/>
  <c r="K542" i="12" a="1"/>
  <c r="K542" i="12" s="1"/>
  <c r="F517" i="12" a="1"/>
  <c r="F517" i="12" s="1"/>
  <c r="F392" i="12" a="1"/>
  <c r="F392" i="12" s="1"/>
  <c r="G446" i="12" a="1"/>
  <c r="G446" i="12" s="1"/>
  <c r="O417" i="12" a="1"/>
  <c r="O417" i="12" s="1"/>
  <c r="G371" i="12" a="1"/>
  <c r="G371" i="12" s="1"/>
  <c r="P389" i="12" a="1"/>
  <c r="P389" i="12" s="1"/>
  <c r="N322" i="12" a="1"/>
  <c r="N322" i="12" s="1"/>
  <c r="F352" i="12" a="1"/>
  <c r="F352" i="12" s="1"/>
  <c r="U552" i="2" a="1"/>
  <c r="U552" i="2" s="1"/>
  <c r="O381" i="12" a="1"/>
  <c r="O381" i="12" s="1"/>
  <c r="N477" i="12" a="1"/>
  <c r="N477" i="12" s="1"/>
  <c r="M384" i="12" a="1"/>
  <c r="M384" i="12" s="1"/>
  <c r="R384" i="12" a="1"/>
  <c r="R384" i="12" s="1"/>
  <c r="O459" i="12" a="1"/>
  <c r="O459" i="12" s="1"/>
  <c r="I444" i="12" a="1"/>
  <c r="I444" i="12" s="1"/>
  <c r="G524" i="12" a="1"/>
  <c r="G524" i="12" s="1"/>
  <c r="I478" i="12" a="1"/>
  <c r="I478" i="12" s="1"/>
  <c r="T310" i="12" a="1"/>
  <c r="T310" i="12" s="1"/>
  <c r="G389" i="12" a="1"/>
  <c r="G389" i="12" s="1"/>
  <c r="Q340" i="12" a="1"/>
  <c r="Q340" i="12" s="1"/>
  <c r="R411" i="12" a="1"/>
  <c r="R411" i="12" s="1"/>
  <c r="J288" i="12" a="1"/>
  <c r="J288" i="12" s="1"/>
  <c r="G137" i="12" a="1"/>
  <c r="G137" i="12" s="1"/>
  <c r="F249" i="12" a="1"/>
  <c r="F249" i="12" s="1"/>
  <c r="U531" i="2" a="1"/>
  <c r="U531" i="2" s="1"/>
  <c r="O334" i="12" a="1"/>
  <c r="O334" i="12" s="1"/>
  <c r="Q286" i="12" a="1"/>
  <c r="Q286" i="12" s="1"/>
  <c r="T596" i="12" a="1"/>
  <c r="T596" i="12" s="1"/>
  <c r="T261" i="12" a="1"/>
  <c r="T261" i="12" s="1"/>
  <c r="F219" i="12" a="1"/>
  <c r="F219" i="12" s="1"/>
  <c r="U411" i="2" a="1"/>
  <c r="U411" i="2" s="1"/>
  <c r="Q571" i="12" a="1"/>
  <c r="Q571" i="12" s="1"/>
  <c r="T282" i="12" a="1"/>
  <c r="T282" i="12" s="1"/>
  <c r="P498" i="12" a="1"/>
  <c r="P498" i="12" s="1"/>
  <c r="N498" i="12" a="1"/>
  <c r="N498" i="12" s="1"/>
  <c r="M316" i="12" a="1"/>
  <c r="M316" i="12" s="1"/>
  <c r="T302" i="12" a="1"/>
  <c r="T302" i="12" s="1"/>
  <c r="G328" i="12" a="1"/>
  <c r="G328" i="12" s="1"/>
  <c r="G601" i="12" a="1"/>
  <c r="G601" i="12" s="1"/>
  <c r="T270" i="12" a="1"/>
  <c r="T270" i="12" s="1"/>
  <c r="M240" i="12" a="1"/>
  <c r="M240" i="12" s="1"/>
  <c r="N262" i="12" a="1"/>
  <c r="N262" i="12" s="1"/>
  <c r="N334" i="12" a="1"/>
  <c r="N334" i="12" s="1"/>
  <c r="O273" i="12" a="1"/>
  <c r="O273" i="12" s="1"/>
  <c r="S538" i="12" a="1"/>
  <c r="S538" i="12" s="1"/>
  <c r="I448" i="12" a="1"/>
  <c r="I448" i="12" s="1"/>
  <c r="O448" i="12" a="1"/>
  <c r="O448" i="12" s="1"/>
  <c r="Q322" i="12" a="1"/>
  <c r="Q322" i="12" s="1"/>
  <c r="Q362" i="12" a="1"/>
  <c r="Q362" i="12" s="1"/>
  <c r="R364" i="12" a="1"/>
  <c r="R364" i="12" s="1"/>
  <c r="M350" i="12" a="1"/>
  <c r="M350" i="12" s="1"/>
  <c r="N254" i="12" a="1"/>
  <c r="N254" i="12" s="1"/>
  <c r="P380" i="12" a="1"/>
  <c r="P380" i="12" s="1"/>
  <c r="N380" i="12" a="1"/>
  <c r="N380" i="12" s="1"/>
  <c r="M357" i="12" a="1"/>
  <c r="M357" i="12" s="1"/>
  <c r="M385" i="12" a="1"/>
  <c r="M385" i="12" s="1"/>
  <c r="G302" i="12" a="1"/>
  <c r="G302" i="12" s="1"/>
  <c r="Q302" i="12" a="1"/>
  <c r="Q302" i="12" s="1"/>
  <c r="T367" i="12" a="1"/>
  <c r="T367" i="12" s="1"/>
  <c r="R328" i="12" a="1"/>
  <c r="R328" i="12" s="1"/>
  <c r="R343" i="12" a="1"/>
  <c r="R343" i="12" s="1"/>
  <c r="K349" i="12" a="1"/>
  <c r="K349" i="12" s="1"/>
  <c r="K350" i="12" a="1"/>
  <c r="K350" i="12" s="1"/>
  <c r="T605" i="12" a="1"/>
  <c r="T605" i="12" s="1"/>
  <c r="R320" i="12" a="1"/>
  <c r="R320" i="12" s="1"/>
  <c r="T291" i="12" a="1"/>
  <c r="T291" i="12" s="1"/>
  <c r="R291" i="12" a="1"/>
  <c r="R291" i="12" s="1"/>
  <c r="G400" i="12" a="1"/>
  <c r="G400" i="12" s="1"/>
  <c r="AB622" i="12" a="1"/>
  <c r="AB622" i="12" s="1"/>
  <c r="I351" i="12" a="1"/>
  <c r="I351" i="12" s="1"/>
  <c r="F284" i="12" a="1"/>
  <c r="F284" i="12" s="1"/>
  <c r="U584" i="2" a="1"/>
  <c r="U584" i="2" s="1"/>
  <c r="I240" i="12" a="1"/>
  <c r="I240" i="12" s="1"/>
  <c r="T294" i="12" a="1"/>
  <c r="T294" i="12" s="1"/>
  <c r="L605" i="12" a="1"/>
  <c r="L605" i="12" s="1"/>
  <c r="J320" i="12" a="1"/>
  <c r="J320" i="12" s="1"/>
  <c r="G301" i="12" a="1"/>
  <c r="G301" i="12" s="1"/>
  <c r="I413" i="12" a="1"/>
  <c r="I413" i="12" s="1"/>
  <c r="F402" i="12" a="1"/>
  <c r="F402" i="12" s="1"/>
  <c r="U600" i="2" a="1"/>
  <c r="U600" i="2" s="1"/>
  <c r="F521" i="12" a="1"/>
  <c r="F521" i="12" s="1"/>
  <c r="U478" i="2" a="1"/>
  <c r="U478" i="2" s="1"/>
  <c r="N440" i="12" a="1"/>
  <c r="N440" i="12" s="1"/>
  <c r="P391" i="12" a="1"/>
  <c r="P391" i="12" s="1"/>
  <c r="O327" i="12" a="1"/>
  <c r="O327" i="12" s="1"/>
  <c r="S574" i="12" a="1"/>
  <c r="S574" i="12" s="1"/>
  <c r="N591" i="12" a="1"/>
  <c r="N591" i="12" s="1"/>
  <c r="S313" i="12" a="1"/>
  <c r="S313" i="12" s="1"/>
  <c r="G605" i="12" a="1"/>
  <c r="G605" i="12" s="1"/>
  <c r="N252" i="12" a="1"/>
  <c r="N252" i="12" s="1"/>
  <c r="J272" i="12" a="1"/>
  <c r="J272" i="12" s="1"/>
  <c r="R457" i="12" a="1"/>
  <c r="R457" i="12" s="1"/>
  <c r="O359" i="12" a="1"/>
  <c r="O359" i="12" s="1"/>
  <c r="N336" i="12" a="1"/>
  <c r="N336" i="12" s="1"/>
  <c r="X672" i="12" a="1"/>
  <c r="X672" i="12" s="1"/>
  <c r="K319" i="12" a="1"/>
  <c r="K319" i="12" s="1"/>
  <c r="K364" i="12" a="1"/>
  <c r="K364" i="12" s="1"/>
  <c r="S242" i="12" a="1"/>
  <c r="S242" i="12" s="1"/>
  <c r="Z632" i="12" a="1"/>
  <c r="Z632" i="12" s="1"/>
  <c r="L470" i="12" a="1"/>
  <c r="L470" i="12" s="1"/>
  <c r="N390" i="12" a="1"/>
  <c r="N390" i="12" s="1"/>
  <c r="Q390" i="12" a="1"/>
  <c r="Q390" i="12" s="1"/>
  <c r="AB628" i="12" a="1"/>
  <c r="AB628" i="12" s="1"/>
  <c r="F350" i="12" a="1"/>
  <c r="F350" i="12" s="1"/>
  <c r="U494" i="2" a="1"/>
  <c r="U494" i="2" s="1"/>
  <c r="J158" i="12" a="1"/>
  <c r="J158" i="12" s="1"/>
  <c r="J472" i="12" a="1"/>
  <c r="J472" i="12" s="1"/>
  <c r="G420" i="12" a="1"/>
  <c r="G420" i="12" s="1"/>
  <c r="M303" i="12" a="1"/>
  <c r="M303" i="12" s="1"/>
  <c r="G362" i="12" a="1"/>
  <c r="G362" i="12" s="1"/>
  <c r="X660" i="12" a="1"/>
  <c r="X660" i="12" s="1"/>
  <c r="T240" i="12" a="1"/>
  <c r="T240" i="12" s="1"/>
  <c r="G327" i="12" a="1"/>
  <c r="G327" i="12" s="1"/>
  <c r="M347" i="12" a="1"/>
  <c r="M347" i="12" s="1"/>
  <c r="M596" i="12" a="1"/>
  <c r="M596" i="12" s="1"/>
  <c r="J295" i="12" a="1"/>
  <c r="J295" i="12" s="1"/>
  <c r="M468" i="12" a="1"/>
  <c r="M468" i="12" s="1"/>
  <c r="G249" i="12" a="1"/>
  <c r="G249" i="12" s="1"/>
  <c r="O331" i="12" a="1"/>
  <c r="O331" i="12" s="1"/>
  <c r="L596" i="12" a="1"/>
  <c r="L596" i="12" s="1"/>
  <c r="T241" i="12" a="1"/>
  <c r="T241" i="12" s="1"/>
  <c r="F601" i="12" a="1"/>
  <c r="F601" i="12" s="1"/>
  <c r="Q566" i="12" a="1"/>
  <c r="Q566" i="12" s="1"/>
  <c r="S218" i="12" a="1"/>
  <c r="S218" i="12" s="1"/>
  <c r="M268" i="12" a="1"/>
  <c r="M268" i="12" s="1"/>
  <c r="Q185" i="12" a="1"/>
  <c r="Q185" i="12" s="1"/>
  <c r="J181" i="12" a="1"/>
  <c r="J181" i="12" s="1"/>
  <c r="AB652" i="12" a="1"/>
  <c r="AB652" i="12" s="1"/>
  <c r="AQ326" i="2" a="1"/>
  <c r="AQ326" i="2" s="1"/>
  <c r="R549" i="12" a="1"/>
  <c r="R549" i="12" s="1"/>
  <c r="R505" i="12" a="1"/>
  <c r="R505" i="12" s="1"/>
  <c r="Q463" i="12" a="1"/>
  <c r="Q463" i="12" s="1"/>
  <c r="T263" i="12" a="1"/>
  <c r="T263" i="12" s="1"/>
  <c r="J510" i="12" a="1"/>
  <c r="J510" i="12" s="1"/>
  <c r="R245" i="12" a="1"/>
  <c r="R245" i="12" s="1"/>
  <c r="J585" i="12" a="1"/>
  <c r="J585" i="12" s="1"/>
  <c r="J520" i="12" a="1"/>
  <c r="J520" i="12" s="1"/>
  <c r="N172" i="12" a="1"/>
  <c r="N172" i="12" s="1"/>
  <c r="M180" i="12" a="1"/>
  <c r="M180" i="12" s="1"/>
  <c r="K527" i="12" a="1"/>
  <c r="K527" i="12" s="1"/>
  <c r="O465" i="12" a="1"/>
  <c r="O465" i="12" s="1"/>
  <c r="O566" i="12" a="1"/>
  <c r="O566" i="12" s="1"/>
  <c r="O315" i="12" a="1"/>
  <c r="O315" i="12" s="1"/>
  <c r="O241" i="12" a="1"/>
  <c r="O241" i="12" s="1"/>
  <c r="O350" i="12" a="1"/>
  <c r="O350" i="12" s="1"/>
  <c r="O499" i="12" a="1"/>
  <c r="O499" i="12" s="1"/>
  <c r="O245" i="12" a="1"/>
  <c r="O245" i="12" s="1"/>
  <c r="O261" i="12" a="1"/>
  <c r="O261" i="12" s="1"/>
  <c r="O596" i="12" a="1"/>
  <c r="O596" i="12" s="1"/>
  <c r="O571" i="12" a="1"/>
  <c r="O571" i="12" s="1"/>
  <c r="K238" i="12" a="1"/>
  <c r="K238" i="12" s="1"/>
  <c r="N282" i="12" a="1"/>
  <c r="N282" i="12" s="1"/>
  <c r="S483" i="12" a="1"/>
  <c r="S483" i="12" s="1"/>
  <c r="G286" i="12" a="1"/>
  <c r="G286" i="12" s="1"/>
  <c r="M219" i="12" a="1"/>
  <c r="M219" i="12" s="1"/>
  <c r="Z666" i="12" a="1"/>
  <c r="Z666" i="12" s="1"/>
  <c r="M213" i="12" a="1"/>
  <c r="M213" i="12" s="1"/>
  <c r="L208" i="12" a="1"/>
  <c r="L208" i="12" s="1"/>
  <c r="O573" i="12" a="1"/>
  <c r="O573" i="12" s="1"/>
  <c r="S568" i="12" a="1"/>
  <c r="S568" i="12" s="1"/>
  <c r="O527" i="12" a="1"/>
  <c r="O527" i="12" s="1"/>
  <c r="N562" i="12" a="1"/>
  <c r="N562" i="12" s="1"/>
  <c r="J197" i="12" a="1"/>
  <c r="J197" i="12" s="1"/>
  <c r="P435" i="12" a="1"/>
  <c r="P435" i="12" s="1"/>
  <c r="F449" i="12" a="1"/>
  <c r="F449" i="12" s="1"/>
  <c r="U259" i="2" a="1"/>
  <c r="U259" i="2" s="1"/>
  <c r="P171" i="12" a="1"/>
  <c r="P171" i="12" s="1"/>
  <c r="S505" i="12" a="1"/>
  <c r="S505" i="12" s="1"/>
  <c r="O223" i="12" a="1"/>
  <c r="O223" i="12" s="1"/>
  <c r="Q555" i="12" a="1"/>
  <c r="Q555" i="12" s="1"/>
  <c r="Z638" i="12" a="1"/>
  <c r="Z638" i="12" s="1"/>
  <c r="N269" i="12" a="1"/>
  <c r="N269" i="12" s="1"/>
  <c r="R573" i="12" a="1"/>
  <c r="R573" i="12" s="1"/>
  <c r="Q435" i="12" a="1"/>
  <c r="Q435" i="12" s="1"/>
  <c r="X616" i="12" a="1"/>
  <c r="X616" i="12" s="1"/>
  <c r="N435" i="12" a="1"/>
  <c r="N435" i="12" s="1"/>
  <c r="T273" i="12" a="1"/>
  <c r="T273" i="12" s="1"/>
  <c r="L172" i="12" a="1"/>
  <c r="L172" i="12" s="1"/>
  <c r="O120" i="12" a="1"/>
  <c r="O120" i="12" s="1"/>
  <c r="T452" i="12" a="1"/>
  <c r="T452" i="12" s="1"/>
  <c r="AA667" i="12" a="1"/>
  <c r="AA667" i="12" s="1"/>
  <c r="M71" i="12" a="1"/>
  <c r="M71" i="12" s="1"/>
  <c r="G23" i="12" a="1"/>
  <c r="G23" i="12" s="1"/>
  <c r="P4" i="12" a="1"/>
  <c r="P4" i="12" s="1"/>
  <c r="AB633" i="12" a="1"/>
  <c r="AB633" i="12" s="1"/>
  <c r="O79" i="12" a="1"/>
  <c r="O79" i="12" s="1"/>
  <c r="R378" i="12" a="1"/>
  <c r="R378" i="12" s="1"/>
  <c r="N7" i="12" a="1"/>
  <c r="N7" i="12" s="1"/>
  <c r="N15" i="12" a="1"/>
  <c r="N15" i="12" s="1"/>
  <c r="I589" i="12" a="1"/>
  <c r="I589" i="12" s="1"/>
  <c r="Q579" i="12" a="1"/>
  <c r="Q579" i="12" s="1"/>
  <c r="G546" i="12" a="1"/>
  <c r="G546" i="12" s="1"/>
  <c r="Q538" i="12" a="1"/>
  <c r="Q538" i="12" s="1"/>
  <c r="U257" i="3" a="1"/>
  <c r="U257" i="3" s="1"/>
  <c r="M550" i="12" a="1"/>
  <c r="M550" i="12" s="1"/>
  <c r="M595" i="12" a="1"/>
  <c r="M595" i="12" s="1"/>
  <c r="L418" i="12" a="1"/>
  <c r="L418" i="12" s="1"/>
  <c r="I579" i="12" a="1"/>
  <c r="I579" i="12" s="1"/>
  <c r="M491" i="12" a="1"/>
  <c r="M491" i="12" s="1"/>
  <c r="K430" i="12" a="1"/>
  <c r="K430" i="12" s="1"/>
  <c r="F538" i="12" a="1"/>
  <c r="F538" i="12" s="1"/>
  <c r="U474" i="2" a="1"/>
  <c r="U474" i="2" s="1"/>
  <c r="Z109" i="3" a="1"/>
  <c r="Z109" i="3" s="1"/>
  <c r="O542" i="12" a="1"/>
  <c r="O542" i="12" s="1"/>
  <c r="O563" i="12" a="1"/>
  <c r="O563" i="12" s="1"/>
  <c r="J543" i="12" a="1"/>
  <c r="J543" i="12" s="1"/>
  <c r="M507" i="12" a="1"/>
  <c r="M507" i="12" s="1"/>
  <c r="Q98" i="12" a="1"/>
  <c r="Q98" i="12" s="1"/>
  <c r="G589" i="12" a="1"/>
  <c r="G589" i="12" s="1"/>
  <c r="N544" i="12" a="1"/>
  <c r="N544" i="12" s="1"/>
  <c r="Q553" i="12" a="1"/>
  <c r="Q553" i="12" s="1"/>
  <c r="K473" i="12" a="1"/>
  <c r="K473" i="12" s="1"/>
  <c r="P434" i="12" a="1"/>
  <c r="P434" i="12" s="1"/>
  <c r="X112" i="3" a="1"/>
  <c r="X112" i="3" s="1"/>
  <c r="M542" i="12" a="1"/>
  <c r="M542" i="12" s="1"/>
  <c r="O518" i="12" a="1"/>
  <c r="O518" i="12" s="1"/>
  <c r="R467" i="12" a="1"/>
  <c r="R467" i="12" s="1"/>
  <c r="O579" i="12" a="1"/>
  <c r="O579" i="12" s="1"/>
  <c r="J548" i="12" a="1"/>
  <c r="J548" i="12" s="1"/>
  <c r="L546" i="12" a="1"/>
  <c r="L546" i="12" s="1"/>
  <c r="L529" i="12" a="1"/>
  <c r="L529" i="12" s="1"/>
  <c r="S456" i="12" a="1"/>
  <c r="S456" i="12" s="1"/>
  <c r="J538" i="12" a="1"/>
  <c r="J538" i="12" s="1"/>
  <c r="S590" i="12" a="1"/>
  <c r="S590" i="12" s="1"/>
  <c r="I595" i="12" a="1"/>
  <c r="I595" i="12" s="1"/>
  <c r="L554" i="12" a="1"/>
  <c r="L554" i="12" s="1"/>
  <c r="S481" i="12" a="1"/>
  <c r="S481" i="12" s="1"/>
  <c r="O436" i="12" a="1"/>
  <c r="O436" i="12" s="1"/>
  <c r="I538" i="12" a="1"/>
  <c r="I538" i="12" s="1"/>
  <c r="R590" i="12" a="1"/>
  <c r="R590" i="12" s="1"/>
  <c r="P550" i="12" a="1"/>
  <c r="P550" i="12" s="1"/>
  <c r="P467" i="12" a="1"/>
  <c r="P467" i="12" s="1"/>
  <c r="M438" i="12" a="1"/>
  <c r="M438" i="12" s="1"/>
  <c r="T480" i="12" a="1"/>
  <c r="T480" i="12" s="1"/>
  <c r="G599" i="12" a="1"/>
  <c r="G599" i="12" s="1"/>
  <c r="Q570" i="12" a="1"/>
  <c r="Q570" i="12" s="1"/>
  <c r="S544" i="12" a="1"/>
  <c r="S544" i="12" s="1"/>
  <c r="L579" i="12" a="1"/>
  <c r="L579" i="12" s="1"/>
  <c r="K398" i="12" a="1"/>
  <c r="K398" i="12" s="1"/>
  <c r="M98" i="12" a="1"/>
  <c r="M98" i="12" s="1"/>
  <c r="M578" i="12" a="1"/>
  <c r="M578" i="12" s="1"/>
  <c r="K579" i="12" a="1"/>
  <c r="K579" i="12" s="1"/>
  <c r="T438" i="12" a="1"/>
  <c r="T438" i="12" s="1"/>
  <c r="P577" i="12" a="1"/>
  <c r="P577" i="12" s="1"/>
  <c r="O392" i="12" a="1"/>
  <c r="O392" i="12" s="1"/>
  <c r="L578" i="12" a="1"/>
  <c r="L578" i="12" s="1"/>
  <c r="S518" i="12" a="1"/>
  <c r="S518" i="12" s="1"/>
  <c r="J398" i="12" a="1"/>
  <c r="J398" i="12" s="1"/>
  <c r="G489" i="12" a="1"/>
  <c r="G489" i="12" s="1"/>
  <c r="K477" i="12" a="1"/>
  <c r="K477" i="12" s="1"/>
  <c r="G430" i="12" a="1"/>
  <c r="G430" i="12" s="1"/>
  <c r="O482" i="12" a="1"/>
  <c r="O482" i="12" s="1"/>
  <c r="K445" i="12" a="1"/>
  <c r="K445" i="12" s="1"/>
  <c r="L512" i="12" a="1"/>
  <c r="L512" i="12" s="1"/>
  <c r="N471" i="12" a="1"/>
  <c r="N471" i="12" s="1"/>
  <c r="S353" i="12" a="1"/>
  <c r="S353" i="12" s="1"/>
  <c r="N443" i="12" a="1"/>
  <c r="N443" i="12" s="1"/>
  <c r="M322" i="12" a="1"/>
  <c r="M322" i="12" s="1"/>
  <c r="S303" i="12" a="1"/>
  <c r="S303" i="12" s="1"/>
  <c r="T600" i="12" a="1"/>
  <c r="T600" i="12" s="1"/>
  <c r="M338" i="12" a="1"/>
  <c r="M338" i="12" s="1"/>
  <c r="Q284" i="12" a="1"/>
  <c r="Q284" i="12" s="1"/>
  <c r="J327" i="12" a="1"/>
  <c r="J327" i="12" s="1"/>
  <c r="S447" i="12" a="1"/>
  <c r="S447" i="12" s="1"/>
  <c r="O410" i="12" a="1"/>
  <c r="O410" i="12" s="1"/>
  <c r="T410" i="12" a="1"/>
  <c r="T410" i="12" s="1"/>
  <c r="O472" i="12" a="1"/>
  <c r="O472" i="12" s="1"/>
  <c r="T472" i="12" a="1"/>
  <c r="T472" i="12" s="1"/>
  <c r="M278" i="12" a="1"/>
  <c r="M278" i="12" s="1"/>
  <c r="Q360" i="12" a="1"/>
  <c r="Q360" i="12" s="1"/>
  <c r="N339" i="12" a="1"/>
  <c r="N339" i="12" s="1"/>
  <c r="I284" i="12" a="1"/>
  <c r="I284" i="12" s="1"/>
  <c r="M375" i="12" a="1"/>
  <c r="M375" i="12" s="1"/>
  <c r="R464" i="12" a="1"/>
  <c r="R464" i="12" s="1"/>
  <c r="P444" i="12" a="1"/>
  <c r="P444" i="12" s="1"/>
  <c r="G538" i="12" a="1"/>
  <c r="G538" i="12" s="1"/>
  <c r="J552" i="12" a="1"/>
  <c r="J552" i="12" s="1"/>
  <c r="R478" i="12" a="1"/>
  <c r="R478" i="12" s="1"/>
  <c r="L399" i="12" a="1"/>
  <c r="L399" i="12" s="1"/>
  <c r="K550" i="12" a="1"/>
  <c r="K550" i="12" s="1"/>
  <c r="P507" i="12" a="1"/>
  <c r="P507" i="12" s="1"/>
  <c r="K375" i="12" a="1"/>
  <c r="K375" i="12" s="1"/>
  <c r="N446" i="12" a="1"/>
  <c r="N446" i="12" s="1"/>
  <c r="J525" i="12" a="1"/>
  <c r="J525" i="12" s="1"/>
  <c r="S396" i="12" a="1"/>
  <c r="S396" i="12" s="1"/>
  <c r="T394" i="12" a="1"/>
  <c r="T394" i="12" s="1"/>
  <c r="L389" i="12" a="1"/>
  <c r="L389" i="12" s="1"/>
  <c r="J399" i="12" a="1"/>
  <c r="J399" i="12" s="1"/>
  <c r="I342" i="12" a="1"/>
  <c r="I342" i="12" s="1"/>
  <c r="I405" i="12" a="1"/>
  <c r="I405" i="12" s="1"/>
  <c r="F548" i="12" a="1"/>
  <c r="F548" i="12" s="1"/>
  <c r="N569" i="12" a="1"/>
  <c r="N569" i="12" s="1"/>
  <c r="F428" i="12" a="1"/>
  <c r="F428" i="12" s="1"/>
  <c r="U650" i="2" a="1"/>
  <c r="U650" i="2" s="1"/>
  <c r="G485" i="12" a="1"/>
  <c r="G485" i="12" s="1"/>
  <c r="G429" i="12" a="1"/>
  <c r="G429" i="12" s="1"/>
  <c r="I446" i="12" a="1"/>
  <c r="I446" i="12" s="1"/>
  <c r="T535" i="12" a="1"/>
  <c r="T535" i="12" s="1"/>
  <c r="O409" i="12" a="1"/>
  <c r="O409" i="12" s="1"/>
  <c r="F411" i="12" a="1"/>
  <c r="F411" i="12" s="1"/>
  <c r="U495" i="2" a="1"/>
  <c r="U495" i="2" s="1"/>
  <c r="L373" i="12" a="1"/>
  <c r="L373" i="12" s="1"/>
  <c r="S418" i="12" a="1"/>
  <c r="S418" i="12" s="1"/>
  <c r="T450" i="12" a="1"/>
  <c r="T450" i="12" s="1"/>
  <c r="L434" i="12" a="1"/>
  <c r="L434" i="12" s="1"/>
  <c r="G453" i="12" a="1"/>
  <c r="G453" i="12" s="1"/>
  <c r="R344" i="12" a="1"/>
  <c r="R344" i="12" s="1"/>
  <c r="J572" i="12" a="1"/>
  <c r="J572" i="12" s="1"/>
  <c r="T242" i="12" a="1"/>
  <c r="T242" i="12" s="1"/>
  <c r="T545" i="12" a="1"/>
  <c r="T545" i="12" s="1"/>
  <c r="S473" i="12" a="1"/>
  <c r="S473" i="12" s="1"/>
  <c r="P567" i="12" a="1"/>
  <c r="P567" i="12" s="1"/>
  <c r="N489" i="12" a="1"/>
  <c r="N489" i="12" s="1"/>
  <c r="L482" i="12" a="1"/>
  <c r="L482" i="12" s="1"/>
  <c r="I523" i="12" a="1"/>
  <c r="I523" i="12" s="1"/>
  <c r="M486" i="12" a="1"/>
  <c r="M486" i="12" s="1"/>
  <c r="F535" i="12" a="1"/>
  <c r="F535" i="12" s="1"/>
  <c r="U597" i="2" a="1"/>
  <c r="U597" i="2" s="1"/>
  <c r="T409" i="12" a="1"/>
  <c r="T409" i="12" s="1"/>
  <c r="N478" i="12" a="1"/>
  <c r="N478" i="12" s="1"/>
  <c r="M310" i="12" a="1"/>
  <c r="M310" i="12" s="1"/>
  <c r="L340" i="12" a="1"/>
  <c r="L340" i="12" s="1"/>
  <c r="F405" i="12" a="1"/>
  <c r="F405" i="12" s="1"/>
  <c r="U573" i="2" a="1"/>
  <c r="U573" i="2" s="1"/>
  <c r="L318" i="12" a="1"/>
  <c r="L318" i="12" s="1"/>
  <c r="F381" i="12" a="1"/>
  <c r="F381" i="12" s="1"/>
  <c r="U413" i="2" a="1"/>
  <c r="U413" i="2" s="1"/>
  <c r="F593" i="12" a="1"/>
  <c r="F593" i="12" s="1"/>
  <c r="U309" i="2" a="1"/>
  <c r="U309" i="2" s="1"/>
  <c r="G542" i="12" a="1"/>
  <c r="G542" i="12" s="1"/>
  <c r="R488" i="12" a="1"/>
  <c r="R488" i="12" s="1"/>
  <c r="I488" i="12" a="1"/>
  <c r="I488" i="12" s="1"/>
  <c r="S395" i="12" a="1"/>
  <c r="S395" i="12" s="1"/>
  <c r="K447" i="12" a="1"/>
  <c r="K447" i="12" s="1"/>
  <c r="R487" i="12" a="1"/>
  <c r="R487" i="12" s="1"/>
  <c r="I560" i="12" a="1"/>
  <c r="I560" i="12" s="1"/>
  <c r="T433" i="12" a="1"/>
  <c r="T433" i="12" s="1"/>
  <c r="M532" i="12" a="1"/>
  <c r="M532" i="12" s="1"/>
  <c r="I341" i="12" a="1"/>
  <c r="I341" i="12" s="1"/>
  <c r="AQ391" i="2" a="1"/>
  <c r="AQ391" i="2" s="1"/>
  <c r="AR391" i="2" a="1"/>
  <c r="AR391" i="2" s="1"/>
  <c r="I326" i="12" a="1"/>
  <c r="I326" i="12" s="1"/>
  <c r="S441" i="12" a="1"/>
  <c r="S441" i="12" s="1"/>
  <c r="N430" i="12" a="1"/>
  <c r="N430" i="12" s="1"/>
  <c r="R446" i="12" a="1"/>
  <c r="R446" i="12" s="1"/>
  <c r="F471" i="12" a="1"/>
  <c r="F471" i="12" s="1"/>
  <c r="U502" i="2" a="1"/>
  <c r="U502" i="2" s="1"/>
  <c r="G525" i="12" a="1"/>
  <c r="G525" i="12" s="1"/>
  <c r="P417" i="12" a="1"/>
  <c r="P417" i="12" s="1"/>
  <c r="R371" i="12" a="1"/>
  <c r="R371" i="12" s="1"/>
  <c r="O461" i="12" a="1"/>
  <c r="O461" i="12" s="1"/>
  <c r="P394" i="12" a="1"/>
  <c r="P394" i="12" s="1"/>
  <c r="L506" i="12" a="1"/>
  <c r="L506" i="12" s="1"/>
  <c r="L386" i="12" a="1"/>
  <c r="L386" i="12" s="1"/>
  <c r="Q137" i="12" a="1"/>
  <c r="Q137" i="12" s="1"/>
  <c r="T543" i="12" a="1"/>
  <c r="T543" i="12" s="1"/>
  <c r="T384" i="12" a="1"/>
  <c r="T384" i="12" s="1"/>
  <c r="J546" i="12" a="1"/>
  <c r="J546" i="12" s="1"/>
  <c r="I459" i="12" a="1"/>
  <c r="I459" i="12" s="1"/>
  <c r="R524" i="12" a="1"/>
  <c r="R524" i="12" s="1"/>
  <c r="I437" i="12" a="1"/>
  <c r="I437" i="12" s="1"/>
  <c r="I310" i="12" a="1"/>
  <c r="I310" i="12" s="1"/>
  <c r="J340" i="12" a="1"/>
  <c r="J340" i="12" s="1"/>
  <c r="S411" i="12" a="1"/>
  <c r="S411" i="12" s="1"/>
  <c r="R386" i="12" a="1"/>
  <c r="R386" i="12" s="1"/>
  <c r="G342" i="12" a="1"/>
  <c r="G342" i="12" s="1"/>
  <c r="G288" i="12" a="1"/>
  <c r="G288" i="12" s="1"/>
  <c r="F303" i="12" a="1"/>
  <c r="F303" i="12" s="1"/>
  <c r="P351" i="12" a="1"/>
  <c r="P351" i="12" s="1"/>
  <c r="S362" i="12" a="1"/>
  <c r="S362" i="12" s="1"/>
  <c r="I247" i="12" a="1"/>
  <c r="I247" i="12" s="1"/>
  <c r="T198" i="12" a="1"/>
  <c r="T198" i="12" s="1"/>
  <c r="F596" i="12" a="1"/>
  <c r="F596" i="12" s="1"/>
  <c r="U276" i="2" a="1"/>
  <c r="U276" i="2" s="1"/>
  <c r="F261" i="12" a="1"/>
  <c r="F261" i="12" s="1"/>
  <c r="U406" i="2" a="1"/>
  <c r="U406" i="2" s="1"/>
  <c r="Q219" i="12" a="1"/>
  <c r="Q219" i="12" s="1"/>
  <c r="O295" i="12" a="1"/>
  <c r="O295" i="12" s="1"/>
  <c r="I498" i="12" a="1"/>
  <c r="I498" i="12" s="1"/>
  <c r="T498" i="12" a="1"/>
  <c r="T498" i="12" s="1"/>
  <c r="T316" i="12" a="1"/>
  <c r="T316" i="12" s="1"/>
  <c r="T249" i="12" a="1"/>
  <c r="T249" i="12" s="1"/>
  <c r="I601" i="12" a="1"/>
  <c r="I601" i="12" s="1"/>
  <c r="R601" i="12" a="1"/>
  <c r="R601" i="12" s="1"/>
  <c r="I270" i="12" a="1"/>
  <c r="I270" i="12" s="1"/>
  <c r="N576" i="12" a="1"/>
  <c r="N576" i="12" s="1"/>
  <c r="P448" i="12" a="1"/>
  <c r="P448" i="12" s="1"/>
  <c r="K448" i="12" a="1"/>
  <c r="K448" i="12" s="1"/>
  <c r="P362" i="12" a="1"/>
  <c r="P362" i="12" s="1"/>
  <c r="P270" i="12" a="1"/>
  <c r="P270" i="12" s="1"/>
  <c r="S350" i="12" a="1"/>
  <c r="S350" i="12" s="1"/>
  <c r="AA626" i="12" a="1"/>
  <c r="AA626" i="12" s="1"/>
  <c r="AR297" i="2" a="1"/>
  <c r="AR297" i="2" s="1"/>
  <c r="AQ297" i="2" a="1"/>
  <c r="AQ297" i="2" s="1"/>
  <c r="M433" i="12" a="1"/>
  <c r="M433" i="12" s="1"/>
  <c r="F380" i="12" a="1"/>
  <c r="F380" i="12" s="1"/>
  <c r="U563" i="2" a="1"/>
  <c r="U563" i="2" s="1"/>
  <c r="T380" i="12" a="1"/>
  <c r="T380" i="12" s="1"/>
  <c r="F357" i="12" a="1"/>
  <c r="F357" i="12" s="1"/>
  <c r="U506" i="2" a="1"/>
  <c r="U506" i="2" s="1"/>
  <c r="M302" i="12" a="1"/>
  <c r="M302" i="12" s="1"/>
  <c r="N249" i="12" a="1"/>
  <c r="N249" i="12" s="1"/>
  <c r="N367" i="12" a="1"/>
  <c r="N367" i="12" s="1"/>
  <c r="AA620" i="12" a="1"/>
  <c r="AA620" i="12" s="1"/>
  <c r="F328" i="12" a="1"/>
  <c r="F328" i="12" s="1"/>
  <c r="U513" i="2" a="1"/>
  <c r="U513" i="2" s="1"/>
  <c r="F343" i="12" a="1"/>
  <c r="F343" i="12" s="1"/>
  <c r="U543" i="2" a="1"/>
  <c r="U543" i="2" s="1"/>
  <c r="S349" i="12" a="1"/>
  <c r="S349" i="12" s="1"/>
  <c r="N575" i="12" a="1"/>
  <c r="N575" i="12" s="1"/>
  <c r="K320" i="12" a="1"/>
  <c r="K320" i="12" s="1"/>
  <c r="J291" i="12" a="1"/>
  <c r="J291" i="12" s="1"/>
  <c r="S291" i="12" a="1"/>
  <c r="S291" i="12" s="1"/>
  <c r="L400" i="12" a="1"/>
  <c r="L400" i="12" s="1"/>
  <c r="R400" i="12" a="1"/>
  <c r="R400" i="12" s="1"/>
  <c r="O351" i="12" a="1"/>
  <c r="O351" i="12" s="1"/>
  <c r="R284" i="12" a="1"/>
  <c r="R284" i="12" s="1"/>
  <c r="Q327" i="12" a="1"/>
  <c r="Q327" i="12" s="1"/>
  <c r="J294" i="12" a="1"/>
  <c r="J294" i="12" s="1"/>
  <c r="F320" i="12" a="1"/>
  <c r="F320" i="12" s="1"/>
  <c r="U537" i="2" a="1"/>
  <c r="U537" i="2" s="1"/>
  <c r="J413" i="12" a="1"/>
  <c r="J413" i="12" s="1"/>
  <c r="O402" i="12" a="1"/>
  <c r="O402" i="12" s="1"/>
  <c r="L402" i="12" a="1"/>
  <c r="L402" i="12" s="1"/>
  <c r="O443" i="12" a="1"/>
  <c r="O443" i="12" s="1"/>
  <c r="T521" i="12" a="1"/>
  <c r="T521" i="12" s="1"/>
  <c r="I440" i="12" a="1"/>
  <c r="I440" i="12" s="1"/>
  <c r="O440" i="12" a="1"/>
  <c r="O440" i="12" s="1"/>
  <c r="M318" i="12" a="1"/>
  <c r="M318" i="12" s="1"/>
  <c r="X610" i="12" a="1"/>
  <c r="X610" i="12" s="1"/>
  <c r="I574" i="12" a="1"/>
  <c r="I574" i="12" s="1"/>
  <c r="T591" i="12" a="1"/>
  <c r="T591" i="12" s="1"/>
  <c r="N313" i="12" a="1"/>
  <c r="N313" i="12" s="1"/>
  <c r="R605" i="12" a="1"/>
  <c r="R605" i="12" s="1"/>
  <c r="T252" i="12" a="1"/>
  <c r="T252" i="12" s="1"/>
  <c r="I272" i="12" a="1"/>
  <c r="I272" i="12" s="1"/>
  <c r="G457" i="12" a="1"/>
  <c r="G457" i="12" s="1"/>
  <c r="U248" i="2" a="1"/>
  <c r="U248" i="2" s="1"/>
  <c r="P487" i="12" a="1"/>
  <c r="P487" i="12" s="1"/>
  <c r="I443" i="12" a="1"/>
  <c r="I443" i="12" s="1"/>
  <c r="I336" i="12" a="1"/>
  <c r="I336" i="12" s="1"/>
  <c r="O336" i="12" a="1"/>
  <c r="O336" i="12" s="1"/>
  <c r="G319" i="12" a="1"/>
  <c r="G319" i="12" s="1"/>
  <c r="Z660" i="12" a="1"/>
  <c r="Z660" i="12" s="1"/>
  <c r="J242" i="12" a="1"/>
  <c r="J242" i="12" s="1"/>
  <c r="I320" i="12" a="1"/>
  <c r="I320" i="12" s="1"/>
  <c r="K254" i="12" a="1"/>
  <c r="K254" i="12" s="1"/>
  <c r="P241" i="12" a="1"/>
  <c r="P241" i="12" s="1"/>
  <c r="P470" i="12" a="1"/>
  <c r="P470" i="12" s="1"/>
  <c r="G470" i="12" a="1"/>
  <c r="G470" i="12" s="1"/>
  <c r="O390" i="12" a="1"/>
  <c r="O390" i="12" s="1"/>
  <c r="G390" i="12" a="1"/>
  <c r="G390" i="12" s="1"/>
  <c r="F385" i="12" a="1"/>
  <c r="F385" i="12" s="1"/>
  <c r="U409" i="2" a="1"/>
  <c r="U409" i="2" s="1"/>
  <c r="AQ365" i="2" a="1"/>
  <c r="AQ365" i="2" s="1"/>
  <c r="R247" i="12" a="1"/>
  <c r="R247" i="12" s="1"/>
  <c r="J269" i="12" a="1"/>
  <c r="J269" i="12" s="1"/>
  <c r="G437" i="12" a="1"/>
  <c r="G437" i="12" s="1"/>
  <c r="R420" i="12" a="1"/>
  <c r="R420" i="12" s="1"/>
  <c r="Q318" i="12" a="1"/>
  <c r="Q318" i="12" s="1"/>
  <c r="I367" i="12" a="1"/>
  <c r="I367" i="12" s="1"/>
  <c r="AA660" i="12" a="1"/>
  <c r="AA660" i="12" s="1"/>
  <c r="J240" i="12" a="1"/>
  <c r="J240" i="12" s="1"/>
  <c r="P576" i="12" a="1"/>
  <c r="P576" i="12" s="1"/>
  <c r="K247" i="12" a="1"/>
  <c r="K247" i="12" s="1"/>
  <c r="K594" i="12" a="1"/>
  <c r="K594" i="12" s="1"/>
  <c r="X629" i="12" a="1"/>
  <c r="X629" i="12" s="1"/>
  <c r="AL186" i="2" a="1"/>
  <c r="AL186" i="2" s="1"/>
  <c r="F525" i="12" a="1"/>
  <c r="F525" i="12" s="1"/>
  <c r="N468" i="12" a="1"/>
  <c r="N468" i="12" s="1"/>
  <c r="U640" i="2" a="1"/>
  <c r="U640" i="2" s="1"/>
  <c r="P331" i="12" a="1"/>
  <c r="P331" i="12" s="1"/>
  <c r="I328" i="12" a="1"/>
  <c r="I328" i="12" s="1"/>
  <c r="X632" i="12" a="1"/>
  <c r="X632" i="12" s="1"/>
  <c r="N241" i="12" a="1"/>
  <c r="N241" i="12" s="1"/>
  <c r="J290" i="12" a="1"/>
  <c r="J290" i="12" s="1"/>
  <c r="F594" i="12" a="1"/>
  <c r="F594" i="12" s="1"/>
  <c r="T237" i="12" a="1"/>
  <c r="T237" i="12" s="1"/>
  <c r="N566" i="12" a="1"/>
  <c r="N566" i="12" s="1"/>
  <c r="I218" i="12" a="1"/>
  <c r="I218" i="12" s="1"/>
  <c r="S268" i="12" a="1"/>
  <c r="S268" i="12" s="1"/>
  <c r="L185" i="12" a="1"/>
  <c r="L185" i="12" s="1"/>
  <c r="F181" i="12" a="1"/>
  <c r="F181" i="12" s="1"/>
  <c r="U429" i="2" a="1"/>
  <c r="U429" i="2" s="1"/>
  <c r="L568" i="12" a="1"/>
  <c r="L568" i="12" s="1"/>
  <c r="L549" i="12" a="1"/>
  <c r="L549" i="12" s="1"/>
  <c r="L265" i="12" a="1"/>
  <c r="L265" i="12" s="1"/>
  <c r="L287" i="12" a="1"/>
  <c r="L287" i="12" s="1"/>
  <c r="M295" i="12" a="1"/>
  <c r="M295" i="12" s="1"/>
  <c r="F505" i="12" a="1"/>
  <c r="F505" i="12" s="1"/>
  <c r="U308" i="2" a="1"/>
  <c r="U308" i="2" s="1"/>
  <c r="L248" i="12" a="1"/>
  <c r="L248" i="12" s="1"/>
  <c r="P263" i="12" a="1"/>
  <c r="P263" i="12" s="1"/>
  <c r="O239" i="12" a="1"/>
  <c r="O239" i="12" s="1"/>
  <c r="O83" i="12" a="1"/>
  <c r="O83" i="12" s="1"/>
  <c r="I245" i="12" a="1"/>
  <c r="I245" i="12" s="1"/>
  <c r="I520" i="12" a="1"/>
  <c r="I520" i="12" s="1"/>
  <c r="S172" i="12" a="1"/>
  <c r="S172" i="12" s="1"/>
  <c r="R180" i="12" a="1"/>
  <c r="R180" i="12" s="1"/>
  <c r="R568" i="12" a="1"/>
  <c r="R568" i="12" s="1"/>
  <c r="R197" i="12" a="1"/>
  <c r="R197" i="12" s="1"/>
  <c r="T465" i="12" a="1"/>
  <c r="T465" i="12" s="1"/>
  <c r="T313" i="12" a="1"/>
  <c r="T313" i="12" s="1"/>
  <c r="T262" i="12" a="1"/>
  <c r="T262" i="12" s="1"/>
  <c r="T350" i="12" a="1"/>
  <c r="T350" i="12" s="1"/>
  <c r="T315" i="12" a="1"/>
  <c r="T315" i="12" s="1"/>
  <c r="T503" i="12" a="1"/>
  <c r="T503" i="12" s="1"/>
  <c r="T457" i="12" a="1"/>
  <c r="T457" i="12" s="1"/>
  <c r="T172" i="12" a="1"/>
  <c r="T172" i="12" s="1"/>
  <c r="T214" i="12" a="1"/>
  <c r="T214" i="12" s="1"/>
  <c r="I412" i="12" a="1"/>
  <c r="I412" i="12" s="1"/>
  <c r="G219" i="12" a="1"/>
  <c r="G219" i="12" s="1"/>
  <c r="O281" i="12" a="1"/>
  <c r="O281" i="12" s="1"/>
  <c r="Q238" i="12" a="1"/>
  <c r="Q238" i="12" s="1"/>
  <c r="L295" i="12" a="1"/>
  <c r="L295" i="12" s="1"/>
  <c r="O483" i="12" a="1"/>
  <c r="O483" i="12" s="1"/>
  <c r="I237" i="12" a="1"/>
  <c r="I237" i="12" s="1"/>
  <c r="S537" i="12" a="1"/>
  <c r="S537" i="12" s="1"/>
  <c r="N574" i="12" a="1"/>
  <c r="N574" i="12" s="1"/>
  <c r="K298" i="12" a="1"/>
  <c r="K298" i="12" s="1"/>
  <c r="F536" i="12" a="1"/>
  <c r="F536" i="12" s="1"/>
  <c r="U242" i="2" a="1"/>
  <c r="U242" i="2" s="1"/>
  <c r="P286" i="12" a="1"/>
  <c r="P286" i="12" s="1"/>
  <c r="T287" i="12" a="1"/>
  <c r="T287" i="12" s="1"/>
  <c r="Q323" i="12" a="1"/>
  <c r="Q323" i="12" s="1"/>
  <c r="AA666" i="12" a="1"/>
  <c r="AA666" i="12" s="1"/>
  <c r="J263" i="12" a="1"/>
  <c r="J263" i="12" s="1"/>
  <c r="R208" i="12" a="1"/>
  <c r="R208" i="12" s="1"/>
  <c r="Q228" i="12" a="1"/>
  <c r="Q228" i="12" s="1"/>
  <c r="T527" i="12" a="1"/>
  <c r="T527" i="12" s="1"/>
  <c r="S562" i="12" a="1"/>
  <c r="S562" i="12" s="1"/>
  <c r="O197" i="12" a="1"/>
  <c r="O197" i="12" s="1"/>
  <c r="L349" i="12" a="1"/>
  <c r="L349" i="12" s="1"/>
  <c r="T597" i="12" a="1"/>
  <c r="T597" i="12" s="1"/>
  <c r="P561" i="12" a="1"/>
  <c r="P561" i="12" s="1"/>
  <c r="M239" i="12" a="1"/>
  <c r="M239" i="12" s="1"/>
  <c r="S83" i="12" a="1"/>
  <c r="S83" i="12" s="1"/>
  <c r="M364" i="12" a="1"/>
  <c r="M364" i="12" s="1"/>
  <c r="O557" i="12" a="1"/>
  <c r="O557" i="12" s="1"/>
  <c r="R258" i="12" a="1"/>
  <c r="R258" i="12" s="1"/>
  <c r="J233" i="12" a="1"/>
  <c r="J233" i="12" s="1"/>
  <c r="P555" i="12" a="1"/>
  <c r="P555" i="12" s="1"/>
  <c r="AB620" i="12" a="1"/>
  <c r="AB620" i="12" s="1"/>
  <c r="S463" i="12" a="1"/>
  <c r="S463" i="12" s="1"/>
  <c r="J268" i="12" a="1"/>
  <c r="J268" i="12" s="1"/>
  <c r="O449" i="12" a="1"/>
  <c r="O449" i="12" s="1"/>
  <c r="N216" i="12" a="1"/>
  <c r="N216" i="12" s="1"/>
  <c r="M309" i="12" a="1"/>
  <c r="M309" i="12" s="1"/>
  <c r="J112" i="12" a="1"/>
  <c r="J112" i="12" s="1"/>
  <c r="K216" i="12" a="1"/>
  <c r="K216" i="12" s="1"/>
  <c r="O285" i="12" a="1"/>
  <c r="O285" i="12" s="1"/>
  <c r="R314" i="12" a="1"/>
  <c r="R314" i="12" s="1"/>
  <c r="G109" i="12" a="1"/>
  <c r="G109" i="12" s="1"/>
  <c r="Q460" i="12" a="1"/>
  <c r="Q460" i="12" s="1"/>
  <c r="T513" i="12" a="1"/>
  <c r="T513" i="12" s="1"/>
  <c r="Q424" i="12" a="1"/>
  <c r="Q424" i="12" s="1"/>
  <c r="P405" i="3" a="1"/>
  <c r="P405" i="3" s="1"/>
  <c r="Q405" i="3" a="1"/>
  <c r="Q405" i="3" s="1"/>
  <c r="Z399" i="3" a="1"/>
  <c r="Z399" i="3" s="1"/>
  <c r="N546" i="12" a="1"/>
  <c r="N546" i="12" s="1"/>
  <c r="F587" i="12" a="1"/>
  <c r="F587" i="12" s="1"/>
  <c r="U621" i="2" a="1"/>
  <c r="U621" i="2" s="1"/>
  <c r="M548" i="12" a="1"/>
  <c r="M548" i="12" s="1"/>
  <c r="Q518" i="12" a="1"/>
  <c r="Q518" i="12" s="1"/>
  <c r="S553" i="12" a="1"/>
  <c r="S553" i="12" s="1"/>
  <c r="N577" i="12" a="1"/>
  <c r="N577" i="12" s="1"/>
  <c r="T550" i="12" a="1"/>
  <c r="T550" i="12" s="1"/>
  <c r="T595" i="12" a="1"/>
  <c r="T595" i="12" s="1"/>
  <c r="O544" i="12" a="1"/>
  <c r="O544" i="12" s="1"/>
  <c r="P438" i="12" a="1"/>
  <c r="P438" i="12" s="1"/>
  <c r="I98" i="12" a="1"/>
  <c r="I98" i="12" s="1"/>
  <c r="L570" i="12" a="1"/>
  <c r="L570" i="12" s="1"/>
  <c r="S467" i="12" a="1"/>
  <c r="S467" i="12" s="1"/>
  <c r="I553" i="12" a="1"/>
  <c r="I553" i="12" s="1"/>
  <c r="Q418" i="12" a="1"/>
  <c r="Q418" i="12" s="1"/>
  <c r="T546" i="12" a="1"/>
  <c r="T546" i="12" s="1"/>
  <c r="P538" i="12" a="1"/>
  <c r="P538" i="12" s="1"/>
  <c r="F518" i="12" a="1"/>
  <c r="F518" i="12" s="1"/>
  <c r="U556" i="2" a="1"/>
  <c r="U556" i="2" s="1"/>
  <c r="J467" i="12" a="1"/>
  <c r="J467" i="12" s="1"/>
  <c r="F579" i="12" a="1"/>
  <c r="F579" i="12" s="1"/>
  <c r="U594" i="2" a="1"/>
  <c r="U594" i="2" s="1"/>
  <c r="L456" i="12" a="1"/>
  <c r="L456" i="12" s="1"/>
  <c r="J460" i="12" a="1"/>
  <c r="J460" i="12" s="1"/>
  <c r="G578" i="12" a="1"/>
  <c r="G578" i="12" s="1"/>
  <c r="N518" i="12" a="1"/>
  <c r="N518" i="12" s="1"/>
  <c r="Q513" i="12" a="1"/>
  <c r="Q513" i="12" s="1"/>
  <c r="K481" i="12" a="1"/>
  <c r="K481" i="12" s="1"/>
  <c r="Q473" i="12" a="1"/>
  <c r="Q473" i="12" s="1"/>
  <c r="O434" i="12" a="1"/>
  <c r="O434" i="12" s="1"/>
  <c r="I436" i="12" a="1"/>
  <c r="I436" i="12" s="1"/>
  <c r="O98" i="12" a="1"/>
  <c r="O98" i="12" s="1"/>
  <c r="J590" i="12" a="1"/>
  <c r="J590" i="12" s="1"/>
  <c r="M589" i="12" a="1"/>
  <c r="M589" i="12" s="1"/>
  <c r="T563" i="12" a="1"/>
  <c r="T563" i="12" s="1"/>
  <c r="M565" i="12" a="1"/>
  <c r="M565" i="12" s="1"/>
  <c r="T554" i="12" a="1"/>
  <c r="T554" i="12" s="1"/>
  <c r="R456" i="12" a="1"/>
  <c r="R456" i="12" s="1"/>
  <c r="N480" i="12" a="1"/>
  <c r="N480" i="12" s="1"/>
  <c r="I570" i="12" a="1"/>
  <c r="I570" i="12" s="1"/>
  <c r="G467" i="12" a="1"/>
  <c r="G467" i="12" s="1"/>
  <c r="Q507" i="12" a="1"/>
  <c r="Q507" i="12" s="1"/>
  <c r="G418" i="12" a="1"/>
  <c r="G418" i="12" s="1"/>
  <c r="M516" i="12" a="1"/>
  <c r="M516" i="12" s="1"/>
  <c r="I577" i="12" a="1"/>
  <c r="I577" i="12" s="1"/>
  <c r="N513" i="12" a="1"/>
  <c r="N513" i="12" s="1"/>
  <c r="T418" i="12" a="1"/>
  <c r="T418" i="12" s="1"/>
  <c r="J482" i="12" a="1"/>
  <c r="J482" i="12" s="1"/>
  <c r="F445" i="12" a="1"/>
  <c r="F445" i="12" s="1"/>
  <c r="U554" i="2" a="1"/>
  <c r="U554" i="2" s="1"/>
  <c r="M512" i="12" a="1"/>
  <c r="M512" i="12" s="1"/>
  <c r="T471" i="12" a="1"/>
  <c r="T471" i="12" s="1"/>
  <c r="L361" i="12" a="1"/>
  <c r="L361" i="12" s="1"/>
  <c r="P340" i="12" a="1"/>
  <c r="P340" i="12" s="1"/>
  <c r="F322" i="12" a="1"/>
  <c r="F322" i="12" s="1"/>
  <c r="U662" i="2" a="1"/>
  <c r="U662" i="2" s="1"/>
  <c r="I303" i="12" a="1"/>
  <c r="I303" i="12" s="1"/>
  <c r="O318" i="12" a="1"/>
  <c r="O318" i="12" s="1"/>
  <c r="G338" i="12" a="1"/>
  <c r="G338" i="12" s="1"/>
  <c r="K284" i="12" a="1"/>
  <c r="K284" i="12" s="1"/>
  <c r="I327" i="12" a="1"/>
  <c r="I327" i="12" s="1"/>
  <c r="F491" i="12" a="1"/>
  <c r="F491" i="12" s="1"/>
  <c r="F489" i="12" a="1"/>
  <c r="F489" i="12" s="1"/>
  <c r="N447" i="12" a="1"/>
  <c r="N447" i="12" s="1"/>
  <c r="K410" i="12" a="1"/>
  <c r="K410" i="12" s="1"/>
  <c r="K472" i="12" a="1"/>
  <c r="K472" i="12" s="1"/>
  <c r="S342" i="12" a="1"/>
  <c r="S342" i="12" s="1"/>
  <c r="G339" i="12" a="1"/>
  <c r="G339" i="12" s="1"/>
  <c r="O284" i="12" a="1"/>
  <c r="O284" i="12" s="1"/>
  <c r="M485" i="12" a="1"/>
  <c r="M485" i="12" s="1"/>
  <c r="M464" i="12" a="1"/>
  <c r="M464" i="12" s="1"/>
  <c r="K444" i="12" a="1"/>
  <c r="K444" i="12" s="1"/>
  <c r="R538" i="12" a="1"/>
  <c r="R538" i="12" s="1"/>
  <c r="K552" i="12" a="1"/>
  <c r="K552" i="12" s="1"/>
  <c r="R324" i="12" a="1"/>
  <c r="R324" i="12" s="1"/>
  <c r="G478" i="12" a="1"/>
  <c r="G478" i="12" s="1"/>
  <c r="T373" i="12" a="1"/>
  <c r="T373" i="12" s="1"/>
  <c r="Q352" i="12" a="1"/>
  <c r="Q352" i="12" s="1"/>
  <c r="R589" i="12" a="1"/>
  <c r="R589" i="12" s="1"/>
  <c r="T553" i="12" a="1"/>
  <c r="T553" i="12" s="1"/>
  <c r="N434" i="12" a="1"/>
  <c r="N434" i="12" s="1"/>
  <c r="K560" i="12" a="1"/>
  <c r="K560" i="12" s="1"/>
  <c r="S417" i="12" a="1"/>
  <c r="S417" i="12" s="1"/>
  <c r="L396" i="12" a="1"/>
  <c r="L396" i="12" s="1"/>
  <c r="J394" i="12" a="1"/>
  <c r="J394" i="12" s="1"/>
  <c r="N389" i="12" a="1"/>
  <c r="N389" i="12" s="1"/>
  <c r="T342" i="12" a="1"/>
  <c r="T342" i="12" s="1"/>
  <c r="R355" i="12" a="1"/>
  <c r="R355" i="12" s="1"/>
  <c r="AB644" i="12" a="1"/>
  <c r="AB644" i="12" s="1"/>
  <c r="O569" i="12" a="1"/>
  <c r="O569" i="12" s="1"/>
  <c r="G428" i="12" a="1"/>
  <c r="G428" i="12" s="1"/>
  <c r="M434" i="12" a="1"/>
  <c r="M434" i="12" s="1"/>
  <c r="R429" i="12" a="1"/>
  <c r="R429" i="12" s="1"/>
  <c r="F560" i="12" a="1"/>
  <c r="F560" i="12" s="1"/>
  <c r="U568" i="2" a="1"/>
  <c r="U568" i="2" s="1"/>
  <c r="L525" i="12" a="1"/>
  <c r="L525" i="12" s="1"/>
  <c r="O386" i="12" a="1"/>
  <c r="O386" i="12" s="1"/>
  <c r="N288" i="12" a="1"/>
  <c r="N288" i="12" s="1"/>
  <c r="I352" i="12" a="1"/>
  <c r="I352" i="12" s="1"/>
  <c r="Q338" i="12" a="1"/>
  <c r="Q338" i="12" s="1"/>
  <c r="Q572" i="12" a="1"/>
  <c r="Q572" i="12" s="1"/>
  <c r="O577" i="12" a="1"/>
  <c r="O577" i="12" s="1"/>
  <c r="F450" i="12" a="1"/>
  <c r="F450" i="12" s="1"/>
  <c r="U616" i="2" a="1"/>
  <c r="U616" i="2" s="1"/>
  <c r="G395" i="12" a="1"/>
  <c r="G395" i="12" s="1"/>
  <c r="R453" i="12" a="1"/>
  <c r="R453" i="12" s="1"/>
  <c r="Q461" i="12" a="1"/>
  <c r="Q461" i="12" s="1"/>
  <c r="R394" i="12" a="1"/>
  <c r="R394" i="12" s="1"/>
  <c r="N506" i="12" a="1"/>
  <c r="N506" i="12" s="1"/>
  <c r="N360" i="12" a="1"/>
  <c r="N360" i="12" s="1"/>
  <c r="N386" i="12" a="1"/>
  <c r="N386" i="12" s="1"/>
  <c r="N303" i="12" a="1"/>
  <c r="N303" i="12" s="1"/>
  <c r="N600" i="12" a="1"/>
  <c r="N600" i="12" s="1"/>
  <c r="G405" i="12" a="1"/>
  <c r="G405" i="12" s="1"/>
  <c r="P306" i="12" a="1"/>
  <c r="P306" i="12" s="1"/>
  <c r="I572" i="12" a="1"/>
  <c r="I572" i="12" s="1"/>
  <c r="I242" i="12" a="1"/>
  <c r="I242" i="12" s="1"/>
  <c r="P98" i="12" a="1"/>
  <c r="P98" i="12" s="1"/>
  <c r="K567" i="12" a="1"/>
  <c r="K567" i="12" s="1"/>
  <c r="J567" i="12" a="1"/>
  <c r="J567" i="12" s="1"/>
  <c r="J456" i="12" a="1"/>
  <c r="J456" i="12" s="1"/>
  <c r="O523" i="12" a="1"/>
  <c r="O523" i="12" s="1"/>
  <c r="S486" i="12" a="1"/>
  <c r="S486" i="12" s="1"/>
  <c r="Q535" i="12" a="1"/>
  <c r="Q535" i="12" s="1"/>
  <c r="J409" i="12" a="1"/>
  <c r="J409" i="12" s="1"/>
  <c r="T478" i="12" a="1"/>
  <c r="T478" i="12" s="1"/>
  <c r="L300" i="12" a="1"/>
  <c r="L300" i="12" s="1"/>
  <c r="P406" i="12" a="1"/>
  <c r="P406" i="12" s="1"/>
  <c r="R137" i="12" a="1"/>
  <c r="R137" i="12" s="1"/>
  <c r="Q381" i="12" a="1"/>
  <c r="Q381" i="12" s="1"/>
  <c r="S327" i="12" a="1"/>
  <c r="S327" i="12" s="1"/>
  <c r="P488" i="12" a="1"/>
  <c r="P488" i="12" s="1"/>
  <c r="N395" i="12" a="1"/>
  <c r="N395" i="12" s="1"/>
  <c r="M487" i="12" a="1"/>
  <c r="M487" i="12" s="1"/>
  <c r="O560" i="12" a="1"/>
  <c r="O560" i="12" s="1"/>
  <c r="J433" i="12" a="1"/>
  <c r="J433" i="12" s="1"/>
  <c r="N532" i="12" a="1"/>
  <c r="N532" i="12" s="1"/>
  <c r="N455" i="12" a="1"/>
  <c r="N455" i="12" s="1"/>
  <c r="P278" i="12" a="1"/>
  <c r="P278" i="12" s="1"/>
  <c r="K300" i="12" a="1"/>
  <c r="K300" i="12" s="1"/>
  <c r="I373" i="12" a="1"/>
  <c r="I373" i="12" s="1"/>
  <c r="X628" i="12" a="1"/>
  <c r="X628" i="12" s="1"/>
  <c r="O326" i="12" a="1"/>
  <c r="O326" i="12" s="1"/>
  <c r="P473" i="12" a="1"/>
  <c r="P473" i="12" s="1"/>
  <c r="M446" i="12" a="1"/>
  <c r="M446" i="12" s="1"/>
  <c r="N535" i="12" a="1"/>
  <c r="N535" i="12" s="1"/>
  <c r="K417" i="12" a="1"/>
  <c r="K417" i="12" s="1"/>
  <c r="M371" i="12" a="1"/>
  <c r="M371" i="12" s="1"/>
  <c r="F461" i="12" a="1"/>
  <c r="F461" i="12" s="1"/>
  <c r="U625" i="2" a="1"/>
  <c r="U625" i="2" s="1"/>
  <c r="O341" i="12" a="1"/>
  <c r="O341" i="12" s="1"/>
  <c r="N406" i="12" a="1"/>
  <c r="N406" i="12" s="1"/>
  <c r="P339" i="12" a="1"/>
  <c r="P339" i="12" s="1"/>
  <c r="J137" i="12" a="1"/>
  <c r="J137" i="12" s="1"/>
  <c r="T306" i="12" a="1"/>
  <c r="T306" i="12" s="1"/>
  <c r="F384" i="12" a="1"/>
  <c r="F384" i="12" s="1"/>
  <c r="U655" i="2" a="1"/>
  <c r="U655" i="2" s="1"/>
  <c r="S392" i="12" a="1"/>
  <c r="S392" i="12" s="1"/>
  <c r="P459" i="12" a="1"/>
  <c r="P459" i="12" s="1"/>
  <c r="M524" i="12" a="1"/>
  <c r="M524" i="12" s="1"/>
  <c r="O453" i="12" a="1"/>
  <c r="O453" i="12" s="1"/>
  <c r="O437" i="12" a="1"/>
  <c r="O437" i="12" s="1"/>
  <c r="P369" i="12" a="1"/>
  <c r="P369" i="12" s="1"/>
  <c r="O394" i="12" a="1"/>
  <c r="O394" i="12" s="1"/>
  <c r="G340" i="12" a="1"/>
  <c r="G340" i="12" s="1"/>
  <c r="K386" i="12" a="1"/>
  <c r="K386" i="12" s="1"/>
  <c r="Q359" i="12" a="1"/>
  <c r="Q359" i="12" s="1"/>
  <c r="R288" i="12" a="1"/>
  <c r="R288" i="12" s="1"/>
  <c r="S326" i="12" a="1"/>
  <c r="S326" i="12" s="1"/>
  <c r="L319" i="12" a="1"/>
  <c r="L319" i="12" s="1"/>
  <c r="R347" i="12" a="1"/>
  <c r="R347" i="12" s="1"/>
  <c r="M198" i="12" a="1"/>
  <c r="M198" i="12" s="1"/>
  <c r="Q596" i="12" a="1"/>
  <c r="Q596" i="12" s="1"/>
  <c r="Q261" i="12" a="1"/>
  <c r="Q261" i="12" s="1"/>
  <c r="S272" i="12" a="1"/>
  <c r="S272" i="12" s="1"/>
  <c r="I295" i="12" a="1"/>
  <c r="I295" i="12" s="1"/>
  <c r="K498" i="12" a="1"/>
  <c r="K498" i="12" s="1"/>
  <c r="Q512" i="12" a="1"/>
  <c r="Q512" i="12" s="1"/>
  <c r="AA642" i="12" a="1"/>
  <c r="AA642" i="12" s="1"/>
  <c r="F316" i="12" a="1"/>
  <c r="F316" i="12" s="1"/>
  <c r="U602" i="2" a="1"/>
  <c r="U602" i="2" s="1"/>
  <c r="S443" i="12" a="1"/>
  <c r="S443" i="12" s="1"/>
  <c r="Q326" i="12" a="1"/>
  <c r="Q326" i="12" s="1"/>
  <c r="R362" i="12" a="1"/>
  <c r="R362" i="12" s="1"/>
  <c r="O601" i="12" a="1"/>
  <c r="O601" i="12" s="1"/>
  <c r="N572" i="12" a="1"/>
  <c r="N572" i="12" s="1"/>
  <c r="O270" i="12" a="1"/>
  <c r="O270" i="12" s="1"/>
  <c r="P290" i="12" a="1"/>
  <c r="P290" i="12" s="1"/>
  <c r="S241" i="12" a="1"/>
  <c r="S241" i="12" s="1"/>
  <c r="O552" i="12" a="1"/>
  <c r="O552" i="12" s="1"/>
  <c r="J448" i="12" a="1"/>
  <c r="J448" i="12" s="1"/>
  <c r="Q448" i="12" a="1"/>
  <c r="Q448" i="12" s="1"/>
  <c r="Q294" i="12" a="1"/>
  <c r="Q294" i="12" s="1"/>
  <c r="N350" i="12" a="1"/>
  <c r="N350" i="12" s="1"/>
  <c r="Z664" i="12" a="1"/>
  <c r="Z664" i="12" s="1"/>
  <c r="Q380" i="12" a="1"/>
  <c r="Q380" i="12" s="1"/>
  <c r="X670" i="12" a="1"/>
  <c r="X670" i="12" s="1"/>
  <c r="T357" i="12" a="1"/>
  <c r="T357" i="12" s="1"/>
  <c r="J386" i="12" a="1"/>
  <c r="J386" i="12" s="1"/>
  <c r="S302" i="12" a="1"/>
  <c r="S302" i="12" s="1"/>
  <c r="O249" i="12" a="1"/>
  <c r="O249" i="12" s="1"/>
  <c r="O367" i="12" a="1"/>
  <c r="O367" i="12" s="1"/>
  <c r="N328" i="12" a="1"/>
  <c r="N328" i="12" s="1"/>
  <c r="K343" i="12" a="1"/>
  <c r="K343" i="12" s="1"/>
  <c r="R327" i="12" a="1"/>
  <c r="R327" i="12" s="1"/>
  <c r="O313" i="12" a="1"/>
  <c r="O313" i="12" s="1"/>
  <c r="M334" i="12" a="1"/>
  <c r="M334" i="12" s="1"/>
  <c r="R198" i="12" a="1"/>
  <c r="R198" i="12" s="1"/>
  <c r="M291" i="12" a="1"/>
  <c r="M291" i="12" s="1"/>
  <c r="N291" i="12" a="1"/>
  <c r="N291" i="12" s="1"/>
  <c r="S400" i="12" a="1"/>
  <c r="S400" i="12" s="1"/>
  <c r="P386" i="12" a="1"/>
  <c r="P386" i="12" s="1"/>
  <c r="X622" i="12" a="1"/>
  <c r="X622" i="12" s="1"/>
  <c r="G284" i="12" a="1"/>
  <c r="G284" i="12" s="1"/>
  <c r="M290" i="12" a="1"/>
  <c r="M290" i="12" s="1"/>
  <c r="M575" i="12" a="1"/>
  <c r="M575" i="12" s="1"/>
  <c r="Q320" i="12" a="1"/>
  <c r="Q320" i="12" s="1"/>
  <c r="P512" i="12" a="1"/>
  <c r="P512" i="12" s="1"/>
  <c r="K413" i="12" a="1"/>
  <c r="K413" i="12" s="1"/>
  <c r="I402" i="12" a="1"/>
  <c r="I402" i="12" s="1"/>
  <c r="G402" i="12" a="1"/>
  <c r="G402" i="12" s="1"/>
  <c r="O300" i="12" a="1"/>
  <c r="O300" i="12" s="1"/>
  <c r="N521" i="12" a="1"/>
  <c r="N521" i="12" s="1"/>
  <c r="P440" i="12" a="1"/>
  <c r="P440" i="12" s="1"/>
  <c r="K440" i="12" a="1"/>
  <c r="K440" i="12" s="1"/>
  <c r="Z628" i="12" a="1"/>
  <c r="Z628" i="12" s="1"/>
  <c r="X620" i="12" a="1"/>
  <c r="X620" i="12" s="1"/>
  <c r="AL434" i="2" a="1"/>
  <c r="AL434" i="2" s="1"/>
  <c r="O574" i="12" a="1"/>
  <c r="O574" i="12" s="1"/>
  <c r="G591" i="12" a="1"/>
  <c r="G591" i="12" s="1"/>
  <c r="P313" i="12" a="1"/>
  <c r="P313" i="12" s="1"/>
  <c r="T575" i="12" a="1"/>
  <c r="T575" i="12" s="1"/>
  <c r="I252" i="12" a="1"/>
  <c r="I252" i="12" s="1"/>
  <c r="T272" i="12" a="1"/>
  <c r="T272" i="12" s="1"/>
  <c r="P472" i="12" a="1"/>
  <c r="P472" i="12" s="1"/>
  <c r="P443" i="12" a="1"/>
  <c r="P443" i="12" s="1"/>
  <c r="P336" i="12" a="1"/>
  <c r="P336" i="12" s="1"/>
  <c r="K336" i="12" a="1"/>
  <c r="K336" i="12" s="1"/>
  <c r="L249" i="12" a="1"/>
  <c r="L249" i="12" s="1"/>
  <c r="M319" i="12" a="1"/>
  <c r="M319" i="12" s="1"/>
  <c r="U414" i="2" a="1"/>
  <c r="U414" i="2" s="1"/>
  <c r="R350" i="12" a="1"/>
  <c r="R350" i="12" s="1"/>
  <c r="S262" i="12" a="1"/>
  <c r="S262" i="12" s="1"/>
  <c r="K334" i="12" a="1"/>
  <c r="K334" i="12" s="1"/>
  <c r="I198" i="12" a="1"/>
  <c r="I198" i="12" s="1"/>
  <c r="G254" i="12" a="1"/>
  <c r="G254" i="12" s="1"/>
  <c r="K555" i="12" a="1"/>
  <c r="K555" i="12" s="1"/>
  <c r="G241" i="12" a="1"/>
  <c r="G241" i="12" s="1"/>
  <c r="U507" i="2" a="1"/>
  <c r="U507" i="2" s="1"/>
  <c r="I470" i="12" a="1"/>
  <c r="I470" i="12" s="1"/>
  <c r="R470" i="12" a="1"/>
  <c r="R470" i="12" s="1"/>
  <c r="I390" i="12" a="1"/>
  <c r="I390" i="12" s="1"/>
  <c r="R390" i="12" a="1"/>
  <c r="R390" i="12" s="1"/>
  <c r="G385" i="12" a="1"/>
  <c r="G385" i="12" s="1"/>
  <c r="J313" i="12" a="1"/>
  <c r="J313" i="12" s="1"/>
  <c r="I420" i="12" a="1"/>
  <c r="I420" i="12" s="1"/>
  <c r="M420" i="12" a="1"/>
  <c r="M420" i="12" s="1"/>
  <c r="F360" i="12" a="1"/>
  <c r="F360" i="12" s="1"/>
  <c r="M137" i="12" a="1"/>
  <c r="M137" i="12" s="1"/>
  <c r="O319" i="12" a="1"/>
  <c r="O319" i="12" s="1"/>
  <c r="P240" i="12" a="1"/>
  <c r="P240" i="12" s="1"/>
  <c r="I290" i="12" a="1"/>
  <c r="I290" i="12" s="1"/>
  <c r="I576" i="12" a="1"/>
  <c r="I576" i="12" s="1"/>
  <c r="S247" i="12" a="1"/>
  <c r="S247" i="12" s="1"/>
  <c r="S594" i="12" a="1"/>
  <c r="S594" i="12" s="1"/>
  <c r="P410" i="12" a="1"/>
  <c r="P410" i="12" s="1"/>
  <c r="AA670" i="12" a="1"/>
  <c r="AA670" i="12" s="1"/>
  <c r="F468" i="12" a="1"/>
  <c r="F468" i="12" s="1"/>
  <c r="U511" i="2" a="1"/>
  <c r="U511" i="2" s="1"/>
  <c r="F386" i="12" a="1"/>
  <c r="F386" i="12" s="1"/>
  <c r="F331" i="12" a="1"/>
  <c r="F331" i="12" s="1"/>
  <c r="U453" i="2" a="1"/>
  <c r="U453" i="2" s="1"/>
  <c r="S601" i="12" a="1"/>
  <c r="S601" i="12" s="1"/>
  <c r="AL261" i="2" a="1"/>
  <c r="AL261" i="2" s="1"/>
  <c r="P242" i="12" a="1"/>
  <c r="P242" i="12" s="1"/>
  <c r="L254" i="12" a="1"/>
  <c r="L254" i="12" s="1"/>
  <c r="I566" i="12" a="1"/>
  <c r="I566" i="12" s="1"/>
  <c r="X658" i="12" a="1"/>
  <c r="X658" i="12" s="1"/>
  <c r="Q181" i="12" a="1"/>
  <c r="Q181" i="12" s="1"/>
  <c r="L228" i="12" a="1"/>
  <c r="L228" i="12" s="1"/>
  <c r="R435" i="12" a="1"/>
  <c r="R435" i="12" s="1"/>
  <c r="R171" i="12" a="1"/>
  <c r="R171" i="12" s="1"/>
  <c r="F265" i="12" a="1"/>
  <c r="F265" i="12" s="1"/>
  <c r="U448" i="2" a="1"/>
  <c r="U448" i="2" s="1"/>
  <c r="S265" i="12" a="1"/>
  <c r="S265" i="12" s="1"/>
  <c r="F254" i="12" a="1"/>
  <c r="F254" i="12" s="1"/>
  <c r="F287" i="12" a="1"/>
  <c r="F287" i="12" s="1"/>
  <c r="U498" i="2" a="1"/>
  <c r="U498" i="2" s="1"/>
  <c r="G263" i="12" a="1"/>
  <c r="G263" i="12" s="1"/>
  <c r="F239" i="12" a="1"/>
  <c r="F239" i="12" s="1"/>
  <c r="U418" i="2" a="1"/>
  <c r="U418" i="2" s="1"/>
  <c r="P588" i="12" a="1"/>
  <c r="P588" i="12" s="1"/>
  <c r="N520" i="12" a="1"/>
  <c r="N520" i="12" s="1"/>
  <c r="M172" i="12" a="1"/>
  <c r="M172" i="12" s="1"/>
  <c r="K568" i="12" a="1"/>
  <c r="K568" i="12" s="1"/>
  <c r="K197" i="12" a="1"/>
  <c r="K197" i="12" s="1"/>
  <c r="N412" i="12" a="1"/>
  <c r="N412" i="12" s="1"/>
  <c r="Q301" i="12" a="1"/>
  <c r="Q301" i="12" s="1"/>
  <c r="L281" i="12" a="1"/>
  <c r="L281" i="12" s="1"/>
  <c r="S238" i="12" a="1"/>
  <c r="S238" i="12" s="1"/>
  <c r="F483" i="12" a="1"/>
  <c r="F483" i="12" s="1"/>
  <c r="U278" i="2" a="1"/>
  <c r="U278" i="2" s="1"/>
  <c r="L536" i="12" a="1"/>
  <c r="L536" i="12" s="1"/>
  <c r="Q536" i="12" a="1"/>
  <c r="Q536" i="12" s="1"/>
  <c r="F556" i="12" a="1"/>
  <c r="F556" i="12" s="1"/>
  <c r="U273" i="2" a="1"/>
  <c r="U273" i="2" s="1"/>
  <c r="P449" i="12" a="1"/>
  <c r="P449" i="12" s="1"/>
  <c r="F147" i="12" a="1"/>
  <c r="F147" i="12" s="1"/>
  <c r="U388" i="2" a="1"/>
  <c r="U388" i="2" s="1"/>
  <c r="F272" i="12" a="1"/>
  <c r="F272" i="12" s="1"/>
  <c r="F520" i="12" a="1"/>
  <c r="F520" i="12" s="1"/>
  <c r="F561" i="12" a="1"/>
  <c r="F561" i="12" s="1"/>
  <c r="F555" i="12" a="1"/>
  <c r="F555" i="12" s="1"/>
  <c r="F158" i="12" a="1"/>
  <c r="F158" i="12" s="1"/>
  <c r="F262" i="12" a="1"/>
  <c r="F262" i="12" s="1"/>
  <c r="F172" i="12" a="1"/>
  <c r="F172" i="12" s="1"/>
  <c r="Q241" i="12" a="1"/>
  <c r="Q241" i="12" s="1"/>
  <c r="M315" i="12" a="1"/>
  <c r="M315" i="12" s="1"/>
  <c r="Q581" i="12" a="1"/>
  <c r="Q581" i="12" s="1"/>
  <c r="R537" i="12" a="1"/>
  <c r="R537" i="12" s="1"/>
  <c r="O588" i="12" a="1"/>
  <c r="O588" i="12" s="1"/>
  <c r="I323" i="12" a="1"/>
  <c r="I323" i="12" s="1"/>
  <c r="N539" i="12" a="1"/>
  <c r="N539" i="12" s="1"/>
  <c r="T276" i="12" a="1"/>
  <c r="T276" i="12" s="1"/>
  <c r="G231" i="12" a="1"/>
  <c r="G231" i="12" s="1"/>
  <c r="O171" i="12" a="1"/>
  <c r="O171" i="12" s="1"/>
  <c r="K180" i="12" a="1"/>
  <c r="K180" i="12" s="1"/>
  <c r="R504" i="12" a="1"/>
  <c r="R504" i="12" s="1"/>
  <c r="N149" i="12" a="1"/>
  <c r="N149" i="12" s="1"/>
  <c r="J205" i="12" a="1"/>
  <c r="J205" i="12" s="1"/>
  <c r="J442" i="12" a="1"/>
  <c r="J442" i="12" s="1"/>
  <c r="M222" i="12" a="1"/>
  <c r="M222" i="12" s="1"/>
  <c r="F27" i="12" a="1"/>
  <c r="F27" i="12" s="1"/>
  <c r="J93" i="12" a="1"/>
  <c r="J93" i="12" s="1"/>
  <c r="L430" i="12" a="1"/>
  <c r="L430" i="12" s="1"/>
  <c r="M513" i="12" a="1"/>
  <c r="M513" i="12" s="1"/>
  <c r="J589" i="12" a="1"/>
  <c r="J589" i="12" s="1"/>
  <c r="J518" i="12" a="1"/>
  <c r="J518" i="12" s="1"/>
  <c r="S98" i="12" a="1"/>
  <c r="S98" i="12" s="1"/>
  <c r="I518" i="12" a="1"/>
  <c r="I518" i="12" s="1"/>
  <c r="T467" i="12" a="1"/>
  <c r="T467" i="12" s="1"/>
  <c r="R553" i="12" a="1"/>
  <c r="R553" i="12" s="1"/>
  <c r="O398" i="12" a="1"/>
  <c r="O398" i="12" s="1"/>
  <c r="P485" i="12" a="1"/>
  <c r="P485" i="12" s="1"/>
  <c r="N587" i="12" a="1"/>
  <c r="N587" i="12" s="1"/>
  <c r="Q516" i="12" a="1"/>
  <c r="Q516" i="12" s="1"/>
  <c r="G565" i="12" a="1"/>
  <c r="G565" i="12" s="1"/>
  <c r="N517" i="12" a="1"/>
  <c r="N517" i="12" s="1"/>
  <c r="J418" i="12" a="1"/>
  <c r="J418" i="12" s="1"/>
  <c r="M546" i="12" a="1"/>
  <c r="M546" i="12" s="1"/>
  <c r="Q430" i="12" a="1"/>
  <c r="Q430" i="12" s="1"/>
  <c r="R550" i="12" a="1"/>
  <c r="R550" i="12" s="1"/>
  <c r="P543" i="12" a="1"/>
  <c r="P543" i="12" s="1"/>
  <c r="F398" i="12" a="1"/>
  <c r="F398" i="12" s="1"/>
  <c r="U565" i="2" a="1"/>
  <c r="U565" i="2" s="1"/>
  <c r="J480" i="12" a="1"/>
  <c r="J480" i="12" s="1"/>
  <c r="L542" i="12" a="1"/>
  <c r="L542" i="12" s="1"/>
  <c r="S592" i="12" a="1"/>
  <c r="S592" i="12" s="1"/>
  <c r="I513" i="12" a="1"/>
  <c r="I513" i="12" s="1"/>
  <c r="T398" i="12" a="1"/>
  <c r="T398" i="12" s="1"/>
  <c r="J473" i="12" a="1"/>
  <c r="J473" i="12" s="1"/>
  <c r="I434" i="12" a="1"/>
  <c r="I434" i="12" s="1"/>
  <c r="K554" i="12" a="1"/>
  <c r="K554" i="12" s="1"/>
  <c r="O553" i="12" a="1"/>
  <c r="O553" i="12" s="1"/>
  <c r="R481" i="12" a="1"/>
  <c r="R481" i="12" s="1"/>
  <c r="R577" i="12" a="1"/>
  <c r="R577" i="12" s="1"/>
  <c r="O424" i="12" a="1"/>
  <c r="O424" i="12" s="1"/>
  <c r="L580" i="12" a="1"/>
  <c r="L580" i="12" s="1"/>
  <c r="N516" i="12" a="1"/>
  <c r="N516" i="12" s="1"/>
  <c r="I507" i="12" a="1"/>
  <c r="I507" i="12" s="1"/>
  <c r="R587" i="12" a="1"/>
  <c r="R587" i="12" s="1"/>
  <c r="R542" i="12" a="1"/>
  <c r="R542" i="12" s="1"/>
  <c r="I542" i="12" a="1"/>
  <c r="I542" i="12" s="1"/>
  <c r="L545" i="12" a="1"/>
  <c r="L545" i="12" s="1"/>
  <c r="S579" i="12" a="1"/>
  <c r="S579" i="12" s="1"/>
  <c r="F482" i="12" a="1"/>
  <c r="F482" i="12" s="1"/>
  <c r="U583" i="2" a="1"/>
  <c r="U583" i="2" s="1"/>
  <c r="P482" i="12" a="1"/>
  <c r="P482" i="12" s="1"/>
  <c r="Q445" i="12" a="1"/>
  <c r="Q445" i="12" s="1"/>
  <c r="S512" i="12" a="1"/>
  <c r="S512" i="12" s="1"/>
  <c r="G324" i="12" a="1"/>
  <c r="G324" i="12" s="1"/>
  <c r="F278" i="12" a="1"/>
  <c r="F278" i="12" s="1"/>
  <c r="U592" i="2" a="1"/>
  <c r="U592" i="2" s="1"/>
  <c r="M399" i="12" a="1"/>
  <c r="M399" i="12" s="1"/>
  <c r="S386" i="12" a="1"/>
  <c r="S386" i="12" s="1"/>
  <c r="T303" i="12" a="1"/>
  <c r="T303" i="12" s="1"/>
  <c r="N373" i="12" a="1"/>
  <c r="N373" i="12" s="1"/>
  <c r="AA628" i="12" a="1"/>
  <c r="AA628" i="12" s="1"/>
  <c r="S307" i="12" a="1"/>
  <c r="S307" i="12" s="1"/>
  <c r="T327" i="12" a="1"/>
  <c r="T327" i="12" s="1"/>
  <c r="S424" i="12" a="1"/>
  <c r="S424" i="12" s="1"/>
  <c r="N375" i="12" a="1"/>
  <c r="N375" i="12" s="1"/>
  <c r="T447" i="12" a="1"/>
  <c r="T447" i="12" s="1"/>
  <c r="F410" i="12" a="1"/>
  <c r="F410" i="12" s="1"/>
  <c r="U671" i="2" a="1"/>
  <c r="U671" i="2" s="1"/>
  <c r="F472" i="12" a="1"/>
  <c r="F472" i="12" s="1"/>
  <c r="U457" i="2" a="1"/>
  <c r="U457" i="2" s="1"/>
  <c r="T446" i="12" a="1"/>
  <c r="T446" i="12" s="1"/>
  <c r="I535" i="12" a="1"/>
  <c r="I535" i="12" s="1"/>
  <c r="M394" i="12" a="1"/>
  <c r="M394" i="12" s="1"/>
  <c r="Q303" i="12" a="1"/>
  <c r="Q303" i="12" s="1"/>
  <c r="Q391" i="12" a="1"/>
  <c r="Q391" i="12" s="1"/>
  <c r="T326" i="12" a="1"/>
  <c r="T326" i="12" s="1"/>
  <c r="F306" i="12" a="1"/>
  <c r="F306" i="12" s="1"/>
  <c r="U534" i="2" a="1"/>
  <c r="U534" i="2" s="1"/>
  <c r="T593" i="12" a="1"/>
  <c r="T593" i="12" s="1"/>
  <c r="L550" i="12" a="1"/>
  <c r="L550" i="12" s="1"/>
  <c r="F418" i="12" a="1"/>
  <c r="F418" i="12" s="1"/>
  <c r="I464" i="12" a="1"/>
  <c r="I464" i="12" s="1"/>
  <c r="S464" i="12" a="1"/>
  <c r="S464" i="12" s="1"/>
  <c r="F444" i="12" a="1"/>
  <c r="F444" i="12" s="1"/>
  <c r="U664" i="2" a="1"/>
  <c r="U664" i="2" s="1"/>
  <c r="K538" i="12" a="1"/>
  <c r="K538" i="12" s="1"/>
  <c r="F552" i="12" a="1"/>
  <c r="F552" i="12" s="1"/>
  <c r="U576" i="2" a="1"/>
  <c r="U576" i="2" s="1"/>
  <c r="R409" i="12" a="1"/>
  <c r="R409" i="12" s="1"/>
  <c r="T304" i="12" a="1"/>
  <c r="T304" i="12" s="1"/>
  <c r="J352" i="12" a="1"/>
  <c r="J352" i="12" s="1"/>
  <c r="N570" i="12" a="1"/>
  <c r="N570" i="12" s="1"/>
  <c r="R395" i="12" a="1"/>
  <c r="R395" i="12" s="1"/>
  <c r="K480" i="12" a="1"/>
  <c r="K480" i="12" s="1"/>
  <c r="O396" i="12" a="1"/>
  <c r="O396" i="12" s="1"/>
  <c r="J361" i="12" a="1"/>
  <c r="J361" i="12" s="1"/>
  <c r="I389" i="12" a="1"/>
  <c r="I389" i="12" s="1"/>
  <c r="R322" i="12" a="1"/>
  <c r="R322" i="12" s="1"/>
  <c r="J342" i="12" a="1"/>
  <c r="J342" i="12" s="1"/>
  <c r="K355" i="12" a="1"/>
  <c r="K355" i="12" s="1"/>
  <c r="T339" i="12" a="1"/>
  <c r="T339" i="12" s="1"/>
  <c r="F592" i="12" a="1"/>
  <c r="F592" i="12" s="1"/>
  <c r="K569" i="12" a="1"/>
  <c r="K569" i="12" s="1"/>
  <c r="I569" i="12" a="1"/>
  <c r="I569" i="12" s="1"/>
  <c r="J428" i="12" a="1"/>
  <c r="J428" i="12" s="1"/>
  <c r="N428" i="12" a="1"/>
  <c r="N428" i="12" s="1"/>
  <c r="M429" i="12" a="1"/>
  <c r="M429" i="12" s="1"/>
  <c r="L324" i="12" a="1"/>
  <c r="L324" i="12" s="1"/>
  <c r="O478" i="12" a="1"/>
  <c r="O478" i="12" s="1"/>
  <c r="S369" i="12" a="1"/>
  <c r="S369" i="12" s="1"/>
  <c r="L341" i="12" a="1"/>
  <c r="L341" i="12" s="1"/>
  <c r="F288" i="12" a="1"/>
  <c r="F288" i="12" s="1"/>
  <c r="U454" i="2" a="1"/>
  <c r="U454" i="2" s="1"/>
  <c r="S137" i="12" a="1"/>
  <c r="S137" i="12" s="1"/>
  <c r="K338" i="12" a="1"/>
  <c r="K338" i="12" s="1"/>
  <c r="M593" i="12" a="1"/>
  <c r="M593" i="12" s="1"/>
  <c r="J450" i="12" a="1"/>
  <c r="J450" i="12" s="1"/>
  <c r="G450" i="12" a="1"/>
  <c r="G450" i="12" s="1"/>
  <c r="F473" i="12" a="1"/>
  <c r="F473" i="12" s="1"/>
  <c r="M453" i="12" a="1"/>
  <c r="M453" i="12" s="1"/>
  <c r="P361" i="12" a="1"/>
  <c r="P361" i="12" s="1"/>
  <c r="G506" i="12" a="1"/>
  <c r="G506" i="12" s="1"/>
  <c r="G360" i="12" a="1"/>
  <c r="G360" i="12" s="1"/>
  <c r="G386" i="12" a="1"/>
  <c r="G386" i="12" s="1"/>
  <c r="G303" i="12" a="1"/>
  <c r="G303" i="12" s="1"/>
  <c r="G600" i="12" a="1"/>
  <c r="G600" i="12" s="1"/>
  <c r="AA644" i="12" a="1"/>
  <c r="AA644" i="12" s="1"/>
  <c r="L137" i="12" a="1"/>
  <c r="L137" i="12" s="1"/>
  <c r="J306" i="12" a="1"/>
  <c r="J306" i="12" s="1"/>
  <c r="T572" i="12" a="1"/>
  <c r="T572" i="12" s="1"/>
  <c r="G554" i="12" a="1"/>
  <c r="G554" i="12" s="1"/>
  <c r="Q567" i="12" a="1"/>
  <c r="Q567" i="12" s="1"/>
  <c r="J523" i="12" a="1"/>
  <c r="J523" i="12" s="1"/>
  <c r="N486" i="12" a="1"/>
  <c r="N486" i="12" s="1"/>
  <c r="L535" i="12" a="1"/>
  <c r="L535" i="12" s="1"/>
  <c r="P409" i="12" a="1"/>
  <c r="P409" i="12" s="1"/>
  <c r="J478" i="12" a="1"/>
  <c r="J478" i="12" s="1"/>
  <c r="P338" i="12" a="1"/>
  <c r="P338" i="12" s="1"/>
  <c r="M327" i="12" a="1"/>
  <c r="M327" i="12" s="1"/>
  <c r="K518" i="12" a="1"/>
  <c r="K518" i="12" s="1"/>
  <c r="K548" i="12" a="1"/>
  <c r="K548" i="12" s="1"/>
  <c r="L488" i="12" a="1"/>
  <c r="L488" i="12" s="1"/>
  <c r="T395" i="12" a="1"/>
  <c r="T395" i="12" s="1"/>
  <c r="S487" i="12" a="1"/>
  <c r="S487" i="12" s="1"/>
  <c r="P560" i="12" a="1"/>
  <c r="P560" i="12" s="1"/>
  <c r="J560" i="12" a="1"/>
  <c r="J560" i="12" s="1"/>
  <c r="P433" i="12" a="1"/>
  <c r="P433" i="12" s="1"/>
  <c r="T532" i="12" a="1"/>
  <c r="T532" i="12" s="1"/>
  <c r="J455" i="12" a="1"/>
  <c r="J455" i="12" s="1"/>
  <c r="Q389" i="12" a="1"/>
  <c r="Q389" i="12" s="1"/>
  <c r="O342" i="12" a="1"/>
  <c r="O342" i="12" s="1"/>
  <c r="K288" i="12" a="1"/>
  <c r="K288" i="12" s="1"/>
  <c r="T473" i="12" a="1"/>
  <c r="T473" i="12" s="1"/>
  <c r="K485" i="12" a="1"/>
  <c r="K485" i="12" s="1"/>
  <c r="S446" i="12" a="1"/>
  <c r="S446" i="12" s="1"/>
  <c r="G480" i="12" a="1"/>
  <c r="G480" i="12" s="1"/>
  <c r="Z670" i="12" a="1"/>
  <c r="Z670" i="12" s="1"/>
  <c r="L600" i="12" a="1"/>
  <c r="L600" i="12" s="1"/>
  <c r="I339" i="12" a="1"/>
  <c r="I339" i="12" s="1"/>
  <c r="N137" i="12" a="1"/>
  <c r="N137" i="12" s="1"/>
  <c r="F507" i="12" a="1"/>
  <c r="F507" i="12" s="1"/>
  <c r="G384" i="12" a="1"/>
  <c r="G384" i="12" s="1"/>
  <c r="K459" i="12" a="1"/>
  <c r="K459" i="12" s="1"/>
  <c r="J459" i="12" a="1"/>
  <c r="J459" i="12" s="1"/>
  <c r="M436" i="12" a="1"/>
  <c r="M436" i="12" s="1"/>
  <c r="S524" i="12" a="1"/>
  <c r="S524" i="12" s="1"/>
  <c r="M460" i="12" a="1"/>
  <c r="M460" i="12" s="1"/>
  <c r="J437" i="12" a="1"/>
  <c r="J437" i="12" s="1"/>
  <c r="I409" i="12" a="1"/>
  <c r="I409" i="12" s="1"/>
  <c r="G394" i="12" a="1"/>
  <c r="G394" i="12" s="1"/>
  <c r="R340" i="12" a="1"/>
  <c r="R340" i="12" s="1"/>
  <c r="R360" i="12" a="1"/>
  <c r="R360" i="12" s="1"/>
  <c r="G322" i="12" a="1"/>
  <c r="G322" i="12" s="1"/>
  <c r="J359" i="12" a="1"/>
  <c r="J359" i="12" s="1"/>
  <c r="S288" i="12" a="1"/>
  <c r="S288" i="12" s="1"/>
  <c r="K405" i="12" a="1"/>
  <c r="K405" i="12" s="1"/>
  <c r="Q486" i="12" a="1"/>
  <c r="Q486" i="12" s="1"/>
  <c r="J326" i="12" a="1"/>
  <c r="J326" i="12" s="1"/>
  <c r="X626" i="12" a="1"/>
  <c r="X626" i="12" s="1"/>
  <c r="K347" i="12" a="1"/>
  <c r="K347" i="12" s="1"/>
  <c r="O329" i="12" a="1"/>
  <c r="O329" i="12" s="1"/>
  <c r="M272" i="12" a="1"/>
  <c r="M272" i="12" s="1"/>
  <c r="F498" i="12" a="1"/>
  <c r="F498" i="12" s="1"/>
  <c r="U553" i="2" a="1"/>
  <c r="U553" i="2" s="1"/>
  <c r="N316" i="12" a="1"/>
  <c r="N316" i="12" s="1"/>
  <c r="Q399" i="12" a="1"/>
  <c r="Q399" i="12" s="1"/>
  <c r="S367" i="12" a="1"/>
  <c r="S367" i="12" s="1"/>
  <c r="T343" i="12" a="1"/>
  <c r="T343" i="12" s="1"/>
  <c r="K270" i="12" a="1"/>
  <c r="K270" i="12" s="1"/>
  <c r="S294" i="12" a="1"/>
  <c r="S294" i="12" s="1"/>
  <c r="L251" i="12" a="1"/>
  <c r="L251" i="12" s="1"/>
  <c r="M241" i="12" a="1"/>
  <c r="M241" i="12" s="1"/>
  <c r="O457" i="12" a="1"/>
  <c r="O457" i="12" s="1"/>
  <c r="O535" i="12" a="1"/>
  <c r="O535" i="12" s="1"/>
  <c r="G448" i="12" a="1"/>
  <c r="G448" i="12" s="1"/>
  <c r="Q364" i="12" a="1"/>
  <c r="Q364" i="12" s="1"/>
  <c r="M601" i="12" a="1"/>
  <c r="M601" i="12" s="1"/>
  <c r="S593" i="12" a="1"/>
  <c r="S593" i="12" s="1"/>
  <c r="J350" i="12" a="1"/>
  <c r="J350" i="12" s="1"/>
  <c r="T251" i="12" a="1"/>
  <c r="T251" i="12" s="1"/>
  <c r="U618" i="2" a="1"/>
  <c r="U618" i="2" s="1"/>
  <c r="I380" i="12" a="1"/>
  <c r="I380" i="12" s="1"/>
  <c r="L310" i="12" a="1"/>
  <c r="L310" i="12" s="1"/>
  <c r="O340" i="12" a="1"/>
  <c r="O340" i="12" s="1"/>
  <c r="N357" i="12" a="1"/>
  <c r="N357" i="12" s="1"/>
  <c r="N302" i="12" a="1"/>
  <c r="N302" i="12" s="1"/>
  <c r="I249" i="12" a="1"/>
  <c r="I249" i="12" s="1"/>
  <c r="T328" i="12" a="1"/>
  <c r="T328" i="12" s="1"/>
  <c r="Q343" i="12" a="1"/>
  <c r="Q343" i="12" s="1"/>
  <c r="T574" i="12" a="1"/>
  <c r="T574" i="12" s="1"/>
  <c r="F334" i="12" a="1"/>
  <c r="F334" i="12" s="1"/>
  <c r="N247" i="12" a="1"/>
  <c r="N247" i="12" s="1"/>
  <c r="K198" i="12" a="1"/>
  <c r="K198" i="12" s="1"/>
  <c r="O291" i="12" a="1"/>
  <c r="O291" i="12" s="1"/>
  <c r="P310" i="12" a="1"/>
  <c r="P310" i="12" s="1"/>
  <c r="M400" i="12" a="1"/>
  <c r="M400" i="12" s="1"/>
  <c r="M341" i="12" a="1"/>
  <c r="M341" i="12" s="1"/>
  <c r="AL567" i="2" a="1"/>
  <c r="AL567" i="2" s="1"/>
  <c r="F351" i="12" a="1"/>
  <c r="F351" i="12" s="1"/>
  <c r="U491" i="2" a="1"/>
  <c r="U491" i="2" s="1"/>
  <c r="K351" i="12" a="1"/>
  <c r="K351" i="12" s="1"/>
  <c r="N364" i="12" a="1"/>
  <c r="N364" i="12" s="1"/>
  <c r="Q290" i="12" a="1"/>
  <c r="Q290" i="12" s="1"/>
  <c r="S320" i="12" a="1"/>
  <c r="S320" i="12" s="1"/>
  <c r="K409" i="12" a="1"/>
  <c r="K409" i="12" s="1"/>
  <c r="L413" i="12" a="1"/>
  <c r="L413" i="12" s="1"/>
  <c r="P402" i="12" a="1"/>
  <c r="P402" i="12" s="1"/>
  <c r="R402" i="12" a="1"/>
  <c r="R402" i="12" s="1"/>
  <c r="I521" i="12" a="1"/>
  <c r="I521" i="12" s="1"/>
  <c r="O521" i="12" a="1"/>
  <c r="O521" i="12" s="1"/>
  <c r="J440" i="12" a="1"/>
  <c r="J440" i="12" s="1"/>
  <c r="Q440" i="12" a="1"/>
  <c r="Q440" i="12" s="1"/>
  <c r="AB660" i="12" a="1"/>
  <c r="AB660" i="12" s="1"/>
  <c r="J574" i="12" a="1"/>
  <c r="J574" i="12" s="1"/>
  <c r="K574" i="12" a="1"/>
  <c r="K574" i="12" s="1"/>
  <c r="R591" i="12" a="1"/>
  <c r="R591" i="12" s="1"/>
  <c r="K262" i="12" a="1"/>
  <c r="K262" i="12" s="1"/>
  <c r="L575" i="12" a="1"/>
  <c r="L575" i="12" s="1"/>
  <c r="O252" i="12" a="1"/>
  <c r="O252" i="12" s="1"/>
  <c r="R273" i="12" a="1"/>
  <c r="R273" i="12" s="1"/>
  <c r="R437" i="12" a="1"/>
  <c r="R437" i="12" s="1"/>
  <c r="F443" i="12" a="1"/>
  <c r="F443" i="12" s="1"/>
  <c r="U525" i="2" a="1"/>
  <c r="U525" i="2" s="1"/>
  <c r="J336" i="12" a="1"/>
  <c r="J336" i="12" s="1"/>
  <c r="Q336" i="12" a="1"/>
  <c r="Q336" i="12" s="1"/>
  <c r="N338" i="12" a="1"/>
  <c r="N338" i="12" s="1"/>
  <c r="S319" i="12" a="1"/>
  <c r="S319" i="12" s="1"/>
  <c r="F572" i="12" a="1"/>
  <c r="F572" i="12" s="1"/>
  <c r="N327" i="12" a="1"/>
  <c r="N327" i="12" s="1"/>
  <c r="G350" i="12" a="1"/>
  <c r="G350" i="12" s="1"/>
  <c r="I262" i="12" a="1"/>
  <c r="I262" i="12" s="1"/>
  <c r="G334" i="12" a="1"/>
  <c r="G334" i="12" s="1"/>
  <c r="K329" i="12" a="1"/>
  <c r="K329" i="12" s="1"/>
  <c r="R254" i="12" a="1"/>
  <c r="R254" i="12" s="1"/>
  <c r="G555" i="12" a="1"/>
  <c r="G555" i="12" s="1"/>
  <c r="K269" i="12" a="1"/>
  <c r="K269" i="12" s="1"/>
  <c r="R241" i="12" a="1"/>
  <c r="R241" i="12" s="1"/>
  <c r="Q470" i="12" a="1"/>
  <c r="Q470" i="12" s="1"/>
  <c r="S470" i="12" a="1"/>
  <c r="S470" i="12" s="1"/>
  <c r="J390" i="12" a="1"/>
  <c r="J390" i="12" s="1"/>
  <c r="R361" i="12" a="1"/>
  <c r="R361" i="12" s="1"/>
  <c r="Q576" i="12" a="1"/>
  <c r="Q576" i="12" s="1"/>
  <c r="J329" i="12" a="1"/>
  <c r="J329" i="12" s="1"/>
  <c r="J420" i="12" a="1"/>
  <c r="J420" i="12" s="1"/>
  <c r="S420" i="12" a="1"/>
  <c r="S420" i="12" s="1"/>
  <c r="L338" i="12" a="1"/>
  <c r="L338" i="12" s="1"/>
  <c r="R572" i="12" a="1"/>
  <c r="R572" i="12" s="1"/>
  <c r="Q240" i="12" a="1"/>
  <c r="Q240" i="12" s="1"/>
  <c r="Z626" i="12" a="1"/>
  <c r="Z626" i="12" s="1"/>
  <c r="J247" i="12" a="1"/>
  <c r="J247" i="12" s="1"/>
  <c r="J594" i="12" a="1"/>
  <c r="J594" i="12" s="1"/>
  <c r="K273" i="12" a="1"/>
  <c r="K273" i="12" s="1"/>
  <c r="Q524" i="12" a="1"/>
  <c r="Q524" i="12" s="1"/>
  <c r="O468" i="12" a="1"/>
  <c r="O468" i="12" s="1"/>
  <c r="L468" i="12" a="1"/>
  <c r="L468" i="12" s="1"/>
  <c r="F373" i="12" a="1"/>
  <c r="F373" i="12" s="1"/>
  <c r="U620" i="2" a="1"/>
  <c r="U620" i="2" s="1"/>
  <c r="L331" i="12" a="1"/>
  <c r="L331" i="12" s="1"/>
  <c r="O572" i="12" a="1"/>
  <c r="O572" i="12" s="1"/>
  <c r="AA632" i="12" a="1"/>
  <c r="AA632" i="12" s="1"/>
  <c r="O605" i="12" a="1"/>
  <c r="O605" i="12" s="1"/>
  <c r="N320" i="12" a="1"/>
  <c r="N320" i="12" s="1"/>
  <c r="N198" i="12" a="1"/>
  <c r="N198" i="12" s="1"/>
  <c r="Q315" i="12" a="1"/>
  <c r="Q315" i="12" s="1"/>
  <c r="N483" i="12" a="1"/>
  <c r="N483" i="12" s="1"/>
  <c r="T566" i="12" a="1"/>
  <c r="T566" i="12" s="1"/>
  <c r="K277" i="12" a="1"/>
  <c r="K277" i="12" s="1"/>
  <c r="S181" i="12" a="1"/>
  <c r="S181" i="12" s="1"/>
  <c r="L527" i="12" a="1"/>
  <c r="L527" i="12" s="1"/>
  <c r="L435" i="12" a="1"/>
  <c r="L435" i="12" s="1"/>
  <c r="L171" i="12" a="1"/>
  <c r="L171" i="12" s="1"/>
  <c r="I606" i="12" a="1"/>
  <c r="I606" i="12" s="1"/>
  <c r="I181" i="12" a="1"/>
  <c r="I181" i="12" s="1"/>
  <c r="M265" i="12" a="1"/>
  <c r="M265" i="12" s="1"/>
  <c r="J265" i="12" a="1"/>
  <c r="J265" i="12" s="1"/>
  <c r="J557" i="12" a="1"/>
  <c r="J557" i="12" s="1"/>
  <c r="O287" i="12" a="1"/>
  <c r="O287" i="12" s="1"/>
  <c r="M571" i="12" a="1"/>
  <c r="M571" i="12" s="1"/>
  <c r="M263" i="12" a="1"/>
  <c r="M263" i="12" s="1"/>
  <c r="Q519" i="12" a="1"/>
  <c r="Q519" i="12" s="1"/>
  <c r="G588" i="12" a="1"/>
  <c r="G588" i="12" s="1"/>
  <c r="Z630" i="12" a="1"/>
  <c r="Z630" i="12" s="1"/>
  <c r="Z668" i="12" a="1"/>
  <c r="Z668" i="12" s="1"/>
  <c r="AL233" i="2" a="1"/>
  <c r="AL233" i="2" s="1"/>
  <c r="S281" i="12" a="1"/>
  <c r="S281" i="12" s="1"/>
  <c r="P238" i="12" a="1"/>
  <c r="P238" i="12" s="1"/>
  <c r="L483" i="12" a="1"/>
  <c r="L483" i="12" s="1"/>
  <c r="F298" i="12" a="1"/>
  <c r="F298" i="12" s="1"/>
  <c r="U661" i="2" a="1"/>
  <c r="U661" i="2" s="1"/>
  <c r="O301" i="12" a="1"/>
  <c r="O301" i="12" s="1"/>
  <c r="N234" i="12" a="1"/>
  <c r="N234" i="12" s="1"/>
  <c r="P539" i="12" a="1"/>
  <c r="P539" i="12" s="1"/>
  <c r="R237" i="12" a="1"/>
  <c r="R237" i="12" s="1"/>
  <c r="Q499" i="12" a="1"/>
  <c r="Q499" i="12" s="1"/>
  <c r="O228" i="12" a="1"/>
  <c r="O228" i="12" s="1"/>
  <c r="N527" i="12" a="1"/>
  <c r="N527" i="12" s="1"/>
  <c r="J531" i="12" a="1"/>
  <c r="J531" i="12" s="1"/>
  <c r="I197" i="12" a="1"/>
  <c r="I197" i="12" s="1"/>
  <c r="F258" i="12" a="1"/>
  <c r="F258" i="12" s="1"/>
  <c r="U663" i="2" a="1"/>
  <c r="U663" i="2" s="1"/>
  <c r="F581" i="12" a="1"/>
  <c r="F581" i="12" s="1"/>
  <c r="U379" i="2" a="1"/>
  <c r="U379" i="2" s="1"/>
  <c r="K239" i="12" a="1"/>
  <c r="K239" i="12" s="1"/>
  <c r="G227" i="12" a="1"/>
  <c r="G227" i="12" s="1"/>
  <c r="M181" i="12" a="1"/>
  <c r="M181" i="12" s="1"/>
  <c r="T208" i="12" a="1"/>
  <c r="T208" i="12" s="1"/>
  <c r="Q293" i="12" a="1"/>
  <c r="Q293" i="12" s="1"/>
  <c r="L372" i="12" a="1"/>
  <c r="L372" i="12" s="1"/>
  <c r="T354" i="12" a="1"/>
  <c r="T354" i="12" s="1"/>
  <c r="N196" i="12" a="1"/>
  <c r="N196" i="12" s="1"/>
  <c r="Q68" i="12" a="1"/>
  <c r="Q68" i="12" s="1"/>
  <c r="I543" i="12" a="1"/>
  <c r="I543" i="12" s="1"/>
  <c r="M599" i="12" a="1"/>
  <c r="M599" i="12" s="1"/>
  <c r="M489" i="12" a="1"/>
  <c r="M489" i="12" s="1"/>
  <c r="Q480" i="12" a="1"/>
  <c r="Q480" i="12" s="1"/>
  <c r="R441" i="12" a="1"/>
  <c r="R441" i="12" s="1"/>
  <c r="J565" i="12" a="1"/>
  <c r="J565" i="12" s="1"/>
  <c r="L424" i="12" a="1"/>
  <c r="L424" i="12" s="1"/>
  <c r="G577" i="12" a="1"/>
  <c r="G577" i="12" s="1"/>
  <c r="K424" i="12" a="1"/>
  <c r="K424" i="12" s="1"/>
  <c r="N456" i="12" a="1"/>
  <c r="N456" i="12" s="1"/>
  <c r="F480" i="12" a="1"/>
  <c r="F480" i="12" s="1"/>
  <c r="U570" i="2" a="1"/>
  <c r="U570" i="2" s="1"/>
  <c r="J580" i="12" a="1"/>
  <c r="J580" i="12" s="1"/>
  <c r="J579" i="12" a="1"/>
  <c r="J579" i="12" s="1"/>
  <c r="J438" i="12" a="1"/>
  <c r="J438" i="12" s="1"/>
  <c r="S545" i="12" a="1"/>
  <c r="S545" i="12" s="1"/>
  <c r="Q438" i="12" a="1"/>
  <c r="Q438" i="12" s="1"/>
  <c r="M392" i="12" a="1"/>
  <c r="M392" i="12" s="1"/>
  <c r="G456" i="12" a="1"/>
  <c r="G456" i="12" s="1"/>
  <c r="Q436" i="12" a="1"/>
  <c r="Q436" i="12" s="1"/>
  <c r="R98" i="12" a="1"/>
  <c r="R98" i="12" s="1"/>
  <c r="P580" i="12" a="1"/>
  <c r="P580" i="12" s="1"/>
  <c r="J553" i="12" a="1"/>
  <c r="J553" i="12" s="1"/>
  <c r="J485" i="12" a="1"/>
  <c r="J485" i="12" s="1"/>
  <c r="S599" i="12" a="1"/>
  <c r="S599" i="12" s="1"/>
  <c r="I516" i="12" a="1"/>
  <c r="I516" i="12" s="1"/>
  <c r="L477" i="12" a="1"/>
  <c r="L477" i="12" s="1"/>
  <c r="S548" i="12" a="1"/>
  <c r="S548" i="12" s="1"/>
  <c r="K491" i="12" a="1"/>
  <c r="K491" i="12" s="1"/>
  <c r="J430" i="12" a="1"/>
  <c r="J430" i="12" s="1"/>
  <c r="P480" i="12" a="1"/>
  <c r="P480" i="12" s="1"/>
  <c r="O580" i="12" a="1"/>
  <c r="O580" i="12" s="1"/>
  <c r="J550" i="12" a="1"/>
  <c r="J550" i="12" s="1"/>
  <c r="P516" i="12" a="1"/>
  <c r="P516" i="12" s="1"/>
  <c r="T592" i="12" a="1"/>
  <c r="T592" i="12" s="1"/>
  <c r="M554" i="12" a="1"/>
  <c r="M554" i="12" s="1"/>
  <c r="T507" i="12" a="1"/>
  <c r="T507" i="12" s="1"/>
  <c r="P418" i="12" a="1"/>
  <c r="P418" i="12" s="1"/>
  <c r="P441" i="12" a="1"/>
  <c r="P441" i="12" s="1"/>
  <c r="M525" i="12" a="1"/>
  <c r="M525" i="12" s="1"/>
  <c r="Q550" i="12" a="1"/>
  <c r="Q550" i="12" s="1"/>
  <c r="G545" i="12" a="1"/>
  <c r="G545" i="12" s="1"/>
  <c r="N579" i="12" a="1"/>
  <c r="N579" i="12" s="1"/>
  <c r="M398" i="12" a="1"/>
  <c r="M398" i="12" s="1"/>
  <c r="K546" i="12" a="1"/>
  <c r="K546" i="12" s="1"/>
  <c r="Q489" i="12" a="1"/>
  <c r="Q489" i="12" s="1"/>
  <c r="R570" i="12" a="1"/>
  <c r="R570" i="12" s="1"/>
  <c r="O545" i="12" a="1"/>
  <c r="O545" i="12" s="1"/>
  <c r="R477" i="12" a="1"/>
  <c r="R477" i="12" s="1"/>
  <c r="F553" i="12" a="1"/>
  <c r="F553" i="12" s="1"/>
  <c r="U598" i="2" a="1"/>
  <c r="U598" i="2" s="1"/>
  <c r="S398" i="12" a="1"/>
  <c r="S398" i="12" s="1"/>
  <c r="T485" i="12" a="1"/>
  <c r="T485" i="12" s="1"/>
  <c r="S563" i="12" a="1"/>
  <c r="S563" i="12" s="1"/>
  <c r="L565" i="12" a="1"/>
  <c r="L565" i="12" s="1"/>
  <c r="J587" i="12" a="1"/>
  <c r="J587" i="12" s="1"/>
  <c r="J542" i="12" a="1"/>
  <c r="J542" i="12" s="1"/>
  <c r="R563" i="12" a="1"/>
  <c r="R563" i="12" s="1"/>
  <c r="M553" i="12" a="1"/>
  <c r="M553" i="12" s="1"/>
  <c r="N550" i="12" a="1"/>
  <c r="N550" i="12" s="1"/>
  <c r="Q544" i="12" a="1"/>
  <c r="Q544" i="12" s="1"/>
  <c r="G507" i="12" a="1"/>
  <c r="G507" i="12" s="1"/>
  <c r="G491" i="12" a="1"/>
  <c r="G491" i="12" s="1"/>
  <c r="T424" i="12" a="1"/>
  <c r="T424" i="12" s="1"/>
  <c r="G375" i="12" a="1"/>
  <c r="G375" i="12" s="1"/>
  <c r="F513" i="12" a="1"/>
  <c r="F513" i="12" s="1"/>
  <c r="Q482" i="12" a="1"/>
  <c r="Q482" i="12" s="1"/>
  <c r="K482" i="12" a="1"/>
  <c r="K482" i="12" s="1"/>
  <c r="L445" i="12" a="1"/>
  <c r="L445" i="12" s="1"/>
  <c r="N512" i="12" a="1"/>
  <c r="N512" i="12" s="1"/>
  <c r="I471" i="12" a="1"/>
  <c r="I471" i="12" s="1"/>
  <c r="S409" i="12" a="1"/>
  <c r="S409" i="12" s="1"/>
  <c r="O369" i="12" a="1"/>
  <c r="O369" i="12" s="1"/>
  <c r="F399" i="12" a="1"/>
  <c r="F399" i="12" s="1"/>
  <c r="U572" i="2" a="1"/>
  <c r="U572" i="2" s="1"/>
  <c r="I386" i="12" a="1"/>
  <c r="I386" i="12" s="1"/>
  <c r="P288" i="12" a="1"/>
  <c r="P288" i="12" s="1"/>
  <c r="S352" i="12" a="1"/>
  <c r="S352" i="12" s="1"/>
  <c r="M307" i="12" a="1"/>
  <c r="M307" i="12" s="1"/>
  <c r="F544" i="12" a="1"/>
  <c r="F544" i="12" s="1"/>
  <c r="P392" i="12" a="1"/>
  <c r="P392" i="12" s="1"/>
  <c r="I447" i="12" a="1"/>
  <c r="I447" i="12" s="1"/>
  <c r="Q410" i="12" a="1"/>
  <c r="Q410" i="12" s="1"/>
  <c r="Q472" i="12" a="1"/>
  <c r="Q472" i="12" s="1"/>
  <c r="S480" i="12" a="1"/>
  <c r="S480" i="12" s="1"/>
  <c r="S355" i="12" a="1"/>
  <c r="S355" i="12" s="1"/>
  <c r="N391" i="12" a="1"/>
  <c r="N391" i="12" s="1"/>
  <c r="S381" i="12" a="1"/>
  <c r="S381" i="12" s="1"/>
  <c r="I593" i="12" a="1"/>
  <c r="I593" i="12" s="1"/>
  <c r="T516" i="12" a="1"/>
  <c r="T516" i="12" s="1"/>
  <c r="S491" i="12" a="1"/>
  <c r="S491" i="12" s="1"/>
  <c r="O464" i="12" a="1"/>
  <c r="O464" i="12" s="1"/>
  <c r="N464" i="12" a="1"/>
  <c r="N464" i="12" s="1"/>
  <c r="Q444" i="12" a="1"/>
  <c r="Q444" i="12" s="1"/>
  <c r="L523" i="12" a="1"/>
  <c r="L523" i="12" s="1"/>
  <c r="Q552" i="12" a="1"/>
  <c r="Q552" i="12" s="1"/>
  <c r="G409" i="12" a="1"/>
  <c r="G409" i="12" s="1"/>
  <c r="T341" i="12" a="1"/>
  <c r="T341" i="12" s="1"/>
  <c r="I359" i="12" a="1"/>
  <c r="I359" i="12" s="1"/>
  <c r="L352" i="12" a="1"/>
  <c r="L352" i="12" s="1"/>
  <c r="P563" i="12" a="1"/>
  <c r="P563" i="12" s="1"/>
  <c r="I473" i="12" a="1"/>
  <c r="I473" i="12" s="1"/>
  <c r="T371" i="12" a="1"/>
  <c r="T371" i="12" s="1"/>
  <c r="J396" i="12" a="1"/>
  <c r="J396" i="12" s="1"/>
  <c r="S278" i="12" a="1"/>
  <c r="S278" i="12" s="1"/>
  <c r="T389" i="12" a="1"/>
  <c r="T389" i="12" s="1"/>
  <c r="K322" i="12" a="1"/>
  <c r="K322" i="12" s="1"/>
  <c r="I355" i="12" a="1"/>
  <c r="I355" i="12" s="1"/>
  <c r="T318" i="12" a="1"/>
  <c r="T318" i="12" s="1"/>
  <c r="P569" i="12" a="1"/>
  <c r="P569" i="12" s="1"/>
  <c r="Q428" i="12" a="1"/>
  <c r="Q428" i="12" s="1"/>
  <c r="O428" i="12" a="1"/>
  <c r="O428" i="12" s="1"/>
  <c r="O445" i="12" a="1"/>
  <c r="O445" i="12" s="1"/>
  <c r="S429" i="12" a="1"/>
  <c r="S429" i="12" s="1"/>
  <c r="M324" i="12" a="1"/>
  <c r="M324" i="12" s="1"/>
  <c r="L369" i="12" a="1"/>
  <c r="L369" i="12" s="1"/>
  <c r="O506" i="12" a="1"/>
  <c r="O506" i="12" s="1"/>
  <c r="N300" i="12" a="1"/>
  <c r="N300" i="12" s="1"/>
  <c r="S339" i="12" a="1"/>
  <c r="S339" i="12" s="1"/>
  <c r="F137" i="12" a="1"/>
  <c r="F137" i="12" s="1"/>
  <c r="U564" i="2" a="1"/>
  <c r="U564" i="2" s="1"/>
  <c r="O242" i="12" a="1"/>
  <c r="O242" i="12" s="1"/>
  <c r="F542" i="12" a="1"/>
  <c r="F542" i="12" s="1"/>
  <c r="Q450" i="12" a="1"/>
  <c r="Q450" i="12" s="1"/>
  <c r="N450" i="12" a="1"/>
  <c r="N450" i="12" s="1"/>
  <c r="N424" i="12" a="1"/>
  <c r="N424" i="12" s="1"/>
  <c r="S453" i="12" a="1"/>
  <c r="S453" i="12" s="1"/>
  <c r="S535" i="12" a="1"/>
  <c r="S535" i="12" s="1"/>
  <c r="M353" i="12" a="1"/>
  <c r="M353" i="12" s="1"/>
  <c r="N310" i="12" a="1"/>
  <c r="N310" i="12" s="1"/>
  <c r="I278" i="12" a="1"/>
  <c r="I278" i="12" s="1"/>
  <c r="R443" i="12" a="1"/>
  <c r="R443" i="12" s="1"/>
  <c r="R385" i="12" a="1"/>
  <c r="R385" i="12" s="1"/>
  <c r="R341" i="12" a="1"/>
  <c r="R341" i="12" s="1"/>
  <c r="R304" i="12" a="1"/>
  <c r="R304" i="12" s="1"/>
  <c r="R373" i="12" a="1"/>
  <c r="R373" i="12" s="1"/>
  <c r="R339" i="12" a="1"/>
  <c r="R339" i="12" s="1"/>
  <c r="L599" i="12" a="1"/>
  <c r="L599" i="12" s="1"/>
  <c r="L567" i="12" a="1"/>
  <c r="L567" i="12" s="1"/>
  <c r="R567" i="12" a="1"/>
  <c r="R567" i="12" s="1"/>
  <c r="F523" i="12" a="1"/>
  <c r="F523" i="12" s="1"/>
  <c r="U574" i="2" a="1"/>
  <c r="U574" i="2" s="1"/>
  <c r="P523" i="12" a="1"/>
  <c r="P523" i="12" s="1"/>
  <c r="T486" i="12" a="1"/>
  <c r="T486" i="12" s="1"/>
  <c r="G535" i="12" a="1"/>
  <c r="G535" i="12" s="1"/>
  <c r="F409" i="12" a="1"/>
  <c r="F409" i="12" s="1"/>
  <c r="U510" i="2" a="1"/>
  <c r="U510" i="2" s="1"/>
  <c r="P478" i="12" a="1"/>
  <c r="P478" i="12" s="1"/>
  <c r="P399" i="12" a="1"/>
  <c r="P399" i="12" s="1"/>
  <c r="L288" i="12" a="1"/>
  <c r="L288" i="12" s="1"/>
  <c r="Z644" i="12" a="1"/>
  <c r="Z644" i="12" s="1"/>
  <c r="X648" i="12" a="1"/>
  <c r="X648" i="12" s="1"/>
  <c r="J338" i="12" a="1"/>
  <c r="J338" i="12" s="1"/>
  <c r="O262" i="12" a="1"/>
  <c r="O262" i="12" s="1"/>
  <c r="K592" i="12" a="1"/>
  <c r="K592" i="12" s="1"/>
  <c r="K438" i="12" a="1"/>
  <c r="K438" i="12" s="1"/>
  <c r="S488" i="12" a="1"/>
  <c r="S488" i="12" s="1"/>
  <c r="I487" i="12" a="1"/>
  <c r="I487" i="12" s="1"/>
  <c r="N487" i="12" a="1"/>
  <c r="N487" i="12" s="1"/>
  <c r="L560" i="12" a="1"/>
  <c r="L560" i="12" s="1"/>
  <c r="K433" i="12" a="1"/>
  <c r="K433" i="12" s="1"/>
  <c r="K455" i="12" a="1"/>
  <c r="K455" i="12" s="1"/>
  <c r="G461" i="12" a="1"/>
  <c r="G461" i="12" s="1"/>
  <c r="I385" i="12" a="1"/>
  <c r="I385" i="12" s="1"/>
  <c r="O355" i="12" a="1"/>
  <c r="O355" i="12" s="1"/>
  <c r="O344" i="12" a="1"/>
  <c r="O344" i="12" s="1"/>
  <c r="Q546" i="12" a="1"/>
  <c r="Q546" i="12" s="1"/>
  <c r="J446" i="12" a="1"/>
  <c r="J446" i="12" s="1"/>
  <c r="R512" i="12" a="1"/>
  <c r="R512" i="12" s="1"/>
  <c r="J310" i="12" a="1"/>
  <c r="J310" i="12" s="1"/>
  <c r="N399" i="12" a="1"/>
  <c r="N399" i="12" s="1"/>
  <c r="O373" i="12" a="1"/>
  <c r="O373" i="12" s="1"/>
  <c r="O137" i="12" a="1"/>
  <c r="O137" i="12" s="1"/>
  <c r="S578" i="12" a="1"/>
  <c r="S578" i="12" s="1"/>
  <c r="N384" i="12" a="1"/>
  <c r="N384" i="12" s="1"/>
  <c r="Q459" i="12" a="1"/>
  <c r="Q459" i="12" s="1"/>
  <c r="N524" i="12" a="1"/>
  <c r="N524" i="12" s="1"/>
  <c r="F437" i="12" a="1"/>
  <c r="F437" i="12" s="1"/>
  <c r="U548" i="2" a="1"/>
  <c r="U548" i="2" s="1"/>
  <c r="P437" i="12" a="1"/>
  <c r="P437" i="12" s="1"/>
  <c r="N278" i="12" a="1"/>
  <c r="N278" i="12" s="1"/>
  <c r="S340" i="12" a="1"/>
  <c r="S340" i="12" s="1"/>
  <c r="K360" i="12" a="1"/>
  <c r="K360" i="12" s="1"/>
  <c r="G359" i="12" a="1"/>
  <c r="G359" i="12" s="1"/>
  <c r="U397" i="2" a="1"/>
  <c r="U397" i="2" s="1"/>
  <c r="P326" i="12" a="1"/>
  <c r="P326" i="12" s="1"/>
  <c r="T364" i="12" a="1"/>
  <c r="T364" i="12" s="1"/>
  <c r="I347" i="12" a="1"/>
  <c r="I347" i="12" s="1"/>
  <c r="I301" i="12" a="1"/>
  <c r="I301" i="12" s="1"/>
  <c r="I594" i="12" a="1"/>
  <c r="I594" i="12" s="1"/>
  <c r="O269" i="12" a="1"/>
  <c r="O269" i="12" s="1"/>
  <c r="G272" i="12" a="1"/>
  <c r="G272" i="12" s="1"/>
  <c r="S271" i="12" a="1"/>
  <c r="S271" i="12" s="1"/>
  <c r="Q498" i="12" a="1"/>
  <c r="Q498" i="12" s="1"/>
  <c r="F369" i="12" a="1"/>
  <c r="F369" i="12" s="1"/>
  <c r="P316" i="12" a="1"/>
  <c r="P316" i="12" s="1"/>
  <c r="U646" i="2" a="1"/>
  <c r="U646" i="2" s="1"/>
  <c r="U541" i="2" a="1"/>
  <c r="U541" i="2" s="1"/>
  <c r="J601" i="12" a="1"/>
  <c r="J601" i="12" s="1"/>
  <c r="R349" i="12" a="1"/>
  <c r="R349" i="12" s="1"/>
  <c r="L270" i="12" a="1"/>
  <c r="L270" i="12" s="1"/>
  <c r="G294" i="12" a="1"/>
  <c r="G294" i="12" s="1"/>
  <c r="F605" i="12" a="1"/>
  <c r="F605" i="12" s="1"/>
  <c r="U481" i="2" a="1"/>
  <c r="U481" i="2" s="1"/>
  <c r="O214" i="12" a="1"/>
  <c r="O214" i="12" s="1"/>
  <c r="I457" i="12" a="1"/>
  <c r="I457" i="12" s="1"/>
  <c r="AB668" i="12" a="1"/>
  <c r="AB668" i="12" s="1"/>
  <c r="AQ136" i="2" a="1"/>
  <c r="AQ136" i="2" s="1"/>
  <c r="Q324" i="12" a="1"/>
  <c r="Q324" i="12" s="1"/>
  <c r="L448" i="12" a="1"/>
  <c r="L448" i="12" s="1"/>
  <c r="R448" i="12" a="1"/>
  <c r="R448" i="12" s="1"/>
  <c r="L307" i="12" a="1"/>
  <c r="L307" i="12" s="1"/>
  <c r="I364" i="12" a="1"/>
  <c r="I364" i="12" s="1"/>
  <c r="L572" i="12" a="1"/>
  <c r="L572" i="12" s="1"/>
  <c r="N242" i="12" a="1"/>
  <c r="N242" i="12" s="1"/>
  <c r="P350" i="12" a="1"/>
  <c r="P350" i="12" s="1"/>
  <c r="F324" i="12" a="1"/>
  <c r="F324" i="12" s="1"/>
  <c r="J380" i="12" a="1"/>
  <c r="J380" i="12" s="1"/>
  <c r="I357" i="12" a="1"/>
  <c r="I357" i="12" s="1"/>
  <c r="O357" i="12" a="1"/>
  <c r="O357" i="12" s="1"/>
  <c r="Q342" i="12" a="1"/>
  <c r="Q342" i="12" s="1"/>
  <c r="O302" i="12" a="1"/>
  <c r="O302" i="12" s="1"/>
  <c r="K249" i="12" a="1"/>
  <c r="K249" i="12" s="1"/>
  <c r="K367" i="12" a="1"/>
  <c r="K367" i="12" s="1"/>
  <c r="J328" i="12" a="1"/>
  <c r="J328" i="12" s="1"/>
  <c r="F349" i="12" a="1"/>
  <c r="F349" i="12" s="1"/>
  <c r="U520" i="2" a="1"/>
  <c r="U520" i="2" s="1"/>
  <c r="P291" i="12" a="1"/>
  <c r="P291" i="12" s="1"/>
  <c r="F400" i="12" a="1"/>
  <c r="F400" i="12" s="1"/>
  <c r="U670" i="2" a="1"/>
  <c r="U670" i="2" s="1"/>
  <c r="Z622" i="12" a="1"/>
  <c r="Z622" i="12" s="1"/>
  <c r="L351" i="12" a="1"/>
  <c r="L351" i="12" s="1"/>
  <c r="Q351" i="12" a="1"/>
  <c r="Q351" i="12" s="1"/>
  <c r="K344" i="12" a="1"/>
  <c r="K344" i="12" s="1"/>
  <c r="J331" i="12" a="1"/>
  <c r="J331" i="12" s="1"/>
  <c r="K290" i="12" a="1"/>
  <c r="K290" i="12" s="1"/>
  <c r="O294" i="12" a="1"/>
  <c r="O294" i="12" s="1"/>
  <c r="M413" i="12" a="1"/>
  <c r="M413" i="12" s="1"/>
  <c r="G413" i="12" a="1"/>
  <c r="G413" i="12" s="1"/>
  <c r="Q402" i="12" a="1"/>
  <c r="Q402" i="12" s="1"/>
  <c r="S402" i="12" a="1"/>
  <c r="S402" i="12" s="1"/>
  <c r="P521" i="12" a="1"/>
  <c r="P521" i="12" s="1"/>
  <c r="K521" i="12" a="1"/>
  <c r="K521" i="12" s="1"/>
  <c r="G440" i="12" a="1"/>
  <c r="G440" i="12" s="1"/>
  <c r="P574" i="12" a="1"/>
  <c r="P574" i="12" s="1"/>
  <c r="Q574" i="12" a="1"/>
  <c r="Q574" i="12" s="1"/>
  <c r="S576" i="12" a="1"/>
  <c r="S576" i="12" s="1"/>
  <c r="G575" i="12" a="1"/>
  <c r="G575" i="12" s="1"/>
  <c r="F252" i="12" a="1"/>
  <c r="F252" i="12" s="1"/>
  <c r="U605" i="2" a="1"/>
  <c r="U605" i="2" s="1"/>
  <c r="G273" i="12" a="1"/>
  <c r="G273" i="12" s="1"/>
  <c r="G443" i="12" a="1"/>
  <c r="G443" i="12" s="1"/>
  <c r="G336" i="12" a="1"/>
  <c r="G336" i="12" s="1"/>
  <c r="T319" i="12" a="1"/>
  <c r="T319" i="12" s="1"/>
  <c r="M343" i="12" a="1"/>
  <c r="M343" i="12" s="1"/>
  <c r="F576" i="12" a="1"/>
  <c r="F576" i="12" s="1"/>
  <c r="U340" i="2" a="1"/>
  <c r="U340" i="2" s="1"/>
  <c r="R334" i="12" a="1"/>
  <c r="R334" i="12" s="1"/>
  <c r="G329" i="12" a="1"/>
  <c r="G329" i="12" s="1"/>
  <c r="K158" i="12" a="1"/>
  <c r="K158" i="12" s="1"/>
  <c r="I254" i="12" a="1"/>
  <c r="I254" i="12" s="1"/>
  <c r="R555" i="12" a="1"/>
  <c r="R555" i="12" s="1"/>
  <c r="G269" i="12" a="1"/>
  <c r="G269" i="12" s="1"/>
  <c r="U318" i="2" a="1"/>
  <c r="U318" i="2" s="1"/>
  <c r="J470" i="12" a="1"/>
  <c r="J470" i="12" s="1"/>
  <c r="N470" i="12" a="1"/>
  <c r="N470" i="12" s="1"/>
  <c r="S390" i="12" a="1"/>
  <c r="S390" i="12" s="1"/>
  <c r="R278" i="12" a="1"/>
  <c r="R278" i="12" s="1"/>
  <c r="I362" i="12" a="1"/>
  <c r="I362" i="12" s="1"/>
  <c r="O198" i="12" a="1"/>
  <c r="O198" i="12" s="1"/>
  <c r="I241" i="12" a="1"/>
  <c r="I241" i="12" s="1"/>
  <c r="O420" i="12" a="1"/>
  <c r="O420" i="12" s="1"/>
  <c r="N420" i="12" a="1"/>
  <c r="N420" i="12" s="1"/>
  <c r="P304" i="12" a="1"/>
  <c r="P304" i="12" s="1"/>
  <c r="F307" i="12" a="1"/>
  <c r="F307" i="12" s="1"/>
  <c r="U535" i="2" a="1"/>
  <c r="U535" i="2" s="1"/>
  <c r="J343" i="12" a="1"/>
  <c r="J343" i="12" s="1"/>
  <c r="G240" i="12" a="1"/>
  <c r="G240" i="12" s="1"/>
  <c r="O251" i="12" a="1"/>
  <c r="O251" i="12" s="1"/>
  <c r="P247" i="12" a="1"/>
  <c r="P247" i="12" s="1"/>
  <c r="P594" i="12" a="1"/>
  <c r="P594" i="12" s="1"/>
  <c r="S604" i="12" a="1"/>
  <c r="S604" i="12" s="1"/>
  <c r="I468" i="12" a="1"/>
  <c r="I468" i="12" s="1"/>
  <c r="G468" i="12" a="1"/>
  <c r="G468" i="12" s="1"/>
  <c r="G373" i="12" a="1"/>
  <c r="G373" i="12" s="1"/>
  <c r="N319" i="12" a="1"/>
  <c r="N319" i="12" s="1"/>
  <c r="R331" i="12" a="1"/>
  <c r="R331" i="12" s="1"/>
  <c r="Q575" i="12" a="1"/>
  <c r="Q575" i="12" s="1"/>
  <c r="G320" i="12" a="1"/>
  <c r="G320" i="12" s="1"/>
  <c r="G198" i="12" a="1"/>
  <c r="G198" i="12" s="1"/>
  <c r="L313" i="12" a="1"/>
  <c r="L313" i="12" s="1"/>
  <c r="G571" i="12" a="1"/>
  <c r="G571" i="12" s="1"/>
  <c r="O282" i="12" a="1"/>
  <c r="O282" i="12" s="1"/>
  <c r="I463" i="12" a="1"/>
  <c r="I463" i="12" s="1"/>
  <c r="G239" i="12" a="1"/>
  <c r="G239" i="12" s="1"/>
  <c r="J273" i="12" a="1"/>
  <c r="J273" i="12" s="1"/>
  <c r="N181" i="12" a="1"/>
  <c r="N181" i="12" s="1"/>
  <c r="L562" i="12" a="1"/>
  <c r="L562" i="12" s="1"/>
  <c r="R556" i="12" a="1"/>
  <c r="R556" i="12" s="1"/>
  <c r="R147" i="12" a="1"/>
  <c r="R147" i="12" s="1"/>
  <c r="N606" i="12" a="1"/>
  <c r="N606" i="12" s="1"/>
  <c r="N594" i="12" a="1"/>
  <c r="N594" i="12" s="1"/>
  <c r="N213" i="12" a="1"/>
  <c r="N213" i="12" s="1"/>
  <c r="N158" i="12" a="1"/>
  <c r="N158" i="12" s="1"/>
  <c r="T265" i="12" a="1"/>
  <c r="T265" i="12" s="1"/>
  <c r="P265" i="12" a="1"/>
  <c r="P265" i="12" s="1"/>
  <c r="K276" i="12" a="1"/>
  <c r="K276" i="12" s="1"/>
  <c r="I287" i="12" a="1"/>
  <c r="I287" i="12" s="1"/>
  <c r="R233" i="12" a="1"/>
  <c r="R233" i="12" s="1"/>
  <c r="M520" i="12" a="1"/>
  <c r="M520" i="12" s="1"/>
  <c r="J236" i="12" a="1"/>
  <c r="J236" i="12" s="1"/>
  <c r="K562" i="12" a="1"/>
  <c r="K562" i="12" s="1"/>
  <c r="J281" i="12" a="1"/>
  <c r="J281" i="12" s="1"/>
  <c r="F238" i="12" a="1"/>
  <c r="F238" i="12" s="1"/>
  <c r="U415" i="2" a="1"/>
  <c r="U415" i="2" s="1"/>
  <c r="I248" i="12" a="1"/>
  <c r="I248" i="12" s="1"/>
  <c r="M298" i="12" a="1"/>
  <c r="M298" i="12" s="1"/>
  <c r="L298" i="12" a="1"/>
  <c r="L298" i="12" s="1"/>
  <c r="M536" i="12" a="1"/>
  <c r="M536" i="12" s="1"/>
  <c r="G596" i="12" a="1"/>
  <c r="G596" i="12" s="1"/>
  <c r="M280" i="12" a="1"/>
  <c r="M280" i="12" s="1"/>
  <c r="S474" i="12" a="1"/>
  <c r="S474" i="12" s="1"/>
  <c r="P254" i="12" a="1"/>
  <c r="P254" i="12" s="1"/>
  <c r="Q505" i="12" a="1"/>
  <c r="Q505" i="12" s="1"/>
  <c r="Q510" i="12" a="1"/>
  <c r="Q510" i="12" s="1"/>
  <c r="M557" i="12" a="1"/>
  <c r="M557" i="12" s="1"/>
  <c r="L272" i="12" a="1"/>
  <c r="L272" i="12" s="1"/>
  <c r="I540" i="12" a="1"/>
  <c r="I540" i="12" s="1"/>
  <c r="T425" i="12" a="1"/>
  <c r="T425" i="12" s="1"/>
  <c r="K138" i="12" a="1"/>
  <c r="K138" i="12" s="1"/>
  <c r="O492" i="12" a="1"/>
  <c r="O492" i="12" s="1"/>
  <c r="N167" i="12" a="1"/>
  <c r="N167" i="12" s="1"/>
  <c r="I337" i="12" a="1"/>
  <c r="I337" i="12" s="1"/>
  <c r="R425" i="12" a="1"/>
  <c r="R425" i="12" s="1"/>
  <c r="G171" i="12" a="1"/>
  <c r="G171" i="12" s="1"/>
  <c r="P377" i="12" a="1"/>
  <c r="P377" i="12" s="1"/>
  <c r="I7" i="12" a="1"/>
  <c r="I7" i="12" s="1"/>
  <c r="Q580" i="12" a="1"/>
  <c r="Q580" i="12" s="1"/>
  <c r="I438" i="12" a="1"/>
  <c r="I438" i="12" s="1"/>
  <c r="N529" i="12" a="1"/>
  <c r="N529" i="12" s="1"/>
  <c r="L375" i="12" a="1"/>
  <c r="L375" i="12" s="1"/>
  <c r="F436" i="12" a="1"/>
  <c r="F436" i="12" s="1"/>
  <c r="U644" i="2" a="1"/>
  <c r="U644" i="2" s="1"/>
  <c r="O525" i="12" a="1"/>
  <c r="O525" i="12" s="1"/>
  <c r="J98" i="12" a="1"/>
  <c r="J98" i="12" s="1"/>
  <c r="M590" i="12" a="1"/>
  <c r="M590" i="12" s="1"/>
  <c r="M570" i="12" a="1"/>
  <c r="M570" i="12" s="1"/>
  <c r="P518" i="12" a="1"/>
  <c r="P518" i="12" s="1"/>
  <c r="O554" i="12" a="1"/>
  <c r="O554" i="12" s="1"/>
  <c r="G580" i="12" a="1"/>
  <c r="G580" i="12" s="1"/>
  <c r="N563" i="12" a="1"/>
  <c r="N563" i="12" s="1"/>
  <c r="Q543" i="12" a="1"/>
  <c r="Q543" i="12" s="1"/>
  <c r="G438" i="12" a="1"/>
  <c r="G438" i="12" s="1"/>
  <c r="T577" i="12" a="1"/>
  <c r="T577" i="12" s="1"/>
  <c r="K489" i="12" a="1"/>
  <c r="K489" i="12" s="1"/>
  <c r="F580" i="12" a="1"/>
  <c r="F580" i="12" s="1"/>
  <c r="U651" i="2" a="1"/>
  <c r="U651" i="2" s="1"/>
  <c r="M563" i="12" a="1"/>
  <c r="M563" i="12" s="1"/>
  <c r="O438" i="12" a="1"/>
  <c r="O438" i="12" s="1"/>
  <c r="I418" i="12" a="1"/>
  <c r="I418" i="12" s="1"/>
  <c r="I441" i="12" a="1"/>
  <c r="I441" i="12" s="1"/>
  <c r="P424" i="12" a="1"/>
  <c r="P424" i="12" s="1"/>
  <c r="P430" i="12" a="1"/>
  <c r="P430" i="12" s="1"/>
  <c r="I550" i="12" a="1"/>
  <c r="I550" i="12" s="1"/>
  <c r="L544" i="12" a="1"/>
  <c r="L544" i="12" s="1"/>
  <c r="J489" i="12" a="1"/>
  <c r="J489" i="12" s="1"/>
  <c r="K587" i="12" a="1"/>
  <c r="K587" i="12" s="1"/>
  <c r="O578" i="12" a="1"/>
  <c r="O578" i="12" s="1"/>
  <c r="J570" i="12" a="1"/>
  <c r="J570" i="12" s="1"/>
  <c r="F545" i="12" a="1"/>
  <c r="F545" i="12" s="1"/>
  <c r="U634" i="2" a="1"/>
  <c r="U634" i="2" s="1"/>
  <c r="J477" i="12" a="1"/>
  <c r="J477" i="12" s="1"/>
  <c r="L398" i="12" a="1"/>
  <c r="L398" i="12" s="1"/>
  <c r="T434" i="12" a="1"/>
  <c r="T434" i="12" s="1"/>
  <c r="I590" i="12" a="1"/>
  <c r="I590" i="12" s="1"/>
  <c r="G595" i="12" a="1"/>
  <c r="G595" i="12" s="1"/>
  <c r="Q477" i="12" a="1"/>
  <c r="Q477" i="12" s="1"/>
  <c r="S517" i="12" a="1"/>
  <c r="S517" i="12" s="1"/>
  <c r="R544" i="12" a="1"/>
  <c r="R544" i="12" s="1"/>
  <c r="L98" i="12" a="1"/>
  <c r="L98" i="12" s="1"/>
  <c r="L553" i="12" a="1"/>
  <c r="L553" i="12" s="1"/>
  <c r="L485" i="12" a="1"/>
  <c r="L485" i="12" s="1"/>
  <c r="G517" i="12" a="1"/>
  <c r="G517" i="12" s="1"/>
  <c r="M482" i="12" a="1"/>
  <c r="M482" i="12" s="1"/>
  <c r="G445" i="12" a="1"/>
  <c r="G445" i="12" s="1"/>
  <c r="T512" i="12" a="1"/>
  <c r="T512" i="12" s="1"/>
  <c r="O471" i="12" a="1"/>
  <c r="O471" i="12" s="1"/>
  <c r="G369" i="12" a="1"/>
  <c r="G369" i="12" s="1"/>
  <c r="S360" i="12" a="1"/>
  <c r="S360" i="12" s="1"/>
  <c r="T386" i="12" a="1"/>
  <c r="T386" i="12" s="1"/>
  <c r="N304" i="12" a="1"/>
  <c r="N304" i="12" s="1"/>
  <c r="M355" i="12" a="1"/>
  <c r="M355" i="12" s="1"/>
  <c r="P137" i="12" a="1"/>
  <c r="P137" i="12" s="1"/>
  <c r="G307" i="12" a="1"/>
  <c r="G307" i="12" s="1"/>
  <c r="F242" i="12" a="1"/>
  <c r="F242" i="12" s="1"/>
  <c r="U587" i="2" a="1"/>
  <c r="U587" i="2" s="1"/>
  <c r="P477" i="12" a="1"/>
  <c r="P477" i="12" s="1"/>
  <c r="O447" i="12" a="1"/>
  <c r="O447" i="12" s="1"/>
  <c r="L410" i="12" a="1"/>
  <c r="L410" i="12" s="1"/>
  <c r="L472" i="12" a="1"/>
  <c r="L472" i="12" s="1"/>
  <c r="L480" i="12" a="1"/>
  <c r="L480" i="12" s="1"/>
  <c r="L461" i="12" a="1"/>
  <c r="L461" i="12" s="1"/>
  <c r="K361" i="12" a="1"/>
  <c r="K361" i="12" s="1"/>
  <c r="M389" i="12" a="1"/>
  <c r="M389" i="12" s="1"/>
  <c r="J405" i="12" a="1"/>
  <c r="J405" i="12" s="1"/>
  <c r="T391" i="12" a="1"/>
  <c r="T391" i="12" s="1"/>
  <c r="M381" i="12" a="1"/>
  <c r="M381" i="12" s="1"/>
  <c r="N441" i="12" a="1"/>
  <c r="N441" i="12" s="1"/>
  <c r="J464" i="12" a="1"/>
  <c r="J464" i="12" s="1"/>
  <c r="T464" i="12" a="1"/>
  <c r="T464" i="12" s="1"/>
  <c r="L444" i="12" a="1"/>
  <c r="L444" i="12" s="1"/>
  <c r="L552" i="12" a="1"/>
  <c r="L552" i="12" s="1"/>
  <c r="K461" i="12" a="1"/>
  <c r="K461" i="12" s="1"/>
  <c r="T385" i="12" a="1"/>
  <c r="T385" i="12" s="1"/>
  <c r="I300" i="12" a="1"/>
  <c r="I300" i="12" s="1"/>
  <c r="M352" i="12" a="1"/>
  <c r="M352" i="12" s="1"/>
  <c r="I546" i="12" a="1"/>
  <c r="I546" i="12" s="1"/>
  <c r="T445" i="12" a="1"/>
  <c r="T445" i="12" s="1"/>
  <c r="K396" i="12" a="1"/>
  <c r="K396" i="12" s="1"/>
  <c r="L278" i="12" a="1"/>
  <c r="L278" i="12" s="1"/>
  <c r="J389" i="12" a="1"/>
  <c r="J389" i="12" s="1"/>
  <c r="I322" i="12" a="1"/>
  <c r="I322" i="12" s="1"/>
  <c r="R406" i="12" a="1"/>
  <c r="R406" i="12" s="1"/>
  <c r="T355" i="12" a="1"/>
  <c r="T355" i="12" s="1"/>
  <c r="T137" i="12" a="1"/>
  <c r="T137" i="12" s="1"/>
  <c r="L569" i="12" a="1"/>
  <c r="L569" i="12" s="1"/>
  <c r="J569" i="12" a="1"/>
  <c r="J569" i="12" s="1"/>
  <c r="R428" i="12" a="1"/>
  <c r="R428" i="12" s="1"/>
  <c r="I428" i="12" a="1"/>
  <c r="I428" i="12" s="1"/>
  <c r="N429" i="12" a="1"/>
  <c r="N429" i="12" s="1"/>
  <c r="F486" i="12" a="1"/>
  <c r="F486" i="12" s="1"/>
  <c r="U533" i="2" a="1"/>
  <c r="U533" i="2" s="1"/>
  <c r="S324" i="12" a="1"/>
  <c r="S324" i="12" s="1"/>
  <c r="R417" i="12" a="1"/>
  <c r="R417" i="12" s="1"/>
  <c r="N369" i="12" a="1"/>
  <c r="N369" i="12" s="1"/>
  <c r="L443" i="12" a="1"/>
  <c r="L443" i="12" s="1"/>
  <c r="F300" i="12" a="1"/>
  <c r="F300" i="12" s="1"/>
  <c r="U603" i="2" a="1"/>
  <c r="U603" i="2" s="1"/>
  <c r="Q307" i="12" a="1"/>
  <c r="Q307" i="12" s="1"/>
  <c r="P262" i="12" a="1"/>
  <c r="P262" i="12" s="1"/>
  <c r="P570" i="12" a="1"/>
  <c r="P570" i="12" s="1"/>
  <c r="R450" i="12" a="1"/>
  <c r="R450" i="12" s="1"/>
  <c r="O450" i="12" a="1"/>
  <c r="O450" i="12" s="1"/>
  <c r="O529" i="12" a="1"/>
  <c r="O529" i="12" s="1"/>
  <c r="J453" i="12" a="1"/>
  <c r="J453" i="12" s="1"/>
  <c r="N353" i="12" a="1"/>
  <c r="N353" i="12" s="1"/>
  <c r="J443" i="12" a="1"/>
  <c r="J443" i="12" s="1"/>
  <c r="J385" i="12" a="1"/>
  <c r="J385" i="12" s="1"/>
  <c r="J341" i="12" a="1"/>
  <c r="J341" i="12" s="1"/>
  <c r="J304" i="12" a="1"/>
  <c r="J304" i="12" s="1"/>
  <c r="J373" i="12" a="1"/>
  <c r="J373" i="12" s="1"/>
  <c r="K339" i="12" a="1"/>
  <c r="K339" i="12" s="1"/>
  <c r="R580" i="12" a="1"/>
  <c r="R580" i="12" s="1"/>
  <c r="L548" i="12" a="1"/>
  <c r="L548" i="12" s="1"/>
  <c r="S567" i="12" a="1"/>
  <c r="S567" i="12" s="1"/>
  <c r="I392" i="12" a="1"/>
  <c r="I392" i="12" s="1"/>
  <c r="Q523" i="12" a="1"/>
  <c r="Q523" i="12" s="1"/>
  <c r="K523" i="12" a="1"/>
  <c r="K523" i="12" s="1"/>
  <c r="G512" i="12" a="1"/>
  <c r="G512" i="12" s="1"/>
  <c r="R535" i="12" a="1"/>
  <c r="R535" i="12" s="1"/>
  <c r="Q409" i="12" a="1"/>
  <c r="Q409" i="12" s="1"/>
  <c r="F478" i="12" a="1"/>
  <c r="F478" i="12" s="1"/>
  <c r="U338" i="2" a="1"/>
  <c r="U338" i="2" s="1"/>
  <c r="O310" i="12" a="1"/>
  <c r="O310" i="12" s="1"/>
  <c r="R369" i="12" a="1"/>
  <c r="R369" i="12" s="1"/>
  <c r="Q339" i="12" a="1"/>
  <c r="Q339" i="12" s="1"/>
  <c r="I307" i="12" a="1"/>
  <c r="I307" i="12" s="1"/>
  <c r="M488" i="12" a="1"/>
  <c r="M488" i="12" s="1"/>
  <c r="I395" i="12" a="1"/>
  <c r="I395" i="12" s="1"/>
  <c r="O487" i="12" a="1"/>
  <c r="O487" i="12" s="1"/>
  <c r="T487" i="12" a="1"/>
  <c r="T487" i="12" s="1"/>
  <c r="G560" i="12" a="1"/>
  <c r="G560" i="12" s="1"/>
  <c r="F433" i="12" a="1"/>
  <c r="F433" i="12" s="1"/>
  <c r="U635" i="2" a="1"/>
  <c r="U635" i="2" s="1"/>
  <c r="I532" i="12" a="1"/>
  <c r="I532" i="12" s="1"/>
  <c r="F455" i="12" a="1"/>
  <c r="F455" i="12" s="1"/>
  <c r="U628" i="2" a="1"/>
  <c r="U628" i="2" s="1"/>
  <c r="P396" i="12" a="1"/>
  <c r="P396" i="12" s="1"/>
  <c r="K411" i="12" a="1"/>
  <c r="K411" i="12" s="1"/>
  <c r="T405" i="12" a="1"/>
  <c r="T405" i="12" s="1"/>
  <c r="N352" i="12" a="1"/>
  <c r="N352" i="12" s="1"/>
  <c r="P592" i="12" a="1"/>
  <c r="P592" i="12" s="1"/>
  <c r="O444" i="12" a="1"/>
  <c r="O444" i="12" s="1"/>
  <c r="P446" i="12" a="1"/>
  <c r="P446" i="12" s="1"/>
  <c r="M417" i="12" a="1"/>
  <c r="M417" i="12" s="1"/>
  <c r="N371" i="12" a="1"/>
  <c r="N371" i="12" s="1"/>
  <c r="N361" i="12" a="1"/>
  <c r="N361" i="12" s="1"/>
  <c r="L360" i="12" a="1"/>
  <c r="L360" i="12" s="1"/>
  <c r="AR322" i="2" a="1"/>
  <c r="AR322" i="2" s="1"/>
  <c r="AQ322" i="2" a="1"/>
  <c r="AQ322" i="2" s="1"/>
  <c r="O481" i="12" a="1"/>
  <c r="O481" i="12" s="1"/>
  <c r="O384" i="12" a="1"/>
  <c r="O384" i="12" s="1"/>
  <c r="L459" i="12" a="1"/>
  <c r="L459" i="12" s="1"/>
  <c r="R459" i="12" a="1"/>
  <c r="R459" i="12" s="1"/>
  <c r="T524" i="12" a="1"/>
  <c r="T524" i="12" s="1"/>
  <c r="Q437" i="12" a="1"/>
  <c r="Q437" i="12" s="1"/>
  <c r="K437" i="12" a="1"/>
  <c r="K437" i="12" s="1"/>
  <c r="G278" i="12" a="1"/>
  <c r="G278" i="12" s="1"/>
  <c r="Q300" i="12" a="1"/>
  <c r="Q300" i="12" s="1"/>
  <c r="R359" i="12" a="1"/>
  <c r="R359" i="12" s="1"/>
  <c r="R600" i="12" a="1"/>
  <c r="R600" i="12" s="1"/>
  <c r="G355" i="12" a="1"/>
  <c r="G355" i="12" s="1"/>
  <c r="K389" i="12" a="1"/>
  <c r="K389" i="12" s="1"/>
  <c r="F600" i="12" a="1"/>
  <c r="F600" i="12" s="1"/>
  <c r="K326" i="12" a="1"/>
  <c r="K326" i="12" s="1"/>
  <c r="G343" i="12" a="1"/>
  <c r="G343" i="12" s="1"/>
  <c r="N605" i="12" a="1"/>
  <c r="N605" i="12" s="1"/>
  <c r="T347" i="12" a="1"/>
  <c r="T347" i="12" s="1"/>
  <c r="R286" i="12" a="1"/>
  <c r="R286" i="12" s="1"/>
  <c r="O555" i="12" a="1"/>
  <c r="O555" i="12" s="1"/>
  <c r="R571" i="12" a="1"/>
  <c r="R571" i="12" s="1"/>
  <c r="M271" i="12" a="1"/>
  <c r="M271" i="12" s="1"/>
  <c r="Q447" i="12" a="1"/>
  <c r="Q447" i="12" s="1"/>
  <c r="L498" i="12" a="1"/>
  <c r="L498" i="12" s="1"/>
  <c r="O316" i="12" a="1"/>
  <c r="O316" i="12" s="1"/>
  <c r="K316" i="12" a="1"/>
  <c r="K316" i="12" s="1"/>
  <c r="F339" i="12" a="1"/>
  <c r="F339" i="12" s="1"/>
  <c r="F338" i="12" a="1"/>
  <c r="F338" i="12" s="1"/>
  <c r="P601" i="12" a="1"/>
  <c r="P601" i="12" s="1"/>
  <c r="Q270" i="12" a="1"/>
  <c r="Q270" i="12" s="1"/>
  <c r="R270" i="12" a="1"/>
  <c r="R270" i="12" s="1"/>
  <c r="P280" i="12" a="1"/>
  <c r="P280" i="12" s="1"/>
  <c r="I214" i="12" a="1"/>
  <c r="I214" i="12" s="1"/>
  <c r="S448" i="12" a="1"/>
  <c r="S448" i="12" s="1"/>
  <c r="P506" i="12" a="1"/>
  <c r="P506" i="12" s="1"/>
  <c r="R249" i="12" a="1"/>
  <c r="R249" i="12" s="1"/>
  <c r="O364" i="12" a="1"/>
  <c r="O364" i="12" s="1"/>
  <c r="S343" i="12" a="1"/>
  <c r="S343" i="12" s="1"/>
  <c r="M605" i="12" a="1"/>
  <c r="M605" i="12" s="1"/>
  <c r="L320" i="12" a="1"/>
  <c r="L320" i="12" s="1"/>
  <c r="K380" i="12" a="1"/>
  <c r="K380" i="12" s="1"/>
  <c r="P357" i="12" a="1"/>
  <c r="P357" i="12" s="1"/>
  <c r="K357" i="12" a="1"/>
  <c r="K357" i="12" s="1"/>
  <c r="Q406" i="12" a="1"/>
  <c r="Q406" i="12" s="1"/>
  <c r="I302" i="12" a="1"/>
  <c r="I302" i="12" s="1"/>
  <c r="Q249" i="12" a="1"/>
  <c r="Q249" i="12" s="1"/>
  <c r="Q367" i="12" a="1"/>
  <c r="Q367" i="12" s="1"/>
  <c r="L601" i="12" a="1"/>
  <c r="L601" i="12" s="1"/>
  <c r="N349" i="12" a="1"/>
  <c r="N349" i="12" s="1"/>
  <c r="R251" i="12" a="1"/>
  <c r="R251" i="12" s="1"/>
  <c r="F329" i="12" a="1"/>
  <c r="F329" i="12" s="1"/>
  <c r="N301" i="12" a="1"/>
  <c r="N301" i="12" s="1"/>
  <c r="F291" i="12" a="1"/>
  <c r="F291" i="12" s="1"/>
  <c r="U591" i="2" a="1"/>
  <c r="U591" i="2" s="1"/>
  <c r="T400" i="12" a="1"/>
  <c r="T400" i="12" s="1"/>
  <c r="J303" i="12" a="1"/>
  <c r="J303" i="12" s="1"/>
  <c r="AA622" i="12" a="1"/>
  <c r="AA622" i="12" s="1"/>
  <c r="R351" i="12" a="1"/>
  <c r="R351" i="12" s="1"/>
  <c r="N351" i="12" a="1"/>
  <c r="N351" i="12" s="1"/>
  <c r="S306" i="12" a="1"/>
  <c r="S306" i="12" s="1"/>
  <c r="L290" i="12" a="1"/>
  <c r="L290" i="12" s="1"/>
  <c r="K294" i="12" a="1"/>
  <c r="K294" i="12" s="1"/>
  <c r="O591" i="12" a="1"/>
  <c r="O591" i="12" s="1"/>
  <c r="O286" i="12" a="1"/>
  <c r="O286" i="12" s="1"/>
  <c r="O413" i="12" a="1"/>
  <c r="O413" i="12" s="1"/>
  <c r="R413" i="12" a="1"/>
  <c r="R413" i="12" s="1"/>
  <c r="J402" i="12" a="1"/>
  <c r="J402" i="12" s="1"/>
  <c r="J521" i="12" a="1"/>
  <c r="J521" i="12" s="1"/>
  <c r="Q521" i="12" a="1"/>
  <c r="Q521" i="12" s="1"/>
  <c r="L440" i="12" a="1"/>
  <c r="L440" i="12" s="1"/>
  <c r="R440" i="12" a="1"/>
  <c r="R440" i="12" s="1"/>
  <c r="L574" i="12" a="1"/>
  <c r="L574" i="12" s="1"/>
  <c r="M591" i="12" a="1"/>
  <c r="M591" i="12" s="1"/>
  <c r="I350" i="12" a="1"/>
  <c r="I350" i="12" s="1"/>
  <c r="K576" i="12" a="1"/>
  <c r="K576" i="12" s="1"/>
  <c r="R575" i="12" a="1"/>
  <c r="R575" i="12" s="1"/>
  <c r="Q252" i="12" a="1"/>
  <c r="Q252" i="12" s="1"/>
  <c r="J271" i="12" a="1"/>
  <c r="J271" i="12" s="1"/>
  <c r="O604" i="12" a="1"/>
  <c r="O604" i="12" s="1"/>
  <c r="L532" i="12" a="1"/>
  <c r="L532" i="12" s="1"/>
  <c r="M360" i="12" a="1"/>
  <c r="M360" i="12" s="1"/>
  <c r="L336" i="12" a="1"/>
  <c r="L336" i="12" s="1"/>
  <c r="R336" i="12" a="1"/>
  <c r="R336" i="12" s="1"/>
  <c r="T344" i="12" a="1"/>
  <c r="T344" i="12" s="1"/>
  <c r="I319" i="12" a="1"/>
  <c r="I319" i="12" s="1"/>
  <c r="G576" i="12" a="1"/>
  <c r="G576" i="12" s="1"/>
  <c r="I334" i="12" a="1"/>
  <c r="I334" i="12" s="1"/>
  <c r="R329" i="12" a="1"/>
  <c r="R329" i="12" s="1"/>
  <c r="G158" i="12" a="1"/>
  <c r="G158" i="12" s="1"/>
  <c r="U490" i="2" a="1"/>
  <c r="U490" i="2" s="1"/>
  <c r="T254" i="12" a="1"/>
  <c r="T254" i="12" s="1"/>
  <c r="I555" i="12" a="1"/>
  <c r="I555" i="12" s="1"/>
  <c r="R269" i="12" a="1"/>
  <c r="R269" i="12" s="1"/>
  <c r="I445" i="12" a="1"/>
  <c r="I445" i="12" s="1"/>
  <c r="T470" i="12" a="1"/>
  <c r="T470" i="12" s="1"/>
  <c r="M369" i="12" a="1"/>
  <c r="M369" i="12" s="1"/>
  <c r="L390" i="12" a="1"/>
  <c r="L390" i="12" s="1"/>
  <c r="U590" i="2" a="1"/>
  <c r="U590" i="2" s="1"/>
  <c r="N306" i="12" a="1"/>
  <c r="N306" i="12" s="1"/>
  <c r="S240" i="12" a="1"/>
  <c r="S240" i="12" s="1"/>
  <c r="G251" i="12" a="1"/>
  <c r="G251" i="12" s="1"/>
  <c r="R594" i="12" a="1"/>
  <c r="R594" i="12" s="1"/>
  <c r="O272" i="12" a="1"/>
  <c r="O272" i="12" s="1"/>
  <c r="P420" i="12" a="1"/>
  <c r="P420" i="12" s="1"/>
  <c r="T420" i="12" a="1"/>
  <c r="T420" i="12" s="1"/>
  <c r="M600" i="12" a="1"/>
  <c r="M600" i="12" s="1"/>
  <c r="R307" i="12" a="1"/>
  <c r="R307" i="12" s="1"/>
  <c r="G349" i="12" a="1"/>
  <c r="G349" i="12" s="1"/>
  <c r="R240" i="12" a="1"/>
  <c r="R240" i="12" s="1"/>
  <c r="Q605" i="12" a="1"/>
  <c r="Q605" i="12" s="1"/>
  <c r="M286" i="12" a="1"/>
  <c r="M286" i="12" s="1"/>
  <c r="M604" i="12" a="1"/>
  <c r="M604" i="12" s="1"/>
  <c r="Q429" i="12" a="1"/>
  <c r="Q429" i="12" s="1"/>
  <c r="P468" i="12" a="1"/>
  <c r="P468" i="12" s="1"/>
  <c r="R468" i="12" a="1"/>
  <c r="R468" i="12" s="1"/>
  <c r="M391" i="12" a="1"/>
  <c r="M391" i="12" s="1"/>
  <c r="Q331" i="12" a="1"/>
  <c r="Q331" i="12" s="1"/>
  <c r="I331" i="12" a="1"/>
  <c r="I331" i="12" s="1"/>
  <c r="L327" i="12" a="1"/>
  <c r="L327" i="12" s="1"/>
  <c r="I313" i="12" a="1"/>
  <c r="I313" i="12" s="1"/>
  <c r="S571" i="12" a="1"/>
  <c r="S571" i="12" s="1"/>
  <c r="P295" i="12" a="1"/>
  <c r="P295" i="12" s="1"/>
  <c r="Q334" i="12" a="1"/>
  <c r="Q334" i="12" s="1"/>
  <c r="K557" i="12" a="1"/>
  <c r="K557" i="12" s="1"/>
  <c r="J571" i="12" a="1"/>
  <c r="J571" i="12" s="1"/>
  <c r="K260" i="12" a="1"/>
  <c r="K260" i="12" s="1"/>
  <c r="P514" i="12" a="1"/>
  <c r="P514" i="12" s="1"/>
  <c r="N248" i="12" a="1"/>
  <c r="N248" i="12" s="1"/>
  <c r="I257" i="12" a="1"/>
  <c r="I257" i="12" s="1"/>
  <c r="T181" i="12" a="1"/>
  <c r="T181" i="12" s="1"/>
  <c r="L531" i="12" a="1"/>
  <c r="L531" i="12" s="1"/>
  <c r="L556" i="12" a="1"/>
  <c r="L556" i="12" s="1"/>
  <c r="L147" i="12" a="1"/>
  <c r="L147" i="12" s="1"/>
  <c r="S606" i="12" a="1"/>
  <c r="S606" i="12" s="1"/>
  <c r="S295" i="12" a="1"/>
  <c r="S295" i="12" s="1"/>
  <c r="S158" i="12" a="1"/>
  <c r="S158" i="12" s="1"/>
  <c r="S269" i="12" a="1"/>
  <c r="S269" i="12" s="1"/>
  <c r="S588" i="12" a="1"/>
  <c r="S588" i="12" s="1"/>
  <c r="S273" i="12" a="1"/>
  <c r="S273" i="12" s="1"/>
  <c r="N265" i="12" a="1"/>
  <c r="N265" i="12" s="1"/>
  <c r="G265" i="12" a="1"/>
  <c r="G265" i="12" s="1"/>
  <c r="L555" i="12" a="1"/>
  <c r="L555" i="12" s="1"/>
  <c r="S287" i="12" a="1"/>
  <c r="S287" i="12" s="1"/>
  <c r="G243" i="12" a="1"/>
  <c r="G243" i="12" s="1"/>
  <c r="I501" i="12" a="1"/>
  <c r="I501" i="12" s="1"/>
  <c r="I561" i="12" a="1"/>
  <c r="I561" i="12" s="1"/>
  <c r="R218" i="12" a="1"/>
  <c r="R218" i="12" s="1"/>
  <c r="Q257" i="12" a="1"/>
  <c r="Q257" i="12" s="1"/>
  <c r="I499" i="12" a="1"/>
  <c r="I499" i="12" s="1"/>
  <c r="R520" i="12" a="1"/>
  <c r="R520" i="12" s="1"/>
  <c r="Q282" i="12" a="1"/>
  <c r="Q282" i="12" s="1"/>
  <c r="P281" i="12" a="1"/>
  <c r="P281" i="12" s="1"/>
  <c r="L238" i="12" a="1"/>
  <c r="L238" i="12" s="1"/>
  <c r="R271" i="12" a="1"/>
  <c r="R271" i="12" s="1"/>
  <c r="R483" i="12" a="1"/>
  <c r="R483" i="12" s="1"/>
  <c r="O298" i="12" a="1"/>
  <c r="O298" i="12" s="1"/>
  <c r="J495" i="12" a="1"/>
  <c r="J495" i="12" s="1"/>
  <c r="O213" i="12" a="1"/>
  <c r="O213" i="12" s="1"/>
  <c r="K311" i="12" a="1"/>
  <c r="K311" i="12" s="1"/>
  <c r="J223" i="12" a="1"/>
  <c r="J223" i="12" s="1"/>
  <c r="M323" i="12" a="1"/>
  <c r="M323" i="12" s="1"/>
  <c r="K539" i="12" a="1"/>
  <c r="K539" i="12" s="1"/>
  <c r="S254" i="12" a="1"/>
  <c r="S254" i="12" s="1"/>
  <c r="K226" i="12" a="1"/>
  <c r="K226" i="12" s="1"/>
  <c r="L236" i="12" a="1"/>
  <c r="L236" i="12" s="1"/>
  <c r="T490" i="12" a="1"/>
  <c r="T490" i="12" s="1"/>
  <c r="I526" i="12" a="1"/>
  <c r="I526" i="12" s="1"/>
  <c r="J169" i="12" a="1"/>
  <c r="J169" i="12" s="1"/>
  <c r="R124" i="12" a="1"/>
  <c r="R124" i="12" s="1"/>
  <c r="AA643" i="12" a="1"/>
  <c r="AA643" i="12" s="1"/>
  <c r="Q122" i="12" a="1"/>
  <c r="Q122" i="12" s="1"/>
  <c r="Q38" i="12" a="1"/>
  <c r="Q38" i="12" s="1"/>
  <c r="T55" i="12" a="1"/>
  <c r="T55" i="12" s="1"/>
  <c r="L79" i="12" a="1"/>
  <c r="L79" i="12" s="1"/>
  <c r="R513" i="12" a="1"/>
  <c r="R513" i="12" s="1"/>
  <c r="F438" i="12" a="1"/>
  <c r="F438" i="12" s="1"/>
  <c r="U599" i="2" a="1"/>
  <c r="U599" i="2" s="1"/>
  <c r="I424" i="12" a="1"/>
  <c r="I424" i="12" s="1"/>
  <c r="I430" i="12" a="1"/>
  <c r="I430" i="12" s="1"/>
  <c r="P375" i="12" a="1"/>
  <c r="P375" i="12" s="1"/>
  <c r="G98" i="12" a="1"/>
  <c r="G98" i="12" s="1"/>
  <c r="N589" i="12" a="1"/>
  <c r="N589" i="12" s="1"/>
  <c r="Q467" i="12" a="1"/>
  <c r="Q467" i="12" s="1"/>
  <c r="G553" i="12" a="1"/>
  <c r="G553" i="12" s="1"/>
  <c r="K456" i="12" a="1"/>
  <c r="K456" i="12" s="1"/>
  <c r="O480" i="12" a="1"/>
  <c r="O480" i="12" s="1"/>
  <c r="F578" i="12" a="1"/>
  <c r="F578" i="12" s="1"/>
  <c r="U639" i="2" a="1"/>
  <c r="U639" i="2" s="1"/>
  <c r="P595" i="12" a="1"/>
  <c r="P595" i="12" s="1"/>
  <c r="P513" i="12" a="1"/>
  <c r="P513" i="12" s="1"/>
  <c r="T517" i="12" a="1"/>
  <c r="T517" i="12" s="1"/>
  <c r="O441" i="12" a="1"/>
  <c r="O441" i="12" s="1"/>
  <c r="R529" i="12" a="1"/>
  <c r="R529" i="12" s="1"/>
  <c r="T436" i="12" a="1"/>
  <c r="T436" i="12" s="1"/>
  <c r="N578" i="12" a="1"/>
  <c r="N578" i="12" s="1"/>
  <c r="I477" i="12" a="1"/>
  <c r="I477" i="12" s="1"/>
  <c r="G548" i="12" a="1"/>
  <c r="G548" i="12" s="1"/>
  <c r="J544" i="12" a="1"/>
  <c r="J544" i="12" s="1"/>
  <c r="R517" i="12" a="1"/>
  <c r="R517" i="12" s="1"/>
  <c r="R398" i="12" a="1"/>
  <c r="R398" i="12" s="1"/>
  <c r="Q587" i="12" a="1"/>
  <c r="Q587" i="12" s="1"/>
  <c r="G570" i="12" a="1"/>
  <c r="G570" i="12" s="1"/>
  <c r="N467" i="12" a="1"/>
  <c r="N467" i="12" s="1"/>
  <c r="Q517" i="12" a="1"/>
  <c r="Q517" i="12" s="1"/>
  <c r="G392" i="12" a="1"/>
  <c r="G392" i="12" s="1"/>
  <c r="F550" i="12" a="1"/>
  <c r="F550" i="12" s="1"/>
  <c r="I456" i="12" a="1"/>
  <c r="I456" i="12" s="1"/>
  <c r="S482" i="12" a="1"/>
  <c r="S482" i="12" s="1"/>
  <c r="R445" i="12" a="1"/>
  <c r="R445" i="12" s="1"/>
  <c r="I512" i="12" a="1"/>
  <c r="I512" i="12" s="1"/>
  <c r="J471" i="12" a="1"/>
  <c r="J471" i="12" s="1"/>
  <c r="F389" i="12" a="1"/>
  <c r="F389" i="12" s="1"/>
  <c r="U518" i="2" a="1"/>
  <c r="U518" i="2" s="1"/>
  <c r="I360" i="12" a="1"/>
  <c r="I360" i="12" s="1"/>
  <c r="P359" i="12" a="1"/>
  <c r="P359" i="12" s="1"/>
  <c r="F355" i="12" a="1"/>
  <c r="F355" i="12" s="1"/>
  <c r="U517" i="2" a="1"/>
  <c r="U517" i="2" s="1"/>
  <c r="S344" i="12" a="1"/>
  <c r="S344" i="12" s="1"/>
  <c r="G262" i="12" a="1"/>
  <c r="G262" i="12" s="1"/>
  <c r="U488" i="2" a="1"/>
  <c r="U488" i="2" s="1"/>
  <c r="P587" i="12" a="1"/>
  <c r="P587" i="12" s="1"/>
  <c r="R579" i="12" a="1"/>
  <c r="R579" i="12" s="1"/>
  <c r="Q529" i="12" a="1"/>
  <c r="Q529" i="12" s="1"/>
  <c r="G434" i="12" a="1"/>
  <c r="G434" i="12" s="1"/>
  <c r="P447" i="12" a="1"/>
  <c r="P447" i="12" s="1"/>
  <c r="J447" i="12" a="1"/>
  <c r="J447" i="12" s="1"/>
  <c r="G410" i="12" a="1"/>
  <c r="G410" i="12" s="1"/>
  <c r="G472" i="12" a="1"/>
  <c r="G472" i="12" s="1"/>
  <c r="J532" i="12" a="1"/>
  <c r="J532" i="12" s="1"/>
  <c r="AR134" i="2" a="1"/>
  <c r="AR134" i="2" s="1"/>
  <c r="AQ134" i="2" a="1"/>
  <c r="AQ134" i="2" s="1"/>
  <c r="M361" i="12" a="1"/>
  <c r="M361" i="12" s="1"/>
  <c r="Q506" i="12" a="1"/>
  <c r="Q506" i="12" s="1"/>
  <c r="S322" i="12" a="1"/>
  <c r="S322" i="12" s="1"/>
  <c r="L405" i="12" a="1"/>
  <c r="L405" i="12" s="1"/>
  <c r="J391" i="12" a="1"/>
  <c r="J391" i="12" s="1"/>
  <c r="G381" i="12" a="1"/>
  <c r="G381" i="12" s="1"/>
  <c r="O546" i="12" a="1"/>
  <c r="O546" i="12" s="1"/>
  <c r="K464" i="12" a="1"/>
  <c r="K464" i="12" s="1"/>
  <c r="G444" i="12" a="1"/>
  <c r="G444" i="12" s="1"/>
  <c r="F429" i="12" a="1"/>
  <c r="F429" i="12" s="1"/>
  <c r="G552" i="12" a="1"/>
  <c r="G552" i="12" s="1"/>
  <c r="M461" i="12" a="1"/>
  <c r="M461" i="12" s="1"/>
  <c r="I411" i="12" a="1"/>
  <c r="I411" i="12" s="1"/>
  <c r="AA648" i="12" a="1"/>
  <c r="AA648" i="12" s="1"/>
  <c r="U493" i="2" a="1"/>
  <c r="U493" i="2" s="1"/>
  <c r="P546" i="12" a="1"/>
  <c r="P546" i="12" s="1"/>
  <c r="G523" i="12" a="1"/>
  <c r="G523" i="12" s="1"/>
  <c r="Q353" i="12" a="1"/>
  <c r="Q353" i="12" s="1"/>
  <c r="Q396" i="12" a="1"/>
  <c r="Q396" i="12" s="1"/>
  <c r="O278" i="12" a="1"/>
  <c r="O278" i="12" s="1"/>
  <c r="T322" i="12" a="1"/>
  <c r="T322" i="12" s="1"/>
  <c r="K406" i="12" a="1"/>
  <c r="K406" i="12" s="1"/>
  <c r="J355" i="12" a="1"/>
  <c r="J355" i="12" s="1"/>
  <c r="S569" i="12" a="1"/>
  <c r="S569" i="12" s="1"/>
  <c r="Q569" i="12" a="1"/>
  <c r="Q569" i="12" s="1"/>
  <c r="P428" i="12" a="1"/>
  <c r="P428" i="12" s="1"/>
  <c r="T429" i="12" a="1"/>
  <c r="T429" i="12" s="1"/>
  <c r="N552" i="12" a="1"/>
  <c r="N552" i="12" s="1"/>
  <c r="N324" i="12" a="1"/>
  <c r="N324" i="12" s="1"/>
  <c r="G417" i="12" a="1"/>
  <c r="G417" i="12" s="1"/>
  <c r="I369" i="12" a="1"/>
  <c r="I369" i="12" s="1"/>
  <c r="N340" i="12" a="1"/>
  <c r="N340" i="12" s="1"/>
  <c r="O303" i="12" a="1"/>
  <c r="O303" i="12" s="1"/>
  <c r="K307" i="12" a="1"/>
  <c r="K307" i="12" s="1"/>
  <c r="L595" i="12" a="1"/>
  <c r="L595" i="12" s="1"/>
  <c r="K450" i="12" a="1"/>
  <c r="K450" i="12" s="1"/>
  <c r="I450" i="12" a="1"/>
  <c r="I450" i="12" s="1"/>
  <c r="K488" i="12" a="1"/>
  <c r="K488" i="12" s="1"/>
  <c r="P453" i="12" a="1"/>
  <c r="P453" i="12" s="1"/>
  <c r="Q532" i="12" a="1"/>
  <c r="Q532" i="12" s="1"/>
  <c r="I353" i="12" a="1"/>
  <c r="I353" i="12" s="1"/>
  <c r="I396" i="12" a="1"/>
  <c r="I396" i="12" s="1"/>
  <c r="K443" i="12" a="1"/>
  <c r="K443" i="12" s="1"/>
  <c r="K385" i="12" a="1"/>
  <c r="K385" i="12" s="1"/>
  <c r="K341" i="12" a="1"/>
  <c r="K341" i="12" s="1"/>
  <c r="K304" i="12" a="1"/>
  <c r="K304" i="12" s="1"/>
  <c r="K373" i="12" a="1"/>
  <c r="K373" i="12" s="1"/>
  <c r="G391" i="12" a="1"/>
  <c r="G391" i="12" s="1"/>
  <c r="J307" i="12" a="1"/>
  <c r="J307" i="12" s="1"/>
  <c r="T284" i="12" a="1"/>
  <c r="T284" i="12" s="1"/>
  <c r="K590" i="12" a="1"/>
  <c r="K590" i="12" s="1"/>
  <c r="F567" i="12" a="1"/>
  <c r="F567" i="12" s="1"/>
  <c r="U607" i="2" a="1"/>
  <c r="U607" i="2" s="1"/>
  <c r="I529" i="12" a="1"/>
  <c r="I529" i="12" s="1"/>
  <c r="M523" i="12" a="1"/>
  <c r="M523" i="12" s="1"/>
  <c r="I486" i="12" a="1"/>
  <c r="I486" i="12" s="1"/>
  <c r="R433" i="12" a="1"/>
  <c r="R433" i="12" s="1"/>
  <c r="M535" i="12" a="1"/>
  <c r="M535" i="12" s="1"/>
  <c r="L409" i="12" a="1"/>
  <c r="L409" i="12" s="1"/>
  <c r="Q478" i="12" a="1"/>
  <c r="Q478" i="12" s="1"/>
  <c r="K310" i="12" a="1"/>
  <c r="K310" i="12" s="1"/>
  <c r="P461" i="12" a="1"/>
  <c r="P461" i="12" s="1"/>
  <c r="P342" i="12" a="1"/>
  <c r="P342" i="12" s="1"/>
  <c r="L339" i="12" a="1"/>
  <c r="L339" i="12" s="1"/>
  <c r="P307" i="12" a="1"/>
  <c r="P307" i="12" s="1"/>
  <c r="T488" i="12" a="1"/>
  <c r="T488" i="12" s="1"/>
  <c r="O395" i="12" a="1"/>
  <c r="O395" i="12" s="1"/>
  <c r="K487" i="12" a="1"/>
  <c r="K487" i="12" s="1"/>
  <c r="R560" i="12" a="1"/>
  <c r="R560" i="12" s="1"/>
  <c r="I552" i="12" a="1"/>
  <c r="I552" i="12" s="1"/>
  <c r="Q433" i="12" a="1"/>
  <c r="Q433" i="12" s="1"/>
  <c r="O532" i="12" a="1"/>
  <c r="O532" i="12" s="1"/>
  <c r="Q455" i="12" a="1"/>
  <c r="Q455" i="12" s="1"/>
  <c r="Q394" i="12" a="1"/>
  <c r="Q394" i="12" s="1"/>
  <c r="O322" i="12" a="1"/>
  <c r="O322" i="12" s="1"/>
  <c r="M405" i="12" a="1"/>
  <c r="M405" i="12" s="1"/>
  <c r="G352" i="12" a="1"/>
  <c r="G352" i="12" s="1"/>
  <c r="F424" i="12" a="1"/>
  <c r="F424" i="12" s="1"/>
  <c r="F447" i="12" a="1"/>
  <c r="F447" i="12" s="1"/>
  <c r="U458" i="2" a="1"/>
  <c r="U458" i="2" s="1"/>
  <c r="K446" i="12" a="1"/>
  <c r="K446" i="12" s="1"/>
  <c r="K324" i="12" a="1"/>
  <c r="K324" i="12" s="1"/>
  <c r="N417" i="12" a="1"/>
  <c r="N417" i="12" s="1"/>
  <c r="J371" i="12" a="1"/>
  <c r="J371" i="12" s="1"/>
  <c r="O385" i="12" a="1"/>
  <c r="O385" i="12" s="1"/>
  <c r="N342" i="12" a="1"/>
  <c r="N342" i="12" s="1"/>
  <c r="L391" i="12" a="1"/>
  <c r="L391" i="12" s="1"/>
  <c r="K384" i="12" a="1"/>
  <c r="K384" i="12" s="1"/>
  <c r="I384" i="12" a="1"/>
  <c r="I384" i="12" s="1"/>
  <c r="S459" i="12" a="1"/>
  <c r="S459" i="12" s="1"/>
  <c r="I489" i="12" a="1"/>
  <c r="I489" i="12" s="1"/>
  <c r="I524" i="12" a="1"/>
  <c r="I524" i="12" s="1"/>
  <c r="M437" i="12" a="1"/>
  <c r="M437" i="12" s="1"/>
  <c r="N461" i="12" a="1"/>
  <c r="N461" i="12" s="1"/>
  <c r="R506" i="12" a="1"/>
  <c r="R506" i="12" s="1"/>
  <c r="G399" i="12" a="1"/>
  <c r="G399" i="12" s="1"/>
  <c r="J300" i="12" a="1"/>
  <c r="J300" i="12" s="1"/>
  <c r="S359" i="12" a="1"/>
  <c r="S359" i="12" s="1"/>
  <c r="K600" i="12" a="1"/>
  <c r="K600" i="12" s="1"/>
  <c r="X618" i="12" a="1"/>
  <c r="X618" i="12" s="1"/>
  <c r="Z648" i="12" a="1"/>
  <c r="Z648" i="12" s="1"/>
  <c r="G326" i="12" a="1"/>
  <c r="G326" i="12" s="1"/>
  <c r="O240" i="12" a="1"/>
  <c r="O240" i="12" s="1"/>
  <c r="P575" i="12" a="1"/>
  <c r="P575" i="12" s="1"/>
  <c r="F347" i="12" a="1"/>
  <c r="F347" i="12" s="1"/>
  <c r="U589" i="2" a="1"/>
  <c r="U589" i="2" s="1"/>
  <c r="K286" i="12" a="1"/>
  <c r="K286" i="12" s="1"/>
  <c r="O158" i="12" a="1"/>
  <c r="O158" i="12" s="1"/>
  <c r="O254" i="12" a="1"/>
  <c r="O254" i="12" s="1"/>
  <c r="R219" i="12" a="1"/>
  <c r="R219" i="12" s="1"/>
  <c r="K571" i="12" a="1"/>
  <c r="K571" i="12" s="1"/>
  <c r="J315" i="12" a="1"/>
  <c r="J315" i="12" s="1"/>
  <c r="G271" i="12" a="1"/>
  <c r="G271" i="12" s="1"/>
  <c r="J410" i="12" a="1"/>
  <c r="J410" i="12" s="1"/>
  <c r="G498" i="12" a="1"/>
  <c r="G498" i="12" s="1"/>
  <c r="I316" i="12" a="1"/>
  <c r="I316" i="12" s="1"/>
  <c r="Q316" i="12" a="1"/>
  <c r="Q316" i="12" s="1"/>
  <c r="N344" i="12" a="1"/>
  <c r="N344" i="12" s="1"/>
  <c r="P284" i="12" a="1"/>
  <c r="P284" i="12" s="1"/>
  <c r="Q601" i="12" a="1"/>
  <c r="Q601" i="12" s="1"/>
  <c r="G270" i="12" a="1"/>
  <c r="G270" i="12" s="1"/>
  <c r="J270" i="12" a="1"/>
  <c r="J270" i="12" s="1"/>
  <c r="G280" i="12" a="1"/>
  <c r="G280" i="12" s="1"/>
  <c r="U515" i="2" a="1"/>
  <c r="U515" i="2" s="1"/>
  <c r="F532" i="12" a="1"/>
  <c r="F532" i="12" s="1"/>
  <c r="M448" i="12" a="1"/>
  <c r="M448" i="12" s="1"/>
  <c r="M443" i="12" a="1"/>
  <c r="M443" i="12" s="1"/>
  <c r="T362" i="12" a="1"/>
  <c r="T362" i="12" s="1"/>
  <c r="P364" i="12" a="1"/>
  <c r="P364" i="12" s="1"/>
  <c r="M262" i="12" a="1"/>
  <c r="M262" i="12" s="1"/>
  <c r="P525" i="12" a="1"/>
  <c r="P525" i="12" s="1"/>
  <c r="L380" i="12" a="1"/>
  <c r="L380" i="12" s="1"/>
  <c r="J357" i="12" a="1"/>
  <c r="J357" i="12" s="1"/>
  <c r="Q357" i="12" a="1"/>
  <c r="Q357" i="12" s="1"/>
  <c r="O391" i="12" a="1"/>
  <c r="O391" i="12" s="1"/>
  <c r="K302" i="12" a="1"/>
  <c r="K302" i="12" s="1"/>
  <c r="S249" i="12" a="1"/>
  <c r="S249" i="12" s="1"/>
  <c r="G367" i="12" a="1"/>
  <c r="G367" i="12" s="1"/>
  <c r="S328" i="12" a="1"/>
  <c r="S328" i="12" s="1"/>
  <c r="K572" i="12" a="1"/>
  <c r="K572" i="12" s="1"/>
  <c r="T349" i="12" a="1"/>
  <c r="T349" i="12" s="1"/>
  <c r="O290" i="12" a="1"/>
  <c r="O290" i="12" s="1"/>
  <c r="K251" i="12" a="1"/>
  <c r="K251" i="12" s="1"/>
  <c r="K512" i="12" a="1"/>
  <c r="K512" i="12" s="1"/>
  <c r="Q291" i="12" a="1"/>
  <c r="Q291" i="12" s="1"/>
  <c r="O411" i="12" a="1"/>
  <c r="O411" i="12" s="1"/>
  <c r="N400" i="12" a="1"/>
  <c r="N400" i="12" s="1"/>
  <c r="S304" i="12" a="1"/>
  <c r="S304" i="12" s="1"/>
  <c r="AQ567" i="2" a="1"/>
  <c r="AQ567" i="2" s="1"/>
  <c r="AR567" i="2" a="1"/>
  <c r="AR567" i="2" s="1"/>
  <c r="S351" i="12" a="1"/>
  <c r="S351" i="12" s="1"/>
  <c r="M326" i="12" a="1"/>
  <c r="M326" i="12" s="1"/>
  <c r="P302" i="12" a="1"/>
  <c r="P302" i="12" s="1"/>
  <c r="R290" i="12" a="1"/>
  <c r="R290" i="12" s="1"/>
  <c r="L294" i="12" a="1"/>
  <c r="L294" i="12" s="1"/>
  <c r="M252" i="12" a="1"/>
  <c r="M252" i="12" s="1"/>
  <c r="J198" i="12" a="1"/>
  <c r="J198" i="12" s="1"/>
  <c r="P413" i="12" a="1"/>
  <c r="P413" i="12" s="1"/>
  <c r="S413" i="12" a="1"/>
  <c r="S413" i="12" s="1"/>
  <c r="K402" i="12" a="1"/>
  <c r="K402" i="12" s="1"/>
  <c r="G521" i="12" a="1"/>
  <c r="G521" i="12" s="1"/>
  <c r="S440" i="12" a="1"/>
  <c r="S440" i="12" s="1"/>
  <c r="P600" i="12" a="1"/>
  <c r="P600" i="12" s="1"/>
  <c r="AL514" i="2" a="1"/>
  <c r="AL514" i="2" s="1"/>
  <c r="R574" i="12" a="1"/>
  <c r="R574" i="12" s="1"/>
  <c r="J591" i="12" a="1"/>
  <c r="J591" i="12" s="1"/>
  <c r="AB632" i="12" a="1"/>
  <c r="AB632" i="12" s="1"/>
  <c r="I251" i="12" a="1"/>
  <c r="I251" i="12" s="1"/>
  <c r="I575" i="12" a="1"/>
  <c r="I575" i="12" s="1"/>
  <c r="F247" i="12" a="1"/>
  <c r="F247" i="12" s="1"/>
  <c r="U555" i="2" a="1"/>
  <c r="U555" i="2" s="1"/>
  <c r="I271" i="12" a="1"/>
  <c r="I271" i="12" s="1"/>
  <c r="L353" i="12" a="1"/>
  <c r="L353" i="12" s="1"/>
  <c r="S336" i="12" a="1"/>
  <c r="S336" i="12" s="1"/>
  <c r="Z672" i="12" a="1"/>
  <c r="Z672" i="12" s="1"/>
  <c r="U383" i="2" a="1"/>
  <c r="U383" i="2" s="1"/>
  <c r="J319" i="12" a="1"/>
  <c r="J319" i="12" s="1"/>
  <c r="R576" i="12" a="1"/>
  <c r="R576" i="12" s="1"/>
  <c r="T334" i="12" a="1"/>
  <c r="T334" i="12" s="1"/>
  <c r="I329" i="12" a="1"/>
  <c r="I329" i="12" s="1"/>
  <c r="R158" i="12" a="1"/>
  <c r="R158" i="12" s="1"/>
  <c r="T555" i="12" a="1"/>
  <c r="T555" i="12" s="1"/>
  <c r="I269" i="12" a="1"/>
  <c r="I269" i="12" s="1"/>
  <c r="K470" i="12" a="1"/>
  <c r="K470" i="12" s="1"/>
  <c r="M390" i="12" a="1"/>
  <c r="M390" i="12" s="1"/>
  <c r="F506" i="12" a="1"/>
  <c r="F506" i="12" s="1"/>
  <c r="J367" i="12" a="1"/>
  <c r="J367" i="12" s="1"/>
  <c r="J334" i="12" a="1"/>
  <c r="J334" i="12" s="1"/>
  <c r="K295" i="12" a="1"/>
  <c r="K295" i="12" s="1"/>
  <c r="Q420" i="12" a="1"/>
  <c r="Q420" i="12" s="1"/>
  <c r="L471" i="12" a="1"/>
  <c r="L471" i="12" s="1"/>
  <c r="P373" i="12" a="1"/>
  <c r="P373" i="12" s="1"/>
  <c r="Q344" i="12" a="1"/>
  <c r="Q344" i="12" s="1"/>
  <c r="U451" i="2" a="1"/>
  <c r="U451" i="2" s="1"/>
  <c r="K301" i="12" a="1"/>
  <c r="K301" i="12" s="1"/>
  <c r="K214" i="12" a="1"/>
  <c r="K214" i="12" s="1"/>
  <c r="Q468" i="12" a="1"/>
  <c r="Q468" i="12" s="1"/>
  <c r="S468" i="12" a="1"/>
  <c r="S468" i="12" s="1"/>
  <c r="F318" i="12" a="1"/>
  <c r="F318" i="12" s="1"/>
  <c r="U497" i="2" a="1"/>
  <c r="U497" i="2" s="1"/>
  <c r="G331" i="12" a="1"/>
  <c r="G331" i="12" s="1"/>
  <c r="T331" i="12" a="1"/>
  <c r="T331" i="12" s="1"/>
  <c r="G290" i="12" a="1"/>
  <c r="G290" i="12" s="1"/>
  <c r="Q262" i="12" a="1"/>
  <c r="Q262" i="12" s="1"/>
  <c r="S219" i="12" a="1"/>
  <c r="S219" i="12" s="1"/>
  <c r="F295" i="12" a="1"/>
  <c r="F295" i="12" s="1"/>
  <c r="U424" i="2" a="1"/>
  <c r="U424" i="2" s="1"/>
  <c r="M258" i="12" a="1"/>
  <c r="M258" i="12" s="1"/>
  <c r="T323" i="12" a="1"/>
  <c r="T323" i="12" s="1"/>
  <c r="G514" i="12" a="1"/>
  <c r="G514" i="12" s="1"/>
  <c r="I268" i="12" a="1"/>
  <c r="I268" i="12" s="1"/>
  <c r="M185" i="12" a="1"/>
  <c r="M185" i="12" s="1"/>
  <c r="T499" i="12" a="1"/>
  <c r="T499" i="12" s="1"/>
  <c r="L197" i="12" a="1"/>
  <c r="L197" i="12" s="1"/>
  <c r="R149" i="12" a="1"/>
  <c r="R149" i="12" s="1"/>
  <c r="R131" i="12" a="1"/>
  <c r="R131" i="12" s="1"/>
  <c r="R306" i="12" a="1"/>
  <c r="R306" i="12" s="1"/>
  <c r="R252" i="12" a="1"/>
  <c r="R252" i="12" s="1"/>
  <c r="R566" i="12" a="1"/>
  <c r="R566" i="12" s="1"/>
  <c r="R262" i="12" a="1"/>
  <c r="R262" i="12" s="1"/>
  <c r="R260" i="12" a="1"/>
  <c r="R260" i="12" s="1"/>
  <c r="R277" i="12" a="1"/>
  <c r="R277" i="12" s="1"/>
  <c r="R248" i="12" a="1"/>
  <c r="R248" i="12" s="1"/>
  <c r="M367" i="12" a="1"/>
  <c r="M367" i="12" s="1"/>
  <c r="O265" i="12" a="1"/>
  <c r="O265" i="12" s="1"/>
  <c r="R265" i="12" a="1"/>
  <c r="R265" i="12" s="1"/>
  <c r="J287" i="12" a="1"/>
  <c r="J287" i="12" s="1"/>
  <c r="T234" i="12" a="1"/>
  <c r="T234" i="12" s="1"/>
  <c r="F323" i="12" a="1"/>
  <c r="F323" i="12" s="1"/>
  <c r="U470" i="2" a="1"/>
  <c r="U470" i="2" s="1"/>
  <c r="J581" i="12" a="1"/>
  <c r="J581" i="12" s="1"/>
  <c r="N208" i="12" a="1"/>
  <c r="N208" i="12" s="1"/>
  <c r="AA658" i="12" a="1"/>
  <c r="AA658" i="12" s="1"/>
  <c r="G573" i="12" a="1"/>
  <c r="G573" i="12" s="1"/>
  <c r="J180" i="12" a="1"/>
  <c r="J180" i="12" s="1"/>
  <c r="N236" i="12" a="1"/>
  <c r="N236" i="12" s="1"/>
  <c r="K228" i="12" a="1"/>
  <c r="K228" i="12" s="1"/>
  <c r="F465" i="12" a="1"/>
  <c r="F465" i="12" s="1"/>
  <c r="U396" i="2" a="1"/>
  <c r="U396" i="2" s="1"/>
  <c r="M249" i="12" a="1"/>
  <c r="M249" i="12" s="1"/>
  <c r="G281" i="12" a="1"/>
  <c r="G281" i="12" s="1"/>
  <c r="R238" i="12" a="1"/>
  <c r="R238" i="12" s="1"/>
  <c r="X638" i="12" a="1"/>
  <c r="X638" i="12" s="1"/>
  <c r="P248" i="12" a="1"/>
  <c r="P248" i="12" s="1"/>
  <c r="Q218" i="12" a="1"/>
  <c r="Q218" i="12" s="1"/>
  <c r="G298" i="12" a="1"/>
  <c r="G298" i="12" s="1"/>
  <c r="N298" i="12" a="1"/>
  <c r="N298" i="12" s="1"/>
  <c r="N536" i="12" a="1"/>
  <c r="N536" i="12" s="1"/>
  <c r="N315" i="12" a="1"/>
  <c r="N315" i="12" s="1"/>
  <c r="Q604" i="12" a="1"/>
  <c r="Q604" i="12" s="1"/>
  <c r="P585" i="12" a="1"/>
  <c r="P585" i="12" s="1"/>
  <c r="G282" i="12" a="1"/>
  <c r="G282" i="12" s="1"/>
  <c r="P505" i="12" a="1"/>
  <c r="P505" i="12" s="1"/>
  <c r="S514" i="12" a="1"/>
  <c r="S514" i="12" s="1"/>
  <c r="I243" i="12" a="1"/>
  <c r="I243" i="12" s="1"/>
  <c r="S246" i="12" a="1"/>
  <c r="S246" i="12" s="1"/>
  <c r="AA650" i="12" a="1"/>
  <c r="AA650" i="12" s="1"/>
  <c r="L263" i="12" a="1"/>
  <c r="L263" i="12" s="1"/>
  <c r="P108" i="12" a="1"/>
  <c r="P108" i="12" s="1"/>
  <c r="O416" i="12" a="1"/>
  <c r="O416" i="12" s="1"/>
  <c r="AB650" i="12" a="1"/>
  <c r="AB650" i="12" s="1"/>
  <c r="L196" i="12" a="1"/>
  <c r="L196" i="12" s="1"/>
  <c r="J372" i="12" a="1"/>
  <c r="J372" i="12" s="1"/>
  <c r="M110" i="12" a="1"/>
  <c r="M110" i="12" s="1"/>
  <c r="J387" i="12" a="1"/>
  <c r="J387" i="12" s="1"/>
  <c r="O90" i="12" a="1"/>
  <c r="O90" i="12" s="1"/>
  <c r="I525" i="12" a="1"/>
  <c r="I525" i="12" s="1"/>
  <c r="Z225" i="3" a="1"/>
  <c r="Z225" i="3" s="1"/>
  <c r="I398" i="12" a="1"/>
  <c r="I398" i="12" s="1"/>
  <c r="L441" i="12" a="1"/>
  <c r="L441" i="12" s="1"/>
  <c r="I565" i="12" a="1"/>
  <c r="I565" i="12" s="1"/>
  <c r="G481" i="12" a="1"/>
  <c r="G481" i="12" s="1"/>
  <c r="K441" i="12" a="1"/>
  <c r="K441" i="12" s="1"/>
  <c r="Q485" i="12" a="1"/>
  <c r="Q485" i="12" s="1"/>
  <c r="F460" i="12" a="1"/>
  <c r="F460" i="12" s="1"/>
  <c r="U648" i="2" a="1"/>
  <c r="U648" i="2" s="1"/>
  <c r="R516" i="12" a="1"/>
  <c r="R516" i="12" s="1"/>
  <c r="P565" i="12" a="1"/>
  <c r="P565" i="12" s="1"/>
  <c r="O517" i="12" a="1"/>
  <c r="O517" i="12" s="1"/>
  <c r="L491" i="12" a="1"/>
  <c r="L491" i="12" s="1"/>
  <c r="L489" i="12" a="1"/>
  <c r="L489" i="12" s="1"/>
  <c r="Q578" i="12" a="1"/>
  <c r="Q578" i="12" s="1"/>
  <c r="G518" i="12" a="1"/>
  <c r="G518" i="12" s="1"/>
  <c r="N554" i="12" a="1"/>
  <c r="N554" i="12" s="1"/>
  <c r="N398" i="12" a="1"/>
  <c r="N398" i="12" s="1"/>
  <c r="J424" i="12" a="1"/>
  <c r="J424" i="12" s="1"/>
  <c r="M456" i="12" a="1"/>
  <c r="M456" i="12" s="1"/>
  <c r="M587" i="12" a="1"/>
  <c r="M587" i="12" s="1"/>
  <c r="T590" i="12" a="1"/>
  <c r="T590" i="12" s="1"/>
  <c r="O589" i="12" a="1"/>
  <c r="O589" i="12" s="1"/>
  <c r="R595" i="12" a="1"/>
  <c r="R595" i="12" s="1"/>
  <c r="F565" i="12" a="1"/>
  <c r="F565" i="12" s="1"/>
  <c r="U642" i="2" a="1"/>
  <c r="U642" i="2" s="1"/>
  <c r="J513" i="12" a="1"/>
  <c r="J513" i="12" s="1"/>
  <c r="P553" i="12" a="1"/>
  <c r="P553" i="12" s="1"/>
  <c r="J375" i="12" a="1"/>
  <c r="J375" i="12" s="1"/>
  <c r="L587" i="12" a="1"/>
  <c r="L587" i="12" s="1"/>
  <c r="S570" i="12" a="1"/>
  <c r="S570" i="12" s="1"/>
  <c r="I467" i="12" a="1"/>
  <c r="I467" i="12" s="1"/>
  <c r="L517" i="12" a="1"/>
  <c r="L517" i="12" s="1"/>
  <c r="Q491" i="12" a="1"/>
  <c r="Q491" i="12" s="1"/>
  <c r="I480" i="12" a="1"/>
  <c r="I480" i="12" s="1"/>
  <c r="M518" i="12" a="1"/>
  <c r="M518" i="12" s="1"/>
  <c r="T544" i="12" a="1"/>
  <c r="T544" i="12" s="1"/>
  <c r="M579" i="12" a="1"/>
  <c r="M579" i="12" s="1"/>
  <c r="K517" i="12" a="1"/>
  <c r="K517" i="12" s="1"/>
  <c r="T538" i="12" a="1"/>
  <c r="T538" i="12" s="1"/>
  <c r="S542" i="12" a="1"/>
  <c r="S542" i="12" s="1"/>
  <c r="L518" i="12" a="1"/>
  <c r="L518" i="12" s="1"/>
  <c r="N543" i="12" a="1"/>
  <c r="N543" i="12" s="1"/>
  <c r="Q577" i="12" a="1"/>
  <c r="Q577" i="12" s="1"/>
  <c r="O599" i="12" a="1"/>
  <c r="O599" i="12" s="1"/>
  <c r="O550" i="12" a="1"/>
  <c r="O550" i="12" s="1"/>
  <c r="J517" i="12" a="1"/>
  <c r="J517" i="12" s="1"/>
  <c r="O473" i="12" a="1"/>
  <c r="O473" i="12" s="1"/>
  <c r="O489" i="12" a="1"/>
  <c r="O489" i="12" s="1"/>
  <c r="I587" i="12" a="1"/>
  <c r="I587" i="12" s="1"/>
  <c r="L516" i="12" a="1"/>
  <c r="L516" i="12" s="1"/>
  <c r="S565" i="12" a="1"/>
  <c r="S565" i="12" s="1"/>
  <c r="I517" i="12" a="1"/>
  <c r="I517" i="12" s="1"/>
  <c r="F481" i="12" a="1"/>
  <c r="F481" i="12" s="1"/>
  <c r="P456" i="12" a="1"/>
  <c r="P456" i="12" s="1"/>
  <c r="N482" i="12" a="1"/>
  <c r="N482" i="12" s="1"/>
  <c r="M445" i="12" a="1"/>
  <c r="M445" i="12" s="1"/>
  <c r="Q560" i="12" a="1"/>
  <c r="Q560" i="12" s="1"/>
  <c r="O512" i="12" a="1"/>
  <c r="O512" i="12" s="1"/>
  <c r="P471" i="12" a="1"/>
  <c r="P471" i="12" s="1"/>
  <c r="S478" i="12" a="1"/>
  <c r="S478" i="12" s="1"/>
  <c r="F396" i="12" a="1"/>
  <c r="F396" i="12" s="1"/>
  <c r="U562" i="2" a="1"/>
  <c r="U562" i="2" s="1"/>
  <c r="S506" i="12" a="1"/>
  <c r="S506" i="12" s="1"/>
  <c r="T360" i="12" a="1"/>
  <c r="T360" i="12" s="1"/>
  <c r="N341" i="12" a="1"/>
  <c r="N341" i="12" s="1"/>
  <c r="M406" i="12" a="1"/>
  <c r="M406" i="12" s="1"/>
  <c r="Q405" i="12" a="1"/>
  <c r="Q405" i="12" s="1"/>
  <c r="M344" i="12" a="1"/>
  <c r="M344" i="12" s="1"/>
  <c r="S572" i="12" a="1"/>
  <c r="S572" i="12" s="1"/>
  <c r="N507" i="12" a="1"/>
  <c r="N507" i="12" s="1"/>
  <c r="R434" i="12" a="1"/>
  <c r="R434" i="12" s="1"/>
  <c r="L447" i="12" a="1"/>
  <c r="L447" i="12" s="1"/>
  <c r="R410" i="12" a="1"/>
  <c r="R410" i="12" s="1"/>
  <c r="R472" i="12" a="1"/>
  <c r="R472" i="12" s="1"/>
  <c r="S552" i="12" a="1"/>
  <c r="S552" i="12" s="1"/>
  <c r="S361" i="12" a="1"/>
  <c r="S361" i="12" s="1"/>
  <c r="Q386" i="12" a="1"/>
  <c r="Q386" i="12" s="1"/>
  <c r="R405" i="12" a="1"/>
  <c r="R405" i="12" s="1"/>
  <c r="N318" i="12" a="1"/>
  <c r="N318" i="12" s="1"/>
  <c r="K428" i="12" a="1"/>
  <c r="K428" i="12" s="1"/>
  <c r="F464" i="12" a="1"/>
  <c r="F464" i="12" s="1"/>
  <c r="U489" i="2" a="1"/>
  <c r="U489" i="2" s="1"/>
  <c r="S444" i="12" a="1"/>
  <c r="S444" i="12" s="1"/>
  <c r="R444" i="12" a="1"/>
  <c r="R444" i="12" s="1"/>
  <c r="O446" i="12" a="1"/>
  <c r="O446" i="12" s="1"/>
  <c r="R552" i="12" a="1"/>
  <c r="R552" i="12" s="1"/>
  <c r="T455" i="12" a="1"/>
  <c r="T455" i="12" s="1"/>
  <c r="S461" i="12" a="1"/>
  <c r="S461" i="12" s="1"/>
  <c r="T443" i="12" a="1"/>
  <c r="T443" i="12" s="1"/>
  <c r="L355" i="12" a="1"/>
  <c r="L355" i="12" s="1"/>
  <c r="I391" i="12" a="1"/>
  <c r="I391" i="12" s="1"/>
  <c r="U631" i="2" a="1"/>
  <c r="U631" i="2" s="1"/>
  <c r="F595" i="12" a="1"/>
  <c r="F595" i="12" s="1"/>
  <c r="F546" i="12" a="1"/>
  <c r="F546" i="12" s="1"/>
  <c r="U653" i="2" a="1"/>
  <c r="U653" i="2" s="1"/>
  <c r="F353" i="12" a="1"/>
  <c r="F353" i="12" s="1"/>
  <c r="S394" i="12" a="1"/>
  <c r="S394" i="12" s="1"/>
  <c r="J278" i="12" a="1"/>
  <c r="J278" i="12" s="1"/>
  <c r="R399" i="12" a="1"/>
  <c r="R399" i="12" s="1"/>
  <c r="J322" i="12" a="1"/>
  <c r="J322" i="12" s="1"/>
  <c r="I406" i="12" a="1"/>
  <c r="I406" i="12" s="1"/>
  <c r="M569" i="12" a="1"/>
  <c r="M569" i="12" s="1"/>
  <c r="R569" i="12" a="1"/>
  <c r="R569" i="12" s="1"/>
  <c r="L428" i="12" a="1"/>
  <c r="L428" i="12" s="1"/>
  <c r="S430" i="12" a="1"/>
  <c r="S430" i="12" s="1"/>
  <c r="I429" i="12" a="1"/>
  <c r="I429" i="12" s="1"/>
  <c r="T324" i="12" a="1"/>
  <c r="T324" i="12" s="1"/>
  <c r="S371" i="12" a="1"/>
  <c r="S371" i="12" s="1"/>
  <c r="T369" i="12" a="1"/>
  <c r="T369" i="12" s="1"/>
  <c r="F340" i="12" a="1"/>
  <c r="F340" i="12" s="1"/>
  <c r="U667" i="2" a="1"/>
  <c r="U667" i="2" s="1"/>
  <c r="L304" i="12" a="1"/>
  <c r="L304" i="12" s="1"/>
  <c r="S318" i="12" a="1"/>
  <c r="S318" i="12" s="1"/>
  <c r="R326" i="12" a="1"/>
  <c r="R326" i="12" s="1"/>
  <c r="I306" i="12" a="1"/>
  <c r="I306" i="12" s="1"/>
  <c r="P450" i="12" a="1"/>
  <c r="P450" i="12" s="1"/>
  <c r="T459" i="12" a="1"/>
  <c r="T459" i="12" s="1"/>
  <c r="N445" i="12" a="1"/>
  <c r="N445" i="12" s="1"/>
  <c r="K453" i="12" a="1"/>
  <c r="K453" i="12" s="1"/>
  <c r="T353" i="12" a="1"/>
  <c r="T353" i="12" s="1"/>
  <c r="Z642" i="12" a="1"/>
  <c r="Z642" i="12" s="1"/>
  <c r="Q443" i="12" a="1"/>
  <c r="Q443" i="12" s="1"/>
  <c r="Q385" i="12" a="1"/>
  <c r="Q385" i="12" s="1"/>
  <c r="Q341" i="12" a="1"/>
  <c r="Q341" i="12" s="1"/>
  <c r="Q304" i="12" a="1"/>
  <c r="Q304" i="12" s="1"/>
  <c r="Q373" i="12" a="1"/>
  <c r="Q373" i="12" s="1"/>
  <c r="AQ434" i="2" a="1"/>
  <c r="AQ434" i="2" s="1"/>
  <c r="AR434" i="2" a="1"/>
  <c r="AR434" i="2" s="1"/>
  <c r="I481" i="12" a="1"/>
  <c r="I481" i="12" s="1"/>
  <c r="G567" i="12" a="1"/>
  <c r="G567" i="12" s="1"/>
  <c r="P529" i="12" a="1"/>
  <c r="P529" i="12" s="1"/>
  <c r="S436" i="12" a="1"/>
  <c r="S436" i="12" s="1"/>
  <c r="S523" i="12" a="1"/>
  <c r="S523" i="12" s="1"/>
  <c r="G460" i="12" a="1"/>
  <c r="G460" i="12" s="1"/>
  <c r="O486" i="12" a="1"/>
  <c r="O486" i="12" s="1"/>
  <c r="O455" i="12" a="1"/>
  <c r="O455" i="12" s="1"/>
  <c r="L478" i="12" a="1"/>
  <c r="L478" i="12" s="1"/>
  <c r="F310" i="12" a="1"/>
  <c r="F310" i="12" s="1"/>
  <c r="U569" i="2" a="1"/>
  <c r="U569" i="2" s="1"/>
  <c r="M339" i="12" a="1"/>
  <c r="M339" i="12" s="1"/>
  <c r="I344" i="12" a="1"/>
  <c r="I344" i="12" s="1"/>
  <c r="F467" i="12" a="1"/>
  <c r="F467" i="12" s="1"/>
  <c r="F488" i="12" a="1"/>
  <c r="F488" i="12" s="1"/>
  <c r="U550" i="2" a="1"/>
  <c r="U550" i="2" s="1"/>
  <c r="F395" i="12" a="1"/>
  <c r="F395" i="12" s="1"/>
  <c r="U626" i="2" a="1"/>
  <c r="U626" i="2" s="1"/>
  <c r="J395" i="12" a="1"/>
  <c r="J395" i="12" s="1"/>
  <c r="F487" i="12" a="1"/>
  <c r="F487" i="12" s="1"/>
  <c r="U630" i="2" a="1"/>
  <c r="U630" i="2" s="1"/>
  <c r="M560" i="12" a="1"/>
  <c r="M560" i="12" s="1"/>
  <c r="L433" i="12" a="1"/>
  <c r="L433" i="12" s="1"/>
  <c r="P532" i="12" a="1"/>
  <c r="P532" i="12" s="1"/>
  <c r="G455" i="12" a="1"/>
  <c r="G455" i="12" s="1"/>
  <c r="O361" i="12" a="1"/>
  <c r="O361" i="12" s="1"/>
  <c r="K137" i="12" a="1"/>
  <c r="K137" i="12" s="1"/>
  <c r="F446" i="12" a="1"/>
  <c r="F446" i="12" s="1"/>
  <c r="U665" i="2" a="1"/>
  <c r="U665" i="2" s="1"/>
  <c r="T417" i="12" a="1"/>
  <c r="T417" i="12" s="1"/>
  <c r="K371" i="12" a="1"/>
  <c r="K371" i="12" s="1"/>
  <c r="AR445" i="2" a="1"/>
  <c r="AR445" i="2" s="1"/>
  <c r="AQ445" i="2" a="1"/>
  <c r="AQ445" i="2" s="1"/>
  <c r="L303" i="12" a="1"/>
  <c r="L303" i="12" s="1"/>
  <c r="P318" i="12" a="1"/>
  <c r="P318" i="12" s="1"/>
  <c r="AR372" i="2" a="1"/>
  <c r="AR372" i="2" s="1"/>
  <c r="AQ372" i="2" a="1"/>
  <c r="AQ372" i="2" s="1"/>
  <c r="P384" i="12" a="1"/>
  <c r="P384" i="12" s="1"/>
  <c r="F459" i="12" a="1"/>
  <c r="F459" i="12" s="1"/>
  <c r="U426" i="2" a="1"/>
  <c r="U426" i="2" s="1"/>
  <c r="O456" i="12" a="1"/>
  <c r="O456" i="12" s="1"/>
  <c r="O524" i="12" a="1"/>
  <c r="O524" i="12" s="1"/>
  <c r="S437" i="12" a="1"/>
  <c r="S437" i="12" s="1"/>
  <c r="L455" i="12" a="1"/>
  <c r="L455" i="12" s="1"/>
  <c r="N396" i="12" a="1"/>
  <c r="N396" i="12" s="1"/>
  <c r="K506" i="12" a="1"/>
  <c r="K506" i="12" s="1"/>
  <c r="Q411" i="12" a="1"/>
  <c r="Q411" i="12" s="1"/>
  <c r="G300" i="12" a="1"/>
  <c r="G300" i="12" s="1"/>
  <c r="F290" i="12" a="1"/>
  <c r="F290" i="12" s="1"/>
  <c r="U580" i="2" a="1"/>
  <c r="U580" i="2" s="1"/>
  <c r="P252" i="12" a="1"/>
  <c r="P252" i="12" s="1"/>
  <c r="Q347" i="12" a="1"/>
  <c r="Q347" i="12" s="1"/>
  <c r="I286" i="12" a="1"/>
  <c r="I286" i="12" s="1"/>
  <c r="R596" i="12" a="1"/>
  <c r="R596" i="12" s="1"/>
  <c r="R261" i="12" a="1"/>
  <c r="R261" i="12" s="1"/>
  <c r="K219" i="12" a="1"/>
  <c r="K219" i="12" s="1"/>
  <c r="I571" i="12" a="1"/>
  <c r="I571" i="12" s="1"/>
  <c r="I453" i="12" a="1"/>
  <c r="I453" i="12" s="1"/>
  <c r="R498" i="12" a="1"/>
  <c r="R498" i="12" s="1"/>
  <c r="J316" i="12" a="1"/>
  <c r="J316" i="12" s="1"/>
  <c r="G316" i="12" a="1"/>
  <c r="G316" i="12" s="1"/>
  <c r="K601" i="12" a="1"/>
  <c r="K601" i="12" s="1"/>
  <c r="M270" i="12" a="1"/>
  <c r="M270" i="12" s="1"/>
  <c r="AA612" i="12" a="1"/>
  <c r="AA612" i="12" s="1"/>
  <c r="P315" i="12" a="1"/>
  <c r="P315" i="12" s="1"/>
  <c r="R280" i="12" a="1"/>
  <c r="R280" i="12" s="1"/>
  <c r="O246" i="12" a="1"/>
  <c r="O246" i="12" s="1"/>
  <c r="AB629" i="12" a="1"/>
  <c r="AB629" i="12" s="1"/>
  <c r="AQ186" i="2" a="1"/>
  <c r="AQ186" i="2" s="1"/>
  <c r="P371" i="12" a="1"/>
  <c r="P371" i="12" s="1"/>
  <c r="F448" i="12" a="1"/>
  <c r="F448" i="12" s="1"/>
  <c r="U528" i="2" a="1"/>
  <c r="U528" i="2" s="1"/>
  <c r="N362" i="12" a="1"/>
  <c r="N362" i="12" s="1"/>
  <c r="F364" i="12" a="1"/>
  <c r="F364" i="12" s="1"/>
  <c r="U465" i="2" a="1"/>
  <c r="U465" i="2" s="1"/>
  <c r="P349" i="12" a="1"/>
  <c r="P349" i="12" s="1"/>
  <c r="L198" i="12" a="1"/>
  <c r="L198" i="12" s="1"/>
  <c r="K478" i="12" a="1"/>
  <c r="K478" i="12" s="1"/>
  <c r="G380" i="12" a="1"/>
  <c r="G380" i="12" s="1"/>
  <c r="R396" i="12" a="1"/>
  <c r="R396" i="12" s="1"/>
  <c r="G357" i="12" a="1"/>
  <c r="G357" i="12" s="1"/>
  <c r="N381" i="12" a="1"/>
  <c r="N381" i="12" s="1"/>
  <c r="L302" i="12" a="1"/>
  <c r="L302" i="12" s="1"/>
  <c r="P367" i="12" a="1"/>
  <c r="P367" i="12" s="1"/>
  <c r="R367" i="12" a="1"/>
  <c r="R367" i="12" s="1"/>
  <c r="P328" i="12" a="1"/>
  <c r="P328" i="12" s="1"/>
  <c r="I343" i="12" a="1"/>
  <c r="I343" i="12" s="1"/>
  <c r="I349" i="12" a="1"/>
  <c r="I349" i="12" s="1"/>
  <c r="P294" i="12" a="1"/>
  <c r="P294" i="12" s="1"/>
  <c r="M251" i="12" a="1"/>
  <c r="M251" i="12" s="1"/>
  <c r="R532" i="12" a="1"/>
  <c r="R532" i="12" s="1"/>
  <c r="K291" i="12" a="1"/>
  <c r="K291" i="12" s="1"/>
  <c r="I400" i="12" a="1"/>
  <c r="I400" i="12" s="1"/>
  <c r="O400" i="12" a="1"/>
  <c r="O400" i="12" s="1"/>
  <c r="G351" i="12" a="1"/>
  <c r="G351" i="12" s="1"/>
  <c r="L381" i="12" a="1"/>
  <c r="L381" i="12" s="1"/>
  <c r="P249" i="12" a="1"/>
  <c r="P249" i="12" s="1"/>
  <c r="Q328" i="12" a="1"/>
  <c r="Q328" i="12" s="1"/>
  <c r="N290" i="12" a="1"/>
  <c r="N290" i="12" s="1"/>
  <c r="R294" i="12" a="1"/>
  <c r="R294" i="12" s="1"/>
  <c r="M242" i="12" a="1"/>
  <c r="M242" i="12" s="1"/>
  <c r="L262" i="12" a="1"/>
  <c r="L262" i="12" s="1"/>
  <c r="F198" i="12" a="1"/>
  <c r="F198" i="12" s="1"/>
  <c r="U423" i="2" a="1"/>
  <c r="U423" i="2" s="1"/>
  <c r="F413" i="12" a="1"/>
  <c r="F413" i="12" s="1"/>
  <c r="U527" i="2" a="1"/>
  <c r="U527" i="2" s="1"/>
  <c r="N413" i="12" a="1"/>
  <c r="N413" i="12" s="1"/>
  <c r="T402" i="12" a="1"/>
  <c r="T402" i="12" s="1"/>
  <c r="M506" i="12" a="1"/>
  <c r="M506" i="12" s="1"/>
  <c r="L521" i="12" a="1"/>
  <c r="L521" i="12" s="1"/>
  <c r="R521" i="12" a="1"/>
  <c r="R521" i="12" s="1"/>
  <c r="M440" i="12" a="1"/>
  <c r="M440" i="12" s="1"/>
  <c r="M373" i="12" a="1"/>
  <c r="M373" i="12" s="1"/>
  <c r="Z610" i="12" a="1"/>
  <c r="Z610" i="12" s="1"/>
  <c r="F574" i="12" a="1"/>
  <c r="F574" i="12" s="1"/>
  <c r="U401" i="2" a="1"/>
  <c r="U401" i="2" s="1"/>
  <c r="P591" i="12" a="1"/>
  <c r="P591" i="12" s="1"/>
  <c r="G313" i="12" a="1"/>
  <c r="G313" i="12" s="1"/>
  <c r="K605" i="12" a="1"/>
  <c r="K605" i="12" s="1"/>
  <c r="O575" i="12" a="1"/>
  <c r="O575" i="12" s="1"/>
  <c r="T271" i="12" a="1"/>
  <c r="T271" i="12" s="1"/>
  <c r="R214" i="12" a="1"/>
  <c r="R214" i="12" s="1"/>
  <c r="R246" i="12" a="1"/>
  <c r="R246" i="12" s="1"/>
  <c r="K394" i="12" a="1"/>
  <c r="K394" i="12" s="1"/>
  <c r="M336" i="12" a="1"/>
  <c r="M336" i="12" s="1"/>
  <c r="AA672" i="12" a="1"/>
  <c r="AA672" i="12" s="1"/>
  <c r="F344" i="12" a="1"/>
  <c r="F344" i="12" s="1"/>
  <c r="J362" i="12" a="1"/>
  <c r="J362" i="12" s="1"/>
  <c r="P319" i="12" a="1"/>
  <c r="P319" i="12" s="1"/>
  <c r="T329" i="12" a="1"/>
  <c r="T329" i="12" s="1"/>
  <c r="I158" i="12" a="1"/>
  <c r="I158" i="12" s="1"/>
  <c r="G261" i="12" a="1"/>
  <c r="G261" i="12" s="1"/>
  <c r="T269" i="12" a="1"/>
  <c r="T269" i="12" s="1"/>
  <c r="M470" i="12" a="1"/>
  <c r="M470" i="12" s="1"/>
  <c r="T390" i="12" a="1"/>
  <c r="T390" i="12" s="1"/>
  <c r="P341" i="12" a="1"/>
  <c r="P341" i="12" s="1"/>
  <c r="J364" i="12" a="1"/>
  <c r="J364" i="12" s="1"/>
  <c r="O320" i="12" a="1"/>
  <c r="O320" i="12" s="1"/>
  <c r="J254" i="12" a="1"/>
  <c r="J254" i="12" s="1"/>
  <c r="O271" i="12" a="1"/>
  <c r="O271" i="12" s="1"/>
  <c r="F420" i="12" a="1"/>
  <c r="F420" i="12" s="1"/>
  <c r="U588" i="2" a="1"/>
  <c r="U588" i="2" s="1"/>
  <c r="P405" i="12" a="1"/>
  <c r="P405" i="12" s="1"/>
  <c r="M306" i="12" a="1"/>
  <c r="M306" i="12" s="1"/>
  <c r="F270" i="12" a="1"/>
  <c r="F270" i="12" s="1"/>
  <c r="K593" i="12" a="1"/>
  <c r="K593" i="12" s="1"/>
  <c r="S301" i="12" a="1"/>
  <c r="S301" i="12" s="1"/>
  <c r="K457" i="12" a="1"/>
  <c r="K457" i="12" s="1"/>
  <c r="J468" i="12" a="1"/>
  <c r="J468" i="12" s="1"/>
  <c r="G318" i="12" a="1"/>
  <c r="G318" i="12" s="1"/>
  <c r="M331" i="12" a="1"/>
  <c r="M331" i="12" s="1"/>
  <c r="I294" i="12" a="1"/>
  <c r="I294" i="12" s="1"/>
  <c r="N251" i="12" a="1"/>
  <c r="N251" i="12" s="1"/>
  <c r="P334" i="12" a="1"/>
  <c r="P334" i="12" s="1"/>
  <c r="P329" i="12" a="1"/>
  <c r="P329" i="12" s="1"/>
  <c r="L219" i="12" a="1"/>
  <c r="L219" i="12" s="1"/>
  <c r="Q295" i="12" a="1"/>
  <c r="Q295" i="12" s="1"/>
  <c r="M555" i="12" a="1"/>
  <c r="M555" i="12" s="1"/>
  <c r="T539" i="12" a="1"/>
  <c r="T539" i="12" s="1"/>
  <c r="M566" i="12" a="1"/>
  <c r="M566" i="12" s="1"/>
  <c r="L537" i="12" a="1"/>
  <c r="L537" i="12" s="1"/>
  <c r="T268" i="12" a="1"/>
  <c r="T268" i="12" s="1"/>
  <c r="I185" i="12" a="1"/>
  <c r="I185" i="12" s="1"/>
  <c r="J499" i="12" a="1"/>
  <c r="J499" i="12" s="1"/>
  <c r="L149" i="12" a="1"/>
  <c r="L149" i="12" s="1"/>
  <c r="L131" i="12" a="1"/>
  <c r="L131" i="12" s="1"/>
  <c r="L158" i="12" a="1"/>
  <c r="L158" i="12" s="1"/>
  <c r="L282" i="12" a="1"/>
  <c r="L282" i="12" s="1"/>
  <c r="L334" i="12" a="1"/>
  <c r="L334" i="12" s="1"/>
  <c r="L604" i="12" a="1"/>
  <c r="L604" i="12" s="1"/>
  <c r="L597" i="12" a="1"/>
  <c r="L597" i="12" s="1"/>
  <c r="L214" i="12" a="1"/>
  <c r="L214" i="12" s="1"/>
  <c r="L315" i="12" a="1"/>
  <c r="L315" i="12" s="1"/>
  <c r="L566" i="12" a="1"/>
  <c r="L566" i="12" s="1"/>
  <c r="L226" i="12" a="1"/>
  <c r="L226" i="12" s="1"/>
  <c r="L269" i="12" a="1"/>
  <c r="L269" i="12" s="1"/>
  <c r="I591" i="12" a="1"/>
  <c r="I591" i="12" s="1"/>
  <c r="I265" i="12" a="1"/>
  <c r="I265" i="12" s="1"/>
  <c r="O594" i="12" a="1"/>
  <c r="O594" i="12" s="1"/>
  <c r="Q287" i="12" a="1"/>
  <c r="Q287" i="12" s="1"/>
  <c r="P287" i="12" a="1"/>
  <c r="P287" i="12" s="1"/>
  <c r="K272" i="12" a="1"/>
  <c r="K272" i="12" s="1"/>
  <c r="M483" i="12" a="1"/>
  <c r="M483" i="12" s="1"/>
  <c r="K537" i="12" a="1"/>
  <c r="K537" i="12" s="1"/>
  <c r="S277" i="12" a="1"/>
  <c r="S277" i="12" s="1"/>
  <c r="AB658" i="12" a="1"/>
  <c r="AB658" i="12" s="1"/>
  <c r="Q457" i="12" a="1"/>
  <c r="Q457" i="12" s="1"/>
  <c r="K474" i="12" a="1"/>
  <c r="K474" i="12" s="1"/>
  <c r="Q172" i="12" a="1"/>
  <c r="Q172" i="12" s="1"/>
  <c r="I180" i="12" a="1"/>
  <c r="I180" i="12" s="1"/>
  <c r="S236" i="12" a="1"/>
  <c r="S236" i="12" s="1"/>
  <c r="R531" i="12" a="1"/>
  <c r="R531" i="12" s="1"/>
  <c r="K465" i="12" a="1"/>
  <c r="K465" i="12" s="1"/>
  <c r="K240" i="12" a="1"/>
  <c r="K240" i="12" s="1"/>
  <c r="L247" i="12" a="1"/>
  <c r="L247" i="12" s="1"/>
  <c r="F281" i="12" a="1"/>
  <c r="F281" i="12" s="1"/>
  <c r="U450" i="2" a="1"/>
  <c r="U450" i="2" s="1"/>
  <c r="R281" i="12" a="1"/>
  <c r="R281" i="12" s="1"/>
  <c r="R581" i="12" a="1"/>
  <c r="R581" i="12" s="1"/>
  <c r="G248" i="12" a="1"/>
  <c r="G248" i="12" s="1"/>
  <c r="S605" i="12" a="1"/>
  <c r="S605" i="12" s="1"/>
  <c r="G501" i="12" a="1"/>
  <c r="G501" i="12" s="1"/>
  <c r="T185" i="12" a="1"/>
  <c r="T185" i="12" s="1"/>
  <c r="J435" i="12" a="1"/>
  <c r="J435" i="12" s="1"/>
  <c r="K149" i="12" a="1"/>
  <c r="K149" i="12" s="1"/>
  <c r="J171" i="12" a="1"/>
  <c r="J171" i="12" s="1"/>
  <c r="J251" i="12" a="1"/>
  <c r="J251" i="12" s="1"/>
  <c r="K131" i="12" a="1"/>
  <c r="K131" i="12" s="1"/>
  <c r="K313" i="12" a="1"/>
  <c r="K313" i="12" s="1"/>
  <c r="K597" i="12" a="1"/>
  <c r="K597" i="12" s="1"/>
  <c r="K252" i="12" a="1"/>
  <c r="K252" i="12" s="1"/>
  <c r="N238" i="12" a="1"/>
  <c r="N238" i="12" s="1"/>
  <c r="O539" i="12" a="1"/>
  <c r="O539" i="12" s="1"/>
  <c r="Q260" i="12" a="1"/>
  <c r="Q260" i="12" s="1"/>
  <c r="M606" i="12" a="1"/>
  <c r="M606" i="12" s="1"/>
  <c r="M214" i="12" a="1"/>
  <c r="M214" i="12" s="1"/>
  <c r="M501" i="12" a="1"/>
  <c r="M501" i="12" s="1"/>
  <c r="M294" i="12" a="1"/>
  <c r="M294" i="12" s="1"/>
  <c r="M246" i="12" a="1"/>
  <c r="M246" i="12" s="1"/>
  <c r="M269" i="12" a="1"/>
  <c r="M269" i="12" s="1"/>
  <c r="M287" i="12" a="1"/>
  <c r="M287" i="12" s="1"/>
  <c r="M457" i="12" a="1"/>
  <c r="M457" i="12" s="1"/>
  <c r="M282" i="12" a="1"/>
  <c r="M282" i="12" s="1"/>
  <c r="M465" i="12" a="1"/>
  <c r="M465" i="12" s="1"/>
  <c r="M254" i="12" a="1"/>
  <c r="M254" i="12" s="1"/>
  <c r="M573" i="12" a="1"/>
  <c r="M573" i="12" s="1"/>
  <c r="M158" i="12" a="1"/>
  <c r="M158" i="12" s="1"/>
  <c r="M301" i="12" a="1"/>
  <c r="M301" i="12" s="1"/>
  <c r="F315" i="12" a="1"/>
  <c r="F315" i="12" s="1"/>
  <c r="U538" i="2" a="1"/>
  <c r="U538" i="2" s="1"/>
  <c r="J598" i="12" a="1"/>
  <c r="J598" i="12" s="1"/>
  <c r="T225" i="12" a="1"/>
  <c r="T225" i="12" s="1"/>
  <c r="O147" i="12" a="1"/>
  <c r="O147" i="12" s="1"/>
  <c r="M531" i="12" a="1"/>
  <c r="M531" i="12" s="1"/>
  <c r="L497" i="12" a="1"/>
  <c r="L497" i="12" s="1"/>
  <c r="G197" i="12" a="1"/>
  <c r="G197" i="12" s="1"/>
  <c r="S186" i="12" a="1"/>
  <c r="S186" i="12" s="1"/>
  <c r="S170" i="12" a="1"/>
  <c r="S170" i="12" s="1"/>
  <c r="Z663" i="12" a="1"/>
  <c r="Z663" i="12" s="1"/>
  <c r="L100" i="12" a="1"/>
  <c r="L100" i="12" s="1"/>
  <c r="Q589" i="12" a="1"/>
  <c r="Q589" i="12" s="1"/>
  <c r="M473" i="12" a="1"/>
  <c r="M473" i="12" s="1"/>
  <c r="F434" i="12" a="1"/>
  <c r="F434" i="12" s="1"/>
  <c r="U641" i="2" a="1"/>
  <c r="U641" i="2" s="1"/>
  <c r="O587" i="12" a="1"/>
  <c r="O587" i="12" s="1"/>
  <c r="J578" i="12" a="1"/>
  <c r="J578" i="12" s="1"/>
  <c r="J516" i="12" a="1"/>
  <c r="J516" i="12" s="1"/>
  <c r="R545" i="12" a="1"/>
  <c r="R545" i="12" s="1"/>
  <c r="M477" i="12" a="1"/>
  <c r="M477" i="12" s="1"/>
  <c r="T548" i="12" a="1"/>
  <c r="T548" i="12" s="1"/>
  <c r="I578" i="12" a="1"/>
  <c r="I578" i="12" s="1"/>
  <c r="L592" i="12" a="1"/>
  <c r="L592" i="12" s="1"/>
  <c r="S513" i="12" a="1"/>
  <c r="S513" i="12" s="1"/>
  <c r="G398" i="12" a="1"/>
  <c r="G398" i="12" s="1"/>
  <c r="K392" i="12" a="1"/>
  <c r="K392" i="12" s="1"/>
  <c r="P460" i="12" a="1"/>
  <c r="P460" i="12" s="1"/>
  <c r="F589" i="12" a="1"/>
  <c r="F589" i="12" s="1"/>
  <c r="U627" i="2" a="1"/>
  <c r="U627" i="2" s="1"/>
  <c r="J595" i="12" a="1"/>
  <c r="J595" i="12" s="1"/>
  <c r="P545" i="12" a="1"/>
  <c r="P545" i="12" s="1"/>
  <c r="M517" i="12" a="1"/>
  <c r="M517" i="12" s="1"/>
  <c r="T481" i="12" a="1"/>
  <c r="T481" i="12" s="1"/>
  <c r="R491" i="12" a="1"/>
  <c r="R491" i="12" s="1"/>
  <c r="O485" i="12" a="1"/>
  <c r="O485" i="12" s="1"/>
  <c r="Q599" i="12" a="1"/>
  <c r="Q599" i="12" s="1"/>
  <c r="G516" i="12" a="1"/>
  <c r="G516" i="12" s="1"/>
  <c r="N565" i="12" a="1"/>
  <c r="N565" i="12" s="1"/>
  <c r="Q548" i="12" a="1"/>
  <c r="Q548" i="12" s="1"/>
  <c r="J491" i="12" a="1"/>
  <c r="J491" i="12" s="1"/>
  <c r="Q392" i="12" a="1"/>
  <c r="Q392" i="12" s="1"/>
  <c r="I375" i="12" a="1"/>
  <c r="I375" i="12" s="1"/>
  <c r="O460" i="12" a="1"/>
  <c r="O460" i="12" s="1"/>
  <c r="P599" i="12" a="1"/>
  <c r="P599" i="12" s="1"/>
  <c r="T542" i="12" a="1"/>
  <c r="T542" i="12" s="1"/>
  <c r="K544" i="12" a="1"/>
  <c r="K544" i="12" s="1"/>
  <c r="N538" i="12" a="1"/>
  <c r="N538" i="12" s="1"/>
  <c r="N98" i="12" a="1"/>
  <c r="N98" i="12" s="1"/>
  <c r="G550" i="12" a="1"/>
  <c r="G550" i="12" s="1"/>
  <c r="Q592" i="12" a="1"/>
  <c r="Q592" i="12" s="1"/>
  <c r="S554" i="12" a="1"/>
  <c r="S554" i="12" s="1"/>
  <c r="L438" i="12" a="1"/>
  <c r="L438" i="12" s="1"/>
  <c r="J577" i="12" a="1"/>
  <c r="J577" i="12" s="1"/>
  <c r="T580" i="12" a="1"/>
  <c r="T580" i="12" s="1"/>
  <c r="T375" i="12" a="1"/>
  <c r="T375" i="12" s="1"/>
  <c r="N599" i="12" a="1"/>
  <c r="N599" i="12" s="1"/>
  <c r="Q563" i="12" a="1"/>
  <c r="Q563" i="12" s="1"/>
  <c r="G477" i="12" a="1"/>
  <c r="G477" i="12" s="1"/>
  <c r="N548" i="12" a="1"/>
  <c r="N548" i="12" s="1"/>
  <c r="T441" i="12" a="1"/>
  <c r="T441" i="12" s="1"/>
  <c r="G563" i="12" a="1"/>
  <c r="G563" i="12" s="1"/>
  <c r="P398" i="12" a="1"/>
  <c r="P398" i="12" s="1"/>
  <c r="F456" i="12" a="1"/>
  <c r="F456" i="12" s="1"/>
  <c r="U622" i="2" a="1"/>
  <c r="U622" i="2" s="1"/>
  <c r="T482" i="12" a="1"/>
  <c r="T482" i="12" s="1"/>
  <c r="S445" i="12" a="1"/>
  <c r="S445" i="12" s="1"/>
  <c r="L538" i="12" a="1"/>
  <c r="L538" i="12" s="1"/>
  <c r="L486" i="12" a="1"/>
  <c r="L486" i="12" s="1"/>
  <c r="J512" i="12" a="1"/>
  <c r="J512" i="12" s="1"/>
  <c r="K471" i="12" a="1"/>
  <c r="K471" i="12" s="1"/>
  <c r="L417" i="12" a="1"/>
  <c r="L417" i="12" s="1"/>
  <c r="I506" i="12" a="1"/>
  <c r="I506" i="12" s="1"/>
  <c r="P300" i="12" a="1"/>
  <c r="P300" i="12" s="1"/>
  <c r="F406" i="12" a="1"/>
  <c r="F406" i="12" s="1"/>
  <c r="U466" i="2" a="1"/>
  <c r="U466" i="2" s="1"/>
  <c r="N326" i="12" a="1"/>
  <c r="N326" i="12" s="1"/>
  <c r="M572" i="12" a="1"/>
  <c r="M572" i="12" s="1"/>
  <c r="P517" i="12" a="1"/>
  <c r="P517" i="12" s="1"/>
  <c r="F430" i="12" a="1"/>
  <c r="F430" i="12" s="1"/>
  <c r="K434" i="12" a="1"/>
  <c r="K434" i="12" s="1"/>
  <c r="G447" i="12" a="1"/>
  <c r="G447" i="12" s="1"/>
  <c r="M410" i="12" a="1"/>
  <c r="M410" i="12" s="1"/>
  <c r="M472" i="12" a="1"/>
  <c r="M472" i="12" s="1"/>
  <c r="N525" i="12" a="1"/>
  <c r="N525" i="12" s="1"/>
  <c r="T396" i="12" a="1"/>
  <c r="T396" i="12" s="1"/>
  <c r="I361" i="12" a="1"/>
  <c r="I361" i="12" s="1"/>
  <c r="S406" i="12" a="1"/>
  <c r="S406" i="12" s="1"/>
  <c r="S405" i="12" a="1"/>
  <c r="S405" i="12" s="1"/>
  <c r="R352" i="12" a="1"/>
  <c r="R352" i="12" s="1"/>
  <c r="T567" i="12" a="1"/>
  <c r="T567" i="12" s="1"/>
  <c r="Q464" i="12" a="1"/>
  <c r="Q464" i="12" s="1"/>
  <c r="N444" i="12" a="1"/>
  <c r="N444" i="12" s="1"/>
  <c r="M444" i="12" a="1"/>
  <c r="M444" i="12" s="1"/>
  <c r="R480" i="12" a="1"/>
  <c r="R480" i="12" s="1"/>
  <c r="M552" i="12" a="1"/>
  <c r="M552" i="12" s="1"/>
  <c r="R353" i="12" a="1"/>
  <c r="R353" i="12" s="1"/>
  <c r="I461" i="12" a="1"/>
  <c r="I461" i="12" s="1"/>
  <c r="I340" i="12" a="1"/>
  <c r="I340" i="12" s="1"/>
  <c r="L406" i="12" a="1"/>
  <c r="L406" i="12" s="1"/>
  <c r="M567" i="12" a="1"/>
  <c r="M567" i="12" s="1"/>
  <c r="L394" i="12" a="1"/>
  <c r="L394" i="12" s="1"/>
  <c r="K278" i="12" a="1"/>
  <c r="K278" i="12" s="1"/>
  <c r="K399" i="12" a="1"/>
  <c r="K399" i="12" s="1"/>
  <c r="T406" i="12" a="1"/>
  <c r="T406" i="12" s="1"/>
  <c r="F599" i="12" a="1"/>
  <c r="F599" i="12" s="1"/>
  <c r="F554" i="12" a="1"/>
  <c r="F554" i="12" s="1"/>
  <c r="T569" i="12" a="1"/>
  <c r="T569" i="12" s="1"/>
  <c r="G441" i="12" a="1"/>
  <c r="G441" i="12" s="1"/>
  <c r="S428" i="12" a="1"/>
  <c r="S428" i="12" s="1"/>
  <c r="P489" i="12" a="1"/>
  <c r="P489" i="12" s="1"/>
  <c r="O429" i="12" a="1"/>
  <c r="O429" i="12" s="1"/>
  <c r="I324" i="12" a="1"/>
  <c r="I324" i="12" s="1"/>
  <c r="O353" i="12" a="1"/>
  <c r="O353" i="12" s="1"/>
  <c r="J369" i="12" a="1"/>
  <c r="J369" i="12" s="1"/>
  <c r="O360" i="12" a="1"/>
  <c r="O360" i="12" s="1"/>
  <c r="N359" i="12" a="1"/>
  <c r="N359" i="12" s="1"/>
  <c r="L326" i="12" a="1"/>
  <c r="L326" i="12" s="1"/>
  <c r="O306" i="12" a="1"/>
  <c r="O306" i="12" s="1"/>
  <c r="L450" i="12" a="1"/>
  <c r="L450" i="12" s="1"/>
  <c r="Q456" i="12" a="1"/>
  <c r="Q456" i="12" s="1"/>
  <c r="K524" i="12" a="1"/>
  <c r="K524" i="12" s="1"/>
  <c r="F453" i="12" a="1"/>
  <c r="F453" i="12" s="1"/>
  <c r="U522" i="2" a="1"/>
  <c r="U522" i="2" s="1"/>
  <c r="T525" i="12" a="1"/>
  <c r="T525" i="12" s="1"/>
  <c r="J353" i="12" a="1"/>
  <c r="J353" i="12" s="1"/>
  <c r="T340" i="12" a="1"/>
  <c r="T340" i="12" s="1"/>
  <c r="T411" i="12" a="1"/>
  <c r="T411" i="12" s="1"/>
  <c r="T300" i="12" a="1"/>
  <c r="T300" i="12" s="1"/>
  <c r="T359" i="12" a="1"/>
  <c r="T359" i="12" s="1"/>
  <c r="T288" i="12" a="1"/>
  <c r="T288" i="12" s="1"/>
  <c r="P344" i="12" a="1"/>
  <c r="P344" i="12" s="1"/>
  <c r="J262" i="12" a="1"/>
  <c r="J262" i="12" s="1"/>
  <c r="K595" i="12" a="1"/>
  <c r="K595" i="12" s="1"/>
  <c r="N491" i="12" a="1"/>
  <c r="N491" i="12" s="1"/>
  <c r="N567" i="12" a="1"/>
  <c r="N567" i="12" s="1"/>
  <c r="F529" i="12" a="1"/>
  <c r="F529" i="12" s="1"/>
  <c r="U482" i="2" a="1"/>
  <c r="U482" i="2" s="1"/>
  <c r="G436" i="12" a="1"/>
  <c r="G436" i="12" s="1"/>
  <c r="N523" i="12" a="1"/>
  <c r="N523" i="12" s="1"/>
  <c r="R460" i="12" a="1"/>
  <c r="R460" i="12" s="1"/>
  <c r="J486" i="12" a="1"/>
  <c r="J486" i="12" s="1"/>
  <c r="P535" i="12" a="1"/>
  <c r="P535" i="12" s="1"/>
  <c r="S525" i="12" a="1"/>
  <c r="S525" i="12" s="1"/>
  <c r="Q417" i="12" a="1"/>
  <c r="Q417" i="12" s="1"/>
  <c r="Q310" i="12" a="1"/>
  <c r="Q310" i="12" s="1"/>
  <c r="L359" i="12" a="1"/>
  <c r="L359" i="12" s="1"/>
  <c r="P355" i="12" a="1"/>
  <c r="P355" i="12" s="1"/>
  <c r="L576" i="12" a="1"/>
  <c r="L576" i="12" s="1"/>
  <c r="G488" i="12" a="1"/>
  <c r="G488" i="12" s="1"/>
  <c r="Q395" i="12" a="1"/>
  <c r="Q395" i="12" s="1"/>
  <c r="P395" i="12" a="1"/>
  <c r="P395" i="12" s="1"/>
  <c r="Q487" i="12" a="1"/>
  <c r="Q487" i="12" s="1"/>
  <c r="S560" i="12" a="1"/>
  <c r="S560" i="12" s="1"/>
  <c r="F512" i="12" a="1"/>
  <c r="F512" i="12" s="1"/>
  <c r="U558" i="2" a="1"/>
  <c r="U558" i="2" s="1"/>
  <c r="S471" i="12" a="1"/>
  <c r="S471" i="12" s="1"/>
  <c r="K532" i="12" a="1"/>
  <c r="K532" i="12" s="1"/>
  <c r="R455" i="12" a="1"/>
  <c r="R455" i="12" s="1"/>
  <c r="F361" i="12" a="1"/>
  <c r="F361" i="12" s="1"/>
  <c r="U575" i="2" a="1"/>
  <c r="U575" i="2" s="1"/>
  <c r="K340" i="12" a="1"/>
  <c r="K340" i="12" s="1"/>
  <c r="I304" i="12" a="1"/>
  <c r="I304" i="12" s="1"/>
  <c r="S391" i="12" a="1"/>
  <c r="S391" i="12" s="1"/>
  <c r="Q446" i="12" a="1"/>
  <c r="Q446" i="12" s="1"/>
  <c r="F371" i="12" a="1"/>
  <c r="F371" i="12" s="1"/>
  <c r="U596" i="2" a="1"/>
  <c r="U596" i="2" s="1"/>
  <c r="O304" i="12" a="1"/>
  <c r="O304" i="12" s="1"/>
  <c r="N355" i="12" a="1"/>
  <c r="N355" i="12" s="1"/>
  <c r="I318" i="12" a="1"/>
  <c r="I318" i="12" s="1"/>
  <c r="Z646" i="12" a="1"/>
  <c r="Z646" i="12" s="1"/>
  <c r="L467" i="12" a="1"/>
  <c r="L467" i="12" s="1"/>
  <c r="L384" i="12" a="1"/>
  <c r="L384" i="12" s="1"/>
  <c r="J384" i="12" a="1"/>
  <c r="J384" i="12" s="1"/>
  <c r="G459" i="12" a="1"/>
  <c r="G459" i="12" s="1"/>
  <c r="S375" i="12" a="1"/>
  <c r="S375" i="12" s="1"/>
  <c r="P524" i="12" a="1"/>
  <c r="P524" i="12" s="1"/>
  <c r="J524" i="12" a="1"/>
  <c r="J524" i="12" s="1"/>
  <c r="N437" i="12" a="1"/>
  <c r="N437" i="12" s="1"/>
  <c r="Q525" i="12" a="1"/>
  <c r="Q525" i="12" s="1"/>
  <c r="G396" i="12" a="1"/>
  <c r="G396" i="12" s="1"/>
  <c r="J411" i="12" a="1"/>
  <c r="J411" i="12" s="1"/>
  <c r="R300" i="12" a="1"/>
  <c r="R300" i="12" s="1"/>
  <c r="R303" i="12" a="1"/>
  <c r="R303" i="12" s="1"/>
  <c r="G406" i="12" a="1"/>
  <c r="G406" i="12" s="1"/>
  <c r="R391" i="12" a="1"/>
  <c r="R391" i="12" s="1"/>
  <c r="R482" i="12" a="1"/>
  <c r="R482" i="12" s="1"/>
  <c r="N307" i="12" a="1"/>
  <c r="N307" i="12" s="1"/>
  <c r="S591" i="12" a="1"/>
  <c r="S591" i="12" s="1"/>
  <c r="X664" i="12" a="1"/>
  <c r="X664" i="12" s="1"/>
  <c r="AL297" i="2" a="1"/>
  <c r="AL297" i="2" s="1"/>
  <c r="T320" i="12" a="1"/>
  <c r="T320" i="12" s="1"/>
  <c r="T286" i="12" a="1"/>
  <c r="T286" i="12" s="1"/>
  <c r="K596" i="12" a="1"/>
  <c r="K596" i="12" s="1"/>
  <c r="K261" i="12" a="1"/>
  <c r="K261" i="12" s="1"/>
  <c r="I219" i="12" a="1"/>
  <c r="I219" i="12" s="1"/>
  <c r="T571" i="12" a="1"/>
  <c r="T571" i="12" s="1"/>
  <c r="J282" i="12" a="1"/>
  <c r="J282" i="12" s="1"/>
  <c r="J280" i="12" a="1"/>
  <c r="J280" i="12" s="1"/>
  <c r="J498" i="12" a="1"/>
  <c r="J498" i="12" s="1"/>
  <c r="M498" i="12" a="1"/>
  <c r="M498" i="12" s="1"/>
  <c r="S316" i="12" a="1"/>
  <c r="S316" i="12" s="1"/>
  <c r="R316" i="12" a="1"/>
  <c r="R316" i="12" s="1"/>
  <c r="J351" i="12" a="1"/>
  <c r="J351" i="12" s="1"/>
  <c r="S364" i="12" a="1"/>
  <c r="S364" i="12" s="1"/>
  <c r="N601" i="12" a="1"/>
  <c r="N601" i="12" s="1"/>
  <c r="S270" i="12" a="1"/>
  <c r="S270" i="12" s="1"/>
  <c r="F313" i="12" a="1"/>
  <c r="F313" i="12" s="1"/>
  <c r="U512" i="2" a="1"/>
  <c r="U512" i="2" s="1"/>
  <c r="G315" i="12" a="1"/>
  <c r="G315" i="12" s="1"/>
  <c r="I246" i="12" a="1"/>
  <c r="I246" i="12" s="1"/>
  <c r="I371" i="12" a="1"/>
  <c r="I371" i="12" s="1"/>
  <c r="T448" i="12" a="1"/>
  <c r="T448" i="12" s="1"/>
  <c r="J360" i="12" a="1"/>
  <c r="J360" i="12" s="1"/>
  <c r="O362" i="12" a="1"/>
  <c r="O362" i="12" s="1"/>
  <c r="L364" i="12" a="1"/>
  <c r="L364" i="12" s="1"/>
  <c r="M576" i="12" a="1"/>
  <c r="M576" i="12" s="1"/>
  <c r="M380" i="12" a="1"/>
  <c r="M380" i="12" s="1"/>
  <c r="R380" i="12" a="1"/>
  <c r="R380" i="12" s="1"/>
  <c r="L357" i="12" a="1"/>
  <c r="L357" i="12" s="1"/>
  <c r="R357" i="12" a="1"/>
  <c r="R357" i="12" s="1"/>
  <c r="L344" i="12" a="1"/>
  <c r="L344" i="12" s="1"/>
  <c r="R302" i="12" a="1"/>
  <c r="R302" i="12" s="1"/>
  <c r="F367" i="12" a="1"/>
  <c r="F367" i="12" s="1"/>
  <c r="U475" i="2" a="1"/>
  <c r="U475" i="2" s="1"/>
  <c r="K328" i="12" a="1"/>
  <c r="K328" i="12" s="1"/>
  <c r="O343" i="12" a="1"/>
  <c r="O343" i="12" s="1"/>
  <c r="O349" i="12" a="1"/>
  <c r="O349" i="12" s="1"/>
  <c r="Q593" i="12" a="1"/>
  <c r="Q593" i="12" s="1"/>
  <c r="S251" i="12" a="1"/>
  <c r="S251" i="12" s="1"/>
  <c r="I455" i="12" a="1"/>
  <c r="I455" i="12" s="1"/>
  <c r="L291" i="12" a="1"/>
  <c r="L291" i="12" s="1"/>
  <c r="P400" i="12" a="1"/>
  <c r="P400" i="12" s="1"/>
  <c r="K400" i="12" a="1"/>
  <c r="K400" i="12" s="1"/>
  <c r="S373" i="12" a="1"/>
  <c r="S373" i="12" s="1"/>
  <c r="I137" i="12" a="1"/>
  <c r="I137" i="12" s="1"/>
  <c r="M351" i="12" a="1"/>
  <c r="M351" i="12" s="1"/>
  <c r="R338" i="12" a="1"/>
  <c r="R338" i="12" s="1"/>
  <c r="M362" i="12" a="1"/>
  <c r="M362" i="12" s="1"/>
  <c r="P343" i="12" a="1"/>
  <c r="P343" i="12" s="1"/>
  <c r="T290" i="12" a="1"/>
  <c r="T290" i="12" s="1"/>
  <c r="F294" i="12" a="1"/>
  <c r="F294" i="12" s="1"/>
  <c r="U526" i="2" a="1"/>
  <c r="U526" i="2" s="1"/>
  <c r="T576" i="12" a="1"/>
  <c r="T576" i="12" s="1"/>
  <c r="Q198" i="12" a="1"/>
  <c r="Q198" i="12" s="1"/>
  <c r="Q413" i="12" a="1"/>
  <c r="Q413" i="12" s="1"/>
  <c r="T413" i="12" a="1"/>
  <c r="T413" i="12" s="1"/>
  <c r="M402" i="12" a="1"/>
  <c r="M402" i="12" s="1"/>
  <c r="S521" i="12" a="1"/>
  <c r="S521" i="12" s="1"/>
  <c r="P303" i="12" a="1"/>
  <c r="P303" i="12" s="1"/>
  <c r="F440" i="12" a="1"/>
  <c r="F440" i="12" s="1"/>
  <c r="U561" i="2" a="1"/>
  <c r="U561" i="2" s="1"/>
  <c r="AA610" i="12" a="1"/>
  <c r="AA610" i="12" s="1"/>
  <c r="G574" i="12" a="1"/>
  <c r="G574" i="12" s="1"/>
  <c r="Q591" i="12" a="1"/>
  <c r="Q591" i="12" s="1"/>
  <c r="R313" i="12" a="1"/>
  <c r="R313" i="12" s="1"/>
  <c r="J605" i="12" a="1"/>
  <c r="J605" i="12" s="1"/>
  <c r="S252" i="12" a="1"/>
  <c r="S252" i="12" s="1"/>
  <c r="G214" i="12" a="1"/>
  <c r="G214" i="12" s="1"/>
  <c r="G246" i="12" a="1"/>
  <c r="G246" i="12" s="1"/>
  <c r="Q361" i="12" a="1"/>
  <c r="Q361" i="12" s="1"/>
  <c r="F336" i="12" a="1"/>
  <c r="F336" i="12" s="1"/>
  <c r="U425" i="2" a="1"/>
  <c r="U425" i="2" s="1"/>
  <c r="AB672" i="12" a="1"/>
  <c r="AB672" i="12" s="1"/>
  <c r="Q306" i="12" a="1"/>
  <c r="Q306" i="12" s="1"/>
  <c r="L284" i="12" a="1"/>
  <c r="L284" i="12" s="1"/>
  <c r="F319" i="12" a="1"/>
  <c r="F319" i="12" s="1"/>
  <c r="U467" i="2" a="1"/>
  <c r="U467" i="2" s="1"/>
  <c r="J349" i="12" a="1"/>
  <c r="J349" i="12" s="1"/>
  <c r="N347" i="12" a="1"/>
  <c r="N347" i="12" s="1"/>
  <c r="T158" i="12" a="1"/>
  <c r="T158" i="12" s="1"/>
  <c r="O470" i="12" a="1"/>
  <c r="O470" i="12" s="1"/>
  <c r="P390" i="12" a="1"/>
  <c r="P390" i="12" s="1"/>
  <c r="O405" i="12" a="1"/>
  <c r="O405" i="12" s="1"/>
  <c r="AL255" i="2" a="1"/>
  <c r="AL255" i="2" s="1"/>
  <c r="O593" i="12" a="1"/>
  <c r="O593" i="12" s="1"/>
  <c r="R301" i="12" a="1"/>
  <c r="R301" i="12" s="1"/>
  <c r="P464" i="12" a="1"/>
  <c r="P464" i="12" s="1"/>
  <c r="K420" i="12" a="1"/>
  <c r="K420" i="12" s="1"/>
  <c r="F341" i="12" a="1"/>
  <c r="F341" i="12" s="1"/>
  <c r="U629" i="2" a="1"/>
  <c r="U629" i="2" s="1"/>
  <c r="AQ463" i="2" a="1"/>
  <c r="AQ463" i="2" s="1"/>
  <c r="L240" i="12" a="1"/>
  <c r="L240" i="12" s="1"/>
  <c r="K327" i="12" a="1"/>
  <c r="K327" i="12" s="1"/>
  <c r="Q350" i="12" a="1"/>
  <c r="Q350" i="12" s="1"/>
  <c r="J252" i="12" a="1"/>
  <c r="J252" i="12" s="1"/>
  <c r="J301" i="12" a="1"/>
  <c r="J301" i="12" s="1"/>
  <c r="K246" i="12" a="1"/>
  <c r="K246" i="12" s="1"/>
  <c r="G471" i="12" a="1"/>
  <c r="G471" i="12" s="1"/>
  <c r="K468" i="12" a="1"/>
  <c r="K468" i="12" s="1"/>
  <c r="F304" i="12" a="1"/>
  <c r="F304" i="12" s="1"/>
  <c r="U559" i="2" a="1"/>
  <c r="U559" i="2" s="1"/>
  <c r="P352" i="12" a="1"/>
  <c r="P352" i="12" s="1"/>
  <c r="S331" i="12" a="1"/>
  <c r="S331" i="12" s="1"/>
  <c r="F251" i="12" a="1"/>
  <c r="F251" i="12" s="1"/>
  <c r="U501" i="2" a="1"/>
  <c r="U501" i="2" s="1"/>
  <c r="S347" i="12" a="1"/>
  <c r="S347" i="12" s="1"/>
  <c r="S286" i="12" a="1"/>
  <c r="S286" i="12" s="1"/>
  <c r="P158" i="12" a="1"/>
  <c r="P158" i="12" s="1"/>
  <c r="S261" i="12" a="1"/>
  <c r="S261" i="12" s="1"/>
  <c r="O328" i="12" a="1"/>
  <c r="O328" i="12" s="1"/>
  <c r="Q594" i="12" a="1"/>
  <c r="Q594" i="12" s="1"/>
  <c r="P219" i="12" a="1"/>
  <c r="P219" i="12" s="1"/>
  <c r="AA638" i="12" a="1"/>
  <c r="AA638" i="12" s="1"/>
  <c r="J566" i="12" a="1"/>
  <c r="J566" i="12" s="1"/>
  <c r="P268" i="12" a="1"/>
  <c r="P268" i="12" s="1"/>
  <c r="O185" i="12" a="1"/>
  <c r="O185" i="12" s="1"/>
  <c r="Z629" i="12" a="1"/>
  <c r="Z629" i="12" s="1"/>
  <c r="R465" i="12" a="1"/>
  <c r="R465" i="12" s="1"/>
  <c r="R449" i="12" a="1"/>
  <c r="R449" i="12" s="1"/>
  <c r="S575" i="12" a="1"/>
  <c r="S575" i="12" s="1"/>
  <c r="Q265" i="12" a="1"/>
  <c r="Q265" i="12" s="1"/>
  <c r="K287" i="12" a="1"/>
  <c r="K287" i="12" s="1"/>
  <c r="I211" i="12" a="1"/>
  <c r="I211" i="12" s="1"/>
  <c r="R539" i="12" a="1"/>
  <c r="R539" i="12" s="1"/>
  <c r="S260" i="12" a="1"/>
  <c r="S260" i="12" s="1"/>
  <c r="G503" i="12" a="1"/>
  <c r="G503" i="12" s="1"/>
  <c r="G510" i="12" a="1"/>
  <c r="G510" i="12" s="1"/>
  <c r="G295" i="12" a="1"/>
  <c r="G295" i="12" s="1"/>
  <c r="J172" i="12" a="1"/>
  <c r="J172" i="12" s="1"/>
  <c r="N180" i="12" a="1"/>
  <c r="N180" i="12" s="1"/>
  <c r="M236" i="12" a="1"/>
  <c r="M236" i="12" s="1"/>
  <c r="K531" i="12" a="1"/>
  <c r="K531" i="12" s="1"/>
  <c r="P465" i="12" a="1"/>
  <c r="P465" i="12" s="1"/>
  <c r="X650" i="12" a="1"/>
  <c r="X650" i="12" s="1"/>
  <c r="AL142" i="2" a="1"/>
  <c r="AL142" i="2" s="1"/>
  <c r="P593" i="12" a="1"/>
  <c r="P593" i="12" s="1"/>
  <c r="M281" i="12" a="1"/>
  <c r="M281" i="12" s="1"/>
  <c r="P269" i="12" a="1"/>
  <c r="P269" i="12" s="1"/>
  <c r="M238" i="12" a="1"/>
  <c r="M238" i="12" s="1"/>
  <c r="M248" i="12" a="1"/>
  <c r="M248" i="12" s="1"/>
  <c r="I298" i="12" a="1"/>
  <c r="I298" i="12" s="1"/>
  <c r="I605" i="12" a="1"/>
  <c r="I605" i="12" s="1"/>
  <c r="AB666" i="12" a="1"/>
  <c r="AB666" i="12" s="1"/>
  <c r="AQ509" i="2" a="1"/>
  <c r="AQ509" i="2" s="1"/>
  <c r="Q561" i="12" a="1"/>
  <c r="Q561" i="12" s="1"/>
  <c r="F208" i="12" a="1"/>
  <c r="F208" i="12" s="1"/>
  <c r="U456" i="2" a="1"/>
  <c r="U456" i="2" s="1"/>
  <c r="R268" i="12" a="1"/>
  <c r="R268" i="12" s="1"/>
  <c r="I568" i="12" a="1"/>
  <c r="I568" i="12" s="1"/>
  <c r="Q527" i="12" a="1"/>
  <c r="Q527" i="12" s="1"/>
  <c r="T562" i="12" a="1"/>
  <c r="T562" i="12" s="1"/>
  <c r="S531" i="12" a="1"/>
  <c r="S531" i="12" s="1"/>
  <c r="P320" i="12" a="1"/>
  <c r="P320" i="12" s="1"/>
  <c r="I597" i="12" a="1"/>
  <c r="I597" i="12" s="1"/>
  <c r="L280" i="12" a="1"/>
  <c r="L280" i="12" s="1"/>
  <c r="G260" i="12" a="1"/>
  <c r="G260" i="12" s="1"/>
  <c r="P258" i="12" a="1"/>
  <c r="P258" i="12" s="1"/>
  <c r="M598" i="12" a="1"/>
  <c r="M598" i="12" s="1"/>
  <c r="S211" i="12" a="1"/>
  <c r="S211" i="12" s="1"/>
  <c r="S257" i="12" a="1"/>
  <c r="S257" i="12" s="1"/>
  <c r="F269" i="12" a="1"/>
  <c r="F269" i="12" s="1"/>
  <c r="P606" i="12" a="1"/>
  <c r="P606" i="12" s="1"/>
  <c r="K451" i="12" a="1"/>
  <c r="K451" i="12" s="1"/>
  <c r="R408" i="12" a="1"/>
  <c r="R408" i="12" s="1"/>
  <c r="O225" i="12" a="1"/>
  <c r="O225" i="12" s="1"/>
  <c r="Q449" i="12" a="1"/>
  <c r="Q449" i="12" s="1"/>
  <c r="Z639" i="12" a="1"/>
  <c r="Z639" i="12" s="1"/>
  <c r="G133" i="12" a="1"/>
  <c r="G133" i="12" s="1"/>
  <c r="Q285" i="12" a="1"/>
  <c r="Q285" i="12" s="1"/>
  <c r="S14" i="12" a="1"/>
  <c r="S14" i="12" s="1"/>
  <c r="Q244" i="12" a="1"/>
  <c r="Q244" i="12" s="1"/>
  <c r="R44" i="12" a="1"/>
  <c r="R44" i="12" s="1"/>
  <c r="R430" i="12" a="1"/>
  <c r="R430" i="12" s="1"/>
  <c r="Z196" i="3" a="1"/>
  <c r="Z196" i="3" s="1"/>
  <c r="T578" i="12" a="1"/>
  <c r="T578" i="12" s="1"/>
  <c r="K543" i="12" a="1"/>
  <c r="K543" i="12" s="1"/>
  <c r="R424" i="12" a="1"/>
  <c r="R424" i="12" s="1"/>
  <c r="N542" i="12" a="1"/>
  <c r="N542" i="12" s="1"/>
  <c r="Q545" i="12" a="1"/>
  <c r="Q545" i="12" s="1"/>
  <c r="G579" i="12" a="1"/>
  <c r="G579" i="12" s="1"/>
  <c r="Q441" i="12" a="1"/>
  <c r="Q441" i="12" s="1"/>
  <c r="T529" i="12" a="1"/>
  <c r="T529" i="12" s="1"/>
  <c r="Q375" i="12" a="1"/>
  <c r="Q375" i="12" s="1"/>
  <c r="R599" i="12" a="1"/>
  <c r="R599" i="12" s="1"/>
  <c r="M544" i="12" a="1"/>
  <c r="M544" i="12" s="1"/>
  <c r="T477" i="12" a="1"/>
  <c r="T477" i="12" s="1"/>
  <c r="L481" i="12" a="1"/>
  <c r="L481" i="12" s="1"/>
  <c r="S577" i="12" a="1"/>
  <c r="S577" i="12" s="1"/>
  <c r="R473" i="12" a="1"/>
  <c r="R473" i="12" s="1"/>
  <c r="R392" i="12" a="1"/>
  <c r="R392" i="12" s="1"/>
  <c r="J434" i="12" a="1"/>
  <c r="J434" i="12" s="1"/>
  <c r="I599" i="12" a="1"/>
  <c r="I599" i="12" s="1"/>
  <c r="L563" i="12" a="1"/>
  <c r="L563" i="12" s="1"/>
  <c r="S477" i="12" a="1"/>
  <c r="S477" i="12" s="1"/>
  <c r="I548" i="12" a="1"/>
  <c r="I548" i="12" s="1"/>
  <c r="K577" i="12" a="1"/>
  <c r="K577" i="12" s="1"/>
  <c r="J392" i="12" a="1"/>
  <c r="J392" i="12" s="1"/>
  <c r="I460" i="12" a="1"/>
  <c r="I460" i="12" s="1"/>
  <c r="M580" i="12" a="1"/>
  <c r="M580" i="12" s="1"/>
  <c r="O516" i="12" a="1"/>
  <c r="O516" i="12" s="1"/>
  <c r="R592" i="12" a="1"/>
  <c r="R592" i="12" s="1"/>
  <c r="O543" i="12" a="1"/>
  <c r="O543" i="12" s="1"/>
  <c r="R507" i="12" a="1"/>
  <c r="R507" i="12" s="1"/>
  <c r="O418" i="12" a="1"/>
  <c r="O418" i="12" s="1"/>
  <c r="O430" i="12" a="1"/>
  <c r="O430" i="12" s="1"/>
  <c r="T460" i="12" a="1"/>
  <c r="T460" i="12" s="1"/>
  <c r="F98" i="12" a="1"/>
  <c r="F98" i="12" s="1"/>
  <c r="I592" i="12" a="1"/>
  <c r="I592" i="12" s="1"/>
  <c r="G513" i="12" a="1"/>
  <c r="G513" i="12" s="1"/>
  <c r="Q481" i="12" a="1"/>
  <c r="Q481" i="12" s="1"/>
  <c r="K589" i="12" a="1"/>
  <c r="K589" i="12" s="1"/>
  <c r="O595" i="12" a="1"/>
  <c r="O595" i="12" s="1"/>
  <c r="O467" i="12" a="1"/>
  <c r="O467" i="12" s="1"/>
  <c r="O513" i="12" a="1"/>
  <c r="O513" i="12" s="1"/>
  <c r="N418" i="12" a="1"/>
  <c r="N418" i="12" s="1"/>
  <c r="S580" i="12" a="1"/>
  <c r="S580" i="12" s="1"/>
  <c r="I563" i="12" a="1"/>
  <c r="I563" i="12" s="1"/>
  <c r="L543" i="12" a="1"/>
  <c r="L543" i="12" s="1"/>
  <c r="S438" i="12" a="1"/>
  <c r="S438" i="12" s="1"/>
  <c r="M441" i="12" a="1"/>
  <c r="M441" i="12" s="1"/>
  <c r="T430" i="12" a="1"/>
  <c r="T430" i="12" s="1"/>
  <c r="K467" i="12" a="1"/>
  <c r="K467" i="12" s="1"/>
  <c r="F375" i="12" a="1"/>
  <c r="F375" i="12" s="1"/>
  <c r="J445" i="12" a="1"/>
  <c r="J445" i="12" s="1"/>
  <c r="N453" i="12" a="1"/>
  <c r="N453" i="12" s="1"/>
  <c r="T552" i="12" a="1"/>
  <c r="T552" i="12" s="1"/>
  <c r="Q471" i="12" a="1"/>
  <c r="Q471" i="12" s="1"/>
  <c r="L371" i="12" a="1"/>
  <c r="L371" i="12" s="1"/>
  <c r="T506" i="12" a="1"/>
  <c r="T506" i="12" s="1"/>
  <c r="N385" i="12" a="1"/>
  <c r="N385" i="12" s="1"/>
  <c r="M342" i="12" a="1"/>
  <c r="M342" i="12" s="1"/>
  <c r="S600" i="12" a="1"/>
  <c r="S600" i="12" s="1"/>
  <c r="O339" i="12" a="1"/>
  <c r="O339" i="12" s="1"/>
  <c r="T381" i="12" a="1"/>
  <c r="T381" i="12" s="1"/>
  <c r="G572" i="12" a="1"/>
  <c r="G572" i="12" s="1"/>
  <c r="F570" i="12" a="1"/>
  <c r="F570" i="12" s="1"/>
  <c r="R447" i="12" a="1"/>
  <c r="R447" i="12" s="1"/>
  <c r="S410" i="12" a="1"/>
  <c r="S410" i="12" s="1"/>
  <c r="S472" i="12" a="1"/>
  <c r="S472" i="12" s="1"/>
  <c r="S310" i="12" a="1"/>
  <c r="S310" i="12" s="1"/>
  <c r="M396" i="12" a="1"/>
  <c r="M396" i="12" s="1"/>
  <c r="T361" i="12" a="1"/>
  <c r="T361" i="12" s="1"/>
  <c r="Q600" i="12" a="1"/>
  <c r="Q600" i="12" s="1"/>
  <c r="AQ393" i="2" a="1"/>
  <c r="AQ393" i="2" s="1"/>
  <c r="AR393" i="2" a="1"/>
  <c r="AR393" i="2" s="1"/>
  <c r="K352" i="12" a="1"/>
  <c r="K352" i="12" s="1"/>
  <c r="AB612" i="12" a="1"/>
  <c r="AB612" i="12" s="1"/>
  <c r="L513" i="12" a="1"/>
  <c r="L513" i="12" s="1"/>
  <c r="J529" i="12" a="1"/>
  <c r="J529" i="12" s="1"/>
  <c r="L464" i="12" a="1"/>
  <c r="L464" i="12" s="1"/>
  <c r="T444" i="12" a="1"/>
  <c r="T444" i="12" s="1"/>
  <c r="G486" i="12" a="1"/>
  <c r="G486" i="12" s="1"/>
  <c r="G353" i="12" a="1"/>
  <c r="G353" i="12" s="1"/>
  <c r="T461" i="12" a="1"/>
  <c r="T461" i="12" s="1"/>
  <c r="L342" i="12" a="1"/>
  <c r="L342" i="12" s="1"/>
  <c r="F590" i="12" a="1"/>
  <c r="F590" i="12" s="1"/>
  <c r="G544" i="12" a="1"/>
  <c r="G544" i="12" s="1"/>
  <c r="N394" i="12" a="1"/>
  <c r="N394" i="12" s="1"/>
  <c r="Q278" i="12" a="1"/>
  <c r="Q278" i="12" s="1"/>
  <c r="I399" i="12" a="1"/>
  <c r="I399" i="12" s="1"/>
  <c r="R342" i="12" a="1"/>
  <c r="R342" i="12" s="1"/>
  <c r="J406" i="12" a="1"/>
  <c r="J406" i="12" s="1"/>
  <c r="F569" i="12" a="1"/>
  <c r="F569" i="12" s="1"/>
  <c r="U619" i="2" a="1"/>
  <c r="U619" i="2" s="1"/>
  <c r="M428" i="12" a="1"/>
  <c r="M428" i="12" s="1"/>
  <c r="T489" i="12" a="1"/>
  <c r="T489" i="12" s="1"/>
  <c r="P429" i="12" a="1"/>
  <c r="P429" i="12" s="1"/>
  <c r="J429" i="12" a="1"/>
  <c r="J429" i="12" s="1"/>
  <c r="S433" i="12" a="1"/>
  <c r="S433" i="12" s="1"/>
  <c r="O324" i="12" a="1"/>
  <c r="O324" i="12" s="1"/>
  <c r="J461" i="12" a="1"/>
  <c r="J461" i="12" s="1"/>
  <c r="L385" i="12" a="1"/>
  <c r="L385" i="12" s="1"/>
  <c r="F359" i="12" a="1"/>
  <c r="F359" i="12" s="1"/>
  <c r="U636" i="2" a="1"/>
  <c r="U636" i="2" s="1"/>
  <c r="F326" i="12" a="1"/>
  <c r="F326" i="12" s="1"/>
  <c r="U658" i="2" a="1"/>
  <c r="U658" i="2" s="1"/>
  <c r="T98" i="12" a="1"/>
  <c r="T98" i="12" s="1"/>
  <c r="S450" i="12" a="1"/>
  <c r="S450" i="12" s="1"/>
  <c r="F441" i="12" a="1"/>
  <c r="F441" i="12" s="1"/>
  <c r="M538" i="12" a="1"/>
  <c r="M538" i="12" s="1"/>
  <c r="Q453" i="12" a="1"/>
  <c r="Q453" i="12" s="1"/>
  <c r="P353" i="12" a="1"/>
  <c r="P353" i="12" s="1"/>
  <c r="K369" i="12" a="1"/>
  <c r="K369" i="12" s="1"/>
  <c r="M340" i="12" a="1"/>
  <c r="M340" i="12" s="1"/>
  <c r="M411" i="12" a="1"/>
  <c r="M411" i="12" s="1"/>
  <c r="M300" i="12" a="1"/>
  <c r="M300" i="12" s="1"/>
  <c r="M359" i="12" a="1"/>
  <c r="M359" i="12" s="1"/>
  <c r="M288" i="12" a="1"/>
  <c r="M288" i="12" s="1"/>
  <c r="J344" i="12" a="1"/>
  <c r="J344" i="12" s="1"/>
  <c r="R593" i="12" a="1"/>
  <c r="R593" i="12" s="1"/>
  <c r="R518" i="12" a="1"/>
  <c r="R518" i="12" s="1"/>
  <c r="U581" i="2" a="1"/>
  <c r="U581" i="2" s="1"/>
  <c r="O567" i="12" a="1"/>
  <c r="O567" i="12" s="1"/>
  <c r="M459" i="12" a="1"/>
  <c r="M459" i="12" s="1"/>
  <c r="R436" i="12" a="1"/>
  <c r="R436" i="12" s="1"/>
  <c r="T523" i="12" a="1"/>
  <c r="T523" i="12" s="1"/>
  <c r="K460" i="12" a="1"/>
  <c r="K460" i="12" s="1"/>
  <c r="P486" i="12" a="1"/>
  <c r="P486" i="12" s="1"/>
  <c r="J535" i="12" a="1"/>
  <c r="J535" i="12" s="1"/>
  <c r="M409" i="12" a="1"/>
  <c r="M409" i="12" s="1"/>
  <c r="K525" i="12" a="1"/>
  <c r="K525" i="12" s="1"/>
  <c r="F417" i="12" a="1"/>
  <c r="F417" i="12" s="1"/>
  <c r="G310" i="12" a="1"/>
  <c r="G310" i="12" s="1"/>
  <c r="G361" i="12" a="1"/>
  <c r="G361" i="12" s="1"/>
  <c r="R318" i="12" a="1"/>
  <c r="R318" i="12" s="1"/>
  <c r="P381" i="12" a="1"/>
  <c r="P381" i="12" s="1"/>
  <c r="K599" i="12" a="1"/>
  <c r="K599" i="12" s="1"/>
  <c r="F477" i="12" a="1"/>
  <c r="F477" i="12" s="1"/>
  <c r="J488" i="12" a="1"/>
  <c r="J488" i="12" s="1"/>
  <c r="N488" i="12" a="1"/>
  <c r="N488" i="12" s="1"/>
  <c r="L395" i="12" a="1"/>
  <c r="L395" i="12" s="1"/>
  <c r="K395" i="12" a="1"/>
  <c r="K395" i="12" s="1"/>
  <c r="L487" i="12" a="1"/>
  <c r="L487" i="12" s="1"/>
  <c r="N560" i="12" a="1"/>
  <c r="N560" i="12" s="1"/>
  <c r="O433" i="12" a="1"/>
  <c r="O433" i="12" s="1"/>
  <c r="M455" i="12" a="1"/>
  <c r="M455" i="12" s="1"/>
  <c r="O399" i="12" a="1"/>
  <c r="O399" i="12" s="1"/>
  <c r="K359" i="12" a="1"/>
  <c r="K359" i="12" s="1"/>
  <c r="F391" i="12" a="1"/>
  <c r="F391" i="12" s="1"/>
  <c r="U532" i="2" a="1"/>
  <c r="U532" i="2" s="1"/>
  <c r="P590" i="12" a="1"/>
  <c r="P590" i="12" s="1"/>
  <c r="T453" i="12" a="1"/>
  <c r="T453" i="12" s="1"/>
  <c r="L446" i="12" a="1"/>
  <c r="L446" i="12" s="1"/>
  <c r="I417" i="12" a="1"/>
  <c r="I417" i="12" s="1"/>
  <c r="Q371" i="12" a="1"/>
  <c r="Q371" i="12" s="1"/>
  <c r="X644" i="12" a="1"/>
  <c r="X644" i="12" s="1"/>
  <c r="AL463" i="2" a="1"/>
  <c r="AL463" i="2" s="1"/>
  <c r="T352" i="12" a="1"/>
  <c r="T352" i="12" s="1"/>
  <c r="R565" i="12" a="1"/>
  <c r="R565" i="12" s="1"/>
  <c r="S384" i="12" a="1"/>
  <c r="S384" i="12" s="1"/>
  <c r="Q384" i="12" a="1"/>
  <c r="Q384" i="12" s="1"/>
  <c r="N459" i="12" a="1"/>
  <c r="N459" i="12" s="1"/>
  <c r="Q434" i="12" a="1"/>
  <c r="Q434" i="12" s="1"/>
  <c r="L524" i="12" a="1"/>
  <c r="L524" i="12" s="1"/>
  <c r="T437" i="12" a="1"/>
  <c r="T437" i="12" s="1"/>
  <c r="O389" i="12" a="1"/>
  <c r="O389" i="12" s="1"/>
  <c r="G411" i="12" a="1"/>
  <c r="G411" i="12" s="1"/>
  <c r="S300" i="12" a="1"/>
  <c r="S300" i="12" s="1"/>
  <c r="K303" i="12" a="1"/>
  <c r="K303" i="12" s="1"/>
  <c r="Q288" i="12" a="1"/>
  <c r="Q288" i="12" s="1"/>
  <c r="U633" i="2" a="1"/>
  <c r="U633" i="2" s="1"/>
  <c r="J339" i="12" a="1"/>
  <c r="J339" i="12" s="1"/>
  <c r="L306" i="12" a="1"/>
  <c r="L306" i="12" s="1"/>
  <c r="F591" i="12" a="1"/>
  <c r="F591" i="12" s="1"/>
  <c r="U362" i="2" a="1"/>
  <c r="U362" i="2" s="1"/>
  <c r="M320" i="12" a="1"/>
  <c r="M320" i="12" s="1"/>
  <c r="F286" i="12" a="1"/>
  <c r="F286" i="12" s="1"/>
  <c r="U643" i="2" a="1"/>
  <c r="U643" i="2" s="1"/>
  <c r="I596" i="12" a="1"/>
  <c r="I596" i="12" s="1"/>
  <c r="I261" i="12" a="1"/>
  <c r="I261" i="12" s="1"/>
  <c r="T219" i="12" a="1"/>
  <c r="T219" i="12" s="1"/>
  <c r="F571" i="12" a="1"/>
  <c r="F571" i="12" s="1"/>
  <c r="U286" i="2" a="1"/>
  <c r="U286" i="2" s="1"/>
  <c r="I282" i="12" a="1"/>
  <c r="I282" i="12" s="1"/>
  <c r="O498" i="12" a="1"/>
  <c r="O498" i="12" s="1"/>
  <c r="S498" i="12" a="1"/>
  <c r="S498" i="12" s="1"/>
  <c r="L316" i="12" a="1"/>
  <c r="L316" i="12" s="1"/>
  <c r="K306" i="12" a="1"/>
  <c r="K306" i="12" s="1"/>
  <c r="T601" i="12" a="1"/>
  <c r="T601" i="12" s="1"/>
  <c r="N270" i="12" a="1"/>
  <c r="N270" i="12" s="1"/>
  <c r="G252" i="12" a="1"/>
  <c r="G252" i="12" s="1"/>
  <c r="R315" i="12" a="1"/>
  <c r="R315" i="12" s="1"/>
  <c r="G482" i="12" a="1"/>
  <c r="G482" i="12" s="1"/>
  <c r="R461" i="12" a="1"/>
  <c r="R461" i="12" s="1"/>
  <c r="N448" i="12" a="1"/>
  <c r="N448" i="12" s="1"/>
  <c r="S385" i="12" a="1"/>
  <c r="S385" i="12" s="1"/>
  <c r="K362" i="12" a="1"/>
  <c r="K362" i="12" s="1"/>
  <c r="G364" i="12" a="1"/>
  <c r="G364" i="12" s="1"/>
  <c r="L350" i="12" a="1"/>
  <c r="L350" i="12" s="1"/>
  <c r="O380" i="12" a="1"/>
  <c r="O380" i="12" s="1"/>
  <c r="S380" i="12" a="1"/>
  <c r="S380" i="12" s="1"/>
  <c r="S357" i="12" a="1"/>
  <c r="S357" i="12" s="1"/>
  <c r="P360" i="12" a="1"/>
  <c r="P360" i="12" s="1"/>
  <c r="G306" i="12" a="1"/>
  <c r="G306" i="12" s="1"/>
  <c r="F302" i="12" a="1"/>
  <c r="F302" i="12" s="1"/>
  <c r="U503" i="2" a="1"/>
  <c r="U503" i="2" s="1"/>
  <c r="L367" i="12" a="1"/>
  <c r="L367" i="12" s="1"/>
  <c r="L328" i="12" a="1"/>
  <c r="L328" i="12" s="1"/>
  <c r="L343" i="12" a="1"/>
  <c r="L343" i="12" s="1"/>
  <c r="Q349" i="12" a="1"/>
  <c r="Q349" i="12" s="1"/>
  <c r="L242" i="12" a="1"/>
  <c r="L242" i="12" s="1"/>
  <c r="P251" i="12" a="1"/>
  <c r="P251" i="12" s="1"/>
  <c r="I291" i="12" a="1"/>
  <c r="I291" i="12" s="1"/>
  <c r="G291" i="12" a="1"/>
  <c r="G291" i="12" s="1"/>
  <c r="J400" i="12" a="1"/>
  <c r="J400" i="12" s="1"/>
  <c r="Q400" i="12" a="1"/>
  <c r="Q400" i="12" s="1"/>
  <c r="Q355" i="12" a="1"/>
  <c r="Q355" i="12" s="1"/>
  <c r="T351" i="12" a="1"/>
  <c r="T351" i="12" s="1"/>
  <c r="S338" i="12" a="1"/>
  <c r="S338" i="12" s="1"/>
  <c r="M284" i="12" a="1"/>
  <c r="M284" i="12" s="1"/>
  <c r="M349" i="12" a="1"/>
  <c r="M349" i="12" s="1"/>
  <c r="S290" i="12" a="1"/>
  <c r="S290" i="12" s="1"/>
  <c r="N294" i="12" a="1"/>
  <c r="N294" i="12" s="1"/>
  <c r="O347" i="12" a="1"/>
  <c r="O347" i="12" s="1"/>
  <c r="S198" i="12" a="1"/>
  <c r="S198" i="12" s="1"/>
  <c r="N402" i="12" a="1"/>
  <c r="N402" i="12" s="1"/>
  <c r="M521" i="12" a="1"/>
  <c r="M521" i="12" s="1"/>
  <c r="M304" i="12" a="1"/>
  <c r="M304" i="12" s="1"/>
  <c r="T440" i="12" a="1"/>
  <c r="T440" i="12" s="1"/>
  <c r="Z618" i="12" a="1"/>
  <c r="Z618" i="12" s="1"/>
  <c r="AB610" i="12" a="1"/>
  <c r="AB610" i="12" s="1"/>
  <c r="F240" i="12" a="1"/>
  <c r="F240" i="12" s="1"/>
  <c r="U609" i="2" a="1"/>
  <c r="U609" i="2" s="1"/>
  <c r="M574" i="12" a="1"/>
  <c r="M574" i="12" s="1"/>
  <c r="K591" i="12" a="1"/>
  <c r="K591" i="12" s="1"/>
  <c r="M313" i="12" a="1"/>
  <c r="M313" i="12" s="1"/>
  <c r="P605" i="12" a="1"/>
  <c r="P605" i="12" s="1"/>
  <c r="L252" i="12" a="1"/>
  <c r="L252" i="12" s="1"/>
  <c r="J241" i="12" a="1"/>
  <c r="J241" i="12" s="1"/>
  <c r="P385" i="12" a="1"/>
  <c r="P385" i="12" s="1"/>
  <c r="T336" i="12" a="1"/>
  <c r="T336" i="12" s="1"/>
  <c r="R319" i="12" a="1"/>
  <c r="R319" i="12" s="1"/>
  <c r="Q319" i="12" a="1"/>
  <c r="Q319" i="12" s="1"/>
  <c r="L591" i="12" a="1"/>
  <c r="L591" i="12" s="1"/>
  <c r="Z612" i="12" a="1"/>
  <c r="Z612" i="12" s="1"/>
  <c r="N286" i="12" a="1"/>
  <c r="N286" i="12" s="1"/>
  <c r="N571" i="12" a="1"/>
  <c r="N571" i="12" s="1"/>
  <c r="F470" i="12" a="1"/>
  <c r="F470" i="12" s="1"/>
  <c r="U557" i="2" a="1"/>
  <c r="U557" i="2" s="1"/>
  <c r="F390" i="12" a="1"/>
  <c r="F390" i="12" s="1"/>
  <c r="U657" i="2" a="1"/>
  <c r="U657" i="2" s="1"/>
  <c r="K390" i="12" a="1"/>
  <c r="K390" i="12" s="1"/>
  <c r="AA618" i="12" a="1"/>
  <c r="AA618" i="12" s="1"/>
  <c r="M328" i="12" a="1"/>
  <c r="M328" i="12" s="1"/>
  <c r="R242" i="12" a="1"/>
  <c r="R242" i="12" s="1"/>
  <c r="J555" i="12" a="1"/>
  <c r="J555" i="12" s="1"/>
  <c r="L420" i="12" a="1"/>
  <c r="L420" i="12" s="1"/>
  <c r="G341" i="12" a="1"/>
  <c r="G341" i="12" s="1"/>
  <c r="J249" i="12" a="1"/>
  <c r="J249" i="12" s="1"/>
  <c r="N240" i="12" a="1"/>
  <c r="N240" i="12" s="1"/>
  <c r="F327" i="12" a="1"/>
  <c r="F327" i="12" s="1"/>
  <c r="U542" i="2" a="1"/>
  <c r="U542" i="2" s="1"/>
  <c r="P301" i="12" a="1"/>
  <c r="P301" i="12" s="1"/>
  <c r="X668" i="12" a="1"/>
  <c r="X668" i="12" s="1"/>
  <c r="AL136" i="2" a="1"/>
  <c r="AL136" i="2" s="1"/>
  <c r="P455" i="12" a="1"/>
  <c r="P455" i="12" s="1"/>
  <c r="T468" i="12" a="1"/>
  <c r="T468" i="12" s="1"/>
  <c r="G304" i="12" a="1"/>
  <c r="G304" i="12" s="1"/>
  <c r="I381" i="12" a="1"/>
  <c r="I381" i="12" s="1"/>
  <c r="N331" i="12" a="1"/>
  <c r="N331" i="12" s="1"/>
  <c r="G242" i="12" a="1"/>
  <c r="G242" i="12" s="1"/>
  <c r="L347" i="12" a="1"/>
  <c r="L347" i="12" s="1"/>
  <c r="L286" i="12" a="1"/>
  <c r="L286" i="12" s="1"/>
  <c r="S596" i="12" a="1"/>
  <c r="S596" i="12" s="1"/>
  <c r="L261" i="12" a="1"/>
  <c r="L261" i="12" s="1"/>
  <c r="U452" i="2" a="1"/>
  <c r="U452" i="2" s="1"/>
  <c r="K581" i="12" a="1"/>
  <c r="K581" i="12" s="1"/>
  <c r="F566" i="12" a="1"/>
  <c r="F566" i="12" s="1"/>
  <c r="U247" i="2" a="1"/>
  <c r="U247" i="2" s="1"/>
  <c r="G268" i="12" a="1"/>
  <c r="G268" i="12" s="1"/>
  <c r="F185" i="12" a="1"/>
  <c r="F185" i="12" s="1"/>
  <c r="U545" i="2" a="1"/>
  <c r="U545" i="2" s="1"/>
  <c r="L181" i="12" a="1"/>
  <c r="L181" i="12" s="1"/>
  <c r="S585" i="12" a="1"/>
  <c r="S585" i="12" s="1"/>
  <c r="L449" i="12" a="1"/>
  <c r="L449" i="12" s="1"/>
  <c r="M247" i="12" a="1"/>
  <c r="M247" i="12" s="1"/>
  <c r="K265" i="12" a="1"/>
  <c r="K265" i="12" s="1"/>
  <c r="R287" i="12" a="1"/>
  <c r="R287" i="12" s="1"/>
  <c r="Q269" i="12" a="1"/>
  <c r="Q269" i="12" s="1"/>
  <c r="F539" i="12" a="1"/>
  <c r="F539" i="12" s="1"/>
  <c r="U291" i="2" a="1"/>
  <c r="U291" i="2" s="1"/>
  <c r="I263" i="12" a="1"/>
  <c r="I263" i="12" s="1"/>
  <c r="T510" i="12" a="1"/>
  <c r="T510" i="12" s="1"/>
  <c r="R585" i="12" a="1"/>
  <c r="R585" i="12" s="1"/>
  <c r="Q520" i="12" a="1"/>
  <c r="Q520" i="12" s="1"/>
  <c r="I172" i="12" a="1"/>
  <c r="I172" i="12" s="1"/>
  <c r="S180" i="12" a="1"/>
  <c r="S180" i="12" s="1"/>
  <c r="R236" i="12" a="1"/>
  <c r="R236" i="12" s="1"/>
  <c r="R527" i="12" a="1"/>
  <c r="R527" i="12" s="1"/>
  <c r="J465" i="12" a="1"/>
  <c r="J465" i="12" s="1"/>
  <c r="K242" i="12" a="1"/>
  <c r="K242" i="12" s="1"/>
  <c r="T281" i="12" a="1"/>
  <c r="T281" i="12" s="1"/>
  <c r="U516" i="2" a="1"/>
  <c r="U516" i="2" s="1"/>
  <c r="K483" i="12" a="1"/>
  <c r="K483" i="12" s="1"/>
  <c r="S248" i="12" a="1"/>
  <c r="S248" i="12" s="1"/>
  <c r="T298" i="12" a="1"/>
  <c r="T298" i="12" s="1"/>
  <c r="K536" i="12" a="1"/>
  <c r="K536" i="12" s="1"/>
  <c r="P536" i="12" a="1"/>
  <c r="P536" i="12" s="1"/>
  <c r="U316" i="2" a="1"/>
  <c r="U316" i="2" s="1"/>
  <c r="K435" i="12" a="1"/>
  <c r="K435" i="12" s="1"/>
  <c r="J449" i="12" a="1"/>
  <c r="J449" i="12" s="1"/>
  <c r="K171" i="12" a="1"/>
  <c r="K171" i="12" s="1"/>
  <c r="F218" i="12" a="1"/>
  <c r="F218" i="12" s="1"/>
  <c r="U523" i="2" a="1"/>
  <c r="U523" i="2" s="1"/>
  <c r="R83" i="12" a="1"/>
  <c r="R83" i="12" s="1"/>
  <c r="P245" i="12" a="1"/>
  <c r="P245" i="12" s="1"/>
  <c r="G557" i="12" a="1"/>
  <c r="G557" i="12" s="1"/>
  <c r="Q258" i="12" a="1"/>
  <c r="Q258" i="12" s="1"/>
  <c r="Q514" i="12" a="1"/>
  <c r="Q514" i="12" s="1"/>
  <c r="I505" i="12" a="1"/>
  <c r="I505" i="12" s="1"/>
  <c r="AB614" i="12" a="1"/>
  <c r="AB614" i="12" s="1"/>
  <c r="O186" i="12" a="1"/>
  <c r="O186" i="12" s="1"/>
  <c r="F451" i="12" a="1"/>
  <c r="F451" i="12" s="1"/>
  <c r="Q164" i="12" a="1"/>
  <c r="Q164" i="12" s="1"/>
  <c r="S209" i="12" a="1"/>
  <c r="S209" i="12" s="1"/>
  <c r="S439" i="12" a="1"/>
  <c r="S439" i="12" s="1"/>
  <c r="F101" i="12" a="1"/>
  <c r="F101" i="12" s="1"/>
  <c r="M502" i="12" a="1"/>
  <c r="M502" i="12" s="1"/>
  <c r="N122" i="12" a="1"/>
  <c r="N122" i="12" s="1"/>
  <c r="L89" i="12" a="1"/>
  <c r="L89" i="12" s="1"/>
  <c r="J35" i="12" a="1"/>
  <c r="J35" i="12" s="1"/>
  <c r="R239" i="12" a="1"/>
  <c r="R239" i="12" s="1"/>
  <c r="P276" i="12" a="1"/>
  <c r="P276" i="12" s="1"/>
  <c r="R211" i="12" a="1"/>
  <c r="R211" i="12" s="1"/>
  <c r="P211" i="12" a="1"/>
  <c r="P211" i="12" s="1"/>
  <c r="F501" i="12" a="1"/>
  <c r="F501" i="12" s="1"/>
  <c r="U194" i="2" a="1"/>
  <c r="U194" i="2" s="1"/>
  <c r="F237" i="12" a="1"/>
  <c r="F237" i="12" s="1"/>
  <c r="U447" i="2" a="1"/>
  <c r="U447" i="2" s="1"/>
  <c r="F510" i="12" a="1"/>
  <c r="F510" i="12" s="1"/>
  <c r="U238" i="2" a="1"/>
  <c r="U238" i="2" s="1"/>
  <c r="S573" i="12" a="1"/>
  <c r="S573" i="12" s="1"/>
  <c r="P181" i="12" a="1"/>
  <c r="P181" i="12" s="1"/>
  <c r="P495" i="12" a="1"/>
  <c r="P495" i="12" s="1"/>
  <c r="I451" i="12" a="1"/>
  <c r="I451" i="12" s="1"/>
  <c r="S210" i="12" a="1"/>
  <c r="S210" i="12" s="1"/>
  <c r="R225" i="12" a="1"/>
  <c r="R225" i="12" s="1"/>
  <c r="N164" i="12" a="1"/>
  <c r="N164" i="12" s="1"/>
  <c r="G218" i="12" a="1"/>
  <c r="G218" i="12" s="1"/>
  <c r="M260" i="12" a="1"/>
  <c r="M260" i="12" s="1"/>
  <c r="F248" i="12" a="1"/>
  <c r="F248" i="12" s="1"/>
  <c r="U462" i="2" a="1"/>
  <c r="U462" i="2" s="1"/>
  <c r="I277" i="12" a="1"/>
  <c r="I277" i="12" s="1"/>
  <c r="N245" i="12" a="1"/>
  <c r="N245" i="12" s="1"/>
  <c r="Q158" i="12" a="1"/>
  <c r="Q158" i="12" s="1"/>
  <c r="Q311" i="12" a="1"/>
  <c r="Q311" i="12" s="1"/>
  <c r="G287" i="12" a="1"/>
  <c r="G287" i="12" s="1"/>
  <c r="P233" i="12" a="1"/>
  <c r="P233" i="12" s="1"/>
  <c r="L234" i="12" a="1"/>
  <c r="L234" i="12" s="1"/>
  <c r="I581" i="12" a="1"/>
  <c r="I581" i="12" s="1"/>
  <c r="O237" i="12" a="1"/>
  <c r="O237" i="12" s="1"/>
  <c r="Q537" i="12" a="1"/>
  <c r="Q537" i="12" s="1"/>
  <c r="L510" i="12" a="1"/>
  <c r="L510" i="12" s="1"/>
  <c r="I474" i="12" a="1"/>
  <c r="I474" i="12" s="1"/>
  <c r="F585" i="12" a="1"/>
  <c r="F585" i="12" s="1"/>
  <c r="U412" i="2" a="1"/>
  <c r="U412" i="2" s="1"/>
  <c r="R551" i="12" a="1"/>
  <c r="R551" i="12" s="1"/>
  <c r="I509" i="12" a="1"/>
  <c r="I509" i="12" s="1"/>
  <c r="T509" i="12" a="1"/>
  <c r="T509" i="12" s="1"/>
  <c r="T136" i="12" a="1"/>
  <c r="T136" i="12" s="1"/>
  <c r="F586" i="12" a="1"/>
  <c r="F586" i="12" s="1"/>
  <c r="U292" i="2" a="1"/>
  <c r="U292" i="2" s="1"/>
  <c r="L186" i="12" a="1"/>
  <c r="L186" i="12" s="1"/>
  <c r="Z634" i="12" a="1"/>
  <c r="Z634" i="12" s="1"/>
  <c r="AL167" i="2" a="1"/>
  <c r="AL167" i="2" s="1"/>
  <c r="K194" i="12" a="1"/>
  <c r="K194" i="12" s="1"/>
  <c r="I452" i="12" a="1"/>
  <c r="I452" i="12" s="1"/>
  <c r="N135" i="12" a="1"/>
  <c r="N135" i="12" s="1"/>
  <c r="L273" i="12" a="1"/>
  <c r="L273" i="12" s="1"/>
  <c r="T220" i="12" a="1"/>
  <c r="T220" i="12" s="1"/>
  <c r="M244" i="12" a="1"/>
  <c r="M244" i="12" s="1"/>
  <c r="F531" i="12" a="1"/>
  <c r="F531" i="12" s="1"/>
  <c r="R415" i="12" a="1"/>
  <c r="R415" i="12" s="1"/>
  <c r="O415" i="12" a="1"/>
  <c r="O415" i="12" s="1"/>
  <c r="J504" i="12" a="1"/>
  <c r="J504" i="12" s="1"/>
  <c r="J500" i="12" a="1"/>
  <c r="J500" i="12" s="1"/>
  <c r="F179" i="12" a="1"/>
  <c r="F179" i="12" s="1"/>
  <c r="U551" i="2" a="1"/>
  <c r="U551" i="2" s="1"/>
  <c r="O136" i="12" a="1"/>
  <c r="O136" i="12" s="1"/>
  <c r="G163" i="12" a="1"/>
  <c r="G163" i="12" s="1"/>
  <c r="L493" i="12" a="1"/>
  <c r="L493" i="12" s="1"/>
  <c r="R194" i="12" a="1"/>
  <c r="R194" i="12" s="1"/>
  <c r="S547" i="12" a="1"/>
  <c r="S547" i="12" s="1"/>
  <c r="S408" i="12" a="1"/>
  <c r="S408" i="12" s="1"/>
  <c r="M136" i="12" a="1"/>
  <c r="M136" i="12" s="1"/>
  <c r="Q586" i="12" a="1"/>
  <c r="Q586" i="12" s="1"/>
  <c r="Q188" i="12" a="1"/>
  <c r="Q188" i="12" s="1"/>
  <c r="Q176" i="12" a="1"/>
  <c r="Q176" i="12" s="1"/>
  <c r="M584" i="12" a="1"/>
  <c r="M584" i="12" s="1"/>
  <c r="G537" i="12" a="1"/>
  <c r="G537" i="12" s="1"/>
  <c r="F457" i="12" a="1"/>
  <c r="F457" i="12" s="1"/>
  <c r="O520" i="12" a="1"/>
  <c r="O520" i="12" s="1"/>
  <c r="S508" i="12" a="1"/>
  <c r="S508" i="12" s="1"/>
  <c r="Q171" i="12" a="1"/>
  <c r="Q171" i="12" s="1"/>
  <c r="S72" i="12" a="1"/>
  <c r="S72" i="12" s="1"/>
  <c r="I559" i="12" a="1"/>
  <c r="I559" i="12" s="1"/>
  <c r="T463" i="12" a="1"/>
  <c r="T463" i="12" s="1"/>
  <c r="T221" i="12" a="1"/>
  <c r="T221" i="12" s="1"/>
  <c r="O515" i="12" a="1"/>
  <c r="O515" i="12" s="1"/>
  <c r="G230" i="12" a="1"/>
  <c r="G230" i="12" s="1"/>
  <c r="S556" i="12" a="1"/>
  <c r="S556" i="12" s="1"/>
  <c r="T190" i="12" a="1"/>
  <c r="T190" i="12" s="1"/>
  <c r="M199" i="12" a="1"/>
  <c r="M199" i="12" s="1"/>
  <c r="K163" i="12" a="1"/>
  <c r="K163" i="12" s="1"/>
  <c r="K497" i="12" a="1"/>
  <c r="K497" i="12" s="1"/>
  <c r="N169" i="12" a="1"/>
  <c r="N169" i="12" s="1"/>
  <c r="N356" i="12" a="1"/>
  <c r="N356" i="12" s="1"/>
  <c r="M154" i="12" a="1"/>
  <c r="M154" i="12" s="1"/>
  <c r="L511" i="12" a="1"/>
  <c r="L511" i="12" s="1"/>
  <c r="Q511" i="12" a="1"/>
  <c r="Q511" i="12" s="1"/>
  <c r="L268" i="12" a="1"/>
  <c r="L268" i="12" s="1"/>
  <c r="K257" i="12" a="1"/>
  <c r="K257" i="12" s="1"/>
  <c r="Q564" i="12" a="1"/>
  <c r="Q564" i="12" s="1"/>
  <c r="R530" i="12" a="1"/>
  <c r="R530" i="12" s="1"/>
  <c r="K530" i="12" a="1"/>
  <c r="K530" i="12" s="1"/>
  <c r="R206" i="12" a="1"/>
  <c r="R206" i="12" s="1"/>
  <c r="N227" i="12" a="1"/>
  <c r="N227" i="12" s="1"/>
  <c r="I449" i="12" a="1"/>
  <c r="I449" i="12" s="1"/>
  <c r="O211" i="12" a="1"/>
  <c r="O211" i="12" s="1"/>
  <c r="S582" i="12" a="1"/>
  <c r="S582" i="12" s="1"/>
  <c r="R582" i="12" a="1"/>
  <c r="R582" i="12" s="1"/>
  <c r="P533" i="12" a="1"/>
  <c r="P533" i="12" s="1"/>
  <c r="F533" i="12" a="1"/>
  <c r="F533" i="12" s="1"/>
  <c r="U289" i="2" a="1"/>
  <c r="U289" i="2" s="1"/>
  <c r="AQ233" i="2" a="1"/>
  <c r="AQ233" i="2" s="1"/>
  <c r="AR233" i="2" a="1"/>
  <c r="AR233" i="2" s="1"/>
  <c r="O180" i="12" a="1"/>
  <c r="O180" i="12" s="1"/>
  <c r="T522" i="12" a="1"/>
  <c r="T522" i="12" s="1"/>
  <c r="G526" i="12" a="1"/>
  <c r="G526" i="12" s="1"/>
  <c r="F194" i="12" a="1"/>
  <c r="F194" i="12" s="1"/>
  <c r="U505" i="2" a="1"/>
  <c r="U505" i="2" s="1"/>
  <c r="R466" i="12" a="1"/>
  <c r="R466" i="12" s="1"/>
  <c r="P217" i="12" a="1"/>
  <c r="P217" i="12" s="1"/>
  <c r="L169" i="12" a="1"/>
  <c r="L169" i="12" s="1"/>
  <c r="K175" i="12" a="1"/>
  <c r="K175" i="12" s="1"/>
  <c r="Q442" i="12" a="1"/>
  <c r="Q442" i="12" s="1"/>
  <c r="F492" i="12" a="1"/>
  <c r="F492" i="12" s="1"/>
  <c r="U330" i="2" a="1"/>
  <c r="U330" i="2" s="1"/>
  <c r="T374" i="12" a="1"/>
  <c r="T374" i="12" s="1"/>
  <c r="R204" i="12" a="1"/>
  <c r="R204" i="12" s="1"/>
  <c r="P419" i="12" a="1"/>
  <c r="P419" i="12" s="1"/>
  <c r="L356" i="12" a="1"/>
  <c r="L356" i="12" s="1"/>
  <c r="K439" i="12" a="1"/>
  <c r="K439" i="12" s="1"/>
  <c r="Q383" i="12" a="1"/>
  <c r="Q383" i="12" s="1"/>
  <c r="J345" i="12" a="1"/>
  <c r="J345" i="12" s="1"/>
  <c r="N139" i="12" a="1"/>
  <c r="N139" i="12" s="1"/>
  <c r="S378" i="12" a="1"/>
  <c r="S378" i="12" s="1"/>
  <c r="I226" i="12" a="1"/>
  <c r="I226" i="12" s="1"/>
  <c r="R475" i="12" a="1"/>
  <c r="R475" i="12" s="1"/>
  <c r="S475" i="12" a="1"/>
  <c r="S475" i="12" s="1"/>
  <c r="F173" i="12" a="1"/>
  <c r="F173" i="12" s="1"/>
  <c r="U441" i="2" a="1"/>
  <c r="U441" i="2" s="1"/>
  <c r="R173" i="12" a="1"/>
  <c r="R173" i="12" s="1"/>
  <c r="M192" i="12" a="1"/>
  <c r="M192" i="12" s="1"/>
  <c r="G221" i="12" a="1"/>
  <c r="G221" i="12" s="1"/>
  <c r="J215" i="12" a="1"/>
  <c r="J215" i="12" s="1"/>
  <c r="P540" i="12" a="1"/>
  <c r="P540" i="12" s="1"/>
  <c r="K274" i="12" a="1"/>
  <c r="K274" i="12" s="1"/>
  <c r="K541" i="12" a="1"/>
  <c r="K541" i="12" s="1"/>
  <c r="G500" i="12" a="1"/>
  <c r="G500" i="12" s="1"/>
  <c r="Q149" i="12" a="1"/>
  <c r="Q149" i="12" s="1"/>
  <c r="U437" i="2" a="1"/>
  <c r="U437" i="2" s="1"/>
  <c r="G195" i="12" a="1"/>
  <c r="G195" i="12" s="1"/>
  <c r="L476" i="12" a="1"/>
  <c r="L476" i="12" s="1"/>
  <c r="M194" i="12" a="1"/>
  <c r="M194" i="12" s="1"/>
  <c r="I187" i="12" a="1"/>
  <c r="I187" i="12" s="1"/>
  <c r="P225" i="12" a="1"/>
  <c r="P225" i="12" s="1"/>
  <c r="J497" i="12" a="1"/>
  <c r="J497" i="12" s="1"/>
  <c r="S466" i="12" a="1"/>
  <c r="S466" i="12" s="1"/>
  <c r="N83" i="12" a="1"/>
  <c r="N83" i="12" s="1"/>
  <c r="J267" i="12" a="1"/>
  <c r="J267" i="12" s="1"/>
  <c r="I220" i="12" a="1"/>
  <c r="I220" i="12" s="1"/>
  <c r="Q215" i="12" a="1"/>
  <c r="Q215" i="12" s="1"/>
  <c r="R231" i="12" a="1"/>
  <c r="R231" i="12" s="1"/>
  <c r="Q494" i="12" a="1"/>
  <c r="Q494" i="12" s="1"/>
  <c r="K205" i="12" a="1"/>
  <c r="K205" i="12" s="1"/>
  <c r="J132" i="12" a="1"/>
  <c r="J132" i="12" s="1"/>
  <c r="S332" i="12" a="1"/>
  <c r="S332" i="12" s="1"/>
  <c r="G179" i="12" a="1"/>
  <c r="G179" i="12" s="1"/>
  <c r="P603" i="12" a="1"/>
  <c r="P603" i="12" s="1"/>
  <c r="T603" i="12" a="1"/>
  <c r="T603" i="12" s="1"/>
  <c r="P479" i="12" a="1"/>
  <c r="P479" i="12" s="1"/>
  <c r="G164" i="12" a="1"/>
  <c r="G164" i="12" s="1"/>
  <c r="G156" i="12" a="1"/>
  <c r="G156" i="12" s="1"/>
  <c r="F108" i="12" a="1"/>
  <c r="F108" i="12" s="1"/>
  <c r="U398" i="2" a="1"/>
  <c r="U398" i="2" s="1"/>
  <c r="I422" i="12" a="1"/>
  <c r="I422" i="12" s="1"/>
  <c r="R431" i="12" a="1"/>
  <c r="R431" i="12" s="1"/>
  <c r="O112" i="12" a="1"/>
  <c r="O112" i="12" s="1"/>
  <c r="I177" i="12" a="1"/>
  <c r="I177" i="12" s="1"/>
  <c r="I157" i="12" a="1"/>
  <c r="I157" i="12" s="1"/>
  <c r="T92" i="12" a="1"/>
  <c r="T92" i="12" s="1"/>
  <c r="I117" i="12" a="1"/>
  <c r="I117" i="12" s="1"/>
  <c r="F421" i="12" a="1"/>
  <c r="F421" i="12" s="1"/>
  <c r="U210" i="2" a="1"/>
  <c r="U210" i="2" s="1"/>
  <c r="J48" i="12" a="1"/>
  <c r="J48" i="12" s="1"/>
  <c r="M296" i="12" a="1"/>
  <c r="M296" i="12" s="1"/>
  <c r="N425" i="12" a="1"/>
  <c r="N425" i="12" s="1"/>
  <c r="L65" i="12" a="1"/>
  <c r="L65" i="12" s="1"/>
  <c r="AR117" i="2" a="1"/>
  <c r="AR117" i="2" s="1"/>
  <c r="AQ117" i="2" a="1"/>
  <c r="AQ117" i="2" s="1"/>
  <c r="I124" i="12" a="1"/>
  <c r="I124" i="12" s="1"/>
  <c r="M196" i="12" a="1"/>
  <c r="M196" i="12" s="1"/>
  <c r="K94" i="12" a="1"/>
  <c r="K94" i="12" s="1"/>
  <c r="X637" i="12" a="1"/>
  <c r="X637" i="12" s="1"/>
  <c r="AL61" i="2" a="1"/>
  <c r="AL61" i="2" s="1"/>
  <c r="I76" i="12" a="1"/>
  <c r="I76" i="12" s="1"/>
  <c r="G149" i="12" a="1"/>
  <c r="G149" i="12" s="1"/>
  <c r="I534" i="12" a="1"/>
  <c r="I534" i="12" s="1"/>
  <c r="J583" i="12" a="1"/>
  <c r="J583" i="12" s="1"/>
  <c r="G583" i="12" a="1"/>
  <c r="G583" i="12" s="1"/>
  <c r="L209" i="12" a="1"/>
  <c r="L209" i="12" s="1"/>
  <c r="J162" i="12" a="1"/>
  <c r="J162" i="12" s="1"/>
  <c r="O159" i="12" a="1"/>
  <c r="O159" i="12" s="1"/>
  <c r="K309" i="12" a="1"/>
  <c r="K309" i="12" s="1"/>
  <c r="S165" i="12" a="1"/>
  <c r="S165" i="12" s="1"/>
  <c r="I365" i="12" a="1"/>
  <c r="I365" i="12" s="1"/>
  <c r="AB667" i="12" a="1"/>
  <c r="AB667" i="12" s="1"/>
  <c r="G120" i="12" a="1"/>
  <c r="G120" i="12" s="1"/>
  <c r="O264" i="12" a="1"/>
  <c r="O264" i="12" s="1"/>
  <c r="K101" i="12" a="1"/>
  <c r="K101" i="12" s="1"/>
  <c r="R317" i="12" a="1"/>
  <c r="R317" i="12" s="1"/>
  <c r="S102" i="12" a="1"/>
  <c r="S102" i="12" s="1"/>
  <c r="P250" i="12" a="1"/>
  <c r="P250" i="12" s="1"/>
  <c r="N100" i="12" a="1"/>
  <c r="N100" i="12" s="1"/>
  <c r="N163" i="12" a="1"/>
  <c r="N163" i="12" s="1"/>
  <c r="M308" i="12" a="1"/>
  <c r="M308" i="12" s="1"/>
  <c r="M141" i="12" a="1"/>
  <c r="M141" i="12" s="1"/>
  <c r="G442" i="12" a="1"/>
  <c r="G442" i="12" s="1"/>
  <c r="I419" i="12" a="1"/>
  <c r="I419" i="12" s="1"/>
  <c r="T337" i="12" a="1"/>
  <c r="T337" i="12" s="1"/>
  <c r="O152" i="12" a="1"/>
  <c r="O152" i="12" s="1"/>
  <c r="M167" i="12" a="1"/>
  <c r="M167" i="12" s="1"/>
  <c r="T432" i="12" a="1"/>
  <c r="T432" i="12" s="1"/>
  <c r="L159" i="12" a="1"/>
  <c r="L159" i="12" s="1"/>
  <c r="S325" i="12" a="1"/>
  <c r="S325" i="12" s="1"/>
  <c r="I92" i="12" a="1"/>
  <c r="I92" i="12" s="1"/>
  <c r="P140" i="12" a="1"/>
  <c r="P140" i="12" s="1"/>
  <c r="R119" i="12" a="1"/>
  <c r="R119" i="12" s="1"/>
  <c r="Q67" i="12" a="1"/>
  <c r="Q67" i="12" s="1"/>
  <c r="J111" i="12" a="1"/>
  <c r="J111" i="12" s="1"/>
  <c r="O128" i="12" a="1"/>
  <c r="O128" i="12" s="1"/>
  <c r="F203" i="12" a="1"/>
  <c r="F203" i="12" s="1"/>
  <c r="U191" i="2" a="1"/>
  <c r="U191" i="2" s="1"/>
  <c r="S96" i="12" a="1"/>
  <c r="S96" i="12" s="1"/>
  <c r="O74" i="12" a="1"/>
  <c r="O74" i="12" s="1"/>
  <c r="T556" i="12" a="1"/>
  <c r="T556" i="12" s="1"/>
  <c r="O469" i="12" a="1"/>
  <c r="O469" i="12" s="1"/>
  <c r="P346" i="12" a="1"/>
  <c r="P346" i="12" s="1"/>
  <c r="K135" i="12" a="1"/>
  <c r="K135" i="12" s="1"/>
  <c r="L112" i="12" a="1"/>
  <c r="L112" i="12" s="1"/>
  <c r="I387" i="12" a="1"/>
  <c r="I387" i="12" s="1"/>
  <c r="L421" i="12" a="1"/>
  <c r="L421" i="12" s="1"/>
  <c r="I127" i="12" a="1"/>
  <c r="I127" i="12" s="1"/>
  <c r="I91" i="12" a="1"/>
  <c r="I91" i="12" s="1"/>
  <c r="P67" i="12" a="1"/>
  <c r="P67" i="12" s="1"/>
  <c r="K602" i="12" a="1"/>
  <c r="K602" i="12" s="1"/>
  <c r="L255" i="12" a="1"/>
  <c r="L255" i="12" s="1"/>
  <c r="M99" i="12" a="1"/>
  <c r="M99" i="12" s="1"/>
  <c r="N206" i="12" a="1"/>
  <c r="N206" i="12" s="1"/>
  <c r="I454" i="12" a="1"/>
  <c r="I454" i="12" s="1"/>
  <c r="K454" i="12" a="1"/>
  <c r="K454" i="12" s="1"/>
  <c r="I217" i="12" a="1"/>
  <c r="I217" i="12" s="1"/>
  <c r="O419" i="12" a="1"/>
  <c r="O419" i="12" s="1"/>
  <c r="M479" i="12" a="1"/>
  <c r="M479" i="12" s="1"/>
  <c r="R164" i="12" a="1"/>
  <c r="R164" i="12" s="1"/>
  <c r="O156" i="12" a="1"/>
  <c r="O156" i="12" s="1"/>
  <c r="Q153" i="12" a="1"/>
  <c r="Q153" i="12" s="1"/>
  <c r="F321" i="12" a="1"/>
  <c r="F321" i="12" s="1"/>
  <c r="U197" i="2" a="1"/>
  <c r="U197" i="2" s="1"/>
  <c r="Q354" i="12" a="1"/>
  <c r="Q354" i="12" s="1"/>
  <c r="S376" i="12" a="1"/>
  <c r="S376" i="12" s="1"/>
  <c r="Q607" i="12" a="1"/>
  <c r="Q607" i="12" s="1"/>
  <c r="AB665" i="12" a="1"/>
  <c r="AB665" i="12" s="1"/>
  <c r="G335" i="12" a="1"/>
  <c r="G335" i="12" s="1"/>
  <c r="L378" i="12" a="1"/>
  <c r="L378" i="12" s="1"/>
  <c r="P317" i="12" a="1"/>
  <c r="P317" i="12" s="1"/>
  <c r="P102" i="12" a="1"/>
  <c r="P102" i="12" s="1"/>
  <c r="O314" i="12" a="1"/>
  <c r="O314" i="12" s="1"/>
  <c r="S100" i="12" a="1"/>
  <c r="S100" i="12" s="1"/>
  <c r="Q484" i="12" a="1"/>
  <c r="Q484" i="12" s="1"/>
  <c r="O484" i="12" a="1"/>
  <c r="O484" i="12" s="1"/>
  <c r="P416" i="12" a="1"/>
  <c r="P416" i="12" s="1"/>
  <c r="I152" i="12" a="1"/>
  <c r="I152" i="12" s="1"/>
  <c r="T372" i="12" a="1"/>
  <c r="T372" i="12" s="1"/>
  <c r="T346" i="12" a="1"/>
  <c r="T346" i="12" s="1"/>
  <c r="P153" i="12" a="1"/>
  <c r="P153" i="12" s="1"/>
  <c r="K325" i="12" a="1"/>
  <c r="K325" i="12" s="1"/>
  <c r="F151" i="12" a="1"/>
  <c r="F151" i="12" s="1"/>
  <c r="U216" i="2" a="1"/>
  <c r="U216" i="2" s="1"/>
  <c r="F107" i="12" a="1"/>
  <c r="F107" i="12" s="1"/>
  <c r="U419" i="2" a="1"/>
  <c r="U419" i="2" s="1"/>
  <c r="P335" i="12" a="1"/>
  <c r="P335" i="12" s="1"/>
  <c r="M250" i="12" a="1"/>
  <c r="M250" i="12" s="1"/>
  <c r="P196" i="12" a="1"/>
  <c r="P196" i="12" s="1"/>
  <c r="J77" i="12" a="1"/>
  <c r="J77" i="12" s="1"/>
  <c r="O51" i="12" a="1"/>
  <c r="O51" i="12" s="1"/>
  <c r="G122" i="12" a="1"/>
  <c r="G122" i="12" s="1"/>
  <c r="S232" i="12" a="1"/>
  <c r="S232" i="12" s="1"/>
  <c r="G509" i="12" a="1"/>
  <c r="G509" i="12" s="1"/>
  <c r="N168" i="12" a="1"/>
  <c r="N168" i="12" s="1"/>
  <c r="P186" i="12" a="1"/>
  <c r="P186" i="12" s="1"/>
  <c r="AA636" i="12" a="1"/>
  <c r="AA636" i="12" s="1"/>
  <c r="M229" i="12" a="1"/>
  <c r="M229" i="12" s="1"/>
  <c r="T229" i="12" a="1"/>
  <c r="T229" i="12" s="1"/>
  <c r="M442" i="12" a="1"/>
  <c r="M442" i="12" s="1"/>
  <c r="AB615" i="12" a="1"/>
  <c r="AB615" i="12" s="1"/>
  <c r="G123" i="12" a="1"/>
  <c r="G123" i="12" s="1"/>
  <c r="N123" i="12" a="1"/>
  <c r="N123" i="12" s="1"/>
  <c r="U382" i="2" a="1"/>
  <c r="U382" i="2" s="1"/>
  <c r="J432" i="12" a="1"/>
  <c r="J432" i="12" s="1"/>
  <c r="N153" i="12" a="1"/>
  <c r="N153" i="12" s="1"/>
  <c r="T142" i="12" a="1"/>
  <c r="T142" i="12" s="1"/>
  <c r="P165" i="12" a="1"/>
  <c r="P165" i="12" s="1"/>
  <c r="T365" i="12" a="1"/>
  <c r="T365" i="12" s="1"/>
  <c r="O283" i="12" a="1"/>
  <c r="O283" i="12" s="1"/>
  <c r="K376" i="12" a="1"/>
  <c r="K376" i="12" s="1"/>
  <c r="F92" i="12" a="1"/>
  <c r="F92" i="12" s="1"/>
  <c r="K183" i="12" a="1"/>
  <c r="K183" i="12" s="1"/>
  <c r="M140" i="12" a="1"/>
  <c r="M140" i="12" s="1"/>
  <c r="G48" i="12" a="1"/>
  <c r="G48" i="12" s="1"/>
  <c r="M317" i="12" a="1"/>
  <c r="M317" i="12" s="1"/>
  <c r="G102" i="12" a="1"/>
  <c r="G102" i="12" s="1"/>
  <c r="Q100" i="12" a="1"/>
  <c r="Q100" i="12" s="1"/>
  <c r="R74" i="12" a="1"/>
  <c r="R74" i="12" s="1"/>
  <c r="R462" i="12" a="1"/>
  <c r="R462" i="12" s="1"/>
  <c r="N462" i="12" a="1"/>
  <c r="N462" i="12" s="1"/>
  <c r="O403" i="12" a="1"/>
  <c r="O403" i="12" s="1"/>
  <c r="G403" i="12" a="1"/>
  <c r="G403" i="12" s="1"/>
  <c r="R141" i="12" a="1"/>
  <c r="R141" i="12" s="1"/>
  <c r="O141" i="12" a="1"/>
  <c r="O141" i="12" s="1"/>
  <c r="S393" i="12" a="1"/>
  <c r="S393" i="12" s="1"/>
  <c r="M393" i="12" a="1"/>
  <c r="M393" i="12" s="1"/>
  <c r="M427" i="12" a="1"/>
  <c r="M427" i="12" s="1"/>
  <c r="O348" i="12" a="1"/>
  <c r="O348" i="12" s="1"/>
  <c r="F119" i="12" a="1"/>
  <c r="F119" i="12" s="1"/>
  <c r="U421" i="2" a="1"/>
  <c r="U421" i="2" s="1"/>
  <c r="O67" i="12" a="1"/>
  <c r="O67" i="12" s="1"/>
  <c r="F65" i="12" a="1"/>
  <c r="F65" i="12" s="1"/>
  <c r="U234" i="2" a="1"/>
  <c r="U234" i="2" s="1"/>
  <c r="N250" i="12" a="1"/>
  <c r="N250" i="12" s="1"/>
  <c r="T259" i="12" a="1"/>
  <c r="T259" i="12" s="1"/>
  <c r="F124" i="12" a="1"/>
  <c r="F124" i="12" s="1"/>
  <c r="M94" i="12" a="1"/>
  <c r="M94" i="12" s="1"/>
  <c r="P220" i="12" a="1"/>
  <c r="P220" i="12" s="1"/>
  <c r="T235" i="12" a="1"/>
  <c r="T235" i="12" s="1"/>
  <c r="O176" i="12" a="1"/>
  <c r="O176" i="12" s="1"/>
  <c r="O217" i="12" a="1"/>
  <c r="O217" i="12" s="1"/>
  <c r="G356" i="12" a="1"/>
  <c r="G356" i="12" s="1"/>
  <c r="N152" i="12" a="1"/>
  <c r="N152" i="12" s="1"/>
  <c r="O458" i="12" a="1"/>
  <c r="O458" i="12" s="1"/>
  <c r="M366" i="12" a="1"/>
  <c r="M366" i="12" s="1"/>
  <c r="P370" i="12" a="1"/>
  <c r="P370" i="12" s="1"/>
  <c r="F377" i="12" a="1"/>
  <c r="F377" i="12" s="1"/>
  <c r="N404" i="12" a="1"/>
  <c r="N404" i="12" s="1"/>
  <c r="G348" i="12" a="1"/>
  <c r="G348" i="12" s="1"/>
  <c r="M299" i="12" a="1"/>
  <c r="M299" i="12" s="1"/>
  <c r="G285" i="12" a="1"/>
  <c r="G285" i="12" s="1"/>
  <c r="N102" i="12" a="1"/>
  <c r="N102" i="12" s="1"/>
  <c r="N126" i="12" a="1"/>
  <c r="N126" i="12" s="1"/>
  <c r="X657" i="12" a="1"/>
  <c r="X657" i="12" s="1"/>
  <c r="S528" i="12" a="1"/>
  <c r="S528" i="12" s="1"/>
  <c r="S356" i="12" a="1"/>
  <c r="S356" i="12" s="1"/>
  <c r="F414" i="12" a="1"/>
  <c r="F414" i="12" s="1"/>
  <c r="U267" i="2" a="1"/>
  <c r="U267" i="2" s="1"/>
  <c r="S414" i="12" a="1"/>
  <c r="S414" i="12" s="1"/>
  <c r="R363" i="12" a="1"/>
  <c r="R363" i="12" s="1"/>
  <c r="K490" i="12" a="1"/>
  <c r="K490" i="12" s="1"/>
  <c r="F401" i="12" a="1"/>
  <c r="F401" i="12" s="1"/>
  <c r="Q358" i="12" a="1"/>
  <c r="Q358" i="12" s="1"/>
  <c r="Q92" i="12" a="1"/>
  <c r="Q92" i="12" s="1"/>
  <c r="G421" i="12" a="1"/>
  <c r="G421" i="12" s="1"/>
  <c r="G127" i="12" a="1"/>
  <c r="G127" i="12" s="1"/>
  <c r="K106" i="12" a="1"/>
  <c r="K106" i="12" s="1"/>
  <c r="S54" i="12" a="1"/>
  <c r="S54" i="12" s="1"/>
  <c r="P422" i="12" a="1"/>
  <c r="P422" i="12" s="1"/>
  <c r="Q125" i="12" a="1"/>
  <c r="Q125" i="12" s="1"/>
  <c r="S125" i="12" a="1"/>
  <c r="S125" i="12" s="1"/>
  <c r="X633" i="12" a="1"/>
  <c r="X633" i="12" s="1"/>
  <c r="P266" i="12" a="1"/>
  <c r="P266" i="12" s="1"/>
  <c r="F68" i="12" a="1"/>
  <c r="F68" i="12" s="1"/>
  <c r="U224" i="2" a="1"/>
  <c r="U224" i="2" s="1"/>
  <c r="I292" i="12" a="1"/>
  <c r="I292" i="12" s="1"/>
  <c r="F61" i="12" a="1"/>
  <c r="F61" i="12" s="1"/>
  <c r="U115" i="2" a="1"/>
  <c r="U115" i="2" s="1"/>
  <c r="P43" i="12" a="1"/>
  <c r="P43" i="12" s="1"/>
  <c r="P21" i="12" a="1"/>
  <c r="P21" i="12" s="1"/>
  <c r="S110" i="12" a="1"/>
  <c r="S110" i="12" s="1"/>
  <c r="AB659" i="12" a="1"/>
  <c r="AB659" i="12" s="1"/>
  <c r="J23" i="12" a="1"/>
  <c r="J23" i="12" s="1"/>
  <c r="I9" i="12" a="1"/>
  <c r="I9" i="12" s="1"/>
  <c r="K75" i="12" a="1"/>
  <c r="K75" i="12" s="1"/>
  <c r="O43" i="12" a="1"/>
  <c r="O43" i="12" s="1"/>
  <c r="F36" i="12" a="1"/>
  <c r="F36" i="12" s="1"/>
  <c r="U66" i="2" a="1"/>
  <c r="U66" i="2" s="1"/>
  <c r="K18" i="12" a="1"/>
  <c r="K18" i="12" s="1"/>
  <c r="S44" i="12" a="1"/>
  <c r="S44" i="12" s="1"/>
  <c r="G103" i="12" a="1"/>
  <c r="G103" i="12" s="1"/>
  <c r="M113" i="12" a="1"/>
  <c r="M113" i="12" s="1"/>
  <c r="L20" i="12" a="1"/>
  <c r="L20" i="12" s="1"/>
  <c r="I110" i="12" a="1"/>
  <c r="I110" i="12" s="1"/>
  <c r="F19" i="12" a="1"/>
  <c r="F19" i="12" s="1"/>
  <c r="U83" i="2" a="1"/>
  <c r="U83" i="2" s="1"/>
  <c r="S2" i="12" a="1"/>
  <c r="S2" i="12" s="1"/>
  <c r="X2" i="3" a="1"/>
  <c r="X2" i="3" s="1"/>
  <c r="G47" i="12" a="1"/>
  <c r="G47" i="12" s="1"/>
  <c r="I20" i="12" a="1"/>
  <c r="I20" i="12" s="1"/>
  <c r="P99" i="12" a="1"/>
  <c r="P99" i="12" s="1"/>
  <c r="T143" i="12" a="1"/>
  <c r="T143" i="12" s="1"/>
  <c r="P72" i="12" a="1"/>
  <c r="P72" i="12" s="1"/>
  <c r="AA647" i="12" a="1"/>
  <c r="AA647" i="12" s="1"/>
  <c r="K256" i="12" a="1"/>
  <c r="K256" i="12" s="1"/>
  <c r="K60" i="12" a="1"/>
  <c r="K60" i="12" s="1"/>
  <c r="J56" i="12" a="1"/>
  <c r="J56" i="12" s="1"/>
  <c r="F116" i="12" a="1"/>
  <c r="F116" i="12" s="1"/>
  <c r="U11" i="2" a="1"/>
  <c r="U11" i="2" s="1"/>
  <c r="J75" i="12" a="1"/>
  <c r="J75" i="12" s="1"/>
  <c r="X645" i="12" a="1"/>
  <c r="X645" i="12" s="1"/>
  <c r="N50" i="12" a="1"/>
  <c r="N50" i="12" s="1"/>
  <c r="AR26" i="2" a="1"/>
  <c r="AR26" i="2" s="1"/>
  <c r="AQ26" i="2" a="1"/>
  <c r="AQ26" i="2" s="1"/>
  <c r="T29" i="12" a="1"/>
  <c r="T29" i="12" s="1"/>
  <c r="T17" i="12" a="1"/>
  <c r="T17" i="12" s="1"/>
  <c r="K19" i="12" a="1"/>
  <c r="K19" i="12" s="1"/>
  <c r="S116" i="12" a="1"/>
  <c r="S116" i="12" s="1"/>
  <c r="G56" i="12" a="1"/>
  <c r="G56" i="12" s="1"/>
  <c r="L496" i="12" a="1"/>
  <c r="L496" i="12" s="1"/>
  <c r="K496" i="12" a="1"/>
  <c r="K496" i="12" s="1"/>
  <c r="F423" i="12" a="1"/>
  <c r="F423" i="12" s="1"/>
  <c r="U76" i="2" a="1"/>
  <c r="U76" i="2" s="1"/>
  <c r="N67" i="12" a="1"/>
  <c r="N67" i="12" s="1"/>
  <c r="I121" i="12" a="1"/>
  <c r="I121" i="12" s="1"/>
  <c r="T58" i="12" a="1"/>
  <c r="T58" i="12" s="1"/>
  <c r="N212" i="12" a="1"/>
  <c r="N212" i="12" s="1"/>
  <c r="F95" i="12" a="1"/>
  <c r="F95" i="12" s="1"/>
  <c r="U244" i="2" a="1"/>
  <c r="U244" i="2" s="1"/>
  <c r="K207" i="12" a="1"/>
  <c r="K207" i="12" s="1"/>
  <c r="F2" i="12" a="1"/>
  <c r="F2" i="12" s="1"/>
  <c r="K2" i="3" a="1"/>
  <c r="K2" i="3" s="1"/>
  <c r="U4" i="2" a="1"/>
  <c r="U4" i="2" s="1"/>
  <c r="S122" i="12" a="1"/>
  <c r="S122" i="12" s="1"/>
  <c r="F18" i="12" a="1"/>
  <c r="F18" i="12" s="1"/>
  <c r="O370" i="12" a="1"/>
  <c r="O370" i="12" s="1"/>
  <c r="S421" i="12" a="1"/>
  <c r="S421" i="12" s="1"/>
  <c r="O333" i="12" a="1"/>
  <c r="O333" i="12" s="1"/>
  <c r="L28" i="12" a="1"/>
  <c r="L28" i="12" s="1"/>
  <c r="M68" i="12" a="1"/>
  <c r="M68" i="12" s="1"/>
  <c r="AA623" i="12" a="1"/>
  <c r="AA623" i="12" s="1"/>
  <c r="R54" i="12" a="1"/>
  <c r="R54" i="12" s="1"/>
  <c r="N305" i="12" a="1"/>
  <c r="N305" i="12" s="1"/>
  <c r="J178" i="12" a="1"/>
  <c r="J178" i="12" s="1"/>
  <c r="X643" i="12" a="1"/>
  <c r="X643" i="12" s="1"/>
  <c r="J44" i="12" a="1"/>
  <c r="J44" i="12" s="1"/>
  <c r="O23" i="12" a="1"/>
  <c r="O23" i="12" s="1"/>
  <c r="R5" i="12" a="1"/>
  <c r="R5" i="12" s="1"/>
  <c r="K2" i="12" a="1"/>
  <c r="K2" i="12" s="1"/>
  <c r="P2" i="3" a="1"/>
  <c r="P2" i="3" s="1"/>
  <c r="O44" i="12" a="1"/>
  <c r="O44" i="12" s="1"/>
  <c r="G114" i="12" a="1"/>
  <c r="G114" i="12" s="1"/>
  <c r="M104" i="12" a="1"/>
  <c r="M104" i="12" s="1"/>
  <c r="J46" i="12" a="1"/>
  <c r="J46" i="12" s="1"/>
  <c r="F78" i="12" a="1"/>
  <c r="F78" i="12" s="1"/>
  <c r="U116" i="2" a="1"/>
  <c r="U116" i="2" s="1"/>
  <c r="Q224" i="12" a="1"/>
  <c r="Q224" i="12" s="1"/>
  <c r="I18" i="12" a="1"/>
  <c r="I18" i="12" s="1"/>
  <c r="L12" i="12" a="1"/>
  <c r="L12" i="12" s="1"/>
  <c r="R113" i="12" a="1"/>
  <c r="R113" i="12" s="1"/>
  <c r="Q13" i="12" a="1"/>
  <c r="Q13" i="12" s="1"/>
  <c r="V6" i="3" a="1"/>
  <c r="V6" i="3" s="1"/>
  <c r="N9" i="12" a="1"/>
  <c r="N9" i="12" s="1"/>
  <c r="J86" i="12" a="1"/>
  <c r="J86" i="12" s="1"/>
  <c r="P112" i="12" a="1"/>
  <c r="P112" i="12" s="1"/>
  <c r="J297" i="12" a="1"/>
  <c r="J297" i="12" s="1"/>
  <c r="M88" i="12" a="1"/>
  <c r="M88" i="12" s="1"/>
  <c r="J88" i="12" a="1"/>
  <c r="J88" i="12" s="1"/>
  <c r="N68" i="12" a="1"/>
  <c r="N68" i="12" s="1"/>
  <c r="O292" i="12" a="1"/>
  <c r="O292" i="12" s="1"/>
  <c r="I224" i="12" a="1"/>
  <c r="I224" i="12" s="1"/>
  <c r="Q82" i="12" a="1"/>
  <c r="Q82" i="12" s="1"/>
  <c r="S66" i="12" a="1"/>
  <c r="S66" i="12" s="1"/>
  <c r="L16" i="12" a="1"/>
  <c r="L16" i="12" s="1"/>
  <c r="X641" i="12" a="1"/>
  <c r="X641" i="12" s="1"/>
  <c r="K84" i="12" a="1"/>
  <c r="K84" i="12" s="1"/>
  <c r="K64" i="12" a="1"/>
  <c r="K64" i="12" s="1"/>
  <c r="J79" i="12" a="1"/>
  <c r="J79" i="12" s="1"/>
  <c r="N275" i="12" a="1"/>
  <c r="N275" i="12" s="1"/>
  <c r="J207" i="12" a="1"/>
  <c r="J207" i="12" s="1"/>
  <c r="K55" i="12" a="1"/>
  <c r="K55" i="12" s="1"/>
  <c r="O14" i="12" a="1"/>
  <c r="O14" i="12" s="1"/>
  <c r="S30" i="12" a="1"/>
  <c r="S30" i="12" s="1"/>
  <c r="L156" i="12" a="1"/>
  <c r="L156" i="12" s="1"/>
  <c r="M379" i="12" a="1"/>
  <c r="M379" i="12" s="1"/>
  <c r="K354" i="12" a="1"/>
  <c r="K354" i="12" s="1"/>
  <c r="K140" i="12" a="1"/>
  <c r="K140" i="12" s="1"/>
  <c r="O330" i="12" a="1"/>
  <c r="O330" i="12" s="1"/>
  <c r="G330" i="12" a="1"/>
  <c r="G330" i="12" s="1"/>
  <c r="L124" i="12" a="1"/>
  <c r="L124" i="12" s="1"/>
  <c r="L81" i="12" a="1"/>
  <c r="L81" i="12" s="1"/>
  <c r="M28" i="12" a="1"/>
  <c r="M28" i="12" s="1"/>
  <c r="S382" i="12" a="1"/>
  <c r="S382" i="12" s="1"/>
  <c r="K58" i="12" a="1"/>
  <c r="K58" i="12" s="1"/>
  <c r="F201" i="12" a="1"/>
  <c r="F201" i="12" s="1"/>
  <c r="U65" i="2" a="1"/>
  <c r="U65" i="2" s="1"/>
  <c r="K148" i="12" a="1"/>
  <c r="K148" i="12" s="1"/>
  <c r="L346" i="12" a="1"/>
  <c r="L346" i="12" s="1"/>
  <c r="F196" i="12" a="1"/>
  <c r="F196" i="12" s="1"/>
  <c r="P90" i="12" a="1"/>
  <c r="P90" i="12" s="1"/>
  <c r="Q105" i="12" a="1"/>
  <c r="Q105" i="12" s="1"/>
  <c r="P85" i="12" a="1"/>
  <c r="P85" i="12" s="1"/>
  <c r="K78" i="12" a="1"/>
  <c r="K78" i="12" s="1"/>
  <c r="I174" i="12" a="1"/>
  <c r="I174" i="12" s="1"/>
  <c r="I75" i="12" a="1"/>
  <c r="I75" i="12" s="1"/>
  <c r="F52" i="12" a="1"/>
  <c r="F52" i="12" s="1"/>
  <c r="U81" i="2" a="1"/>
  <c r="U81" i="2" s="1"/>
  <c r="J191" i="12" a="1"/>
  <c r="J191" i="12" s="1"/>
  <c r="X659" i="12" a="1"/>
  <c r="X659" i="12" s="1"/>
  <c r="F6" i="12" a="1"/>
  <c r="F6" i="12" s="1"/>
  <c r="U22" i="2" a="1"/>
  <c r="U22" i="2" s="1"/>
  <c r="P2" i="12" a="1"/>
  <c r="P2" i="12" s="1"/>
  <c r="U2" i="3" a="1"/>
  <c r="U2" i="3" s="1"/>
  <c r="U22" i="3" s="1" a="1"/>
  <c r="U22" i="3" s="1"/>
  <c r="J6" i="12" a="1"/>
  <c r="J6" i="12" s="1"/>
  <c r="Q113" i="12" a="1"/>
  <c r="Q113" i="12" s="1"/>
  <c r="N110" i="12" a="1"/>
  <c r="N110" i="12" s="1"/>
  <c r="N112" i="12" a="1"/>
  <c r="N112" i="12" s="1"/>
  <c r="Q279" i="12" a="1"/>
  <c r="Q279" i="12" s="1"/>
  <c r="G279" i="12" a="1"/>
  <c r="G279" i="12" s="1"/>
  <c r="L96" i="12" a="1"/>
  <c r="L96" i="12" s="1"/>
  <c r="K93" i="12" a="1"/>
  <c r="K93" i="12" s="1"/>
  <c r="Q32" i="12" a="1"/>
  <c r="Q32" i="12" s="1"/>
  <c r="K56" i="12" a="1"/>
  <c r="K56" i="12" s="1"/>
  <c r="Q30" i="12" a="1"/>
  <c r="Q30" i="12" s="1"/>
  <c r="T23" i="12" a="1"/>
  <c r="T23" i="12" s="1"/>
  <c r="L4" i="12" a="1"/>
  <c r="L4" i="12" s="1"/>
  <c r="F35" i="12" a="1"/>
  <c r="F35" i="12" s="1"/>
  <c r="U62" i="2" a="1"/>
  <c r="U62" i="2" s="1"/>
  <c r="G52" i="12" a="1"/>
  <c r="G52" i="12" s="1"/>
  <c r="Q3" i="12" a="1"/>
  <c r="Q3" i="12" s="1"/>
  <c r="L21" i="12" a="1"/>
  <c r="L21" i="12" s="1"/>
  <c r="P166" i="12" a="1"/>
  <c r="P166" i="12" s="1"/>
  <c r="Q16" i="12" a="1"/>
  <c r="Q16" i="12" s="1"/>
  <c r="I22" i="3" a="1"/>
  <c r="I22" i="3" s="1"/>
  <c r="I77" i="12" a="1"/>
  <c r="I77" i="12" s="1"/>
  <c r="P36" i="12" a="1"/>
  <c r="P36" i="12" s="1"/>
  <c r="J30" i="12" a="1"/>
  <c r="J30" i="12" s="1"/>
  <c r="R10" i="12" a="1"/>
  <c r="R10" i="12" s="1"/>
  <c r="J10" i="12" a="1"/>
  <c r="J10" i="12" s="1"/>
  <c r="Q95" i="12" a="1"/>
  <c r="Q95" i="12" s="1"/>
  <c r="O41" i="12" a="1"/>
  <c r="O41" i="12" s="1"/>
  <c r="N41" i="12" a="1"/>
  <c r="N41" i="12" s="1"/>
  <c r="AQ20" i="2" a="1"/>
  <c r="AQ20" i="2" s="1"/>
  <c r="AR20" i="2" a="1"/>
  <c r="AR20" i="2" s="1"/>
  <c r="T110" i="12" a="1"/>
  <c r="T110" i="12" s="1"/>
  <c r="I45" i="12" a="1"/>
  <c r="I45" i="12" s="1"/>
  <c r="Q9" i="12" a="1"/>
  <c r="Q9" i="12" s="1"/>
  <c r="F31" i="12" a="1"/>
  <c r="F31" i="12" s="1"/>
  <c r="U7" i="2" a="1"/>
  <c r="U7" i="2" s="1"/>
  <c r="F129" i="12" a="1"/>
  <c r="F129" i="12" s="1"/>
  <c r="U44" i="2" a="1"/>
  <c r="U44" i="2" s="1"/>
  <c r="K129" i="12" a="1"/>
  <c r="K129" i="12" s="1"/>
  <c r="O184" i="12" a="1"/>
  <c r="O184" i="12" s="1"/>
  <c r="F59" i="12" a="1"/>
  <c r="F59" i="12" s="1"/>
  <c r="U124" i="2" a="1"/>
  <c r="U124" i="2" s="1"/>
  <c r="R59" i="12" a="1"/>
  <c r="R59" i="12" s="1"/>
  <c r="S118" i="12" a="1"/>
  <c r="S118" i="12" s="1"/>
  <c r="P22" i="12" a="1"/>
  <c r="P22" i="12" s="1"/>
  <c r="P42" i="12" a="1"/>
  <c r="P42" i="12" s="1"/>
  <c r="M42" i="12" a="1"/>
  <c r="M42" i="12" s="1"/>
  <c r="L80" i="12" a="1"/>
  <c r="L80" i="12" s="1"/>
  <c r="T134" i="12" a="1"/>
  <c r="T134" i="12" s="1"/>
  <c r="P62" i="12" a="1"/>
  <c r="P62" i="12" s="1"/>
  <c r="K62" i="12" a="1"/>
  <c r="K62" i="12" s="1"/>
  <c r="AA671" i="12" a="1"/>
  <c r="AA671" i="12" s="1"/>
  <c r="T34" i="12" a="1"/>
  <c r="T34" i="12" s="1"/>
  <c r="F12" i="12" a="1"/>
  <c r="F12" i="12" s="1"/>
  <c r="O57" i="12" a="1"/>
  <c r="O57" i="12" s="1"/>
  <c r="T57" i="12" a="1"/>
  <c r="T57" i="12" s="1"/>
  <c r="J182" i="12" a="1"/>
  <c r="J182" i="12" s="1"/>
  <c r="L103" i="12" a="1"/>
  <c r="L103" i="12" s="1"/>
  <c r="K46" i="12" a="1"/>
  <c r="K46" i="12" s="1"/>
  <c r="M53" i="12" a="1"/>
  <c r="M53" i="12" s="1"/>
  <c r="R76" i="12" a="1"/>
  <c r="R76" i="12" s="1"/>
  <c r="K49" i="12" a="1"/>
  <c r="K49" i="12" s="1"/>
  <c r="J49" i="12" a="1"/>
  <c r="J49" i="12" s="1"/>
  <c r="S63" i="12" a="1"/>
  <c r="S63" i="12" s="1"/>
  <c r="K63" i="12" a="1"/>
  <c r="K63" i="12" s="1"/>
  <c r="T11" i="12" a="1"/>
  <c r="T11" i="12" s="1"/>
  <c r="R93" i="12" a="1"/>
  <c r="R93" i="12" s="1"/>
  <c r="P51" i="12" a="1"/>
  <c r="P51" i="12" s="1"/>
  <c r="L200" i="12" a="1"/>
  <c r="L200" i="12" s="1"/>
  <c r="J60" i="12" a="1"/>
  <c r="J60" i="12" s="1"/>
  <c r="T26" i="12" a="1"/>
  <c r="T26" i="12" s="1"/>
  <c r="I33" i="12" a="1"/>
  <c r="I33" i="12" s="1"/>
  <c r="I189" i="12" a="1"/>
  <c r="I189" i="12" s="1"/>
  <c r="K189" i="12" a="1"/>
  <c r="K189" i="12" s="1"/>
  <c r="F74" i="12" a="1"/>
  <c r="F74" i="12" s="1"/>
  <c r="U126" i="2" a="1"/>
  <c r="U126" i="2" s="1"/>
  <c r="R60" i="12" a="1"/>
  <c r="R60" i="12" s="1"/>
  <c r="F155" i="12" a="1"/>
  <c r="F155" i="12" s="1"/>
  <c r="K233" i="12" a="1"/>
  <c r="K233" i="12" s="1"/>
  <c r="O597" i="12" a="1"/>
  <c r="O597" i="12" s="1"/>
  <c r="G505" i="12" a="1"/>
  <c r="G505" i="12" s="1"/>
  <c r="K213" i="12" a="1"/>
  <c r="K213" i="12" s="1"/>
  <c r="Q268" i="12" a="1"/>
  <c r="Q268" i="12" s="1"/>
  <c r="M588" i="12" a="1"/>
  <c r="M588" i="12" s="1"/>
  <c r="L223" i="12" a="1"/>
  <c r="L223" i="12" s="1"/>
  <c r="I557" i="12" a="1"/>
  <c r="I557" i="12" s="1"/>
  <c r="N287" i="12" a="1"/>
  <c r="N287" i="12" s="1"/>
  <c r="O323" i="12" a="1"/>
  <c r="O323" i="12" s="1"/>
  <c r="G539" i="12" a="1"/>
  <c r="G539" i="12" s="1"/>
  <c r="O514" i="12" a="1"/>
  <c r="O514" i="12" s="1"/>
  <c r="N239" i="12" a="1"/>
  <c r="N239" i="12" s="1"/>
  <c r="L598" i="12" a="1"/>
  <c r="L598" i="12" s="1"/>
  <c r="F276" i="12" a="1"/>
  <c r="F276" i="12" s="1"/>
  <c r="U500" i="2" a="1"/>
  <c r="U500" i="2" s="1"/>
  <c r="G276" i="12" a="1"/>
  <c r="G276" i="12" s="1"/>
  <c r="G211" i="12" a="1"/>
  <c r="G211" i="12" s="1"/>
  <c r="S501" i="12" a="1"/>
  <c r="S501" i="12" s="1"/>
  <c r="G566" i="12" a="1"/>
  <c r="G566" i="12" s="1"/>
  <c r="Q273" i="12" a="1"/>
  <c r="Q273" i="12" s="1"/>
  <c r="N573" i="12" a="1"/>
  <c r="N573" i="12" s="1"/>
  <c r="N499" i="12" a="1"/>
  <c r="N499" i="12" s="1"/>
  <c r="X652" i="12" a="1"/>
  <c r="X652" i="12" s="1"/>
  <c r="N451" i="12" a="1"/>
  <c r="N451" i="12" s="1"/>
  <c r="M210" i="12" a="1"/>
  <c r="M210" i="12" s="1"/>
  <c r="S164" i="12" a="1"/>
  <c r="S164" i="12" s="1"/>
  <c r="L463" i="12" a="1"/>
  <c r="L463" i="12" s="1"/>
  <c r="M218" i="12" a="1"/>
  <c r="M218" i="12" s="1"/>
  <c r="N257" i="12" a="1"/>
  <c r="N257" i="12" s="1"/>
  <c r="M499" i="12" a="1"/>
  <c r="M499" i="12" s="1"/>
  <c r="K323" i="12" a="1"/>
  <c r="K323" i="12" s="1"/>
  <c r="J260" i="12" a="1"/>
  <c r="J260" i="12" s="1"/>
  <c r="L561" i="12" a="1"/>
  <c r="L561" i="12" s="1"/>
  <c r="T277" i="12" a="1"/>
  <c r="T277" i="12" s="1"/>
  <c r="T245" i="12" a="1"/>
  <c r="T245" i="12" s="1"/>
  <c r="J284" i="12" a="1"/>
  <c r="J284" i="12" s="1"/>
  <c r="G347" i="12" a="1"/>
  <c r="G347" i="12" s="1"/>
  <c r="G311" i="12" a="1"/>
  <c r="G311" i="12" s="1"/>
  <c r="S311" i="12" a="1"/>
  <c r="S311" i="12" s="1"/>
  <c r="M233" i="12" a="1"/>
  <c r="M233" i="12" s="1"/>
  <c r="F234" i="12" a="1"/>
  <c r="F234" i="12" s="1"/>
  <c r="U476" i="2" a="1"/>
  <c r="U476" i="2" s="1"/>
  <c r="T581" i="12" a="1"/>
  <c r="T581" i="12" s="1"/>
  <c r="J237" i="12" a="1"/>
  <c r="J237" i="12" s="1"/>
  <c r="N537" i="12" a="1"/>
  <c r="N537" i="12" s="1"/>
  <c r="N510" i="12" a="1"/>
  <c r="N510" i="12" s="1"/>
  <c r="J257" i="12" a="1"/>
  <c r="J257" i="12" s="1"/>
  <c r="T474" i="12" a="1"/>
  <c r="T474" i="12" s="1"/>
  <c r="L585" i="12" a="1"/>
  <c r="L585" i="12" s="1"/>
  <c r="F551" i="12" a="1"/>
  <c r="F551" i="12" s="1"/>
  <c r="U358" i="2" a="1"/>
  <c r="U358" i="2" s="1"/>
  <c r="F197" i="12" a="1"/>
  <c r="F197" i="12" s="1"/>
  <c r="Q509" i="12" a="1"/>
  <c r="Q509" i="12" s="1"/>
  <c r="Q504" i="12" a="1"/>
  <c r="Q504" i="12" s="1"/>
  <c r="N136" i="12" a="1"/>
  <c r="N136" i="12" s="1"/>
  <c r="F190" i="12" a="1"/>
  <c r="F190" i="12" s="1"/>
  <c r="U400" i="2" a="1"/>
  <c r="U400" i="2" s="1"/>
  <c r="Q186" i="12" a="1"/>
  <c r="Q186" i="12" s="1"/>
  <c r="N452" i="12" a="1"/>
  <c r="N452" i="12" s="1"/>
  <c r="S135" i="12" a="1"/>
  <c r="S135" i="12" s="1"/>
  <c r="Z662" i="12" a="1"/>
  <c r="Z662" i="12" s="1"/>
  <c r="S457" i="12" a="1"/>
  <c r="S457" i="12" s="1"/>
  <c r="M220" i="12" a="1"/>
  <c r="M220" i="12" s="1"/>
  <c r="L225" i="12" a="1"/>
  <c r="L225" i="12" s="1"/>
  <c r="F228" i="12" a="1"/>
  <c r="F228" i="12" s="1"/>
  <c r="J244" i="12" a="1"/>
  <c r="J244" i="12" s="1"/>
  <c r="Q551" i="12" a="1"/>
  <c r="Q551" i="12" s="1"/>
  <c r="L415" i="12" a="1"/>
  <c r="L415" i="12" s="1"/>
  <c r="T415" i="12" a="1"/>
  <c r="T415" i="12" s="1"/>
  <c r="O504" i="12" a="1"/>
  <c r="O504" i="12" s="1"/>
  <c r="O500" i="12" a="1"/>
  <c r="O500" i="12" s="1"/>
  <c r="L179" i="12" a="1"/>
  <c r="L179" i="12" s="1"/>
  <c r="M131" i="12" a="1"/>
  <c r="M131" i="12" s="1"/>
  <c r="L163" i="12" a="1"/>
  <c r="L163" i="12" s="1"/>
  <c r="Q493" i="12" a="1"/>
  <c r="Q493" i="12" s="1"/>
  <c r="S397" i="12" a="1"/>
  <c r="S397" i="12" s="1"/>
  <c r="G194" i="12" a="1"/>
  <c r="G194" i="12" s="1"/>
  <c r="J501" i="12" a="1"/>
  <c r="J501" i="12" s="1"/>
  <c r="K547" i="12" a="1"/>
  <c r="K547" i="12" s="1"/>
  <c r="M407" i="12" a="1"/>
  <c r="M407" i="12" s="1"/>
  <c r="Q227" i="12" a="1"/>
  <c r="Q227" i="12" s="1"/>
  <c r="N408" i="12" a="1"/>
  <c r="N408" i="12" s="1"/>
  <c r="O586" i="12" a="1"/>
  <c r="O586" i="12" s="1"/>
  <c r="S176" i="12" a="1"/>
  <c r="S176" i="12" s="1"/>
  <c r="I281" i="12" a="1"/>
  <c r="I281" i="12" s="1"/>
  <c r="S584" i="12" a="1"/>
  <c r="S584" i="12" s="1"/>
  <c r="G564" i="12" a="1"/>
  <c r="G564" i="12" s="1"/>
  <c r="G451" i="12" a="1"/>
  <c r="G451" i="12" s="1"/>
  <c r="G465" i="12" a="1"/>
  <c r="G465" i="12" s="1"/>
  <c r="F508" i="12" a="1"/>
  <c r="F508" i="12" s="1"/>
  <c r="U215" i="2" a="1"/>
  <c r="U215" i="2" s="1"/>
  <c r="G147" i="12" a="1"/>
  <c r="G147" i="12" s="1"/>
  <c r="S195" i="12" a="1"/>
  <c r="S195" i="12" s="1"/>
  <c r="I397" i="12" a="1"/>
  <c r="I397" i="12" s="1"/>
  <c r="K154" i="12" a="1"/>
  <c r="K154" i="12" s="1"/>
  <c r="G559" i="12" a="1"/>
  <c r="G559" i="12" s="1"/>
  <c r="O559" i="12" a="1"/>
  <c r="O559" i="12" s="1"/>
  <c r="J213" i="12" a="1"/>
  <c r="J213" i="12" s="1"/>
  <c r="N474" i="12" a="1"/>
  <c r="N474" i="12" s="1"/>
  <c r="G568" i="12" a="1"/>
  <c r="G568" i="12" s="1"/>
  <c r="T515" i="12" a="1"/>
  <c r="T515" i="12" s="1"/>
  <c r="N230" i="12" a="1"/>
  <c r="N230" i="12" s="1"/>
  <c r="M227" i="12" a="1"/>
  <c r="M227" i="12" s="1"/>
  <c r="I494" i="12" a="1"/>
  <c r="I494" i="12" s="1"/>
  <c r="O190" i="12" a="1"/>
  <c r="O190" i="12" s="1"/>
  <c r="S199" i="12" a="1"/>
  <c r="S199" i="12" s="1"/>
  <c r="Q497" i="12" a="1"/>
  <c r="Q497" i="12" s="1"/>
  <c r="N175" i="12" a="1"/>
  <c r="N175" i="12" s="1"/>
  <c r="N439" i="12" a="1"/>
  <c r="N439" i="12" s="1"/>
  <c r="R154" i="12" a="1"/>
  <c r="R154" i="12" s="1"/>
  <c r="R511" i="12" a="1"/>
  <c r="R511" i="12" s="1"/>
  <c r="S511" i="12" a="1"/>
  <c r="S511" i="12" s="1"/>
  <c r="N475" i="12" a="1"/>
  <c r="N475" i="12" s="1"/>
  <c r="R564" i="12" a="1"/>
  <c r="R564" i="12" s="1"/>
  <c r="P530" i="12" a="1"/>
  <c r="P530" i="12" s="1"/>
  <c r="X654" i="12" a="1"/>
  <c r="X654" i="12" s="1"/>
  <c r="F206" i="12" a="1"/>
  <c r="F206" i="12" s="1"/>
  <c r="U508" i="2" a="1"/>
  <c r="U508" i="2" s="1"/>
  <c r="J582" i="12" a="1"/>
  <c r="J582" i="12" s="1"/>
  <c r="N582" i="12" a="1"/>
  <c r="N582" i="12" s="1"/>
  <c r="R533" i="12" a="1"/>
  <c r="R533" i="12" s="1"/>
  <c r="Q533" i="12" a="1"/>
  <c r="Q533" i="12" s="1"/>
  <c r="P562" i="12" a="1"/>
  <c r="P562" i="12" s="1"/>
  <c r="L426" i="12" a="1"/>
  <c r="L426" i="12" s="1"/>
  <c r="G522" i="12" a="1"/>
  <c r="G522" i="12" s="1"/>
  <c r="L526" i="12" a="1"/>
  <c r="L526" i="12" s="1"/>
  <c r="F466" i="12" a="1"/>
  <c r="F466" i="12" s="1"/>
  <c r="U164" i="2" a="1"/>
  <c r="U164" i="2" s="1"/>
  <c r="T558" i="12" a="1"/>
  <c r="T558" i="12" s="1"/>
  <c r="R169" i="12" a="1"/>
  <c r="R169" i="12" s="1"/>
  <c r="P175" i="12" a="1"/>
  <c r="P175" i="12" s="1"/>
  <c r="L442" i="12" a="1"/>
  <c r="L442" i="12" s="1"/>
  <c r="K492" i="12" a="1"/>
  <c r="K492" i="12" s="1"/>
  <c r="Q374" i="12" a="1"/>
  <c r="Q374" i="12" s="1"/>
  <c r="F204" i="12" a="1"/>
  <c r="F204" i="12" s="1"/>
  <c r="U200" i="2" a="1"/>
  <c r="U200" i="2" s="1"/>
  <c r="T160" i="12" a="1"/>
  <c r="T160" i="12" s="1"/>
  <c r="R356" i="12" a="1"/>
  <c r="R356" i="12" s="1"/>
  <c r="P439" i="12" a="1"/>
  <c r="P439" i="12" s="1"/>
  <c r="L383" i="12" a="1"/>
  <c r="L383" i="12" s="1"/>
  <c r="T345" i="12" a="1"/>
  <c r="T345" i="12" s="1"/>
  <c r="S139" i="12" a="1"/>
  <c r="S139" i="12" s="1"/>
  <c r="S296" i="12" a="1"/>
  <c r="S296" i="12" s="1"/>
  <c r="F226" i="12" a="1"/>
  <c r="F226" i="12" s="1"/>
  <c r="U492" i="2" a="1"/>
  <c r="U492" i="2" s="1"/>
  <c r="I475" i="12" a="1"/>
  <c r="I475" i="12" s="1"/>
  <c r="P475" i="12" a="1"/>
  <c r="P475" i="12" s="1"/>
  <c r="Q173" i="12" a="1"/>
  <c r="Q173" i="12" s="1"/>
  <c r="M173" i="12" a="1"/>
  <c r="M173" i="12" s="1"/>
  <c r="F192" i="12" a="1"/>
  <c r="F192" i="12" s="1"/>
  <c r="U483" i="2" a="1"/>
  <c r="U483" i="2" s="1"/>
  <c r="K172" i="12" a="1"/>
  <c r="K172" i="12" s="1"/>
  <c r="O215" i="12" a="1"/>
  <c r="O215" i="12" s="1"/>
  <c r="S465" i="12" a="1"/>
  <c r="S465" i="12" s="1"/>
  <c r="J540" i="12" a="1"/>
  <c r="J540" i="12" s="1"/>
  <c r="P274" i="12" a="1"/>
  <c r="P274" i="12" s="1"/>
  <c r="P541" i="12" a="1"/>
  <c r="P541" i="12" s="1"/>
  <c r="S494" i="12" a="1"/>
  <c r="S494" i="12" s="1"/>
  <c r="T449" i="12" a="1"/>
  <c r="T449" i="12" s="1"/>
  <c r="S136" i="12" a="1"/>
  <c r="S136" i="12" s="1"/>
  <c r="T493" i="12" a="1"/>
  <c r="T493" i="12" s="1"/>
  <c r="L195" i="12" a="1"/>
  <c r="L195" i="12" s="1"/>
  <c r="Q476" i="12" a="1"/>
  <c r="Q476" i="12" s="1"/>
  <c r="T187" i="12" a="1"/>
  <c r="T187" i="12" s="1"/>
  <c r="F568" i="12" a="1"/>
  <c r="F568" i="12" s="1"/>
  <c r="M426" i="12" a="1"/>
  <c r="M426" i="12" s="1"/>
  <c r="O149" i="12" a="1"/>
  <c r="O149" i="12" s="1"/>
  <c r="S217" i="12" a="1"/>
  <c r="S217" i="12" s="1"/>
  <c r="S267" i="12" a="1"/>
  <c r="S267" i="12" s="1"/>
  <c r="F246" i="12" a="1"/>
  <c r="F246" i="12" s="1"/>
  <c r="U449" i="2" a="1"/>
  <c r="U449" i="2" s="1"/>
  <c r="F231" i="12" a="1"/>
  <c r="F231" i="12" s="1"/>
  <c r="U298" i="2" a="1"/>
  <c r="U298" i="2" s="1"/>
  <c r="N465" i="12" a="1"/>
  <c r="N465" i="12" s="1"/>
  <c r="R494" i="12" a="1"/>
  <c r="R494" i="12" s="1"/>
  <c r="I435" i="12" a="1"/>
  <c r="I435" i="12" s="1"/>
  <c r="X634" i="12" a="1"/>
  <c r="X634" i="12" s="1"/>
  <c r="F205" i="12" a="1"/>
  <c r="F205" i="12" s="1"/>
  <c r="U438" i="2" a="1"/>
  <c r="U438" i="2" s="1"/>
  <c r="L132" i="12" a="1"/>
  <c r="L132" i="12" s="1"/>
  <c r="Q490" i="12" a="1"/>
  <c r="Q490" i="12" s="1"/>
  <c r="Q603" i="12" a="1"/>
  <c r="Q603" i="12" s="1"/>
  <c r="R484" i="12" a="1"/>
  <c r="R484" i="12" s="1"/>
  <c r="J469" i="12" a="1"/>
  <c r="J469" i="12" s="1"/>
  <c r="R479" i="12" a="1"/>
  <c r="R479" i="12" s="1"/>
  <c r="P164" i="12" a="1"/>
  <c r="P164" i="12" s="1"/>
  <c r="F139" i="12" a="1"/>
  <c r="F139" i="12" s="1"/>
  <c r="U269" i="2" a="1"/>
  <c r="U269" i="2" s="1"/>
  <c r="G108" i="12" a="1"/>
  <c r="G108" i="12" s="1"/>
  <c r="K377" i="12" a="1"/>
  <c r="K377" i="12" s="1"/>
  <c r="O422" i="12" a="1"/>
  <c r="O422" i="12" s="1"/>
  <c r="G431" i="12" a="1"/>
  <c r="G431" i="12" s="1"/>
  <c r="K112" i="12" a="1"/>
  <c r="K112" i="12" s="1"/>
  <c r="T157" i="12" a="1"/>
  <c r="T157" i="12" s="1"/>
  <c r="L92" i="12" a="1"/>
  <c r="L92" i="12" s="1"/>
  <c r="T117" i="12" a="1"/>
  <c r="T117" i="12" s="1"/>
  <c r="R183" i="12" a="1"/>
  <c r="R183" i="12" s="1"/>
  <c r="AA649" i="12" a="1"/>
  <c r="AA649" i="12" s="1"/>
  <c r="I161" i="12" a="1"/>
  <c r="I161" i="12" s="1"/>
  <c r="O425" i="12" a="1"/>
  <c r="O425" i="12" s="1"/>
  <c r="G99" i="12" a="1"/>
  <c r="G99" i="12" s="1"/>
  <c r="Q73" i="12" a="1"/>
  <c r="Q73" i="12" s="1"/>
  <c r="T124" i="12" a="1"/>
  <c r="T124" i="12" s="1"/>
  <c r="Q87" i="12" a="1"/>
  <c r="Q87" i="12" s="1"/>
  <c r="G77" i="12" a="1"/>
  <c r="G77" i="12" s="1"/>
  <c r="T549" i="12" a="1"/>
  <c r="T549" i="12" s="1"/>
  <c r="O534" i="12" a="1"/>
  <c r="O534" i="12" s="1"/>
  <c r="O583" i="12" a="1"/>
  <c r="O583" i="12" s="1"/>
  <c r="L583" i="12" a="1"/>
  <c r="L583" i="12" s="1"/>
  <c r="M209" i="12" a="1"/>
  <c r="M209" i="12" s="1"/>
  <c r="J427" i="12" a="1"/>
  <c r="J427" i="12" s="1"/>
  <c r="J309" i="12" a="1"/>
  <c r="J309" i="12" s="1"/>
  <c r="T325" i="12" a="1"/>
  <c r="T325" i="12" s="1"/>
  <c r="I401" i="12" a="1"/>
  <c r="I401" i="12" s="1"/>
  <c r="O365" i="12" a="1"/>
  <c r="O365" i="12" s="1"/>
  <c r="AQ53" i="2" a="1"/>
  <c r="AQ53" i="2" s="1"/>
  <c r="AR53" i="2" a="1"/>
  <c r="AR53" i="2" s="1"/>
  <c r="R120" i="12" a="1"/>
  <c r="R120" i="12" s="1"/>
  <c r="S335" i="12" a="1"/>
  <c r="S335" i="12" s="1"/>
  <c r="O127" i="12" a="1"/>
  <c r="O127" i="12" s="1"/>
  <c r="I317" i="12" a="1"/>
  <c r="I317" i="12" s="1"/>
  <c r="R133" i="12" a="1"/>
  <c r="R133" i="12" s="1"/>
  <c r="O102" i="12" a="1"/>
  <c r="O102" i="12" s="1"/>
  <c r="P97" i="12" a="1"/>
  <c r="P97" i="12" s="1"/>
  <c r="P87" i="12" a="1"/>
  <c r="P87" i="12" s="1"/>
  <c r="AQ61" i="2" a="1"/>
  <c r="AQ61" i="2" s="1"/>
  <c r="AR61" i="2" a="1"/>
  <c r="AR61" i="2" s="1"/>
  <c r="L148" i="12" a="1"/>
  <c r="L148" i="12" s="1"/>
  <c r="I186" i="12" a="1"/>
  <c r="I186" i="12" s="1"/>
  <c r="AQ87" i="2" a="1"/>
  <c r="AQ87" i="2" s="1"/>
  <c r="AR87" i="2" a="1"/>
  <c r="AR87" i="2" s="1"/>
  <c r="I442" i="12" a="1"/>
  <c r="I442" i="12" s="1"/>
  <c r="O160" i="12" a="1"/>
  <c r="O160" i="12" s="1"/>
  <c r="L458" i="12" a="1"/>
  <c r="L458" i="12" s="1"/>
  <c r="R167" i="12" a="1"/>
  <c r="R167" i="12" s="1"/>
  <c r="O145" i="12" a="1"/>
  <c r="O145" i="12" s="1"/>
  <c r="R159" i="12" a="1"/>
  <c r="R159" i="12" s="1"/>
  <c r="R388" i="12" a="1"/>
  <c r="R388" i="12" s="1"/>
  <c r="O354" i="12" a="1"/>
  <c r="O354" i="12" s="1"/>
  <c r="G140" i="12" a="1"/>
  <c r="G140" i="12" s="1"/>
  <c r="I119" i="12" a="1"/>
  <c r="I119" i="12" s="1"/>
  <c r="N285" i="12" a="1"/>
  <c r="N285" i="12" s="1"/>
  <c r="G67" i="12" a="1"/>
  <c r="G67" i="12" s="1"/>
  <c r="P111" i="12" a="1"/>
  <c r="P111" i="12" s="1"/>
  <c r="O250" i="12" a="1"/>
  <c r="O250" i="12" s="1"/>
  <c r="M100" i="12" a="1"/>
  <c r="M100" i="12" s="1"/>
  <c r="I556" i="12" a="1"/>
  <c r="I556" i="12" s="1"/>
  <c r="G412" i="12" a="1"/>
  <c r="G412" i="12" s="1"/>
  <c r="P469" i="12" a="1"/>
  <c r="P469" i="12" s="1"/>
  <c r="M332" i="12" a="1"/>
  <c r="M332" i="12" s="1"/>
  <c r="Q114" i="12" a="1"/>
  <c r="Q114" i="12" s="1"/>
  <c r="L377" i="12" a="1"/>
  <c r="L377" i="12" s="1"/>
  <c r="L365" i="12" a="1"/>
  <c r="L365" i="12" s="1"/>
  <c r="T387" i="12" a="1"/>
  <c r="T387" i="12" s="1"/>
  <c r="R421" i="12" a="1"/>
  <c r="R421" i="12" s="1"/>
  <c r="T127" i="12" a="1"/>
  <c r="T127" i="12" s="1"/>
  <c r="T91" i="12" a="1"/>
  <c r="T91" i="12" s="1"/>
  <c r="O312" i="12" a="1"/>
  <c r="O312" i="12" s="1"/>
  <c r="G602" i="12" a="1"/>
  <c r="G602" i="12" s="1"/>
  <c r="I102" i="12" a="1"/>
  <c r="I102" i="12" s="1"/>
  <c r="G97" i="12" a="1"/>
  <c r="G97" i="12" s="1"/>
  <c r="Q230" i="12" a="1"/>
  <c r="Q230" i="12" s="1"/>
  <c r="S454" i="12" a="1"/>
  <c r="S454" i="12" s="1"/>
  <c r="G454" i="12" a="1"/>
  <c r="G454" i="12" s="1"/>
  <c r="O558" i="12" a="1"/>
  <c r="O558" i="12" s="1"/>
  <c r="M160" i="12" a="1"/>
  <c r="M160" i="12" s="1"/>
  <c r="AB651" i="12" a="1"/>
  <c r="AB651" i="12" s="1"/>
  <c r="F164" i="12" a="1"/>
  <c r="F164" i="12" s="1"/>
  <c r="K156" i="12" a="1"/>
  <c r="K156" i="12" s="1"/>
  <c r="I321" i="12" a="1"/>
  <c r="I321" i="12" s="1"/>
  <c r="M431" i="12" a="1"/>
  <c r="M431" i="12" s="1"/>
  <c r="Q283" i="12" a="1"/>
  <c r="Q283" i="12" s="1"/>
  <c r="O150" i="12" a="1"/>
  <c r="O150" i="12" s="1"/>
  <c r="G607" i="12" a="1"/>
  <c r="G607" i="12" s="1"/>
  <c r="J378" i="12" a="1"/>
  <c r="J378" i="12" s="1"/>
  <c r="F317" i="12" a="1"/>
  <c r="F317" i="12" s="1"/>
  <c r="U178" i="2" a="1"/>
  <c r="U178" i="2" s="1"/>
  <c r="Q128" i="12" a="1"/>
  <c r="Q128" i="12" s="1"/>
  <c r="K314" i="12" a="1"/>
  <c r="K314" i="12" s="1"/>
  <c r="K484" i="12" a="1"/>
  <c r="K484" i="12" s="1"/>
  <c r="T484" i="12" a="1"/>
  <c r="T484" i="12" s="1"/>
  <c r="S204" i="12" a="1"/>
  <c r="S204" i="12" s="1"/>
  <c r="K479" i="12" a="1"/>
  <c r="K479" i="12" s="1"/>
  <c r="P372" i="12" a="1"/>
  <c r="P372" i="12" s="1"/>
  <c r="O346" i="12" a="1"/>
  <c r="O346" i="12" s="1"/>
  <c r="F325" i="12" a="1"/>
  <c r="F325" i="12" s="1"/>
  <c r="U104" i="2" a="1"/>
  <c r="U104" i="2" s="1"/>
  <c r="J401" i="12" a="1"/>
  <c r="J401" i="12" s="1"/>
  <c r="Q151" i="12" a="1"/>
  <c r="Q151" i="12" s="1"/>
  <c r="L107" i="12" a="1"/>
  <c r="L107" i="12" s="1"/>
  <c r="F348" i="12" a="1"/>
  <c r="F348" i="12" s="1"/>
  <c r="U416" i="2" a="1"/>
  <c r="U416" i="2" s="1"/>
  <c r="F335" i="12" a="1"/>
  <c r="F335" i="12" s="1"/>
  <c r="U166" i="2" a="1"/>
  <c r="U166" i="2" s="1"/>
  <c r="O119" i="12" a="1"/>
  <c r="O119" i="12" s="1"/>
  <c r="G425" i="12" a="1"/>
  <c r="G425" i="12" s="1"/>
  <c r="N87" i="12" a="1"/>
  <c r="N87" i="12" s="1"/>
  <c r="G70" i="12" a="1"/>
  <c r="G70" i="12" s="1"/>
  <c r="G232" i="12" a="1"/>
  <c r="G232" i="12" s="1"/>
  <c r="Q168" i="12" a="1"/>
  <c r="Q168" i="12" s="1"/>
  <c r="P168" i="12" a="1"/>
  <c r="P168" i="12" s="1"/>
  <c r="J186" i="12" a="1"/>
  <c r="J186" i="12" s="1"/>
  <c r="AB636" i="12" a="1"/>
  <c r="AB636" i="12" s="1"/>
  <c r="F229" i="12" a="1"/>
  <c r="F229" i="12" s="1"/>
  <c r="U439" i="2" a="1"/>
  <c r="U439" i="2" s="1"/>
  <c r="G374" i="12" a="1"/>
  <c r="G374" i="12" s="1"/>
  <c r="K337" i="12" a="1"/>
  <c r="K337" i="12" s="1"/>
  <c r="G414" i="12" a="1"/>
  <c r="G414" i="12" s="1"/>
  <c r="P123" i="12" a="1"/>
  <c r="P123" i="12" s="1"/>
  <c r="S123" i="12" a="1"/>
  <c r="S123" i="12" s="1"/>
  <c r="F135" i="12" a="1"/>
  <c r="F135" i="12" s="1"/>
  <c r="P432" i="12" a="1"/>
  <c r="P432" i="12" s="1"/>
  <c r="T153" i="12" a="1"/>
  <c r="T153" i="12" s="1"/>
  <c r="M138" i="12" a="1"/>
  <c r="M138" i="12" s="1"/>
  <c r="N388" i="12" a="1"/>
  <c r="N388" i="12" s="1"/>
  <c r="P283" i="12" a="1"/>
  <c r="P283" i="12" s="1"/>
  <c r="M150" i="12" a="1"/>
  <c r="M150" i="12" s="1"/>
  <c r="G183" i="12" a="1"/>
  <c r="G183" i="12" s="1"/>
  <c r="J140" i="12" a="1"/>
  <c r="J140" i="12" s="1"/>
  <c r="I378" i="12" a="1"/>
  <c r="I378" i="12" s="1"/>
  <c r="R285" i="12" a="1"/>
  <c r="R285" i="12" s="1"/>
  <c r="M133" i="12" a="1"/>
  <c r="M133" i="12" s="1"/>
  <c r="I314" i="12" a="1"/>
  <c r="I314" i="12" s="1"/>
  <c r="L121" i="12" a="1"/>
  <c r="L121" i="12" s="1"/>
  <c r="N89" i="12" a="1"/>
  <c r="N89" i="12" s="1"/>
  <c r="N72" i="12" a="1"/>
  <c r="N72" i="12" s="1"/>
  <c r="G74" i="12" a="1"/>
  <c r="G74" i="12" s="1"/>
  <c r="T51" i="12" a="1"/>
  <c r="T51" i="12" s="1"/>
  <c r="J462" i="12" a="1"/>
  <c r="J462" i="12" s="1"/>
  <c r="F403" i="12" a="1"/>
  <c r="F403" i="12" s="1"/>
  <c r="U277" i="2" a="1"/>
  <c r="U277" i="2" s="1"/>
  <c r="L403" i="12" a="1"/>
  <c r="L403" i="12" s="1"/>
  <c r="K141" i="12" a="1"/>
  <c r="K141" i="12" s="1"/>
  <c r="T141" i="12" a="1"/>
  <c r="T141" i="12" s="1"/>
  <c r="K393" i="12" a="1"/>
  <c r="K393" i="12" s="1"/>
  <c r="R393" i="12" a="1"/>
  <c r="R393" i="12" s="1"/>
  <c r="T427" i="12" a="1"/>
  <c r="T427" i="12" s="1"/>
  <c r="Q119" i="12" a="1"/>
  <c r="Q119" i="12" s="1"/>
  <c r="K67" i="12" a="1"/>
  <c r="K67" i="12" s="1"/>
  <c r="F102" i="12" a="1"/>
  <c r="F102" i="12" s="1"/>
  <c r="U103" i="2" a="1"/>
  <c r="U103" i="2" s="1"/>
  <c r="J250" i="12" a="1"/>
  <c r="J250" i="12" s="1"/>
  <c r="P259" i="12" a="1"/>
  <c r="P259" i="12" s="1"/>
  <c r="P100" i="12" a="1"/>
  <c r="P100" i="12" s="1"/>
  <c r="G551" i="12" a="1"/>
  <c r="G551" i="12" s="1"/>
  <c r="I235" i="12" a="1"/>
  <c r="I235" i="12" s="1"/>
  <c r="I356" i="12" a="1"/>
  <c r="I356" i="12" s="1"/>
  <c r="K152" i="12" a="1"/>
  <c r="K152" i="12" s="1"/>
  <c r="P458" i="12" a="1"/>
  <c r="P458" i="12" s="1"/>
  <c r="T366" i="12" a="1"/>
  <c r="T366" i="12" s="1"/>
  <c r="K370" i="12" a="1"/>
  <c r="K370" i="12" s="1"/>
  <c r="G145" i="12" a="1"/>
  <c r="G145" i="12" s="1"/>
  <c r="G309" i="12" a="1"/>
  <c r="G309" i="12" s="1"/>
  <c r="R365" i="12" a="1"/>
  <c r="R365" i="12" s="1"/>
  <c r="R348" i="12" a="1"/>
  <c r="R348" i="12" s="1"/>
  <c r="I264" i="12" a="1"/>
  <c r="I264" i="12" s="1"/>
  <c r="T133" i="12" a="1"/>
  <c r="T133" i="12" s="1"/>
  <c r="N128" i="12" a="1"/>
  <c r="N128" i="12" s="1"/>
  <c r="F97" i="12" a="1"/>
  <c r="F97" i="12" s="1"/>
  <c r="U159" i="2" a="1"/>
  <c r="U159" i="2" s="1"/>
  <c r="I465" i="12" a="1"/>
  <c r="I465" i="12" s="1"/>
  <c r="I497" i="12" a="1"/>
  <c r="I497" i="12" s="1"/>
  <c r="G528" i="12" a="1"/>
  <c r="G528" i="12" s="1"/>
  <c r="M162" i="12" a="1"/>
  <c r="M162" i="12" s="1"/>
  <c r="M414" i="12" a="1"/>
  <c r="M414" i="12" s="1"/>
  <c r="L363" i="12" a="1"/>
  <c r="L363" i="12" s="1"/>
  <c r="J490" i="12" a="1"/>
  <c r="J490" i="12" s="1"/>
  <c r="P120" i="12" a="1"/>
  <c r="P120" i="12" s="1"/>
  <c r="I293" i="12" a="1"/>
  <c r="I293" i="12" s="1"/>
  <c r="F285" i="12" a="1"/>
  <c r="F285" i="12" s="1"/>
  <c r="U100" i="2" a="1"/>
  <c r="U100" i="2" s="1"/>
  <c r="O255" i="12" a="1"/>
  <c r="O255" i="12" s="1"/>
  <c r="M54" i="12" a="1"/>
  <c r="M54" i="12" s="1"/>
  <c r="R142" i="12" a="1"/>
  <c r="R142" i="12" s="1"/>
  <c r="M348" i="12" a="1"/>
  <c r="M348" i="12" s="1"/>
  <c r="K266" i="12" a="1"/>
  <c r="K266" i="12" s="1"/>
  <c r="F222" i="12" a="1"/>
  <c r="F222" i="12" s="1"/>
  <c r="U249" i="2" a="1"/>
  <c r="U249" i="2" s="1"/>
  <c r="Q61" i="12" a="1"/>
  <c r="Q61" i="12" s="1"/>
  <c r="O155" i="12" a="1"/>
  <c r="O155" i="12" s="1"/>
  <c r="I27" i="12" a="1"/>
  <c r="I27" i="12" s="1"/>
  <c r="K110" i="12" a="1"/>
  <c r="K110" i="12" s="1"/>
  <c r="K103" i="12" a="1"/>
  <c r="K103" i="12" s="1"/>
  <c r="T8" i="12" a="1"/>
  <c r="T8" i="12" s="1"/>
  <c r="M5" i="12" a="1"/>
  <c r="M5" i="12" s="1"/>
  <c r="M25" i="12" a="1"/>
  <c r="M25" i="12" s="1"/>
  <c r="Q43" i="12" a="1"/>
  <c r="Q43" i="12" s="1"/>
  <c r="L36" i="12" a="1"/>
  <c r="L36" i="12" s="1"/>
  <c r="Q18" i="12" a="1"/>
  <c r="Q18" i="12" s="1"/>
  <c r="O86" i="12" a="1"/>
  <c r="O86" i="12" s="1"/>
  <c r="R103" i="12" a="1"/>
  <c r="R103" i="12" s="1"/>
  <c r="F113" i="12" a="1"/>
  <c r="F113" i="12" s="1"/>
  <c r="U25" i="2" a="1"/>
  <c r="U25" i="2" s="1"/>
  <c r="L5" i="12" a="1"/>
  <c r="L5" i="12" s="1"/>
  <c r="L44" i="12" a="1"/>
  <c r="L44" i="12" s="1"/>
  <c r="R7" i="12" a="1"/>
  <c r="R7" i="12" s="1"/>
  <c r="G15" i="12" a="1"/>
  <c r="G15" i="12" s="1"/>
  <c r="R17" i="12" a="1"/>
  <c r="R17" i="12" s="1"/>
  <c r="S50" i="12" a="1"/>
  <c r="S50" i="12" s="1"/>
  <c r="I8" i="12" a="1"/>
  <c r="I8" i="12" s="1"/>
  <c r="G4" i="12" a="1"/>
  <c r="G4" i="12" s="1"/>
  <c r="G119" i="12" a="1"/>
  <c r="G119" i="12" s="1"/>
  <c r="K71" i="12" a="1"/>
  <c r="K71" i="12" s="1"/>
  <c r="F143" i="12" a="1"/>
  <c r="F143" i="12" s="1"/>
  <c r="U266" i="2" a="1"/>
  <c r="U266" i="2" s="1"/>
  <c r="R72" i="12" a="1"/>
  <c r="R72" i="12" s="1"/>
  <c r="Q222" i="12" a="1"/>
  <c r="Q222" i="12" s="1"/>
  <c r="F256" i="12" a="1"/>
  <c r="F256" i="12" s="1"/>
  <c r="U93" i="2" a="1"/>
  <c r="U93" i="2" s="1"/>
  <c r="I105" i="12" a="1"/>
  <c r="I105" i="12" s="1"/>
  <c r="Q166" i="12" a="1"/>
  <c r="Q166" i="12" s="1"/>
  <c r="M35" i="12" a="1"/>
  <c r="M35" i="12" s="1"/>
  <c r="L8" i="12" a="1"/>
  <c r="L8" i="12" s="1"/>
  <c r="O27" i="12" a="1"/>
  <c r="O27" i="12" s="1"/>
  <c r="Z617" i="12" a="1"/>
  <c r="Z617" i="12" s="1"/>
  <c r="K29" i="12" a="1"/>
  <c r="K29" i="12" s="1"/>
  <c r="J116" i="12" a="1"/>
  <c r="J116" i="12" s="1"/>
  <c r="S19" i="12" a="1"/>
  <c r="S19" i="12" s="1"/>
  <c r="R56" i="12" a="1"/>
  <c r="R56" i="12" s="1"/>
  <c r="G6" i="12" a="1"/>
  <c r="G6" i="12" s="1"/>
  <c r="N496" i="12" a="1"/>
  <c r="N496" i="12" s="1"/>
  <c r="Q496" i="12" a="1"/>
  <c r="Q496" i="12" s="1"/>
  <c r="I423" i="12" a="1"/>
  <c r="I423" i="12" s="1"/>
  <c r="L423" i="12" a="1"/>
  <c r="L423" i="12" s="1"/>
  <c r="S133" i="12" a="1"/>
  <c r="S133" i="12" s="1"/>
  <c r="G71" i="12" a="1"/>
  <c r="G71" i="12" s="1"/>
  <c r="X635" i="12" a="1"/>
  <c r="X635" i="12" s="1"/>
  <c r="G58" i="12" a="1"/>
  <c r="G58" i="12" s="1"/>
  <c r="I212" i="12" a="1"/>
  <c r="I212" i="12" s="1"/>
  <c r="T46" i="12" a="1"/>
  <c r="T46" i="12" s="1"/>
  <c r="Q207" i="12" a="1"/>
  <c r="Q207" i="12" s="1"/>
  <c r="Q155" i="12" a="1"/>
  <c r="Q155" i="12" s="1"/>
  <c r="O6" i="12" a="1"/>
  <c r="O6" i="12" s="1"/>
  <c r="R127" i="12" a="1"/>
  <c r="R127" i="12" s="1"/>
  <c r="Q333" i="12" a="1"/>
  <c r="Q333" i="12" s="1"/>
  <c r="R289" i="12" a="1"/>
  <c r="R289" i="12" s="1"/>
  <c r="G28" i="12" a="1"/>
  <c r="G28" i="12" s="1"/>
  <c r="G382" i="12" a="1"/>
  <c r="G382" i="12" s="1"/>
  <c r="N222" i="12" a="1"/>
  <c r="N222" i="12" s="1"/>
  <c r="Z661" i="12" a="1"/>
  <c r="Z661" i="12" s="1"/>
  <c r="O66" i="12" a="1"/>
  <c r="O66" i="12" s="1"/>
  <c r="P178" i="12" a="1"/>
  <c r="P178" i="12" s="1"/>
  <c r="F166" i="12" a="1"/>
  <c r="F166" i="12" s="1"/>
  <c r="U120" i="2" a="1"/>
  <c r="U120" i="2" s="1"/>
  <c r="T130" i="12" a="1"/>
  <c r="T130" i="12" s="1"/>
  <c r="F5" i="12" a="1"/>
  <c r="F5" i="12" s="1"/>
  <c r="U12" i="2" a="1"/>
  <c r="U12" i="2" s="1"/>
  <c r="J22" i="3" a="1"/>
  <c r="J22" i="3" s="1"/>
  <c r="M145" i="12" a="1"/>
  <c r="M145" i="12" s="1"/>
  <c r="R97" i="12" a="1"/>
  <c r="R97" i="12" s="1"/>
  <c r="G90" i="12" a="1"/>
  <c r="G90" i="12" s="1"/>
  <c r="N79" i="12" a="1"/>
  <c r="N79" i="12" s="1"/>
  <c r="F46" i="12" a="1"/>
  <c r="F46" i="12" s="1"/>
  <c r="U109" i="2" a="1"/>
  <c r="U109" i="2" s="1"/>
  <c r="Q8" i="12" a="1"/>
  <c r="Q8" i="12" s="1"/>
  <c r="J5" i="12" a="1"/>
  <c r="J5" i="12" s="1"/>
  <c r="I26" i="12" a="1"/>
  <c r="I26" i="12" s="1"/>
  <c r="O7" i="12" a="1"/>
  <c r="O7" i="12" s="1"/>
  <c r="S67" i="12" a="1"/>
  <c r="S67" i="12" s="1"/>
  <c r="G88" i="12" a="1"/>
  <c r="G88" i="12" s="1"/>
  <c r="F88" i="12" a="1"/>
  <c r="F88" i="12" s="1"/>
  <c r="U137" i="2" a="1"/>
  <c r="U137" i="2" s="1"/>
  <c r="J292" i="12" a="1"/>
  <c r="J292" i="12" s="1"/>
  <c r="T224" i="12" a="1"/>
  <c r="T224" i="12" s="1"/>
  <c r="J66" i="12" a="1"/>
  <c r="J66" i="12" s="1"/>
  <c r="U314" i="2" a="1"/>
  <c r="U314" i="2" s="1"/>
  <c r="S84" i="12" a="1"/>
  <c r="S84" i="12" s="1"/>
  <c r="L87" i="12" a="1"/>
  <c r="L87" i="12" s="1"/>
  <c r="L222" i="12" a="1"/>
  <c r="L222" i="12" s="1"/>
  <c r="P79" i="12" a="1"/>
  <c r="P79" i="12" s="1"/>
  <c r="K275" i="12" a="1"/>
  <c r="K275" i="12" s="1"/>
  <c r="P69" i="12" a="1"/>
  <c r="P69" i="12" s="1"/>
  <c r="N54" i="12" a="1"/>
  <c r="N54" i="12" s="1"/>
  <c r="G55" i="12" a="1"/>
  <c r="G55" i="12" s="1"/>
  <c r="N56" i="12" a="1"/>
  <c r="N56" i="12" s="1"/>
  <c r="N30" i="12" a="1"/>
  <c r="N30" i="12" s="1"/>
  <c r="P13" i="12" a="1"/>
  <c r="P13" i="12" s="1"/>
  <c r="K432" i="12" a="1"/>
  <c r="K432" i="12" s="1"/>
  <c r="O379" i="12" a="1"/>
  <c r="O379" i="12" s="1"/>
  <c r="J120" i="12" a="1"/>
  <c r="J120" i="12" s="1"/>
  <c r="P330" i="12" a="1"/>
  <c r="P330" i="12" s="1"/>
  <c r="N330" i="12" a="1"/>
  <c r="N330" i="12" s="1"/>
  <c r="N81" i="12" a="1"/>
  <c r="N81" i="12" s="1"/>
  <c r="F81" i="12" a="1"/>
  <c r="F81" i="12" s="1"/>
  <c r="U272" i="2" a="1"/>
  <c r="U272" i="2" s="1"/>
  <c r="F72" i="12" a="1"/>
  <c r="F72" i="12" s="1"/>
  <c r="R382" i="12" a="1"/>
  <c r="R382" i="12" s="1"/>
  <c r="N382" i="12" a="1"/>
  <c r="N382" i="12" s="1"/>
  <c r="Q201" i="12" a="1"/>
  <c r="Q201" i="12" s="1"/>
  <c r="P75" i="12" a="1"/>
  <c r="P75" i="12" s="1"/>
  <c r="J76" i="12" a="1"/>
  <c r="J76" i="12" s="1"/>
  <c r="M92" i="12" a="1"/>
  <c r="M92" i="12" s="1"/>
  <c r="R65" i="12" a="1"/>
  <c r="R65" i="12" s="1"/>
  <c r="O266" i="12" a="1"/>
  <c r="O266" i="12" s="1"/>
  <c r="I90" i="12" a="1"/>
  <c r="I90" i="12" s="1"/>
  <c r="M105" i="12" a="1"/>
  <c r="M105" i="12" s="1"/>
  <c r="K85" i="12" a="1"/>
  <c r="K85" i="12" s="1"/>
  <c r="Q78" i="12" a="1"/>
  <c r="Q78" i="12" s="1"/>
  <c r="R305" i="12" a="1"/>
  <c r="R305" i="12" s="1"/>
  <c r="O174" i="12" a="1"/>
  <c r="O174" i="12" s="1"/>
  <c r="T75" i="12" a="1"/>
  <c r="T75" i="12" s="1"/>
  <c r="I86" i="12" a="1"/>
  <c r="I86" i="12" s="1"/>
  <c r="L191" i="12" a="1"/>
  <c r="L191" i="12" s="1"/>
  <c r="O113" i="12" a="1"/>
  <c r="O113" i="12" s="1"/>
  <c r="J16" i="12" a="1"/>
  <c r="J16" i="12" s="1"/>
  <c r="I2" i="12" a="1"/>
  <c r="I2" i="12" s="1"/>
  <c r="N2" i="3" a="1"/>
  <c r="N2" i="3" s="1"/>
  <c r="N22" i="3" s="1" a="1"/>
  <c r="N22" i="3" s="1"/>
  <c r="O122" i="12" a="1"/>
  <c r="O122" i="12" s="1"/>
  <c r="M9" i="12" a="1"/>
  <c r="M9" i="12" s="1"/>
  <c r="AA621" i="12" a="1"/>
  <c r="AA621" i="12" s="1"/>
  <c r="J177" i="12" a="1"/>
  <c r="J177" i="12" s="1"/>
  <c r="J279" i="12" a="1"/>
  <c r="J279" i="12" s="1"/>
  <c r="R279" i="12" a="1"/>
  <c r="R279" i="12" s="1"/>
  <c r="Q70" i="12" a="1"/>
  <c r="Q70" i="12" s="1"/>
  <c r="F93" i="12" a="1"/>
  <c r="F93" i="12" s="1"/>
  <c r="U183" i="2" a="1"/>
  <c r="U183" i="2" s="1"/>
  <c r="O216" i="12" a="1"/>
  <c r="O216" i="12" s="1"/>
  <c r="F32" i="12" a="1"/>
  <c r="F32" i="12" s="1"/>
  <c r="U229" i="2" a="1"/>
  <c r="U229" i="2" s="1"/>
  <c r="P35" i="12" a="1"/>
  <c r="P35" i="12" s="1"/>
  <c r="G116" i="12" a="1"/>
  <c r="G116" i="12" s="1"/>
  <c r="R26" i="12" a="1"/>
  <c r="R26" i="12" s="1"/>
  <c r="W14" i="3" a="1"/>
  <c r="W14" i="3" s="1"/>
  <c r="Q35" i="12" a="1"/>
  <c r="Q35" i="12" s="1"/>
  <c r="M52" i="12" a="1"/>
  <c r="M52" i="12" s="1"/>
  <c r="N16" i="12" a="1"/>
  <c r="N16" i="12" s="1"/>
  <c r="M2" i="12" a="1"/>
  <c r="M2" i="12" s="1"/>
  <c r="R2" i="3" a="1"/>
  <c r="R2" i="3" s="1"/>
  <c r="G166" i="12" a="1"/>
  <c r="G166" i="12" s="1"/>
  <c r="G134" i="12" a="1"/>
  <c r="G134" i="12" s="1"/>
  <c r="I16" i="12" a="1"/>
  <c r="I16" i="12" s="1"/>
  <c r="F77" i="12" a="1"/>
  <c r="F77" i="12" s="1"/>
  <c r="U361" i="2" a="1"/>
  <c r="U361" i="2" s="1"/>
  <c r="S10" i="12" a="1"/>
  <c r="S10" i="12" s="1"/>
  <c r="Q10" i="12" a="1"/>
  <c r="Q10" i="12" s="1"/>
  <c r="K95" i="12" a="1"/>
  <c r="K95" i="12" s="1"/>
  <c r="I41" i="12" a="1"/>
  <c r="I41" i="12" s="1"/>
  <c r="K41" i="12" a="1"/>
  <c r="K41" i="12" s="1"/>
  <c r="Z625" i="12" a="1"/>
  <c r="Z625" i="12" s="1"/>
  <c r="J14" i="12" a="1"/>
  <c r="J14" i="12" s="1"/>
  <c r="J110" i="12" a="1"/>
  <c r="J110" i="12" s="1"/>
  <c r="T45" i="12" a="1"/>
  <c r="T45" i="12" s="1"/>
  <c r="M31" i="12" a="1"/>
  <c r="M31" i="12" s="1"/>
  <c r="I129" i="12" a="1"/>
  <c r="I129" i="12" s="1"/>
  <c r="Q129" i="12" a="1"/>
  <c r="Q129" i="12" s="1"/>
  <c r="I184" i="12" a="1"/>
  <c r="I184" i="12" s="1"/>
  <c r="K54" i="12" a="1"/>
  <c r="K54" i="12" s="1"/>
  <c r="Q59" i="12" a="1"/>
  <c r="Q59" i="12" s="1"/>
  <c r="G59" i="12" a="1"/>
  <c r="G59" i="12" s="1"/>
  <c r="T118" i="12" a="1"/>
  <c r="T118" i="12" s="1"/>
  <c r="J118" i="12" a="1"/>
  <c r="J118" i="12" s="1"/>
  <c r="Q22" i="12" a="1"/>
  <c r="Q22" i="12" s="1"/>
  <c r="K42" i="12" a="1"/>
  <c r="K42" i="12" s="1"/>
  <c r="K39" i="12" a="1"/>
  <c r="K39" i="12" s="1"/>
  <c r="J80" i="12" a="1"/>
  <c r="J80" i="12" s="1"/>
  <c r="F80" i="12" a="1"/>
  <c r="F80" i="12" s="1"/>
  <c r="U16" i="2" a="1"/>
  <c r="U16" i="2" s="1"/>
  <c r="F62" i="12" a="1"/>
  <c r="F62" i="12" s="1"/>
  <c r="U226" i="2" a="1"/>
  <c r="U226" i="2" s="1"/>
  <c r="X671" i="12" a="1"/>
  <c r="X671" i="12" s="1"/>
  <c r="O34" i="12" a="1"/>
  <c r="O34" i="12" s="1"/>
  <c r="F57" i="12" a="1"/>
  <c r="F57" i="12" s="1"/>
  <c r="U106" i="2" a="1"/>
  <c r="U106" i="2" s="1"/>
  <c r="P57" i="12" a="1"/>
  <c r="P57" i="12" s="1"/>
  <c r="P182" i="12" a="1"/>
  <c r="P182" i="12" s="1"/>
  <c r="R39" i="12" a="1"/>
  <c r="R39" i="12" s="1"/>
  <c r="L224" i="12" a="1"/>
  <c r="L224" i="12" s="1"/>
  <c r="L53" i="12" a="1"/>
  <c r="L53" i="12" s="1"/>
  <c r="T182" i="12" a="1"/>
  <c r="T182" i="12" s="1"/>
  <c r="M49" i="12" a="1"/>
  <c r="M49" i="12" s="1"/>
  <c r="P49" i="12" a="1"/>
  <c r="P49" i="12" s="1"/>
  <c r="Q110" i="12" a="1"/>
  <c r="Q110" i="12" s="1"/>
  <c r="I11" i="12" a="1"/>
  <c r="I11" i="12" s="1"/>
  <c r="F51" i="12" a="1"/>
  <c r="F51" i="12" s="1"/>
  <c r="U105" i="2" a="1"/>
  <c r="U105" i="2" s="1"/>
  <c r="R200" i="12" a="1"/>
  <c r="R200" i="12" s="1"/>
  <c r="I40" i="12" a="1"/>
  <c r="I40" i="12" s="1"/>
  <c r="R33" i="12" a="1"/>
  <c r="R33" i="12" s="1"/>
  <c r="P33" i="12" a="1"/>
  <c r="P33" i="12" s="1"/>
  <c r="T189" i="12" a="1"/>
  <c r="T189" i="12" s="1"/>
  <c r="M189" i="12" a="1"/>
  <c r="M189" i="12" s="1"/>
  <c r="P113" i="12" a="1"/>
  <c r="P113" i="12" s="1"/>
  <c r="R18" i="12" a="1"/>
  <c r="R18" i="12" s="1"/>
  <c r="S298" i="12" a="1"/>
  <c r="S298" i="12" s="1"/>
  <c r="T536" i="12" a="1"/>
  <c r="T536" i="12" s="1"/>
  <c r="S536" i="12" a="1"/>
  <c r="S536" i="12" s="1"/>
  <c r="J286" i="12" a="1"/>
  <c r="J286" i="12" s="1"/>
  <c r="P218" i="12" a="1"/>
  <c r="P218" i="12" s="1"/>
  <c r="J228" i="12" a="1"/>
  <c r="J228" i="12" s="1"/>
  <c r="I527" i="12" a="1"/>
  <c r="I527" i="12" s="1"/>
  <c r="Q531" i="12" a="1"/>
  <c r="Q531" i="12" s="1"/>
  <c r="T197" i="12" a="1"/>
  <c r="T197" i="12" s="1"/>
  <c r="J556" i="12" a="1"/>
  <c r="J556" i="12" s="1"/>
  <c r="K449" i="12" a="1"/>
  <c r="K449" i="12" s="1"/>
  <c r="J147" i="12" a="1"/>
  <c r="J147" i="12" s="1"/>
  <c r="N596" i="12" a="1"/>
  <c r="N596" i="12" s="1"/>
  <c r="M234" i="12" a="1"/>
  <c r="M234" i="12" s="1"/>
  <c r="N597" i="12" a="1"/>
  <c r="N597" i="12" s="1"/>
  <c r="M505" i="12" a="1"/>
  <c r="M505" i="12" s="1"/>
  <c r="J483" i="12" a="1"/>
  <c r="J483" i="12" s="1"/>
  <c r="S213" i="12" a="1"/>
  <c r="S213" i="12" s="1"/>
  <c r="O257" i="12" a="1"/>
  <c r="O257" i="12" s="1"/>
  <c r="I588" i="12" a="1"/>
  <c r="I588" i="12" s="1"/>
  <c r="S223" i="12" a="1"/>
  <c r="S223" i="12" s="1"/>
  <c r="P557" i="12" a="1"/>
  <c r="P557" i="12" s="1"/>
  <c r="L258" i="12" a="1"/>
  <c r="L258" i="12" s="1"/>
  <c r="K315" i="12" a="1"/>
  <c r="K315" i="12" s="1"/>
  <c r="J323" i="12" a="1"/>
  <c r="J323" i="12" s="1"/>
  <c r="M539" i="12" a="1"/>
  <c r="M539" i="12" s="1"/>
  <c r="F514" i="12" a="1"/>
  <c r="F514" i="12" s="1"/>
  <c r="U341" i="2" a="1"/>
  <c r="U341" i="2" s="1"/>
  <c r="P239" i="12" a="1"/>
  <c r="P239" i="12" s="1"/>
  <c r="F598" i="12" a="1"/>
  <c r="F598" i="12" s="1"/>
  <c r="U364" i="2" a="1"/>
  <c r="U364" i="2" s="1"/>
  <c r="S598" i="12" a="1"/>
  <c r="S598" i="12" s="1"/>
  <c r="J311" i="12" a="1"/>
  <c r="J311" i="12" s="1"/>
  <c r="M276" i="12" a="1"/>
  <c r="M276" i="12" s="1"/>
  <c r="R276" i="12" a="1"/>
  <c r="R276" i="12" s="1"/>
  <c r="M211" i="12" a="1"/>
  <c r="M211" i="12" s="1"/>
  <c r="Q243" i="12" a="1"/>
  <c r="Q243" i="12" s="1"/>
  <c r="O581" i="12" a="1"/>
  <c r="O581" i="12" s="1"/>
  <c r="M463" i="12" a="1"/>
  <c r="M463" i="12" s="1"/>
  <c r="F268" i="12" a="1"/>
  <c r="F268" i="12" s="1"/>
  <c r="U422" i="2" a="1"/>
  <c r="U422" i="2" s="1"/>
  <c r="L257" i="12" a="1"/>
  <c r="L257" i="12" s="1"/>
  <c r="T573" i="12" a="1"/>
  <c r="T573" i="12" s="1"/>
  <c r="P474" i="12" a="1"/>
  <c r="P474" i="12" s="1"/>
  <c r="N585" i="12" a="1"/>
  <c r="N585" i="12" s="1"/>
  <c r="AR403" i="2" a="1"/>
  <c r="AR403" i="2" s="1"/>
  <c r="AQ403" i="2" a="1"/>
  <c r="AQ403" i="2" s="1"/>
  <c r="S451" i="12" a="1"/>
  <c r="S451" i="12" s="1"/>
  <c r="R210" i="12" a="1"/>
  <c r="R210" i="12" s="1"/>
  <c r="Q221" i="12" a="1"/>
  <c r="Q221" i="12" s="1"/>
  <c r="I490" i="12" a="1"/>
  <c r="I490" i="12" s="1"/>
  <c r="O576" i="12" a="1"/>
  <c r="O576" i="12" s="1"/>
  <c r="K241" i="12" a="1"/>
  <c r="K241" i="12" s="1"/>
  <c r="R463" i="12" a="1"/>
  <c r="R463" i="12" s="1"/>
  <c r="O218" i="12" a="1"/>
  <c r="O218" i="12" s="1"/>
  <c r="T257" i="12" a="1"/>
  <c r="T257" i="12" s="1"/>
  <c r="L457" i="12" a="1"/>
  <c r="L457" i="12" s="1"/>
  <c r="O474" i="12" a="1"/>
  <c r="O474" i="12" s="1"/>
  <c r="F180" i="12" a="1"/>
  <c r="F180" i="12" s="1"/>
  <c r="Q247" i="12" a="1"/>
  <c r="Q247" i="12" s="1"/>
  <c r="M261" i="12" a="1"/>
  <c r="M261" i="12" s="1"/>
  <c r="F260" i="12" a="1"/>
  <c r="F260" i="12" s="1"/>
  <c r="U477" i="2" a="1"/>
  <c r="U477" i="2" s="1"/>
  <c r="K561" i="12" a="1"/>
  <c r="K561" i="12" s="1"/>
  <c r="I239" i="12" a="1"/>
  <c r="I239" i="12" s="1"/>
  <c r="J246" i="12" a="1"/>
  <c r="J246" i="12" s="1"/>
  <c r="J503" i="12" a="1"/>
  <c r="J503" i="12" s="1"/>
  <c r="N343" i="12" a="1"/>
  <c r="N343" i="12" s="1"/>
  <c r="P347" i="12" a="1"/>
  <c r="P347" i="12" s="1"/>
  <c r="N311" i="12" a="1"/>
  <c r="N311" i="12" s="1"/>
  <c r="T594" i="12" a="1"/>
  <c r="T594" i="12" s="1"/>
  <c r="T233" i="12" a="1"/>
  <c r="T233" i="12" s="1"/>
  <c r="O234" i="12" a="1"/>
  <c r="O234" i="12" s="1"/>
  <c r="L243" i="12" a="1"/>
  <c r="L243" i="12" s="1"/>
  <c r="P581" i="12" a="1"/>
  <c r="P581" i="12" s="1"/>
  <c r="I537" i="12" a="1"/>
  <c r="I537" i="12" s="1"/>
  <c r="P510" i="12" a="1"/>
  <c r="P510" i="12" s="1"/>
  <c r="Q214" i="12" a="1"/>
  <c r="Q214" i="12" s="1"/>
  <c r="F474" i="12" a="1"/>
  <c r="F474" i="12" s="1"/>
  <c r="U258" i="2" a="1"/>
  <c r="U258" i="2" s="1"/>
  <c r="G515" i="12" a="1"/>
  <c r="G515" i="12" s="1"/>
  <c r="M551" i="12" a="1"/>
  <c r="M551" i="12" s="1"/>
  <c r="Q231" i="12" a="1"/>
  <c r="Q231" i="12" s="1"/>
  <c r="N494" i="12" a="1"/>
  <c r="N494" i="12" s="1"/>
  <c r="G136" i="12" a="1"/>
  <c r="G136" i="12" s="1"/>
  <c r="T199" i="12" a="1"/>
  <c r="T199" i="12" s="1"/>
  <c r="AA634" i="12" a="1"/>
  <c r="AA634" i="12" s="1"/>
  <c r="T154" i="12" a="1"/>
  <c r="T154" i="12" s="1"/>
  <c r="S452" i="12" a="1"/>
  <c r="S452" i="12" s="1"/>
  <c r="G594" i="12" a="1"/>
  <c r="G594" i="12" s="1"/>
  <c r="R220" i="12" a="1"/>
  <c r="R220" i="12" s="1"/>
  <c r="T236" i="12" a="1"/>
  <c r="T236" i="12" s="1"/>
  <c r="L215" i="12" a="1"/>
  <c r="L215" i="12" s="1"/>
  <c r="O244" i="12" a="1"/>
  <c r="O244" i="12" s="1"/>
  <c r="S407" i="12" a="1"/>
  <c r="S407" i="12" s="1"/>
  <c r="S415" i="12" a="1"/>
  <c r="S415" i="12" s="1"/>
  <c r="L504" i="12" a="1"/>
  <c r="L504" i="12" s="1"/>
  <c r="T504" i="12" a="1"/>
  <c r="T504" i="12" s="1"/>
  <c r="T500" i="12" a="1"/>
  <c r="T500" i="12" s="1"/>
  <c r="M179" i="12" a="1"/>
  <c r="M179" i="12" s="1"/>
  <c r="M149" i="12" a="1"/>
  <c r="M149" i="12" s="1"/>
  <c r="Q163" i="12" a="1"/>
  <c r="Q163" i="12" s="1"/>
  <c r="G397" i="12" a="1"/>
  <c r="G397" i="12" s="1"/>
  <c r="J194" i="12" a="1"/>
  <c r="J194" i="12" s="1"/>
  <c r="K604" i="12" a="1"/>
  <c r="K604" i="12" s="1"/>
  <c r="N246" i="12" a="1"/>
  <c r="N246" i="12" s="1"/>
  <c r="K225" i="12" a="1"/>
  <c r="K225" i="12" s="1"/>
  <c r="R547" i="12" a="1"/>
  <c r="R547" i="12" s="1"/>
  <c r="F407" i="12" a="1"/>
  <c r="F407" i="12" s="1"/>
  <c r="U287" i="2" a="1"/>
  <c r="U287" i="2" s="1"/>
  <c r="Q193" i="12" a="1"/>
  <c r="Q193" i="12" s="1"/>
  <c r="M509" i="12" a="1"/>
  <c r="M509" i="12" s="1"/>
  <c r="J408" i="12" a="1"/>
  <c r="J408" i="12" s="1"/>
  <c r="N586" i="12" a="1"/>
  <c r="N586" i="12" s="1"/>
  <c r="F188" i="12" a="1"/>
  <c r="F188" i="12" s="1"/>
  <c r="U443" i="2" a="1"/>
  <c r="U443" i="2" s="1"/>
  <c r="G176" i="12" a="1"/>
  <c r="G176" i="12" s="1"/>
  <c r="L412" i="12" a="1"/>
  <c r="L412" i="12" s="1"/>
  <c r="N584" i="12" a="1"/>
  <c r="N584" i="12" s="1"/>
  <c r="K508" i="12" a="1"/>
  <c r="K508" i="12" s="1"/>
  <c r="I194" i="12" a="1"/>
  <c r="I194" i="12" s="1"/>
  <c r="S559" i="12" a="1"/>
  <c r="S559" i="12" s="1"/>
  <c r="L559" i="12" a="1"/>
  <c r="L559" i="12" s="1"/>
  <c r="M187" i="12" a="1"/>
  <c r="M187" i="12" s="1"/>
  <c r="I515" i="12" a="1"/>
  <c r="I515" i="12" s="1"/>
  <c r="F230" i="12" a="1"/>
  <c r="F230" i="12" s="1"/>
  <c r="U253" i="2" a="1"/>
  <c r="U253" i="2" s="1"/>
  <c r="F227" i="12" a="1"/>
  <c r="F227" i="12" s="1"/>
  <c r="U560" i="2" a="1"/>
  <c r="U560" i="2" s="1"/>
  <c r="I190" i="12" a="1"/>
  <c r="I190" i="12" s="1"/>
  <c r="N199" i="12" a="1"/>
  <c r="N199" i="12" s="1"/>
  <c r="F526" i="12" a="1"/>
  <c r="F526" i="12" s="1"/>
  <c r="U381" i="2" a="1"/>
  <c r="U381" i="2" s="1"/>
  <c r="S497" i="12" a="1"/>
  <c r="S497" i="12" s="1"/>
  <c r="N502" i="12" a="1"/>
  <c r="N502" i="12" s="1"/>
  <c r="N162" i="12" a="1"/>
  <c r="N162" i="12" s="1"/>
  <c r="G511" i="12" a="1"/>
  <c r="G511" i="12" s="1"/>
  <c r="G597" i="12" a="1"/>
  <c r="G597" i="12" s="1"/>
  <c r="L564" i="12" a="1"/>
  <c r="L564" i="12" s="1"/>
  <c r="L530" i="12" a="1"/>
  <c r="L530" i="12" s="1"/>
  <c r="J530" i="12" a="1"/>
  <c r="J530" i="12" s="1"/>
  <c r="AQ378" i="2" a="1"/>
  <c r="AQ378" i="2" s="1"/>
  <c r="AR378" i="2" a="1"/>
  <c r="AR378" i="2" s="1"/>
  <c r="K206" i="12" a="1"/>
  <c r="K206" i="12" s="1"/>
  <c r="T582" i="12" a="1"/>
  <c r="T582" i="12" s="1"/>
  <c r="P582" i="12" a="1"/>
  <c r="P582" i="12" s="1"/>
  <c r="J533" i="12" a="1"/>
  <c r="J533" i="12" s="1"/>
  <c r="L533" i="12" a="1"/>
  <c r="L533" i="12" s="1"/>
  <c r="P221" i="12" a="1"/>
  <c r="P221" i="12" s="1"/>
  <c r="M197" i="12" a="1"/>
  <c r="M197" i="12" s="1"/>
  <c r="S426" i="12" a="1"/>
  <c r="S426" i="12" s="1"/>
  <c r="S131" i="12" a="1"/>
  <c r="S131" i="12" s="1"/>
  <c r="L522" i="12" a="1"/>
  <c r="L522" i="12" s="1"/>
  <c r="Q526" i="12" a="1"/>
  <c r="Q526" i="12" s="1"/>
  <c r="K466" i="12" a="1"/>
  <c r="K466" i="12" s="1"/>
  <c r="Q558" i="12" a="1"/>
  <c r="Q558" i="12" s="1"/>
  <c r="F169" i="12" a="1"/>
  <c r="F169" i="12" s="1"/>
  <c r="U577" i="2" a="1"/>
  <c r="U577" i="2" s="1"/>
  <c r="T502" i="12" a="1"/>
  <c r="T502" i="12" s="1"/>
  <c r="R442" i="12" a="1"/>
  <c r="R442" i="12" s="1"/>
  <c r="P492" i="12" a="1"/>
  <c r="P492" i="12" s="1"/>
  <c r="L374" i="12" a="1"/>
  <c r="L374" i="12" s="1"/>
  <c r="K204" i="12" a="1"/>
  <c r="K204" i="12" s="1"/>
  <c r="Q160" i="12" a="1"/>
  <c r="Q160" i="12" s="1"/>
  <c r="F356" i="12" a="1"/>
  <c r="F356" i="12" s="1"/>
  <c r="U128" i="2" a="1"/>
  <c r="U128" i="2" s="1"/>
  <c r="T162" i="12" a="1"/>
  <c r="T162" i="12" s="1"/>
  <c r="R383" i="12" a="1"/>
  <c r="R383" i="12" s="1"/>
  <c r="I345" i="12" a="1"/>
  <c r="I345" i="12" s="1"/>
  <c r="R114" i="12" a="1"/>
  <c r="R114" i="12" s="1"/>
  <c r="G226" i="12" a="1"/>
  <c r="G226" i="12" s="1"/>
  <c r="J475" i="12" a="1"/>
  <c r="J475" i="12" s="1"/>
  <c r="K475" i="12" a="1"/>
  <c r="K475" i="12" s="1"/>
  <c r="I173" i="12" a="1"/>
  <c r="I173" i="12" s="1"/>
  <c r="K192" i="12" a="1"/>
  <c r="K192" i="12" s="1"/>
  <c r="G228" i="12" a="1"/>
  <c r="G228" i="12" s="1"/>
  <c r="T215" i="12" a="1"/>
  <c r="T215" i="12" s="1"/>
  <c r="R540" i="12" a="1"/>
  <c r="R540" i="12" s="1"/>
  <c r="O540" i="12" a="1"/>
  <c r="O540" i="12" s="1"/>
  <c r="J274" i="12" a="1"/>
  <c r="J274" i="12" s="1"/>
  <c r="J541" i="12" a="1"/>
  <c r="J541" i="12" s="1"/>
  <c r="O522" i="12" a="1"/>
  <c r="O522" i="12" s="1"/>
  <c r="Q195" i="12" a="1"/>
  <c r="Q195" i="12" s="1"/>
  <c r="T176" i="12" a="1"/>
  <c r="T176" i="12" s="1"/>
  <c r="N187" i="12" a="1"/>
  <c r="N187" i="12" s="1"/>
  <c r="K220" i="12" a="1"/>
  <c r="K220" i="12" s="1"/>
  <c r="L515" i="12" a="1"/>
  <c r="L515" i="12" s="1"/>
  <c r="M274" i="12" a="1"/>
  <c r="M274" i="12" s="1"/>
  <c r="N526" i="12" a="1"/>
  <c r="N526" i="12" s="1"/>
  <c r="S558" i="12" a="1"/>
  <c r="S558" i="12" s="1"/>
  <c r="F214" i="12" a="1"/>
  <c r="F214" i="12" s="1"/>
  <c r="U404" i="2" a="1"/>
  <c r="U404" i="2" s="1"/>
  <c r="K267" i="12" a="1"/>
  <c r="K267" i="12" s="1"/>
  <c r="P246" i="12" a="1"/>
  <c r="P246" i="12" s="1"/>
  <c r="M231" i="12" a="1"/>
  <c r="M231" i="12" s="1"/>
  <c r="L541" i="12" a="1"/>
  <c r="L541" i="12" s="1"/>
  <c r="F494" i="12" a="1"/>
  <c r="F494" i="12" s="1"/>
  <c r="U198" i="2" a="1"/>
  <c r="U198" i="2" s="1"/>
  <c r="N131" i="12" a="1"/>
  <c r="N131" i="12" s="1"/>
  <c r="T497" i="12" a="1"/>
  <c r="T497" i="12" s="1"/>
  <c r="O205" i="12" a="1"/>
  <c r="O205" i="12" s="1"/>
  <c r="R132" i="12" a="1"/>
  <c r="R132" i="12" s="1"/>
  <c r="R603" i="12" a="1"/>
  <c r="R603" i="12" s="1"/>
  <c r="J502" i="12" a="1"/>
  <c r="J502" i="12" s="1"/>
  <c r="J416" i="12" a="1"/>
  <c r="J416" i="12" s="1"/>
  <c r="G479" i="12" a="1"/>
  <c r="G479" i="12" s="1"/>
  <c r="O135" i="12" a="1"/>
  <c r="O135" i="12" s="1"/>
  <c r="M108" i="12" a="1"/>
  <c r="M108" i="12" s="1"/>
  <c r="G377" i="12" a="1"/>
  <c r="G377" i="12" s="1"/>
  <c r="K422" i="12" a="1"/>
  <c r="K422" i="12" s="1"/>
  <c r="I138" i="12" a="1"/>
  <c r="I138" i="12" s="1"/>
  <c r="F112" i="12" a="1"/>
  <c r="F112" i="12" s="1"/>
  <c r="U461" i="2" a="1"/>
  <c r="U461" i="2" s="1"/>
  <c r="J283" i="12" a="1"/>
  <c r="J283" i="12" s="1"/>
  <c r="X613" i="12" a="1"/>
  <c r="X613" i="12" s="1"/>
  <c r="P157" i="12" a="1"/>
  <c r="P157" i="12" s="1"/>
  <c r="J117" i="12" a="1"/>
  <c r="J117" i="12" s="1"/>
  <c r="M101" i="12" a="1"/>
  <c r="M101" i="12" s="1"/>
  <c r="N378" i="12" a="1"/>
  <c r="N378" i="12" s="1"/>
  <c r="J317" i="12" a="1"/>
  <c r="J317" i="12" s="1"/>
  <c r="I133" i="12" a="1"/>
  <c r="I133" i="12" s="1"/>
  <c r="Q250" i="12" a="1"/>
  <c r="Q250" i="12" s="1"/>
  <c r="I73" i="12" a="1"/>
  <c r="I73" i="12" s="1"/>
  <c r="P124" i="12" a="1"/>
  <c r="P124" i="12" s="1"/>
  <c r="J87" i="12" a="1"/>
  <c r="J87" i="12" s="1"/>
  <c r="G54" i="12" a="1"/>
  <c r="G54" i="12" s="1"/>
  <c r="T38" i="12" a="1"/>
  <c r="T38" i="12" s="1"/>
  <c r="M147" i="12" a="1"/>
  <c r="M147" i="12" s="1"/>
  <c r="J534" i="12" a="1"/>
  <c r="J534" i="12" s="1"/>
  <c r="P583" i="12" a="1"/>
  <c r="P583" i="12" s="1"/>
  <c r="Q583" i="12" a="1"/>
  <c r="Q583" i="12" s="1"/>
  <c r="F209" i="12" a="1"/>
  <c r="F209" i="12" s="1"/>
  <c r="U436" i="2" a="1"/>
  <c r="U436" i="2" s="1"/>
  <c r="P139" i="12" a="1"/>
  <c r="P139" i="12" s="1"/>
  <c r="N142" i="12" a="1"/>
  <c r="N142" i="12" s="1"/>
  <c r="T388" i="12" a="1"/>
  <c r="T388" i="12" s="1"/>
  <c r="O401" i="12" a="1"/>
  <c r="O401" i="12" s="1"/>
  <c r="S283" i="12" a="1"/>
  <c r="S283" i="12" s="1"/>
  <c r="Q376" i="12" a="1"/>
  <c r="Q376" i="12" s="1"/>
  <c r="N421" i="12" a="1"/>
  <c r="N421" i="12" s="1"/>
  <c r="J293" i="12" a="1"/>
  <c r="J293" i="12" s="1"/>
  <c r="S111" i="12" a="1"/>
  <c r="S111" i="12" s="1"/>
  <c r="K102" i="12" a="1"/>
  <c r="K102" i="12" s="1"/>
  <c r="T266" i="12" a="1"/>
  <c r="T266" i="12" s="1"/>
  <c r="T95" i="12" a="1"/>
  <c r="T95" i="12" s="1"/>
  <c r="T155" i="12" a="1"/>
  <c r="T155" i="12" s="1"/>
  <c r="N308" i="12" a="1"/>
  <c r="N308" i="12" s="1"/>
  <c r="AB624" i="12" a="1"/>
  <c r="AB624" i="12" s="1"/>
  <c r="M356" i="12" a="1"/>
  <c r="M356" i="12" s="1"/>
  <c r="M337" i="12" a="1"/>
  <c r="M337" i="12" s="1"/>
  <c r="O167" i="12" a="1"/>
  <c r="O167" i="12" s="1"/>
  <c r="L414" i="12" a="1"/>
  <c r="L414" i="12" s="1"/>
  <c r="J145" i="12" a="1"/>
  <c r="J145" i="12" s="1"/>
  <c r="L108" i="12" a="1"/>
  <c r="L108" i="12" s="1"/>
  <c r="K159" i="12" a="1"/>
  <c r="K159" i="12" s="1"/>
  <c r="G388" i="12" a="1"/>
  <c r="G388" i="12" s="1"/>
  <c r="Q177" i="12" a="1"/>
  <c r="Q177" i="12" s="1"/>
  <c r="X665" i="12" a="1"/>
  <c r="X665" i="12" s="1"/>
  <c r="M127" i="12" a="1"/>
  <c r="M127" i="12" s="1"/>
  <c r="T285" i="12" a="1"/>
  <c r="T285" i="12" s="1"/>
  <c r="J425" i="12" a="1"/>
  <c r="J425" i="12" s="1"/>
  <c r="G111" i="12" a="1"/>
  <c r="G111" i="12" s="1"/>
  <c r="O126" i="12" a="1"/>
  <c r="O126" i="12" s="1"/>
  <c r="M449" i="12" a="1"/>
  <c r="M449" i="12" s="1"/>
  <c r="R412" i="12" a="1"/>
  <c r="R412" i="12" s="1"/>
  <c r="S442" i="12" a="1"/>
  <c r="S442" i="12" s="1"/>
  <c r="F469" i="12" a="1"/>
  <c r="F469" i="12" s="1"/>
  <c r="U293" i="2" a="1"/>
  <c r="U293" i="2" s="1"/>
  <c r="K108" i="12" a="1"/>
  <c r="K108" i="12" s="1"/>
  <c r="N354" i="12" a="1"/>
  <c r="N354" i="12" s="1"/>
  <c r="N115" i="12" a="1"/>
  <c r="N115" i="12" s="1"/>
  <c r="R299" i="12" a="1"/>
  <c r="R299" i="12" s="1"/>
  <c r="F183" i="12" a="1"/>
  <c r="F183" i="12" s="1"/>
  <c r="U386" i="2" a="1"/>
  <c r="U386" i="2" s="1"/>
  <c r="J127" i="12" a="1"/>
  <c r="J127" i="12" s="1"/>
  <c r="F312" i="12" a="1"/>
  <c r="F312" i="12" s="1"/>
  <c r="U118" i="2" a="1"/>
  <c r="U118" i="2" s="1"/>
  <c r="R602" i="12" a="1"/>
  <c r="R602" i="12" s="1"/>
  <c r="G250" i="12" a="1"/>
  <c r="G250" i="12" s="1"/>
  <c r="L193" i="12" a="1"/>
  <c r="L193" i="12" s="1"/>
  <c r="J454" i="12" a="1"/>
  <c r="J454" i="12" s="1"/>
  <c r="L454" i="12" a="1"/>
  <c r="L454" i="12" s="1"/>
  <c r="X651" i="12" a="1"/>
  <c r="X651" i="12" s="1"/>
  <c r="R156" i="12" a="1"/>
  <c r="R156" i="12" s="1"/>
  <c r="M139" i="12" a="1"/>
  <c r="M139" i="12" s="1"/>
  <c r="T321" i="12" a="1"/>
  <c r="T321" i="12" s="1"/>
  <c r="L431" i="12" a="1"/>
  <c r="L431" i="12" s="1"/>
  <c r="R607" i="12" a="1"/>
  <c r="R607" i="12" s="1"/>
  <c r="Q299" i="12" a="1"/>
  <c r="Q299" i="12" s="1"/>
  <c r="O183" i="12" a="1"/>
  <c r="O183" i="12" s="1"/>
  <c r="K378" i="12" a="1"/>
  <c r="K378" i="12" s="1"/>
  <c r="I128" i="12" a="1"/>
  <c r="I128" i="12" s="1"/>
  <c r="Q314" i="12" a="1"/>
  <c r="Q314" i="12" s="1"/>
  <c r="I604" i="12" a="1"/>
  <c r="I604" i="12" s="1"/>
  <c r="R209" i="12" a="1"/>
  <c r="R209" i="12" s="1"/>
  <c r="F416" i="12" a="1"/>
  <c r="F416" i="12" s="1"/>
  <c r="U218" i="2" a="1"/>
  <c r="U218" i="2" s="1"/>
  <c r="F458" i="12" a="1"/>
  <c r="F458" i="12" s="1"/>
  <c r="U270" i="2" a="1"/>
  <c r="U270" i="2" s="1"/>
  <c r="I372" i="12" a="1"/>
  <c r="I372" i="12" s="1"/>
  <c r="J346" i="12" a="1"/>
  <c r="J346" i="12" s="1"/>
  <c r="K332" i="12" a="1"/>
  <c r="K332" i="12" s="1"/>
  <c r="Q325" i="12" a="1"/>
  <c r="Q325" i="12" s="1"/>
  <c r="G151" i="12" a="1"/>
  <c r="G151" i="12" s="1"/>
  <c r="P150" i="12" a="1"/>
  <c r="P150" i="12" s="1"/>
  <c r="S107" i="12" a="1"/>
  <c r="S107" i="12" s="1"/>
  <c r="U260" i="2" a="1"/>
  <c r="U260" i="2" s="1"/>
  <c r="N183" i="12" a="1"/>
  <c r="N183" i="12" s="1"/>
  <c r="R222" i="12" a="1"/>
  <c r="R222" i="12" s="1"/>
  <c r="S74" i="12" a="1"/>
  <c r="S74" i="12" s="1"/>
  <c r="Q76" i="12" a="1"/>
  <c r="Q76" i="12" s="1"/>
  <c r="L216" i="12" a="1"/>
  <c r="L216" i="12" s="1"/>
  <c r="N232" i="12" a="1"/>
  <c r="N232" i="12" s="1"/>
  <c r="G168" i="12" a="1"/>
  <c r="G168" i="12" s="1"/>
  <c r="J168" i="12" a="1"/>
  <c r="J168" i="12" s="1"/>
  <c r="K186" i="12" a="1"/>
  <c r="K186" i="12" s="1"/>
  <c r="X636" i="12" a="1"/>
  <c r="X636" i="12" s="1"/>
  <c r="P229" i="12" a="1"/>
  <c r="P229" i="12" s="1"/>
  <c r="I374" i="12" a="1"/>
  <c r="I374" i="12" s="1"/>
  <c r="O164" i="12" a="1"/>
  <c r="O164" i="12" s="1"/>
  <c r="K123" i="12" a="1"/>
  <c r="K123" i="12" s="1"/>
  <c r="G432" i="12" a="1"/>
  <c r="G432" i="12" s="1"/>
  <c r="K153" i="12" a="1"/>
  <c r="K153" i="12" s="1"/>
  <c r="N138" i="12" a="1"/>
  <c r="N138" i="12" s="1"/>
  <c r="K165" i="12" a="1"/>
  <c r="K165" i="12" s="1"/>
  <c r="J388" i="12" a="1"/>
  <c r="J388" i="12" s="1"/>
  <c r="M177" i="12" a="1"/>
  <c r="M177" i="12" s="1"/>
  <c r="N368" i="12" a="1"/>
  <c r="N368" i="12" s="1"/>
  <c r="Q117" i="12" a="1"/>
  <c r="Q117" i="12" s="1"/>
  <c r="M183" i="12" a="1"/>
  <c r="M183" i="12" s="1"/>
  <c r="F140" i="12" a="1"/>
  <c r="F140" i="12" s="1"/>
  <c r="U431" i="2" a="1"/>
  <c r="U431" i="2" s="1"/>
  <c r="L161" i="12" a="1"/>
  <c r="L161" i="12" s="1"/>
  <c r="P297" i="12" a="1"/>
  <c r="P297" i="12" s="1"/>
  <c r="I602" i="12" a="1"/>
  <c r="I602" i="12" s="1"/>
  <c r="J99" i="12" a="1"/>
  <c r="J99" i="12" s="1"/>
  <c r="T97" i="12" a="1"/>
  <c r="T97" i="12" s="1"/>
  <c r="Q203" i="12" a="1"/>
  <c r="Q203" i="12" s="1"/>
  <c r="G462" i="12" a="1"/>
  <c r="G462" i="12" s="1"/>
  <c r="O462" i="12" a="1"/>
  <c r="O462" i="12" s="1"/>
  <c r="P403" i="12" a="1"/>
  <c r="P403" i="12" s="1"/>
  <c r="Q403" i="12" a="1"/>
  <c r="Q403" i="12" s="1"/>
  <c r="L141" i="12" a="1"/>
  <c r="L141" i="12" s="1"/>
  <c r="O162" i="12" a="1"/>
  <c r="O162" i="12" s="1"/>
  <c r="F393" i="12" a="1"/>
  <c r="F393" i="12" s="1"/>
  <c r="U193" i="2" a="1"/>
  <c r="U193" i="2" s="1"/>
  <c r="O427" i="12" a="1"/>
  <c r="O427" i="12" s="1"/>
  <c r="G332" i="12" a="1"/>
  <c r="G332" i="12" s="1"/>
  <c r="L119" i="12" a="1"/>
  <c r="L119" i="12" s="1"/>
  <c r="F250" i="12" a="1"/>
  <c r="F250" i="12" s="1"/>
  <c r="U152" i="2" a="1"/>
  <c r="U152" i="2" s="1"/>
  <c r="S121" i="12" a="1"/>
  <c r="S121" i="12" s="1"/>
  <c r="T72" i="12" a="1"/>
  <c r="T72" i="12" s="1"/>
  <c r="N193" i="12" a="1"/>
  <c r="N193" i="12" s="1"/>
  <c r="K235" i="12" a="1"/>
  <c r="K235" i="12" s="1"/>
  <c r="G170" i="12" a="1"/>
  <c r="G170" i="12" s="1"/>
  <c r="O439" i="12" a="1"/>
  <c r="O439" i="12" s="1"/>
  <c r="F152" i="12" a="1"/>
  <c r="F152" i="12" s="1"/>
  <c r="U519" i="2" a="1"/>
  <c r="U519" i="2" s="1"/>
  <c r="I458" i="12" a="1"/>
  <c r="I458" i="12" s="1"/>
  <c r="O366" i="12" a="1"/>
  <c r="O366" i="12" s="1"/>
  <c r="R370" i="12" a="1"/>
  <c r="R370" i="12" s="1"/>
  <c r="T431" i="12" a="1"/>
  <c r="T431" i="12" s="1"/>
  <c r="G365" i="12" a="1"/>
  <c r="G365" i="12" s="1"/>
  <c r="K150" i="12" a="1"/>
  <c r="K150" i="12" s="1"/>
  <c r="N348" i="12" a="1"/>
  <c r="N348" i="12" s="1"/>
  <c r="M335" i="12" a="1"/>
  <c r="M335" i="12" s="1"/>
  <c r="L317" i="12" a="1"/>
  <c r="L317" i="12" s="1"/>
  <c r="P602" i="12" a="1"/>
  <c r="P602" i="12" s="1"/>
  <c r="P314" i="12" a="1"/>
  <c r="P314" i="12" s="1"/>
  <c r="L97" i="12" a="1"/>
  <c r="L97" i="12" s="1"/>
  <c r="S73" i="12" a="1"/>
  <c r="S73" i="12" s="1"/>
  <c r="Q540" i="12" a="1"/>
  <c r="Q540" i="12" s="1"/>
  <c r="P205" i="12" a="1"/>
  <c r="P205" i="12" s="1"/>
  <c r="K528" i="12" a="1"/>
  <c r="K528" i="12" s="1"/>
  <c r="AA615" i="12" a="1"/>
  <c r="AA615" i="12" s="1"/>
  <c r="T414" i="12" a="1"/>
  <c r="T414" i="12" s="1"/>
  <c r="G363" i="12" a="1"/>
  <c r="G363" i="12" s="1"/>
  <c r="G490" i="12" a="1"/>
  <c r="G490" i="12" s="1"/>
  <c r="M404" i="12" a="1"/>
  <c r="M404" i="12" s="1"/>
  <c r="Z613" i="12" a="1"/>
  <c r="Z613" i="12" s="1"/>
  <c r="T293" i="12" a="1"/>
  <c r="T293" i="12" s="1"/>
  <c r="S161" i="12" a="1"/>
  <c r="S161" i="12" s="1"/>
  <c r="G255" i="12" a="1"/>
  <c r="G255" i="12" s="1"/>
  <c r="J97" i="12" a="1"/>
  <c r="J97" i="12" s="1"/>
  <c r="R253" i="12" a="1"/>
  <c r="R253" i="12" s="1"/>
  <c r="I203" i="12" a="1"/>
  <c r="I203" i="12" s="1"/>
  <c r="M202" i="12" a="1"/>
  <c r="M202" i="12" s="1"/>
  <c r="K431" i="12" a="1"/>
  <c r="K431" i="12" s="1"/>
  <c r="I125" i="12" a="1"/>
  <c r="I125" i="12" s="1"/>
  <c r="K119" i="12" a="1"/>
  <c r="K119" i="12" s="1"/>
  <c r="F266" i="12" a="1"/>
  <c r="F266" i="12" s="1"/>
  <c r="U161" i="2" a="1"/>
  <c r="U161" i="2" s="1"/>
  <c r="S207" i="12" a="1"/>
  <c r="S207" i="12" s="1"/>
  <c r="Q305" i="12" a="1"/>
  <c r="Q305" i="12" s="1"/>
  <c r="I14" i="12" a="1"/>
  <c r="I14" i="12" s="1"/>
  <c r="P30" i="12" a="1"/>
  <c r="P30" i="12" s="1"/>
  <c r="O110" i="12" a="1"/>
  <c r="O110" i="12" s="1"/>
  <c r="O109" i="12" a="1"/>
  <c r="O109" i="12" s="1"/>
  <c r="G113" i="12" a="1"/>
  <c r="G113" i="12" s="1"/>
  <c r="M8" i="12" a="1"/>
  <c r="M8" i="12" s="1"/>
  <c r="L85" i="12" a="1"/>
  <c r="L85" i="12" s="1"/>
  <c r="N32" i="12" a="1"/>
  <c r="N32" i="12" s="1"/>
  <c r="L25" i="12" a="1"/>
  <c r="L25" i="12" s="1"/>
  <c r="F43" i="12" a="1"/>
  <c r="F43" i="12" s="1"/>
  <c r="U88" i="2" a="1"/>
  <c r="U88" i="2" s="1"/>
  <c r="L37" i="12" a="1"/>
  <c r="L37" i="12" s="1"/>
  <c r="AB641" i="12" a="1"/>
  <c r="AB641" i="12" s="1"/>
  <c r="S18" i="12" a="1"/>
  <c r="S18" i="12" s="1"/>
  <c r="P27" i="12" a="1"/>
  <c r="P27" i="12" s="1"/>
  <c r="G86" i="12" a="1"/>
  <c r="G86" i="12" s="1"/>
  <c r="N109" i="12" a="1"/>
  <c r="N109" i="12" s="1"/>
  <c r="J47" i="12" a="1"/>
  <c r="J47" i="12" s="1"/>
  <c r="N40" i="12" a="1"/>
  <c r="N40" i="12" s="1"/>
  <c r="N44" i="12" a="1"/>
  <c r="N44" i="12" s="1"/>
  <c r="K7" i="12" a="1"/>
  <c r="K7" i="12" s="1"/>
  <c r="L130" i="12" a="1"/>
  <c r="L130" i="12" s="1"/>
  <c r="M191" i="12" a="1"/>
  <c r="M191" i="12" s="1"/>
  <c r="P5" i="12" a="1"/>
  <c r="P5" i="12" s="1"/>
  <c r="T152" i="12" a="1"/>
  <c r="T152" i="12" s="1"/>
  <c r="P119" i="12" a="1"/>
  <c r="P119" i="12" s="1"/>
  <c r="G143" i="12" a="1"/>
  <c r="G143" i="12" s="1"/>
  <c r="L143" i="12" a="1"/>
  <c r="L143" i="12" s="1"/>
  <c r="G72" i="12" a="1"/>
  <c r="G72" i="12" s="1"/>
  <c r="AA635" i="12" a="1"/>
  <c r="AA635" i="12" s="1"/>
  <c r="Q256" i="12" a="1"/>
  <c r="Q256" i="12" s="1"/>
  <c r="S95" i="12" a="1"/>
  <c r="S95" i="12" s="1"/>
  <c r="I166" i="12" a="1"/>
  <c r="I166" i="12" s="1"/>
  <c r="N2" i="12" a="1"/>
  <c r="N2" i="12" s="1"/>
  <c r="S2" i="3" a="1"/>
  <c r="S2" i="3" s="1"/>
  <c r="M29" i="12" a="1"/>
  <c r="M29" i="12" s="1"/>
  <c r="I56" i="12" a="1"/>
  <c r="I56" i="12" s="1"/>
  <c r="P167" i="12" a="1"/>
  <c r="P167" i="12" s="1"/>
  <c r="P496" i="12" a="1"/>
  <c r="P496" i="12" s="1"/>
  <c r="T423" i="12" a="1"/>
  <c r="T423" i="12" s="1"/>
  <c r="G423" i="12" a="1"/>
  <c r="G423" i="12" s="1"/>
  <c r="Z635" i="12" a="1"/>
  <c r="Z635" i="12" s="1"/>
  <c r="T104" i="12" a="1"/>
  <c r="T104" i="12" s="1"/>
  <c r="T212" i="12" a="1"/>
  <c r="T212" i="12" s="1"/>
  <c r="F207" i="12" a="1"/>
  <c r="F207" i="12" s="1"/>
  <c r="U98" i="2" a="1"/>
  <c r="U98" i="2" s="1"/>
  <c r="L6" i="12" a="1"/>
  <c r="L6" i="12" s="1"/>
  <c r="J27" i="12" a="1"/>
  <c r="J27" i="12" s="1"/>
  <c r="I285" i="12" a="1"/>
  <c r="I285" i="12" s="1"/>
  <c r="N333" i="12" a="1"/>
  <c r="N333" i="12" s="1"/>
  <c r="J121" i="12" a="1"/>
  <c r="J121" i="12" s="1"/>
  <c r="R28" i="12" a="1"/>
  <c r="R28" i="12" s="1"/>
  <c r="R64" i="12" a="1"/>
  <c r="R64" i="12" s="1"/>
  <c r="O222" i="12" a="1"/>
  <c r="O222" i="12" s="1"/>
  <c r="R275" i="12" a="1"/>
  <c r="R275" i="12" s="1"/>
  <c r="P202" i="12" a="1"/>
  <c r="P202" i="12" s="1"/>
  <c r="P148" i="12" a="1"/>
  <c r="P148" i="12" s="1"/>
  <c r="F30" i="12" a="1"/>
  <c r="F30" i="12" s="1"/>
  <c r="U56" i="2" a="1"/>
  <c r="U56" i="2" s="1"/>
  <c r="M130" i="12" a="1"/>
  <c r="M130" i="12" s="1"/>
  <c r="Q5" i="12" a="1"/>
  <c r="Q5" i="12" s="1"/>
  <c r="J492" i="12" a="1"/>
  <c r="J492" i="12" s="1"/>
  <c r="N124" i="12" a="1"/>
  <c r="N124" i="12" s="1"/>
  <c r="R58" i="12" a="1"/>
  <c r="R58" i="12" s="1"/>
  <c r="L46" i="12" a="1"/>
  <c r="L46" i="12" s="1"/>
  <c r="Z623" i="12" a="1"/>
  <c r="Z623" i="12" s="1"/>
  <c r="P74" i="12" a="1"/>
  <c r="P74" i="12" s="1"/>
  <c r="J8" i="12" a="1"/>
  <c r="J8" i="12" s="1"/>
  <c r="P7" i="12" a="1"/>
  <c r="P7" i="12" s="1"/>
  <c r="N4" i="12" a="1"/>
  <c r="N4" i="12" s="1"/>
  <c r="O88" i="12" a="1"/>
  <c r="O88" i="12" s="1"/>
  <c r="L88" i="12" a="1"/>
  <c r="L88" i="12" s="1"/>
  <c r="P292" i="12" a="1"/>
  <c r="P292" i="12" s="1"/>
  <c r="N146" i="12" a="1"/>
  <c r="N146" i="12" s="1"/>
  <c r="P224" i="12" a="1"/>
  <c r="P224" i="12" s="1"/>
  <c r="J61" i="12" a="1"/>
  <c r="J61" i="12" s="1"/>
  <c r="P66" i="12" a="1"/>
  <c r="P66" i="12" s="1"/>
  <c r="N148" i="12" a="1"/>
  <c r="N148" i="12" s="1"/>
  <c r="Q52" i="12" a="1"/>
  <c r="Q52" i="12" s="1"/>
  <c r="L157" i="12" a="1"/>
  <c r="L157" i="12" s="1"/>
  <c r="F67" i="12" a="1"/>
  <c r="F67" i="12" s="1"/>
  <c r="L84" i="12" a="1"/>
  <c r="L84" i="12" s="1"/>
  <c r="N84" i="12" a="1"/>
  <c r="N84" i="12" s="1"/>
  <c r="N64" i="12" a="1"/>
  <c r="N64" i="12" s="1"/>
  <c r="J212" i="12" a="1"/>
  <c r="J212" i="12" s="1"/>
  <c r="Q275" i="12" a="1"/>
  <c r="Q275" i="12" s="1"/>
  <c r="S69" i="12" a="1"/>
  <c r="S69" i="12" s="1"/>
  <c r="P82" i="12" a="1"/>
  <c r="P82" i="12" s="1"/>
  <c r="R55" i="12" a="1"/>
  <c r="R55" i="12" s="1"/>
  <c r="L39" i="12" a="1"/>
  <c r="L39" i="12" s="1"/>
  <c r="S9" i="12" a="1"/>
  <c r="S9" i="12" s="1"/>
  <c r="K142" i="12" a="1"/>
  <c r="K142" i="12" s="1"/>
  <c r="N379" i="12" a="1"/>
  <c r="N379" i="12" s="1"/>
  <c r="AB613" i="12" a="1"/>
  <c r="AB613" i="12" s="1"/>
  <c r="I330" i="12" a="1"/>
  <c r="I330" i="12" s="1"/>
  <c r="J330" i="12" a="1"/>
  <c r="J330" i="12" s="1"/>
  <c r="O81" i="12" a="1"/>
  <c r="O81" i="12" s="1"/>
  <c r="T81" i="12" a="1"/>
  <c r="T81" i="12" s="1"/>
  <c r="I382" i="12" a="1"/>
  <c r="I382" i="12" s="1"/>
  <c r="N58" i="12" a="1"/>
  <c r="N58" i="12" s="1"/>
  <c r="N77" i="12" a="1"/>
  <c r="N77" i="12" s="1"/>
  <c r="L74" i="12" a="1"/>
  <c r="L74" i="12" s="1"/>
  <c r="AB609" i="12" a="1"/>
  <c r="AB609" i="12" s="1"/>
  <c r="S94" i="12" a="1"/>
  <c r="S94" i="12" s="1"/>
  <c r="T90" i="12" a="1"/>
  <c r="T90" i="12" s="1"/>
  <c r="S105" i="12" a="1"/>
  <c r="S105" i="12" s="1"/>
  <c r="Q85" i="12" a="1"/>
  <c r="Q85" i="12" s="1"/>
  <c r="M78" i="12" a="1"/>
  <c r="M78" i="12" s="1"/>
  <c r="G305" i="12" a="1"/>
  <c r="G305" i="12" s="1"/>
  <c r="S178" i="12" a="1"/>
  <c r="S178" i="12" s="1"/>
  <c r="P25" i="12" a="1"/>
  <c r="P25" i="12" s="1"/>
  <c r="K166" i="12" a="1"/>
  <c r="K166" i="12" s="1"/>
  <c r="M144" i="12" a="1"/>
  <c r="M144" i="12" s="1"/>
  <c r="Q29" i="12" a="1"/>
  <c r="Q29" i="12" s="1"/>
  <c r="G191" i="12" a="1"/>
  <c r="G191" i="12" s="1"/>
  <c r="AB669" i="12" a="1"/>
  <c r="AB669" i="12" s="1"/>
  <c r="N25" i="3" a="1"/>
  <c r="N25" i="3" s="1"/>
  <c r="N28" i="3" s="1" a="1"/>
  <c r="N28" i="3" s="1"/>
  <c r="M26" i="12" a="1"/>
  <c r="M26" i="12" s="1"/>
  <c r="R14" i="3" a="1"/>
  <c r="R14" i="3" s="1"/>
  <c r="AB643" i="12" a="1"/>
  <c r="AB643" i="12" s="1"/>
  <c r="I6" i="12" a="1"/>
  <c r="I6" i="12" s="1"/>
  <c r="X621" i="12" a="1"/>
  <c r="X621" i="12" s="1"/>
  <c r="J160" i="12" a="1"/>
  <c r="J160" i="12" s="1"/>
  <c r="L117" i="12" a="1"/>
  <c r="L117" i="12" s="1"/>
  <c r="K279" i="12" a="1"/>
  <c r="K279" i="12" s="1"/>
  <c r="N279" i="12" a="1"/>
  <c r="N279" i="12" s="1"/>
  <c r="M70" i="12" a="1"/>
  <c r="M70" i="12" s="1"/>
  <c r="Q93" i="12" a="1"/>
  <c r="Q93" i="12" s="1"/>
  <c r="I275" i="12" a="1"/>
  <c r="I275" i="12" s="1"/>
  <c r="M201" i="12" a="1"/>
  <c r="M201" i="12" s="1"/>
  <c r="T202" i="12" a="1"/>
  <c r="T202" i="12" s="1"/>
  <c r="O36" i="12" a="1"/>
  <c r="O36" i="12" s="1"/>
  <c r="S15" i="12" a="1"/>
  <c r="S15" i="12" s="1"/>
  <c r="N20" i="12" a="1"/>
  <c r="N20" i="12" s="1"/>
  <c r="M6" i="12" a="1"/>
  <c r="M6" i="12" s="1"/>
  <c r="S82" i="12" a="1"/>
  <c r="S82" i="12" s="1"/>
  <c r="S35" i="12" a="1"/>
  <c r="S35" i="12" s="1"/>
  <c r="S144" i="12" a="1"/>
  <c r="S144" i="12" s="1"/>
  <c r="J26" i="12" a="1"/>
  <c r="J26" i="12" s="1"/>
  <c r="O14" i="3" a="1"/>
  <c r="O14" i="3" s="1"/>
  <c r="R166" i="12" a="1"/>
  <c r="R166" i="12" s="1"/>
  <c r="M103" i="12" a="1"/>
  <c r="M103" i="12" s="1"/>
  <c r="T16" i="12" a="1"/>
  <c r="T16" i="12" s="1"/>
  <c r="S222" i="12" a="1"/>
  <c r="S222" i="12" s="1"/>
  <c r="J130" i="12" a="1"/>
  <c r="J130" i="12" s="1"/>
  <c r="T10" i="12" a="1"/>
  <c r="T10" i="12" s="1"/>
  <c r="N10" i="12" a="1"/>
  <c r="N10" i="12" s="1"/>
  <c r="O207" i="12" a="1"/>
  <c r="O207" i="12" s="1"/>
  <c r="T41" i="12" a="1"/>
  <c r="T41" i="12" s="1"/>
  <c r="F41" i="12" a="1"/>
  <c r="F41" i="12" s="1"/>
  <c r="U122" i="2" a="1"/>
  <c r="U122" i="2" s="1"/>
  <c r="L116" i="12" a="1"/>
  <c r="L116" i="12" s="1"/>
  <c r="F45" i="12" a="1"/>
  <c r="F45" i="12" s="1"/>
  <c r="U13" i="2" a="1"/>
  <c r="U13" i="2" s="1"/>
  <c r="T31" i="12" a="1"/>
  <c r="T31" i="12" s="1"/>
  <c r="P129" i="12" a="1"/>
  <c r="P129" i="12" s="1"/>
  <c r="S129" i="12" a="1"/>
  <c r="S129" i="12" s="1"/>
  <c r="L184" i="12" a="1"/>
  <c r="L184" i="12" s="1"/>
  <c r="I59" i="12" a="1"/>
  <c r="I59" i="12" s="1"/>
  <c r="M59" i="12" a="1"/>
  <c r="M59" i="12" s="1"/>
  <c r="L118" i="12" a="1"/>
  <c r="L118" i="12" s="1"/>
  <c r="P118" i="12" a="1"/>
  <c r="P118" i="12" s="1"/>
  <c r="S22" i="12" a="1"/>
  <c r="S22" i="12" s="1"/>
  <c r="L42" i="12" a="1"/>
  <c r="L42" i="12" s="1"/>
  <c r="Q80" i="12" a="1"/>
  <c r="Q80" i="12" s="1"/>
  <c r="T80" i="12" a="1"/>
  <c r="T80" i="12" s="1"/>
  <c r="O382" i="12" a="1"/>
  <c r="O382" i="12" s="1"/>
  <c r="G62" i="12" a="1"/>
  <c r="G62" i="12" s="1"/>
  <c r="Q62" i="12" a="1"/>
  <c r="Q62" i="12" s="1"/>
  <c r="J21" i="12" a="1"/>
  <c r="J21" i="12" s="1"/>
  <c r="P130" i="12" a="1"/>
  <c r="P130" i="12" s="1"/>
  <c r="AL17" i="2" a="1"/>
  <c r="AL17" i="2" s="1"/>
  <c r="P34" i="12" a="1"/>
  <c r="P34" i="12" s="1"/>
  <c r="J203" i="12" a="1"/>
  <c r="J203" i="12" s="1"/>
  <c r="Q57" i="12" a="1"/>
  <c r="Q57" i="12" s="1"/>
  <c r="K57" i="12" a="1"/>
  <c r="K57" i="12" s="1"/>
  <c r="I182" i="12" a="1"/>
  <c r="I182" i="12" s="1"/>
  <c r="L29" i="12" a="1"/>
  <c r="L29" i="12" s="1"/>
  <c r="I13" i="12" a="1"/>
  <c r="I13" i="12" s="1"/>
  <c r="X669" i="12" a="1"/>
  <c r="X669" i="12" s="1"/>
  <c r="S174" i="12" a="1"/>
  <c r="S174" i="12" s="1"/>
  <c r="O53" i="12" a="1"/>
  <c r="O53" i="12" s="1"/>
  <c r="N37" i="12" a="1"/>
  <c r="N37" i="12" s="1"/>
  <c r="F49" i="12" a="1"/>
  <c r="F49" i="12" s="1"/>
  <c r="U112" i="2" a="1"/>
  <c r="U112" i="2" s="1"/>
  <c r="F63" i="12" a="1"/>
  <c r="F63" i="12" s="1"/>
  <c r="U8" i="2" a="1"/>
  <c r="U8" i="2" s="1"/>
  <c r="R11" i="12" a="1"/>
  <c r="R11" i="12" s="1"/>
  <c r="Q11" i="12" a="1"/>
  <c r="Q11" i="12" s="1"/>
  <c r="J51" i="12" a="1"/>
  <c r="J51" i="12" s="1"/>
  <c r="I200" i="12" a="1"/>
  <c r="I200" i="12" s="1"/>
  <c r="K40" i="12" a="1"/>
  <c r="K40" i="12" s="1"/>
  <c r="O50" i="12" a="1"/>
  <c r="O50" i="12" s="1"/>
  <c r="S33" i="12" a="1"/>
  <c r="S33" i="12" s="1"/>
  <c r="G33" i="12" a="1"/>
  <c r="G33" i="12" s="1"/>
  <c r="L32" i="12" a="1"/>
  <c r="L32" i="12" s="1"/>
  <c r="L189" i="12" a="1"/>
  <c r="L189" i="12" s="1"/>
  <c r="S189" i="12" a="1"/>
  <c r="S189" i="12" s="1"/>
  <c r="P47" i="12" a="1"/>
  <c r="P47" i="12" s="1"/>
  <c r="I32" i="12" a="1"/>
  <c r="I32" i="12" s="1"/>
  <c r="F38" i="12" a="1"/>
  <c r="F38" i="12" s="1"/>
  <c r="Q12" i="12" a="1"/>
  <c r="Q12" i="12" s="1"/>
  <c r="Q248" i="12" a="1"/>
  <c r="Q248" i="12" s="1"/>
  <c r="L519" i="12" a="1"/>
  <c r="L519" i="12" s="1"/>
  <c r="J457" i="12" a="1"/>
  <c r="J457" i="12" s="1"/>
  <c r="G474" i="12" a="1"/>
  <c r="G474" i="12" s="1"/>
  <c r="AB656" i="12" a="1"/>
  <c r="AB656" i="12" s="1"/>
  <c r="M451" i="12" a="1"/>
  <c r="M451" i="12" s="1"/>
  <c r="J221" i="12" a="1"/>
  <c r="J221" i="12" s="1"/>
  <c r="N490" i="12" a="1"/>
  <c r="N490" i="12" s="1"/>
  <c r="Q272" i="12" a="1"/>
  <c r="Q272" i="12" s="1"/>
  <c r="N463" i="12" a="1"/>
  <c r="N463" i="12" s="1"/>
  <c r="J218" i="12" a="1"/>
  <c r="J218" i="12" s="1"/>
  <c r="P257" i="12" a="1"/>
  <c r="P257" i="12" s="1"/>
  <c r="L260" i="12" a="1"/>
  <c r="L260" i="12" s="1"/>
  <c r="G561" i="12" a="1"/>
  <c r="G561" i="12" s="1"/>
  <c r="P208" i="12" a="1"/>
  <c r="P208" i="12" s="1"/>
  <c r="AA652" i="12" a="1"/>
  <c r="AA652" i="12" s="1"/>
  <c r="J347" i="12" a="1"/>
  <c r="J347" i="12" s="1"/>
  <c r="O311" i="12" a="1"/>
  <c r="O311" i="12" s="1"/>
  <c r="F233" i="12" a="1"/>
  <c r="F233" i="12" s="1"/>
  <c r="U469" i="2" a="1"/>
  <c r="U469" i="2" s="1"/>
  <c r="I234" i="12" a="1"/>
  <c r="I234" i="12" s="1"/>
  <c r="M581" i="12" a="1"/>
  <c r="M581" i="12" s="1"/>
  <c r="T537" i="12" a="1"/>
  <c r="T537" i="12" s="1"/>
  <c r="K510" i="12" a="1"/>
  <c r="K510" i="12" s="1"/>
  <c r="Q474" i="12" a="1"/>
  <c r="Q474" i="12" s="1"/>
  <c r="I495" i="12" a="1"/>
  <c r="I495" i="12" s="1"/>
  <c r="J551" i="12" a="1"/>
  <c r="J551" i="12" s="1"/>
  <c r="L509" i="12" a="1"/>
  <c r="L509" i="12" s="1"/>
  <c r="P408" i="12" a="1"/>
  <c r="P408" i="12" s="1"/>
  <c r="L136" i="12" a="1"/>
  <c r="L136" i="12" s="1"/>
  <c r="R188" i="12" a="1"/>
  <c r="R188" i="12" s="1"/>
  <c r="F154" i="12" a="1"/>
  <c r="F154" i="12" s="1"/>
  <c r="U241" i="2" a="1"/>
  <c r="U241" i="2" s="1"/>
  <c r="P132" i="12" a="1"/>
  <c r="P132" i="12" s="1"/>
  <c r="Q276" i="12" a="1"/>
  <c r="Q276" i="12" s="1"/>
  <c r="AB662" i="12" a="1"/>
  <c r="AB662" i="12" s="1"/>
  <c r="G220" i="12" a="1"/>
  <c r="G220" i="12" s="1"/>
  <c r="M527" i="12" a="1"/>
  <c r="M527" i="12" s="1"/>
  <c r="T244" i="12" a="1"/>
  <c r="T244" i="12" s="1"/>
  <c r="L465" i="12" a="1"/>
  <c r="L465" i="12" s="1"/>
  <c r="M415" i="12" a="1"/>
  <c r="M415" i="12" s="1"/>
  <c r="S504" i="12" a="1"/>
  <c r="S504" i="12" s="1"/>
  <c r="I500" i="12" a="1"/>
  <c r="I500" i="12" s="1"/>
  <c r="M494" i="12" a="1"/>
  <c r="M494" i="12" s="1"/>
  <c r="S179" i="12" a="1"/>
  <c r="S179" i="12" s="1"/>
  <c r="P163" i="12" a="1"/>
  <c r="P163" i="12" s="1"/>
  <c r="K493" i="12" a="1"/>
  <c r="K493" i="12" s="1"/>
  <c r="K397" i="12" a="1"/>
  <c r="K397" i="12" s="1"/>
  <c r="O194" i="12" a="1"/>
  <c r="O194" i="12" s="1"/>
  <c r="K263" i="12" a="1"/>
  <c r="K263" i="12" s="1"/>
  <c r="G604" i="12" a="1"/>
  <c r="G604" i="12" s="1"/>
  <c r="N588" i="12" a="1"/>
  <c r="N588" i="12" s="1"/>
  <c r="F547" i="12" a="1"/>
  <c r="F547" i="12" s="1"/>
  <c r="U420" i="2" a="1"/>
  <c r="U420" i="2" s="1"/>
  <c r="F562" i="12" a="1"/>
  <c r="F562" i="12" s="1"/>
  <c r="K407" i="12" a="1"/>
  <c r="K407" i="12" s="1"/>
  <c r="R193" i="12" a="1"/>
  <c r="R193" i="12" s="1"/>
  <c r="O408" i="12" a="1"/>
  <c r="O408" i="12" s="1"/>
  <c r="I586" i="12" a="1"/>
  <c r="I586" i="12" s="1"/>
  <c r="T188" i="12" a="1"/>
  <c r="T188" i="12" s="1"/>
  <c r="M176" i="12" a="1"/>
  <c r="M176" i="12" s="1"/>
  <c r="O606" i="12" a="1"/>
  <c r="O606" i="12" s="1"/>
  <c r="T584" i="12" a="1"/>
  <c r="T584" i="12" s="1"/>
  <c r="G541" i="12" a="1"/>
  <c r="G541" i="12" s="1"/>
  <c r="P508" i="12" a="1"/>
  <c r="P508" i="12" s="1"/>
  <c r="L345" i="12" a="1"/>
  <c r="L345" i="12" s="1"/>
  <c r="R559" i="12" a="1"/>
  <c r="R559" i="12" s="1"/>
  <c r="O585" i="12" a="1"/>
  <c r="O585" i="12" s="1"/>
  <c r="K210" i="12" a="1"/>
  <c r="K210" i="12" s="1"/>
  <c r="P515" i="12" a="1"/>
  <c r="P515" i="12" s="1"/>
  <c r="N515" i="12" a="1"/>
  <c r="N515" i="12" s="1"/>
  <c r="R426" i="12" a="1"/>
  <c r="R426" i="12" s="1"/>
  <c r="K230" i="12" a="1"/>
  <c r="K230" i="12" s="1"/>
  <c r="K227" i="12" a="1"/>
  <c r="K227" i="12" s="1"/>
  <c r="S147" i="12" a="1"/>
  <c r="S147" i="12" s="1"/>
  <c r="K190" i="12" a="1"/>
  <c r="K190" i="12" s="1"/>
  <c r="O199" i="12" a="1"/>
  <c r="O199" i="12" s="1"/>
  <c r="G497" i="12" a="1"/>
  <c r="G497" i="12" s="1"/>
  <c r="P194" i="12" a="1"/>
  <c r="P194" i="12" s="1"/>
  <c r="N442" i="12" a="1"/>
  <c r="N442" i="12" s="1"/>
  <c r="N383" i="12" a="1"/>
  <c r="N383" i="12" s="1"/>
  <c r="N511" i="12" a="1"/>
  <c r="N511" i="12" s="1"/>
  <c r="I564" i="12" a="1"/>
  <c r="I564" i="12" s="1"/>
  <c r="S564" i="12" a="1"/>
  <c r="S564" i="12" s="1"/>
  <c r="S530" i="12" a="1"/>
  <c r="S530" i="12" s="1"/>
  <c r="O530" i="12" a="1"/>
  <c r="O530" i="12" s="1"/>
  <c r="M568" i="12" a="1"/>
  <c r="M568" i="12" s="1"/>
  <c r="P206" i="12" a="1"/>
  <c r="P206" i="12" s="1"/>
  <c r="M549" i="12" a="1"/>
  <c r="M549" i="12" s="1"/>
  <c r="M582" i="12" a="1"/>
  <c r="M582" i="12" s="1"/>
  <c r="K582" i="12" a="1"/>
  <c r="K582" i="12" s="1"/>
  <c r="S533" i="12" a="1"/>
  <c r="S533" i="12" s="1"/>
  <c r="R588" i="12" a="1"/>
  <c r="R588" i="12" s="1"/>
  <c r="G520" i="12" a="1"/>
  <c r="G520" i="12" s="1"/>
  <c r="F426" i="12" a="1"/>
  <c r="F426" i="12" s="1"/>
  <c r="U342" i="2" a="1"/>
  <c r="U342" i="2" s="1"/>
  <c r="Q522" i="12" a="1"/>
  <c r="Q522" i="12" s="1"/>
  <c r="J526" i="12" a="1"/>
  <c r="J526" i="12" s="1"/>
  <c r="P466" i="12" a="1"/>
  <c r="P466" i="12" s="1"/>
  <c r="L558" i="12" a="1"/>
  <c r="L558" i="12" s="1"/>
  <c r="K169" i="12" a="1"/>
  <c r="K169" i="12" s="1"/>
  <c r="Q502" i="12" a="1"/>
  <c r="Q502" i="12" s="1"/>
  <c r="F442" i="12" a="1"/>
  <c r="F442" i="12" s="1"/>
  <c r="U334" i="2" a="1"/>
  <c r="U334" i="2" s="1"/>
  <c r="T170" i="12" a="1"/>
  <c r="T170" i="12" s="1"/>
  <c r="R374" i="12" a="1"/>
  <c r="R374" i="12" s="1"/>
  <c r="P204" i="12" a="1"/>
  <c r="P204" i="12" s="1"/>
  <c r="L160" i="12" a="1"/>
  <c r="L160" i="12" s="1"/>
  <c r="K356" i="12" a="1"/>
  <c r="K356" i="12" s="1"/>
  <c r="Q162" i="12" a="1"/>
  <c r="Q162" i="12" s="1"/>
  <c r="F383" i="12" a="1"/>
  <c r="F383" i="12" s="1"/>
  <c r="U317" i="2" a="1"/>
  <c r="U317" i="2" s="1"/>
  <c r="N345" i="12" a="1"/>
  <c r="N345" i="12" s="1"/>
  <c r="L114" i="12" a="1"/>
  <c r="L114" i="12" s="1"/>
  <c r="P226" i="12" a="1"/>
  <c r="P226" i="12" s="1"/>
  <c r="T475" i="12" a="1"/>
  <c r="T475" i="12" s="1"/>
  <c r="I267" i="12" a="1"/>
  <c r="I267" i="12" s="1"/>
  <c r="J173" i="12" a="1"/>
  <c r="J173" i="12" s="1"/>
  <c r="P192" i="12" a="1"/>
  <c r="P192" i="12" s="1"/>
  <c r="I215" i="12" a="1"/>
  <c r="I215" i="12" s="1"/>
  <c r="L540" i="12" a="1"/>
  <c r="L540" i="12" s="1"/>
  <c r="T540" i="12" a="1"/>
  <c r="T540" i="12" s="1"/>
  <c r="O274" i="12" a="1"/>
  <c r="O274" i="12" s="1"/>
  <c r="O541" i="12" a="1"/>
  <c r="O541" i="12" s="1"/>
  <c r="R179" i="12" a="1"/>
  <c r="R179" i="12" s="1"/>
  <c r="O526" i="12" a="1"/>
  <c r="O526" i="12" s="1"/>
  <c r="R272" i="12" a="1"/>
  <c r="R272" i="12" s="1"/>
  <c r="X656" i="12" a="1"/>
  <c r="X656" i="12" s="1"/>
  <c r="M228" i="12" a="1"/>
  <c r="M228" i="12" s="1"/>
  <c r="N541" i="12" a="1"/>
  <c r="N541" i="12" s="1"/>
  <c r="S449" i="12" a="1"/>
  <c r="S449" i="12" s="1"/>
  <c r="Q412" i="12" a="1"/>
  <c r="Q412" i="12" s="1"/>
  <c r="S169" i="12" a="1"/>
  <c r="S169" i="12" s="1"/>
  <c r="P214" i="12" a="1"/>
  <c r="P214" i="12" s="1"/>
  <c r="N267" i="12" a="1"/>
  <c r="N267" i="12" s="1"/>
  <c r="G181" i="12" a="1"/>
  <c r="G181" i="12" s="1"/>
  <c r="J231" i="12" a="1"/>
  <c r="J231" i="12" s="1"/>
  <c r="K494" i="12" a="1"/>
  <c r="K494" i="12" s="1"/>
  <c r="Z616" i="12" a="1"/>
  <c r="Z616" i="12" s="1"/>
  <c r="AL121" i="2" a="1"/>
  <c r="AL121" i="2" s="1"/>
  <c r="I205" i="12" a="1"/>
  <c r="I205" i="12" s="1"/>
  <c r="N154" i="12" a="1"/>
  <c r="N154" i="12" s="1"/>
  <c r="I132" i="12" a="1"/>
  <c r="I132" i="12" s="1"/>
  <c r="P114" i="12" a="1"/>
  <c r="P114" i="12" s="1"/>
  <c r="K603" i="12" a="1"/>
  <c r="K603" i="12" s="1"/>
  <c r="X624" i="12" a="1"/>
  <c r="X624" i="12" s="1"/>
  <c r="O170" i="12" a="1"/>
  <c r="O170" i="12" s="1"/>
  <c r="R152" i="12" a="1"/>
  <c r="R152" i="12" s="1"/>
  <c r="L479" i="12" a="1"/>
  <c r="L479" i="12" s="1"/>
  <c r="T135" i="12" a="1"/>
  <c r="T135" i="12" s="1"/>
  <c r="S108" i="12" a="1"/>
  <c r="S108" i="12" s="1"/>
  <c r="M377" i="12" a="1"/>
  <c r="M377" i="12" s="1"/>
  <c r="F422" i="12" a="1"/>
  <c r="F422" i="12" s="1"/>
  <c r="U153" i="2" a="1"/>
  <c r="U153" i="2" s="1"/>
  <c r="Q112" i="12" a="1"/>
  <c r="Q112" i="12" s="1"/>
  <c r="K157" i="12" a="1"/>
  <c r="K157" i="12" s="1"/>
  <c r="T299" i="12" a="1"/>
  <c r="T299" i="12" s="1"/>
  <c r="I140" i="12" a="1"/>
  <c r="I140" i="12" s="1"/>
  <c r="F378" i="12" a="1"/>
  <c r="F378" i="12" s="1"/>
  <c r="U222" i="2" a="1"/>
  <c r="U222" i="2" s="1"/>
  <c r="L297" i="12" a="1"/>
  <c r="L297" i="12" s="1"/>
  <c r="L102" i="12" a="1"/>
  <c r="L102" i="12" s="1"/>
  <c r="I250" i="12" a="1"/>
  <c r="I250" i="12" s="1"/>
  <c r="N266" i="12" a="1"/>
  <c r="N266" i="12" s="1"/>
  <c r="P534" i="12" a="1"/>
  <c r="P534" i="12" s="1"/>
  <c r="R583" i="12" a="1"/>
  <c r="R583" i="12" s="1"/>
  <c r="U376" i="2" a="1"/>
  <c r="U376" i="2" s="1"/>
  <c r="N209" i="12" a="1"/>
  <c r="N209" i="12" s="1"/>
  <c r="I416" i="12" a="1"/>
  <c r="I416" i="12" s="1"/>
  <c r="G372" i="12" a="1"/>
  <c r="G372" i="12" s="1"/>
  <c r="N377" i="12" a="1"/>
  <c r="N377" i="12" s="1"/>
  <c r="J142" i="12" a="1"/>
  <c r="J142" i="12" s="1"/>
  <c r="P401" i="12" a="1"/>
  <c r="P401" i="12" s="1"/>
  <c r="T151" i="12" a="1"/>
  <c r="T151" i="12" s="1"/>
  <c r="N120" i="12" a="1"/>
  <c r="N120" i="12" s="1"/>
  <c r="F607" i="12" a="1"/>
  <c r="F607" i="12" s="1"/>
  <c r="U135" i="2" a="1"/>
  <c r="U135" i="2" s="1"/>
  <c r="Q183" i="12" a="1"/>
  <c r="Q183" i="12" s="1"/>
  <c r="O91" i="12" a="1"/>
  <c r="O91" i="12" s="1"/>
  <c r="K297" i="12" a="1"/>
  <c r="K297" i="12" s="1"/>
  <c r="K111" i="12" a="1"/>
  <c r="K111" i="12" s="1"/>
  <c r="Q102" i="12" a="1"/>
  <c r="Q102" i="12" s="1"/>
  <c r="G203" i="12" a="1"/>
  <c r="G203" i="12" s="1"/>
  <c r="J96" i="12" a="1"/>
  <c r="J96" i="12" s="1"/>
  <c r="I95" i="12" a="1"/>
  <c r="I95" i="12" s="1"/>
  <c r="L77" i="12" a="1"/>
  <c r="L77" i="12" s="1"/>
  <c r="L51" i="12" a="1"/>
  <c r="L51" i="12" s="1"/>
  <c r="I155" i="12" a="1"/>
  <c r="I155" i="12" s="1"/>
  <c r="G308" i="12" a="1"/>
  <c r="G308" i="12" s="1"/>
  <c r="O466" i="12" a="1"/>
  <c r="O466" i="12" s="1"/>
  <c r="M170" i="12" a="1"/>
  <c r="M170" i="12" s="1"/>
  <c r="J439" i="12" a="1"/>
  <c r="J439" i="12" s="1"/>
  <c r="S337" i="12" a="1"/>
  <c r="S337" i="12" s="1"/>
  <c r="J167" i="12" a="1"/>
  <c r="J167" i="12" s="1"/>
  <c r="T164" i="12" a="1"/>
  <c r="T164" i="12" s="1"/>
  <c r="P145" i="12" a="1"/>
  <c r="P145" i="12" s="1"/>
  <c r="Q159" i="12" a="1"/>
  <c r="Q159" i="12" s="1"/>
  <c r="F177" i="12" a="1"/>
  <c r="F177" i="12" s="1"/>
  <c r="U225" i="2" a="1"/>
  <c r="U225" i="2" s="1"/>
  <c r="G107" i="12" a="1"/>
  <c r="G107" i="12" s="1"/>
  <c r="I299" i="12" a="1"/>
  <c r="I299" i="12" s="1"/>
  <c r="P285" i="12" a="1"/>
  <c r="P285" i="12" s="1"/>
  <c r="Q133" i="12" a="1"/>
  <c r="Q133" i="12" s="1"/>
  <c r="R111" i="12" a="1"/>
  <c r="R111" i="12" s="1"/>
  <c r="O259" i="12" a="1"/>
  <c r="O259" i="12" s="1"/>
  <c r="K136" i="12" a="1"/>
  <c r="K136" i="12" s="1"/>
  <c r="K412" i="12" a="1"/>
  <c r="K412" i="12" s="1"/>
  <c r="T469" i="12" a="1"/>
  <c r="T469" i="12" s="1"/>
  <c r="S153" i="12" a="1"/>
  <c r="S153" i="12" s="1"/>
  <c r="T358" i="12" a="1"/>
  <c r="T358" i="12" s="1"/>
  <c r="O115" i="12" a="1"/>
  <c r="O115" i="12" s="1"/>
  <c r="P107" i="12" a="1"/>
  <c r="P107" i="12" s="1"/>
  <c r="N264" i="12" a="1"/>
  <c r="N264" i="12" s="1"/>
  <c r="T101" i="12" a="1"/>
  <c r="T101" i="12" s="1"/>
  <c r="R293" i="12" a="1"/>
  <c r="R293" i="12" s="1"/>
  <c r="Q312" i="12" a="1"/>
  <c r="Q312" i="12" s="1"/>
  <c r="M602" i="12" a="1"/>
  <c r="M602" i="12" s="1"/>
  <c r="G131" i="12" a="1"/>
  <c r="G131" i="12" s="1"/>
  <c r="M454" i="12" a="1"/>
  <c r="M454" i="12" s="1"/>
  <c r="Q454" i="12" a="1"/>
  <c r="Q454" i="12" s="1"/>
  <c r="G502" i="12" a="1"/>
  <c r="G502" i="12" s="1"/>
  <c r="AL282" i="2" a="1"/>
  <c r="AL282" i="2" s="1"/>
  <c r="Q372" i="12" a="1"/>
  <c r="Q372" i="12" s="1"/>
  <c r="F156" i="12" a="1"/>
  <c r="F156" i="12" s="1"/>
  <c r="U329" i="2" a="1"/>
  <c r="U329" i="2" s="1"/>
  <c r="M159" i="12" a="1"/>
  <c r="M159" i="12" s="1"/>
  <c r="S431" i="12" a="1"/>
  <c r="S431" i="12" s="1"/>
  <c r="L401" i="12" a="1"/>
  <c r="L401" i="12" s="1"/>
  <c r="S157" i="12" a="1"/>
  <c r="S157" i="12" s="1"/>
  <c r="M264" i="12" a="1"/>
  <c r="M264" i="12" s="1"/>
  <c r="I297" i="12" a="1"/>
  <c r="I297" i="12" s="1"/>
  <c r="S289" i="12" a="1"/>
  <c r="S289" i="12" s="1"/>
  <c r="M314" i="12" a="1"/>
  <c r="M314" i="12" s="1"/>
  <c r="AR69" i="2" a="1"/>
  <c r="AR69" i="2" s="1"/>
  <c r="AQ69" i="2" a="1"/>
  <c r="AQ69" i="2" s="1"/>
  <c r="K181" i="12" a="1"/>
  <c r="K181" i="12" s="1"/>
  <c r="S484" i="12" a="1"/>
  <c r="S484" i="12" s="1"/>
  <c r="N416" i="12" a="1"/>
  <c r="N416" i="12" s="1"/>
  <c r="N372" i="12" a="1"/>
  <c r="N372" i="12" s="1"/>
  <c r="Q346" i="12" a="1"/>
  <c r="Q346" i="12" s="1"/>
  <c r="G366" i="12" a="1"/>
  <c r="G366" i="12" s="1"/>
  <c r="G325" i="12" a="1"/>
  <c r="G325" i="12" s="1"/>
  <c r="R151" i="12" a="1"/>
  <c r="R151" i="12" s="1"/>
  <c r="G150" i="12" a="1"/>
  <c r="G150" i="12" s="1"/>
  <c r="O107" i="12" a="1"/>
  <c r="O107" i="12" s="1"/>
  <c r="P92" i="12" a="1"/>
  <c r="P92" i="12" s="1"/>
  <c r="R101" i="12" a="1"/>
  <c r="R101" i="12" s="1"/>
  <c r="G293" i="12" a="1"/>
  <c r="G293" i="12" s="1"/>
  <c r="U150" i="2" a="1"/>
  <c r="U150" i="2" s="1"/>
  <c r="S602" i="12" a="1"/>
  <c r="S602" i="12" s="1"/>
  <c r="J289" i="12" a="1"/>
  <c r="J289" i="12" s="1"/>
  <c r="M126" i="12" a="1"/>
  <c r="M126" i="12" s="1"/>
  <c r="G222" i="12" a="1"/>
  <c r="G222" i="12" s="1"/>
  <c r="M74" i="12" a="1"/>
  <c r="M74" i="12" s="1"/>
  <c r="F76" i="12" a="1"/>
  <c r="F76" i="12" s="1"/>
  <c r="U499" i="2" a="1"/>
  <c r="U499" i="2" s="1"/>
  <c r="R38" i="12" a="1"/>
  <c r="R38" i="12" s="1"/>
  <c r="P228" i="12" a="1"/>
  <c r="P228" i="12" s="1"/>
  <c r="I232" i="12" a="1"/>
  <c r="I232" i="12" s="1"/>
  <c r="I168" i="12" a="1"/>
  <c r="I168" i="12" s="1"/>
  <c r="O168" i="12" a="1"/>
  <c r="O168" i="12" s="1"/>
  <c r="O412" i="12" a="1"/>
  <c r="O412" i="12" s="1"/>
  <c r="AQ143" i="2" a="1"/>
  <c r="AQ143" i="2" s="1"/>
  <c r="AR143" i="2" a="1"/>
  <c r="AR143" i="2" s="1"/>
  <c r="I229" i="12" a="1"/>
  <c r="I229" i="12" s="1"/>
  <c r="O204" i="12" a="1"/>
  <c r="O204" i="12" s="1"/>
  <c r="R123" i="12" a="1"/>
  <c r="R123" i="12" s="1"/>
  <c r="R432" i="12" a="1"/>
  <c r="R432" i="12" s="1"/>
  <c r="L153" i="12" a="1"/>
  <c r="L153" i="12" s="1"/>
  <c r="T138" i="12" a="1"/>
  <c r="T138" i="12" s="1"/>
  <c r="G165" i="12" a="1"/>
  <c r="G165" i="12" s="1"/>
  <c r="F388" i="12" a="1"/>
  <c r="F388" i="12" s="1"/>
  <c r="U171" i="2" a="1"/>
  <c r="U171" i="2" s="1"/>
  <c r="N177" i="12" a="1"/>
  <c r="N177" i="12" s="1"/>
  <c r="K283" i="12" a="1"/>
  <c r="K283" i="12" s="1"/>
  <c r="J368" i="12" a="1"/>
  <c r="J368" i="12" s="1"/>
  <c r="S183" i="12" a="1"/>
  <c r="S183" i="12" s="1"/>
  <c r="Q140" i="12" a="1"/>
  <c r="Q140" i="12" s="1"/>
  <c r="S127" i="12" a="1"/>
  <c r="S127" i="12" s="1"/>
  <c r="K161" i="12" a="1"/>
  <c r="K161" i="12" s="1"/>
  <c r="N106" i="12" a="1"/>
  <c r="N106" i="12" s="1"/>
  <c r="T250" i="12" a="1"/>
  <c r="T250" i="12" s="1"/>
  <c r="M87" i="12" a="1"/>
  <c r="M87" i="12" s="1"/>
  <c r="L203" i="12" a="1"/>
  <c r="L203" i="12" s="1"/>
  <c r="O54" i="12" a="1"/>
  <c r="O54" i="12" s="1"/>
  <c r="I462" i="12" a="1"/>
  <c r="I462" i="12" s="1"/>
  <c r="T462" i="12" a="1"/>
  <c r="T462" i="12" s="1"/>
  <c r="S403" i="12" a="1"/>
  <c r="S403" i="12" s="1"/>
  <c r="F141" i="12" a="1"/>
  <c r="F141" i="12" s="1"/>
  <c r="U444" i="2" a="1"/>
  <c r="U444" i="2" s="1"/>
  <c r="S175" i="12" a="1"/>
  <c r="S175" i="12" s="1"/>
  <c r="G383" i="12" a="1"/>
  <c r="G383" i="12" s="1"/>
  <c r="T393" i="12" a="1"/>
  <c r="T393" i="12" s="1"/>
  <c r="I427" i="12" a="1"/>
  <c r="I427" i="12" s="1"/>
  <c r="Q366" i="12" a="1"/>
  <c r="Q366" i="12" s="1"/>
  <c r="O358" i="12" a="1"/>
  <c r="O358" i="12" s="1"/>
  <c r="O157" i="12" a="1"/>
  <c r="O157" i="12" s="1"/>
  <c r="P101" i="12" a="1"/>
  <c r="P101" i="12" s="1"/>
  <c r="M119" i="12" a="1"/>
  <c r="M119" i="12" s="1"/>
  <c r="R255" i="12" a="1"/>
  <c r="R255" i="12" s="1"/>
  <c r="L250" i="12" a="1"/>
  <c r="L250" i="12" s="1"/>
  <c r="O121" i="12" a="1"/>
  <c r="O121" i="12" s="1"/>
  <c r="T253" i="12" a="1"/>
  <c r="T253" i="12" s="1"/>
  <c r="M96" i="12" a="1"/>
  <c r="M96" i="12" s="1"/>
  <c r="Q415" i="12" a="1"/>
  <c r="Q415" i="12" s="1"/>
  <c r="F235" i="12" a="1"/>
  <c r="F235" i="12" s="1"/>
  <c r="U323" i="2" a="1"/>
  <c r="U323" i="2" s="1"/>
  <c r="T205" i="12" a="1"/>
  <c r="T205" i="12" s="1"/>
  <c r="I170" i="12" a="1"/>
  <c r="I170" i="12" s="1"/>
  <c r="O383" i="12" a="1"/>
  <c r="O383" i="12" s="1"/>
  <c r="G152" i="12" a="1"/>
  <c r="G152" i="12" s="1"/>
  <c r="J458" i="12" a="1"/>
  <c r="J458" i="12" s="1"/>
  <c r="R452" i="12" a="1"/>
  <c r="R452" i="12" s="1"/>
  <c r="K366" i="12" a="1"/>
  <c r="K366" i="12" s="1"/>
  <c r="L370" i="12" a="1"/>
  <c r="L370" i="12" s="1"/>
  <c r="I348" i="12" a="1"/>
  <c r="I348" i="12" s="1"/>
  <c r="L335" i="12" a="1"/>
  <c r="L335" i="12" s="1"/>
  <c r="S317" i="12" a="1"/>
  <c r="S317" i="12" s="1"/>
  <c r="I99" i="12" a="1"/>
  <c r="I99" i="12" s="1"/>
  <c r="S97" i="12" a="1"/>
  <c r="S97" i="12" s="1"/>
  <c r="O73" i="12" a="1"/>
  <c r="O73" i="12" s="1"/>
  <c r="I230" i="12" a="1"/>
  <c r="I230" i="12" s="1"/>
  <c r="L528" i="12" a="1"/>
  <c r="L528" i="12" s="1"/>
  <c r="Q528" i="12" a="1"/>
  <c r="Q528" i="12" s="1"/>
  <c r="X615" i="12" a="1"/>
  <c r="X615" i="12" s="1"/>
  <c r="O414" i="12" a="1"/>
  <c r="O414" i="12" s="1"/>
  <c r="F363" i="12" a="1"/>
  <c r="F363" i="12" s="1"/>
  <c r="U158" i="2" a="1"/>
  <c r="U158" i="2" s="1"/>
  <c r="P490" i="12" a="1"/>
  <c r="P490" i="12" s="1"/>
  <c r="L404" i="12" a="1"/>
  <c r="L404" i="12" s="1"/>
  <c r="T376" i="12" a="1"/>
  <c r="T376" i="12" s="1"/>
  <c r="P293" i="12" a="1"/>
  <c r="P293" i="12" s="1"/>
  <c r="J161" i="12" a="1"/>
  <c r="J161" i="12" s="1"/>
  <c r="O602" i="12" a="1"/>
  <c r="O602" i="12" s="1"/>
  <c r="M111" i="12" a="1"/>
  <c r="M111" i="12" s="1"/>
  <c r="J73" i="12" a="1"/>
  <c r="J73" i="12" s="1"/>
  <c r="M148" i="12" a="1"/>
  <c r="M148" i="12" s="1"/>
  <c r="M283" i="12" a="1"/>
  <c r="M283" i="12" s="1"/>
  <c r="T125" i="12" a="1"/>
  <c r="T125" i="12" s="1"/>
  <c r="Q127" i="12" a="1"/>
  <c r="Q127" i="12" s="1"/>
  <c r="G266" i="12" a="1"/>
  <c r="G266" i="12" s="1"/>
  <c r="F305" i="12" a="1"/>
  <c r="F305" i="12" s="1"/>
  <c r="U68" i="2" a="1"/>
  <c r="U68" i="2" s="1"/>
  <c r="M60" i="12" a="1"/>
  <c r="M60" i="12" s="1"/>
  <c r="T14" i="12" a="1"/>
  <c r="T14" i="12" s="1"/>
  <c r="I30" i="12" a="1"/>
  <c r="I30" i="12" s="1"/>
  <c r="L110" i="12" a="1"/>
  <c r="L110" i="12" s="1"/>
  <c r="R24" i="12" a="1"/>
  <c r="R24" i="12" s="1"/>
  <c r="AA669" i="12" a="1"/>
  <c r="AA669" i="12" s="1"/>
  <c r="M25" i="3" a="1"/>
  <c r="M25" i="3" s="1"/>
  <c r="M28" i="3" s="1" a="1"/>
  <c r="M28" i="3" s="1"/>
  <c r="F8" i="12" a="1"/>
  <c r="F8" i="12" s="1"/>
  <c r="U51" i="2" a="1"/>
  <c r="U51" i="2" s="1"/>
  <c r="K4" i="12" a="1"/>
  <c r="K4" i="12" s="1"/>
  <c r="I78" i="12" a="1"/>
  <c r="I78" i="12" s="1"/>
  <c r="K174" i="12" a="1"/>
  <c r="K174" i="12" s="1"/>
  <c r="S25" i="12" a="1"/>
  <c r="S25" i="12" s="1"/>
  <c r="L43" i="12" a="1"/>
  <c r="L43" i="12" s="1"/>
  <c r="N52" i="12" a="1"/>
  <c r="N52" i="12" s="1"/>
  <c r="N18" i="12" a="1"/>
  <c r="N18" i="12" s="1"/>
  <c r="Z643" i="12" a="1"/>
  <c r="Z643" i="12" s="1"/>
  <c r="J134" i="12" a="1"/>
  <c r="J134" i="12" s="1"/>
  <c r="J24" i="12" a="1"/>
  <c r="J24" i="12" s="1"/>
  <c r="O47" i="12" a="1"/>
  <c r="O47" i="12" s="1"/>
  <c r="O16" i="12" a="1"/>
  <c r="O16" i="12" s="1"/>
  <c r="K32" i="12" a="1"/>
  <c r="K32" i="12" s="1"/>
  <c r="I44" i="12" a="1"/>
  <c r="I44" i="12" s="1"/>
  <c r="L40" i="12" a="1"/>
  <c r="L40" i="12" s="1"/>
  <c r="Q116" i="12" a="1"/>
  <c r="Q116" i="12" s="1"/>
  <c r="N321" i="12" a="1"/>
  <c r="N321" i="12" s="1"/>
  <c r="J91" i="12" a="1"/>
  <c r="J91" i="12" s="1"/>
  <c r="I143" i="12" a="1"/>
  <c r="I143" i="12" s="1"/>
  <c r="R143" i="12" a="1"/>
  <c r="R143" i="12" s="1"/>
  <c r="I72" i="12" a="1"/>
  <c r="I72" i="12" s="1"/>
  <c r="O70" i="12" a="1"/>
  <c r="O70" i="12" s="1"/>
  <c r="L256" i="12" a="1"/>
  <c r="L256" i="12" s="1"/>
  <c r="J201" i="12" a="1"/>
  <c r="J201" i="12" s="1"/>
  <c r="N182" i="12" a="1"/>
  <c r="N182" i="12" s="1"/>
  <c r="G2" i="12" a="1"/>
  <c r="G2" i="12" s="1"/>
  <c r="L2" i="3" a="1"/>
  <c r="L2" i="3" s="1"/>
  <c r="S29" i="12" a="1"/>
  <c r="S29" i="12" s="1"/>
  <c r="N23" i="12" a="1"/>
  <c r="N23" i="12" s="1"/>
  <c r="M23" i="12" a="1"/>
  <c r="M23" i="12" s="1"/>
  <c r="O56" i="12" a="1"/>
  <c r="O56" i="12" s="1"/>
  <c r="R496" i="12" a="1"/>
  <c r="R496" i="12" s="1"/>
  <c r="K423" i="12" a="1"/>
  <c r="K423" i="12" s="1"/>
  <c r="R423" i="12" a="1"/>
  <c r="R423" i="12" s="1"/>
  <c r="S253" i="12" a="1"/>
  <c r="S253" i="12" s="1"/>
  <c r="K212" i="12" a="1"/>
  <c r="K212" i="12" s="1"/>
  <c r="Q146" i="12" a="1"/>
  <c r="Q146" i="12" s="1"/>
  <c r="L207" i="12" a="1"/>
  <c r="L207" i="12" s="1"/>
  <c r="R6" i="12" a="1"/>
  <c r="R6" i="12" s="1"/>
  <c r="F15" i="12" a="1"/>
  <c r="F15" i="12" s="1"/>
  <c r="L27" i="12" a="1"/>
  <c r="L27" i="12" s="1"/>
  <c r="R333" i="12" a="1"/>
  <c r="R333" i="12" s="1"/>
  <c r="J333" i="12" a="1"/>
  <c r="J333" i="12" s="1"/>
  <c r="R121" i="12" a="1"/>
  <c r="R121" i="12" s="1"/>
  <c r="S28" i="12" a="1"/>
  <c r="S28" i="12" s="1"/>
  <c r="S68" i="12" a="1"/>
  <c r="S68" i="12" s="1"/>
  <c r="Q46" i="12" a="1"/>
  <c r="Q46" i="12" s="1"/>
  <c r="S216" i="12" a="1"/>
  <c r="S216" i="12" s="1"/>
  <c r="R82" i="12" a="1"/>
  <c r="R82" i="12" s="1"/>
  <c r="Q55" i="12" a="1"/>
  <c r="Q55" i="12" s="1"/>
  <c r="M40" i="12" a="1"/>
  <c r="M40" i="12" s="1"/>
  <c r="X617" i="12" a="1"/>
  <c r="X617" i="12" s="1"/>
  <c r="I134" i="12" a="1"/>
  <c r="I134" i="12" s="1"/>
  <c r="I5" i="12" a="1"/>
  <c r="I5" i="12" s="1"/>
  <c r="G492" i="12" a="1"/>
  <c r="G492" i="12" s="1"/>
  <c r="P151" i="12" a="1"/>
  <c r="P151" i="12" s="1"/>
  <c r="S104" i="12" a="1"/>
  <c r="S104" i="12" s="1"/>
  <c r="G46" i="12" a="1"/>
  <c r="G46" i="12" s="1"/>
  <c r="Q77" i="12" a="1"/>
  <c r="Q77" i="12" s="1"/>
  <c r="P54" i="12" a="1"/>
  <c r="P54" i="12" s="1"/>
  <c r="AR162" i="2" a="1"/>
  <c r="AR162" i="2" s="1"/>
  <c r="AQ162" i="2" a="1"/>
  <c r="AQ162" i="2" s="1"/>
  <c r="K122" i="12" a="1"/>
  <c r="K122" i="12" s="1"/>
  <c r="S109" i="12" a="1"/>
  <c r="S109" i="12" s="1"/>
  <c r="K17" i="12" a="1"/>
  <c r="K17" i="12" s="1"/>
  <c r="N8" i="12" a="1"/>
  <c r="N8" i="12" s="1"/>
  <c r="S7" i="12" a="1"/>
  <c r="S7" i="12" s="1"/>
  <c r="M586" i="12" a="1"/>
  <c r="M586" i="12" s="1"/>
  <c r="T102" i="12" a="1"/>
  <c r="T102" i="12" s="1"/>
  <c r="P88" i="12" a="1"/>
  <c r="P88" i="12" s="1"/>
  <c r="P28" i="12" a="1"/>
  <c r="P28" i="12" s="1"/>
  <c r="L292" i="12" a="1"/>
  <c r="L292" i="12" s="1"/>
  <c r="O146" i="12" a="1"/>
  <c r="O146" i="12" s="1"/>
  <c r="K224" i="12" a="1"/>
  <c r="K224" i="12" s="1"/>
  <c r="R148" i="12" a="1"/>
  <c r="R148" i="12" s="1"/>
  <c r="F110" i="12" a="1"/>
  <c r="F110" i="12" s="1"/>
  <c r="J2" i="12" a="1"/>
  <c r="J2" i="12" s="1"/>
  <c r="T602" i="12" a="1"/>
  <c r="T602" i="12" s="1"/>
  <c r="T84" i="12" a="1"/>
  <c r="T84" i="12" s="1"/>
  <c r="J84" i="12" a="1"/>
  <c r="J84" i="12" s="1"/>
  <c r="F64" i="12" a="1"/>
  <c r="F64" i="12" s="1"/>
  <c r="U163" i="2" a="1"/>
  <c r="U163" i="2" s="1"/>
  <c r="M275" i="12" a="1"/>
  <c r="M275" i="12" s="1"/>
  <c r="O69" i="12" a="1"/>
  <c r="O69" i="12" s="1"/>
  <c r="AB623" i="12" a="1"/>
  <c r="AB623" i="12" s="1"/>
  <c r="G82" i="12" a="1"/>
  <c r="G82" i="12" s="1"/>
  <c r="M55" i="12" a="1"/>
  <c r="M55" i="12" s="1"/>
  <c r="N39" i="12" a="1"/>
  <c r="N39" i="12" s="1"/>
  <c r="P325" i="12" a="1"/>
  <c r="P325" i="12" s="1"/>
  <c r="T379" i="12" a="1"/>
  <c r="T379" i="12" s="1"/>
  <c r="Q330" i="12" a="1"/>
  <c r="Q330" i="12" s="1"/>
  <c r="F330" i="12" a="1"/>
  <c r="F330" i="12" s="1"/>
  <c r="U168" i="2" a="1"/>
  <c r="U168" i="2" s="1"/>
  <c r="I81" i="12" a="1"/>
  <c r="I81" i="12" s="1"/>
  <c r="K81" i="12" a="1"/>
  <c r="K81" i="12" s="1"/>
  <c r="T382" i="12" a="1"/>
  <c r="T382" i="12" s="1"/>
  <c r="F58" i="12" a="1"/>
  <c r="F58" i="12" s="1"/>
  <c r="U301" i="2" a="1"/>
  <c r="U301" i="2" s="1"/>
  <c r="P216" i="12" a="1"/>
  <c r="P216" i="12" s="1"/>
  <c r="N82" i="12" a="1"/>
  <c r="N82" i="12" s="1"/>
  <c r="N94" i="12" a="1"/>
  <c r="N94" i="12" s="1"/>
  <c r="K90" i="12" a="1"/>
  <c r="K90" i="12" s="1"/>
  <c r="O105" i="12" a="1"/>
  <c r="O105" i="12" s="1"/>
  <c r="M85" i="12" a="1"/>
  <c r="M85" i="12" s="1"/>
  <c r="S78" i="12" a="1"/>
  <c r="S78" i="12" s="1"/>
  <c r="S21" i="12" a="1"/>
  <c r="S21" i="12" s="1"/>
  <c r="I29" i="12" a="1"/>
  <c r="I29" i="12" s="1"/>
  <c r="R191" i="12" a="1"/>
  <c r="R191" i="12" s="1"/>
  <c r="O116" i="12" a="1"/>
  <c r="O116" i="12" s="1"/>
  <c r="F26" i="12" a="1"/>
  <c r="F26" i="12" s="1"/>
  <c r="K14" i="3" a="1"/>
  <c r="K14" i="3" s="1"/>
  <c r="U2" i="2" a="1"/>
  <c r="U2" i="2" s="1"/>
  <c r="M4" i="12" a="1"/>
  <c r="M4" i="12" s="1"/>
  <c r="AL64" i="2" a="1"/>
  <c r="AL64" i="2" s="1"/>
  <c r="K16" i="12" a="1"/>
  <c r="K16" i="12" s="1"/>
  <c r="G160" i="12" a="1"/>
  <c r="G160" i="12" s="1"/>
  <c r="S279" i="12" a="1"/>
  <c r="S279" i="12" s="1"/>
  <c r="I64" i="12" a="1"/>
  <c r="I64" i="12" s="1"/>
  <c r="M93" i="12" a="1"/>
  <c r="M93" i="12" s="1"/>
  <c r="J224" i="12" a="1"/>
  <c r="J224" i="12" s="1"/>
  <c r="O52" i="12" a="1"/>
  <c r="O52" i="12" s="1"/>
  <c r="AA617" i="12" a="1"/>
  <c r="AA617" i="12" s="1"/>
  <c r="M15" i="12" a="1"/>
  <c r="M15" i="12" s="1"/>
  <c r="J9" i="12" a="1"/>
  <c r="J9" i="12" s="1"/>
  <c r="P16" i="12" a="1"/>
  <c r="P16" i="12" s="1"/>
  <c r="N35" i="12" a="1"/>
  <c r="N35" i="12" s="1"/>
  <c r="O21" i="12" a="1"/>
  <c r="O21" i="12" s="1"/>
  <c r="G3" i="12" a="1"/>
  <c r="G3" i="12" s="1"/>
  <c r="L10" i="3" a="1"/>
  <c r="L10" i="3" s="1"/>
  <c r="O3" i="12" a="1"/>
  <c r="O3" i="12" s="1"/>
  <c r="M166" i="12" a="1"/>
  <c r="M166" i="12" s="1"/>
  <c r="T47" i="12" a="1"/>
  <c r="T47" i="12" s="1"/>
  <c r="G93" i="12" a="1"/>
  <c r="G93" i="12" s="1"/>
  <c r="G10" i="12" a="1"/>
  <c r="G10" i="12" s="1"/>
  <c r="K10" i="12" a="1"/>
  <c r="K10" i="12" s="1"/>
  <c r="J305" i="12" a="1"/>
  <c r="J305" i="12" s="1"/>
  <c r="J41" i="12" a="1"/>
  <c r="J41" i="12" s="1"/>
  <c r="Q41" i="12" a="1"/>
  <c r="Q41" i="12" s="1"/>
  <c r="N38" i="12" a="1"/>
  <c r="N38" i="12" s="1"/>
  <c r="K45" i="12" a="1"/>
  <c r="K45" i="12" s="1"/>
  <c r="N45" i="12" a="1"/>
  <c r="N45" i="12" s="1"/>
  <c r="N6" i="12" a="1"/>
  <c r="N6" i="12" s="1"/>
  <c r="Q31" i="12" a="1"/>
  <c r="Q31" i="12" s="1"/>
  <c r="J256" i="12" a="1"/>
  <c r="J256" i="12" s="1"/>
  <c r="T129" i="12" a="1"/>
  <c r="T129" i="12" s="1"/>
  <c r="N129" i="12" a="1"/>
  <c r="N129" i="12" s="1"/>
  <c r="K59" i="12" a="1"/>
  <c r="K59" i="12" s="1"/>
  <c r="K37" i="12" a="1"/>
  <c r="K37" i="12" s="1"/>
  <c r="F118" i="12" a="1"/>
  <c r="F118" i="12" s="1"/>
  <c r="U57" i="2" a="1"/>
  <c r="U57" i="2" s="1"/>
  <c r="I22" i="12" a="1"/>
  <c r="I22" i="12" s="1"/>
  <c r="J22" i="12" a="1"/>
  <c r="J22" i="12" s="1"/>
  <c r="T42" i="12" a="1"/>
  <c r="T42" i="12" s="1"/>
  <c r="I15" i="12" a="1"/>
  <c r="I15" i="12" s="1"/>
  <c r="I80" i="12" a="1"/>
  <c r="I80" i="12" s="1"/>
  <c r="K13" i="12" a="1"/>
  <c r="K13" i="12" s="1"/>
  <c r="R62" i="12" a="1"/>
  <c r="R62" i="12" s="1"/>
  <c r="S155" i="12" a="1"/>
  <c r="S155" i="12" s="1"/>
  <c r="M134" i="12" a="1"/>
  <c r="M134" i="12" s="1"/>
  <c r="I34" i="12" a="1"/>
  <c r="I34" i="12" s="1"/>
  <c r="Z647" i="12" a="1"/>
  <c r="Z647" i="12" s="1"/>
  <c r="M57" i="12" a="1"/>
  <c r="M57" i="12" s="1"/>
  <c r="K182" i="12" a="1"/>
  <c r="K182" i="12" s="1"/>
  <c r="F191" i="12" a="1"/>
  <c r="F191" i="12" s="1"/>
  <c r="U45" i="2" a="1"/>
  <c r="U45" i="2" s="1"/>
  <c r="K9" i="12" a="1"/>
  <c r="K9" i="12" s="1"/>
  <c r="P17" i="12" a="1"/>
  <c r="P17" i="12" s="1"/>
  <c r="O25" i="12" a="1"/>
  <c r="O25" i="12" s="1"/>
  <c r="R53" i="12" a="1"/>
  <c r="R53" i="12" s="1"/>
  <c r="N49" i="12" a="1"/>
  <c r="N49" i="12" s="1"/>
  <c r="M63" i="12" a="1"/>
  <c r="M63" i="12" s="1"/>
  <c r="G11" i="12" a="1"/>
  <c r="G11" i="12" s="1"/>
  <c r="K11" i="12" a="1"/>
  <c r="K11" i="12" s="1"/>
  <c r="O85" i="12" a="1"/>
  <c r="O85" i="12" s="1"/>
  <c r="K51" i="12" a="1"/>
  <c r="K51" i="12" s="1"/>
  <c r="T200" i="12" a="1"/>
  <c r="T200" i="12" s="1"/>
  <c r="F40" i="12" a="1"/>
  <c r="F40" i="12" s="1"/>
  <c r="U89" i="2" a="1"/>
  <c r="U89" i="2" s="1"/>
  <c r="S47" i="12" a="1"/>
  <c r="S47" i="12" s="1"/>
  <c r="N33" i="12" a="1"/>
  <c r="N33" i="12" s="1"/>
  <c r="M33" i="12" a="1"/>
  <c r="M33" i="12" s="1"/>
  <c r="O189" i="12" a="1"/>
  <c r="O189" i="12" s="1"/>
  <c r="N55" i="12" a="1"/>
  <c r="N55" i="12" s="1"/>
  <c r="I47" i="12" a="1"/>
  <c r="I47" i="12" s="1"/>
  <c r="Q109" i="12" a="1"/>
  <c r="Q109" i="12" s="1"/>
  <c r="S237" i="12" a="1"/>
  <c r="S237" i="12" s="1"/>
  <c r="R298" i="12" a="1"/>
  <c r="R298" i="12" s="1"/>
  <c r="G536" i="12" a="1"/>
  <c r="G536" i="12" s="1"/>
  <c r="Q501" i="12" a="1"/>
  <c r="Q501" i="12" s="1"/>
  <c r="N514" i="12" a="1"/>
  <c r="N514" i="12" s="1"/>
  <c r="F519" i="12" a="1"/>
  <c r="F519" i="12" s="1"/>
  <c r="U368" i="2" a="1"/>
  <c r="U368" i="2" s="1"/>
  <c r="P180" i="12" a="1"/>
  <c r="P180" i="12" s="1"/>
  <c r="Q568" i="12" a="1"/>
  <c r="Q568" i="12" s="1"/>
  <c r="T228" i="12" a="1"/>
  <c r="T228" i="12" s="1"/>
  <c r="S527" i="12" a="1"/>
  <c r="S527" i="12" s="1"/>
  <c r="O531" i="12" a="1"/>
  <c r="O531" i="12" s="1"/>
  <c r="N197" i="12" a="1"/>
  <c r="N197" i="12" s="1"/>
  <c r="K556" i="12" a="1"/>
  <c r="K556" i="12" s="1"/>
  <c r="J549" i="12" a="1"/>
  <c r="J549" i="12" s="1"/>
  <c r="K147" i="12" a="1"/>
  <c r="K147" i="12" s="1"/>
  <c r="J597" i="12" a="1"/>
  <c r="J597" i="12" s="1"/>
  <c r="N505" i="12" a="1"/>
  <c r="N505" i="12" s="1"/>
  <c r="Q237" i="12" a="1"/>
  <c r="Q237" i="12" s="1"/>
  <c r="F213" i="12" a="1"/>
  <c r="F213" i="12" s="1"/>
  <c r="U504" i="2" a="1"/>
  <c r="U504" i="2" s="1"/>
  <c r="R263" i="12" a="1"/>
  <c r="R263" i="12" s="1"/>
  <c r="I83" i="12" a="1"/>
  <c r="I83" i="12" s="1"/>
  <c r="J214" i="12" a="1"/>
  <c r="J214" i="12" s="1"/>
  <c r="F588" i="12" a="1"/>
  <c r="F588" i="12" s="1"/>
  <c r="U345" i="2" a="1"/>
  <c r="U345" i="2" s="1"/>
  <c r="F223" i="12" a="1"/>
  <c r="F223" i="12" s="1"/>
  <c r="U585" i="2" a="1"/>
  <c r="U585" i="2" s="1"/>
  <c r="P223" i="12" a="1"/>
  <c r="P223" i="12" s="1"/>
  <c r="T557" i="12" a="1"/>
  <c r="T557" i="12" s="1"/>
  <c r="O258" i="12" a="1"/>
  <c r="O258" i="12" s="1"/>
  <c r="N272" i="12" a="1"/>
  <c r="N272" i="12" s="1"/>
  <c r="S323" i="12" a="1"/>
  <c r="S323" i="12" s="1"/>
  <c r="Q539" i="12" a="1"/>
  <c r="Q539" i="12" s="1"/>
  <c r="N226" i="12" a="1"/>
  <c r="N226" i="12" s="1"/>
  <c r="L514" i="12" a="1"/>
  <c r="L514" i="12" s="1"/>
  <c r="N519" i="12" a="1"/>
  <c r="N519" i="12" s="1"/>
  <c r="T598" i="12" a="1"/>
  <c r="T598" i="12" s="1"/>
  <c r="P598" i="12" a="1"/>
  <c r="P598" i="12" s="1"/>
  <c r="N276" i="12" a="1"/>
  <c r="N276" i="12" s="1"/>
  <c r="N211" i="12" a="1"/>
  <c r="N211" i="12" s="1"/>
  <c r="O243" i="12" a="1"/>
  <c r="O243" i="12" s="1"/>
  <c r="Q226" i="12" a="1"/>
  <c r="Q226" i="12" s="1"/>
  <c r="N561" i="12" a="1"/>
  <c r="N561" i="12" s="1"/>
  <c r="K519" i="12" a="1"/>
  <c r="K519" i="12" s="1"/>
  <c r="M245" i="12" a="1"/>
  <c r="M245" i="12" s="1"/>
  <c r="L503" i="12" a="1"/>
  <c r="L503" i="12" s="1"/>
  <c r="R495" i="12" a="1"/>
  <c r="R495" i="12" s="1"/>
  <c r="R451" i="12" a="1"/>
  <c r="R451" i="12" s="1"/>
  <c r="Q225" i="12" a="1"/>
  <c r="Q225" i="12" s="1"/>
  <c r="I221" i="12" a="1"/>
  <c r="I221" i="12" s="1"/>
  <c r="S490" i="12" a="1"/>
  <c r="S490" i="12" s="1"/>
  <c r="T247" i="12" a="1"/>
  <c r="T247" i="12" s="1"/>
  <c r="N271" i="12" a="1"/>
  <c r="N271" i="12" s="1"/>
  <c r="P463" i="12" a="1"/>
  <c r="P463" i="12" s="1"/>
  <c r="G257" i="12" a="1"/>
  <c r="G257" i="12" s="1"/>
  <c r="K503" i="12" a="1"/>
  <c r="K503" i="12" s="1"/>
  <c r="F236" i="12" a="1"/>
  <c r="F236" i="12" s="1"/>
  <c r="S282" i="12" a="1"/>
  <c r="S282" i="12" s="1"/>
  <c r="N260" i="12" a="1"/>
  <c r="N260" i="12" s="1"/>
  <c r="M561" i="12" a="1"/>
  <c r="M561" i="12" s="1"/>
  <c r="G208" i="12" a="1"/>
  <c r="G208" i="12" s="1"/>
  <c r="K573" i="12" a="1"/>
  <c r="K573" i="12" s="1"/>
  <c r="Z652" i="12" a="1"/>
  <c r="Z652" i="12" s="1"/>
  <c r="J576" i="12" a="1"/>
  <c r="J576" i="12" s="1"/>
  <c r="O247" i="12" a="1"/>
  <c r="O247" i="12" s="1"/>
  <c r="I311" i="12" a="1"/>
  <c r="I311" i="12" s="1"/>
  <c r="Q233" i="12" a="1"/>
  <c r="Q233" i="12" s="1"/>
  <c r="S234" i="12" a="1"/>
  <c r="S234" i="12" s="1"/>
  <c r="L271" i="12" a="1"/>
  <c r="L271" i="12" s="1"/>
  <c r="S581" i="12" a="1"/>
  <c r="S581" i="12" s="1"/>
  <c r="O248" i="12" a="1"/>
  <c r="O248" i="12" s="1"/>
  <c r="N263" i="12" a="1"/>
  <c r="N263" i="12" s="1"/>
  <c r="Q83" i="12" a="1"/>
  <c r="Q83" i="12" s="1"/>
  <c r="L474" i="12" a="1"/>
  <c r="L474" i="12" s="1"/>
  <c r="T519" i="12" a="1"/>
  <c r="T519" i="12" s="1"/>
  <c r="S495" i="12" a="1"/>
  <c r="S495" i="12" s="1"/>
  <c r="G527" i="12" a="1"/>
  <c r="G527" i="12" s="1"/>
  <c r="O551" i="12" a="1"/>
  <c r="O551" i="12" s="1"/>
  <c r="I206" i="12" a="1"/>
  <c r="I206" i="12" s="1"/>
  <c r="S509" i="12" a="1"/>
  <c r="S509" i="12" s="1"/>
  <c r="Q136" i="12" a="1"/>
  <c r="Q136" i="12" s="1"/>
  <c r="P493" i="12" a="1"/>
  <c r="P493" i="12" s="1"/>
  <c r="F176" i="12" a="1"/>
  <c r="F176" i="12" s="1"/>
  <c r="U571" i="2" a="1"/>
  <c r="U571" i="2" s="1"/>
  <c r="P332" i="12" a="1"/>
  <c r="P332" i="12" s="1"/>
  <c r="AQ256" i="2" a="1"/>
  <c r="AQ256" i="2" s="1"/>
  <c r="AR256" i="2" a="1"/>
  <c r="AR256" i="2" s="1"/>
  <c r="O495" i="12" a="1"/>
  <c r="O495" i="12" s="1"/>
  <c r="L220" i="12" a="1"/>
  <c r="L220" i="12" s="1"/>
  <c r="G562" i="12" a="1"/>
  <c r="G562" i="12" s="1"/>
  <c r="I244" i="12" a="1"/>
  <c r="I244" i="12" s="1"/>
  <c r="G415" i="12" a="1"/>
  <c r="G415" i="12" s="1"/>
  <c r="G504" i="12" a="1"/>
  <c r="G504" i="12" s="1"/>
  <c r="R500" i="12" a="1"/>
  <c r="R500" i="12" s="1"/>
  <c r="N179" i="12" a="1"/>
  <c r="N179" i="12" s="1"/>
  <c r="R163" i="12" a="1"/>
  <c r="R163" i="12" s="1"/>
  <c r="F493" i="12" a="1"/>
  <c r="F493" i="12" s="1"/>
  <c r="U288" i="2" a="1"/>
  <c r="U288" i="2" s="1"/>
  <c r="Q397" i="12" a="1"/>
  <c r="Q397" i="12" s="1"/>
  <c r="T194" i="12" a="1"/>
  <c r="T194" i="12" s="1"/>
  <c r="N218" i="12" a="1"/>
  <c r="N218" i="12" s="1"/>
  <c r="P604" i="12" a="1"/>
  <c r="P604" i="12" s="1"/>
  <c r="M547" i="12" a="1"/>
  <c r="M547" i="12" s="1"/>
  <c r="L231" i="12" a="1"/>
  <c r="L231" i="12" s="1"/>
  <c r="P407" i="12" a="1"/>
  <c r="P407" i="12" s="1"/>
  <c r="F193" i="12" a="1"/>
  <c r="F193" i="12" s="1"/>
  <c r="U395" i="2" a="1"/>
  <c r="U395" i="2" s="1"/>
  <c r="T408" i="12" a="1"/>
  <c r="T408" i="12" s="1"/>
  <c r="J586" i="12" a="1"/>
  <c r="J586" i="12" s="1"/>
  <c r="N188" i="12" a="1"/>
  <c r="N188" i="12" s="1"/>
  <c r="M186" i="12" a="1"/>
  <c r="M186" i="12" s="1"/>
  <c r="R176" i="12" a="1"/>
  <c r="R176" i="12" s="1"/>
  <c r="AA653" i="12" a="1"/>
  <c r="AA653" i="12" s="1"/>
  <c r="I584" i="12" a="1"/>
  <c r="I584" i="12" s="1"/>
  <c r="L210" i="12" a="1"/>
  <c r="L210" i="12" s="1"/>
  <c r="S206" i="12" a="1"/>
  <c r="S206" i="12" s="1"/>
  <c r="J508" i="12" a="1"/>
  <c r="J508" i="12" s="1"/>
  <c r="R476" i="12" a="1"/>
  <c r="R476" i="12" s="1"/>
  <c r="L139" i="12" a="1"/>
  <c r="L139" i="12" s="1"/>
  <c r="J559" i="12" a="1"/>
  <c r="J559" i="12" s="1"/>
  <c r="F559" i="12" a="1"/>
  <c r="F559" i="12" s="1"/>
  <c r="U360" i="2" a="1"/>
  <c r="U360" i="2" s="1"/>
  <c r="T604" i="12" a="1"/>
  <c r="T604" i="12" s="1"/>
  <c r="I192" i="12" a="1"/>
  <c r="I192" i="12" s="1"/>
  <c r="S515" i="12" a="1"/>
  <c r="S515" i="12" s="1"/>
  <c r="S541" i="12" a="1"/>
  <c r="S541" i="12" s="1"/>
  <c r="P230" i="12" a="1"/>
  <c r="P230" i="12" s="1"/>
  <c r="P227" i="12" a="1"/>
  <c r="P227" i="12" s="1"/>
  <c r="G190" i="12" a="1"/>
  <c r="G190" i="12" s="1"/>
  <c r="J199" i="12" a="1"/>
  <c r="J199" i="12" s="1"/>
  <c r="M497" i="12" a="1"/>
  <c r="M497" i="12" s="1"/>
  <c r="N492" i="12" a="1"/>
  <c r="N492" i="12" s="1"/>
  <c r="O511" i="12" a="1"/>
  <c r="O511" i="12" s="1"/>
  <c r="P483" i="12" a="1"/>
  <c r="P483" i="12" s="1"/>
  <c r="I519" i="12" a="1"/>
  <c r="I519" i="12" s="1"/>
  <c r="J564" i="12" a="1"/>
  <c r="J564" i="12" s="1"/>
  <c r="P564" i="12" a="1"/>
  <c r="P564" i="12" s="1"/>
  <c r="M530" i="12" a="1"/>
  <c r="M530" i="12" s="1"/>
  <c r="T530" i="12" a="1"/>
  <c r="T530" i="12" s="1"/>
  <c r="L407" i="12" a="1"/>
  <c r="L407" i="12" s="1"/>
  <c r="J206" i="12" a="1"/>
  <c r="J206" i="12" s="1"/>
  <c r="G494" i="12" a="1"/>
  <c r="G494" i="12" s="1"/>
  <c r="N171" i="12" a="1"/>
  <c r="N171" i="12" s="1"/>
  <c r="K271" i="12" a="1"/>
  <c r="K271" i="12" s="1"/>
  <c r="M208" i="12" a="1"/>
  <c r="M208" i="12" s="1"/>
  <c r="T533" i="12" a="1"/>
  <c r="T533" i="12" s="1"/>
  <c r="J588" i="12" a="1"/>
  <c r="J588" i="12" s="1"/>
  <c r="L451" i="12" a="1"/>
  <c r="L451" i="12" s="1"/>
  <c r="K426" i="12" a="1"/>
  <c r="K426" i="12" s="1"/>
  <c r="J522" i="12" a="1"/>
  <c r="J522" i="12" s="1"/>
  <c r="P526" i="12" a="1"/>
  <c r="P526" i="12" s="1"/>
  <c r="O476" i="12" a="1"/>
  <c r="O476" i="12" s="1"/>
  <c r="T217" i="12" a="1"/>
  <c r="T217" i="12" s="1"/>
  <c r="R558" i="12" a="1"/>
  <c r="R558" i="12" s="1"/>
  <c r="P169" i="12" a="1"/>
  <c r="P169" i="12" s="1"/>
  <c r="L502" i="12" a="1"/>
  <c r="L502" i="12" s="1"/>
  <c r="K442" i="12" a="1"/>
  <c r="K442" i="12" s="1"/>
  <c r="Q170" i="12" a="1"/>
  <c r="Q170" i="12" s="1"/>
  <c r="F374" i="12" a="1"/>
  <c r="F374" i="12" s="1"/>
  <c r="U294" i="2" a="1"/>
  <c r="U294" i="2" s="1"/>
  <c r="T419" i="12" a="1"/>
  <c r="T419" i="12" s="1"/>
  <c r="R160" i="12" a="1"/>
  <c r="R160" i="12" s="1"/>
  <c r="P356" i="12" a="1"/>
  <c r="P356" i="12" s="1"/>
  <c r="L162" i="12" a="1"/>
  <c r="L162" i="12" s="1"/>
  <c r="K383" i="12" a="1"/>
  <c r="K383" i="12" s="1"/>
  <c r="S345" i="12" a="1"/>
  <c r="S345" i="12" s="1"/>
  <c r="R226" i="12" a="1"/>
  <c r="R226" i="12" s="1"/>
  <c r="M475" i="12" a="1"/>
  <c r="M475" i="12" s="1"/>
  <c r="S173" i="12" a="1"/>
  <c r="S173" i="12" s="1"/>
  <c r="G192" i="12" a="1"/>
  <c r="G192" i="12" s="1"/>
  <c r="J192" i="12" a="1"/>
  <c r="J192" i="12" s="1"/>
  <c r="P215" i="12" a="1"/>
  <c r="P215" i="12" s="1"/>
  <c r="N215" i="12" a="1"/>
  <c r="N215" i="12" s="1"/>
  <c r="S540" i="12" a="1"/>
  <c r="S540" i="12" s="1"/>
  <c r="L274" i="12" a="1"/>
  <c r="L274" i="12" s="1"/>
  <c r="T274" i="12" a="1"/>
  <c r="T274" i="12" s="1"/>
  <c r="T541" i="12" a="1"/>
  <c r="T541" i="12" s="1"/>
  <c r="G408" i="12" a="1"/>
  <c r="G408" i="12" s="1"/>
  <c r="M171" i="12" a="1"/>
  <c r="M171" i="12" s="1"/>
  <c r="N195" i="12" a="1"/>
  <c r="N195" i="12" s="1"/>
  <c r="M476" i="12" a="1"/>
  <c r="M476" i="12" s="1"/>
  <c r="T295" i="12" a="1"/>
  <c r="T295" i="12" s="1"/>
  <c r="Z658" i="12" a="1"/>
  <c r="Z658" i="12" s="1"/>
  <c r="F187" i="12" a="1"/>
  <c r="F187" i="12" s="1"/>
  <c r="U405" i="2" a="1"/>
  <c r="U405" i="2" s="1"/>
  <c r="L206" i="12" a="1"/>
  <c r="L206" i="12" s="1"/>
  <c r="G449" i="12" a="1"/>
  <c r="G449" i="12" s="1"/>
  <c r="M205" i="12" a="1"/>
  <c r="M205" i="12" s="1"/>
  <c r="Q281" i="12" a="1"/>
  <c r="Q281" i="12" s="1"/>
  <c r="K185" i="12" a="1"/>
  <c r="K185" i="12" s="1"/>
  <c r="T267" i="12" a="1"/>
  <c r="T267" i="12" s="1"/>
  <c r="AA629" i="12" a="1"/>
  <c r="AA629" i="12" s="1"/>
  <c r="G180" i="12" a="1"/>
  <c r="G180" i="12" s="1"/>
  <c r="O231" i="12" a="1"/>
  <c r="O231" i="12" s="1"/>
  <c r="P494" i="12" a="1"/>
  <c r="P494" i="12" s="1"/>
  <c r="AA616" i="12" a="1"/>
  <c r="AA616" i="12" s="1"/>
  <c r="N205" i="12" a="1"/>
  <c r="N205" i="12" s="1"/>
  <c r="AR346" i="2" a="1"/>
  <c r="AR346" i="2" s="1"/>
  <c r="AQ346" i="2" a="1"/>
  <c r="AQ346" i="2" s="1"/>
  <c r="N132" i="12" a="1"/>
  <c r="N132" i="12" s="1"/>
  <c r="J114" i="12" a="1"/>
  <c r="J114" i="12" s="1"/>
  <c r="M217" i="12" a="1"/>
  <c r="M217" i="12" s="1"/>
  <c r="M374" i="12" a="1"/>
  <c r="M374" i="12" s="1"/>
  <c r="Q479" i="12" a="1"/>
  <c r="Q479" i="12" s="1"/>
  <c r="M370" i="12" a="1"/>
  <c r="M370" i="12" s="1"/>
  <c r="N108" i="12" a="1"/>
  <c r="N108" i="12" s="1"/>
  <c r="I377" i="12" a="1"/>
  <c r="I377" i="12" s="1"/>
  <c r="Q422" i="12" a="1"/>
  <c r="Q422" i="12" s="1"/>
  <c r="J165" i="12" a="1"/>
  <c r="J165" i="12" s="1"/>
  <c r="G112" i="12" a="1"/>
  <c r="G112" i="12" s="1"/>
  <c r="J151" i="12" a="1"/>
  <c r="J151" i="12" s="1"/>
  <c r="S150" i="12" a="1"/>
  <c r="S150" i="12" s="1"/>
  <c r="Q157" i="12" a="1"/>
  <c r="Q157" i="12" s="1"/>
  <c r="P264" i="12" a="1"/>
  <c r="P264" i="12" s="1"/>
  <c r="M48" i="12" a="1"/>
  <c r="M48" i="12" s="1"/>
  <c r="T119" i="12" a="1"/>
  <c r="T119" i="12" s="1"/>
  <c r="R67" i="12" a="1"/>
  <c r="R67" i="12" s="1"/>
  <c r="Z633" i="12" a="1"/>
  <c r="Z633" i="12" s="1"/>
  <c r="T128" i="12" a="1"/>
  <c r="T128" i="12" s="1"/>
  <c r="Q126" i="12" a="1"/>
  <c r="Q126" i="12" s="1"/>
  <c r="R89" i="12" a="1"/>
  <c r="R89" i="12" s="1"/>
  <c r="Q96" i="12" a="1"/>
  <c r="Q96" i="12" s="1"/>
  <c r="L202" i="12" a="1"/>
  <c r="L202" i="12" s="1"/>
  <c r="R534" i="12" a="1"/>
  <c r="R534" i="12" s="1"/>
  <c r="T583" i="12" a="1"/>
  <c r="T583" i="12" s="1"/>
  <c r="F606" i="12" a="1"/>
  <c r="F606" i="12" s="1"/>
  <c r="P209" i="12" a="1"/>
  <c r="P209" i="12" s="1"/>
  <c r="AR282" i="2" a="1"/>
  <c r="AR282" i="2" s="1"/>
  <c r="AQ282" i="2" a="1"/>
  <c r="AQ282" i="2" s="1"/>
  <c r="O452" i="12" a="1"/>
  <c r="O452" i="12" s="1"/>
  <c r="L309" i="12" a="1"/>
  <c r="L309" i="12" s="1"/>
  <c r="F142" i="12" a="1"/>
  <c r="F142" i="12" s="1"/>
  <c r="U214" i="2" a="1"/>
  <c r="U214" i="2" s="1"/>
  <c r="K404" i="12" a="1"/>
  <c r="K404" i="12" s="1"/>
  <c r="N365" i="12" a="1"/>
  <c r="N365" i="12" s="1"/>
  <c r="T368" i="12" a="1"/>
  <c r="T368" i="12" s="1"/>
  <c r="M120" i="12" a="1"/>
  <c r="M120" i="12" s="1"/>
  <c r="P115" i="12" a="1"/>
  <c r="P115" i="12" s="1"/>
  <c r="T296" i="12" a="1"/>
  <c r="T296" i="12" s="1"/>
  <c r="G297" i="12" a="1"/>
  <c r="G297" i="12" s="1"/>
  <c r="S65" i="12" a="1"/>
  <c r="S65" i="12" s="1"/>
  <c r="M102" i="12" a="1"/>
  <c r="M102" i="12" s="1"/>
  <c r="Q94" i="12" a="1"/>
  <c r="Q94" i="12" s="1"/>
  <c r="P70" i="12" a="1"/>
  <c r="P70" i="12" s="1"/>
  <c r="T222" i="12" a="1"/>
  <c r="T222" i="12" s="1"/>
  <c r="J74" i="12" a="1"/>
  <c r="J74" i="12" s="1"/>
  <c r="N76" i="12" a="1"/>
  <c r="N76" i="12" s="1"/>
  <c r="T122" i="12" a="1"/>
  <c r="T122" i="12" s="1"/>
  <c r="K308" i="12" a="1"/>
  <c r="K308" i="12" s="1"/>
  <c r="N337" i="12" a="1"/>
  <c r="N337" i="12" s="1"/>
  <c r="Q167" i="12" a="1"/>
  <c r="Q167" i="12" s="1"/>
  <c r="U303" i="2" a="1"/>
  <c r="U303" i="2" s="1"/>
  <c r="L135" i="12" a="1"/>
  <c r="L135" i="12" s="1"/>
  <c r="L145" i="12" a="1"/>
  <c r="L145" i="12" s="1"/>
  <c r="R321" i="12" a="1"/>
  <c r="R321" i="12" s="1"/>
  <c r="N309" i="12" a="1"/>
  <c r="N309" i="12" s="1"/>
  <c r="I404" i="12" a="1"/>
  <c r="I404" i="12" s="1"/>
  <c r="S293" i="12" a="1"/>
  <c r="S293" i="12" s="1"/>
  <c r="K285" i="12" a="1"/>
  <c r="K285" i="12" s="1"/>
  <c r="L602" i="12" a="1"/>
  <c r="L602" i="12" s="1"/>
  <c r="N111" i="12" a="1"/>
  <c r="N111" i="12" s="1"/>
  <c r="G259" i="12" a="1"/>
  <c r="G259" i="12" s="1"/>
  <c r="T82" i="12" a="1"/>
  <c r="T82" i="12" s="1"/>
  <c r="J190" i="12" a="1"/>
  <c r="J190" i="12" s="1"/>
  <c r="J412" i="12" a="1"/>
  <c r="J412" i="12" s="1"/>
  <c r="G469" i="12" a="1"/>
  <c r="G469" i="12" s="1"/>
  <c r="L452" i="12" a="1"/>
  <c r="L452" i="12" s="1"/>
  <c r="F153" i="12" a="1"/>
  <c r="F153" i="12" s="1"/>
  <c r="U295" i="2" a="1"/>
  <c r="U295" i="2" s="1"/>
  <c r="L422" i="12" a="1"/>
  <c r="L422" i="12" s="1"/>
  <c r="K115" i="12" a="1"/>
  <c r="K115" i="12" s="1"/>
  <c r="Q335" i="12" a="1"/>
  <c r="Q335" i="12" s="1"/>
  <c r="O140" i="12" a="1"/>
  <c r="O140" i="12" s="1"/>
  <c r="L91" i="12" a="1"/>
  <c r="L91" i="12" s="1"/>
  <c r="L312" i="12" a="1"/>
  <c r="L312" i="12" s="1"/>
  <c r="N602" i="12" a="1"/>
  <c r="N602" i="12" s="1"/>
  <c r="J128" i="12" a="1"/>
  <c r="J128" i="12" s="1"/>
  <c r="N454" i="12" a="1"/>
  <c r="N454" i="12" s="1"/>
  <c r="O497" i="12" a="1"/>
  <c r="O497" i="12" s="1"/>
  <c r="I502" i="12" a="1"/>
  <c r="I502" i="12" s="1"/>
  <c r="J356" i="12" a="1"/>
  <c r="J356" i="12" s="1"/>
  <c r="Z651" i="12" a="1"/>
  <c r="Z651" i="12" s="1"/>
  <c r="O345" i="12" a="1"/>
  <c r="O345" i="12" s="1"/>
  <c r="M156" i="12" a="1"/>
  <c r="M156" i="12" s="1"/>
  <c r="G321" i="12" a="1"/>
  <c r="G321" i="12" s="1"/>
  <c r="J377" i="12" a="1"/>
  <c r="J377" i="12" s="1"/>
  <c r="J431" i="12" a="1"/>
  <c r="J431" i="12" s="1"/>
  <c r="M354" i="12" a="1"/>
  <c r="M354" i="12" s="1"/>
  <c r="N376" i="12" a="1"/>
  <c r="N376" i="12" s="1"/>
  <c r="N607" i="12" a="1"/>
  <c r="N607" i="12" s="1"/>
  <c r="L387" i="12" a="1"/>
  <c r="L387" i="12" s="1"/>
  <c r="J264" i="12" a="1"/>
  <c r="J264" i="12" s="1"/>
  <c r="S48" i="12" a="1"/>
  <c r="S48" i="12" s="1"/>
  <c r="F133" i="12" a="1"/>
  <c r="F133" i="12" s="1"/>
  <c r="K289" i="12" a="1"/>
  <c r="K289" i="12" s="1"/>
  <c r="AL69" i="2" a="1"/>
  <c r="AL69" i="2" s="1"/>
  <c r="M195" i="12" a="1"/>
  <c r="M195" i="12" s="1"/>
  <c r="L484" i="12" a="1"/>
  <c r="L484" i="12" s="1"/>
  <c r="R416" i="12" a="1"/>
  <c r="R416" i="12" s="1"/>
  <c r="S372" i="12" a="1"/>
  <c r="S372" i="12" s="1"/>
  <c r="O490" i="12" a="1"/>
  <c r="O490" i="12" s="1"/>
  <c r="J422" i="12" a="1"/>
  <c r="J422" i="12" s="1"/>
  <c r="R325" i="12" a="1"/>
  <c r="R325" i="12" s="1"/>
  <c r="P368" i="12" a="1"/>
  <c r="P368" i="12" s="1"/>
  <c r="R150" i="12" a="1"/>
  <c r="R150" i="12" s="1"/>
  <c r="J107" i="12" a="1"/>
  <c r="J107" i="12" s="1"/>
  <c r="G92" i="12" a="1"/>
  <c r="G92" i="12" s="1"/>
  <c r="N140" i="12" a="1"/>
  <c r="N140" i="12" s="1"/>
  <c r="P106" i="12" a="1"/>
  <c r="P106" i="12" s="1"/>
  <c r="J314" i="12" a="1"/>
  <c r="J314" i="12" s="1"/>
  <c r="T121" i="12" a="1"/>
  <c r="T121" i="12" s="1"/>
  <c r="N71" i="12" a="1"/>
  <c r="N71" i="12" s="1"/>
  <c r="R203" i="12" a="1"/>
  <c r="R203" i="12" s="1"/>
  <c r="R79" i="12" a="1"/>
  <c r="R79" i="12" s="1"/>
  <c r="J54" i="12" a="1"/>
  <c r="J54" i="12" s="1"/>
  <c r="R40" i="12" a="1"/>
  <c r="R40" i="12" s="1"/>
  <c r="G38" i="12" a="1"/>
  <c r="G38" i="12" s="1"/>
  <c r="J100" i="12" a="1"/>
  <c r="J100" i="12" s="1"/>
  <c r="T148" i="12" a="1"/>
  <c r="T148" i="12" s="1"/>
  <c r="F232" i="12" a="1"/>
  <c r="F232" i="12" s="1"/>
  <c r="U521" i="2" a="1"/>
  <c r="U521" i="2" s="1"/>
  <c r="K168" i="12" a="1"/>
  <c r="K168" i="12" s="1"/>
  <c r="T168" i="12" a="1"/>
  <c r="T168" i="12" s="1"/>
  <c r="R229" i="12" a="1"/>
  <c r="R229" i="12" s="1"/>
  <c r="M419" i="12" a="1"/>
  <c r="M419" i="12" s="1"/>
  <c r="J479" i="12" a="1"/>
  <c r="J479" i="12" s="1"/>
  <c r="Q427" i="12" a="1"/>
  <c r="Q427" i="12" s="1"/>
  <c r="L123" i="12" a="1"/>
  <c r="L123" i="12" s="1"/>
  <c r="N432" i="12" a="1"/>
  <c r="N432" i="12" s="1"/>
  <c r="S432" i="12" a="1"/>
  <c r="S432" i="12" s="1"/>
  <c r="G153" i="12" a="1"/>
  <c r="G153" i="12" s="1"/>
  <c r="P138" i="12" a="1"/>
  <c r="P138" i="12" s="1"/>
  <c r="R165" i="12" a="1"/>
  <c r="R165" i="12" s="1"/>
  <c r="Q388" i="12" a="1"/>
  <c r="Q388" i="12" s="1"/>
  <c r="T177" i="12" a="1"/>
  <c r="T177" i="12" s="1"/>
  <c r="G283" i="12" a="1"/>
  <c r="G283" i="12" s="1"/>
  <c r="F368" i="12" a="1"/>
  <c r="F368" i="12" s="1"/>
  <c r="U221" i="2" a="1"/>
  <c r="U221" i="2" s="1"/>
  <c r="F299" i="12" a="1"/>
  <c r="F299" i="12" s="1"/>
  <c r="I183" i="12" a="1"/>
  <c r="I183" i="12" s="1"/>
  <c r="L140" i="12" a="1"/>
  <c r="L140" i="12" s="1"/>
  <c r="O293" i="12" a="1"/>
  <c r="O293" i="12" s="1"/>
  <c r="G161" i="12" a="1"/>
  <c r="G161" i="12" s="1"/>
  <c r="F106" i="12" a="1"/>
  <c r="F106" i="12" s="1"/>
  <c r="U332" i="2" a="1"/>
  <c r="U332" i="2" s="1"/>
  <c r="T126" i="12" a="1"/>
  <c r="T126" i="12" s="1"/>
  <c r="F87" i="12" a="1"/>
  <c r="F87" i="12" s="1"/>
  <c r="N203" i="12" a="1"/>
  <c r="N203" i="12" s="1"/>
  <c r="P568" i="12" a="1"/>
  <c r="P568" i="12" s="1"/>
  <c r="K462" i="12" a="1"/>
  <c r="K462" i="12" s="1"/>
  <c r="T131" i="12" a="1"/>
  <c r="T131" i="12" s="1"/>
  <c r="J403" i="12" a="1"/>
  <c r="J403" i="12" s="1"/>
  <c r="N141" i="12" a="1"/>
  <c r="N141" i="12" s="1"/>
  <c r="I383" i="12" a="1"/>
  <c r="I383" i="12" s="1"/>
  <c r="O393" i="12" a="1"/>
  <c r="O393" i="12" s="1"/>
  <c r="G427" i="12" a="1"/>
  <c r="G427" i="12" s="1"/>
  <c r="N427" i="12" a="1"/>
  <c r="N427" i="12" s="1"/>
  <c r="R135" i="12" a="1"/>
  <c r="R135" i="12" s="1"/>
  <c r="L321" i="12" a="1"/>
  <c r="L321" i="12" s="1"/>
  <c r="S120" i="12" a="1"/>
  <c r="S120" i="12" s="1"/>
  <c r="F157" i="12" a="1"/>
  <c r="F157" i="12" s="1"/>
  <c r="S119" i="12" a="1"/>
  <c r="S119" i="12" s="1"/>
  <c r="N133" i="12" a="1"/>
  <c r="N133" i="12" s="1"/>
  <c r="S126" i="12" a="1"/>
  <c r="S126" i="12" s="1"/>
  <c r="K121" i="12" a="1"/>
  <c r="K121" i="12" s="1"/>
  <c r="M253" i="12" a="1"/>
  <c r="M253" i="12" s="1"/>
  <c r="M556" i="12" a="1"/>
  <c r="M556" i="12" s="1"/>
  <c r="M235" i="12" a="1"/>
  <c r="M235" i="12" s="1"/>
  <c r="S308" i="12" a="1"/>
  <c r="S308" i="12" s="1"/>
  <c r="O374" i="12" a="1"/>
  <c r="O374" i="12" s="1"/>
  <c r="L152" i="12" a="1"/>
  <c r="L152" i="12" s="1"/>
  <c r="G458" i="12" a="1"/>
  <c r="G458" i="12" s="1"/>
  <c r="Q363" i="12" a="1"/>
  <c r="Q363" i="12" s="1"/>
  <c r="R366" i="12" a="1"/>
  <c r="R366" i="12" s="1"/>
  <c r="G370" i="12" a="1"/>
  <c r="G370" i="12" s="1"/>
  <c r="K177" i="12" a="1"/>
  <c r="K177" i="12" s="1"/>
  <c r="T348" i="12" a="1"/>
  <c r="T348" i="12" s="1"/>
  <c r="R335" i="12" a="1"/>
  <c r="R335" i="12" s="1"/>
  <c r="N317" i="12" a="1"/>
  <c r="N317" i="12" s="1"/>
  <c r="O97" i="12" a="1"/>
  <c r="O97" i="12" s="1"/>
  <c r="K73" i="12" a="1"/>
  <c r="K73" i="12" s="1"/>
  <c r="I415" i="12" a="1"/>
  <c r="I415" i="12" s="1"/>
  <c r="M528" i="12" a="1"/>
  <c r="M528" i="12" s="1"/>
  <c r="J528" i="12" a="1"/>
  <c r="J528" i="12" s="1"/>
  <c r="K414" i="12" a="1"/>
  <c r="K414" i="12" s="1"/>
  <c r="I363" i="12" a="1"/>
  <c r="I363" i="12" s="1"/>
  <c r="S159" i="12" a="1"/>
  <c r="S159" i="12" s="1"/>
  <c r="S404" i="12" a="1"/>
  <c r="S404" i="12" s="1"/>
  <c r="M358" i="12" a="1"/>
  <c r="M358" i="12" s="1"/>
  <c r="I376" i="12" a="1"/>
  <c r="I376" i="12" s="1"/>
  <c r="G387" i="12" a="1"/>
  <c r="G387" i="12" s="1"/>
  <c r="N101" i="12" a="1"/>
  <c r="N101" i="12" s="1"/>
  <c r="K293" i="12" a="1"/>
  <c r="K293" i="12" s="1"/>
  <c r="K317" i="12" a="1"/>
  <c r="K317" i="12" s="1"/>
  <c r="F602" i="12" a="1"/>
  <c r="F602" i="12" s="1"/>
  <c r="U252" i="2" a="1"/>
  <c r="U252" i="2" s="1"/>
  <c r="F71" i="12" a="1"/>
  <c r="F71" i="12" s="1"/>
  <c r="U285" i="2" a="1"/>
  <c r="U285" i="2" s="1"/>
  <c r="G196" i="12" a="1"/>
  <c r="G196" i="12" s="1"/>
  <c r="N151" i="12" a="1"/>
  <c r="N151" i="12" s="1"/>
  <c r="N125" i="12" a="1"/>
  <c r="N125" i="12" s="1"/>
  <c r="R94" i="12" a="1"/>
  <c r="R94" i="12" s="1"/>
  <c r="O61" i="12" a="1"/>
  <c r="O61" i="12" s="1"/>
  <c r="K14" i="12" a="1"/>
  <c r="K14" i="12" s="1"/>
  <c r="G29" i="12" a="1"/>
  <c r="G29" i="12" s="1"/>
  <c r="G110" i="12" a="1"/>
  <c r="G110" i="12" s="1"/>
  <c r="K24" i="12" a="1"/>
  <c r="K24" i="12" s="1"/>
  <c r="Q47" i="12" a="1"/>
  <c r="Q47" i="12" s="1"/>
  <c r="T20" i="12" a="1"/>
  <c r="T20" i="12" s="1"/>
  <c r="F79" i="12" a="1"/>
  <c r="F79" i="12" s="1"/>
  <c r="U212" i="2" a="1"/>
  <c r="U212" i="2" s="1"/>
  <c r="I69" i="12" a="1"/>
  <c r="I69" i="12" s="1"/>
  <c r="AQ72" i="2" a="1"/>
  <c r="AQ72" i="2" s="1"/>
  <c r="AR72" i="2" a="1"/>
  <c r="AR72" i="2" s="1"/>
  <c r="N25" i="12" a="1"/>
  <c r="N25" i="12" s="1"/>
  <c r="N43" i="12" a="1"/>
  <c r="N43" i="12" s="1"/>
  <c r="J144" i="12" a="1"/>
  <c r="J144" i="12" s="1"/>
  <c r="G30" i="12" a="1"/>
  <c r="G30" i="12" s="1"/>
  <c r="O29" i="12" a="1"/>
  <c r="O29" i="12" s="1"/>
  <c r="N24" i="12" a="1"/>
  <c r="N24" i="12" s="1"/>
  <c r="L47" i="12" a="1"/>
  <c r="L47" i="12" s="1"/>
  <c r="R3" i="12" a="1"/>
  <c r="R3" i="12" s="1"/>
  <c r="W10" i="3" a="1"/>
  <c r="W10" i="3" s="1"/>
  <c r="G32" i="12" a="1"/>
  <c r="G32" i="12" s="1"/>
  <c r="M122" i="12" a="1"/>
  <c r="M122" i="12" s="1"/>
  <c r="T44" i="12" a="1"/>
  <c r="T44" i="12" s="1"/>
  <c r="M17" i="12" a="1"/>
  <c r="M17" i="12" s="1"/>
  <c r="Q6" i="12" a="1"/>
  <c r="Q6" i="12" s="1"/>
  <c r="R12" i="12" a="1"/>
  <c r="R12" i="12" s="1"/>
  <c r="J13" i="12" a="1"/>
  <c r="J13" i="12" s="1"/>
  <c r="O6" i="3" a="1"/>
  <c r="O6" i="3" s="1"/>
  <c r="L109" i="12" a="1"/>
  <c r="L109" i="12" s="1"/>
  <c r="L165" i="12" a="1"/>
  <c r="L165" i="12" s="1"/>
  <c r="P143" i="12" a="1"/>
  <c r="P143" i="12" s="1"/>
  <c r="N143" i="12" a="1"/>
  <c r="N143" i="12" s="1"/>
  <c r="K72" i="12" a="1"/>
  <c r="K72" i="12" s="1"/>
  <c r="K70" i="12" a="1"/>
  <c r="K70" i="12" s="1"/>
  <c r="P256" i="12" a="1"/>
  <c r="P256" i="12" s="1"/>
  <c r="L90" i="12" a="1"/>
  <c r="L90" i="12" s="1"/>
  <c r="T74" i="12" a="1"/>
  <c r="T74" i="12" s="1"/>
  <c r="AB621" i="12" a="1"/>
  <c r="AB621" i="12" s="1"/>
  <c r="F4" i="12" a="1"/>
  <c r="F4" i="12" s="1"/>
  <c r="U3" i="2" a="1"/>
  <c r="U3" i="2" s="1"/>
  <c r="T50" i="12" a="1"/>
  <c r="T50" i="12" s="1"/>
  <c r="T9" i="12" a="1"/>
  <c r="T9" i="12" s="1"/>
  <c r="R130" i="12" a="1"/>
  <c r="R130" i="12" s="1"/>
  <c r="F56" i="12" a="1"/>
  <c r="F56" i="12" s="1"/>
  <c r="U130" i="2" a="1"/>
  <c r="U130" i="2" s="1"/>
  <c r="F496" i="12" a="1"/>
  <c r="F496" i="12" s="1"/>
  <c r="U146" i="2" a="1"/>
  <c r="U146" i="2" s="1"/>
  <c r="S309" i="12" a="1"/>
  <c r="S309" i="12" s="1"/>
  <c r="M423" i="12" a="1"/>
  <c r="M423" i="12" s="1"/>
  <c r="S423" i="12" a="1"/>
  <c r="S423" i="12" s="1"/>
  <c r="R102" i="12" a="1"/>
  <c r="R102" i="12" s="1"/>
  <c r="F96" i="12" a="1"/>
  <c r="F96" i="12" s="1"/>
  <c r="U208" i="2" a="1"/>
  <c r="U208" i="2" s="1"/>
  <c r="Q79" i="12" a="1"/>
  <c r="Q79" i="12" s="1"/>
  <c r="F212" i="12" a="1"/>
  <c r="F212" i="12" s="1"/>
  <c r="U114" i="2" a="1"/>
  <c r="U114" i="2" s="1"/>
  <c r="G207" i="12" a="1"/>
  <c r="G207" i="12" s="1"/>
  <c r="AA637" i="12" a="1"/>
  <c r="AA637" i="12" s="1"/>
  <c r="K12" i="12" a="1"/>
  <c r="K12" i="12" s="1"/>
  <c r="R27" i="12" a="1"/>
  <c r="R27" i="12" s="1"/>
  <c r="I333" i="12" a="1"/>
  <c r="I333" i="12" s="1"/>
  <c r="P333" i="12" a="1"/>
  <c r="P333" i="12" s="1"/>
  <c r="F121" i="12" a="1"/>
  <c r="F121" i="12" s="1"/>
  <c r="U240" i="2" a="1"/>
  <c r="U240" i="2" s="1"/>
  <c r="N28" i="12" a="1"/>
  <c r="N28" i="12" s="1"/>
  <c r="O68" i="12" a="1"/>
  <c r="O68" i="12" s="1"/>
  <c r="P146" i="12" a="1"/>
  <c r="P146" i="12" s="1"/>
  <c r="I305" i="12" a="1"/>
  <c r="I305" i="12" s="1"/>
  <c r="F55" i="12" a="1"/>
  <c r="F55" i="12" s="1"/>
  <c r="U129" i="2" a="1"/>
  <c r="U129" i="2" s="1"/>
  <c r="F39" i="12" a="1"/>
  <c r="F39" i="12" s="1"/>
  <c r="U77" i="2" a="1"/>
  <c r="U77" i="2" s="1"/>
  <c r="M109" i="12" a="1"/>
  <c r="M109" i="12" s="1"/>
  <c r="R8" i="12" a="1"/>
  <c r="R8" i="12" s="1"/>
  <c r="T5" i="12" a="1"/>
  <c r="T5" i="12" s="1"/>
  <c r="O4" i="12" a="1"/>
  <c r="O4" i="12" s="1"/>
  <c r="I492" i="12" a="1"/>
  <c r="I492" i="12" s="1"/>
  <c r="U446" i="2" a="1"/>
  <c r="U446" i="2" s="1"/>
  <c r="L266" i="12" a="1"/>
  <c r="L266" i="12" s="1"/>
  <c r="O104" i="12" a="1"/>
  <c r="O104" i="12" s="1"/>
  <c r="R46" i="12" a="1"/>
  <c r="R46" i="12" s="1"/>
  <c r="R77" i="12" a="1"/>
  <c r="R77" i="12" s="1"/>
  <c r="Z609" i="12" a="1"/>
  <c r="Z609" i="12" s="1"/>
  <c r="L76" i="12" a="1"/>
  <c r="L76" i="12" s="1"/>
  <c r="K35" i="12" a="1"/>
  <c r="K35" i="12" s="1"/>
  <c r="P110" i="12" a="1"/>
  <c r="P110" i="12" s="1"/>
  <c r="K8" i="12" a="1"/>
  <c r="K8" i="12" s="1"/>
  <c r="R469" i="12" a="1"/>
  <c r="R469" i="12" s="1"/>
  <c r="P128" i="12" a="1"/>
  <c r="P128" i="12" s="1"/>
  <c r="I88" i="12" a="1"/>
  <c r="I88" i="12" s="1"/>
  <c r="I266" i="12" a="1"/>
  <c r="I266" i="12" s="1"/>
  <c r="J222" i="12" a="1"/>
  <c r="J222" i="12" s="1"/>
  <c r="G292" i="12" a="1"/>
  <c r="G292" i="12" s="1"/>
  <c r="M207" i="12" a="1"/>
  <c r="M207" i="12" s="1"/>
  <c r="G224" i="12" a="1"/>
  <c r="G224" i="12" s="1"/>
  <c r="R75" i="12" a="1"/>
  <c r="R75" i="12" s="1"/>
  <c r="N134" i="12" a="1"/>
  <c r="N134" i="12" s="1"/>
  <c r="K27" i="12" a="1"/>
  <c r="K27" i="12" s="1"/>
  <c r="S479" i="12" a="1"/>
  <c r="S479" i="12" s="1"/>
  <c r="AQ359" i="2" a="1"/>
  <c r="AQ359" i="2" s="1"/>
  <c r="G106" i="12" a="1"/>
  <c r="G106" i="12" s="1"/>
  <c r="M84" i="12" a="1"/>
  <c r="M84" i="12" s="1"/>
  <c r="F84" i="12" a="1"/>
  <c r="F84" i="12" s="1"/>
  <c r="U184" i="2" a="1"/>
  <c r="U184" i="2" s="1"/>
  <c r="Q64" i="12" a="1"/>
  <c r="Q64" i="12" s="1"/>
  <c r="M95" i="12" a="1"/>
  <c r="M95" i="12" s="1"/>
  <c r="S275" i="12" a="1"/>
  <c r="S275" i="12" s="1"/>
  <c r="J69" i="12" a="1"/>
  <c r="J69" i="12" s="1"/>
  <c r="X623" i="12" a="1"/>
  <c r="X623" i="12" s="1"/>
  <c r="S61" i="12" a="1"/>
  <c r="S61" i="12" s="1"/>
  <c r="O55" i="12" a="1"/>
  <c r="O55" i="12" s="1"/>
  <c r="G18" i="12" a="1"/>
  <c r="G18" i="12" s="1"/>
  <c r="T39" i="12" a="1"/>
  <c r="T39" i="12" s="1"/>
  <c r="P379" i="12" a="1"/>
  <c r="P379" i="12" s="1"/>
  <c r="AB655" i="12" a="1"/>
  <c r="AB655" i="12" s="1"/>
  <c r="R330" i="12" a="1"/>
  <c r="R330" i="12" s="1"/>
  <c r="L330" i="12" a="1"/>
  <c r="L330" i="12" s="1"/>
  <c r="P81" i="12" a="1"/>
  <c r="P81" i="12" s="1"/>
  <c r="G81" i="12" a="1"/>
  <c r="G81" i="12" s="1"/>
  <c r="J382" i="12" a="1"/>
  <c r="J382" i="12" s="1"/>
  <c r="Q58" i="12" a="1"/>
  <c r="Q58" i="12" s="1"/>
  <c r="N292" i="12" a="1"/>
  <c r="N292" i="12" s="1"/>
  <c r="L201" i="12" a="1"/>
  <c r="L201" i="12" s="1"/>
  <c r="R61" i="12" a="1"/>
  <c r="R61" i="12" s="1"/>
  <c r="S32" i="12" a="1"/>
  <c r="S32" i="12" s="1"/>
  <c r="R25" i="12" a="1"/>
  <c r="R25" i="12" s="1"/>
  <c r="R35" i="12" a="1"/>
  <c r="R35" i="12" s="1"/>
  <c r="G299" i="12" a="1"/>
  <c r="G299" i="12" s="1"/>
  <c r="N259" i="12" a="1"/>
  <c r="N259" i="12" s="1"/>
  <c r="F90" i="12" a="1"/>
  <c r="F90" i="12" s="1"/>
  <c r="U325" i="2" a="1"/>
  <c r="U325" i="2" s="1"/>
  <c r="J105" i="12" a="1"/>
  <c r="J105" i="12" s="1"/>
  <c r="S85" i="12" a="1"/>
  <c r="S85" i="12" s="1"/>
  <c r="O78" i="12" a="1"/>
  <c r="O78" i="12" s="1"/>
  <c r="J174" i="12" a="1"/>
  <c r="J174" i="12" s="1"/>
  <c r="J148" i="12" a="1"/>
  <c r="J148" i="12" s="1"/>
  <c r="M56" i="12" a="1"/>
  <c r="M56" i="12" s="1"/>
  <c r="L155" i="12" a="1"/>
  <c r="L155" i="12" s="1"/>
  <c r="T3" i="12" a="1"/>
  <c r="T3" i="12" s="1"/>
  <c r="Y10" i="3" a="1"/>
  <c r="Y10" i="3" s="1"/>
  <c r="I160" i="12" a="1"/>
  <c r="I160" i="12" s="1"/>
  <c r="U281" i="2" a="1"/>
  <c r="U281" i="2" s="1"/>
  <c r="T99" i="12" a="1"/>
  <c r="T99" i="12" s="1"/>
  <c r="I89" i="12" a="1"/>
  <c r="I89" i="12" s="1"/>
  <c r="S256" i="12" a="1"/>
  <c r="S256" i="12" s="1"/>
  <c r="S93" i="12" a="1"/>
  <c r="S93" i="12" s="1"/>
  <c r="I55" i="12" a="1"/>
  <c r="I55" i="12" s="1"/>
  <c r="Q39" i="12" a="1"/>
  <c r="Q39" i="12" s="1"/>
  <c r="O15" i="12" a="1"/>
  <c r="O15" i="12" s="1"/>
  <c r="I130" i="12" a="1"/>
  <c r="I130" i="12" s="1"/>
  <c r="N13" i="12" a="1"/>
  <c r="N13" i="12" s="1"/>
  <c r="S6" i="3" a="1"/>
  <c r="S6" i="3" s="1"/>
  <c r="O9" i="12" a="1"/>
  <c r="O9" i="12" s="1"/>
  <c r="S26" i="12" a="1"/>
  <c r="S26" i="12" s="1"/>
  <c r="X14" i="3" a="1"/>
  <c r="X14" i="3" s="1"/>
  <c r="T35" i="12" a="1"/>
  <c r="T35" i="12" s="1"/>
  <c r="G21" i="12" a="1"/>
  <c r="G21" i="12" s="1"/>
  <c r="M3" i="12" a="1"/>
  <c r="M3" i="12" s="1"/>
  <c r="R10" i="3" a="1"/>
  <c r="R10" i="3" s="1"/>
  <c r="R21" i="12" a="1"/>
  <c r="R21" i="12" s="1"/>
  <c r="S166" i="12" a="1"/>
  <c r="S166" i="12" s="1"/>
  <c r="F47" i="12" a="1"/>
  <c r="F47" i="12" s="1"/>
  <c r="G26" i="12" a="1"/>
  <c r="G26" i="12" s="1"/>
  <c r="L10" i="12" a="1"/>
  <c r="L10" i="12" s="1"/>
  <c r="M41" i="12" a="1"/>
  <c r="M41" i="12" s="1"/>
  <c r="J36" i="12" a="1"/>
  <c r="J36" i="12" s="1"/>
  <c r="R45" i="12" a="1"/>
  <c r="R45" i="12" s="1"/>
  <c r="Q45" i="12" a="1"/>
  <c r="Q45" i="12" s="1"/>
  <c r="J31" i="12" a="1"/>
  <c r="J31" i="12" s="1"/>
  <c r="L31" i="12" a="1"/>
  <c r="L31" i="12" s="1"/>
  <c r="Q104" i="12" a="1"/>
  <c r="Q104" i="12" s="1"/>
  <c r="J129" i="12" a="1"/>
  <c r="J129" i="12" s="1"/>
  <c r="F184" i="12" a="1"/>
  <c r="F184" i="12" s="1"/>
  <c r="U60" i="2" a="1"/>
  <c r="U60" i="2" s="1"/>
  <c r="T184" i="12" a="1"/>
  <c r="T184" i="12" s="1"/>
  <c r="I148" i="12" a="1"/>
  <c r="I148" i="12" s="1"/>
  <c r="T59" i="12" a="1"/>
  <c r="T59" i="12" s="1"/>
  <c r="F37" i="12" a="1"/>
  <c r="F37" i="12" s="1"/>
  <c r="U70" i="2" a="1"/>
  <c r="U70" i="2" s="1"/>
  <c r="N118" i="12" a="1"/>
  <c r="N118" i="12" s="1"/>
  <c r="K22" i="12" a="1"/>
  <c r="K22" i="12" s="1"/>
  <c r="G22" i="12" a="1"/>
  <c r="G22" i="12" s="1"/>
  <c r="S42" i="12" a="1"/>
  <c r="S42" i="12" s="1"/>
  <c r="P44" i="12" a="1"/>
  <c r="P44" i="12" s="1"/>
  <c r="K80" i="12" a="1"/>
  <c r="K80" i="12" s="1"/>
  <c r="P80" i="12" a="1"/>
  <c r="P80" i="12" s="1"/>
  <c r="N69" i="12" a="1"/>
  <c r="N69" i="12" s="1"/>
  <c r="I62" i="12" a="1"/>
  <c r="I62" i="12" s="1"/>
  <c r="J155" i="12" a="1"/>
  <c r="J155" i="12" s="1"/>
  <c r="J34" i="12" a="1"/>
  <c r="J34" i="12" s="1"/>
  <c r="Q34" i="12" a="1"/>
  <c r="Q34" i="12" s="1"/>
  <c r="G57" i="12" a="1"/>
  <c r="G57" i="12" s="1"/>
  <c r="S57" i="12" a="1"/>
  <c r="S57" i="12" s="1"/>
  <c r="G182" i="12" a="1"/>
  <c r="G182" i="12" s="1"/>
  <c r="P191" i="12" a="1"/>
  <c r="P191" i="12" s="1"/>
  <c r="N5" i="12" a="1"/>
  <c r="N5" i="12" s="1"/>
  <c r="O8" i="12" a="1"/>
  <c r="O8" i="12" s="1"/>
  <c r="F53" i="12" a="1"/>
  <c r="F53" i="12" s="1"/>
  <c r="U113" i="2" a="1"/>
  <c r="U113" i="2" s="1"/>
  <c r="L49" i="12" a="1"/>
  <c r="L49" i="12" s="1"/>
  <c r="R86" i="12" a="1"/>
  <c r="R86" i="12" s="1"/>
  <c r="T63" i="12" a="1"/>
  <c r="T63" i="12" s="1"/>
  <c r="N11" i="12" a="1"/>
  <c r="N11" i="12" s="1"/>
  <c r="M11" i="12" a="1"/>
  <c r="M11" i="12" s="1"/>
  <c r="R78" i="12" a="1"/>
  <c r="R78" i="12" s="1"/>
  <c r="M43" i="12" a="1"/>
  <c r="M43" i="12" s="1"/>
  <c r="N200" i="12" a="1"/>
  <c r="N200" i="12" s="1"/>
  <c r="P40" i="12" a="1"/>
  <c r="P40" i="12" s="1"/>
  <c r="K47" i="12" a="1"/>
  <c r="K47" i="12" s="1"/>
  <c r="Q33" i="12" a="1"/>
  <c r="Q33" i="12" s="1"/>
  <c r="J33" i="12" a="1"/>
  <c r="J33" i="12" s="1"/>
  <c r="F202" i="12" a="1"/>
  <c r="F202" i="12" s="1"/>
  <c r="S103" i="12" a="1"/>
  <c r="S103" i="12" s="1"/>
  <c r="I19" i="12" a="1"/>
  <c r="I19" i="12" s="1"/>
  <c r="K208" i="12" a="1"/>
  <c r="K208" i="12" s="1"/>
  <c r="R510" i="12" a="1"/>
  <c r="R510" i="12" s="1"/>
  <c r="G245" i="12" a="1"/>
  <c r="G245" i="12" s="1"/>
  <c r="J568" i="12" a="1"/>
  <c r="J568" i="12" s="1"/>
  <c r="I228" i="12" a="1"/>
  <c r="I228" i="12" s="1"/>
  <c r="Q562" i="12" a="1"/>
  <c r="Q562" i="12" s="1"/>
  <c r="T531" i="12" a="1"/>
  <c r="T531" i="12" s="1"/>
  <c r="S197" i="12" a="1"/>
  <c r="S197" i="12" s="1"/>
  <c r="AQ142" i="2" a="1"/>
  <c r="AQ142" i="2" s="1"/>
  <c r="AR142" i="2" a="1"/>
  <c r="AR142" i="2" s="1"/>
  <c r="P556" i="12" a="1"/>
  <c r="P556" i="12" s="1"/>
  <c r="F549" i="12" a="1"/>
  <c r="F549" i="12" s="1"/>
  <c r="U185" i="2" a="1"/>
  <c r="U185" i="2" s="1"/>
  <c r="P147" i="12" a="1"/>
  <c r="P147" i="12" s="1"/>
  <c r="K282" i="12" a="1"/>
  <c r="K282" i="12" s="1"/>
  <c r="P597" i="12" a="1"/>
  <c r="P597" i="12" s="1"/>
  <c r="T505" i="12" a="1"/>
  <c r="T505" i="12" s="1"/>
  <c r="M514" i="12" a="1"/>
  <c r="M514" i="12" s="1"/>
  <c r="Q213" i="12" a="1"/>
  <c r="Q213" i="12" s="1"/>
  <c r="T83" i="12" a="1"/>
  <c r="T83" i="12" s="1"/>
  <c r="J185" i="12" a="1"/>
  <c r="J185" i="12" s="1"/>
  <c r="Q588" i="12" a="1"/>
  <c r="Q588" i="12" s="1"/>
  <c r="M223" i="12" a="1"/>
  <c r="M223" i="12" s="1"/>
  <c r="G223" i="12" a="1"/>
  <c r="G223" i="12" s="1"/>
  <c r="F557" i="12" a="1"/>
  <c r="F557" i="12" s="1"/>
  <c r="U371" i="2" a="1"/>
  <c r="U371" i="2" s="1"/>
  <c r="I258" i="12" a="1"/>
  <c r="I258" i="12" s="1"/>
  <c r="J238" i="12" a="1"/>
  <c r="J238" i="12" s="1"/>
  <c r="G323" i="12" a="1"/>
  <c r="G323" i="12" s="1"/>
  <c r="S539" i="12" a="1"/>
  <c r="S539" i="12" s="1"/>
  <c r="P260" i="12" a="1"/>
  <c r="P260" i="12" s="1"/>
  <c r="R514" i="12" a="1"/>
  <c r="R514" i="12" s="1"/>
  <c r="N598" i="12" a="1"/>
  <c r="N598" i="12" s="1"/>
  <c r="G598" i="12" a="1"/>
  <c r="G598" i="12" s="1"/>
  <c r="J261" i="12" a="1"/>
  <c r="J261" i="12" s="1"/>
  <c r="O276" i="12" a="1"/>
  <c r="O276" i="12" s="1"/>
  <c r="T211" i="12" a="1"/>
  <c r="T211" i="12" s="1"/>
  <c r="P243" i="12" a="1"/>
  <c r="P243" i="12" s="1"/>
  <c r="I280" i="12" a="1"/>
  <c r="I280" i="12" s="1"/>
  <c r="M226" i="12" a="1"/>
  <c r="M226" i="12" s="1"/>
  <c r="G519" i="12" a="1"/>
  <c r="G519" i="12" s="1"/>
  <c r="O503" i="12" a="1"/>
  <c r="O503" i="12" s="1"/>
  <c r="G495" i="12" a="1"/>
  <c r="G495" i="12" s="1"/>
  <c r="AA656" i="12" a="1"/>
  <c r="AA656" i="12" s="1"/>
  <c r="J225" i="12" a="1"/>
  <c r="J225" i="12" s="1"/>
  <c r="N221" i="12" a="1"/>
  <c r="N221" i="12" s="1"/>
  <c r="F412" i="12" a="1"/>
  <c r="F412" i="12" s="1"/>
  <c r="U235" i="2" a="1"/>
  <c r="U235" i="2" s="1"/>
  <c r="AB646" i="12" a="1"/>
  <c r="AB646" i="12" s="1"/>
  <c r="S329" i="12" a="1"/>
  <c r="S329" i="12" s="1"/>
  <c r="K463" i="12" a="1"/>
  <c r="K463" i="12" s="1"/>
  <c r="R257" i="12" a="1"/>
  <c r="R257" i="12" s="1"/>
  <c r="R295" i="12" a="1"/>
  <c r="R295" i="12" s="1"/>
  <c r="I260" i="12" a="1"/>
  <c r="I260" i="12" s="1"/>
  <c r="O561" i="12" a="1"/>
  <c r="O561" i="12" s="1"/>
  <c r="M277" i="12" a="1"/>
  <c r="M277" i="12" s="1"/>
  <c r="N268" i="12" a="1"/>
  <c r="N268" i="12" s="1"/>
  <c r="L245" i="12" a="1"/>
  <c r="L245" i="12" s="1"/>
  <c r="L499" i="12" a="1"/>
  <c r="L499" i="12" s="1"/>
  <c r="AB626" i="12" a="1"/>
  <c r="AB626" i="12" s="1"/>
  <c r="N329" i="12" a="1"/>
  <c r="N329" i="12" s="1"/>
  <c r="P311" i="12" a="1"/>
  <c r="P311" i="12" s="1"/>
  <c r="S233" i="12" a="1"/>
  <c r="S233" i="12" s="1"/>
  <c r="J234" i="12" a="1"/>
  <c r="J234" i="12" s="1"/>
  <c r="I539" i="12" a="1"/>
  <c r="I539" i="12" s="1"/>
  <c r="S226" i="12" a="1"/>
  <c r="S226" i="12" s="1"/>
  <c r="P213" i="12" a="1"/>
  <c r="P213" i="12" s="1"/>
  <c r="L277" i="12" a="1"/>
  <c r="L277" i="12" s="1"/>
  <c r="N273" i="12" a="1"/>
  <c r="N273" i="12" s="1"/>
  <c r="I573" i="12" a="1"/>
  <c r="I573" i="12" s="1"/>
  <c r="I503" i="12" a="1"/>
  <c r="I503" i="12" s="1"/>
  <c r="R557" i="12" a="1"/>
  <c r="R557" i="12" s="1"/>
  <c r="R519" i="12" a="1"/>
  <c r="R519" i="12" s="1"/>
  <c r="T551" i="12" a="1"/>
  <c r="T551" i="12" s="1"/>
  <c r="F509" i="12" a="1"/>
  <c r="F509" i="12" s="1"/>
  <c r="U174" i="2" a="1"/>
  <c r="U174" i="2" s="1"/>
  <c r="R186" i="12" a="1"/>
  <c r="R186" i="12" s="1"/>
  <c r="Q606" i="12" a="1"/>
  <c r="Q606" i="12" s="1"/>
  <c r="Q135" i="12" a="1"/>
  <c r="Q135" i="12" s="1"/>
  <c r="F241" i="12" a="1"/>
  <c r="F241" i="12" s="1"/>
  <c r="AL256" i="2" a="1"/>
  <c r="AL256" i="2" s="1"/>
  <c r="F220" i="12" a="1"/>
  <c r="F220" i="12" s="1"/>
  <c r="U428" i="2" a="1"/>
  <c r="U428" i="2" s="1"/>
  <c r="Q220" i="12" a="1"/>
  <c r="Q220" i="12" s="1"/>
  <c r="Z640" i="12" a="1"/>
  <c r="Z640" i="12" s="1"/>
  <c r="P244" i="12" a="1"/>
  <c r="P244" i="12" s="1"/>
  <c r="N244" i="12" a="1"/>
  <c r="N244" i="12" s="1"/>
  <c r="N415" i="12" a="1"/>
  <c r="N415" i="12" s="1"/>
  <c r="N504" i="12" a="1"/>
  <c r="N504" i="12" s="1"/>
  <c r="J179" i="12" a="1"/>
  <c r="J179" i="12" s="1"/>
  <c r="N449" i="12" a="1"/>
  <c r="N449" i="12" s="1"/>
  <c r="X614" i="12" a="1"/>
  <c r="X614" i="12" s="1"/>
  <c r="M163" i="12" a="1"/>
  <c r="M163" i="12" s="1"/>
  <c r="M493" i="12" a="1"/>
  <c r="M493" i="12" s="1"/>
  <c r="T476" i="12" a="1"/>
  <c r="T476" i="12" s="1"/>
  <c r="J397" i="12" a="1"/>
  <c r="J397" i="12" s="1"/>
  <c r="Q223" i="12" a="1"/>
  <c r="Q223" i="12" s="1"/>
  <c r="T239" i="12" a="1"/>
  <c r="T239" i="12" s="1"/>
  <c r="J604" i="12" a="1"/>
  <c r="J604" i="12" s="1"/>
  <c r="R503" i="12" a="1"/>
  <c r="R503" i="12" s="1"/>
  <c r="J547" i="12" a="1"/>
  <c r="J547" i="12" s="1"/>
  <c r="Q407" i="12" a="1"/>
  <c r="Q407" i="12" s="1"/>
  <c r="J407" i="12" a="1"/>
  <c r="J407" i="12" s="1"/>
  <c r="K193" i="12" a="1"/>
  <c r="K193" i="12" s="1"/>
  <c r="K408" i="12" a="1"/>
  <c r="K408" i="12" s="1"/>
  <c r="S435" i="12" a="1"/>
  <c r="S435" i="12" s="1"/>
  <c r="P586" i="12" a="1"/>
  <c r="P586" i="12" s="1"/>
  <c r="I188" i="12" a="1"/>
  <c r="I188" i="12" s="1"/>
  <c r="T195" i="12" a="1"/>
  <c r="T195" i="12" s="1"/>
  <c r="O132" i="12" a="1"/>
  <c r="O132" i="12" s="1"/>
  <c r="P584" i="12" a="1"/>
  <c r="P584" i="12" s="1"/>
  <c r="O584" i="12" a="1"/>
  <c r="O584" i="12" s="1"/>
  <c r="G185" i="12" a="1"/>
  <c r="G185" i="12" s="1"/>
  <c r="R499" i="12" a="1"/>
  <c r="R499" i="12" s="1"/>
  <c r="T180" i="12" a="1"/>
  <c r="T180" i="12" s="1"/>
  <c r="N508" i="12" a="1"/>
  <c r="N508" i="12" s="1"/>
  <c r="O508" i="12" a="1"/>
  <c r="O508" i="12" s="1"/>
  <c r="G556" i="12" a="1"/>
  <c r="G556" i="12" s="1"/>
  <c r="K559" i="12" a="1"/>
  <c r="K559" i="12" s="1"/>
  <c r="Q559" i="12" a="1"/>
  <c r="Q559" i="12" s="1"/>
  <c r="N457" i="12" a="1"/>
  <c r="N457" i="12" s="1"/>
  <c r="K515" i="12" a="1"/>
  <c r="K515" i="12" s="1"/>
  <c r="J230" i="12" a="1"/>
  <c r="J230" i="12" s="1"/>
  <c r="J227" i="12" a="1"/>
  <c r="J227" i="12" s="1"/>
  <c r="J136" i="12" a="1"/>
  <c r="J136" i="12" s="1"/>
  <c r="L190" i="12" a="1"/>
  <c r="L190" i="12" s="1"/>
  <c r="P199" i="12" a="1"/>
  <c r="P199" i="12" s="1"/>
  <c r="F476" i="12" a="1"/>
  <c r="F476" i="12" s="1"/>
  <c r="U246" i="2" a="1"/>
  <c r="U246" i="2" s="1"/>
  <c r="R497" i="12" a="1"/>
  <c r="R497" i="12" s="1"/>
  <c r="N170" i="12" a="1"/>
  <c r="N170" i="12" s="1"/>
  <c r="I511" i="12" a="1"/>
  <c r="I511" i="12" s="1"/>
  <c r="T514" i="12" a="1"/>
  <c r="T514" i="12" s="1"/>
  <c r="J83" i="12" a="1"/>
  <c r="J83" i="12" s="1"/>
  <c r="T564" i="12" a="1"/>
  <c r="T564" i="12" s="1"/>
  <c r="K564" i="12" a="1"/>
  <c r="K564" i="12" s="1"/>
  <c r="G530" i="12" a="1"/>
  <c r="G530" i="12" s="1"/>
  <c r="L547" i="12" a="1"/>
  <c r="L547" i="12" s="1"/>
  <c r="O206" i="12" a="1"/>
  <c r="O206" i="12" s="1"/>
  <c r="Q147" i="12" a="1"/>
  <c r="Q147" i="12" s="1"/>
  <c r="F582" i="12" a="1"/>
  <c r="F582" i="12" s="1"/>
  <c r="U131" i="2" a="1"/>
  <c r="U131" i="2" s="1"/>
  <c r="K533" i="12" a="1"/>
  <c r="K533" i="12" s="1"/>
  <c r="P426" i="12" a="1"/>
  <c r="P426" i="12" s="1"/>
  <c r="P522" i="12" a="1"/>
  <c r="P522" i="12" s="1"/>
  <c r="K526" i="12" a="1"/>
  <c r="K526" i="12" s="1"/>
  <c r="Q217" i="12" a="1"/>
  <c r="Q217" i="12" s="1"/>
  <c r="F558" i="12" a="1"/>
  <c r="F558" i="12" s="1"/>
  <c r="U344" i="2" a="1"/>
  <c r="U344" i="2" s="1"/>
  <c r="T175" i="12" a="1"/>
  <c r="T175" i="12" s="1"/>
  <c r="R502" i="12" a="1"/>
  <c r="R502" i="12" s="1"/>
  <c r="P442" i="12" a="1"/>
  <c r="P442" i="12" s="1"/>
  <c r="L170" i="12" a="1"/>
  <c r="L170" i="12" s="1"/>
  <c r="K374" i="12" a="1"/>
  <c r="K374" i="12" s="1"/>
  <c r="Q419" i="12" a="1"/>
  <c r="Q419" i="12" s="1"/>
  <c r="F160" i="12" a="1"/>
  <c r="F160" i="12" s="1"/>
  <c r="U387" i="2" a="1"/>
  <c r="U387" i="2" s="1"/>
  <c r="T439" i="12" a="1"/>
  <c r="T439" i="12" s="1"/>
  <c r="R162" i="12" a="1"/>
  <c r="R162" i="12" s="1"/>
  <c r="P383" i="12" a="1"/>
  <c r="P383" i="12" s="1"/>
  <c r="L490" i="12" a="1"/>
  <c r="L490" i="12" s="1"/>
  <c r="F475" i="12" a="1"/>
  <c r="F475" i="12" s="1"/>
  <c r="U251" i="2" a="1"/>
  <c r="U251" i="2" s="1"/>
  <c r="L173" i="12" a="1"/>
  <c r="L173" i="12" s="1"/>
  <c r="N192" i="12" a="1"/>
  <c r="N192" i="12" s="1"/>
  <c r="O192" i="12" a="1"/>
  <c r="O192" i="12" s="1"/>
  <c r="S215" i="12" a="1"/>
  <c r="S215" i="12" s="1"/>
  <c r="M540" i="12" a="1"/>
  <c r="M540" i="12" s="1"/>
  <c r="S274" i="12" a="1"/>
  <c r="S274" i="12" s="1"/>
  <c r="I541" i="12" a="1"/>
  <c r="I541" i="12" s="1"/>
  <c r="M206" i="12" a="1"/>
  <c r="M206" i="12" s="1"/>
  <c r="O195" i="12" a="1"/>
  <c r="O195" i="12" s="1"/>
  <c r="S476" i="12" a="1"/>
  <c r="S476" i="12" s="1"/>
  <c r="T606" i="12" a="1"/>
  <c r="T606" i="12" s="1"/>
  <c r="N185" i="12" a="1"/>
  <c r="N185" i="12" s="1"/>
  <c r="L187" i="12" a="1"/>
  <c r="L187" i="12" s="1"/>
  <c r="G547" i="12" a="1"/>
  <c r="G547" i="12" s="1"/>
  <c r="G193" i="12" a="1"/>
  <c r="G193" i="12" s="1"/>
  <c r="O131" i="12" a="1"/>
  <c r="O131" i="12" s="1"/>
  <c r="T586" i="12" a="1"/>
  <c r="T586" i="12" s="1"/>
  <c r="M397" i="12" a="1"/>
  <c r="M397" i="12" s="1"/>
  <c r="S597" i="12" a="1"/>
  <c r="S597" i="12" s="1"/>
  <c r="L267" i="12" a="1"/>
  <c r="L267" i="12" s="1"/>
  <c r="P267" i="12" a="1"/>
  <c r="P267" i="12" s="1"/>
  <c r="X630" i="12" a="1"/>
  <c r="X630" i="12" s="1"/>
  <c r="T231" i="12" a="1"/>
  <c r="T231" i="12" s="1"/>
  <c r="J494" i="12" a="1"/>
  <c r="J494" i="12" s="1"/>
  <c r="S205" i="12" a="1"/>
  <c r="S205" i="12" s="1"/>
  <c r="AB653" i="12" a="1"/>
  <c r="AB653" i="12" s="1"/>
  <c r="S132" i="12" a="1"/>
  <c r="S132" i="12" s="1"/>
  <c r="I114" i="12" a="1"/>
  <c r="I114" i="12" s="1"/>
  <c r="S603" i="12" a="1"/>
  <c r="S603" i="12" s="1"/>
  <c r="J558" i="12" a="1"/>
  <c r="J558" i="12" s="1"/>
  <c r="J204" i="12" a="1"/>
  <c r="J204" i="12" s="1"/>
  <c r="I479" i="12" a="1"/>
  <c r="I479" i="12" s="1"/>
  <c r="Q458" i="12" a="1"/>
  <c r="Q458" i="12" s="1"/>
  <c r="O363" i="12" a="1"/>
  <c r="O363" i="12" s="1"/>
  <c r="Q145" i="12" a="1"/>
  <c r="Q145" i="12" s="1"/>
  <c r="T108" i="12" a="1"/>
  <c r="T108" i="12" s="1"/>
  <c r="O377" i="12" a="1"/>
  <c r="O377" i="12" s="1"/>
  <c r="G422" i="12" a="1"/>
  <c r="G422" i="12" s="1"/>
  <c r="R112" i="12" a="1"/>
  <c r="R112" i="12" s="1"/>
  <c r="S607" i="12" a="1"/>
  <c r="S607" i="12" s="1"/>
  <c r="G157" i="12" a="1"/>
  <c r="G157" i="12" s="1"/>
  <c r="G264" i="12" a="1"/>
  <c r="G264" i="12" s="1"/>
  <c r="L48" i="12" a="1"/>
  <c r="L48" i="12" s="1"/>
  <c r="P127" i="12" a="1"/>
  <c r="P127" i="12" s="1"/>
  <c r="N289" i="12" a="1"/>
  <c r="N289" i="12" s="1"/>
  <c r="I126" i="12" a="1"/>
  <c r="I126" i="12" s="1"/>
  <c r="K89" i="12" a="1"/>
  <c r="K89" i="12" s="1"/>
  <c r="K96" i="12" a="1"/>
  <c r="K96" i="12" s="1"/>
  <c r="K534" i="12" a="1"/>
  <c r="K534" i="12" s="1"/>
  <c r="F534" i="12" a="1"/>
  <c r="F534" i="12" s="1"/>
  <c r="U237" i="2" a="1"/>
  <c r="U237" i="2" s="1"/>
  <c r="I583" i="12" a="1"/>
  <c r="I583" i="12" s="1"/>
  <c r="G209" i="12" a="1"/>
  <c r="G209" i="12" s="1"/>
  <c r="S492" i="12" a="1"/>
  <c r="S492" i="12" s="1"/>
  <c r="N458" i="12" a="1"/>
  <c r="N458" i="12" s="1"/>
  <c r="S114" i="12" a="1"/>
  <c r="S114" i="12" s="1"/>
  <c r="R309" i="12" a="1"/>
  <c r="R309" i="12" s="1"/>
  <c r="Q142" i="12" a="1"/>
  <c r="Q142" i="12" s="1"/>
  <c r="K401" i="12" a="1"/>
  <c r="K401" i="12" s="1"/>
  <c r="J365" i="12" a="1"/>
  <c r="J365" i="12" s="1"/>
  <c r="I120" i="12" a="1"/>
  <c r="I120" i="12" s="1"/>
  <c r="Z655" i="12" a="1"/>
  <c r="Z655" i="12" s="1"/>
  <c r="R297" i="12" a="1"/>
  <c r="R297" i="12" s="1"/>
  <c r="K65" i="12" a="1"/>
  <c r="K65" i="12" s="1"/>
  <c r="K128" i="12" a="1"/>
  <c r="K128" i="12" s="1"/>
  <c r="P73" i="12" a="1"/>
  <c r="P73" i="12" s="1"/>
  <c r="J94" i="12" a="1"/>
  <c r="J94" i="12" s="1"/>
  <c r="I70" i="12" a="1"/>
  <c r="I70" i="12" s="1"/>
  <c r="I222" i="12" a="1"/>
  <c r="I222" i="12" s="1"/>
  <c r="I122" i="12" a="1"/>
  <c r="I122" i="12" s="1"/>
  <c r="Q308" i="12" a="1"/>
  <c r="Q308" i="12" s="1"/>
  <c r="G337" i="12" a="1"/>
  <c r="G337" i="12" s="1"/>
  <c r="L167" i="12" a="1"/>
  <c r="L167" i="12" s="1"/>
  <c r="R145" i="12" a="1"/>
  <c r="R145" i="12" s="1"/>
  <c r="F159" i="12" a="1"/>
  <c r="F159" i="12" s="1"/>
  <c r="U290" i="2" a="1"/>
  <c r="U290" i="2" s="1"/>
  <c r="N422" i="12" a="1"/>
  <c r="N422" i="12" s="1"/>
  <c r="S151" i="12" a="1"/>
  <c r="S151" i="12" s="1"/>
  <c r="AL156" i="2" a="1"/>
  <c r="AL156" i="2" s="1"/>
  <c r="N91" i="12" a="1"/>
  <c r="N91" i="12" s="1"/>
  <c r="L285" i="12" a="1"/>
  <c r="L285" i="12" s="1"/>
  <c r="R106" i="12" a="1"/>
  <c r="R106" i="12" s="1"/>
  <c r="J65" i="12" a="1"/>
  <c r="J65" i="12" s="1"/>
  <c r="T314" i="12" a="1"/>
  <c r="T314" i="12" s="1"/>
  <c r="G121" i="12" a="1"/>
  <c r="G121" i="12" s="1"/>
  <c r="S196" i="12" a="1"/>
  <c r="S196" i="12" s="1"/>
  <c r="P531" i="12" a="1"/>
  <c r="P531" i="12" s="1"/>
  <c r="P190" i="12" a="1"/>
  <c r="P190" i="12" s="1"/>
  <c r="P412" i="12" a="1"/>
  <c r="P412" i="12" s="1"/>
  <c r="I469" i="12" a="1"/>
  <c r="I469" i="12" s="1"/>
  <c r="L469" i="12" a="1"/>
  <c r="L469" i="12" s="1"/>
  <c r="Q156" i="12" a="1"/>
  <c r="Q156" i="12" s="1"/>
  <c r="P321" i="12" a="1"/>
  <c r="P321" i="12" s="1"/>
  <c r="L142" i="12" a="1"/>
  <c r="L142" i="12" s="1"/>
  <c r="Q115" i="12" a="1"/>
  <c r="Q115" i="12" s="1"/>
  <c r="S348" i="12" a="1"/>
  <c r="S348" i="12" s="1"/>
  <c r="M421" i="12" a="1"/>
  <c r="M421" i="12" s="1"/>
  <c r="K48" i="12" a="1"/>
  <c r="K48" i="12" s="1"/>
  <c r="K91" i="12" a="1"/>
  <c r="K91" i="12" s="1"/>
  <c r="M312" i="12" a="1"/>
  <c r="M312" i="12" s="1"/>
  <c r="F126" i="12" a="1"/>
  <c r="F126" i="12" s="1"/>
  <c r="U188" i="2" a="1"/>
  <c r="U188" i="2" s="1"/>
  <c r="AA657" i="12" a="1"/>
  <c r="AA657" i="12" s="1"/>
  <c r="I199" i="12" a="1"/>
  <c r="I199" i="12" s="1"/>
  <c r="F454" i="12" a="1"/>
  <c r="F454" i="12" s="1"/>
  <c r="U352" i="2" a="1"/>
  <c r="U352" i="2" s="1"/>
  <c r="T412" i="12" a="1"/>
  <c r="T412" i="12" s="1"/>
  <c r="O442" i="12" a="1"/>
  <c r="O442" i="12" s="1"/>
  <c r="T156" i="12" a="1"/>
  <c r="T156" i="12" s="1"/>
  <c r="M321" i="12" a="1"/>
  <c r="M321" i="12" s="1"/>
  <c r="P431" i="12" a="1"/>
  <c r="P431" i="12" s="1"/>
  <c r="L354" i="12" a="1"/>
  <c r="L354" i="12" s="1"/>
  <c r="J376" i="12" a="1"/>
  <c r="J376" i="12" s="1"/>
  <c r="M607" i="12" a="1"/>
  <c r="M607" i="12" s="1"/>
  <c r="R92" i="12" a="1"/>
  <c r="R92" i="12" s="1"/>
  <c r="F264" i="12" a="1"/>
  <c r="F264" i="12" s="1"/>
  <c r="U160" i="2" a="1"/>
  <c r="U160" i="2" s="1"/>
  <c r="J602" i="12" a="1"/>
  <c r="J602" i="12" s="1"/>
  <c r="M289" i="12" a="1"/>
  <c r="M289" i="12" s="1"/>
  <c r="N97" i="12" a="1"/>
  <c r="N97" i="12" s="1"/>
  <c r="G531" i="12" a="1"/>
  <c r="G531" i="12" s="1"/>
  <c r="N497" i="12" a="1"/>
  <c r="N497" i="12" s="1"/>
  <c r="M484" i="12" a="1"/>
  <c r="M484" i="12" s="1"/>
  <c r="M416" i="12" a="1"/>
  <c r="M416" i="12" s="1"/>
  <c r="O372" i="12" a="1"/>
  <c r="O372" i="12" s="1"/>
  <c r="M345" i="12" a="1"/>
  <c r="M345" i="12" s="1"/>
  <c r="R346" i="12" a="1"/>
  <c r="R346" i="12" s="1"/>
  <c r="P388" i="12" a="1"/>
  <c r="P388" i="12" s="1"/>
  <c r="O177" i="12" a="1"/>
  <c r="O177" i="12" s="1"/>
  <c r="N150" i="12" a="1"/>
  <c r="N150" i="12" s="1"/>
  <c r="K107" i="12" a="1"/>
  <c r="K107" i="12" s="1"/>
  <c r="Q296" i="12" a="1"/>
  <c r="Q296" i="12" s="1"/>
  <c r="F99" i="12" a="1"/>
  <c r="F99" i="12" s="1"/>
  <c r="U355" i="2" a="1"/>
  <c r="U355" i="2" s="1"/>
  <c r="G253" i="12" a="1"/>
  <c r="G253" i="12" s="1"/>
  <c r="K203" i="12" a="1"/>
  <c r="K203" i="12" s="1"/>
  <c r="G79" i="12" a="1"/>
  <c r="G79" i="12" s="1"/>
  <c r="G40" i="12" a="1"/>
  <c r="G40" i="12" s="1"/>
  <c r="R144" i="12" a="1"/>
  <c r="R144" i="12" s="1"/>
  <c r="K232" i="12" a="1"/>
  <c r="K232" i="12" s="1"/>
  <c r="R168" i="12" a="1"/>
  <c r="R168" i="12" s="1"/>
  <c r="N528" i="12" a="1"/>
  <c r="N528" i="12" s="1"/>
  <c r="G229" i="12" a="1"/>
  <c r="G229" i="12" s="1"/>
  <c r="G439" i="12" a="1"/>
  <c r="G439" i="12" s="1"/>
  <c r="O154" i="12" a="1"/>
  <c r="O154" i="12" s="1"/>
  <c r="F123" i="12" a="1"/>
  <c r="F123" i="12" s="1"/>
  <c r="U380" i="2" a="1"/>
  <c r="U380" i="2" s="1"/>
  <c r="Q432" i="12" a="1"/>
  <c r="Q432" i="12" s="1"/>
  <c r="M114" i="12" a="1"/>
  <c r="M114" i="12" s="1"/>
  <c r="R153" i="12" a="1"/>
  <c r="R153" i="12" s="1"/>
  <c r="L138" i="12" a="1"/>
  <c r="L138" i="12" s="1"/>
  <c r="N165" i="12" a="1"/>
  <c r="N165" i="12" s="1"/>
  <c r="M388" i="12" a="1"/>
  <c r="M388" i="12" s="1"/>
  <c r="P177" i="12" a="1"/>
  <c r="P177" i="12" s="1"/>
  <c r="R283" i="12" a="1"/>
  <c r="R283" i="12" s="1"/>
  <c r="Q368" i="12" a="1"/>
  <c r="Q368" i="12" s="1"/>
  <c r="T264" i="12" a="1"/>
  <c r="T264" i="12" s="1"/>
  <c r="T183" i="12" a="1"/>
  <c r="T183" i="12" s="1"/>
  <c r="R140" i="12" a="1"/>
  <c r="R140" i="12" s="1"/>
  <c r="F293" i="12" a="1"/>
  <c r="F293" i="12" s="1"/>
  <c r="R161" i="12" a="1"/>
  <c r="R161" i="12" s="1"/>
  <c r="S312" i="12" a="1"/>
  <c r="S312" i="12" s="1"/>
  <c r="I255" i="12" a="1"/>
  <c r="I255" i="12" s="1"/>
  <c r="L126" i="12" a="1"/>
  <c r="L126" i="12" s="1"/>
  <c r="O77" i="12" a="1"/>
  <c r="O77" i="12" s="1"/>
  <c r="P527" i="12" a="1"/>
  <c r="P527" i="12" s="1"/>
  <c r="Q462" i="12" a="1"/>
  <c r="Q462" i="12" s="1"/>
  <c r="I522" i="12" a="1"/>
  <c r="I522" i="12" s="1"/>
  <c r="T403" i="12" a="1"/>
  <c r="T403" i="12" s="1"/>
  <c r="P141" i="12" a="1"/>
  <c r="P141" i="12" s="1"/>
  <c r="I393" i="12" a="1"/>
  <c r="I393" i="12" s="1"/>
  <c r="P427" i="12" a="1"/>
  <c r="P427" i="12" s="1"/>
  <c r="S427" i="12" a="1"/>
  <c r="S427" i="12" s="1"/>
  <c r="Q370" i="12" a="1"/>
  <c r="Q370" i="12" s="1"/>
  <c r="O404" i="12" a="1"/>
  <c r="O404" i="12" s="1"/>
  <c r="J607" i="12" a="1"/>
  <c r="J607" i="12" s="1"/>
  <c r="R387" i="12" a="1"/>
  <c r="R387" i="12" s="1"/>
  <c r="N293" i="12" a="1"/>
  <c r="N293" i="12" s="1"/>
  <c r="F297" i="12" a="1"/>
  <c r="F297" i="12" s="1"/>
  <c r="J133" i="12" a="1"/>
  <c r="J133" i="12" s="1"/>
  <c r="G128" i="12" a="1"/>
  <c r="G128" i="12" s="1"/>
  <c r="K126" i="12" a="1"/>
  <c r="K126" i="12" s="1"/>
  <c r="Q121" i="12" a="1"/>
  <c r="Q121" i="12" s="1"/>
  <c r="U182" i="2" a="1"/>
  <c r="U182" i="2" s="1"/>
  <c r="I136" i="12" a="1"/>
  <c r="I136" i="12" s="1"/>
  <c r="S235" i="12" a="1"/>
  <c r="S235" i="12" s="1"/>
  <c r="M204" i="12" a="1"/>
  <c r="M204" i="12" s="1"/>
  <c r="Q152" i="12" a="1"/>
  <c r="Q152" i="12" s="1"/>
  <c r="M458" i="12" a="1"/>
  <c r="M458" i="12" s="1"/>
  <c r="M132" i="12" a="1"/>
  <c r="M132" i="12" s="1"/>
  <c r="J366" i="12" a="1"/>
  <c r="J366" i="12" s="1"/>
  <c r="F370" i="12" a="1"/>
  <c r="F370" i="12" s="1"/>
  <c r="U139" i="2" a="1"/>
  <c r="U139" i="2" s="1"/>
  <c r="J348" i="12" a="1"/>
  <c r="J348" i="12" s="1"/>
  <c r="N335" i="12" a="1"/>
  <c r="N335" i="12" s="1"/>
  <c r="O317" i="12" a="1"/>
  <c r="O317" i="12" s="1"/>
  <c r="G73" i="12" a="1"/>
  <c r="G73" i="12" s="1"/>
  <c r="N500" i="12" a="1"/>
  <c r="N500" i="12" s="1"/>
  <c r="O528" i="12" a="1"/>
  <c r="O528" i="12" s="1"/>
  <c r="Z615" i="12" a="1"/>
  <c r="Z615" i="12" s="1"/>
  <c r="R414" i="12" a="1"/>
  <c r="R414" i="12" s="1"/>
  <c r="N363" i="12" a="1"/>
  <c r="N363" i="12" s="1"/>
  <c r="G159" i="12" a="1"/>
  <c r="G159" i="12" s="1"/>
  <c r="J404" i="12" a="1"/>
  <c r="J404" i="12" s="1"/>
  <c r="L358" i="12" a="1"/>
  <c r="L358" i="12" s="1"/>
  <c r="L299" i="12" a="1"/>
  <c r="L299" i="12" s="1"/>
  <c r="L293" i="12" a="1"/>
  <c r="L293" i="12" s="1"/>
  <c r="L106" i="12" a="1"/>
  <c r="L106" i="12" s="1"/>
  <c r="Q71" i="12" a="1"/>
  <c r="Q71" i="12" s="1"/>
  <c r="K87" i="12" a="1"/>
  <c r="K87" i="12" s="1"/>
  <c r="M51" i="12" a="1"/>
  <c r="M51" i="12" s="1"/>
  <c r="R107" i="12" a="1"/>
  <c r="R107" i="12" s="1"/>
  <c r="J125" i="12" a="1"/>
  <c r="J125" i="12" s="1"/>
  <c r="F94" i="12" a="1"/>
  <c r="F94" i="12" s="1"/>
  <c r="U231" i="2" a="1"/>
  <c r="U231" i="2" s="1"/>
  <c r="L61" i="12" a="1"/>
  <c r="L61" i="12" s="1"/>
  <c r="O32" i="12" a="1"/>
  <c r="O32" i="12" s="1"/>
  <c r="AB611" i="12" a="1"/>
  <c r="AB611" i="12" s="1"/>
  <c r="AQ220" i="2" a="1"/>
  <c r="AQ220" i="2" s="1"/>
  <c r="AR220" i="2" a="1"/>
  <c r="AR220" i="2" s="1"/>
  <c r="Q14" i="12" a="1"/>
  <c r="Q14" i="12" s="1"/>
  <c r="R110" i="12" a="1"/>
  <c r="R110" i="12" s="1"/>
  <c r="N17" i="12" a="1"/>
  <c r="N17" i="12" s="1"/>
  <c r="F20" i="12" a="1"/>
  <c r="F20" i="12" s="1"/>
  <c r="U37" i="2" a="1"/>
  <c r="U37" i="2" s="1"/>
  <c r="AQ102" i="2" a="1"/>
  <c r="AQ102" i="2" s="1"/>
  <c r="AR102" i="2" a="1"/>
  <c r="AR102" i="2" s="1"/>
  <c r="AQ32" i="2" a="1"/>
  <c r="AQ32" i="2" s="1"/>
  <c r="AR32" i="2" a="1"/>
  <c r="AR32" i="2" s="1"/>
  <c r="X663" i="12" a="1"/>
  <c r="X663" i="12" s="1"/>
  <c r="K25" i="12" a="1"/>
  <c r="K25" i="12" s="1"/>
  <c r="I43" i="12" a="1"/>
  <c r="I43" i="12" s="1"/>
  <c r="G36" i="12" a="1"/>
  <c r="G36" i="12" s="1"/>
  <c r="AL26" i="2" a="1"/>
  <c r="AL26" i="2" s="1"/>
  <c r="N12" i="12" a="1"/>
  <c r="N12" i="12" s="1"/>
  <c r="F24" i="12" a="1"/>
  <c r="F24" i="12" s="1"/>
  <c r="U49" i="2" a="1"/>
  <c r="U49" i="2" s="1"/>
  <c r="R47" i="12" a="1"/>
  <c r="R47" i="12" s="1"/>
  <c r="F224" i="12" a="1"/>
  <c r="F224" i="12" s="1"/>
  <c r="U123" i="2" a="1"/>
  <c r="U123" i="2" s="1"/>
  <c r="R32" i="12" a="1"/>
  <c r="R32" i="12" s="1"/>
  <c r="G130" i="12" a="1"/>
  <c r="G130" i="12" s="1"/>
  <c r="G16" i="12" a="1"/>
  <c r="G16" i="12" s="1"/>
  <c r="M21" i="12" a="1"/>
  <c r="M21" i="12" s="1"/>
  <c r="O13" i="12" a="1"/>
  <c r="O13" i="12" s="1"/>
  <c r="T6" i="3" a="1"/>
  <c r="T6" i="3" s="1"/>
  <c r="I109" i="12" a="1"/>
  <c r="I109" i="12" s="1"/>
  <c r="M50" i="12" a="1"/>
  <c r="M50" i="12" s="1"/>
  <c r="K345" i="12" a="1"/>
  <c r="K345" i="12" s="1"/>
  <c r="M376" i="12" a="1"/>
  <c r="M376" i="12" s="1"/>
  <c r="J143" i="12" a="1"/>
  <c r="J143" i="12" s="1"/>
  <c r="S124" i="12" a="1"/>
  <c r="S124" i="12" s="1"/>
  <c r="F70" i="12" a="1"/>
  <c r="F70" i="12" s="1"/>
  <c r="U80" i="2" a="1"/>
  <c r="U80" i="2" s="1"/>
  <c r="G256" i="12" a="1"/>
  <c r="G256" i="12" s="1"/>
  <c r="T54" i="12" a="1"/>
  <c r="T54" i="12" s="1"/>
  <c r="Q4" i="12" a="1"/>
  <c r="Q4" i="12" s="1"/>
  <c r="AA611" i="12" a="1"/>
  <c r="AA611" i="12" s="1"/>
  <c r="N86" i="12" a="1"/>
  <c r="N86" i="12" s="1"/>
  <c r="N191" i="12" a="1"/>
  <c r="N191" i="12" s="1"/>
  <c r="F9" i="12" a="1"/>
  <c r="F9" i="12" s="1"/>
  <c r="K130" i="12" a="1"/>
  <c r="K130" i="12" s="1"/>
  <c r="Z669" i="12" a="1"/>
  <c r="Z669" i="12" s="1"/>
  <c r="L25" i="3" a="1"/>
  <c r="L25" i="3" s="1"/>
  <c r="L28" i="3" s="1" a="1"/>
  <c r="L28" i="3" s="1"/>
  <c r="Q182" i="12" a="1"/>
  <c r="Q182" i="12" s="1"/>
  <c r="Q56" i="12" a="1"/>
  <c r="Q56" i="12" s="1"/>
  <c r="I496" i="12" a="1"/>
  <c r="I496" i="12" s="1"/>
  <c r="J138" i="12" a="1"/>
  <c r="J138" i="12" s="1"/>
  <c r="N423" i="12" a="1"/>
  <c r="N423" i="12" s="1"/>
  <c r="G101" i="12" a="1"/>
  <c r="G101" i="12" s="1"/>
  <c r="M128" i="12" a="1"/>
  <c r="M128" i="12" s="1"/>
  <c r="S87" i="12" a="1"/>
  <c r="S87" i="12" s="1"/>
  <c r="Q212" i="12" a="1"/>
  <c r="Q212" i="12" s="1"/>
  <c r="R207" i="12" a="1"/>
  <c r="R207" i="12" s="1"/>
  <c r="T77" i="12" a="1"/>
  <c r="T77" i="12" s="1"/>
  <c r="M12" i="12" a="1"/>
  <c r="M12" i="12" s="1"/>
  <c r="Z619" i="12" a="1"/>
  <c r="Z619" i="12" s="1"/>
  <c r="G27" i="12" a="1"/>
  <c r="G27" i="12" s="1"/>
  <c r="M165" i="12" a="1"/>
  <c r="M165" i="12" s="1"/>
  <c r="S333" i="12" a="1"/>
  <c r="S333" i="12" s="1"/>
  <c r="K333" i="12" a="1"/>
  <c r="K333" i="12" s="1"/>
  <c r="O87" i="12" a="1"/>
  <c r="O87" i="12" s="1"/>
  <c r="I28" i="12" a="1"/>
  <c r="I28" i="12" s="1"/>
  <c r="J68" i="12" a="1"/>
  <c r="J68" i="12" s="1"/>
  <c r="Q74" i="12" a="1"/>
  <c r="Q74" i="12" s="1"/>
  <c r="T305" i="12" a="1"/>
  <c r="T305" i="12" s="1"/>
  <c r="K178" i="12" a="1"/>
  <c r="K178" i="12" s="1"/>
  <c r="S51" i="12" a="1"/>
  <c r="S51" i="12" s="1"/>
  <c r="K52" i="12" a="1"/>
  <c r="K52" i="12" s="1"/>
  <c r="F109" i="12" a="1"/>
  <c r="F109" i="12" s="1"/>
  <c r="U41" i="2" a="1"/>
  <c r="U41" i="2" s="1"/>
  <c r="Q7" i="12" a="1"/>
  <c r="Q7" i="12" s="1"/>
  <c r="F150" i="12" a="1"/>
  <c r="F150" i="12" s="1"/>
  <c r="O89" i="12" a="1"/>
  <c r="O89" i="12" s="1"/>
  <c r="J104" i="12" a="1"/>
  <c r="J104" i="12" s="1"/>
  <c r="Q292" i="12" a="1"/>
  <c r="Q292" i="12" s="1"/>
  <c r="M46" i="12" a="1"/>
  <c r="M46" i="12" s="1"/>
  <c r="T76" i="12" a="1"/>
  <c r="T76" i="12" s="1"/>
  <c r="M38" i="12" a="1"/>
  <c r="M38" i="12" s="1"/>
  <c r="N27" i="12" a="1"/>
  <c r="N27" i="12" s="1"/>
  <c r="U31" i="2" a="1"/>
  <c r="U31" i="2" s="1"/>
  <c r="Q51" i="12" a="1"/>
  <c r="Q51" i="12" s="1"/>
  <c r="S458" i="12" a="1"/>
  <c r="S458" i="12" s="1"/>
  <c r="K99" i="12" a="1"/>
  <c r="K99" i="12" s="1"/>
  <c r="Q88" i="12" a="1"/>
  <c r="Q88" i="12" s="1"/>
  <c r="P222" i="12" a="1"/>
  <c r="P222" i="12" s="1"/>
  <c r="R292" i="12" a="1"/>
  <c r="R292" i="12" s="1"/>
  <c r="R224" i="12" a="1"/>
  <c r="R224" i="12" s="1"/>
  <c r="N66" i="12" a="1"/>
  <c r="N66" i="12" s="1"/>
  <c r="G75" i="12" a="1"/>
  <c r="G75" i="12" s="1"/>
  <c r="J38" i="12" a="1"/>
  <c r="J38" i="12" s="1"/>
  <c r="T191" i="12" a="1"/>
  <c r="T191" i="12" s="1"/>
  <c r="K388" i="12" a="1"/>
  <c r="K388" i="12" s="1"/>
  <c r="G84" i="12" a="1"/>
  <c r="G84" i="12" s="1"/>
  <c r="Q84" i="12" a="1"/>
  <c r="Q84" i="12" s="1"/>
  <c r="O100" i="12" a="1"/>
  <c r="O100" i="12" s="1"/>
  <c r="M64" i="12" a="1"/>
  <c r="M64" i="12" s="1"/>
  <c r="N104" i="12" a="1"/>
  <c r="N104" i="12" s="1"/>
  <c r="O275" i="12" a="1"/>
  <c r="O275" i="12" s="1"/>
  <c r="F69" i="12" a="1"/>
  <c r="F69" i="12" s="1"/>
  <c r="U357" i="2" a="1"/>
  <c r="U357" i="2" s="1"/>
  <c r="AL32" i="2" a="1"/>
  <c r="AL32" i="2" s="1"/>
  <c r="X609" i="12" a="1"/>
  <c r="X609" i="12" s="1"/>
  <c r="J55" i="12" a="1"/>
  <c r="J55" i="12" s="1"/>
  <c r="J122" i="12" a="1"/>
  <c r="J122" i="12" s="1"/>
  <c r="I39" i="12" a="1"/>
  <c r="I39" i="12" s="1"/>
  <c r="F379" i="12" a="1"/>
  <c r="F379" i="12" s="1"/>
  <c r="U205" i="2" a="1"/>
  <c r="U205" i="2" s="1"/>
  <c r="L379" i="12" a="1"/>
  <c r="L379" i="12" s="1"/>
  <c r="L607" i="12" a="1"/>
  <c r="L607" i="12" s="1"/>
  <c r="S285" i="12" a="1"/>
  <c r="S285" i="12" s="1"/>
  <c r="K330" i="12" a="1"/>
  <c r="K330" i="12" s="1"/>
  <c r="J81" i="12" a="1"/>
  <c r="J81" i="12" s="1"/>
  <c r="M81" i="12" a="1"/>
  <c r="M81" i="12" s="1"/>
  <c r="P382" i="12" a="1"/>
  <c r="P382" i="12" s="1"/>
  <c r="M58" i="12" a="1"/>
  <c r="M58" i="12" s="1"/>
  <c r="J146" i="12" a="1"/>
  <c r="J146" i="12" s="1"/>
  <c r="N201" i="12" a="1"/>
  <c r="N201" i="12" s="1"/>
  <c r="G61" i="12" a="1"/>
  <c r="G61" i="12" s="1"/>
  <c r="K202" i="12" a="1"/>
  <c r="K202" i="12" s="1"/>
  <c r="G25" i="12" a="1"/>
  <c r="G25" i="12" s="1"/>
  <c r="J29" i="12" a="1"/>
  <c r="J29" i="12" s="1"/>
  <c r="X655" i="12" a="1"/>
  <c r="X655" i="12" s="1"/>
  <c r="R73" i="12" a="1"/>
  <c r="R73" i="12" s="1"/>
  <c r="Q90" i="12" a="1"/>
  <c r="Q90" i="12" s="1"/>
  <c r="K104" i="12" a="1"/>
  <c r="K104" i="12" s="1"/>
  <c r="P105" i="12" a="1"/>
  <c r="P105" i="12" s="1"/>
  <c r="N85" i="12" a="1"/>
  <c r="N85" i="12" s="1"/>
  <c r="J78" i="12" a="1"/>
  <c r="J78" i="12" s="1"/>
  <c r="F174" i="12" a="1"/>
  <c r="F174" i="12" s="1"/>
  <c r="U99" i="2" a="1"/>
  <c r="U99" i="2" s="1"/>
  <c r="O75" i="12" a="1"/>
  <c r="O75" i="12" s="1"/>
  <c r="G35" i="12" a="1"/>
  <c r="G35" i="12" s="1"/>
  <c r="P122" i="12" a="1"/>
  <c r="P122" i="12" s="1"/>
  <c r="G44" i="12" a="1"/>
  <c r="G44" i="12" s="1"/>
  <c r="F3" i="12" a="1"/>
  <c r="F3" i="12" s="1"/>
  <c r="K10" i="3" a="1"/>
  <c r="K10" i="3" s="1"/>
  <c r="U9" i="2" a="1"/>
  <c r="U9" i="2" s="1"/>
  <c r="O26" i="12" a="1"/>
  <c r="O26" i="12" s="1"/>
  <c r="M490" i="12" a="1"/>
  <c r="M490" i="12" s="1"/>
  <c r="F161" i="12" a="1"/>
  <c r="F161" i="12" s="1"/>
  <c r="L279" i="12" a="1"/>
  <c r="L279" i="12" s="1"/>
  <c r="N121" i="12" a="1"/>
  <c r="N121" i="12" s="1"/>
  <c r="T203" i="12" a="1"/>
  <c r="T203" i="12" s="1"/>
  <c r="I104" i="12" a="1"/>
  <c r="I104" i="12" s="1"/>
  <c r="N93" i="12" a="1"/>
  <c r="N93" i="12" s="1"/>
  <c r="I54" i="12" a="1"/>
  <c r="I54" i="12" s="1"/>
  <c r="X619" i="12" a="1"/>
  <c r="X619" i="12" s="1"/>
  <c r="AL162" i="2" a="1"/>
  <c r="AL162" i="2" s="1"/>
  <c r="L144" i="12" a="1"/>
  <c r="L144" i="12" s="1"/>
  <c r="J39" i="12" a="1"/>
  <c r="J39" i="12" s="1"/>
  <c r="J15" i="12" a="1"/>
  <c r="J15" i="12" s="1"/>
  <c r="L134" i="12" a="1"/>
  <c r="L134" i="12" s="1"/>
  <c r="G13" i="12" a="1"/>
  <c r="G13" i="12" s="1"/>
  <c r="L6" i="3" a="1"/>
  <c r="L6" i="3" s="1"/>
  <c r="L9" i="12" a="1"/>
  <c r="L9" i="12" s="1"/>
  <c r="L26" i="12" a="1"/>
  <c r="L26" i="12" s="1"/>
  <c r="Q14" i="3" a="1"/>
  <c r="Q14" i="3" s="1"/>
  <c r="L60" i="12" a="1"/>
  <c r="L60" i="12" s="1"/>
  <c r="M36" i="12" a="1"/>
  <c r="M36" i="12" s="1"/>
  <c r="AL15" i="2" a="1"/>
  <c r="AL15" i="2" s="1"/>
  <c r="J3" i="12" a="1"/>
  <c r="J3" i="12" s="1"/>
  <c r="O10" i="3" a="1"/>
  <c r="O10" i="3" s="1"/>
  <c r="I21" i="12" a="1"/>
  <c r="I21" i="12" s="1"/>
  <c r="P18" i="12" a="1"/>
  <c r="P18" i="12" s="1"/>
  <c r="I52" i="12" a="1"/>
  <c r="I52" i="12" s="1"/>
  <c r="L23" i="12" a="1"/>
  <c r="L23" i="12" s="1"/>
  <c r="K292" i="12" a="1"/>
  <c r="K292" i="12" s="1"/>
  <c r="J25" i="12" a="1"/>
  <c r="J25" i="12" s="1"/>
  <c r="P134" i="12" a="1"/>
  <c r="P134" i="12" s="1"/>
  <c r="O10" i="12" a="1"/>
  <c r="O10" i="12" s="1"/>
  <c r="N178" i="12" a="1"/>
  <c r="N178" i="12" s="1"/>
  <c r="P41" i="12" a="1"/>
  <c r="P41" i="12" s="1"/>
  <c r="X625" i="12" a="1"/>
  <c r="X625" i="12" s="1"/>
  <c r="K36" i="12" a="1"/>
  <c r="K36" i="12" s="1"/>
  <c r="P45" i="12" a="1"/>
  <c r="P45" i="12" s="1"/>
  <c r="G45" i="12" a="1"/>
  <c r="G45" i="12" s="1"/>
  <c r="K31" i="12" a="1"/>
  <c r="K31" i="12" s="1"/>
  <c r="R105" i="12" a="1"/>
  <c r="R105" i="12" s="1"/>
  <c r="M129" i="12" a="1"/>
  <c r="M129" i="12" s="1"/>
  <c r="N184" i="12" a="1"/>
  <c r="N184" i="12" s="1"/>
  <c r="M184" i="12" a="1"/>
  <c r="M184" i="12" s="1"/>
  <c r="N51" i="12" a="1"/>
  <c r="N51" i="12" s="1"/>
  <c r="N59" i="12" a="1"/>
  <c r="N59" i="12" s="1"/>
  <c r="P37" i="12" a="1"/>
  <c r="P37" i="12" s="1"/>
  <c r="G118" i="12" a="1"/>
  <c r="G118" i="12" s="1"/>
  <c r="F22" i="12" a="1"/>
  <c r="F22" i="12" s="1"/>
  <c r="U54" i="2" a="1"/>
  <c r="U54" i="2" s="1"/>
  <c r="R22" i="12" a="1"/>
  <c r="R22" i="12" s="1"/>
  <c r="N42" i="12" a="1"/>
  <c r="N42" i="12" s="1"/>
  <c r="K44" i="12" a="1"/>
  <c r="K44" i="12" s="1"/>
  <c r="R80" i="12" a="1"/>
  <c r="R80" i="12" s="1"/>
  <c r="S80" i="12" a="1"/>
  <c r="S80" i="12" s="1"/>
  <c r="AB637" i="12" a="1"/>
  <c r="AB637" i="12" s="1"/>
  <c r="J62" i="12" a="1"/>
  <c r="J62" i="12" s="1"/>
  <c r="M18" i="12" a="1"/>
  <c r="M18" i="12" s="1"/>
  <c r="R34" i="12" a="1"/>
  <c r="R34" i="12" s="1"/>
  <c r="K34" i="12" a="1"/>
  <c r="K34" i="12" s="1"/>
  <c r="M256" i="12" a="1"/>
  <c r="M256" i="12" s="1"/>
  <c r="R57" i="12" a="1"/>
  <c r="R57" i="12" s="1"/>
  <c r="L178" i="12" a="1"/>
  <c r="L178" i="12" s="1"/>
  <c r="R182" i="12" a="1"/>
  <c r="R182" i="12" s="1"/>
  <c r="L15" i="12" a="1"/>
  <c r="L15" i="12" s="1"/>
  <c r="Q15" i="12" a="1"/>
  <c r="Q15" i="12" s="1"/>
  <c r="Q53" i="12" a="1"/>
  <c r="Q53" i="12" s="1"/>
  <c r="N155" i="12" a="1"/>
  <c r="N155" i="12" s="1"/>
  <c r="R29" i="12" a="1"/>
  <c r="R29" i="12" s="1"/>
  <c r="R63" i="12" a="1"/>
  <c r="R63" i="12" s="1"/>
  <c r="J11" i="12" a="1"/>
  <c r="J11" i="12" s="1"/>
  <c r="M216" i="12" a="1"/>
  <c r="M216" i="12" s="1"/>
  <c r="K200" i="12" a="1"/>
  <c r="K200" i="12" s="1"/>
  <c r="J200" i="12" a="1"/>
  <c r="J200" i="12" s="1"/>
  <c r="S36" i="12" a="1"/>
  <c r="S36" i="12" s="1"/>
  <c r="S17" i="12" a="1"/>
  <c r="S17" i="12" s="1"/>
  <c r="L33" i="12" a="1"/>
  <c r="L33" i="12" s="1"/>
  <c r="S4" i="12" a="1"/>
  <c r="S4" i="12" s="1"/>
  <c r="F189" i="12" a="1"/>
  <c r="F189" i="12" s="1"/>
  <c r="U43" i="2" a="1"/>
  <c r="U43" i="2" s="1"/>
  <c r="AB617" i="12" a="1"/>
  <c r="AB617" i="12" s="1"/>
  <c r="J28" i="12" a="1"/>
  <c r="J28" i="12" s="1"/>
  <c r="O536" i="12" a="1"/>
  <c r="O536" i="12" s="1"/>
  <c r="J596" i="12" a="1"/>
  <c r="J596" i="12" s="1"/>
  <c r="F243" i="12" a="1"/>
  <c r="F243" i="12" s="1"/>
  <c r="U455" i="2" a="1"/>
  <c r="U455" i="2" s="1"/>
  <c r="O463" i="12" a="1"/>
  <c r="O463" i="12" s="1"/>
  <c r="S208" i="12" a="1"/>
  <c r="S208" i="12" s="1"/>
  <c r="I510" i="12" a="1"/>
  <c r="I510" i="12" s="1"/>
  <c r="Q246" i="12" a="1"/>
  <c r="Q246" i="12" s="1"/>
  <c r="P520" i="12" a="1"/>
  <c r="P520" i="12" s="1"/>
  <c r="O568" i="12" a="1"/>
  <c r="O568" i="12" s="1"/>
  <c r="N228" i="12" a="1"/>
  <c r="N228" i="12" s="1"/>
  <c r="J562" i="12" a="1"/>
  <c r="J562" i="12" s="1"/>
  <c r="I531" i="12" a="1"/>
  <c r="I531" i="12" s="1"/>
  <c r="J149" i="12" a="1"/>
  <c r="J149" i="12" s="1"/>
  <c r="K549" i="12" a="1"/>
  <c r="K549" i="12" s="1"/>
  <c r="J131" i="12" a="1"/>
  <c r="J131" i="12" s="1"/>
  <c r="F282" i="12" a="1"/>
  <c r="F282" i="12" s="1"/>
  <c r="U479" i="2" a="1"/>
  <c r="U479" i="2" s="1"/>
  <c r="P323" i="12" a="1"/>
  <c r="P323" i="12" s="1"/>
  <c r="L213" i="12" a="1"/>
  <c r="L213" i="12" s="1"/>
  <c r="P83" i="12" a="1"/>
  <c r="P83" i="12" s="1"/>
  <c r="L588" i="12" a="1"/>
  <c r="L588" i="12" s="1"/>
  <c r="T223" i="12" a="1"/>
  <c r="T223" i="12" s="1"/>
  <c r="R223" i="12" a="1"/>
  <c r="R223" i="12" s="1"/>
  <c r="Q557" i="12" a="1"/>
  <c r="Q557" i="12" s="1"/>
  <c r="S258" i="12" a="1"/>
  <c r="S258" i="12" s="1"/>
  <c r="R243" i="12" a="1"/>
  <c r="R243" i="12" s="1"/>
  <c r="R323" i="12" a="1"/>
  <c r="R323" i="12" s="1"/>
  <c r="K280" i="12" a="1"/>
  <c r="K280" i="12" s="1"/>
  <c r="J208" i="12" a="1"/>
  <c r="J208" i="12" s="1"/>
  <c r="O598" i="12" a="1"/>
  <c r="O598" i="12" s="1"/>
  <c r="R598" i="12" a="1"/>
  <c r="R598" i="12" s="1"/>
  <c r="G234" i="12" a="1"/>
  <c r="G234" i="12" s="1"/>
  <c r="J243" i="12" a="1"/>
  <c r="J243" i="12" s="1"/>
  <c r="N501" i="12" a="1"/>
  <c r="N501" i="12" s="1"/>
  <c r="O226" i="12" a="1"/>
  <c r="O226" i="12" s="1"/>
  <c r="P537" i="12" a="1"/>
  <c r="P537" i="12" s="1"/>
  <c r="M519" i="12" a="1"/>
  <c r="M519" i="12" s="1"/>
  <c r="L573" i="12" a="1"/>
  <c r="L573" i="12" s="1"/>
  <c r="F503" i="12" a="1"/>
  <c r="F503" i="12" s="1"/>
  <c r="U392" i="2" a="1"/>
  <c r="U392" i="2" s="1"/>
  <c r="L495" i="12" a="1"/>
  <c r="L495" i="12" s="1"/>
  <c r="Q210" i="12" a="1"/>
  <c r="Q210" i="12" s="1"/>
  <c r="I225" i="12" a="1"/>
  <c r="I225" i="12" s="1"/>
  <c r="S221" i="12" a="1"/>
  <c r="S221" i="12" s="1"/>
  <c r="R606" i="12" a="1"/>
  <c r="R606" i="12" s="1"/>
  <c r="J302" i="12" a="1"/>
  <c r="J302" i="12" s="1"/>
  <c r="I238" i="12" a="1"/>
  <c r="I238" i="12" s="1"/>
  <c r="N237" i="12" a="1"/>
  <c r="N237" i="12" s="1"/>
  <c r="O537" i="12" a="1"/>
  <c r="O537" i="12" s="1"/>
  <c r="S239" i="12" a="1"/>
  <c r="S239" i="12" s="1"/>
  <c r="M257" i="12" a="1"/>
  <c r="M257" i="12" s="1"/>
  <c r="T588" i="12" a="1"/>
  <c r="T588" i="12" s="1"/>
  <c r="S280" i="12" a="1"/>
  <c r="S280" i="12" s="1"/>
  <c r="T260" i="12" a="1"/>
  <c r="T260" i="12" s="1"/>
  <c r="J561" i="12" a="1"/>
  <c r="J561" i="12" s="1"/>
  <c r="J277" i="12" a="1"/>
  <c r="J277" i="12" s="1"/>
  <c r="J245" i="12" a="1"/>
  <c r="J245" i="12" s="1"/>
  <c r="S499" i="12" a="1"/>
  <c r="S499" i="12" s="1"/>
  <c r="T520" i="12" a="1"/>
  <c r="T520" i="12" s="1"/>
  <c r="J575" i="12" a="1"/>
  <c r="J575" i="12" s="1"/>
  <c r="L311" i="12" a="1"/>
  <c r="L311" i="12" s="1"/>
  <c r="L557" i="12" a="1"/>
  <c r="L557" i="12" s="1"/>
  <c r="G233" i="12" a="1"/>
  <c r="G233" i="12" s="1"/>
  <c r="Q234" i="12" a="1"/>
  <c r="Q234" i="12" s="1"/>
  <c r="P234" i="12" a="1"/>
  <c r="P234" i="12" s="1"/>
  <c r="L237" i="12" a="1"/>
  <c r="L237" i="12" s="1"/>
  <c r="G213" i="12" a="1"/>
  <c r="G213" i="12" s="1"/>
  <c r="Q239" i="12" a="1"/>
  <c r="Q239" i="12" s="1"/>
  <c r="K585" i="12" a="1"/>
  <c r="K585" i="12" s="1"/>
  <c r="G258" i="12" a="1"/>
  <c r="G258" i="12" s="1"/>
  <c r="P210" i="12" a="1"/>
  <c r="P210" i="12" s="1"/>
  <c r="I551" i="12" a="1"/>
  <c r="I551" i="12" s="1"/>
  <c r="K509" i="12" a="1"/>
  <c r="K509" i="12" s="1"/>
  <c r="F186" i="12" a="1"/>
  <c r="F186" i="12" s="1"/>
  <c r="U464" i="2" a="1"/>
  <c r="U464" i="2" s="1"/>
  <c r="K195" i="12" a="1"/>
  <c r="K195" i="12" s="1"/>
  <c r="Q452" i="12" a="1"/>
  <c r="Q452" i="12" s="1"/>
  <c r="J135" i="12" a="1"/>
  <c r="J135" i="12" s="1"/>
  <c r="R561" i="12" a="1"/>
  <c r="R561" i="12" s="1"/>
  <c r="AA662" i="12" a="1"/>
  <c r="AA662" i="12" s="1"/>
  <c r="N220" i="12" a="1"/>
  <c r="N220" i="12" s="1"/>
  <c r="G172" i="12" a="1"/>
  <c r="G172" i="12" s="1"/>
  <c r="AA640" i="12" a="1"/>
  <c r="AA640" i="12" s="1"/>
  <c r="S244" i="12" a="1"/>
  <c r="S244" i="12" s="1"/>
  <c r="G206" i="12" a="1"/>
  <c r="G206" i="12" s="1"/>
  <c r="F415" i="12" a="1"/>
  <c r="F415" i="12" s="1"/>
  <c r="U312" i="2" a="1"/>
  <c r="U312" i="2" s="1"/>
  <c r="I504" i="12" a="1"/>
  <c r="I504" i="12" s="1"/>
  <c r="M500" i="12" a="1"/>
  <c r="M500" i="12" s="1"/>
  <c r="O179" i="12" a="1"/>
  <c r="O179" i="12" s="1"/>
  <c r="Q549" i="12" a="1"/>
  <c r="Q549" i="12" s="1"/>
  <c r="AL207" i="2" a="1"/>
  <c r="AL207" i="2" s="1"/>
  <c r="S163" i="12" a="1"/>
  <c r="S163" i="12" s="1"/>
  <c r="S493" i="12" a="1"/>
  <c r="S493" i="12" s="1"/>
  <c r="I476" i="12" a="1"/>
  <c r="I476" i="12" s="1"/>
  <c r="O397" i="12" a="1"/>
  <c r="O397" i="12" s="1"/>
  <c r="T258" i="12" a="1"/>
  <c r="T258" i="12" s="1"/>
  <c r="P519" i="12" a="1"/>
  <c r="P519" i="12" s="1"/>
  <c r="R604" i="12" a="1"/>
  <c r="R604" i="12" s="1"/>
  <c r="N495" i="12" a="1"/>
  <c r="N495" i="12" s="1"/>
  <c r="O547" i="12" a="1"/>
  <c r="O547" i="12" s="1"/>
  <c r="G407" i="12" a="1"/>
  <c r="G407" i="12" s="1"/>
  <c r="O407" i="12" a="1"/>
  <c r="O407" i="12" s="1"/>
  <c r="P193" i="12" a="1"/>
  <c r="P193" i="12" s="1"/>
  <c r="Q408" i="12" a="1"/>
  <c r="Q408" i="12" s="1"/>
  <c r="G435" i="12" a="1"/>
  <c r="G435" i="12" s="1"/>
  <c r="K586" i="12" a="1"/>
  <c r="K586" i="12" s="1"/>
  <c r="J188" i="12" a="1"/>
  <c r="J188" i="12" s="1"/>
  <c r="I195" i="12" a="1"/>
  <c r="I195" i="12" s="1"/>
  <c r="J584" i="12" a="1"/>
  <c r="J584" i="12" s="1"/>
  <c r="L584" i="12" a="1"/>
  <c r="L584" i="12" s="1"/>
  <c r="P185" i="12" a="1"/>
  <c r="P185" i="12" s="1"/>
  <c r="P503" i="12" a="1"/>
  <c r="P503" i="12" s="1"/>
  <c r="K236" i="12" a="1"/>
  <c r="K236" i="12" s="1"/>
  <c r="G215" i="12" a="1"/>
  <c r="G215" i="12" s="1"/>
  <c r="I508" i="12" a="1"/>
  <c r="I508" i="12" s="1"/>
  <c r="T508" i="12" a="1"/>
  <c r="T508" i="12" s="1"/>
  <c r="M559" i="12" a="1"/>
  <c r="M559" i="12" s="1"/>
  <c r="J539" i="12" a="1"/>
  <c r="J539" i="12" s="1"/>
  <c r="R515" i="12" a="1"/>
  <c r="R515" i="12" s="1"/>
  <c r="R230" i="12" a="1"/>
  <c r="R230" i="12" s="1"/>
  <c r="O230" i="12" a="1"/>
  <c r="O230" i="12" s="1"/>
  <c r="O227" i="12" a="1"/>
  <c r="O227" i="12" s="1"/>
  <c r="F522" i="12" a="1"/>
  <c r="F522" i="12" s="1"/>
  <c r="U227" i="2" a="1"/>
  <c r="U227" i="2" s="1"/>
  <c r="Q190" i="12" a="1"/>
  <c r="Q190" i="12" s="1"/>
  <c r="G199" i="12" a="1"/>
  <c r="G199" i="12" s="1"/>
  <c r="Q205" i="12" a="1"/>
  <c r="Q205" i="12" s="1"/>
  <c r="N374" i="12" a="1"/>
  <c r="N374" i="12" s="1"/>
  <c r="Z653" i="12" a="1"/>
  <c r="Z653" i="12" s="1"/>
  <c r="P511" i="12" a="1"/>
  <c r="P511" i="12" s="1"/>
  <c r="T561" i="12" a="1"/>
  <c r="T561" i="12" s="1"/>
  <c r="M564" i="12" a="1"/>
  <c r="M564" i="12" s="1"/>
  <c r="K173" i="12" a="1"/>
  <c r="K173" i="12" s="1"/>
  <c r="N530" i="12" a="1"/>
  <c r="N530" i="12" s="1"/>
  <c r="R274" i="12" a="1"/>
  <c r="R274" i="12" s="1"/>
  <c r="T206" i="12" a="1"/>
  <c r="T206" i="12" s="1"/>
  <c r="I179" i="12" a="1"/>
  <c r="I179" i="12" s="1"/>
  <c r="I223" i="12" a="1"/>
  <c r="I223" i="12" s="1"/>
  <c r="O582" i="12" a="1"/>
  <c r="O582" i="12" s="1"/>
  <c r="N533" i="12" a="1"/>
  <c r="N533" i="12" s="1"/>
  <c r="J426" i="12" a="1"/>
  <c r="J426" i="12" s="1"/>
  <c r="K522" i="12" a="1"/>
  <c r="K522" i="12" s="1"/>
  <c r="R526" i="12" a="1"/>
  <c r="R526" i="12" s="1"/>
  <c r="L217" i="12" a="1"/>
  <c r="L217" i="12" s="1"/>
  <c r="K558" i="12" a="1"/>
  <c r="K558" i="12" s="1"/>
  <c r="Q175" i="12" a="1"/>
  <c r="Q175" i="12" s="1"/>
  <c r="F502" i="12" a="1"/>
  <c r="F502" i="12" s="1"/>
  <c r="U299" i="2" a="1"/>
  <c r="U299" i="2" s="1"/>
  <c r="T492" i="12" a="1"/>
  <c r="T492" i="12" s="1"/>
  <c r="R170" i="12" a="1"/>
  <c r="R170" i="12" s="1"/>
  <c r="P374" i="12" a="1"/>
  <c r="P374" i="12" s="1"/>
  <c r="L419" i="12" a="1"/>
  <c r="L419" i="12" s="1"/>
  <c r="K160" i="12" a="1"/>
  <c r="K160" i="12" s="1"/>
  <c r="Q439" i="12" a="1"/>
  <c r="Q439" i="12" s="1"/>
  <c r="F162" i="12" a="1"/>
  <c r="F162" i="12" s="1"/>
  <c r="U468" i="2" a="1"/>
  <c r="U468" i="2" s="1"/>
  <c r="Q139" i="12" a="1"/>
  <c r="Q139" i="12" s="1"/>
  <c r="O238" i="12" a="1"/>
  <c r="O238" i="12" s="1"/>
  <c r="O475" i="12" a="1"/>
  <c r="O475" i="12" s="1"/>
  <c r="N173" i="12" a="1"/>
  <c r="N173" i="12" s="1"/>
  <c r="Q192" i="12" a="1"/>
  <c r="Q192" i="12" s="1"/>
  <c r="T192" i="12" a="1"/>
  <c r="T192" i="12" s="1"/>
  <c r="K215" i="12" a="1"/>
  <c r="K215" i="12" s="1"/>
  <c r="G244" i="12" a="1"/>
  <c r="G244" i="12" s="1"/>
  <c r="G540" i="12" a="1"/>
  <c r="G540" i="12" s="1"/>
  <c r="G274" i="12" a="1"/>
  <c r="G274" i="12" s="1"/>
  <c r="R541" i="12" a="1"/>
  <c r="R541" i="12" s="1"/>
  <c r="J195" i="12" a="1"/>
  <c r="J195" i="12" s="1"/>
  <c r="N476" i="12" a="1"/>
  <c r="N476" i="12" s="1"/>
  <c r="J606" i="12" a="1"/>
  <c r="J606" i="12" s="1"/>
  <c r="G187" i="12" a="1"/>
  <c r="G187" i="12" s="1"/>
  <c r="S187" i="12" a="1"/>
  <c r="S187" i="12" s="1"/>
  <c r="M562" i="12" a="1"/>
  <c r="M562" i="12" s="1"/>
  <c r="R509" i="12" a="1"/>
  <c r="R509" i="12" s="1"/>
  <c r="L539" i="12" a="1"/>
  <c r="L539" i="12" s="1"/>
  <c r="G267" i="12" a="1"/>
  <c r="G267" i="12" s="1"/>
  <c r="AB630" i="12" a="1"/>
  <c r="AB630" i="12" s="1"/>
  <c r="G225" i="12" a="1"/>
  <c r="G225" i="12" s="1"/>
  <c r="I231" i="12" a="1"/>
  <c r="I231" i="12" s="1"/>
  <c r="O494" i="12" a="1"/>
  <c r="O494" i="12" s="1"/>
  <c r="G549" i="12" a="1"/>
  <c r="G549" i="12" s="1"/>
  <c r="AR121" i="2" a="1"/>
  <c r="AR121" i="2" s="1"/>
  <c r="AQ121" i="2" a="1"/>
  <c r="AQ121" i="2" s="1"/>
  <c r="J332" i="12" a="1"/>
  <c r="J332" i="12" s="1"/>
  <c r="T114" i="12" a="1"/>
  <c r="T114" i="12" s="1"/>
  <c r="L194" i="12" a="1"/>
  <c r="L194" i="12" s="1"/>
  <c r="L603" i="12" a="1"/>
  <c r="L603" i="12" s="1"/>
  <c r="G558" i="12" a="1"/>
  <c r="G558" i="12" s="1"/>
  <c r="O356" i="12" a="1"/>
  <c r="O356" i="12" s="1"/>
  <c r="T479" i="12" a="1"/>
  <c r="T479" i="12" s="1"/>
  <c r="N393" i="12" a="1"/>
  <c r="N393" i="12" s="1"/>
  <c r="J108" i="12" a="1"/>
  <c r="J108" i="12" s="1"/>
  <c r="Q377" i="12" a="1"/>
  <c r="Q377" i="12" s="1"/>
  <c r="R422" i="12" a="1"/>
  <c r="R422" i="12" s="1"/>
  <c r="J325" i="12" a="1"/>
  <c r="J325" i="12" s="1"/>
  <c r="F115" i="12" a="1"/>
  <c r="F115" i="12" s="1"/>
  <c r="U331" i="2" a="1"/>
  <c r="U331" i="2" s="1"/>
  <c r="R157" i="12" a="1"/>
  <c r="R157" i="12" s="1"/>
  <c r="M117" i="12" a="1"/>
  <c r="M117" i="12" s="1"/>
  <c r="R48" i="12" a="1"/>
  <c r="R48" i="12" s="1"/>
  <c r="F127" i="12" a="1"/>
  <c r="F127" i="12" s="1"/>
  <c r="U343" i="2" a="1"/>
  <c r="U343" i="2" s="1"/>
  <c r="T111" i="12" a="1"/>
  <c r="T111" i="12" s="1"/>
  <c r="F289" i="12" a="1"/>
  <c r="F289" i="12" s="1"/>
  <c r="U169" i="2" a="1"/>
  <c r="U169" i="2" s="1"/>
  <c r="Q259" i="12" a="1"/>
  <c r="Q259" i="12" s="1"/>
  <c r="R71" i="12" a="1"/>
  <c r="R71" i="12" s="1"/>
  <c r="Z631" i="12" a="1"/>
  <c r="Z631" i="12" s="1"/>
  <c r="J89" i="12" a="1"/>
  <c r="J89" i="12" s="1"/>
  <c r="J70" i="12" a="1"/>
  <c r="J70" i="12" s="1"/>
  <c r="O40" i="12" a="1"/>
  <c r="O40" i="12" s="1"/>
  <c r="T144" i="12" a="1"/>
  <c r="T144" i="12" s="1"/>
  <c r="M534" i="12" a="1"/>
  <c r="M534" i="12" s="1"/>
  <c r="G534" i="12" a="1"/>
  <c r="G534" i="12" s="1"/>
  <c r="K583" i="12" a="1"/>
  <c r="K583" i="12" s="1"/>
  <c r="R397" i="12" a="1"/>
  <c r="R397" i="12" s="1"/>
  <c r="J209" i="12" a="1"/>
  <c r="J209" i="12" s="1"/>
  <c r="M363" i="12" a="1"/>
  <c r="M363" i="12" s="1"/>
  <c r="F114" i="12" a="1"/>
  <c r="F114" i="12" s="1"/>
  <c r="U350" i="2" a="1"/>
  <c r="U350" i="2" s="1"/>
  <c r="I309" i="12" a="1"/>
  <c r="I309" i="12" s="1"/>
  <c r="M142" i="12" a="1"/>
  <c r="M142" i="12" s="1"/>
  <c r="G401" i="12" a="1"/>
  <c r="G401" i="12" s="1"/>
  <c r="U201" i="2" a="1"/>
  <c r="U201" i="2" s="1"/>
  <c r="F365" i="12" a="1"/>
  <c r="F365" i="12" s="1"/>
  <c r="U127" i="2" a="1"/>
  <c r="U127" i="2" s="1"/>
  <c r="K358" i="12" a="1"/>
  <c r="K358" i="12" s="1"/>
  <c r="T120" i="12" a="1"/>
  <c r="T120" i="12" s="1"/>
  <c r="K348" i="12" a="1"/>
  <c r="K348" i="12" s="1"/>
  <c r="L101" i="12" a="1"/>
  <c r="L101" i="12" s="1"/>
  <c r="M285" i="12" a="1"/>
  <c r="M285" i="12" s="1"/>
  <c r="M297" i="12" a="1"/>
  <c r="M297" i="12" s="1"/>
  <c r="M65" i="12" a="1"/>
  <c r="M65" i="12" s="1"/>
  <c r="I71" i="12" a="1"/>
  <c r="I71" i="12" s="1"/>
  <c r="I94" i="12" a="1"/>
  <c r="I94" i="12" s="1"/>
  <c r="N70" i="12" a="1"/>
  <c r="N70" i="12" s="1"/>
  <c r="O37" i="12" a="1"/>
  <c r="O37" i="12" s="1"/>
  <c r="F308" i="12" a="1"/>
  <c r="F308" i="12" s="1"/>
  <c r="U250" i="2" a="1"/>
  <c r="U250" i="2" s="1"/>
  <c r="J308" i="12" a="1"/>
  <c r="J308" i="12" s="1"/>
  <c r="M169" i="12" a="1"/>
  <c r="M169" i="12" s="1"/>
  <c r="L337" i="12" a="1"/>
  <c r="L337" i="12" s="1"/>
  <c r="S167" i="12" a="1"/>
  <c r="S167" i="12" s="1"/>
  <c r="F145" i="12" a="1"/>
  <c r="F145" i="12" s="1"/>
  <c r="U324" i="2" a="1"/>
  <c r="U324" i="2" s="1"/>
  <c r="N159" i="12" a="1"/>
  <c r="N159" i="12" s="1"/>
  <c r="O431" i="12" a="1"/>
  <c r="O431" i="12" s="1"/>
  <c r="R368" i="12" a="1"/>
  <c r="R368" i="12" s="1"/>
  <c r="AA613" i="12" a="1"/>
  <c r="AA613" i="12" s="1"/>
  <c r="P161" i="12" a="1"/>
  <c r="P161" i="12" s="1"/>
  <c r="J102" i="12" a="1"/>
  <c r="J102" i="12" s="1"/>
  <c r="P71" i="12" a="1"/>
  <c r="P71" i="12" s="1"/>
  <c r="I87" i="12" a="1"/>
  <c r="I87" i="12" s="1"/>
  <c r="Q72" i="12" a="1"/>
  <c r="Q72" i="12" s="1"/>
  <c r="P197" i="12" a="1"/>
  <c r="P197" i="12" s="1"/>
  <c r="R190" i="12" a="1"/>
  <c r="R190" i="12" s="1"/>
  <c r="P397" i="12" a="1"/>
  <c r="P397" i="12" s="1"/>
  <c r="K469" i="12" a="1"/>
  <c r="K469" i="12" s="1"/>
  <c r="Q469" i="12" a="1"/>
  <c r="Q469" i="12" s="1"/>
  <c r="O139" i="12" a="1"/>
  <c r="O139" i="12" s="1"/>
  <c r="N431" i="12" a="1"/>
  <c r="N431" i="12" s="1"/>
  <c r="L120" i="12" a="1"/>
  <c r="L120" i="12" s="1"/>
  <c r="M115" i="12" a="1"/>
  <c r="M115" i="12" s="1"/>
  <c r="K387" i="12" a="1"/>
  <c r="K387" i="12" s="1"/>
  <c r="I421" i="12" a="1"/>
  <c r="I421" i="12" s="1"/>
  <c r="T378" i="12" a="1"/>
  <c r="T378" i="12" s="1"/>
  <c r="G91" i="12" a="1"/>
  <c r="G91" i="12" s="1"/>
  <c r="N255" i="12" a="1"/>
  <c r="N255" i="12" s="1"/>
  <c r="L289" i="12" a="1"/>
  <c r="L289" i="12" s="1"/>
  <c r="K199" i="12" a="1"/>
  <c r="K199" i="12" s="1"/>
  <c r="P454" i="12" a="1"/>
  <c r="P454" i="12" s="1"/>
  <c r="M492" i="12" a="1"/>
  <c r="M492" i="12" s="1"/>
  <c r="AA651" i="12" a="1"/>
  <c r="AA651" i="12" s="1"/>
  <c r="P156" i="12" a="1"/>
  <c r="P156" i="12" s="1"/>
  <c r="O114" i="12" a="1"/>
  <c r="O114" i="12" s="1"/>
  <c r="S321" i="12" a="1"/>
  <c r="S321" i="12" s="1"/>
  <c r="F431" i="12" a="1"/>
  <c r="F431" i="12" s="1"/>
  <c r="U145" i="2" a="1"/>
  <c r="U145" i="2" s="1"/>
  <c r="S354" i="12" a="1"/>
  <c r="S354" i="12" s="1"/>
  <c r="F376" i="12" a="1"/>
  <c r="F376" i="12" s="1"/>
  <c r="U170" i="2" a="1"/>
  <c r="U170" i="2" s="1"/>
  <c r="I607" i="12" a="1"/>
  <c r="I607" i="12" s="1"/>
  <c r="S117" i="12" a="1"/>
  <c r="S117" i="12" s="1"/>
  <c r="Q264" i="12" a="1"/>
  <c r="Q264" i="12" s="1"/>
  <c r="R296" i="12" a="1"/>
  <c r="R296" i="12" s="1"/>
  <c r="Q106" i="12" a="1"/>
  <c r="Q106" i="12" s="1"/>
  <c r="I289" i="12" a="1"/>
  <c r="I289" i="12" s="1"/>
  <c r="K196" i="12" a="1"/>
  <c r="K196" i="12" s="1"/>
  <c r="K606" i="12" a="1"/>
  <c r="K606" i="12" s="1"/>
  <c r="F484" i="12" a="1"/>
  <c r="F484" i="12" s="1"/>
  <c r="U243" i="2" a="1"/>
  <c r="U243" i="2" s="1"/>
  <c r="S162" i="12" a="1"/>
  <c r="S162" i="12" s="1"/>
  <c r="S416" i="12" a="1"/>
  <c r="S416" i="12" s="1"/>
  <c r="K372" i="12" a="1"/>
  <c r="K372" i="12" s="1"/>
  <c r="K346" i="12" a="1"/>
  <c r="K346" i="12" s="1"/>
  <c r="Q123" i="12" a="1"/>
  <c r="Q123" i="12" s="1"/>
  <c r="O138" i="12" a="1"/>
  <c r="O138" i="12" s="1"/>
  <c r="M151" i="12" a="1"/>
  <c r="M151" i="12" s="1"/>
  <c r="I150" i="12" a="1"/>
  <c r="I150" i="12" s="1"/>
  <c r="Q107" i="12" a="1"/>
  <c r="Q107" i="12" s="1"/>
  <c r="Z649" i="12" a="1"/>
  <c r="Z649" i="12" s="1"/>
  <c r="AL86" i="2" a="1"/>
  <c r="AL86" i="2" s="1"/>
  <c r="L99" i="12" a="1"/>
  <c r="L99" i="12" s="1"/>
  <c r="M97" i="12" a="1"/>
  <c r="M97" i="12" s="1"/>
  <c r="Q196" i="12" a="1"/>
  <c r="Q196" i="12" s="1"/>
  <c r="G94" i="12" a="1"/>
  <c r="G94" i="12" s="1"/>
  <c r="R95" i="12" a="1"/>
  <c r="R95" i="12" s="1"/>
  <c r="J202" i="12" a="1"/>
  <c r="J202" i="12" s="1"/>
  <c r="O182" i="12" a="1"/>
  <c r="O182" i="12" s="1"/>
  <c r="G144" i="12" a="1"/>
  <c r="G144" i="12" s="1"/>
  <c r="M232" i="12" a="1"/>
  <c r="M232" i="12" s="1"/>
  <c r="P232" i="12" a="1"/>
  <c r="P232" i="12" s="1"/>
  <c r="F168" i="12" a="1"/>
  <c r="F168" i="12" s="1"/>
  <c r="U374" i="2" a="1"/>
  <c r="U374" i="2" s="1"/>
  <c r="I149" i="12" a="1"/>
  <c r="I149" i="12" s="1"/>
  <c r="L397" i="12" a="1"/>
  <c r="L397" i="12" s="1"/>
  <c r="K229" i="12" a="1"/>
  <c r="K229" i="12" s="1"/>
  <c r="M558" i="12" a="1"/>
  <c r="M558" i="12" s="1"/>
  <c r="I439" i="12" a="1"/>
  <c r="I439" i="12" s="1"/>
  <c r="T363" i="12" a="1"/>
  <c r="T363" i="12" s="1"/>
  <c r="M123" i="12" a="1"/>
  <c r="M123" i="12" s="1"/>
  <c r="F432" i="12" a="1"/>
  <c r="F432" i="12" s="1"/>
  <c r="U417" i="2" a="1"/>
  <c r="U417" i="2" s="1"/>
  <c r="T377" i="12" a="1"/>
  <c r="T377" i="12" s="1"/>
  <c r="G138" i="12" a="1"/>
  <c r="G138" i="12" s="1"/>
  <c r="T165" i="12" a="1"/>
  <c r="T165" i="12" s="1"/>
  <c r="S388" i="12" a="1"/>
  <c r="S388" i="12" s="1"/>
  <c r="L177" i="12" a="1"/>
  <c r="L177" i="12" s="1"/>
  <c r="N283" i="12" a="1"/>
  <c r="N283" i="12" s="1"/>
  <c r="M368" i="12" a="1"/>
  <c r="M368" i="12" s="1"/>
  <c r="S140" i="12" a="1"/>
  <c r="S140" i="12" s="1"/>
  <c r="M161" i="12" a="1"/>
  <c r="M161" i="12" s="1"/>
  <c r="I312" i="12" a="1"/>
  <c r="I312" i="12" s="1"/>
  <c r="O65" i="12" a="1"/>
  <c r="O65" i="12" s="1"/>
  <c r="L82" i="12" a="1"/>
  <c r="L82" i="12" s="1"/>
  <c r="F462" i="12" a="1"/>
  <c r="F462" i="12" s="1"/>
  <c r="U236" i="2" a="1"/>
  <c r="U236" i="2" s="1"/>
  <c r="S190" i="12" a="1"/>
  <c r="S190" i="12" s="1"/>
  <c r="N403" i="12" a="1"/>
  <c r="N403" i="12" s="1"/>
  <c r="I141" i="12" a="1"/>
  <c r="I141" i="12" s="1"/>
  <c r="J337" i="12" a="1"/>
  <c r="J337" i="12" s="1"/>
  <c r="P393" i="12" a="1"/>
  <c r="P393" i="12" s="1"/>
  <c r="K427" i="12" a="1"/>
  <c r="K427" i="12" s="1"/>
  <c r="K114" i="12" a="1"/>
  <c r="K114" i="12" s="1"/>
  <c r="S422" i="12" a="1"/>
  <c r="S422" i="12" s="1"/>
  <c r="S112" i="12" a="1"/>
  <c r="S112" i="12" s="1"/>
  <c r="N92" i="12" a="1"/>
  <c r="N92" i="12" s="1"/>
  <c r="P48" i="12" a="1"/>
  <c r="P48" i="12" s="1"/>
  <c r="L67" i="12" a="1"/>
  <c r="L67" i="12" s="1"/>
  <c r="P133" i="12" a="1"/>
  <c r="P133" i="12" s="1"/>
  <c r="O111" i="12" a="1"/>
  <c r="O111" i="12" s="1"/>
  <c r="Q289" i="12" a="1"/>
  <c r="Q289" i="12" s="1"/>
  <c r="S259" i="12" a="1"/>
  <c r="S259" i="12" s="1"/>
  <c r="M121" i="12" a="1"/>
  <c r="M121" i="12" s="1"/>
  <c r="F253" i="12" a="1"/>
  <c r="F253" i="12" s="1"/>
  <c r="J235" i="12" a="1"/>
  <c r="J235" i="12" s="1"/>
  <c r="G235" i="12" a="1"/>
  <c r="G235" i="12" s="1"/>
  <c r="AA624" i="12" a="1"/>
  <c r="AA624" i="12" s="1"/>
  <c r="P152" i="12" a="1"/>
  <c r="P152" i="12" s="1"/>
  <c r="R458" i="12" a="1"/>
  <c r="R458" i="12" s="1"/>
  <c r="T332" i="12" a="1"/>
  <c r="T332" i="12" s="1"/>
  <c r="P366" i="12" a="1"/>
  <c r="P366" i="12" s="1"/>
  <c r="J156" i="12" a="1"/>
  <c r="J156" i="12" s="1"/>
  <c r="I370" i="12" a="1"/>
  <c r="I370" i="12" s="1"/>
  <c r="I335" i="12" a="1"/>
  <c r="I335" i="12" s="1"/>
  <c r="O48" i="12" a="1"/>
  <c r="O48" i="12" s="1"/>
  <c r="O297" i="12" a="1"/>
  <c r="O297" i="12" s="1"/>
  <c r="Q255" i="12" a="1"/>
  <c r="Q255" i="12" s="1"/>
  <c r="J126" i="12" a="1"/>
  <c r="J126" i="12" s="1"/>
  <c r="M73" i="12" a="1"/>
  <c r="M73" i="12" s="1"/>
  <c r="I131" i="12" a="1"/>
  <c r="I131" i="12" s="1"/>
  <c r="F528" i="12" a="1"/>
  <c r="F528" i="12" s="1"/>
  <c r="U336" i="2" a="1"/>
  <c r="U336" i="2" s="1"/>
  <c r="T528" i="12" a="1"/>
  <c r="T528" i="12" s="1"/>
  <c r="J414" i="12" a="1"/>
  <c r="J414" i="12" s="1"/>
  <c r="S363" i="12" a="1"/>
  <c r="S363" i="12" s="1"/>
  <c r="R139" i="12" a="1"/>
  <c r="R139" i="12" s="1"/>
  <c r="P404" i="12" a="1"/>
  <c r="P404" i="12" s="1"/>
  <c r="S358" i="12" a="1"/>
  <c r="S358" i="12" s="1"/>
  <c r="R115" i="12" a="1"/>
  <c r="R115" i="12" s="1"/>
  <c r="S92" i="12" a="1"/>
  <c r="S92" i="12" s="1"/>
  <c r="S299" i="12" a="1"/>
  <c r="S299" i="12" s="1"/>
  <c r="P91" i="12" a="1"/>
  <c r="P91" i="12" s="1"/>
  <c r="J67" i="12" a="1"/>
  <c r="J67" i="12" s="1"/>
  <c r="M106" i="12" a="1"/>
  <c r="M106" i="12" s="1"/>
  <c r="S71" i="12" a="1"/>
  <c r="S71" i="12" s="1"/>
  <c r="G87" i="12" a="1"/>
  <c r="G87" i="12" s="1"/>
  <c r="U111" i="2" a="1"/>
  <c r="U111" i="2" s="1"/>
  <c r="S77" i="12" a="1"/>
  <c r="S77" i="12" s="1"/>
  <c r="K125" i="12" a="1"/>
  <c r="K125" i="12" s="1"/>
  <c r="F125" i="12" a="1"/>
  <c r="F125" i="12" s="1"/>
  <c r="U310" i="2" a="1"/>
  <c r="U310" i="2" s="1"/>
  <c r="K253" i="12" a="1"/>
  <c r="K253" i="12" s="1"/>
  <c r="I100" i="12" a="1"/>
  <c r="I100" i="12" s="1"/>
  <c r="I58" i="12" a="1"/>
  <c r="I58" i="12" s="1"/>
  <c r="L78" i="12" a="1"/>
  <c r="L78" i="12" s="1"/>
  <c r="N61" i="12" a="1"/>
  <c r="N61" i="12" s="1"/>
  <c r="S202" i="12" a="1"/>
  <c r="S202" i="12" s="1"/>
  <c r="T56" i="12" a="1"/>
  <c r="T56" i="12" s="1"/>
  <c r="F14" i="12" a="1"/>
  <c r="F14" i="12" s="1"/>
  <c r="U119" i="2" a="1"/>
  <c r="U119" i="2" s="1"/>
  <c r="Q191" i="12" a="1"/>
  <c r="Q191" i="12" s="1"/>
  <c r="N19" i="12" a="1"/>
  <c r="N19" i="12" s="1"/>
  <c r="G17" i="12" a="1"/>
  <c r="G17" i="12" s="1"/>
  <c r="L7" i="12" a="1"/>
  <c r="L7" i="12" s="1"/>
  <c r="I216" i="12" a="1"/>
  <c r="I216" i="12" s="1"/>
  <c r="AA663" i="12" a="1"/>
  <c r="AA663" i="12" s="1"/>
  <c r="F25" i="12" a="1"/>
  <c r="F25" i="12" s="1"/>
  <c r="U302" i="2" a="1"/>
  <c r="U302" i="2" s="1"/>
  <c r="T43" i="12" a="1"/>
  <c r="T43" i="12" s="1"/>
  <c r="R36" i="12" a="1"/>
  <c r="R36" i="12" s="1"/>
  <c r="AL27" i="2" a="1"/>
  <c r="AL27" i="2" s="1"/>
  <c r="G12" i="12" a="1"/>
  <c r="G12" i="12" s="1"/>
  <c r="Q24" i="12" a="1"/>
  <c r="Q24" i="12" s="1"/>
  <c r="O305" i="12" a="1"/>
  <c r="O305" i="12" s="1"/>
  <c r="M32" i="12" a="1"/>
  <c r="M32" i="12" s="1"/>
  <c r="Q134" i="12" a="1"/>
  <c r="Q134" i="12" s="1"/>
  <c r="P23" i="12" a="1"/>
  <c r="P23" i="12" s="1"/>
  <c r="Q26" i="12" a="1"/>
  <c r="Q26" i="12" s="1"/>
  <c r="V14" i="3" a="1"/>
  <c r="V14" i="3" s="1"/>
  <c r="L13" i="12" a="1"/>
  <c r="L13" i="12" s="1"/>
  <c r="Q6" i="3" a="1"/>
  <c r="Q6" i="3" s="1"/>
  <c r="T109" i="12" a="1"/>
  <c r="T109" i="12" s="1"/>
  <c r="J50" i="12" a="1"/>
  <c r="J50" i="12" s="1"/>
  <c r="P345" i="12" a="1"/>
  <c r="P345" i="12" s="1"/>
  <c r="Q143" i="12" a="1"/>
  <c r="Q143" i="12" s="1"/>
  <c r="I253" i="12" a="1"/>
  <c r="I253" i="12" s="1"/>
  <c r="AB647" i="12" a="1"/>
  <c r="AB647" i="12" s="1"/>
  <c r="R70" i="12" a="1"/>
  <c r="R70" i="12" s="1"/>
  <c r="R256" i="12" a="1"/>
  <c r="R256" i="12" s="1"/>
  <c r="F60" i="12" a="1"/>
  <c r="F60" i="12" s="1"/>
  <c r="U154" i="2" a="1"/>
  <c r="U154" i="2" s="1"/>
  <c r="S5" i="12" a="1"/>
  <c r="S5" i="12" s="1"/>
  <c r="I4" i="12" a="1"/>
  <c r="I4" i="12" s="1"/>
  <c r="O30" i="12" a="1"/>
  <c r="O30" i="12" s="1"/>
  <c r="S113" i="12" a="1"/>
  <c r="S113" i="12" s="1"/>
  <c r="P144" i="12" a="1"/>
  <c r="P144" i="12" s="1"/>
  <c r="T86" i="12" a="1"/>
  <c r="T86" i="12" s="1"/>
  <c r="O24" i="12" a="1"/>
  <c r="O24" i="12" s="1"/>
  <c r="O25" i="3" a="1"/>
  <c r="O25" i="3" s="1"/>
  <c r="O28" i="3" s="1" a="1"/>
  <c r="O28" i="3" s="1"/>
  <c r="AQ15" i="2" a="1"/>
  <c r="AQ15" i="2" s="1"/>
  <c r="AR15" i="2" a="1"/>
  <c r="AR15" i="2" s="1"/>
  <c r="L56" i="12" a="1"/>
  <c r="L56" i="12" s="1"/>
  <c r="O496" i="12" a="1"/>
  <c r="O496" i="12" s="1"/>
  <c r="K365" i="12" a="1"/>
  <c r="K365" i="12" s="1"/>
  <c r="O423" i="12" a="1"/>
  <c r="O423" i="12" s="1"/>
  <c r="K127" i="12" a="1"/>
  <c r="K127" i="12" s="1"/>
  <c r="R99" i="12" a="1"/>
  <c r="R99" i="12" s="1"/>
  <c r="T100" i="12" a="1"/>
  <c r="T100" i="12" s="1"/>
  <c r="L212" i="12" a="1"/>
  <c r="L212" i="12" s="1"/>
  <c r="N207" i="12" a="1"/>
  <c r="N207" i="12" s="1"/>
  <c r="Q202" i="12" a="1"/>
  <c r="Q202" i="12" s="1"/>
  <c r="J12" i="12" a="1"/>
  <c r="J12" i="12" s="1"/>
  <c r="S40" i="12" a="1"/>
  <c r="S40" i="12" s="1"/>
  <c r="M27" i="12" a="1"/>
  <c r="M27" i="12" s="1"/>
  <c r="N325" i="12" a="1"/>
  <c r="N325" i="12" s="1"/>
  <c r="T333" i="12" a="1"/>
  <c r="T333" i="12" s="1"/>
  <c r="L333" i="12" a="1"/>
  <c r="L333" i="12" s="1"/>
  <c r="P89" i="12" a="1"/>
  <c r="P89" i="12" s="1"/>
  <c r="T28" i="12" a="1"/>
  <c r="T28" i="12" s="1"/>
  <c r="P68" i="12" a="1"/>
  <c r="P68" i="12" s="1"/>
  <c r="T105" i="12" a="1"/>
  <c r="T105" i="12" s="1"/>
  <c r="P305" i="12" a="1"/>
  <c r="P305" i="12" s="1"/>
  <c r="G178" i="12" a="1"/>
  <c r="G178" i="12" s="1"/>
  <c r="AA627" i="12" a="1"/>
  <c r="AA627" i="12" s="1"/>
  <c r="N21" i="12" a="1"/>
  <c r="N21" i="12" s="1"/>
  <c r="R20" i="12" a="1"/>
  <c r="R20" i="12" s="1"/>
  <c r="J7" i="12" a="1"/>
  <c r="J7" i="12" s="1"/>
  <c r="P8" i="12" a="1"/>
  <c r="P8" i="12" s="1"/>
  <c r="P104" i="12" a="1"/>
  <c r="P104" i="12" s="1"/>
  <c r="S60" i="12" a="1"/>
  <c r="S60" i="12" s="1"/>
  <c r="Z641" i="12" a="1"/>
  <c r="Z641" i="12" s="1"/>
  <c r="M39" i="12" a="1"/>
  <c r="M39" i="12" s="1"/>
  <c r="Q44" i="12" a="1"/>
  <c r="Q44" i="12" s="1"/>
  <c r="R116" i="12" a="1"/>
  <c r="R116" i="12" s="1"/>
  <c r="Q20" i="12" a="1"/>
  <c r="Q20" i="12" s="1"/>
  <c r="M16" i="12" a="1"/>
  <c r="M16" i="12" s="1"/>
  <c r="J43" i="12" a="1"/>
  <c r="J43" i="12" s="1"/>
  <c r="I159" i="12" a="1"/>
  <c r="I159" i="12" s="1"/>
  <c r="T107" i="12" a="1"/>
  <c r="T107" i="12" s="1"/>
  <c r="R250" i="12" a="1"/>
  <c r="R250" i="12" s="1"/>
  <c r="R88" i="12" a="1"/>
  <c r="R88" i="12" s="1"/>
  <c r="M292" i="12" a="1"/>
  <c r="M292" i="12" s="1"/>
  <c r="U175" i="2" a="1"/>
  <c r="U175" i="2" s="1"/>
  <c r="M224" i="12" a="1"/>
  <c r="M224" i="12" s="1"/>
  <c r="K66" i="12" a="1"/>
  <c r="K66" i="12" s="1"/>
  <c r="N202" i="12" a="1"/>
  <c r="N202" i="12" s="1"/>
  <c r="T25" i="12" a="1"/>
  <c r="T25" i="12" s="1"/>
  <c r="P38" i="12" a="1"/>
  <c r="P38" i="12" s="1"/>
  <c r="S401" i="12" a="1"/>
  <c r="S401" i="12" s="1"/>
  <c r="O84" i="12" a="1"/>
  <c r="O84" i="12" s="1"/>
  <c r="J72" i="12" a="1"/>
  <c r="J72" i="12" s="1"/>
  <c r="S64" i="12" a="1"/>
  <c r="S64" i="12" s="1"/>
  <c r="AB661" i="12" a="1"/>
  <c r="AB661" i="12" s="1"/>
  <c r="J275" i="12" a="1"/>
  <c r="J275" i="12" s="1"/>
  <c r="L69" i="12" a="1"/>
  <c r="L69" i="12" s="1"/>
  <c r="P55" i="12" a="1"/>
  <c r="P55" i="12" s="1"/>
  <c r="T27" i="12" a="1"/>
  <c r="T27" i="12" s="1"/>
  <c r="O39" i="12" a="1"/>
  <c r="O39" i="12" s="1"/>
  <c r="U320" i="2" a="1"/>
  <c r="U320" i="2" s="1"/>
  <c r="Q379" i="12" a="1"/>
  <c r="Q379" i="12" s="1"/>
  <c r="G379" i="12" a="1"/>
  <c r="G379" i="12" s="1"/>
  <c r="L115" i="12" a="1"/>
  <c r="L115" i="12" s="1"/>
  <c r="J312" i="12" a="1"/>
  <c r="J312" i="12" s="1"/>
  <c r="S330" i="12" a="1"/>
  <c r="S330" i="12" s="1"/>
  <c r="O143" i="12" a="1"/>
  <c r="O143" i="12" s="1"/>
  <c r="Q81" i="12" a="1"/>
  <c r="Q81" i="12" s="1"/>
  <c r="R266" i="12" a="1"/>
  <c r="R266" i="12" s="1"/>
  <c r="G96" i="12" a="1"/>
  <c r="G96" i="12" s="1"/>
  <c r="K382" i="12" a="1"/>
  <c r="K382" i="12" s="1"/>
  <c r="S58" i="12" a="1"/>
  <c r="S58" i="12" s="1"/>
  <c r="F146" i="12" a="1"/>
  <c r="F146" i="12" s="1"/>
  <c r="U48" i="2" a="1"/>
  <c r="U48" i="2" s="1"/>
  <c r="I201" i="12" a="1"/>
  <c r="I201" i="12" s="1"/>
  <c r="P174" i="12" a="1"/>
  <c r="P174" i="12" s="1"/>
  <c r="N130" i="12" a="1"/>
  <c r="N130" i="12" s="1"/>
  <c r="AB631" i="12" a="1"/>
  <c r="AB631" i="12" s="1"/>
  <c r="M90" i="12" a="1"/>
  <c r="M90" i="12" s="1"/>
  <c r="K105" i="12" a="1"/>
  <c r="K105" i="12" s="1"/>
  <c r="P78" i="12" a="1"/>
  <c r="P78" i="12" s="1"/>
  <c r="Q174" i="12" a="1"/>
  <c r="Q174" i="12" s="1"/>
  <c r="F75" i="12" a="1"/>
  <c r="F75" i="12" s="1"/>
  <c r="U133" i="2" a="1"/>
  <c r="U133" i="2" s="1"/>
  <c r="R51" i="12" a="1"/>
  <c r="R51" i="12" s="1"/>
  <c r="AB645" i="12" a="1"/>
  <c r="AB645" i="12" s="1"/>
  <c r="F134" i="12" a="1"/>
  <c r="F134" i="12" s="1"/>
  <c r="U14" i="2" a="1"/>
  <c r="U14" i="2" s="1"/>
  <c r="L86" i="12" a="1"/>
  <c r="L86" i="12" s="1"/>
  <c r="X627" i="12" a="1"/>
  <c r="X627" i="12" s="1"/>
  <c r="M425" i="12" a="1"/>
  <c r="M425" i="12" s="1"/>
  <c r="T279" i="12" a="1"/>
  <c r="T279" i="12" s="1"/>
  <c r="T166" i="12" a="1"/>
  <c r="T166" i="12" s="1"/>
  <c r="O144" i="12" a="1"/>
  <c r="O144" i="12" s="1"/>
  <c r="P86" i="12" a="1"/>
  <c r="P86" i="12" s="1"/>
  <c r="P15" i="12" a="1"/>
  <c r="P15" i="12" s="1"/>
  <c r="O12" i="12" a="1"/>
  <c r="O12" i="12" s="1"/>
  <c r="R23" i="12" a="1"/>
  <c r="R23" i="12" s="1"/>
  <c r="R9" i="12" a="1"/>
  <c r="R9" i="12" s="1"/>
  <c r="M182" i="12" a="1"/>
  <c r="M182" i="12" s="1"/>
  <c r="L52" i="12" a="1"/>
  <c r="L52" i="12" s="1"/>
  <c r="T21" i="12" a="1"/>
  <c r="T21" i="12" s="1"/>
  <c r="I46" i="12" a="1"/>
  <c r="I46" i="12" s="1"/>
  <c r="K43" i="12" a="1"/>
  <c r="K43" i="12" s="1"/>
  <c r="F103" i="12" a="1"/>
  <c r="F103" i="12" s="1"/>
  <c r="U18" i="2" a="1"/>
  <c r="U18" i="2" s="1"/>
  <c r="M10" i="12" a="1"/>
  <c r="M10" i="12" s="1"/>
  <c r="G41" i="12" a="1"/>
  <c r="G41" i="12" s="1"/>
  <c r="AL20" i="2" a="1"/>
  <c r="AL20" i="2" s="1"/>
  <c r="R30" i="12" a="1"/>
  <c r="R30" i="12" s="1"/>
  <c r="M45" i="12" a="1"/>
  <c r="M45" i="12" s="1"/>
  <c r="N31" i="12" a="1"/>
  <c r="N31" i="12" s="1"/>
  <c r="O31" i="12" a="1"/>
  <c r="O31" i="12" s="1"/>
  <c r="L275" i="12" a="1"/>
  <c r="L275" i="12" s="1"/>
  <c r="R129" i="12" a="1"/>
  <c r="R129" i="12" s="1"/>
  <c r="G184" i="12" a="1"/>
  <c r="G184" i="12" s="1"/>
  <c r="S184" i="12" a="1"/>
  <c r="S184" i="12" s="1"/>
  <c r="X611" i="12" a="1"/>
  <c r="X611" i="12" s="1"/>
  <c r="J59" i="12" a="1"/>
  <c r="J59" i="12" s="1"/>
  <c r="I37" i="12" a="1"/>
  <c r="I37" i="12" s="1"/>
  <c r="O118" i="12" a="1"/>
  <c r="O118" i="12" s="1"/>
  <c r="L22" i="12" a="1"/>
  <c r="L22" i="12" s="1"/>
  <c r="M22" i="12" a="1"/>
  <c r="M22" i="12" s="1"/>
  <c r="F42" i="12" a="1"/>
  <c r="F42" i="12" s="1"/>
  <c r="U58" i="2" a="1"/>
  <c r="U58" i="2" s="1"/>
  <c r="K109" i="12" a="1"/>
  <c r="K109" i="12" s="1"/>
  <c r="N80" i="12" a="1"/>
  <c r="N80" i="12" s="1"/>
  <c r="O20" i="12" a="1"/>
  <c r="O20" i="12" s="1"/>
  <c r="M82" i="12" a="1"/>
  <c r="M82" i="12" s="1"/>
  <c r="L62" i="12" a="1"/>
  <c r="L62" i="12" s="1"/>
  <c r="AA619" i="12" a="1"/>
  <c r="AA619" i="12" s="1"/>
  <c r="U36" i="2" a="1"/>
  <c r="U36" i="2" s="1"/>
  <c r="AQ17" i="2" a="1"/>
  <c r="AQ17" i="2" s="1"/>
  <c r="AR17" i="2" a="1"/>
  <c r="AR17" i="2" s="1"/>
  <c r="F34" i="12" a="1"/>
  <c r="F34" i="12" s="1"/>
  <c r="U155" i="2" a="1"/>
  <c r="U155" i="2" s="1"/>
  <c r="M34" i="12" a="1"/>
  <c r="M34" i="12" s="1"/>
  <c r="S79" i="12" a="1"/>
  <c r="S79" i="12" s="1"/>
  <c r="I57" i="12" a="1"/>
  <c r="I57" i="12" s="1"/>
  <c r="F182" i="12" a="1"/>
  <c r="F182" i="12" s="1"/>
  <c r="U50" i="2" a="1"/>
  <c r="U50" i="2" s="1"/>
  <c r="M24" i="12" a="1"/>
  <c r="M24" i="12" s="1"/>
  <c r="N3" i="12" a="1"/>
  <c r="N3" i="12" s="1"/>
  <c r="P24" i="12" a="1"/>
  <c r="P24" i="12" s="1"/>
  <c r="G53" i="12" a="1"/>
  <c r="G53" i="12" s="1"/>
  <c r="S53" i="12" a="1"/>
  <c r="S53" i="12" s="1"/>
  <c r="M14" i="12" a="1"/>
  <c r="M14" i="12" s="1"/>
  <c r="T49" i="12" a="1"/>
  <c r="T49" i="12" s="1"/>
  <c r="P63" i="12" a="1"/>
  <c r="P63" i="12" s="1"/>
  <c r="G63" i="12" a="1"/>
  <c r="G63" i="12" s="1"/>
  <c r="L11" i="12" a="1"/>
  <c r="L11" i="12" s="1"/>
  <c r="P11" i="12" a="1"/>
  <c r="P11" i="12" s="1"/>
  <c r="U140" i="2" a="1"/>
  <c r="U140" i="2" s="1"/>
  <c r="P200" i="12" a="1"/>
  <c r="P200" i="12" s="1"/>
  <c r="F33" i="12" a="1"/>
  <c r="F33" i="12" s="1"/>
  <c r="U5" i="2" a="1"/>
  <c r="U5" i="2" s="1"/>
  <c r="I68" i="12" a="1"/>
  <c r="I68" i="12" s="1"/>
  <c r="Q189" i="12" a="1"/>
  <c r="Q189" i="12" s="1"/>
  <c r="L55" i="12" a="1"/>
  <c r="L55" i="12" s="1"/>
  <c r="F144" i="12" a="1"/>
  <c r="F144" i="12" s="1"/>
  <c r="S561" i="12" a="1"/>
  <c r="S561" i="12" s="1"/>
  <c r="S263" i="12" a="1"/>
  <c r="S263" i="12" s="1"/>
  <c r="AQ354" i="2" a="1"/>
  <c r="AQ354" i="2" s="1"/>
  <c r="AR354" i="2" a="1"/>
  <c r="AR354" i="2" s="1"/>
  <c r="S520" i="12" a="1"/>
  <c r="S520" i="12" s="1"/>
  <c r="R172" i="12" a="1"/>
  <c r="R172" i="12" s="1"/>
  <c r="Q236" i="12" a="1"/>
  <c r="Q236" i="12" s="1"/>
  <c r="R562" i="12" a="1"/>
  <c r="R562" i="12" s="1"/>
  <c r="S412" i="12" a="1"/>
  <c r="S412" i="12" s="1"/>
  <c r="N219" i="12" a="1"/>
  <c r="N219" i="12" s="1"/>
  <c r="N281" i="12" a="1"/>
  <c r="N281" i="12" s="1"/>
  <c r="G238" i="12" a="1"/>
  <c r="G238" i="12" s="1"/>
  <c r="N280" i="12" a="1"/>
  <c r="N280" i="12" s="1"/>
  <c r="G483" i="12" a="1"/>
  <c r="G483" i="12" s="1"/>
  <c r="G463" i="12" a="1"/>
  <c r="G463" i="12" s="1"/>
  <c r="P298" i="12" a="1"/>
  <c r="P298" i="12" s="1"/>
  <c r="I536" i="12" a="1"/>
  <c r="I536" i="12" s="1"/>
  <c r="R311" i="12" a="1"/>
  <c r="R311" i="12" s="1"/>
  <c r="L233" i="12" a="1"/>
  <c r="L233" i="12" s="1"/>
  <c r="Q597" i="12" a="1"/>
  <c r="Q597" i="12" s="1"/>
  <c r="F463" i="12" a="1"/>
  <c r="F463" i="12" s="1"/>
  <c r="U385" i="2" a="1"/>
  <c r="U385" i="2" s="1"/>
  <c r="O208" i="12" a="1"/>
  <c r="O208" i="12" s="1"/>
  <c r="T568" i="12" a="1"/>
  <c r="T568" i="12" s="1"/>
  <c r="S228" i="12" a="1"/>
  <c r="S228" i="12" s="1"/>
  <c r="O562" i="12" a="1"/>
  <c r="O562" i="12" s="1"/>
  <c r="N531" i="12" a="1"/>
  <c r="N531" i="12" s="1"/>
  <c r="F149" i="12" a="1"/>
  <c r="F149" i="12" s="1"/>
  <c r="U311" i="2" a="1"/>
  <c r="U311" i="2" s="1"/>
  <c r="P549" i="12" a="1"/>
  <c r="P549" i="12" s="1"/>
  <c r="F131" i="12" a="1"/>
  <c r="F131" i="12" s="1"/>
  <c r="U348" i="2" a="1"/>
  <c r="U348" i="2" s="1"/>
  <c r="R282" i="12" a="1"/>
  <c r="R282" i="12" s="1"/>
  <c r="Q271" i="12" a="1"/>
  <c r="Q271" i="12" s="1"/>
  <c r="K505" i="12" a="1"/>
  <c r="K505" i="12" s="1"/>
  <c r="P501" i="12" a="1"/>
  <c r="P501" i="12" s="1"/>
  <c r="J248" i="12" a="1"/>
  <c r="J248" i="12" s="1"/>
  <c r="R213" i="12" a="1"/>
  <c r="R213" i="12" s="1"/>
  <c r="G83" i="12" a="1"/>
  <c r="G83" i="12" s="1"/>
  <c r="G499" i="12" a="1"/>
  <c r="G499" i="12" s="1"/>
  <c r="AB664" i="12" a="1"/>
  <c r="AB664" i="12" s="1"/>
  <c r="N223" i="12" a="1"/>
  <c r="N223" i="12" s="1"/>
  <c r="P261" i="12" a="1"/>
  <c r="P261" i="12" s="1"/>
  <c r="S557" i="12" a="1"/>
  <c r="S557" i="12" s="1"/>
  <c r="J258" i="12" a="1"/>
  <c r="J258" i="12" s="1"/>
  <c r="P271" i="12" a="1"/>
  <c r="P271" i="12" s="1"/>
  <c r="F280" i="12" a="1"/>
  <c r="F280" i="12" s="1"/>
  <c r="P237" i="12" a="1"/>
  <c r="P237" i="12" s="1"/>
  <c r="P277" i="12" a="1"/>
  <c r="P277" i="12" s="1"/>
  <c r="K83" i="12" a="1"/>
  <c r="K83" i="12" s="1"/>
  <c r="F499" i="12" a="1"/>
  <c r="F499" i="12" s="1"/>
  <c r="I598" i="12" a="1"/>
  <c r="I598" i="12" s="1"/>
  <c r="L301" i="12" a="1"/>
  <c r="L301" i="12" s="1"/>
  <c r="L276" i="12" a="1"/>
  <c r="L276" i="12" s="1"/>
  <c r="P272" i="12" a="1"/>
  <c r="P272" i="12" s="1"/>
  <c r="K211" i="12" a="1"/>
  <c r="K211" i="12" s="1"/>
  <c r="N243" i="12" a="1"/>
  <c r="N243" i="12" s="1"/>
  <c r="T501" i="12" a="1"/>
  <c r="T501" i="12" s="1"/>
  <c r="J226" i="12" a="1"/>
  <c r="J226" i="12" s="1"/>
  <c r="I208" i="12" a="1"/>
  <c r="I208" i="12" s="1"/>
  <c r="O519" i="12" a="1"/>
  <c r="O519" i="12" s="1"/>
  <c r="J573" i="12" a="1"/>
  <c r="J573" i="12" s="1"/>
  <c r="Q503" i="12" a="1"/>
  <c r="Q503" i="12" s="1"/>
  <c r="Q495" i="12" a="1"/>
  <c r="Q495" i="12" s="1"/>
  <c r="J210" i="12" a="1"/>
  <c r="J210" i="12" s="1"/>
  <c r="N225" i="12" a="1"/>
  <c r="N225" i="12" s="1"/>
  <c r="M221" i="12" a="1"/>
  <c r="M221" i="12" s="1"/>
  <c r="L606" i="12" a="1"/>
  <c r="L606" i="12" s="1"/>
  <c r="L362" i="12" a="1"/>
  <c r="L362" i="12" s="1"/>
  <c r="N261" i="12" a="1"/>
  <c r="N261" i="12" s="1"/>
  <c r="T280" i="12" a="1"/>
  <c r="T280" i="12" s="1"/>
  <c r="F263" i="12" a="1"/>
  <c r="F263" i="12" s="1"/>
  <c r="U484" i="2" a="1"/>
  <c r="U484" i="2" s="1"/>
  <c r="O268" i="12" a="1"/>
  <c r="O268" i="12" s="1"/>
  <c r="S214" i="12" a="1"/>
  <c r="S214" i="12" s="1"/>
  <c r="O181" i="12" a="1"/>
  <c r="O181" i="12" s="1"/>
  <c r="K501" i="12" a="1"/>
  <c r="K501" i="12" s="1"/>
  <c r="I514" i="12" a="1"/>
  <c r="I514" i="12" s="1"/>
  <c r="F277" i="12" a="1"/>
  <c r="F277" i="12" s="1"/>
  <c r="U389" i="2" a="1"/>
  <c r="U389" i="2" s="1"/>
  <c r="F245" i="12" a="1"/>
  <c r="F245" i="12" s="1"/>
  <c r="U615" i="2" a="1"/>
  <c r="U615" i="2" s="1"/>
  <c r="P499" i="12" a="1"/>
  <c r="P499" i="12" s="1"/>
  <c r="K575" i="12" a="1"/>
  <c r="K575" i="12" s="1"/>
  <c r="M311" i="12" a="1"/>
  <c r="M311" i="12" s="1"/>
  <c r="N258" i="12" a="1"/>
  <c r="N258" i="12" s="1"/>
  <c r="N233" i="12" a="1"/>
  <c r="N233" i="12" s="1"/>
  <c r="K234" i="12" a="1"/>
  <c r="K234" i="12" s="1"/>
  <c r="S315" i="12" a="1"/>
  <c r="S315" i="12" s="1"/>
  <c r="Q280" i="12" a="1"/>
  <c r="Q280" i="12" s="1"/>
  <c r="K237" i="12" a="1"/>
  <c r="K237" i="12" s="1"/>
  <c r="M537" i="12" a="1"/>
  <c r="M537" i="12" s="1"/>
  <c r="T246" i="12" a="1"/>
  <c r="T246" i="12" s="1"/>
  <c r="M585" i="12" a="1"/>
  <c r="M585" i="12" s="1"/>
  <c r="I315" i="12" a="1"/>
  <c r="I315" i="12" s="1"/>
  <c r="L83" i="12" a="1"/>
  <c r="L83" i="12" s="1"/>
  <c r="P551" i="12" a="1"/>
  <c r="P551" i="12" s="1"/>
  <c r="N551" i="12" a="1"/>
  <c r="N551" i="12" s="1"/>
  <c r="P509" i="12" a="1"/>
  <c r="P509" i="12" s="1"/>
  <c r="S549" i="12" a="1"/>
  <c r="S549" i="12" s="1"/>
  <c r="T186" i="12" a="1"/>
  <c r="T186" i="12" s="1"/>
  <c r="J452" i="12" a="1"/>
  <c r="J452" i="12" s="1"/>
  <c r="G135" i="12" a="1"/>
  <c r="G135" i="12" s="1"/>
  <c r="N295" i="12" a="1"/>
  <c r="N295" i="12" s="1"/>
  <c r="S510" i="12" a="1"/>
  <c r="S510" i="12" s="1"/>
  <c r="X662" i="12" a="1"/>
  <c r="X662" i="12" s="1"/>
  <c r="O220" i="12" a="1"/>
  <c r="O220" i="12" s="1"/>
  <c r="O210" i="12" a="1"/>
  <c r="O210" i="12" s="1"/>
  <c r="X640" i="12" a="1"/>
  <c r="X640" i="12" s="1"/>
  <c r="K244" i="12" a="1"/>
  <c r="K244" i="12" s="1"/>
  <c r="R508" i="12" a="1"/>
  <c r="R508" i="12" s="1"/>
  <c r="K415" i="12" a="1"/>
  <c r="K415" i="12" s="1"/>
  <c r="F504" i="12" a="1"/>
  <c r="F504" i="12" s="1"/>
  <c r="U333" i="2" a="1"/>
  <c r="U333" i="2" s="1"/>
  <c r="F500" i="12" a="1"/>
  <c r="F500" i="12" s="1"/>
  <c r="U204" i="2" a="1"/>
  <c r="U204" i="2" s="1"/>
  <c r="T179" i="12" a="1"/>
  <c r="T179" i="12" s="1"/>
  <c r="T171" i="12" a="1"/>
  <c r="T171" i="12" s="1"/>
  <c r="AA614" i="12" a="1"/>
  <c r="AA614" i="12" s="1"/>
  <c r="T163" i="12" a="1"/>
  <c r="T163" i="12" s="1"/>
  <c r="N493" i="12" a="1"/>
  <c r="N493" i="12" s="1"/>
  <c r="T397" i="12" a="1"/>
  <c r="T397" i="12" s="1"/>
  <c r="K281" i="12" a="1"/>
  <c r="K281" i="12" s="1"/>
  <c r="U547" i="2" a="1"/>
  <c r="U547" i="2" s="1"/>
  <c r="F604" i="12" a="1"/>
  <c r="F604" i="12" s="1"/>
  <c r="U435" i="2" a="1"/>
  <c r="U435" i="2" s="1"/>
  <c r="K520" i="12" a="1"/>
  <c r="K520" i="12" s="1"/>
  <c r="F221" i="12" a="1"/>
  <c r="F221" i="12" s="1"/>
  <c r="T547" i="12" a="1"/>
  <c r="T547" i="12" s="1"/>
  <c r="N407" i="12" a="1"/>
  <c r="N407" i="12" s="1"/>
  <c r="T407" i="12" a="1"/>
  <c r="T407" i="12" s="1"/>
  <c r="J193" i="12" a="1"/>
  <c r="J193" i="12" s="1"/>
  <c r="F408" i="12" a="1"/>
  <c r="F408" i="12" s="1"/>
  <c r="U232" i="2" a="1"/>
  <c r="U232" i="2" s="1"/>
  <c r="O549" i="12" a="1"/>
  <c r="O549" i="12" s="1"/>
  <c r="R586" i="12" a="1"/>
  <c r="R586" i="12" s="1"/>
  <c r="P188" i="12" a="1"/>
  <c r="P188" i="12" s="1"/>
  <c r="O332" i="12" a="1"/>
  <c r="O332" i="12" s="1"/>
  <c r="R584" i="12" a="1"/>
  <c r="R584" i="12" s="1"/>
  <c r="R185" i="12" a="1"/>
  <c r="R185" i="12" s="1"/>
  <c r="Q585" i="12" a="1"/>
  <c r="Q585" i="12" s="1"/>
  <c r="Q508" i="12" a="1"/>
  <c r="Q508" i="12" s="1"/>
  <c r="L500" i="12" a="1"/>
  <c r="L500" i="12" s="1"/>
  <c r="N190" i="12" a="1"/>
  <c r="N190" i="12" s="1"/>
  <c r="R205" i="12" a="1"/>
  <c r="R205" i="12" s="1"/>
  <c r="P559" i="12" a="1"/>
  <c r="P559" i="12" s="1"/>
  <c r="L246" i="12" a="1"/>
  <c r="L246" i="12" s="1"/>
  <c r="F515" i="12" a="1"/>
  <c r="F515" i="12" s="1"/>
  <c r="U306" i="2" a="1"/>
  <c r="U306" i="2" s="1"/>
  <c r="L230" i="12" a="1"/>
  <c r="L230" i="12" s="1"/>
  <c r="T230" i="12" a="1"/>
  <c r="T230" i="12" s="1"/>
  <c r="T227" i="12" a="1"/>
  <c r="T227" i="12" s="1"/>
  <c r="L199" i="12" a="1"/>
  <c r="L199" i="12" s="1"/>
  <c r="G205" i="12" a="1"/>
  <c r="G205" i="12" s="1"/>
  <c r="N466" i="12" a="1"/>
  <c r="N466" i="12" s="1"/>
  <c r="N204" i="12" a="1"/>
  <c r="N204" i="12" s="1"/>
  <c r="Q154" i="12" a="1"/>
  <c r="Q154" i="12" s="1"/>
  <c r="I276" i="12" a="1"/>
  <c r="I276" i="12" s="1"/>
  <c r="M511" i="12" a="1"/>
  <c r="M511" i="12" s="1"/>
  <c r="I213" i="12" a="1"/>
  <c r="I213" i="12" s="1"/>
  <c r="F273" i="12" a="1"/>
  <c r="F273" i="12" s="1"/>
  <c r="U578" i="2" a="1"/>
  <c r="U578" i="2" s="1"/>
  <c r="N564" i="12" a="1"/>
  <c r="N564" i="12" s="1"/>
  <c r="K588" i="12" a="1"/>
  <c r="K588" i="12" s="1"/>
  <c r="I530" i="12" a="1"/>
  <c r="I530" i="12" s="1"/>
  <c r="Z654" i="12" a="1"/>
  <c r="Z654" i="12" s="1"/>
  <c r="I483" i="12" a="1"/>
  <c r="I483" i="12" s="1"/>
  <c r="G582" i="12" a="1"/>
  <c r="G582" i="12" s="1"/>
  <c r="M533" i="12" a="1"/>
  <c r="M533" i="12" s="1"/>
  <c r="N426" i="12" a="1"/>
  <c r="N426" i="12" s="1"/>
  <c r="O426" i="12" a="1"/>
  <c r="O426" i="12" s="1"/>
  <c r="O556" i="12" a="1"/>
  <c r="O556" i="12" s="1"/>
  <c r="R522" i="12" a="1"/>
  <c r="R522" i="12" s="1"/>
  <c r="M526" i="12" a="1"/>
  <c r="M526" i="12" s="1"/>
  <c r="T466" i="12" a="1"/>
  <c r="T466" i="12" s="1"/>
  <c r="R217" i="12" a="1"/>
  <c r="R217" i="12" s="1"/>
  <c r="P558" i="12" a="1"/>
  <c r="P558" i="12" s="1"/>
  <c r="L175" i="12" a="1"/>
  <c r="L175" i="12" s="1"/>
  <c r="K502" i="12" a="1"/>
  <c r="K502" i="12" s="1"/>
  <c r="Q492" i="12" a="1"/>
  <c r="Q492" i="12" s="1"/>
  <c r="F170" i="12" a="1"/>
  <c r="F170" i="12" s="1"/>
  <c r="U440" i="2" a="1"/>
  <c r="U440" i="2" s="1"/>
  <c r="T204" i="12" a="1"/>
  <c r="T204" i="12" s="1"/>
  <c r="R419" i="12" a="1"/>
  <c r="R419" i="12" s="1"/>
  <c r="P160" i="12" a="1"/>
  <c r="P160" i="12" s="1"/>
  <c r="L439" i="12" a="1"/>
  <c r="L439" i="12" s="1"/>
  <c r="K162" i="12" a="1"/>
  <c r="K162" i="12" s="1"/>
  <c r="I154" i="12" a="1"/>
  <c r="I154" i="12" s="1"/>
  <c r="J139" i="12" a="1"/>
  <c r="J139" i="12" s="1"/>
  <c r="M243" i="12" a="1"/>
  <c r="M243" i="12" s="1"/>
  <c r="U433" i="2" a="1"/>
  <c r="U433" i="2" s="1"/>
  <c r="T173" i="12" a="1"/>
  <c r="T173" i="12" s="1"/>
  <c r="R192" i="12" a="1"/>
  <c r="R192" i="12" s="1"/>
  <c r="AA630" i="12" a="1"/>
  <c r="AA630" i="12" s="1"/>
  <c r="L180" i="12" a="1"/>
  <c r="L180" i="12" s="1"/>
  <c r="R215" i="12" a="1"/>
  <c r="R215" i="12" s="1"/>
  <c r="N540" i="12" a="1"/>
  <c r="N540" i="12" s="1"/>
  <c r="N274" i="12" a="1"/>
  <c r="N274" i="12" s="1"/>
  <c r="P195" i="12" a="1"/>
  <c r="P195" i="12" s="1"/>
  <c r="J476" i="12" a="1"/>
  <c r="J476" i="12" s="1"/>
  <c r="O505" i="12" a="1"/>
  <c r="O505" i="12" s="1"/>
  <c r="O187" i="12" a="1"/>
  <c r="O187" i="12" s="1"/>
  <c r="J187" i="12" a="1"/>
  <c r="J187" i="12" s="1"/>
  <c r="S500" i="12" a="1"/>
  <c r="S500" i="12" s="1"/>
  <c r="T226" i="12" a="1"/>
  <c r="T226" i="12" s="1"/>
  <c r="O267" i="12" a="1"/>
  <c r="O267" i="12" s="1"/>
  <c r="R267" i="12" a="1"/>
  <c r="R267" i="12" s="1"/>
  <c r="T495" i="12" a="1"/>
  <c r="T495" i="12" s="1"/>
  <c r="P231" i="12" a="1"/>
  <c r="P231" i="12" s="1"/>
  <c r="N231" i="12" a="1"/>
  <c r="N231" i="12" s="1"/>
  <c r="T494" i="12" a="1"/>
  <c r="T494" i="12" s="1"/>
  <c r="I171" i="12" a="1"/>
  <c r="I171" i="12" s="1"/>
  <c r="S188" i="12" a="1"/>
  <c r="S188" i="12" s="1"/>
  <c r="AB616" i="12" a="1"/>
  <c r="AB616" i="12" s="1"/>
  <c r="Q332" i="12" a="1"/>
  <c r="Q332" i="12" s="1"/>
  <c r="M603" i="12" a="1"/>
  <c r="M603" i="12" s="1"/>
  <c r="G603" i="12" a="1"/>
  <c r="G603" i="12" s="1"/>
  <c r="I558" i="12" a="1"/>
  <c r="I558" i="12" s="1"/>
  <c r="M439" i="12" a="1"/>
  <c r="M439" i="12" s="1"/>
  <c r="F479" i="12" a="1"/>
  <c r="F479" i="12" s="1"/>
  <c r="U206" i="2" a="1"/>
  <c r="U206" i="2" s="1"/>
  <c r="J153" i="12" a="1"/>
  <c r="J153" i="12" s="1"/>
  <c r="S377" i="12" a="1"/>
  <c r="S377" i="12" s="1"/>
  <c r="P142" i="12" a="1"/>
  <c r="P142" i="12" s="1"/>
  <c r="G117" i="12" a="1"/>
  <c r="G117" i="12" s="1"/>
  <c r="N48" i="12" a="1"/>
  <c r="N48" i="12" s="1"/>
  <c r="L111" i="12" a="1"/>
  <c r="L111" i="12" s="1"/>
  <c r="P121" i="12" a="1"/>
  <c r="P121" i="12" s="1"/>
  <c r="J71" i="12" a="1"/>
  <c r="J71" i="12" s="1"/>
  <c r="Q253" i="12" a="1"/>
  <c r="Q253" i="12" s="1"/>
  <c r="F89" i="12" a="1"/>
  <c r="F89" i="12" s="1"/>
  <c r="U147" i="2" a="1"/>
  <c r="U147" i="2" s="1"/>
  <c r="G202" i="12" a="1"/>
  <c r="G202" i="12" s="1"/>
  <c r="I144" i="12" a="1"/>
  <c r="I144" i="12" s="1"/>
  <c r="Q515" i="12" a="1"/>
  <c r="Q515" i="12" s="1"/>
  <c r="N534" i="12" a="1"/>
  <c r="N534" i="12" s="1"/>
  <c r="L534" i="12" a="1"/>
  <c r="L534" i="12" s="1"/>
  <c r="F583" i="12" a="1"/>
  <c r="F583" i="12" s="1"/>
  <c r="U239" i="2" a="1"/>
  <c r="U239" i="2" s="1"/>
  <c r="I209" i="12" a="1"/>
  <c r="I209" i="12" s="1"/>
  <c r="O209" i="12" a="1"/>
  <c r="O209" i="12" s="1"/>
  <c r="O309" i="12" a="1"/>
  <c r="O309" i="12" s="1"/>
  <c r="S142" i="12" a="1"/>
  <c r="S142" i="12" s="1"/>
  <c r="R401" i="12" a="1"/>
  <c r="R401" i="12" s="1"/>
  <c r="Q365" i="12" a="1"/>
  <c r="Q365" i="12" s="1"/>
  <c r="X667" i="12" a="1"/>
  <c r="X667" i="12" s="1"/>
  <c r="AL53" i="2" a="1"/>
  <c r="AL53" i="2" s="1"/>
  <c r="K120" i="12" a="1"/>
  <c r="K120" i="12" s="1"/>
  <c r="O387" i="12" a="1"/>
  <c r="O387" i="12" s="1"/>
  <c r="S101" i="12" a="1"/>
  <c r="S101" i="12" s="1"/>
  <c r="Q161" i="12" a="1"/>
  <c r="Q161" i="12" s="1"/>
  <c r="N297" i="12" a="1"/>
  <c r="N297" i="12" s="1"/>
  <c r="I65" i="12" a="1"/>
  <c r="I65" i="12" s="1"/>
  <c r="T94" i="12" a="1"/>
  <c r="T94" i="12" s="1"/>
  <c r="S70" i="12" a="1"/>
  <c r="S70" i="12" s="1"/>
  <c r="T79" i="12" a="1"/>
  <c r="T79" i="12" s="1"/>
  <c r="L54" i="12" a="1"/>
  <c r="L54" i="12" s="1"/>
  <c r="I549" i="12" a="1"/>
  <c r="I549" i="12" s="1"/>
  <c r="P308" i="12" a="1"/>
  <c r="P308" i="12" s="1"/>
  <c r="O308" i="12" a="1"/>
  <c r="O308" i="12" s="1"/>
  <c r="J383" i="12" a="1"/>
  <c r="J383" i="12" s="1"/>
  <c r="Q337" i="12" a="1"/>
  <c r="Q337" i="12" s="1"/>
  <c r="F167" i="12" a="1"/>
  <c r="F167" i="12" s="1"/>
  <c r="U304" i="2" a="1"/>
  <c r="U304" i="2" s="1"/>
  <c r="R490" i="12" a="1"/>
  <c r="R490" i="12" s="1"/>
  <c r="N145" i="12" a="1"/>
  <c r="N145" i="12" s="1"/>
  <c r="T159" i="12" a="1"/>
  <c r="T159" i="12" s="1"/>
  <c r="Q138" i="12" a="1"/>
  <c r="Q138" i="12" s="1"/>
  <c r="M401" i="12" a="1"/>
  <c r="M401" i="12" s="1"/>
  <c r="G368" i="12" a="1"/>
  <c r="G368" i="12" s="1"/>
  <c r="AQ156" i="2" a="1"/>
  <c r="AQ156" i="2" s="1"/>
  <c r="AR156" i="2" a="1"/>
  <c r="AR156" i="2" s="1"/>
  <c r="N387" i="12" a="1"/>
  <c r="N387" i="12" s="1"/>
  <c r="L296" i="12" a="1"/>
  <c r="L296" i="12" s="1"/>
  <c r="Q317" i="12" a="1"/>
  <c r="Q317" i="12" s="1"/>
  <c r="F128" i="12" a="1"/>
  <c r="F128" i="12" s="1"/>
  <c r="U82" i="2" a="1"/>
  <c r="U82" i="2" s="1"/>
  <c r="M266" i="12" a="1"/>
  <c r="M266" i="12" s="1"/>
  <c r="P96" i="12" a="1"/>
  <c r="P96" i="12" s="1"/>
  <c r="T216" i="12" a="1"/>
  <c r="T216" i="12" s="1"/>
  <c r="L227" i="12" a="1"/>
  <c r="L227" i="12" s="1"/>
  <c r="S419" i="12" a="1"/>
  <c r="S419" i="12" s="1"/>
  <c r="S469" i="12" a="1"/>
  <c r="S469" i="12" s="1"/>
  <c r="S154" i="12" a="1"/>
  <c r="S154" i="12" s="1"/>
  <c r="J363" i="12" a="1"/>
  <c r="J363" i="12" s="1"/>
  <c r="T404" i="12" a="1"/>
  <c r="T404" i="12" s="1"/>
  <c r="O376" i="12" a="1"/>
  <c r="O376" i="12" s="1"/>
  <c r="S115" i="12" a="1"/>
  <c r="S115" i="12" s="1"/>
  <c r="Q387" i="12" a="1"/>
  <c r="Q387" i="12" s="1"/>
  <c r="T421" i="12" a="1"/>
  <c r="T421" i="12" s="1"/>
  <c r="R91" i="12" a="1"/>
  <c r="R91" i="12" s="1"/>
  <c r="G317" i="12" a="1"/>
  <c r="G317" i="12" s="1"/>
  <c r="I425" i="12" a="1"/>
  <c r="I425" i="12" s="1"/>
  <c r="J255" i="12" a="1"/>
  <c r="J255" i="12" s="1"/>
  <c r="O124" i="12" a="1"/>
  <c r="O124" i="12" s="1"/>
  <c r="R199" i="12" a="1"/>
  <c r="R199" i="12" s="1"/>
  <c r="R454" i="12" a="1"/>
  <c r="R454" i="12" s="1"/>
  <c r="M466" i="12" a="1"/>
  <c r="M466" i="12" s="1"/>
  <c r="J170" i="12" a="1"/>
  <c r="J170" i="12" s="1"/>
  <c r="K452" i="12" a="1"/>
  <c r="K452" i="12" s="1"/>
  <c r="I156" i="12" a="1"/>
  <c r="I156" i="12" s="1"/>
  <c r="O321" i="12" a="1"/>
  <c r="O321" i="12" s="1"/>
  <c r="Q431" i="12" a="1"/>
  <c r="Q431" i="12" s="1"/>
  <c r="J354" i="12" a="1"/>
  <c r="J354" i="12" s="1"/>
  <c r="L376" i="12" a="1"/>
  <c r="L376" i="12" s="1"/>
  <c r="T607" i="12" a="1"/>
  <c r="T607" i="12" s="1"/>
  <c r="Z665" i="12" a="1"/>
  <c r="Z665" i="12" s="1"/>
  <c r="L264" i="12" a="1"/>
  <c r="L264" i="12" s="1"/>
  <c r="I296" i="12" a="1"/>
  <c r="I296" i="12" s="1"/>
  <c r="K255" i="12" a="1"/>
  <c r="K255" i="12" s="1"/>
  <c r="T289" i="12" a="1"/>
  <c r="T289" i="12" s="1"/>
  <c r="N73" i="12" a="1"/>
  <c r="N73" i="12" s="1"/>
  <c r="Q194" i="12" a="1"/>
  <c r="Q194" i="12" s="1"/>
  <c r="N484" i="12" a="1"/>
  <c r="N484" i="12" s="1"/>
  <c r="S502" i="12" a="1"/>
  <c r="S502" i="12" s="1"/>
  <c r="AR91" i="2" a="1"/>
  <c r="AR91" i="2" s="1"/>
  <c r="AQ91" i="2" a="1"/>
  <c r="AQ91" i="2" s="1"/>
  <c r="G416" i="12" a="1"/>
  <c r="G416" i="12" s="1"/>
  <c r="R372" i="12" a="1"/>
  <c r="R372" i="12" s="1"/>
  <c r="I346" i="12" a="1"/>
  <c r="I346" i="12" s="1"/>
  <c r="M325" i="12" a="1"/>
  <c r="M325" i="12" s="1"/>
  <c r="I151" i="12" a="1"/>
  <c r="I151" i="12" s="1"/>
  <c r="R358" i="12" a="1"/>
  <c r="R358" i="12" s="1"/>
  <c r="T150" i="12" a="1"/>
  <c r="T150" i="12" s="1"/>
  <c r="P299" i="12" a="1"/>
  <c r="P299" i="12" s="1"/>
  <c r="AB649" i="12" a="1"/>
  <c r="AB649" i="12" s="1"/>
  <c r="AA633" i="12" a="1"/>
  <c r="AA633" i="12" s="1"/>
  <c r="S99" i="12" a="1"/>
  <c r="S99" i="12" s="1"/>
  <c r="J196" i="12" a="1"/>
  <c r="J196" i="12" s="1"/>
  <c r="K100" i="12" a="1"/>
  <c r="K100" i="12" s="1"/>
  <c r="G95" i="12" a="1"/>
  <c r="G95" i="12" s="1"/>
  <c r="R155" i="12" a="1"/>
  <c r="R155" i="12" s="1"/>
  <c r="I51" i="12" a="1"/>
  <c r="I51" i="12" s="1"/>
  <c r="Q232" i="12" a="1"/>
  <c r="Q232" i="12" s="1"/>
  <c r="J232" i="12" a="1"/>
  <c r="J232" i="12" s="1"/>
  <c r="L168" i="12" a="1"/>
  <c r="L168" i="12" s="1"/>
  <c r="T147" i="12" a="1"/>
  <c r="T147" i="12" s="1"/>
  <c r="S229" i="12" a="1"/>
  <c r="S229" i="12" s="1"/>
  <c r="Q229" i="12" a="1"/>
  <c r="Q229" i="12" s="1"/>
  <c r="G175" i="12" a="1"/>
  <c r="G175" i="12" s="1"/>
  <c r="G162" i="12" a="1"/>
  <c r="G162" i="12" s="1"/>
  <c r="T123" i="12" a="1"/>
  <c r="T123" i="12" s="1"/>
  <c r="M432" i="12" a="1"/>
  <c r="M432" i="12" s="1"/>
  <c r="R138" i="12" a="1"/>
  <c r="R138" i="12" s="1"/>
  <c r="I388" i="12" a="1"/>
  <c r="I388" i="12" s="1"/>
  <c r="G177" i="12" a="1"/>
  <c r="G177" i="12" s="1"/>
  <c r="T283" i="12" a="1"/>
  <c r="T283" i="12" s="1"/>
  <c r="S368" i="12" a="1"/>
  <c r="S368" i="12" s="1"/>
  <c r="P296" i="12" a="1"/>
  <c r="P296" i="12" s="1"/>
  <c r="N161" i="12" a="1"/>
  <c r="N161" i="12" s="1"/>
  <c r="P425" i="12" a="1"/>
  <c r="P425" i="12" s="1"/>
  <c r="G65" i="12" a="1"/>
  <c r="G65" i="12" s="1"/>
  <c r="G426" i="12" a="1"/>
  <c r="G426" i="12" s="1"/>
  <c r="L462" i="12" a="1"/>
  <c r="L462" i="12" s="1"/>
  <c r="I493" i="12" a="1"/>
  <c r="I493" i="12" s="1"/>
  <c r="I403" i="12" a="1"/>
  <c r="I403" i="12" s="1"/>
  <c r="S194" i="12" a="1"/>
  <c r="S194" i="12" s="1"/>
  <c r="Q141" i="12" a="1"/>
  <c r="Q141" i="12" s="1"/>
  <c r="S374" i="12" a="1"/>
  <c r="S374" i="12" s="1"/>
  <c r="J393" i="12" a="1"/>
  <c r="J393" i="12" s="1"/>
  <c r="R427" i="12" a="1"/>
  <c r="R427" i="12" s="1"/>
  <c r="G142" i="12" a="1"/>
  <c r="G142" i="12" s="1"/>
  <c r="J115" i="12" a="1"/>
  <c r="J115" i="12" s="1"/>
  <c r="Q378" i="12" a="1"/>
  <c r="Q378" i="12" s="1"/>
  <c r="M67" i="12" a="1"/>
  <c r="M67" i="12" s="1"/>
  <c r="K133" i="12" a="1"/>
  <c r="K133" i="12" s="1"/>
  <c r="Q99" i="12" a="1"/>
  <c r="Q99" i="12" s="1"/>
  <c r="K259" i="12" a="1"/>
  <c r="K259" i="12" s="1"/>
  <c r="K97" i="12" a="1"/>
  <c r="K97" i="12" s="1"/>
  <c r="O235" i="12" a="1"/>
  <c r="O235" i="12" s="1"/>
  <c r="L235" i="12" a="1"/>
  <c r="L235" i="12" s="1"/>
  <c r="J466" i="12" a="1"/>
  <c r="J466" i="12" s="1"/>
  <c r="G169" i="12" a="1"/>
  <c r="G169" i="12" s="1"/>
  <c r="S152" i="12" a="1"/>
  <c r="S152" i="12" s="1"/>
  <c r="I167" i="12" a="1"/>
  <c r="I167" i="12" s="1"/>
  <c r="I366" i="12" a="1"/>
  <c r="I366" i="12" s="1"/>
  <c r="N370" i="12" a="1"/>
  <c r="N370" i="12" s="1"/>
  <c r="M153" i="12" a="1"/>
  <c r="M153" i="12" s="1"/>
  <c r="L151" i="12" a="1"/>
  <c r="L151" i="12" s="1"/>
  <c r="T335" i="12" a="1"/>
  <c r="T335" i="12" s="1"/>
  <c r="F48" i="12" a="1"/>
  <c r="F48" i="12" s="1"/>
  <c r="Q91" i="12" a="1"/>
  <c r="Q91" i="12" s="1"/>
  <c r="F111" i="12" a="1"/>
  <c r="F111" i="12" s="1"/>
  <c r="P126" i="12" a="1"/>
  <c r="P126" i="12" s="1"/>
  <c r="Z657" i="12" a="1"/>
  <c r="Z657" i="12" s="1"/>
  <c r="T71" i="12" a="1"/>
  <c r="T71" i="12" s="1"/>
  <c r="P528" i="12" a="1"/>
  <c r="P528" i="12" s="1"/>
  <c r="I308" i="12" a="1"/>
  <c r="I308" i="12" s="1"/>
  <c r="U283" i="2" a="1"/>
  <c r="U283" i="2" s="1"/>
  <c r="P414" i="12" a="1"/>
  <c r="P414" i="12" s="1"/>
  <c r="P452" i="12" a="1"/>
  <c r="P452" i="12" s="1"/>
  <c r="K132" i="12" a="1"/>
  <c r="K132" i="12" s="1"/>
  <c r="F404" i="12" a="1"/>
  <c r="F404" i="12" s="1"/>
  <c r="U202" i="2" a="1"/>
  <c r="U202" i="2" s="1"/>
  <c r="J358" i="12" a="1"/>
  <c r="J358" i="12" s="1"/>
  <c r="G115" i="12" a="1"/>
  <c r="G115" i="12" s="1"/>
  <c r="O92" i="12" a="1"/>
  <c r="O92" i="12" s="1"/>
  <c r="O299" i="12" a="1"/>
  <c r="O299" i="12" s="1"/>
  <c r="P312" i="12" a="1"/>
  <c r="P312" i="12" s="1"/>
  <c r="I106" i="12" a="1"/>
  <c r="I106" i="12" s="1"/>
  <c r="O289" i="12" a="1"/>
  <c r="O289" i="12" s="1"/>
  <c r="O71" i="12" a="1"/>
  <c r="O71" i="12" s="1"/>
  <c r="R87" i="12" a="1"/>
  <c r="R87" i="12" s="1"/>
  <c r="M77" i="12" a="1"/>
  <c r="M77" i="12" s="1"/>
  <c r="O76" i="12" a="1"/>
  <c r="O76" i="12" s="1"/>
  <c r="M125" i="12" a="1"/>
  <c r="M125" i="12" s="1"/>
  <c r="L125" i="12" a="1"/>
  <c r="L125" i="12" s="1"/>
  <c r="O72" i="12" a="1"/>
  <c r="O72" i="12" s="1"/>
  <c r="S212" i="12" a="1"/>
  <c r="S212" i="12" s="1"/>
  <c r="I61" i="12" a="1"/>
  <c r="I61" i="12" s="1"/>
  <c r="Q178" i="12" a="1"/>
  <c r="Q178" i="12" s="1"/>
  <c r="N36" i="12" a="1"/>
  <c r="N36" i="12" s="1"/>
  <c r="L14" i="12" a="1"/>
  <c r="L14" i="12" s="1"/>
  <c r="I191" i="12" a="1"/>
  <c r="I191" i="12" s="1"/>
  <c r="O130" i="12" a="1"/>
  <c r="O130" i="12" s="1"/>
  <c r="G19" i="12" a="1"/>
  <c r="G19" i="12" s="1"/>
  <c r="N116" i="12" a="1"/>
  <c r="N116" i="12" s="1"/>
  <c r="T275" i="12" a="1"/>
  <c r="T275" i="12" s="1"/>
  <c r="J82" i="12" a="1"/>
  <c r="J82" i="12" s="1"/>
  <c r="Q25" i="12" a="1"/>
  <c r="Q25" i="12" s="1"/>
  <c r="I36" i="12" a="1"/>
  <c r="I36" i="12" s="1"/>
  <c r="P39" i="12" a="1"/>
  <c r="P39" i="12" s="1"/>
  <c r="Q103" i="12" a="1"/>
  <c r="Q103" i="12" s="1"/>
  <c r="T19" i="12" a="1"/>
  <c r="T19" i="12" s="1"/>
  <c r="M116" i="12" a="1"/>
  <c r="M116" i="12" s="1"/>
  <c r="Q66" i="12" a="1"/>
  <c r="Q66" i="12" s="1"/>
  <c r="J32" i="12" a="1"/>
  <c r="J32" i="12" s="1"/>
  <c r="K134" i="12" a="1"/>
  <c r="K134" i="12" s="1"/>
  <c r="S20" i="12" a="1"/>
  <c r="S20" i="12" s="1"/>
  <c r="L50" i="12" a="1"/>
  <c r="L50" i="12" s="1"/>
  <c r="J19" i="12" a="1"/>
  <c r="J19" i="12" s="1"/>
  <c r="R13" i="12" a="1"/>
  <c r="R13" i="12" s="1"/>
  <c r="W6" i="3" a="1"/>
  <c r="W6" i="3" s="1"/>
  <c r="P50" i="12" a="1"/>
  <c r="P50" i="12" s="1"/>
  <c r="F345" i="12" a="1"/>
  <c r="F345" i="12" s="1"/>
  <c r="U199" i="2" a="1"/>
  <c r="U199" i="2" s="1"/>
  <c r="K143" i="12" a="1"/>
  <c r="K143" i="12" s="1"/>
  <c r="T89" i="12" a="1"/>
  <c r="T89" i="12" s="1"/>
  <c r="AR38" i="2" a="1"/>
  <c r="AR38" i="2" s="1"/>
  <c r="AQ38" i="2" a="1"/>
  <c r="AQ38" i="2" s="1"/>
  <c r="L382" i="12" a="1"/>
  <c r="L382" i="12" s="1"/>
  <c r="N256" i="12" a="1"/>
  <c r="N256" i="12" s="1"/>
  <c r="Q60" i="12" a="1"/>
  <c r="Q60" i="12" s="1"/>
  <c r="T37" i="12" a="1"/>
  <c r="T37" i="12" s="1"/>
  <c r="K6" i="12" a="1"/>
  <c r="K6" i="12" s="1"/>
  <c r="T4" i="12" a="1"/>
  <c r="T4" i="12" s="1"/>
  <c r="M61" i="12" a="1"/>
  <c r="M61" i="12" s="1"/>
  <c r="G39" i="12" a="1"/>
  <c r="G39" i="12" s="1"/>
  <c r="AA645" i="12" a="1"/>
  <c r="AA645" i="12" s="1"/>
  <c r="K86" i="12" a="1"/>
  <c r="K86" i="12" s="1"/>
  <c r="F17" i="12" a="1"/>
  <c r="F17" i="12" s="1"/>
  <c r="U40" i="2" a="1"/>
  <c r="U40" i="2" s="1"/>
  <c r="R109" i="12" a="1"/>
  <c r="R109" i="12" s="1"/>
  <c r="K38" i="12" a="1"/>
  <c r="K38" i="12" s="1"/>
  <c r="T496" i="12" a="1"/>
  <c r="T496" i="12" s="1"/>
  <c r="G496" i="12" a="1"/>
  <c r="G496" i="12" s="1"/>
  <c r="U213" i="2" a="1"/>
  <c r="U213" i="2" s="1"/>
  <c r="P423" i="12" a="1"/>
  <c r="P423" i="12" s="1"/>
  <c r="J259" i="12" a="1"/>
  <c r="J259" i="12" s="1"/>
  <c r="AB635" i="12" a="1"/>
  <c r="AB635" i="12" s="1"/>
  <c r="P212" i="12" a="1"/>
  <c r="P212" i="12" s="1"/>
  <c r="L93" i="12" a="1"/>
  <c r="L93" i="12" s="1"/>
  <c r="I207" i="12" a="1"/>
  <c r="I207" i="12" s="1"/>
  <c r="N26" i="12" a="1"/>
  <c r="N26" i="12" s="1"/>
  <c r="S14" i="3" a="1"/>
  <c r="S14" i="3" s="1"/>
  <c r="I60" i="12" a="1"/>
  <c r="I60" i="12" s="1"/>
  <c r="P12" i="12" a="1"/>
  <c r="P12" i="12" s="1"/>
  <c r="M155" i="12" a="1"/>
  <c r="M155" i="12" s="1"/>
  <c r="S39" i="12" a="1"/>
  <c r="S39" i="12" s="1"/>
  <c r="K368" i="12" a="1"/>
  <c r="K368" i="12" s="1"/>
  <c r="M333" i="12" a="1"/>
  <c r="M333" i="12" s="1"/>
  <c r="T312" i="12" a="1"/>
  <c r="T312" i="12" s="1"/>
  <c r="L94" i="12" a="1"/>
  <c r="L94" i="12" s="1"/>
  <c r="K28" i="12" a="1"/>
  <c r="K28" i="12" s="1"/>
  <c r="L68" i="12" a="1"/>
  <c r="L68" i="12" s="1"/>
  <c r="G105" i="12" a="1"/>
  <c r="G105" i="12" s="1"/>
  <c r="T78" i="12" a="1"/>
  <c r="T78" i="12" s="1"/>
  <c r="K305" i="12" a="1"/>
  <c r="K305" i="12" s="1"/>
  <c r="R178" i="12" a="1"/>
  <c r="R178" i="12" s="1"/>
  <c r="AB619" i="12" a="1"/>
  <c r="AB619" i="12" s="1"/>
  <c r="P155" i="12" a="1"/>
  <c r="P155" i="12" s="1"/>
  <c r="I24" i="12" a="1"/>
  <c r="I24" i="12" s="1"/>
  <c r="K20" i="12" a="1"/>
  <c r="K20" i="12" s="1"/>
  <c r="P20" i="12" a="1"/>
  <c r="P20" i="12" s="1"/>
  <c r="X653" i="12" a="1"/>
  <c r="X653" i="12" s="1"/>
  <c r="F100" i="12" a="1"/>
  <c r="F100" i="12" s="1"/>
  <c r="L104" i="12" a="1"/>
  <c r="L104" i="12" s="1"/>
  <c r="P46" i="12" a="1"/>
  <c r="P46" i="12" s="1"/>
  <c r="O166" i="12" a="1"/>
  <c r="O166" i="12" s="1"/>
  <c r="T52" i="12" a="1"/>
  <c r="T52" i="12" s="1"/>
  <c r="S130" i="12" a="1"/>
  <c r="S130" i="12" s="1"/>
  <c r="R19" i="12" a="1"/>
  <c r="R19" i="12" s="1"/>
  <c r="K116" i="12" a="1"/>
  <c r="K116" i="12" s="1"/>
  <c r="G20" i="12" a="1"/>
  <c r="G20" i="12" s="1"/>
  <c r="U268" i="2" a="1"/>
  <c r="U268" i="2" s="1"/>
  <c r="M293" i="12" a="1"/>
  <c r="M293" i="12" s="1"/>
  <c r="K88" i="12" a="1"/>
  <c r="K88" i="12" s="1"/>
  <c r="L72" i="12" a="1"/>
  <c r="L72" i="12" s="1"/>
  <c r="M79" i="12" a="1"/>
  <c r="M79" i="12" s="1"/>
  <c r="N95" i="12" a="1"/>
  <c r="N95" i="12" s="1"/>
  <c r="F85" i="12" a="1"/>
  <c r="F85" i="12" s="1"/>
  <c r="S224" i="12" a="1"/>
  <c r="S224" i="12" s="1"/>
  <c r="R66" i="12" a="1"/>
  <c r="R66" i="12" s="1"/>
  <c r="R202" i="12" a="1"/>
  <c r="R202" i="12" s="1"/>
  <c r="I25" i="12" a="1"/>
  <c r="I25" i="12" s="1"/>
  <c r="I38" i="12" a="1"/>
  <c r="I38" i="12" s="1"/>
  <c r="L150" i="12" a="1"/>
  <c r="L150" i="12" s="1"/>
  <c r="P84" i="12" a="1"/>
  <c r="P84" i="12" s="1"/>
  <c r="AA631" i="12" a="1"/>
  <c r="AA631" i="12" s="1"/>
  <c r="O96" i="12" a="1"/>
  <c r="O96" i="12" s="1"/>
  <c r="O64" i="12" a="1"/>
  <c r="O64" i="12" s="1"/>
  <c r="X661" i="12" a="1"/>
  <c r="X661" i="12" s="1"/>
  <c r="P275" i="12" a="1"/>
  <c r="P275" i="12" s="1"/>
  <c r="G69" i="12" a="1"/>
  <c r="G69" i="12" s="1"/>
  <c r="Q216" i="12" a="1"/>
  <c r="Q216" i="12" s="1"/>
  <c r="T32" i="12" a="1"/>
  <c r="T32" i="12" s="1"/>
  <c r="T30" i="12" a="1"/>
  <c r="T30" i="12" s="1"/>
  <c r="S86" i="12" a="1"/>
  <c r="S86" i="12" s="1"/>
  <c r="F452" i="12" a="1"/>
  <c r="F452" i="12" s="1"/>
  <c r="I379" i="12" a="1"/>
  <c r="I379" i="12" s="1"/>
  <c r="R379" i="12" a="1"/>
  <c r="R379" i="12" s="1"/>
  <c r="P387" i="12" a="1"/>
  <c r="P387" i="12" s="1"/>
  <c r="Q425" i="12" a="1"/>
  <c r="Q425" i="12" s="1"/>
  <c r="T330" i="12" a="1"/>
  <c r="T330" i="12" s="1"/>
  <c r="R81" i="12" a="1"/>
  <c r="R81" i="12" s="1"/>
  <c r="T70" i="12" a="1"/>
  <c r="T70" i="12" s="1"/>
  <c r="F382" i="12" a="1"/>
  <c r="F382" i="12" s="1"/>
  <c r="U132" i="2" a="1"/>
  <c r="U132" i="2" s="1"/>
  <c r="K68" i="12" a="1"/>
  <c r="K68" i="12" s="1"/>
  <c r="O58" i="12" a="1"/>
  <c r="O58" i="12" s="1"/>
  <c r="J95" i="12" a="1"/>
  <c r="J95" i="12" s="1"/>
  <c r="R85" i="12" a="1"/>
  <c r="R85" i="12" s="1"/>
  <c r="T201" i="12" a="1"/>
  <c r="T201" i="12" s="1"/>
  <c r="F130" i="12" a="1"/>
  <c r="F130" i="12" s="1"/>
  <c r="U46" i="2" a="1"/>
  <c r="U46" i="2" s="1"/>
  <c r="L283" i="12" a="1"/>
  <c r="L283" i="12" s="1"/>
  <c r="X639" i="12" a="1"/>
  <c r="X639" i="12" s="1"/>
  <c r="R196" i="12" a="1"/>
  <c r="R196" i="12" s="1"/>
  <c r="S90" i="12" a="1"/>
  <c r="S90" i="12" s="1"/>
  <c r="L95" i="12" a="1"/>
  <c r="L95" i="12" s="1"/>
  <c r="L174" i="12" a="1"/>
  <c r="L174" i="12" s="1"/>
  <c r="Q75" i="12" a="1"/>
  <c r="Q75" i="12" s="1"/>
  <c r="S27" i="12" a="1"/>
  <c r="S27" i="12" s="1"/>
  <c r="I50" i="12" a="1"/>
  <c r="I50" i="12" s="1"/>
  <c r="I12" i="12" a="1"/>
  <c r="I12" i="12" s="1"/>
  <c r="AA659" i="12" a="1"/>
  <c r="AA659" i="12" s="1"/>
  <c r="Z627" i="12" a="1"/>
  <c r="Z627" i="12" s="1"/>
  <c r="R108" i="12" a="1"/>
  <c r="R108" i="12" s="1"/>
  <c r="M279" i="12" a="1"/>
  <c r="M279" i="12" s="1"/>
  <c r="P93" i="12" a="1"/>
  <c r="P93" i="12" s="1"/>
  <c r="K69" i="12" a="1"/>
  <c r="K69" i="12" s="1"/>
  <c r="O82" i="12" a="1"/>
  <c r="O82" i="12" s="1"/>
  <c r="J166" i="12" a="1"/>
  <c r="J166" i="12" s="1"/>
  <c r="K155" i="12" a="1"/>
  <c r="K155" i="12" s="1"/>
  <c r="P29" i="12" a="1"/>
  <c r="P29" i="12" s="1"/>
  <c r="M44" i="12" a="1"/>
  <c r="M44" i="12" s="1"/>
  <c r="P109" i="12" a="1"/>
  <c r="P109" i="12" s="1"/>
  <c r="F23" i="12" a="1"/>
  <c r="F23" i="12" s="1"/>
  <c r="U39" i="2" a="1"/>
  <c r="U39" i="2" s="1"/>
  <c r="T7" i="12" a="1"/>
  <c r="T7" i="12" s="1"/>
  <c r="L182" i="12" a="1"/>
  <c r="L182" i="12" s="1"/>
  <c r="S52" i="12" a="1"/>
  <c r="S52" i="12" s="1"/>
  <c r="T2" i="12" a="1"/>
  <c r="T2" i="12" s="1"/>
  <c r="Y2" i="3" a="1"/>
  <c r="Y2" i="3" s="1"/>
  <c r="K21" i="12" a="1"/>
  <c r="K21" i="12" s="1"/>
  <c r="L30" i="12" a="1"/>
  <c r="L30" i="12" s="1"/>
  <c r="Q2" i="12" a="1"/>
  <c r="Q2" i="12" s="1"/>
  <c r="V2" i="3" a="1"/>
  <c r="V2" i="3" s="1"/>
  <c r="G14" i="12" a="1"/>
  <c r="G14" i="12" s="1"/>
  <c r="O2" i="12" a="1"/>
  <c r="O2" i="12" s="1"/>
  <c r="T2" i="3" a="1"/>
  <c r="T2" i="3" s="1"/>
  <c r="K146" i="12" a="1"/>
  <c r="K146" i="12" s="1"/>
  <c r="O60" i="12" a="1"/>
  <c r="O60" i="12" s="1"/>
  <c r="P103" i="12" a="1"/>
  <c r="P103" i="12" s="1"/>
  <c r="F10" i="12" a="1"/>
  <c r="F10" i="12" s="1"/>
  <c r="U30" i="2" a="1"/>
  <c r="U30" i="2" s="1"/>
  <c r="R43" i="12" a="1"/>
  <c r="R43" i="12" s="1"/>
  <c r="M174" i="12" a="1"/>
  <c r="M174" i="12" s="1"/>
  <c r="R41" i="12" a="1"/>
  <c r="R41" i="12" s="1"/>
  <c r="AB625" i="12" a="1"/>
  <c r="AB625" i="12" s="1"/>
  <c r="M86" i="12" a="1"/>
  <c r="M86" i="12" s="1"/>
  <c r="S45" i="12" a="1"/>
  <c r="S45" i="12" s="1"/>
  <c r="J45" i="12" a="1"/>
  <c r="J45" i="12" s="1"/>
  <c r="G31" i="12" a="1"/>
  <c r="G31" i="12" s="1"/>
  <c r="P31" i="12" a="1"/>
  <c r="P31" i="12" s="1"/>
  <c r="Z637" i="12" a="1"/>
  <c r="Z637" i="12" s="1"/>
  <c r="L129" i="12" a="1"/>
  <c r="L129" i="12" s="1"/>
  <c r="Q184" i="12" a="1"/>
  <c r="Q184" i="12" s="1"/>
  <c r="J184" i="12" a="1"/>
  <c r="J184" i="12" s="1"/>
  <c r="F275" i="12" a="1"/>
  <c r="F275" i="12" s="1"/>
  <c r="G60" i="12" a="1"/>
  <c r="G60" i="12" s="1"/>
  <c r="O59" i="12" a="1"/>
  <c r="O59" i="12" s="1"/>
  <c r="L38" i="12" a="1"/>
  <c r="L38" i="12" s="1"/>
  <c r="M118" i="12" a="1"/>
  <c r="M118" i="12" s="1"/>
  <c r="T22" i="12" a="1"/>
  <c r="T22" i="12" s="1"/>
  <c r="I42" i="12" a="1"/>
  <c r="I42" i="12" s="1"/>
  <c r="J42" i="12" a="1"/>
  <c r="J42" i="12" s="1"/>
  <c r="J109" i="12" a="1"/>
  <c r="J109" i="12" s="1"/>
  <c r="G80" i="12" a="1"/>
  <c r="G80" i="12" s="1"/>
  <c r="L305" i="12" a="1"/>
  <c r="L305" i="12" s="1"/>
  <c r="S62" i="12" a="1"/>
  <c r="S62" i="12" s="1"/>
  <c r="G76" i="12" a="1"/>
  <c r="G76" i="12" s="1"/>
  <c r="F122" i="12" a="1"/>
  <c r="F122" i="12" s="1"/>
  <c r="Z671" i="12" a="1"/>
  <c r="Z671" i="12" s="1"/>
  <c r="N34" i="12" a="1"/>
  <c r="N34" i="12" s="1"/>
  <c r="S34" i="12" a="1"/>
  <c r="S34" i="12" s="1"/>
  <c r="T292" i="12" a="1"/>
  <c r="T292" i="12" s="1"/>
  <c r="J57" i="12" a="1"/>
  <c r="J57" i="12" s="1"/>
  <c r="Q37" i="12" a="1"/>
  <c r="Q37" i="12" s="1"/>
  <c r="AQ10" i="2" a="1"/>
  <c r="AQ10" i="2" s="1"/>
  <c r="I116" i="12" a="1"/>
  <c r="I116" i="12" s="1"/>
  <c r="I53" i="12" a="1"/>
  <c r="I53" i="12" s="1"/>
  <c r="N53" i="12" a="1"/>
  <c r="N53" i="12" s="1"/>
  <c r="I49" i="12" a="1"/>
  <c r="I49" i="12" s="1"/>
  <c r="G49" i="12" a="1"/>
  <c r="G49" i="12" s="1"/>
  <c r="J63" i="12" a="1"/>
  <c r="J63" i="12" s="1"/>
  <c r="O63" i="12" a="1"/>
  <c r="O63" i="12" s="1"/>
  <c r="S11" i="12" a="1"/>
  <c r="S11" i="12" s="1"/>
  <c r="F54" i="12" a="1"/>
  <c r="F54" i="12" s="1"/>
  <c r="F200" i="12" a="1"/>
  <c r="F200" i="12" s="1"/>
  <c r="U75" i="2" a="1"/>
  <c r="U75" i="2" s="1"/>
  <c r="M200" i="12" a="1"/>
  <c r="M200" i="12" s="1"/>
  <c r="T6" i="12" a="1"/>
  <c r="T6" i="12" s="1"/>
  <c r="T33" i="12" a="1"/>
  <c r="T33" i="12" s="1"/>
  <c r="O212" i="12" a="1"/>
  <c r="O212" i="12" s="1"/>
  <c r="M75" i="12" a="1"/>
  <c r="M75" i="12" s="1"/>
  <c r="N189" i="12" a="1"/>
  <c r="N189" i="12" s="1"/>
  <c r="K50" i="12" a="1"/>
  <c r="K50" i="12" s="1"/>
  <c r="Q598" i="12" a="1"/>
  <c r="Q598" i="12" s="1"/>
  <c r="S276" i="12" a="1"/>
  <c r="S276" i="12" s="1"/>
  <c r="F211" i="12" a="1"/>
  <c r="F211" i="12" s="1"/>
  <c r="U549" i="2" a="1"/>
  <c r="U549" i="2" s="1"/>
  <c r="Q211" i="12" a="1"/>
  <c r="Q211" i="12" s="1"/>
  <c r="T243" i="12" a="1"/>
  <c r="T243" i="12" s="1"/>
  <c r="L501" i="12" a="1"/>
  <c r="L501" i="12" s="1"/>
  <c r="Q483" i="12" a="1"/>
  <c r="Q483" i="12" s="1"/>
  <c r="O277" i="12" a="1"/>
  <c r="O277" i="12" s="1"/>
  <c r="J519" i="12" a="1"/>
  <c r="J519" i="12" s="1"/>
  <c r="F573" i="12" a="1"/>
  <c r="F573" i="12" s="1"/>
  <c r="U384" i="2" a="1"/>
  <c r="U384" i="2" s="1"/>
  <c r="S503" i="12" a="1"/>
  <c r="S503" i="12" s="1"/>
  <c r="F495" i="12" a="1"/>
  <c r="F495" i="12" s="1"/>
  <c r="U370" i="2" a="1"/>
  <c r="U370" i="2" s="1"/>
  <c r="Q451" i="12" a="1"/>
  <c r="Q451" i="12" s="1"/>
  <c r="I210" i="12" a="1"/>
  <c r="I210" i="12" s="1"/>
  <c r="S225" i="12" a="1"/>
  <c r="S225" i="12" s="1"/>
  <c r="R221" i="12" a="1"/>
  <c r="R221" i="12" s="1"/>
  <c r="Q313" i="12" a="1"/>
  <c r="Q313" i="12" s="1"/>
  <c r="J514" i="12" a="1"/>
  <c r="J514" i="12" s="1"/>
  <c r="L218" i="12" a="1"/>
  <c r="L218" i="12" s="1"/>
  <c r="N604" i="12" a="1"/>
  <c r="N604" i="12" s="1"/>
  <c r="Q277" i="12" a="1"/>
  <c r="Q277" i="12" s="1"/>
  <c r="M510" i="12" a="1"/>
  <c r="M510" i="12" s="1"/>
  <c r="Q245" i="12" a="1"/>
  <c r="Q245" i="12" s="1"/>
  <c r="K499" i="12" a="1"/>
  <c r="K499" i="12" s="1"/>
  <c r="F575" i="12" a="1"/>
  <c r="F575" i="12" s="1"/>
  <c r="U367" i="2" a="1"/>
  <c r="U367" i="2" s="1"/>
  <c r="T311" i="12" a="1"/>
  <c r="T311" i="12" s="1"/>
  <c r="N555" i="12" a="1"/>
  <c r="N555" i="12" s="1"/>
  <c r="O233" i="12" a="1"/>
  <c r="O233" i="12" s="1"/>
  <c r="R234" i="12" a="1"/>
  <c r="R234" i="12" s="1"/>
  <c r="AB638" i="12" a="1"/>
  <c r="AB638" i="12" s="1"/>
  <c r="G237" i="12" a="1"/>
  <c r="G237" i="12" s="1"/>
  <c r="J537" i="12" a="1"/>
  <c r="J537" i="12" s="1"/>
  <c r="I585" i="12" a="1"/>
  <c r="I585" i="12" s="1"/>
  <c r="L323" i="12" a="1"/>
  <c r="L323" i="12" s="1"/>
  <c r="S551" i="12" a="1"/>
  <c r="S551" i="12" s="1"/>
  <c r="S193" i="12" a="1"/>
  <c r="S193" i="12" s="1"/>
  <c r="J509" i="12" a="1"/>
  <c r="J509" i="12" s="1"/>
  <c r="R136" i="12" a="1"/>
  <c r="R136" i="12" s="1"/>
  <c r="N186" i="12" a="1"/>
  <c r="N186" i="12" s="1"/>
  <c r="G452" i="12" a="1"/>
  <c r="G452" i="12" s="1"/>
  <c r="M135" i="12" a="1"/>
  <c r="M135" i="12" s="1"/>
  <c r="L505" i="12" a="1"/>
  <c r="L505" i="12" s="1"/>
  <c r="J220" i="12" a="1"/>
  <c r="J220" i="12" s="1"/>
  <c r="G210" i="12" a="1"/>
  <c r="G210" i="12" s="1"/>
  <c r="AR217" i="2" a="1"/>
  <c r="AR217" i="2" s="1"/>
  <c r="AQ217" i="2" a="1"/>
  <c r="AQ217" i="2" s="1"/>
  <c r="R244" i="12" a="1"/>
  <c r="R244" i="12" s="1"/>
  <c r="S227" i="12" a="1"/>
  <c r="S227" i="12" s="1"/>
  <c r="P415" i="12" a="1"/>
  <c r="P415" i="12" s="1"/>
  <c r="K504" i="12" a="1"/>
  <c r="K504" i="12" s="1"/>
  <c r="K500" i="12" a="1"/>
  <c r="K500" i="12" s="1"/>
  <c r="K179" i="12" a="1"/>
  <c r="K179" i="12" s="1"/>
  <c r="Z650" i="12" a="1"/>
  <c r="Z650" i="12" s="1"/>
  <c r="Z614" i="12" a="1"/>
  <c r="Z614" i="12" s="1"/>
  <c r="O163" i="12" a="1"/>
  <c r="O163" i="12" s="1"/>
  <c r="O493" i="12" a="1"/>
  <c r="O493" i="12" s="1"/>
  <c r="K243" i="12" a="1"/>
  <c r="K243" i="12" s="1"/>
  <c r="F83" i="12" a="1"/>
  <c r="F83" i="12" s="1"/>
  <c r="N214" i="12" a="1"/>
  <c r="N214" i="12" s="1"/>
  <c r="T451" i="12" a="1"/>
  <c r="T451" i="12" s="1"/>
  <c r="I547" i="12" a="1"/>
  <c r="I547" i="12" s="1"/>
  <c r="I407" i="12" a="1"/>
  <c r="I407" i="12" s="1"/>
  <c r="O193" i="12" a="1"/>
  <c r="O193" i="12" s="1"/>
  <c r="L408" i="12" a="1"/>
  <c r="L408" i="12" s="1"/>
  <c r="G586" i="12" a="1"/>
  <c r="G586" i="12" s="1"/>
  <c r="G188" i="12" a="1"/>
  <c r="G188" i="12" s="1"/>
  <c r="P176" i="12" a="1"/>
  <c r="P176" i="12" s="1"/>
  <c r="N114" i="12" a="1"/>
  <c r="N114" i="12" s="1"/>
  <c r="K584" i="12" a="1"/>
  <c r="K584" i="12" s="1"/>
  <c r="F584" i="12" a="1"/>
  <c r="F584" i="12" s="1"/>
  <c r="U353" i="2" a="1"/>
  <c r="U353" i="2" s="1"/>
  <c r="P457" i="12" a="1"/>
  <c r="P457" i="12" s="1"/>
  <c r="M495" i="12" a="1"/>
  <c r="M495" i="12" s="1"/>
  <c r="L551" i="12" a="1"/>
  <c r="L551" i="12" s="1"/>
  <c r="N559" i="12" a="1"/>
  <c r="N559" i="12" s="1"/>
  <c r="R181" i="12" a="1"/>
  <c r="R181" i="12" s="1"/>
  <c r="L520" i="12" a="1"/>
  <c r="L520" i="12" s="1"/>
  <c r="F225" i="12" a="1"/>
  <c r="F225" i="12" s="1"/>
  <c r="U427" i="2" a="1"/>
  <c r="U427" i="2" s="1"/>
  <c r="M515" i="12" a="1"/>
  <c r="M515" i="12" s="1"/>
  <c r="F527" i="12" a="1"/>
  <c r="F527" i="12" s="1"/>
  <c r="S230" i="12" a="1"/>
  <c r="S230" i="12" s="1"/>
  <c r="I227" i="12" a="1"/>
  <c r="I227" i="12" s="1"/>
  <c r="M193" i="12" a="1"/>
  <c r="M193" i="12" s="1"/>
  <c r="O435" i="12" a="1"/>
  <c r="O435" i="12" s="1"/>
  <c r="Q199" i="12" a="1"/>
  <c r="Q199" i="12" s="1"/>
  <c r="L176" i="12" a="1"/>
  <c r="L176" i="12" s="1"/>
  <c r="N217" i="12" a="1"/>
  <c r="N217" i="12" s="1"/>
  <c r="N419" i="12" a="1"/>
  <c r="N419" i="12" s="1"/>
  <c r="J154" i="12" a="1"/>
  <c r="J154" i="12" s="1"/>
  <c r="J511" i="12" a="1"/>
  <c r="J511" i="12" s="1"/>
  <c r="T511" i="12" a="1"/>
  <c r="T511" i="12" s="1"/>
  <c r="Q263" i="12" a="1"/>
  <c r="Q263" i="12" s="1"/>
  <c r="P273" i="12" a="1"/>
  <c r="P273" i="12" s="1"/>
  <c r="F564" i="12" a="1"/>
  <c r="F564" i="12" s="1"/>
  <c r="U373" i="2" a="1"/>
  <c r="U373" i="2" s="1"/>
  <c r="J474" i="12" a="1"/>
  <c r="J474" i="12" s="1"/>
  <c r="Q530" i="12" a="1"/>
  <c r="Q530" i="12" s="1"/>
  <c r="AA654" i="12" a="1"/>
  <c r="AA654" i="12" s="1"/>
  <c r="Q541" i="12" a="1"/>
  <c r="Q541" i="12" s="1"/>
  <c r="Q556" i="12" a="1"/>
  <c r="Q556" i="12" s="1"/>
  <c r="P571" i="12" a="1"/>
  <c r="P571" i="12" s="1"/>
  <c r="K248" i="12" a="1"/>
  <c r="K248" i="12" s="1"/>
  <c r="Q582" i="12" a="1"/>
  <c r="Q582" i="12" s="1"/>
  <c r="I533" i="12" a="1"/>
  <c r="I533" i="12" s="1"/>
  <c r="G585" i="12" a="1"/>
  <c r="G585" i="12" s="1"/>
  <c r="I426" i="12" a="1"/>
  <c r="I426" i="12" s="1"/>
  <c r="T426" i="12" a="1"/>
  <c r="T426" i="12" s="1"/>
  <c r="M522" i="12" a="1"/>
  <c r="M522" i="12" s="1"/>
  <c r="K188" i="12" a="1"/>
  <c r="K188" i="12" s="1"/>
  <c r="S526" i="12" a="1"/>
  <c r="S526" i="12" s="1"/>
  <c r="J176" i="12" a="1"/>
  <c r="J176" i="12" s="1"/>
  <c r="F397" i="12" a="1"/>
  <c r="F397" i="12" s="1"/>
  <c r="U274" i="2" a="1"/>
  <c r="U274" i="2" s="1"/>
  <c r="Q466" i="12" a="1"/>
  <c r="Q466" i="12" s="1"/>
  <c r="F217" i="12" a="1"/>
  <c r="F217" i="12" s="1"/>
  <c r="U296" i="2" a="1"/>
  <c r="U296" i="2" s="1"/>
  <c r="T169" i="12" a="1"/>
  <c r="T169" i="12" s="1"/>
  <c r="R175" i="12" a="1"/>
  <c r="R175" i="12" s="1"/>
  <c r="P502" i="12" a="1"/>
  <c r="P502" i="12" s="1"/>
  <c r="L492" i="12" a="1"/>
  <c r="L492" i="12" s="1"/>
  <c r="K170" i="12" a="1"/>
  <c r="K170" i="12" s="1"/>
  <c r="Q204" i="12" a="1"/>
  <c r="Q204" i="12" s="1"/>
  <c r="F419" i="12" a="1"/>
  <c r="F419" i="12" s="1"/>
  <c r="U223" i="2" a="1"/>
  <c r="U223" i="2" s="1"/>
  <c r="T356" i="12" a="1"/>
  <c r="T356" i="12" s="1"/>
  <c r="R439" i="12" a="1"/>
  <c r="R439" i="12" s="1"/>
  <c r="P162" i="12" a="1"/>
  <c r="P162" i="12" s="1"/>
  <c r="L164" i="12" a="1"/>
  <c r="L164" i="12" s="1"/>
  <c r="T139" i="12" a="1"/>
  <c r="T139" i="12" s="1"/>
  <c r="O501" i="12" a="1"/>
  <c r="O501" i="12" s="1"/>
  <c r="F257" i="12" a="1"/>
  <c r="F257" i="12" s="1"/>
  <c r="G475" i="12" a="1"/>
  <c r="G475" i="12" s="1"/>
  <c r="P173" i="12" a="1"/>
  <c r="P173" i="12" s="1"/>
  <c r="L192" i="12" a="1"/>
  <c r="L192" i="12" s="1"/>
  <c r="G236" i="12" a="1"/>
  <c r="G236" i="12" s="1"/>
  <c r="F215" i="12" a="1"/>
  <c r="F215" i="12" s="1"/>
  <c r="U540" i="2" a="1"/>
  <c r="U540" i="2" s="1"/>
  <c r="F540" i="12" a="1"/>
  <c r="F540" i="12" s="1"/>
  <c r="U179" i="2" a="1"/>
  <c r="U179" i="2" s="1"/>
  <c r="I274" i="12" a="1"/>
  <c r="I274" i="12" s="1"/>
  <c r="M541" i="12" a="1"/>
  <c r="M541" i="12" s="1"/>
  <c r="I193" i="12" a="1"/>
  <c r="I193" i="12" s="1"/>
  <c r="M435" i="12" a="1"/>
  <c r="M435" i="12" s="1"/>
  <c r="N147" i="12" a="1"/>
  <c r="N147" i="12" s="1"/>
  <c r="R195" i="12" a="1"/>
  <c r="R195" i="12" s="1"/>
  <c r="P476" i="12" a="1"/>
  <c r="P476" i="12" s="1"/>
  <c r="N397" i="12" a="1"/>
  <c r="N397" i="12" s="1"/>
  <c r="K566" i="12" a="1"/>
  <c r="K566" i="12" s="1"/>
  <c r="Q187" i="12" a="1"/>
  <c r="Q187" i="12" s="1"/>
  <c r="P187" i="12" a="1"/>
  <c r="P187" i="12" s="1"/>
  <c r="O172" i="12" a="1"/>
  <c r="O172" i="12" s="1"/>
  <c r="F163" i="12" a="1"/>
  <c r="F163" i="12" s="1"/>
  <c r="I176" i="12" a="1"/>
  <c r="I176" i="12" s="1"/>
  <c r="T483" i="12" a="1"/>
  <c r="T483" i="12" s="1"/>
  <c r="F267" i="12" a="1"/>
  <c r="F267" i="12" s="1"/>
  <c r="U347" i="2" a="1"/>
  <c r="U347" i="2" s="1"/>
  <c r="M267" i="12" a="1"/>
  <c r="M267" i="12" s="1"/>
  <c r="S231" i="12" a="1"/>
  <c r="S231" i="12" s="1"/>
  <c r="P179" i="12" a="1"/>
  <c r="P179" i="12" s="1"/>
  <c r="I332" i="12" a="1"/>
  <c r="I332" i="12" s="1"/>
  <c r="F603" i="12" a="1"/>
  <c r="F603" i="12" s="1"/>
  <c r="U263" i="2" a="1"/>
  <c r="U263" i="2" s="1"/>
  <c r="J603" i="12" a="1"/>
  <c r="J603" i="12" s="1"/>
  <c r="O169" i="12" a="1"/>
  <c r="O169" i="12" s="1"/>
  <c r="M383" i="12" a="1"/>
  <c r="M383" i="12" s="1"/>
  <c r="N479" i="12" a="1"/>
  <c r="N479" i="12" s="1"/>
  <c r="K164" i="12" a="1"/>
  <c r="K164" i="12" s="1"/>
  <c r="J123" i="12" a="1"/>
  <c r="J123" i="12" s="1"/>
  <c r="O108" i="12" a="1"/>
  <c r="O108" i="12" s="1"/>
  <c r="Q309" i="12" a="1"/>
  <c r="Q309" i="12" s="1"/>
  <c r="M112" i="12" a="1"/>
  <c r="M112" i="12" s="1"/>
  <c r="R354" i="12" a="1"/>
  <c r="R354" i="12" s="1"/>
  <c r="L348" i="12" a="1"/>
  <c r="L348" i="12" s="1"/>
  <c r="R117" i="12" a="1"/>
  <c r="R117" i="12" s="1"/>
  <c r="K335" i="12" a="1"/>
  <c r="K335" i="12" s="1"/>
  <c r="I48" i="12" a="1"/>
  <c r="I48" i="12" s="1"/>
  <c r="F91" i="12" a="1"/>
  <c r="F91" i="12" s="1"/>
  <c r="U407" i="2" a="1"/>
  <c r="U407" i="2" s="1"/>
  <c r="L425" i="12" a="1"/>
  <c r="L425" i="12" s="1"/>
  <c r="N314" i="12" a="1"/>
  <c r="N314" i="12" s="1"/>
  <c r="Q97" i="12" a="1"/>
  <c r="Q97" i="12" s="1"/>
  <c r="Q124" i="12" a="1"/>
  <c r="Q124" i="12" s="1"/>
  <c r="L253" i="12" a="1"/>
  <c r="L253" i="12" s="1"/>
  <c r="Q89" i="12" a="1"/>
  <c r="Q89" i="12" s="1"/>
  <c r="G148" i="12" a="1"/>
  <c r="G148" i="12" s="1"/>
  <c r="Q547" i="12" a="1"/>
  <c r="Q547" i="12" s="1"/>
  <c r="S534" i="12" a="1"/>
  <c r="S534" i="12" s="1"/>
  <c r="Q534" i="12" a="1"/>
  <c r="Q534" i="12" s="1"/>
  <c r="M583" i="12" a="1"/>
  <c r="M583" i="12" s="1"/>
  <c r="Q209" i="12" a="1"/>
  <c r="Q209" i="12" s="1"/>
  <c r="T209" i="12" a="1"/>
  <c r="T209" i="12" s="1"/>
  <c r="L393" i="12" a="1"/>
  <c r="L393" i="12" s="1"/>
  <c r="G346" i="12" a="1"/>
  <c r="G346" i="12" s="1"/>
  <c r="I153" i="12" a="1"/>
  <c r="I153" i="12" s="1"/>
  <c r="I142" i="12" a="1"/>
  <c r="I142" i="12" s="1"/>
  <c r="N401" i="12" a="1"/>
  <c r="N401" i="12" s="1"/>
  <c r="M365" i="12" a="1"/>
  <c r="M365" i="12" s="1"/>
  <c r="Z667" i="12" a="1"/>
  <c r="Z667" i="12" s="1"/>
  <c r="F120" i="12" a="1"/>
  <c r="F120" i="12" s="1"/>
  <c r="U254" i="2" a="1"/>
  <c r="U254" i="2" s="1"/>
  <c r="O101" i="12" a="1"/>
  <c r="O101" i="12" s="1"/>
  <c r="N312" i="12" a="1"/>
  <c r="N312" i="12" s="1"/>
  <c r="S106" i="12" a="1"/>
  <c r="S106" i="12" s="1"/>
  <c r="T65" i="12" a="1"/>
  <c r="T65" i="12" s="1"/>
  <c r="N99" i="12" a="1"/>
  <c r="N99" i="12" s="1"/>
  <c r="P94" i="12" a="1"/>
  <c r="P94" i="12" s="1"/>
  <c r="I79" i="12" a="1"/>
  <c r="I79" i="12" s="1"/>
  <c r="T146" i="12" a="1"/>
  <c r="T146" i="12" s="1"/>
  <c r="R308" i="12" a="1"/>
  <c r="R308" i="12" s="1"/>
  <c r="T308" i="12" a="1"/>
  <c r="T308" i="12" s="1"/>
  <c r="J374" i="12" a="1"/>
  <c r="J374" i="12" s="1"/>
  <c r="P337" i="12" a="1"/>
  <c r="P337" i="12" s="1"/>
  <c r="T167" i="12" a="1"/>
  <c r="T167" i="12" s="1"/>
  <c r="F490" i="12" a="1"/>
  <c r="F490" i="12" s="1"/>
  <c r="U328" i="2" a="1"/>
  <c r="U328" i="2" s="1"/>
  <c r="T145" i="12" a="1"/>
  <c r="T145" i="12" s="1"/>
  <c r="J159" i="12" a="1"/>
  <c r="J159" i="12" s="1"/>
  <c r="F138" i="12" a="1"/>
  <c r="F138" i="12" s="1"/>
  <c r="U410" i="2" a="1"/>
  <c r="U410" i="2" s="1"/>
  <c r="J296" i="12" a="1"/>
  <c r="J296" i="12" s="1"/>
  <c r="L128" i="12" a="1"/>
  <c r="L128" i="12" s="1"/>
  <c r="I96" i="12" a="1"/>
  <c r="I96" i="12" s="1"/>
  <c r="M504" i="12" a="1"/>
  <c r="M504" i="12" s="1"/>
  <c r="AB634" i="12" a="1"/>
  <c r="AB634" i="12" s="1"/>
  <c r="M469" i="12" a="1"/>
  <c r="M469" i="12" s="1"/>
  <c r="P154" i="12" a="1"/>
  <c r="P154" i="12" s="1"/>
  <c r="T132" i="12" a="1"/>
  <c r="T132" i="12" s="1"/>
  <c r="Q150" i="12" a="1"/>
  <c r="Q150" i="12" s="1"/>
  <c r="I115" i="12" a="1"/>
  <c r="I115" i="12" s="1"/>
  <c r="M387" i="12" a="1"/>
  <c r="M387" i="12" s="1"/>
  <c r="P421" i="12" a="1"/>
  <c r="P421" i="12" s="1"/>
  <c r="L127" i="12" a="1"/>
  <c r="L127" i="12" s="1"/>
  <c r="M91" i="12" a="1"/>
  <c r="M91" i="12" s="1"/>
  <c r="P255" i="12" a="1"/>
  <c r="P255" i="12" s="1"/>
  <c r="X631" i="12" a="1"/>
  <c r="X631" i="12" s="1"/>
  <c r="F199" i="12" a="1"/>
  <c r="F199" i="12" s="1"/>
  <c r="U305" i="2" a="1"/>
  <c r="U305" i="2" s="1"/>
  <c r="T454" i="12" a="1"/>
  <c r="T454" i="12" s="1"/>
  <c r="J217" i="12" a="1"/>
  <c r="J217" i="12" s="1"/>
  <c r="G204" i="12" a="1"/>
  <c r="G204" i="12" s="1"/>
  <c r="L332" i="12" a="1"/>
  <c r="L332" i="12" s="1"/>
  <c r="N156" i="12" a="1"/>
  <c r="N156" i="12" s="1"/>
  <c r="Q321" i="12" a="1"/>
  <c r="Q321" i="12" s="1"/>
  <c r="Q165" i="12" a="1"/>
  <c r="Q165" i="12" s="1"/>
  <c r="P354" i="12" a="1"/>
  <c r="P354" i="12" s="1"/>
  <c r="G376" i="12" a="1"/>
  <c r="G376" i="12" s="1"/>
  <c r="P607" i="12" a="1"/>
  <c r="P607" i="12" s="1"/>
  <c r="AA665" i="12" a="1"/>
  <c r="AA665" i="12" s="1"/>
  <c r="R264" i="12" a="1"/>
  <c r="R264" i="12" s="1"/>
  <c r="O161" i="12" a="1"/>
  <c r="O161" i="12" s="1"/>
  <c r="Q111" i="12" a="1"/>
  <c r="Q111" i="12" s="1"/>
  <c r="P289" i="12" a="1"/>
  <c r="P289" i="12" s="1"/>
  <c r="F73" i="12" a="1"/>
  <c r="F73" i="12" s="1"/>
  <c r="U211" i="2" a="1"/>
  <c r="U211" i="2" s="1"/>
  <c r="S203" i="12" a="1"/>
  <c r="S203" i="12" s="1"/>
  <c r="P136" i="12" a="1"/>
  <c r="P136" i="12" s="1"/>
  <c r="P484" i="12" a="1"/>
  <c r="P484" i="12" s="1"/>
  <c r="G484" i="12" a="1"/>
  <c r="G484" i="12" s="1"/>
  <c r="O337" i="12" a="1"/>
  <c r="O337" i="12" s="1"/>
  <c r="L416" i="12" a="1"/>
  <c r="L416" i="12" s="1"/>
  <c r="F372" i="12" a="1"/>
  <c r="F372" i="12" s="1"/>
  <c r="U189" i="2" a="1"/>
  <c r="U189" i="2" s="1"/>
  <c r="F346" i="12" a="1"/>
  <c r="F346" i="12" s="1"/>
  <c r="U408" i="2" a="1"/>
  <c r="U408" i="2" s="1"/>
  <c r="N346" i="12" a="1"/>
  <c r="N346" i="12" s="1"/>
  <c r="T370" i="12" a="1"/>
  <c r="T370" i="12" s="1"/>
  <c r="I325" i="12" a="1"/>
  <c r="I325" i="12" s="1"/>
  <c r="R404" i="12" a="1"/>
  <c r="R404" i="12" s="1"/>
  <c r="O151" i="12" a="1"/>
  <c r="O151" i="12" s="1"/>
  <c r="G358" i="12" a="1"/>
  <c r="G358" i="12" s="1"/>
  <c r="J150" i="12" a="1"/>
  <c r="J150" i="12" s="1"/>
  <c r="O99" i="12" a="1"/>
  <c r="O99" i="12" s="1"/>
  <c r="I196" i="12" a="1"/>
  <c r="I196" i="12" s="1"/>
  <c r="G100" i="12" a="1"/>
  <c r="G100" i="12" s="1"/>
  <c r="R146" i="12" a="1"/>
  <c r="R146" i="12" s="1"/>
  <c r="O148" i="12" a="1"/>
  <c r="O148" i="12" s="1"/>
  <c r="R37" i="12" a="1"/>
  <c r="R37" i="12" s="1"/>
  <c r="G155" i="12" a="1"/>
  <c r="G155" i="12" s="1"/>
  <c r="R232" i="12" a="1"/>
  <c r="R232" i="12" s="1"/>
  <c r="O232" i="12" a="1"/>
  <c r="O232" i="12" s="1"/>
  <c r="S168" i="12" a="1"/>
  <c r="S168" i="12" s="1"/>
  <c r="I147" i="12" a="1"/>
  <c r="I147" i="12" s="1"/>
  <c r="Z636" i="12" a="1"/>
  <c r="Z636" i="12" s="1"/>
  <c r="J229" i="12" a="1"/>
  <c r="J229" i="12" s="1"/>
  <c r="I175" i="12" a="1"/>
  <c r="I175" i="12" s="1"/>
  <c r="I162" i="12" a="1"/>
  <c r="I162" i="12" s="1"/>
  <c r="O123" i="12" a="1"/>
  <c r="O123" i="12" s="1"/>
  <c r="K139" i="12" a="1"/>
  <c r="K139" i="12" s="1"/>
  <c r="I432" i="12" a="1"/>
  <c r="I432" i="12" s="1"/>
  <c r="S138" i="12" a="1"/>
  <c r="S138" i="12" s="1"/>
  <c r="I165" i="12" a="1"/>
  <c r="I165" i="12" s="1"/>
  <c r="O388" i="12" a="1"/>
  <c r="O388" i="12" s="1"/>
  <c r="R177" i="12" a="1"/>
  <c r="R177" i="12" s="1"/>
  <c r="I368" i="12" a="1"/>
  <c r="I368" i="12" s="1"/>
  <c r="Q348" i="12" a="1"/>
  <c r="Q348" i="12" s="1"/>
  <c r="O335" i="12" a="1"/>
  <c r="O335" i="12" s="1"/>
  <c r="AA655" i="12" a="1"/>
  <c r="AA655" i="12" s="1"/>
  <c r="T161" i="12" a="1"/>
  <c r="T161" i="12" s="1"/>
  <c r="U176" i="2" a="1"/>
  <c r="U176" i="2" s="1"/>
  <c r="L259" i="12" a="1"/>
  <c r="L259" i="12" s="1"/>
  <c r="T73" i="12" a="1"/>
  <c r="T73" i="12" s="1"/>
  <c r="O202" i="12" a="1"/>
  <c r="O202" i="12" s="1"/>
  <c r="M462" i="12" a="1"/>
  <c r="M462" i="12" s="1"/>
  <c r="K403" i="12" a="1"/>
  <c r="K403" i="12" s="1"/>
  <c r="I603" i="12" a="1"/>
  <c r="I603" i="12" s="1"/>
  <c r="G141" i="12" a="1"/>
  <c r="G141" i="12" s="1"/>
  <c r="Q393" i="12" a="1"/>
  <c r="Q393" i="12" s="1"/>
  <c r="L427" i="12" a="1"/>
  <c r="L427" i="12" s="1"/>
  <c r="I354" i="12" a="1"/>
  <c r="I354" i="12" s="1"/>
  <c r="P117" i="12" a="1"/>
  <c r="P117" i="12" s="1"/>
  <c r="N119" i="12" a="1"/>
  <c r="N119" i="12" s="1"/>
  <c r="O296" i="12" a="1"/>
  <c r="O296" i="12" s="1"/>
  <c r="I67" i="12" a="1"/>
  <c r="I67" i="12" s="1"/>
  <c r="L133" i="12" a="1"/>
  <c r="L133" i="12" s="1"/>
  <c r="S250" i="12" a="1"/>
  <c r="S250" i="12" s="1"/>
  <c r="M259" i="12" a="1"/>
  <c r="M259" i="12" s="1"/>
  <c r="L71" i="12" a="1"/>
  <c r="L71" i="12" s="1"/>
  <c r="T87" i="12" a="1"/>
  <c r="T87" i="12" s="1"/>
  <c r="P235" i="12" a="1"/>
  <c r="P235" i="12" s="1"/>
  <c r="Q235" i="12" a="1"/>
  <c r="Q235" i="12" s="1"/>
  <c r="G466" i="12" a="1"/>
  <c r="G466" i="12" s="1"/>
  <c r="I169" i="12" a="1"/>
  <c r="I169" i="12" s="1"/>
  <c r="M152" i="12" a="1"/>
  <c r="M152" i="12" s="1"/>
  <c r="T458" i="12" a="1"/>
  <c r="T458" i="12" s="1"/>
  <c r="Q414" i="12" a="1"/>
  <c r="Q414" i="12" s="1"/>
  <c r="F332" i="12" a="1"/>
  <c r="F332" i="12" s="1"/>
  <c r="N366" i="12" a="1"/>
  <c r="N366" i="12" s="1"/>
  <c r="P135" i="12" a="1"/>
  <c r="P135" i="12" s="1"/>
  <c r="S370" i="12" a="1"/>
  <c r="S370" i="12" s="1"/>
  <c r="R377" i="12" a="1"/>
  <c r="R377" i="12" s="1"/>
  <c r="L325" i="12" a="1"/>
  <c r="L325" i="12" s="1"/>
  <c r="L368" i="12" a="1"/>
  <c r="L368" i="12" s="1"/>
  <c r="O117" i="12" a="1"/>
  <c r="O117" i="12" s="1"/>
  <c r="J335" i="12" a="1"/>
  <c r="J335" i="12" s="1"/>
  <c r="P378" i="12" a="1"/>
  <c r="P378" i="12" s="1"/>
  <c r="N296" i="12" a="1"/>
  <c r="N296" i="12" s="1"/>
  <c r="N65" i="12" a="1"/>
  <c r="N65" i="12" s="1"/>
  <c r="G126" i="12" a="1"/>
  <c r="G126" i="12" s="1"/>
  <c r="R528" i="12" a="1"/>
  <c r="R528" i="12" s="1"/>
  <c r="F337" i="12" a="1"/>
  <c r="F337" i="12" s="1"/>
  <c r="I414" i="12" a="1"/>
  <c r="I414" i="12" s="1"/>
  <c r="P363" i="12" a="1"/>
  <c r="P363" i="12" s="1"/>
  <c r="F309" i="12" a="1"/>
  <c r="F309" i="12" s="1"/>
  <c r="Q404" i="12" a="1"/>
  <c r="Q404" i="12" s="1"/>
  <c r="P358" i="12" a="1"/>
  <c r="P358" i="12" s="1"/>
  <c r="I107" i="12" a="1"/>
  <c r="I107" i="12" s="1"/>
  <c r="J92" i="12" a="1"/>
  <c r="J92" i="12" s="1"/>
  <c r="J299" i="12" a="1"/>
  <c r="J299" i="12" s="1"/>
  <c r="O378" i="12" a="1"/>
  <c r="O378" i="12" s="1"/>
  <c r="G312" i="12" a="1"/>
  <c r="G312" i="12" s="1"/>
  <c r="T106" i="12" a="1"/>
  <c r="T106" i="12" s="1"/>
  <c r="G289" i="12" a="1"/>
  <c r="G289" i="12" s="1"/>
  <c r="J216" i="12" a="1"/>
  <c r="J216" i="12" s="1"/>
  <c r="O125" i="12" a="1"/>
  <c r="O125" i="12" s="1"/>
  <c r="G125" i="12" a="1"/>
  <c r="G125" i="12" s="1"/>
  <c r="O93" i="12" a="1"/>
  <c r="O93" i="12" s="1"/>
  <c r="T61" i="12" a="1"/>
  <c r="T61" i="12" s="1"/>
  <c r="F178" i="12" a="1"/>
  <c r="F178" i="12" s="1"/>
  <c r="U125" i="2" a="1"/>
  <c r="U125" i="2" s="1"/>
  <c r="T18" i="12" a="1"/>
  <c r="T18" i="12" s="1"/>
  <c r="R15" i="12" a="1"/>
  <c r="R15" i="12" s="1"/>
  <c r="R134" i="12" a="1"/>
  <c r="R134" i="12" s="1"/>
  <c r="T13" i="12" a="1"/>
  <c r="T13" i="12" s="1"/>
  <c r="Y6" i="3" a="1"/>
  <c r="Y6" i="3" s="1"/>
  <c r="S6" i="12" a="1"/>
  <c r="S6" i="12" s="1"/>
  <c r="G275" i="12" a="1"/>
  <c r="G275" i="12" s="1"/>
  <c r="F82" i="12" a="1"/>
  <c r="F82" i="12" s="1"/>
  <c r="U29" i="2" a="1"/>
  <c r="U29" i="2" s="1"/>
  <c r="S55" i="12" a="1"/>
  <c r="S55" i="12" s="1"/>
  <c r="AB627" i="12" a="1"/>
  <c r="AB627" i="12" s="1"/>
  <c r="T36" i="12" a="1"/>
  <c r="T36" i="12" s="1"/>
  <c r="J103" i="12" a="1"/>
  <c r="J103" i="12" s="1"/>
  <c r="M19" i="12" a="1"/>
  <c r="M19" i="12" s="1"/>
  <c r="M13" i="12" a="1"/>
  <c r="M13" i="12" s="1"/>
  <c r="R6" i="3" a="1"/>
  <c r="R6" i="3" s="1"/>
  <c r="F66" i="12" a="1"/>
  <c r="F66" i="12" s="1"/>
  <c r="U335" i="2" a="1"/>
  <c r="U335" i="2" s="1"/>
  <c r="P32" i="12" a="1"/>
  <c r="P32" i="12" s="1"/>
  <c r="S134" i="12" a="1"/>
  <c r="S134" i="12" s="1"/>
  <c r="T24" i="12" a="1"/>
  <c r="T24" i="12" s="1"/>
  <c r="R345" i="12" a="1"/>
  <c r="R345" i="12" s="1"/>
  <c r="K117" i="12" a="1"/>
  <c r="K117" i="12" s="1"/>
  <c r="T255" i="12" a="1"/>
  <c r="T255" i="12" s="1"/>
  <c r="S143" i="12" a="1"/>
  <c r="S143" i="12" s="1"/>
  <c r="P203" i="12" a="1"/>
  <c r="P203" i="12" s="1"/>
  <c r="T64" i="12" a="1"/>
  <c r="T64" i="12" s="1"/>
  <c r="I256" i="12" a="1"/>
  <c r="I256" i="12" s="1"/>
  <c r="N60" i="12" a="1"/>
  <c r="N60" i="12" s="1"/>
  <c r="J37" i="12" a="1"/>
  <c r="J37" i="12" s="1"/>
  <c r="G50" i="12" a="1"/>
  <c r="G50" i="12" s="1"/>
  <c r="N29" i="12" a="1"/>
  <c r="N29" i="12" s="1"/>
  <c r="F86" i="12" a="1"/>
  <c r="F86" i="12" s="1"/>
  <c r="U34" i="2" a="1"/>
  <c r="U34" i="2" s="1"/>
  <c r="Q17" i="12" a="1"/>
  <c r="Q17" i="12" s="1"/>
  <c r="T103" i="12" a="1"/>
  <c r="T103" i="12" s="1"/>
  <c r="M496" i="12" a="1"/>
  <c r="M496" i="12" s="1"/>
  <c r="F283" i="12" a="1"/>
  <c r="F283" i="12" s="1"/>
  <c r="Q423" i="12" a="1"/>
  <c r="Q423" i="12" s="1"/>
  <c r="R259" i="12" a="1"/>
  <c r="R259" i="12" s="1"/>
  <c r="AQ47" i="2" a="1"/>
  <c r="AQ47" i="2" s="1"/>
  <c r="AR47" i="2" a="1"/>
  <c r="AR47" i="2" s="1"/>
  <c r="G212" i="12" a="1"/>
  <c r="G212" i="12" s="1"/>
  <c r="T207" i="12" a="1"/>
  <c r="T207" i="12" s="1"/>
  <c r="K26" i="12" a="1"/>
  <c r="K26" i="12" s="1"/>
  <c r="P14" i="3" a="1"/>
  <c r="P14" i="3" s="1"/>
  <c r="S182" i="12" a="1"/>
  <c r="S182" i="12" s="1"/>
  <c r="N103" i="12" a="1"/>
  <c r="N103" i="12" s="1"/>
  <c r="O18" i="12" a="1"/>
  <c r="O18" i="12" s="1"/>
  <c r="M47" i="12" a="1"/>
  <c r="M47" i="12" s="1"/>
  <c r="F333" i="12" a="1"/>
  <c r="F333" i="12" s="1"/>
  <c r="U209" i="2" a="1"/>
  <c r="U209" i="2" s="1"/>
  <c r="I111" i="12" a="1"/>
  <c r="I111" i="12" s="1"/>
  <c r="F28" i="12" a="1"/>
  <c r="F28" i="12" s="1"/>
  <c r="U192" i="2" a="1"/>
  <c r="U192" i="2" s="1"/>
  <c r="G68" i="12" a="1"/>
  <c r="G68" i="12" s="1"/>
  <c r="G78" i="12" a="1"/>
  <c r="G78" i="12" s="1"/>
  <c r="M305" i="12" a="1"/>
  <c r="M305" i="12" s="1"/>
  <c r="M178" i="12" a="1"/>
  <c r="M178" i="12" s="1"/>
  <c r="T60" i="12" a="1"/>
  <c r="T60" i="12" s="1"/>
  <c r="R14" i="12" a="1"/>
  <c r="R14" i="12" s="1"/>
  <c r="F50" i="12" a="1"/>
  <c r="F50" i="12" s="1"/>
  <c r="U63" i="2" a="1"/>
  <c r="U63" i="2" s="1"/>
  <c r="L113" i="12" a="1"/>
  <c r="L113" i="12" s="1"/>
  <c r="M72" i="12" a="1"/>
  <c r="M72" i="12" s="1"/>
  <c r="G104" i="12" a="1"/>
  <c r="G104" i="12" s="1"/>
  <c r="S46" i="12" a="1"/>
  <c r="S46" i="12" s="1"/>
  <c r="R216" i="12" a="1"/>
  <c r="R216" i="12" s="1"/>
  <c r="J40" i="12" a="1"/>
  <c r="J40" i="12" s="1"/>
  <c r="Q144" i="12" a="1"/>
  <c r="Q144" i="12" s="1"/>
  <c r="O134" i="12" a="1"/>
  <c r="O134" i="12" s="1"/>
  <c r="M20" i="12" a="1"/>
  <c r="M20" i="12" s="1"/>
  <c r="F165" i="12" a="1"/>
  <c r="F165" i="12" s="1"/>
  <c r="J285" i="12" a="1"/>
  <c r="J285" i="12" s="1"/>
  <c r="T88" i="12" a="1"/>
  <c r="T88" i="12" s="1"/>
  <c r="S88" i="12" a="1"/>
  <c r="S88" i="12" s="1"/>
  <c r="R96" i="12" a="1"/>
  <c r="R96" i="12" s="1"/>
  <c r="M212" i="12" a="1"/>
  <c r="M212" i="12" s="1"/>
  <c r="O95" i="12" a="1"/>
  <c r="O95" i="12" s="1"/>
  <c r="Q69" i="12" a="1"/>
  <c r="Q69" i="12" s="1"/>
  <c r="N224" i="12" a="1"/>
  <c r="N224" i="12" s="1"/>
  <c r="G66" i="12" a="1"/>
  <c r="G66" i="12" s="1"/>
  <c r="R174" i="12" a="1"/>
  <c r="R174" i="12" s="1"/>
  <c r="O38" i="12" a="1"/>
  <c r="O38" i="12" s="1"/>
  <c r="AA641" i="12" a="1"/>
  <c r="AA641" i="12" s="1"/>
  <c r="M107" i="12" a="1"/>
  <c r="M107" i="12" s="1"/>
  <c r="AQ73" i="2" a="1"/>
  <c r="AQ73" i="2" s="1"/>
  <c r="R128" i="12" a="1"/>
  <c r="R128" i="12" s="1"/>
  <c r="I84" i="12" a="1"/>
  <c r="I84" i="12" s="1"/>
  <c r="O253" i="12" a="1"/>
  <c r="O253" i="12" s="1"/>
  <c r="J64" i="12" a="1"/>
  <c r="J64" i="12" s="1"/>
  <c r="AA661" i="12" a="1"/>
  <c r="AA661" i="12" s="1"/>
  <c r="N46" i="12" a="1"/>
  <c r="N46" i="12" s="1"/>
  <c r="R69" i="12" a="1"/>
  <c r="R69" i="12" s="1"/>
  <c r="G216" i="12" a="1"/>
  <c r="G216" i="12" s="1"/>
  <c r="AB663" i="12" a="1"/>
  <c r="AB663" i="12" s="1"/>
  <c r="K76" i="12" a="1"/>
  <c r="K76" i="12" s="1"/>
  <c r="K30" i="12" a="1"/>
  <c r="K30" i="12" s="1"/>
  <c r="G132" i="12" a="1"/>
  <c r="G132" i="12" s="1"/>
  <c r="J379" i="12" a="1"/>
  <c r="J379" i="12" s="1"/>
  <c r="S379" i="12" a="1"/>
  <c r="S379" i="12" s="1"/>
  <c r="J421" i="12" a="1"/>
  <c r="J421" i="12" s="1"/>
  <c r="K425" i="12" a="1"/>
  <c r="K425" i="12" s="1"/>
  <c r="Q382" i="12" a="1"/>
  <c r="Q382" i="12" s="1"/>
  <c r="K222" i="12" a="1"/>
  <c r="K222" i="12" s="1"/>
  <c r="J58" i="12" a="1"/>
  <c r="J58" i="12" s="1"/>
  <c r="P95" i="12" a="1"/>
  <c r="P95" i="12" s="1"/>
  <c r="P201" i="12" a="1"/>
  <c r="P201" i="12" s="1"/>
  <c r="S43" i="12" a="1"/>
  <c r="S43" i="12" s="1"/>
  <c r="Q130" i="12" a="1"/>
  <c r="Q130" i="12" s="1"/>
  <c r="R312" i="12" a="1"/>
  <c r="R312" i="12" s="1"/>
  <c r="U79" i="2" a="1"/>
  <c r="U79" i="2" s="1"/>
  <c r="N90" i="12" a="1"/>
  <c r="N90" i="12" s="1"/>
  <c r="N105" i="12" a="1"/>
  <c r="N105" i="12" s="1"/>
  <c r="I85" i="12" a="1"/>
  <c r="I85" i="12" s="1"/>
  <c r="T174" i="12" a="1"/>
  <c r="T174" i="12" s="1"/>
  <c r="L75" i="12" a="1"/>
  <c r="L75" i="12" s="1"/>
  <c r="S191" i="12" a="1"/>
  <c r="S191" i="12" s="1"/>
  <c r="O19" i="12" a="1"/>
  <c r="O19" i="12" s="1"/>
  <c r="N113" i="12" a="1"/>
  <c r="N113" i="12" s="1"/>
  <c r="AQ55" i="2" a="1"/>
  <c r="AQ55" i="2" s="1"/>
  <c r="AR55" i="2" a="1"/>
  <c r="AR55" i="2" s="1"/>
  <c r="J321" i="12" a="1"/>
  <c r="J321" i="12" s="1"/>
  <c r="O279" i="12" a="1"/>
  <c r="O279" i="12" s="1"/>
  <c r="F279" i="12" a="1"/>
  <c r="F279" i="12" s="1"/>
  <c r="U59" i="2" a="1"/>
  <c r="U59" i="2" s="1"/>
  <c r="G124" i="12" a="1"/>
  <c r="G124" i="12" s="1"/>
  <c r="I93" i="12" a="1"/>
  <c r="I93" i="12" s="1"/>
  <c r="T66" i="12" a="1"/>
  <c r="T66" i="12" s="1"/>
  <c r="M37" i="12" a="1"/>
  <c r="M37" i="12" s="1"/>
  <c r="Z645" i="12" a="1"/>
  <c r="Z645" i="12" s="1"/>
  <c r="Q50" i="12" a="1"/>
  <c r="Q50" i="12" s="1"/>
  <c r="F44" i="12" a="1"/>
  <c r="F44" i="12" s="1"/>
  <c r="U78" i="2" a="1"/>
  <c r="U78" i="2" s="1"/>
  <c r="O17" i="12" a="1"/>
  <c r="O17" i="12" s="1"/>
  <c r="Q23" i="12" a="1"/>
  <c r="Q23" i="12" s="1"/>
  <c r="M7" i="12" a="1"/>
  <c r="M7" i="12" s="1"/>
  <c r="I35" i="12" a="1"/>
  <c r="I35" i="12" s="1"/>
  <c r="J52" i="12" a="1"/>
  <c r="J52" i="12" s="1"/>
  <c r="S13" i="12" a="1"/>
  <c r="S13" i="12" s="1"/>
  <c r="X6" i="3" a="1"/>
  <c r="X6" i="3" s="1"/>
  <c r="J4" i="12" a="1"/>
  <c r="J4" i="12" s="1"/>
  <c r="Q21" i="12" a="1"/>
  <c r="Q21" i="12" s="1"/>
  <c r="Z659" i="12" a="1"/>
  <c r="Z659" i="12" s="1"/>
  <c r="S76" i="12" a="1"/>
  <c r="S76" i="12" s="1"/>
  <c r="R16" i="12" a="1"/>
  <c r="R16" i="12" s="1"/>
  <c r="L2" i="12" a="1"/>
  <c r="L2" i="12" s="1"/>
  <c r="Q2" i="3" a="1"/>
  <c r="Q2" i="3" s="1"/>
  <c r="K77" i="12" a="1"/>
  <c r="K77" i="12" s="1"/>
  <c r="Q40" i="12" a="1"/>
  <c r="Q40" i="12" s="1"/>
  <c r="I103" i="12" a="1"/>
  <c r="I103" i="12" s="1"/>
  <c r="I10" i="12" a="1"/>
  <c r="I10" i="12" s="1"/>
  <c r="P56" i="12" a="1"/>
  <c r="P56" i="12" s="1"/>
  <c r="AL72" i="2" a="1"/>
  <c r="AL72" i="2" s="1"/>
  <c r="L41" i="12" a="1"/>
  <c r="L41" i="12" s="1"/>
  <c r="L45" i="12" a="1"/>
  <c r="L45" i="12" s="1"/>
  <c r="K23" i="12" a="1"/>
  <c r="K23" i="12" s="1"/>
  <c r="I31" i="12" a="1"/>
  <c r="I31" i="12" s="1"/>
  <c r="S31" i="12" a="1"/>
  <c r="S31" i="12" s="1"/>
  <c r="G129" i="12" a="1"/>
  <c r="G129" i="12" s="1"/>
  <c r="R184" i="12" a="1"/>
  <c r="R184" i="12" s="1"/>
  <c r="P184" i="12" a="1"/>
  <c r="P184" i="12" s="1"/>
  <c r="J85" i="12" a="1"/>
  <c r="J85" i="12" s="1"/>
  <c r="L59" i="12" a="1"/>
  <c r="L59" i="12" s="1"/>
  <c r="S59" i="12" a="1"/>
  <c r="S59" i="12" s="1"/>
  <c r="R118" i="12" a="1"/>
  <c r="R118" i="12" s="1"/>
  <c r="Q118" i="12" a="1"/>
  <c r="Q118" i="12" s="1"/>
  <c r="N22" i="12" a="1"/>
  <c r="N22" i="12" s="1"/>
  <c r="Q42" i="12" a="1"/>
  <c r="Q42" i="12" s="1"/>
  <c r="G42" i="12" a="1"/>
  <c r="G42" i="12" s="1"/>
  <c r="L19" i="12" a="1"/>
  <c r="L19" i="12" s="1"/>
  <c r="O80" i="12" a="1"/>
  <c r="O80" i="12" s="1"/>
  <c r="R4" i="12" a="1"/>
  <c r="R4" i="12" s="1"/>
  <c r="M62" i="12" a="1"/>
  <c r="M62" i="12" s="1"/>
  <c r="N62" i="12" a="1"/>
  <c r="N62" i="12" s="1"/>
  <c r="L34" i="12" a="1"/>
  <c r="L34" i="12" s="1"/>
  <c r="O201" i="12" a="1"/>
  <c r="O201" i="12" s="1"/>
  <c r="L57" i="12" a="1"/>
  <c r="L57" i="12" s="1"/>
  <c r="N14" i="12" a="1"/>
  <c r="N14" i="12" s="1"/>
  <c r="L64" i="12" a="1"/>
  <c r="L64" i="12" s="1"/>
  <c r="T53" i="12" a="1"/>
  <c r="T53" i="12" s="1"/>
  <c r="P53" i="12" a="1"/>
  <c r="P53" i="12" s="1"/>
  <c r="Q49" i="12" a="1"/>
  <c r="Q49" i="12" s="1"/>
  <c r="O49" i="12" a="1"/>
  <c r="O49" i="12" s="1"/>
  <c r="Q63" i="12" a="1"/>
  <c r="Q63" i="12" s="1"/>
  <c r="I63" i="12" a="1"/>
  <c r="I63" i="12" s="1"/>
  <c r="O11" i="12" a="1"/>
  <c r="O11" i="12" s="1"/>
  <c r="F104" i="12" a="1"/>
  <c r="F104" i="12" s="1"/>
  <c r="K82" i="12" a="1"/>
  <c r="K82" i="12" s="1"/>
  <c r="Q200" i="12" a="1"/>
  <c r="Q200" i="12" s="1"/>
  <c r="G200" i="12" a="1"/>
  <c r="G200" i="12" s="1"/>
  <c r="G7" i="12" a="1"/>
  <c r="G7" i="12" s="1"/>
  <c r="P6" i="12" a="1"/>
  <c r="P6" i="12" s="1"/>
  <c r="K33" i="12" a="1"/>
  <c r="K33" i="12" s="1"/>
  <c r="G189" i="12" a="1"/>
  <c r="G189" i="12" s="1"/>
  <c r="J189" i="12" a="1"/>
  <c r="J189" i="12" s="1"/>
  <c r="T40" i="12" a="1"/>
  <c r="T40" i="12" s="1"/>
  <c r="O224" i="12" a="1"/>
  <c r="O224" i="12" s="1"/>
  <c r="R50" i="12" a="1"/>
  <c r="R50" i="12" s="1"/>
  <c r="J17" i="12" a="1"/>
  <c r="J17" i="12" s="1"/>
  <c r="Q180" i="12" a="1"/>
  <c r="Q180" i="12" s="1"/>
  <c r="I236" i="12" a="1"/>
  <c r="I236" i="12" s="1"/>
  <c r="R228" i="12" a="1"/>
  <c r="R228" i="12" s="1"/>
  <c r="Q465" i="12" a="1"/>
  <c r="Q465" i="12" s="1"/>
  <c r="J219" i="12" a="1"/>
  <c r="J219" i="12" s="1"/>
  <c r="T238" i="12" a="1"/>
  <c r="T238" i="12" s="1"/>
  <c r="T248" i="12" a="1"/>
  <c r="T248" i="12" s="1"/>
  <c r="J298" i="12" a="1"/>
  <c r="J298" i="12" s="1"/>
  <c r="Q298" i="12" a="1"/>
  <c r="Q298" i="12" s="1"/>
  <c r="R536" i="12" a="1"/>
  <c r="R536" i="12" s="1"/>
  <c r="J536" i="12" a="1"/>
  <c r="J536" i="12" s="1"/>
  <c r="Q254" i="12" a="1"/>
  <c r="Q254" i="12" s="1"/>
  <c r="F271" i="12" a="1"/>
  <c r="F271" i="12" s="1"/>
  <c r="U366" i="2" a="1"/>
  <c r="U366" i="2" s="1"/>
  <c r="X666" i="12" a="1"/>
  <c r="X666" i="12" s="1"/>
  <c r="Q208" i="12" a="1"/>
  <c r="Q208" i="12" s="1"/>
  <c r="P172" i="12" a="1"/>
  <c r="P172" i="12" s="1"/>
  <c r="P236" i="12" a="1"/>
  <c r="P236" i="12" s="1"/>
  <c r="N568" i="12" a="1"/>
  <c r="N568" i="12" s="1"/>
  <c r="J527" i="12" a="1"/>
  <c r="J527" i="12" s="1"/>
  <c r="I562" i="12" a="1"/>
  <c r="I562" i="12" s="1"/>
  <c r="Q197" i="12" a="1"/>
  <c r="Q197" i="12" s="1"/>
  <c r="F435" i="12" a="1"/>
  <c r="F435" i="12" s="1"/>
  <c r="U196" i="2" a="1"/>
  <c r="U196" i="2" s="1"/>
  <c r="P149" i="12" a="1"/>
  <c r="P149" i="12" s="1"/>
  <c r="F171" i="12" a="1"/>
  <c r="F171" i="12" s="1"/>
  <c r="U486" i="2" a="1"/>
  <c r="U486" i="2" s="1"/>
  <c r="P131" i="12" a="1"/>
  <c r="P131" i="12" s="1"/>
  <c r="P282" i="12" a="1"/>
  <c r="P282" i="12" s="1"/>
  <c r="J505" i="12" a="1"/>
  <c r="J505" i="12" s="1"/>
  <c r="G581" i="12" a="1"/>
  <c r="G581" i="12" s="1"/>
  <c r="G277" i="12" a="1"/>
  <c r="G277" i="12" s="1"/>
  <c r="M83" i="12" a="1"/>
  <c r="M83" i="12" s="1"/>
  <c r="R474" i="12" a="1"/>
  <c r="R474" i="12" s="1"/>
  <c r="G606" i="12" a="1"/>
  <c r="G606" i="12" s="1"/>
  <c r="K223" i="12" a="1"/>
  <c r="K223" i="12" s="1"/>
  <c r="N557" i="12" a="1"/>
  <c r="N557" i="12" s="1"/>
  <c r="K258" i="12" a="1"/>
  <c r="K258" i="12" s="1"/>
  <c r="N323" i="12" a="1"/>
  <c r="N323" i="12" s="1"/>
  <c r="AQ313" i="2" a="1"/>
  <c r="AQ313" i="2" s="1"/>
  <c r="AR313" i="2" a="1"/>
  <c r="AR313" i="2" s="1"/>
  <c r="K514" i="12" a="1"/>
  <c r="K514" i="12" s="1"/>
  <c r="L239" i="12" a="1"/>
  <c r="L239" i="12" s="1"/>
  <c r="K598" i="12" a="1"/>
  <c r="K598" i="12" s="1"/>
  <c r="J276" i="12" a="1"/>
  <c r="J276" i="12" s="1"/>
  <c r="L211" i="12" a="1"/>
  <c r="L211" i="12" s="1"/>
  <c r="J211" i="12" a="1"/>
  <c r="J211" i="12" s="1"/>
  <c r="S243" i="12" a="1"/>
  <c r="S243" i="12" s="1"/>
  <c r="R501" i="12" a="1"/>
  <c r="R501" i="12" s="1"/>
  <c r="O260" i="12" a="1"/>
  <c r="O260" i="12" s="1"/>
  <c r="J239" i="12" a="1"/>
  <c r="J239" i="12" s="1"/>
  <c r="O510" i="12" a="1"/>
  <c r="O510" i="12" s="1"/>
  <c r="Q573" i="12" a="1"/>
  <c r="Q573" i="12" s="1"/>
  <c r="N503" i="12" a="1"/>
  <c r="N503" i="12" s="1"/>
  <c r="K495" i="12" a="1"/>
  <c r="K495" i="12" s="1"/>
  <c r="J451" i="12" a="1"/>
  <c r="J451" i="12" s="1"/>
  <c r="N210" i="12" a="1"/>
  <c r="N210" i="12" s="1"/>
  <c r="M225" i="12" a="1"/>
  <c r="M225" i="12" s="1"/>
  <c r="I164" i="12" a="1"/>
  <c r="I164" i="12" s="1"/>
  <c r="S555" i="12" a="1"/>
  <c r="S555" i="12" s="1"/>
  <c r="N581" i="12" a="1"/>
  <c r="N581" i="12" s="1"/>
  <c r="P566" i="12" a="1"/>
  <c r="P566" i="12" s="1"/>
  <c r="K218" i="12" a="1"/>
  <c r="K218" i="12" s="1"/>
  <c r="J593" i="12" a="1"/>
  <c r="J593" i="12" s="1"/>
  <c r="J463" i="12" a="1"/>
  <c r="J463" i="12" s="1"/>
  <c r="O263" i="12" a="1"/>
  <c r="O263" i="12" s="1"/>
  <c r="N277" i="12" a="1"/>
  <c r="N277" i="12" s="1"/>
  <c r="S245" i="12" a="1"/>
  <c r="S245" i="12" s="1"/>
  <c r="AA668" i="12" a="1"/>
  <c r="AA668" i="12" s="1"/>
  <c r="P451" i="12" a="1"/>
  <c r="P451" i="12" s="1"/>
  <c r="F311" i="12" a="1"/>
  <c r="F311" i="12" s="1"/>
  <c r="U473" i="2" a="1"/>
  <c r="U473" i="2" s="1"/>
  <c r="I233" i="12" a="1"/>
  <c r="I233" i="12" s="1"/>
  <c r="L581" i="12" a="1"/>
  <c r="L581" i="12" s="1"/>
  <c r="M237" i="12" a="1"/>
  <c r="M237" i="12" s="1"/>
  <c r="F537" i="12" a="1"/>
  <c r="F537" i="12" s="1"/>
  <c r="U349" i="2" a="1"/>
  <c r="U349" i="2" s="1"/>
  <c r="S519" i="12" a="1"/>
  <c r="S519" i="12" s="1"/>
  <c r="M474" i="12" a="1"/>
  <c r="M474" i="12" s="1"/>
  <c r="T585" i="12" a="1"/>
  <c r="T585" i="12" s="1"/>
  <c r="K221" i="12" a="1"/>
  <c r="K221" i="12" s="1"/>
  <c r="K551" i="12" a="1"/>
  <c r="K551" i="12" s="1"/>
  <c r="N509" i="12" a="1"/>
  <c r="N509" i="12" s="1"/>
  <c r="O509" i="12" a="1"/>
  <c r="O509" i="12" s="1"/>
  <c r="F136" i="12" a="1"/>
  <c r="F136" i="12" s="1"/>
  <c r="U356" i="2" a="1"/>
  <c r="U356" i="2" s="1"/>
  <c r="G186" i="12" a="1"/>
  <c r="G186" i="12" s="1"/>
  <c r="K476" i="12" a="1"/>
  <c r="K476" i="12" s="1"/>
  <c r="M452" i="12" a="1"/>
  <c r="M452" i="12" s="1"/>
  <c r="I135" i="12" a="1"/>
  <c r="I135" i="12" s="1"/>
  <c r="O280" i="12" a="1"/>
  <c r="O280" i="12" s="1"/>
  <c r="S185" i="12" a="1"/>
  <c r="S185" i="12" s="1"/>
  <c r="S220" i="12" a="1"/>
  <c r="S220" i="12" s="1"/>
  <c r="AB640" i="12" a="1"/>
  <c r="AB640" i="12" s="1"/>
  <c r="F244" i="12" a="1"/>
  <c r="F244" i="12" s="1"/>
  <c r="U375" i="2" a="1"/>
  <c r="U375" i="2" s="1"/>
  <c r="J415" i="12" a="1"/>
  <c r="J415" i="12" s="1"/>
  <c r="P504" i="12" a="1"/>
  <c r="P504" i="12" s="1"/>
  <c r="P500" i="12" a="1"/>
  <c r="P500" i="12" s="1"/>
  <c r="Q179" i="12" a="1"/>
  <c r="Q179" i="12" s="1"/>
  <c r="T435" i="12" a="1"/>
  <c r="T435" i="12" s="1"/>
  <c r="I163" i="12" a="1"/>
  <c r="I163" i="12" s="1"/>
  <c r="G493" i="12" a="1"/>
  <c r="G493" i="12" s="1"/>
  <c r="M412" i="12" a="1"/>
  <c r="M412" i="12" s="1"/>
  <c r="M597" i="12" a="1"/>
  <c r="M597" i="12" s="1"/>
  <c r="P573" i="12" a="1"/>
  <c r="P573" i="12" s="1"/>
  <c r="P547" i="12" a="1"/>
  <c r="P547" i="12" s="1"/>
  <c r="N547" i="12" a="1"/>
  <c r="N547" i="12" s="1"/>
  <c r="R407" i="12" a="1"/>
  <c r="R407" i="12" s="1"/>
  <c r="T193" i="12" a="1"/>
  <c r="T193" i="12" s="1"/>
  <c r="M408" i="12" a="1"/>
  <c r="M408" i="12" s="1"/>
  <c r="S171" i="12" a="1"/>
  <c r="S171" i="12" s="1"/>
  <c r="L586" i="12" a="1"/>
  <c r="L586" i="12" s="1"/>
  <c r="L188" i="12" a="1"/>
  <c r="L188" i="12" s="1"/>
  <c r="K176" i="12" a="1"/>
  <c r="K176" i="12" s="1"/>
  <c r="F497" i="12" a="1"/>
  <c r="F497" i="12" s="1"/>
  <c r="G584" i="12" a="1"/>
  <c r="G584" i="12" s="1"/>
  <c r="Q584" i="12" a="1"/>
  <c r="Q584" i="12" s="1"/>
  <c r="Z656" i="12" a="1"/>
  <c r="Z656" i="12" s="1"/>
  <c r="L508" i="12" a="1"/>
  <c r="L508" i="12" s="1"/>
  <c r="N549" i="12" a="1"/>
  <c r="N549" i="12" s="1"/>
  <c r="S266" i="12" a="1"/>
  <c r="S266" i="12" s="1"/>
  <c r="T559" i="12" a="1"/>
  <c r="T559" i="12" s="1"/>
  <c r="S566" i="12" a="1"/>
  <c r="S566" i="12" s="1"/>
  <c r="O451" i="12" a="1"/>
  <c r="O451" i="12" s="1"/>
  <c r="O236" i="12" a="1"/>
  <c r="O236" i="12" s="1"/>
  <c r="J515" i="12" a="1"/>
  <c r="J515" i="12" s="1"/>
  <c r="L244" i="12" a="1"/>
  <c r="L244" i="12" s="1"/>
  <c r="M230" i="12" a="1"/>
  <c r="M230" i="12" s="1"/>
  <c r="R227" i="12" a="1"/>
  <c r="R227" i="12" s="1"/>
  <c r="M190" i="12" a="1"/>
  <c r="M190" i="12" s="1"/>
  <c r="M188" i="12" a="1"/>
  <c r="M188" i="12" s="1"/>
  <c r="P497" i="12" a="1"/>
  <c r="P497" i="12" s="1"/>
  <c r="N558" i="12" a="1"/>
  <c r="N558" i="12" s="1"/>
  <c r="N160" i="12" a="1"/>
  <c r="N160" i="12" s="1"/>
  <c r="G154" i="12" a="1"/>
  <c r="G154" i="12" s="1"/>
  <c r="K511" i="12" a="1"/>
  <c r="K511" i="12" s="1"/>
  <c r="F511" i="12" a="1"/>
  <c r="F511" i="12" s="1"/>
  <c r="U172" i="2" a="1"/>
  <c r="U172" i="2" s="1"/>
  <c r="T218" i="12" a="1"/>
  <c r="T218" i="12" s="1"/>
  <c r="I273" i="12" a="1"/>
  <c r="I273" i="12" s="1"/>
  <c r="O564" i="12" a="1"/>
  <c r="O564" i="12" s="1"/>
  <c r="M503" i="12" a="1"/>
  <c r="M503" i="12" s="1"/>
  <c r="F530" i="12" a="1"/>
  <c r="F530" i="12" s="1"/>
  <c r="U339" i="2" a="1"/>
  <c r="U339" i="2" s="1"/>
  <c r="AB654" i="12" a="1"/>
  <c r="AB654" i="12" s="1"/>
  <c r="Q206" i="12" a="1"/>
  <c r="Q206" i="12" s="1"/>
  <c r="M508" i="12" a="1"/>
  <c r="M508" i="12" s="1"/>
  <c r="T149" i="12" a="1"/>
  <c r="T149" i="12" s="1"/>
  <c r="L241" i="12" a="1"/>
  <c r="L241" i="12" s="1"/>
  <c r="I582" i="12" a="1"/>
  <c r="I582" i="12" s="1"/>
  <c r="L582" i="12" a="1"/>
  <c r="L582" i="12" s="1"/>
  <c r="G533" i="12" a="1"/>
  <c r="G533" i="12" s="1"/>
  <c r="O533" i="12" a="1"/>
  <c r="O533" i="12" s="1"/>
  <c r="F210" i="12" a="1"/>
  <c r="F210" i="12" s="1"/>
  <c r="U524" i="2" a="1"/>
  <c r="U524" i="2" s="1"/>
  <c r="Q426" i="12" a="1"/>
  <c r="Q426" i="12" s="1"/>
  <c r="Q274" i="12" a="1"/>
  <c r="Q274" i="12" s="1"/>
  <c r="S149" i="12" a="1"/>
  <c r="S149" i="12" s="1"/>
  <c r="S522" i="12" a="1"/>
  <c r="S522" i="12" s="1"/>
  <c r="J163" i="12" a="1"/>
  <c r="J163" i="12" s="1"/>
  <c r="T526" i="12" a="1"/>
  <c r="T526" i="12" s="1"/>
  <c r="N194" i="12" a="1"/>
  <c r="N194" i="12" s="1"/>
  <c r="L466" i="12" a="1"/>
  <c r="L466" i="12" s="1"/>
  <c r="K217" i="12" a="1"/>
  <c r="K217" i="12" s="1"/>
  <c r="Q169" i="12" a="1"/>
  <c r="Q169" i="12" s="1"/>
  <c r="F175" i="12" a="1"/>
  <c r="F175" i="12" s="1"/>
  <c r="U432" i="2" a="1"/>
  <c r="U432" i="2" s="1"/>
  <c r="T442" i="12" a="1"/>
  <c r="T442" i="12" s="1"/>
  <c r="R492" i="12" a="1"/>
  <c r="R492" i="12" s="1"/>
  <c r="P170" i="12" a="1"/>
  <c r="P170" i="12" s="1"/>
  <c r="L204" i="12" a="1"/>
  <c r="L204" i="12" s="1"/>
  <c r="K419" i="12" a="1"/>
  <c r="K419" i="12" s="1"/>
  <c r="Q356" i="12" a="1"/>
  <c r="Q356" i="12" s="1"/>
  <c r="F439" i="12" a="1"/>
  <c r="F439" i="12" s="1"/>
  <c r="U230" i="2" a="1"/>
  <c r="U230" i="2" s="1"/>
  <c r="T383" i="12" a="1"/>
  <c r="T383" i="12" s="1"/>
  <c r="Q345" i="12" a="1"/>
  <c r="Q345" i="12" s="1"/>
  <c r="I139" i="12" a="1"/>
  <c r="I139" i="12" s="1"/>
  <c r="Q475" i="12" a="1"/>
  <c r="Q475" i="12" s="1"/>
  <c r="L475" i="12" a="1"/>
  <c r="L475" i="12" s="1"/>
  <c r="O173" i="12" a="1"/>
  <c r="O173" i="12" s="1"/>
  <c r="G173" i="12" a="1"/>
  <c r="G173" i="12" s="1"/>
  <c r="S192" i="12" a="1"/>
  <c r="S192" i="12" s="1"/>
  <c r="O221" i="12" a="1"/>
  <c r="O221" i="12" s="1"/>
  <c r="M215" i="12" a="1"/>
  <c r="M215" i="12" s="1"/>
  <c r="K540" i="12" a="1"/>
  <c r="K540" i="12" s="1"/>
  <c r="F274" i="12" a="1"/>
  <c r="F274" i="12" s="1"/>
  <c r="U579" i="2" a="1"/>
  <c r="U579" i="2" s="1"/>
  <c r="F541" i="12" a="1"/>
  <c r="F541" i="12" s="1"/>
  <c r="U315" i="2" a="1"/>
  <c r="U315" i="2" s="1"/>
  <c r="N556" i="12" a="1"/>
  <c r="N556" i="12" s="1"/>
  <c r="Q131" i="12" a="1"/>
  <c r="Q131" i="12" s="1"/>
  <c r="F195" i="12" a="1"/>
  <c r="F195" i="12" s="1"/>
  <c r="U394" i="2" a="1"/>
  <c r="U394" i="2" s="1"/>
  <c r="G476" i="12" a="1"/>
  <c r="G476" i="12" s="1"/>
  <c r="T213" i="12" a="1"/>
  <c r="T213" i="12" s="1"/>
  <c r="R187" i="12" a="1"/>
  <c r="R187" i="12" s="1"/>
  <c r="K187" i="12" a="1"/>
  <c r="K187" i="12" s="1"/>
  <c r="T210" i="12" a="1"/>
  <c r="T210" i="12" s="1"/>
  <c r="N522" i="12" a="1"/>
  <c r="N522" i="12" s="1"/>
  <c r="R493" i="12" a="1"/>
  <c r="R493" i="12" s="1"/>
  <c r="K268" i="12" a="1"/>
  <c r="K268" i="12" s="1"/>
  <c r="Q267" i="12" a="1"/>
  <c r="Q267" i="12" s="1"/>
  <c r="K245" i="12" a="1"/>
  <c r="K245" i="12" s="1"/>
  <c r="L221" i="12" a="1"/>
  <c r="L221" i="12" s="1"/>
  <c r="K231" i="12" a="1"/>
  <c r="K231" i="12" s="1"/>
  <c r="Q500" i="12" a="1"/>
  <c r="Q500" i="12" s="1"/>
  <c r="L205" i="12" a="1"/>
  <c r="L205" i="12" s="1"/>
  <c r="Q132" i="12" a="1"/>
  <c r="Q132" i="12" s="1"/>
  <c r="N332" i="12" a="1"/>
  <c r="N332" i="12" s="1"/>
  <c r="L494" i="12" a="1"/>
  <c r="L494" i="12" s="1"/>
  <c r="N603" i="12" a="1"/>
  <c r="N603" i="12" s="1"/>
  <c r="O603" i="12" a="1"/>
  <c r="O603" i="12" s="1"/>
  <c r="M175" i="12" a="1"/>
  <c r="M175" i="12" s="1"/>
  <c r="O479" i="12" a="1"/>
  <c r="O479" i="12" s="1"/>
  <c r="J164" i="12" a="1"/>
  <c r="J164" i="12" s="1"/>
  <c r="Q108" i="12" a="1"/>
  <c r="Q108" i="12" s="1"/>
  <c r="M422" i="12" a="1"/>
  <c r="M422" i="12" s="1"/>
  <c r="I112" i="12" a="1"/>
  <c r="I112" i="12" s="1"/>
  <c r="G354" i="12" a="1"/>
  <c r="G354" i="12" s="1"/>
  <c r="M157" i="12" a="1"/>
  <c r="M157" i="12" s="1"/>
  <c r="F387" i="12" a="1"/>
  <c r="F387" i="12" s="1"/>
  <c r="U173" i="2" a="1"/>
  <c r="U173" i="2" s="1"/>
  <c r="N117" i="12" a="1"/>
  <c r="N117" i="12" s="1"/>
  <c r="O421" i="12" a="1"/>
  <c r="O421" i="12" s="1"/>
  <c r="T48" i="12" a="1"/>
  <c r="T48" i="12" s="1"/>
  <c r="S425" i="12" a="1"/>
  <c r="S425" i="12" s="1"/>
  <c r="F314" i="12" a="1"/>
  <c r="F314" i="12" s="1"/>
  <c r="U195" i="2" a="1"/>
  <c r="U195" i="2" s="1"/>
  <c r="I97" i="12" a="1"/>
  <c r="I97" i="12" s="1"/>
  <c r="J124" i="12" a="1"/>
  <c r="J124" i="12" s="1"/>
  <c r="N253" i="12" a="1"/>
  <c r="N253" i="12" s="1"/>
  <c r="O203" i="12" a="1"/>
  <c r="O203" i="12" s="1"/>
  <c r="G51" i="12" a="1"/>
  <c r="G51" i="12" s="1"/>
  <c r="G508" i="12" a="1"/>
  <c r="G508" i="12" s="1"/>
  <c r="T534" i="12" a="1"/>
  <c r="T534" i="12" s="1"/>
  <c r="S586" i="12" a="1"/>
  <c r="S586" i="12" s="1"/>
  <c r="S583" i="12" a="1"/>
  <c r="S583" i="12" s="1"/>
  <c r="K209" i="12" a="1"/>
  <c r="K209" i="12" s="1"/>
  <c r="S141" i="12" a="1"/>
  <c r="S141" i="12" s="1"/>
  <c r="S160" i="12" a="1"/>
  <c r="S160" i="12" s="1"/>
  <c r="L366" i="12" a="1"/>
  <c r="L366" i="12" s="1"/>
  <c r="P309" i="12" a="1"/>
  <c r="P309" i="12" s="1"/>
  <c r="O142" i="12" a="1"/>
  <c r="O142" i="12" s="1"/>
  <c r="T401" i="12" a="1"/>
  <c r="T401" i="12" s="1"/>
  <c r="S365" i="12" a="1"/>
  <c r="S365" i="12" s="1"/>
  <c r="Q120" i="12" a="1"/>
  <c r="Q120" i="12" s="1"/>
  <c r="J101" i="12" a="1"/>
  <c r="J101" i="12" s="1"/>
  <c r="J106" i="12" a="1"/>
  <c r="J106" i="12" s="1"/>
  <c r="P65" i="12" a="1"/>
  <c r="P65" i="12" s="1"/>
  <c r="I146" i="12" a="1"/>
  <c r="I146" i="12" s="1"/>
  <c r="L308" i="12" a="1"/>
  <c r="L308" i="12" s="1"/>
  <c r="N229" i="12" a="1"/>
  <c r="N229" i="12" s="1"/>
  <c r="J175" i="12" a="1"/>
  <c r="J175" i="12" s="1"/>
  <c r="G419" i="12" a="1"/>
  <c r="G419" i="12" s="1"/>
  <c r="R337" i="12" a="1"/>
  <c r="R337" i="12" s="1"/>
  <c r="G167" i="12" a="1"/>
  <c r="G167" i="12" s="1"/>
  <c r="J370" i="12" a="1"/>
  <c r="J370" i="12" s="1"/>
  <c r="S145" i="12" a="1"/>
  <c r="S145" i="12" s="1"/>
  <c r="P159" i="12" a="1"/>
  <c r="P159" i="12" s="1"/>
  <c r="I358" i="12" a="1"/>
  <c r="I358" i="12" s="1"/>
  <c r="P376" i="12" a="1"/>
  <c r="P376" i="12" s="1"/>
  <c r="P183" i="12" a="1"/>
  <c r="P183" i="12" s="1"/>
  <c r="M378" i="12" a="1"/>
  <c r="M378" i="12" s="1"/>
  <c r="K296" i="12" a="1"/>
  <c r="K296" i="12" s="1"/>
  <c r="T297" i="12" a="1"/>
  <c r="T297" i="12" s="1"/>
  <c r="M255" i="12" a="1"/>
  <c r="M255" i="12" s="1"/>
  <c r="S128" i="12" a="1"/>
  <c r="S128" i="12" s="1"/>
  <c r="M203" i="12" a="1"/>
  <c r="M203" i="12" s="1"/>
  <c r="N96" i="12" a="1"/>
  <c r="N96" i="12" s="1"/>
  <c r="I408" i="12" a="1"/>
  <c r="I408" i="12" s="1"/>
  <c r="N176" i="12" a="1"/>
  <c r="N176" i="12" s="1"/>
  <c r="N469" i="12" a="1"/>
  <c r="N469" i="12" s="1"/>
  <c r="F132" i="12" a="1"/>
  <c r="F132" i="12" s="1"/>
  <c r="U399" i="2" a="1"/>
  <c r="U399" i="2" s="1"/>
  <c r="O607" i="12" a="1"/>
  <c r="O607" i="12" s="1"/>
  <c r="T115" i="12" a="1"/>
  <c r="T115" i="12" s="1"/>
  <c r="S387" i="12" a="1"/>
  <c r="S387" i="12" s="1"/>
  <c r="K421" i="12" a="1"/>
  <c r="K421" i="12" s="1"/>
  <c r="N127" i="12" a="1"/>
  <c r="N127" i="12" s="1"/>
  <c r="S91" i="12" a="1"/>
  <c r="S91" i="12" s="1"/>
  <c r="S297" i="12" a="1"/>
  <c r="S297" i="12" s="1"/>
  <c r="F255" i="12" a="1"/>
  <c r="F255" i="12" s="1"/>
  <c r="U67" i="2" a="1"/>
  <c r="U67" i="2" s="1"/>
  <c r="L314" i="12" a="1"/>
  <c r="L314" i="12" s="1"/>
  <c r="P253" i="12" a="1"/>
  <c r="P253" i="12" s="1"/>
  <c r="J493" i="12" a="1"/>
  <c r="J493" i="12" s="1"/>
  <c r="O454" i="12" a="1"/>
  <c r="O454" i="12" s="1"/>
  <c r="G217" i="12" a="1"/>
  <c r="G217" i="12" s="1"/>
  <c r="I204" i="12" a="1"/>
  <c r="I204" i="12" s="1"/>
  <c r="J152" i="12" a="1"/>
  <c r="J152" i="12" s="1"/>
  <c r="S156" i="12" a="1"/>
  <c r="S156" i="12" s="1"/>
  <c r="K321" i="12" a="1"/>
  <c r="K321" i="12" s="1"/>
  <c r="F354" i="12" a="1"/>
  <c r="F354" i="12" s="1"/>
  <c r="U94" i="2" a="1"/>
  <c r="U94" i="2" s="1"/>
  <c r="R376" i="12" a="1"/>
  <c r="R376" i="12" s="1"/>
  <c r="K607" i="12" a="1"/>
  <c r="K607" i="12" s="1"/>
  <c r="S264" i="12" a="1"/>
  <c r="S264" i="12" s="1"/>
  <c r="X649" i="12" a="1"/>
  <c r="X649" i="12" s="1"/>
  <c r="Q65" i="12" a="1"/>
  <c r="Q65" i="12" s="1"/>
  <c r="S314" i="12" a="1"/>
  <c r="S314" i="12" s="1"/>
  <c r="O94" i="12" a="1"/>
  <c r="O94" i="12" s="1"/>
  <c r="N235" i="12" a="1"/>
  <c r="N235" i="12" s="1"/>
  <c r="I484" i="12" a="1"/>
  <c r="I484" i="12" s="1"/>
  <c r="J484" i="12" a="1"/>
  <c r="J484" i="12" s="1"/>
  <c r="T416" i="12" a="1"/>
  <c r="T416" i="12" s="1"/>
  <c r="Q416" i="12" a="1"/>
  <c r="Q416" i="12" s="1"/>
  <c r="M372" i="12" a="1"/>
  <c r="M372" i="12" s="1"/>
  <c r="M346" i="12" a="1"/>
  <c r="M346" i="12" s="1"/>
  <c r="S346" i="12" a="1"/>
  <c r="S346" i="12" s="1"/>
  <c r="I108" i="12" a="1"/>
  <c r="I108" i="12" s="1"/>
  <c r="O325" i="12" a="1"/>
  <c r="O325" i="12" s="1"/>
  <c r="G404" i="12" a="1"/>
  <c r="G404" i="12" s="1"/>
  <c r="K151" i="12" a="1"/>
  <c r="K151" i="12" s="1"/>
  <c r="N107" i="12" a="1"/>
  <c r="N107" i="12" s="1"/>
  <c r="Q297" i="12" a="1"/>
  <c r="Q297" i="12" s="1"/>
  <c r="S255" i="12" a="1"/>
  <c r="S255" i="12" s="1"/>
  <c r="T196" i="12" a="1"/>
  <c r="T196" i="12" s="1"/>
  <c r="R100" i="12" a="1"/>
  <c r="R100" i="12" s="1"/>
  <c r="G146" i="12" a="1"/>
  <c r="G146" i="12" s="1"/>
  <c r="G37" i="12" a="1"/>
  <c r="G37" i="12" s="1"/>
  <c r="R122" i="12" a="1"/>
  <c r="R122" i="12" s="1"/>
  <c r="L146" i="12" a="1"/>
  <c r="L146" i="12" s="1"/>
  <c r="L232" i="12" a="1"/>
  <c r="L232" i="12" s="1"/>
  <c r="T232" i="12" a="1"/>
  <c r="T232" i="12" s="1"/>
  <c r="M168" i="12" a="1"/>
  <c r="M168" i="12" s="1"/>
  <c r="O188" i="12" a="1"/>
  <c r="O188" i="12" s="1"/>
  <c r="AL143" i="2" a="1"/>
  <c r="AL143" i="2" s="1"/>
  <c r="L229" i="12" a="1"/>
  <c r="L229" i="12" s="1"/>
  <c r="O229" i="12" a="1"/>
  <c r="O229" i="12" s="1"/>
  <c r="O502" i="12" a="1"/>
  <c r="O502" i="12" s="1"/>
  <c r="S383" i="12" a="1"/>
  <c r="S383" i="12" s="1"/>
  <c r="K167" i="12" a="1"/>
  <c r="K167" i="12" s="1"/>
  <c r="I123" i="12" a="1"/>
  <c r="I123" i="12" s="1"/>
  <c r="G139" i="12" a="1"/>
  <c r="G139" i="12" s="1"/>
  <c r="O432" i="12" a="1"/>
  <c r="O432" i="12" s="1"/>
  <c r="O153" i="12" a="1"/>
  <c r="O153" i="12" s="1"/>
  <c r="T422" i="12" a="1"/>
  <c r="T422" i="12" s="1"/>
  <c r="O165" i="12" a="1"/>
  <c r="O165" i="12" s="1"/>
  <c r="T112" i="12" a="1"/>
  <c r="T112" i="12" s="1"/>
  <c r="S177" i="12" a="1"/>
  <c r="S177" i="12" s="1"/>
  <c r="I283" i="12" a="1"/>
  <c r="I283" i="12" s="1"/>
  <c r="O368" i="12" a="1"/>
  <c r="O368" i="12" s="1"/>
  <c r="U321" i="2" a="1"/>
  <c r="U321" i="2" s="1"/>
  <c r="L183" i="12" a="1"/>
  <c r="L183" i="12" s="1"/>
  <c r="Q101" i="12" a="1"/>
  <c r="Q101" i="12" s="1"/>
  <c r="Q48" i="12" a="1"/>
  <c r="Q48" i="12" s="1"/>
  <c r="AR245" i="2" a="1"/>
  <c r="AR245" i="2" s="1"/>
  <c r="AQ245" i="2" a="1"/>
  <c r="AQ245" i="2" s="1"/>
  <c r="AA639" i="12" a="1"/>
  <c r="AA639" i="12" s="1"/>
  <c r="F425" i="12" a="1"/>
  <c r="F425" i="12" s="1"/>
  <c r="L73" i="12" a="1"/>
  <c r="L73" i="12" s="1"/>
  <c r="M124" i="12" a="1"/>
  <c r="M124" i="12" s="1"/>
  <c r="Q266" i="12" a="1"/>
  <c r="Q266" i="12" s="1"/>
  <c r="F216" i="12" a="1"/>
  <c r="F216" i="12" s="1"/>
  <c r="U101" i="2" a="1"/>
  <c r="U101" i="2" s="1"/>
  <c r="I202" i="12" a="1"/>
  <c r="I202" i="12" s="1"/>
  <c r="P462" i="12" a="1"/>
  <c r="P462" i="12" s="1"/>
  <c r="S462" i="12" a="1"/>
  <c r="S462" i="12" s="1"/>
  <c r="M403" i="12" a="1"/>
  <c r="M403" i="12" s="1"/>
  <c r="R403" i="12" a="1"/>
  <c r="R403" i="12" s="1"/>
  <c r="J141" i="12" a="1"/>
  <c r="J141" i="12" s="1"/>
  <c r="L154" i="12" a="1"/>
  <c r="L154" i="12" s="1"/>
  <c r="G393" i="12" a="1"/>
  <c r="G393" i="12" s="1"/>
  <c r="F427" i="12" a="1"/>
  <c r="F427" i="12" s="1"/>
  <c r="U262" i="2" a="1"/>
  <c r="U262" i="2" s="1"/>
  <c r="I145" i="12" a="1"/>
  <c r="I145" i="12" s="1"/>
  <c r="I431" i="12" a="1"/>
  <c r="I431" i="12" s="1"/>
  <c r="N299" i="12" a="1"/>
  <c r="N299" i="12" s="1"/>
  <c r="J119" i="12" a="1"/>
  <c r="J119" i="12" s="1"/>
  <c r="G296" i="12" a="1"/>
  <c r="G296" i="12" s="1"/>
  <c r="T67" i="12" a="1"/>
  <c r="T67" i="12" s="1"/>
  <c r="Q602" i="12" a="1"/>
  <c r="Q602" i="12" s="1"/>
  <c r="K250" i="12" a="1"/>
  <c r="K250" i="12" s="1"/>
  <c r="I259" i="12" a="1"/>
  <c r="I259" i="12" s="1"/>
  <c r="G89" i="12" a="1"/>
  <c r="G89" i="12" s="1"/>
  <c r="R235" i="12" a="1"/>
  <c r="R235" i="12" s="1"/>
  <c r="N583" i="12" a="1"/>
  <c r="N583" i="12" s="1"/>
  <c r="I466" i="12" a="1"/>
  <c r="I466" i="12" s="1"/>
  <c r="O175" i="12" a="1"/>
  <c r="O175" i="12" s="1"/>
  <c r="J419" i="12" a="1"/>
  <c r="J419" i="12" s="1"/>
  <c r="K458" i="12" a="1"/>
  <c r="K458" i="12" s="1"/>
  <c r="M164" i="12" a="1"/>
  <c r="M164" i="12" s="1"/>
  <c r="F366" i="12" a="1"/>
  <c r="F366" i="12" s="1"/>
  <c r="U284" i="2" a="1"/>
  <c r="U284" i="2" s="1"/>
  <c r="S366" i="12" a="1"/>
  <c r="S366" i="12" s="1"/>
  <c r="L432" i="12" a="1"/>
  <c r="L432" i="12" s="1"/>
  <c r="U84" i="2" a="1"/>
  <c r="U84" i="2" s="1"/>
  <c r="L388" i="12" a="1"/>
  <c r="L388" i="12" s="1"/>
  <c r="N358" i="12" a="1"/>
  <c r="N358" i="12" s="1"/>
  <c r="P348" i="12" a="1"/>
  <c r="P348" i="12" s="1"/>
  <c r="F117" i="12" a="1"/>
  <c r="F117" i="12" s="1"/>
  <c r="Q421" i="12" a="1"/>
  <c r="Q421" i="12" s="1"/>
  <c r="G378" i="12" a="1"/>
  <c r="G378" i="12" s="1"/>
  <c r="F296" i="12" a="1"/>
  <c r="F296" i="12" s="1"/>
  <c r="R126" i="12" a="1"/>
  <c r="R126" i="12" s="1"/>
  <c r="AB657" i="12" a="1"/>
  <c r="AB657" i="12" s="1"/>
  <c r="I528" i="12" a="1"/>
  <c r="I528" i="12" s="1"/>
  <c r="Z624" i="12" a="1"/>
  <c r="Z624" i="12" s="1"/>
  <c r="K416" i="12" a="1"/>
  <c r="K416" i="12" s="1"/>
  <c r="N414" i="12" a="1"/>
  <c r="N414" i="12" s="1"/>
  <c r="K363" i="12" a="1"/>
  <c r="K363" i="12" s="1"/>
  <c r="Q401" i="12" a="1"/>
  <c r="Q401" i="12" s="1"/>
  <c r="F358" i="12" a="1"/>
  <c r="F358" i="12" s="1"/>
  <c r="U257" i="2" a="1"/>
  <c r="U257" i="2" s="1"/>
  <c r="K92" i="12" a="1"/>
  <c r="K92" i="12" s="1"/>
  <c r="K299" i="12" a="1"/>
  <c r="K299" i="12" s="1"/>
  <c r="O106" i="12" a="1"/>
  <c r="O106" i="12" s="1"/>
  <c r="G314" i="12" a="1"/>
  <c r="G314" i="12" s="1"/>
  <c r="K124" i="12" a="1"/>
  <c r="K124" i="12" s="1"/>
  <c r="S89" i="12" a="1"/>
  <c r="S89" i="12" s="1"/>
  <c r="K74" i="12" a="1"/>
  <c r="K74" i="12" s="1"/>
  <c r="K145" i="12" a="1"/>
  <c r="K145" i="12" s="1"/>
  <c r="P125" i="12" a="1"/>
  <c r="P125" i="12" s="1"/>
  <c r="R125" i="12" a="1"/>
  <c r="R125" i="12" s="1"/>
  <c r="J266" i="12" a="1"/>
  <c r="J266" i="12" s="1"/>
  <c r="T68" i="12" a="1"/>
  <c r="T68" i="12" s="1"/>
  <c r="L105" i="12" a="1"/>
  <c r="L105" i="12" s="1"/>
  <c r="K61" i="12" a="1"/>
  <c r="K61" i="12" s="1"/>
  <c r="S148" i="12" a="1"/>
  <c r="S148" i="12" s="1"/>
  <c r="K144" i="12" a="1"/>
  <c r="K144" i="12" s="1"/>
  <c r="L18" i="12" a="1"/>
  <c r="L18" i="12" s="1"/>
  <c r="K15" i="12" a="1"/>
  <c r="K15" i="12" s="1"/>
  <c r="F13" i="12" a="1"/>
  <c r="F13" i="12" s="1"/>
  <c r="K6" i="3" a="1"/>
  <c r="K6" i="3" s="1"/>
  <c r="U21" i="2" a="1"/>
  <c r="U21" i="2" s="1"/>
  <c r="P9" i="12" a="1"/>
  <c r="P9" i="12" s="1"/>
  <c r="S3" i="12" a="1"/>
  <c r="S3" i="12" s="1"/>
  <c r="X10" i="3" a="1"/>
  <c r="X10" i="3" s="1"/>
  <c r="S146" i="12" a="1"/>
  <c r="S146" i="12" s="1"/>
  <c r="I82" i="12" a="1"/>
  <c r="I82" i="12" s="1"/>
  <c r="F148" i="12" a="1"/>
  <c r="F148" i="12" s="1"/>
  <c r="U35" i="2" a="1"/>
  <c r="U35" i="2" s="1"/>
  <c r="P76" i="12" a="1"/>
  <c r="P76" i="12" s="1"/>
  <c r="Q36" i="12" a="1"/>
  <c r="Q36" i="12" s="1"/>
  <c r="O103" i="12" a="1"/>
  <c r="O103" i="12" s="1"/>
  <c r="T113" i="12" a="1"/>
  <c r="T113" i="12" s="1"/>
  <c r="S8" i="12" a="1"/>
  <c r="S8" i="12" s="1"/>
  <c r="AA609" i="12" a="1"/>
  <c r="AA609" i="12" s="1"/>
  <c r="T12" i="12" a="1"/>
  <c r="T12" i="12" s="1"/>
  <c r="P3" i="12" a="1"/>
  <c r="P3" i="12" s="1"/>
  <c r="J113" i="12" a="1"/>
  <c r="J113" i="12" s="1"/>
  <c r="I113" i="12" a="1"/>
  <c r="I113" i="12" s="1"/>
  <c r="G345" i="12" a="1"/>
  <c r="G345" i="12" s="1"/>
  <c r="I101" i="12" a="1"/>
  <c r="I101" i="12" s="1"/>
  <c r="M143" i="12" a="1"/>
  <c r="M143" i="12" s="1"/>
  <c r="X647" i="12" a="1"/>
  <c r="X647" i="12" s="1"/>
  <c r="G64" i="12" a="1"/>
  <c r="G64" i="12" s="1"/>
  <c r="T256" i="12" a="1"/>
  <c r="T256" i="12" s="1"/>
  <c r="P60" i="12" a="1"/>
  <c r="P60" i="12" s="1"/>
  <c r="S56" i="12" a="1"/>
  <c r="S56" i="12" s="1"/>
  <c r="T116" i="12" a="1"/>
  <c r="T116" i="12" s="1"/>
  <c r="K3" i="12" a="1"/>
  <c r="K3" i="12" s="1"/>
  <c r="P10" i="3" a="1"/>
  <c r="P10" i="3" s="1"/>
  <c r="Q148" i="12" a="1"/>
  <c r="Q148" i="12" s="1"/>
  <c r="F29" i="12" a="1"/>
  <c r="F29" i="12" s="1"/>
  <c r="U107" i="2" a="1"/>
  <c r="U107" i="2" s="1"/>
  <c r="Q86" i="12" a="1"/>
  <c r="Q86" i="12" s="1"/>
  <c r="I17" i="12" a="1"/>
  <c r="I17" i="12" s="1"/>
  <c r="Q19" i="12" a="1"/>
  <c r="Q19" i="12" s="1"/>
  <c r="P116" i="12" a="1"/>
  <c r="P116" i="12" s="1"/>
  <c r="J496" i="12" a="1"/>
  <c r="J496" i="12" s="1"/>
  <c r="S496" i="12" a="1"/>
  <c r="S496" i="12" s="1"/>
  <c r="N157" i="12" a="1"/>
  <c r="N157" i="12" s="1"/>
  <c r="J423" i="12" a="1"/>
  <c r="J423" i="12" s="1"/>
  <c r="T317" i="12" a="1"/>
  <c r="T317" i="12" s="1"/>
  <c r="F259" i="12" a="1"/>
  <c r="F259" i="12" s="1"/>
  <c r="U96" i="2" a="1"/>
  <c r="U96" i="2" s="1"/>
  <c r="O256" i="12" a="1"/>
  <c r="O256" i="12" s="1"/>
  <c r="R212" i="12" a="1"/>
  <c r="R212" i="12" s="1"/>
  <c r="F292" i="12" a="1"/>
  <c r="F292" i="12" s="1"/>
  <c r="P207" i="12" a="1"/>
  <c r="P207" i="12" s="1"/>
  <c r="K264" i="12" a="1"/>
  <c r="K264" i="12" s="1"/>
  <c r="G333" i="12" a="1"/>
  <c r="G333" i="12" s="1"/>
  <c r="Q28" i="12" a="1"/>
  <c r="Q28" i="12" s="1"/>
  <c r="R68" i="12" a="1"/>
  <c r="R68" i="12" s="1"/>
  <c r="T69" i="12" a="1"/>
  <c r="T69" i="12" s="1"/>
  <c r="Q54" i="12" a="1"/>
  <c r="Q54" i="12" s="1"/>
  <c r="S305" i="12" a="1"/>
  <c r="S305" i="12" s="1"/>
  <c r="O178" i="12" a="1"/>
  <c r="O178" i="12" s="1"/>
  <c r="L35" i="12" a="1"/>
  <c r="L35" i="12" s="1"/>
  <c r="L122" i="12" a="1"/>
  <c r="L122" i="12" s="1"/>
  <c r="O191" i="12" a="1"/>
  <c r="O191" i="12" s="1"/>
  <c r="L17" i="12" a="1"/>
  <c r="L17" i="12" s="1"/>
  <c r="G9" i="12" a="1"/>
  <c r="G9" i="12" s="1"/>
  <c r="I3" i="12" a="1"/>
  <c r="I3" i="12" s="1"/>
  <c r="Z611" i="12" a="1"/>
  <c r="Z611" i="12" s="1"/>
  <c r="T140" i="12" a="1"/>
  <c r="T140" i="12" s="1"/>
  <c r="L70" i="12" a="1"/>
  <c r="L70" i="12" s="1"/>
  <c r="R104" i="12" a="1"/>
  <c r="R104" i="12" s="1"/>
  <c r="O46" i="12" a="1"/>
  <c r="O46" i="12" s="1"/>
  <c r="G85" i="12" a="1"/>
  <c r="G85" i="12" s="1"/>
  <c r="G201" i="12" a="1"/>
  <c r="G201" i="12" s="1"/>
  <c r="Z621" i="12" a="1"/>
  <c r="Z621" i="12" s="1"/>
  <c r="P14" i="12" a="1"/>
  <c r="P14" i="12" s="1"/>
  <c r="S12" i="12" a="1"/>
  <c r="S12" i="12" s="1"/>
  <c r="J20" i="12" a="1"/>
  <c r="J20" i="12" s="1"/>
  <c r="P26" i="12" a="1"/>
  <c r="P26" i="12" s="1"/>
  <c r="AB639" i="12" a="1"/>
  <c r="AB639" i="12" s="1"/>
  <c r="N88" i="12" a="1"/>
  <c r="N88" i="12" s="1"/>
  <c r="T96" i="12" a="1"/>
  <c r="T96" i="12" s="1"/>
  <c r="S292" i="12" a="1"/>
  <c r="S292" i="12" s="1"/>
  <c r="S201" i="12" a="1"/>
  <c r="S201" i="12" s="1"/>
  <c r="N74" i="12" a="1"/>
  <c r="N74" i="12" s="1"/>
  <c r="M66" i="12" a="1"/>
  <c r="M66" i="12" s="1"/>
  <c r="G174" i="12" a="1"/>
  <c r="G174" i="12" s="1"/>
  <c r="S16" i="12" a="1"/>
  <c r="S16" i="12" s="1"/>
  <c r="AQ92" i="2" a="1"/>
  <c r="AQ92" i="2" s="1"/>
  <c r="AR92" i="2" a="1"/>
  <c r="AR92" i="2" s="1"/>
  <c r="O5" i="12" a="1"/>
  <c r="O5" i="12" s="1"/>
  <c r="R84" i="12" a="1"/>
  <c r="R84" i="12" s="1"/>
  <c r="J253" i="12" a="1"/>
  <c r="J253" i="12" s="1"/>
  <c r="O28" i="12" a="1"/>
  <c r="O28" i="12" s="1"/>
  <c r="P64" i="12" a="1"/>
  <c r="P64" i="12" s="1"/>
  <c r="M146" i="12" a="1"/>
  <c r="M146" i="12" s="1"/>
  <c r="M69" i="12" a="1"/>
  <c r="M69" i="12" s="1"/>
  <c r="R201" i="12" a="1"/>
  <c r="R201" i="12" s="1"/>
  <c r="L166" i="12" a="1"/>
  <c r="L166" i="12" s="1"/>
  <c r="M30" i="12" a="1"/>
  <c r="M30" i="12" s="1"/>
  <c r="R332" i="12" a="1"/>
  <c r="R332" i="12" s="1"/>
  <c r="K379" i="12" a="1"/>
  <c r="K379" i="12" s="1"/>
  <c r="P365" i="12" a="1"/>
  <c r="P365" i="12" s="1"/>
  <c r="J183" i="12" a="1"/>
  <c r="J183" i="12" s="1"/>
  <c r="O133" i="12" a="1"/>
  <c r="O133" i="12" s="1"/>
  <c r="M330" i="12" a="1"/>
  <c r="M330" i="12" s="1"/>
  <c r="S81" i="12" a="1"/>
  <c r="S81" i="12" s="1"/>
  <c r="M89" i="12" a="1"/>
  <c r="M89" i="12" s="1"/>
  <c r="M382" i="12" a="1"/>
  <c r="M382" i="12" s="1"/>
  <c r="R90" i="12" a="1"/>
  <c r="R90" i="12" s="1"/>
  <c r="P58" i="12" a="1"/>
  <c r="P58" i="12" s="1"/>
  <c r="K201" i="12" a="1"/>
  <c r="K201" i="12" s="1"/>
  <c r="AR177" i="2" a="1"/>
  <c r="AR177" i="2" s="1"/>
  <c r="AQ177" i="2" a="1"/>
  <c r="AQ177" i="2" s="1"/>
  <c r="T178" i="12" a="1"/>
  <c r="T178" i="12" s="1"/>
  <c r="G24" i="12" a="1"/>
  <c r="G24" i="12" s="1"/>
  <c r="J157" i="12" a="1"/>
  <c r="J157" i="12" s="1"/>
  <c r="K312" i="12" a="1"/>
  <c r="K312" i="12" s="1"/>
  <c r="F105" i="12" a="1"/>
  <c r="F105" i="12" s="1"/>
  <c r="U108" i="2" a="1"/>
  <c r="U108" i="2" s="1"/>
  <c r="T85" i="12" a="1"/>
  <c r="T85" i="12" s="1"/>
  <c r="N78" i="12" a="1"/>
  <c r="N78" i="12" s="1"/>
  <c r="N174" i="12" a="1"/>
  <c r="N174" i="12" s="1"/>
  <c r="N75" i="12" a="1"/>
  <c r="N75" i="12" s="1"/>
  <c r="G43" i="12" a="1"/>
  <c r="G43" i="12" s="1"/>
  <c r="P52" i="12" a="1"/>
  <c r="P52" i="12" s="1"/>
  <c r="K191" i="12" a="1"/>
  <c r="K191" i="12" s="1"/>
  <c r="G5" i="12" a="1"/>
  <c r="G5" i="12" s="1"/>
  <c r="K113" i="12" a="1"/>
  <c r="K113" i="12" s="1"/>
  <c r="N144" i="12" a="1"/>
  <c r="N144" i="12" s="1"/>
  <c r="T309" i="12" a="1"/>
  <c r="T309" i="12" s="1"/>
  <c r="I279" i="12" a="1"/>
  <c r="I279" i="12" s="1"/>
  <c r="P279" i="12" a="1"/>
  <c r="P279" i="12" s="1"/>
  <c r="O196" i="12" a="1"/>
  <c r="O196" i="12" s="1"/>
  <c r="T93" i="12" a="1"/>
  <c r="T93" i="12" s="1"/>
  <c r="I66" i="12" a="1"/>
  <c r="I66" i="12" s="1"/>
  <c r="Q27" i="12" a="1"/>
  <c r="Q27" i="12" s="1"/>
  <c r="I23" i="12" a="1"/>
  <c r="I23" i="12" s="1"/>
  <c r="F7" i="12" a="1"/>
  <c r="F7" i="12" s="1"/>
  <c r="U28" i="2" a="1"/>
  <c r="U28" i="2" s="1"/>
  <c r="L3" i="12" a="1"/>
  <c r="L3" i="12" s="1"/>
  <c r="Q10" i="3" a="1"/>
  <c r="Q10" i="3" s="1"/>
  <c r="O35" i="12" a="1"/>
  <c r="O35" i="12" s="1"/>
  <c r="R52" i="12" a="1"/>
  <c r="R52" i="12" s="1"/>
  <c r="F21" i="12" a="1"/>
  <c r="F21" i="12" s="1"/>
  <c r="U97" i="2" a="1"/>
  <c r="U97" i="2" s="1"/>
  <c r="N47" i="12" a="1"/>
  <c r="N47" i="12" s="1"/>
  <c r="N166" i="12" a="1"/>
  <c r="N166" i="12" s="1"/>
  <c r="F16" i="12" a="1"/>
  <c r="F16" i="12" s="1"/>
  <c r="U6" i="2" a="1"/>
  <c r="U6" i="2" s="1"/>
  <c r="R2" i="12" a="1"/>
  <c r="R2" i="12" s="1"/>
  <c r="W2" i="3" a="1"/>
  <c r="W2" i="3" s="1"/>
  <c r="P77" i="12" a="1"/>
  <c r="P77" i="12" s="1"/>
  <c r="L24" i="12" a="1"/>
  <c r="L24" i="12" s="1"/>
  <c r="P10" i="12" a="1"/>
  <c r="P10" i="12" s="1"/>
  <c r="L58" i="12" a="1"/>
  <c r="L58" i="12" s="1"/>
  <c r="S75" i="12" a="1"/>
  <c r="S75" i="12" s="1"/>
  <c r="S41" i="12" a="1"/>
  <c r="S41" i="12" s="1"/>
  <c r="AA625" i="12" a="1"/>
  <c r="AA625" i="12" s="1"/>
  <c r="T15" i="12" a="1"/>
  <c r="T15" i="12" s="1"/>
  <c r="O45" i="12" a="1"/>
  <c r="O45" i="12" s="1"/>
  <c r="G8" i="12" a="1"/>
  <c r="G8" i="12" s="1"/>
  <c r="R31" i="12" a="1"/>
  <c r="R31" i="12" s="1"/>
  <c r="P61" i="12" a="1"/>
  <c r="P61" i="12" s="1"/>
  <c r="O129" i="12" a="1"/>
  <c r="O129" i="12" s="1"/>
  <c r="K184" i="12" a="1"/>
  <c r="K184" i="12" s="1"/>
  <c r="P59" i="12" a="1"/>
  <c r="P59" i="12" s="1"/>
  <c r="K118" i="12" a="1"/>
  <c r="K118" i="12" s="1"/>
  <c r="I118" i="12" a="1"/>
  <c r="I118" i="12" s="1"/>
  <c r="O22" i="12" a="1"/>
  <c r="O22" i="12" s="1"/>
  <c r="O42" i="12" a="1"/>
  <c r="O42" i="12" s="1"/>
  <c r="R42" i="12" a="1"/>
  <c r="R42" i="12" s="1"/>
  <c r="S23" i="12" a="1"/>
  <c r="S23" i="12" s="1"/>
  <c r="M80" i="12" a="1"/>
  <c r="M80" i="12" s="1"/>
  <c r="P19" i="12" a="1"/>
  <c r="P19" i="12" s="1"/>
  <c r="K5" i="12" a="1"/>
  <c r="K5" i="12" s="1"/>
  <c r="O62" i="12" a="1"/>
  <c r="O62" i="12" s="1"/>
  <c r="T62" i="12" a="1"/>
  <c r="T62" i="12" s="1"/>
  <c r="S37" i="12" a="1"/>
  <c r="S37" i="12" s="1"/>
  <c r="AB671" i="12" a="1"/>
  <c r="AB671" i="12" s="1"/>
  <c r="G34" i="12" a="1"/>
  <c r="G34" i="12" s="1"/>
  <c r="U95" i="2" a="1"/>
  <c r="U95" i="2" s="1"/>
  <c r="L66" i="12" a="1"/>
  <c r="L66" i="12" s="1"/>
  <c r="N57" i="12" a="1"/>
  <c r="N57" i="12" s="1"/>
  <c r="J18" i="12" a="1"/>
  <c r="J18" i="12" s="1"/>
  <c r="J90" i="12" a="1"/>
  <c r="J90" i="12" s="1"/>
  <c r="J53" i="12" a="1"/>
  <c r="J53" i="12" s="1"/>
  <c r="K53" i="12" a="1"/>
  <c r="K53" i="12" s="1"/>
  <c r="R49" i="12" a="1"/>
  <c r="R49" i="12" s="1"/>
  <c r="S49" i="12" a="1"/>
  <c r="S49" i="12" s="1"/>
  <c r="L63" i="12" a="1"/>
  <c r="L63" i="12" s="1"/>
  <c r="N63" i="12" a="1"/>
  <c r="N63" i="12" s="1"/>
  <c r="F11" i="12" a="1"/>
  <c r="F11" i="12" s="1"/>
  <c r="U33" i="2" a="1"/>
  <c r="U33" i="2" s="1"/>
  <c r="K79" i="12" a="1"/>
  <c r="K79" i="12" s="1"/>
  <c r="I178" i="12" a="1"/>
  <c r="I178" i="12" s="1"/>
  <c r="O200" i="12" a="1"/>
  <c r="O200" i="12" s="1"/>
  <c r="S200" i="12" a="1"/>
  <c r="S200" i="12" s="1"/>
  <c r="O33" i="12" a="1"/>
  <c r="O33" i="12" s="1"/>
  <c r="R189" i="12" a="1"/>
  <c r="R189" i="12" s="1"/>
  <c r="P189" i="12" a="1"/>
  <c r="P189" i="12" s="1"/>
  <c r="S38" i="12" a="1"/>
  <c r="S38" i="12" s="1"/>
  <c r="I74" i="12" a="1"/>
  <c r="I74" i="12" s="1"/>
  <c r="M76" i="12" a="1"/>
  <c r="M76" i="12" s="1"/>
  <c r="U24" i="2" a="1"/>
  <c r="U24" i="2" s="1"/>
  <c r="S24" i="12" a="1"/>
  <c r="S24" i="12" s="1"/>
  <c r="AD614" i="12" l="1" a="1"/>
  <c r="AD614" i="12" s="1"/>
  <c r="AD668" i="12" a="1"/>
  <c r="AD668" i="12" s="1"/>
  <c r="H497" i="12" a="1"/>
  <c r="H497" i="12" s="1"/>
  <c r="C497" i="12" s="1" a="1"/>
  <c r="C497" i="12" s="1"/>
  <c r="I190" i="2" s="1"/>
  <c r="AD652" i="12" a="1"/>
  <c r="AD652" i="12" s="1"/>
  <c r="AD640" i="12" a="1"/>
  <c r="AD640" i="12" s="1"/>
  <c r="Y663" i="12" a="1"/>
  <c r="Y663" i="12" s="1"/>
  <c r="H562" i="12" a="1"/>
  <c r="H562" i="12" s="1"/>
  <c r="C562" i="12" s="1" a="1"/>
  <c r="C562" i="12" s="1"/>
  <c r="I275" i="2" s="1"/>
  <c r="AC641" i="12" a="1"/>
  <c r="AC641" i="12" s="1"/>
  <c r="H259" i="12" a="1"/>
  <c r="H259" i="12" s="1"/>
  <c r="C259" i="12" s="1" a="1"/>
  <c r="C259" i="12" s="1"/>
  <c r="I51" i="8" s="1" a="1"/>
  <c r="I51" i="8" s="1"/>
  <c r="AD632" i="12" a="1"/>
  <c r="AD632" i="12" s="1"/>
  <c r="Y615" i="12" a="1"/>
  <c r="Y615" i="12" s="1"/>
  <c r="H292" i="12" a="1"/>
  <c r="H292" i="12" s="1"/>
  <c r="C292" i="12" s="1" a="1"/>
  <c r="C292" i="12" s="1"/>
  <c r="I110" i="2" s="1"/>
  <c r="AD639" i="12" a="1"/>
  <c r="AD639" i="12" s="1"/>
  <c r="AC643" i="12" a="1"/>
  <c r="AC643" i="12" s="1"/>
  <c r="H303" i="12" a="1"/>
  <c r="H303" i="12" s="1"/>
  <c r="C303" i="12" s="1" a="1"/>
  <c r="C303" i="12" s="1"/>
  <c r="I566" i="2" s="1"/>
  <c r="AC634" i="12" a="1"/>
  <c r="AC634" i="12" s="1"/>
  <c r="Y621" i="12" a="1"/>
  <c r="Y621" i="12" s="1"/>
  <c r="O22" i="3" a="1"/>
  <c r="O22" i="3" s="1"/>
  <c r="W22" i="3" a="1"/>
  <c r="W22" i="3" s="1"/>
  <c r="Y22" i="3" a="1"/>
  <c r="Y22" i="3" s="1"/>
  <c r="Q22" i="3" a="1"/>
  <c r="Q22" i="3" s="1"/>
  <c r="H73" i="12" a="1"/>
  <c r="H73" i="12" s="1"/>
  <c r="C73" i="12" s="1" a="1"/>
  <c r="C73" i="12" s="1"/>
  <c r="I211" i="2" s="1"/>
  <c r="Y639" i="12" a="1"/>
  <c r="Y639" i="12" s="1"/>
  <c r="AC640" i="12" a="1"/>
  <c r="AC640" i="12" s="1"/>
  <c r="H404" i="12" a="1"/>
  <c r="H404" i="12" s="1"/>
  <c r="C404" i="12" s="1" a="1"/>
  <c r="C404" i="12" s="1"/>
  <c r="I82" i="8" s="1" a="1"/>
  <c r="I82" i="8" s="1"/>
  <c r="H332" i="12" a="1"/>
  <c r="H332" i="12" s="1"/>
  <c r="C332" i="12" s="1" a="1"/>
  <c r="C332" i="12" s="1"/>
  <c r="I337" i="2" s="1"/>
  <c r="H29" i="12" a="1"/>
  <c r="H29" i="12" s="1"/>
  <c r="C29" i="12" s="1" a="1"/>
  <c r="C29" i="12" s="1"/>
  <c r="I107" i="2" s="1"/>
  <c r="H372" i="12" a="1"/>
  <c r="H372" i="12" s="1"/>
  <c r="C372" i="12" s="1" a="1"/>
  <c r="C372" i="12" s="1"/>
  <c r="I100" i="8" s="1" a="1"/>
  <c r="I100" i="8" s="1"/>
  <c r="H138" i="12" a="1"/>
  <c r="H138" i="12" s="1"/>
  <c r="C138" i="12" s="1" a="1"/>
  <c r="C138" i="12" s="1"/>
  <c r="I410" i="2" s="1"/>
  <c r="H419" i="12" a="1"/>
  <c r="H419" i="12" s="1"/>
  <c r="C419" i="12" s="1" a="1"/>
  <c r="C419" i="12" s="1"/>
  <c r="I112" i="8" s="1" a="1"/>
  <c r="I112" i="8" s="1"/>
  <c r="H273" i="12" a="1"/>
  <c r="H273" i="12" s="1"/>
  <c r="C273" i="12" s="1" a="1"/>
  <c r="C273" i="12" s="1"/>
  <c r="I578" i="2" s="1"/>
  <c r="H103" i="12" a="1"/>
  <c r="H103" i="12" s="1"/>
  <c r="C103" i="12" s="1" a="1"/>
  <c r="C103" i="12" s="1"/>
  <c r="I14" i="8" s="1" a="1"/>
  <c r="I14" i="8" s="1"/>
  <c r="H134" i="12" a="1"/>
  <c r="H134" i="12" s="1"/>
  <c r="C134" i="12" s="1" a="1"/>
  <c r="C134" i="12" s="1"/>
  <c r="I15" i="8" s="1" a="1"/>
  <c r="I15" i="8" s="1"/>
  <c r="Y633" i="12" a="1"/>
  <c r="Y633" i="12" s="1"/>
  <c r="H18" i="12" a="1"/>
  <c r="H18" i="12" s="1"/>
  <c r="C18" i="12" s="1" a="1"/>
  <c r="C18" i="12" s="1"/>
  <c r="I141" i="2" s="1"/>
  <c r="H13" i="12" a="1"/>
  <c r="H13" i="12" s="1"/>
  <c r="C13" i="12" s="1" a="1"/>
  <c r="C13" i="12" s="1"/>
  <c r="I21" i="2" s="1"/>
  <c r="M6" i="3" a="1"/>
  <c r="M6" i="3" s="1"/>
  <c r="H427" i="12" a="1"/>
  <c r="H427" i="12" s="1"/>
  <c r="C427" i="12" s="1" a="1"/>
  <c r="C427" i="12" s="1"/>
  <c r="I101" i="8" s="1" a="1"/>
  <c r="I101" i="8" s="1"/>
  <c r="AD655" i="12" a="1"/>
  <c r="AD655" i="12" s="1"/>
  <c r="H387" i="12" a="1"/>
  <c r="H387" i="12" s="1"/>
  <c r="C387" i="12" s="1" a="1"/>
  <c r="C387" i="12" s="1"/>
  <c r="I72" i="8" s="1" a="1"/>
  <c r="I72" i="8" s="1"/>
  <c r="H172" i="12" a="1"/>
  <c r="H172" i="12" s="1"/>
  <c r="C172" i="12" s="1" a="1"/>
  <c r="C172" i="12" s="1"/>
  <c r="I369" i="2" s="1"/>
  <c r="AC627" i="12" a="1"/>
  <c r="AC627" i="12" s="1"/>
  <c r="H28" i="12" a="1"/>
  <c r="H28" i="12" s="1"/>
  <c r="C28" i="12" s="1" a="1"/>
  <c r="C28" i="12" s="1"/>
  <c r="I192" i="2" s="1"/>
  <c r="H603" i="12" a="1"/>
  <c r="H603" i="12" s="1"/>
  <c r="C603" i="12" s="1" a="1"/>
  <c r="C603" i="12" s="1"/>
  <c r="I263" i="2" s="1"/>
  <c r="H540" i="12" a="1"/>
  <c r="H540" i="12" s="1"/>
  <c r="C540" i="12" s="1" a="1"/>
  <c r="C540" i="12" s="1"/>
  <c r="I148" i="8" s="1" a="1"/>
  <c r="I148" i="8" s="1"/>
  <c r="H397" i="12" a="1"/>
  <c r="H397" i="12" s="1"/>
  <c r="C397" i="12" s="1" a="1"/>
  <c r="C397" i="12" s="1"/>
  <c r="I120" i="8" s="1" a="1"/>
  <c r="I120" i="8" s="1"/>
  <c r="H564" i="12" a="1"/>
  <c r="H564" i="12" s="1"/>
  <c r="C564" i="12" s="1" a="1"/>
  <c r="C564" i="12" s="1"/>
  <c r="I168" i="8" s="1" a="1"/>
  <c r="I168" i="8" s="1"/>
  <c r="H575" i="12" a="1"/>
  <c r="H575" i="12" s="1"/>
  <c r="C575" i="12" s="1" a="1"/>
  <c r="C575" i="12" s="1"/>
  <c r="I197" i="8" s="1" a="1"/>
  <c r="I197" i="8" s="1"/>
  <c r="AD615" i="12" a="1"/>
  <c r="AD615" i="12" s="1"/>
  <c r="Y649" i="12" a="1"/>
  <c r="Y649" i="12" s="1"/>
  <c r="Y667" i="12" a="1"/>
  <c r="Y667" i="12" s="1"/>
  <c r="H504" i="12" a="1"/>
  <c r="H504" i="12" s="1"/>
  <c r="C504" i="12" s="1" a="1"/>
  <c r="C504" i="12" s="1"/>
  <c r="I142" i="8" s="1" a="1"/>
  <c r="I142" i="8" s="1"/>
  <c r="AD671" i="12" a="1"/>
  <c r="AD671" i="12" s="1"/>
  <c r="H14" i="12" a="1"/>
  <c r="H14" i="12" s="1"/>
  <c r="C14" i="12" s="1" a="1"/>
  <c r="C14" i="12" s="1"/>
  <c r="I119" i="2" s="1"/>
  <c r="H125" i="12" a="1"/>
  <c r="H125" i="12" s="1"/>
  <c r="C125" i="12" s="1" a="1"/>
  <c r="C125" i="12" s="1"/>
  <c r="I310" i="2" s="1"/>
  <c r="H115" i="12" a="1"/>
  <c r="H115" i="12" s="1"/>
  <c r="C115" i="12" s="1" a="1"/>
  <c r="C115" i="12" s="1"/>
  <c r="I331" i="2" s="1"/>
  <c r="H221" i="12" a="1"/>
  <c r="H221" i="12" s="1"/>
  <c r="C221" i="12" s="1" a="1"/>
  <c r="C221" i="12" s="1"/>
  <c r="Y619" i="12" a="1"/>
  <c r="Y619" i="12" s="1"/>
  <c r="AD621" i="12" a="1"/>
  <c r="AD621" i="12" s="1"/>
  <c r="H123" i="12" a="1"/>
  <c r="H123" i="12" s="1"/>
  <c r="C123" i="12" s="1" a="1"/>
  <c r="C123" i="12" s="1"/>
  <c r="I380" i="2" s="1"/>
  <c r="H48" i="12" a="1"/>
  <c r="H48" i="12" s="1"/>
  <c r="C48" i="12" s="1" a="1"/>
  <c r="C48" i="12" s="1"/>
  <c r="Y613" i="12" a="1"/>
  <c r="Y613" i="12" s="1"/>
  <c r="H558" i="12" a="1"/>
  <c r="H558" i="12" s="1"/>
  <c r="C558" i="12" s="1" a="1"/>
  <c r="C558" i="12" s="1"/>
  <c r="I344" i="2" s="1"/>
  <c r="H582" i="12" a="1"/>
  <c r="H582" i="12" s="1"/>
  <c r="C582" i="12" s="1" a="1"/>
  <c r="C582" i="12" s="1"/>
  <c r="I175" i="8" s="1" a="1"/>
  <c r="I175" i="8" s="1"/>
  <c r="H557" i="12" a="1"/>
  <c r="H557" i="12" s="1"/>
  <c r="C557" i="12" s="1" a="1"/>
  <c r="C557" i="12" s="1"/>
  <c r="I371" i="2" s="1"/>
  <c r="AC665" i="12" a="1"/>
  <c r="AC665" i="12" s="1"/>
  <c r="H55" i="12" a="1"/>
  <c r="H55" i="12" s="1"/>
  <c r="C55" i="12" s="1" a="1"/>
  <c r="C55" i="12" s="1"/>
  <c r="I129" i="2" s="1"/>
  <c r="AD651" i="12" a="1"/>
  <c r="AD651" i="12" s="1"/>
  <c r="AD653" i="12" a="1"/>
  <c r="AD653" i="12" s="1"/>
  <c r="H176" i="12" a="1"/>
  <c r="H176" i="12" s="1"/>
  <c r="C176" i="12" s="1" a="1"/>
  <c r="C176" i="12" s="1"/>
  <c r="I571" i="2" s="1"/>
  <c r="AC636" i="12" a="1"/>
  <c r="AC636" i="12" s="1"/>
  <c r="AC631" i="12" a="1"/>
  <c r="AC631" i="12" s="1"/>
  <c r="Y671" i="12" a="1"/>
  <c r="Y671" i="12" s="1"/>
  <c r="H112" i="12" a="1"/>
  <c r="H112" i="12" s="1"/>
  <c r="C112" i="12" s="1" a="1"/>
  <c r="C112" i="12" s="1"/>
  <c r="I461" i="2" s="1"/>
  <c r="H227" i="12" a="1"/>
  <c r="H227" i="12" s="1"/>
  <c r="C227" i="12" s="1" a="1"/>
  <c r="C227" i="12" s="1"/>
  <c r="I560" i="2" s="1"/>
  <c r="H57" i="12" a="1"/>
  <c r="H57" i="12" s="1"/>
  <c r="C57" i="12" s="1" a="1"/>
  <c r="C57" i="12" s="1"/>
  <c r="I106" i="2" s="1"/>
  <c r="H166" i="12" a="1"/>
  <c r="H166" i="12" s="1"/>
  <c r="C166" i="12" s="1" a="1"/>
  <c r="C166" i="12" s="1"/>
  <c r="I120" i="2" s="1"/>
  <c r="H101" i="12" a="1"/>
  <c r="H101" i="12" s="1"/>
  <c r="C101" i="12" s="1" a="1"/>
  <c r="C101" i="12" s="1"/>
  <c r="I363" i="2" s="1"/>
  <c r="E48" i="6" s="1" a="1"/>
  <c r="E48" i="6" s="1"/>
  <c r="H335" i="12" a="1"/>
  <c r="H335" i="12" s="1"/>
  <c r="C335" i="12" s="1" a="1"/>
  <c r="C335" i="12" s="1"/>
  <c r="I166" i="2" s="1"/>
  <c r="AC624" i="12" a="1"/>
  <c r="AC624" i="12" s="1"/>
  <c r="H508" i="12" a="1"/>
  <c r="H508" i="12" s="1"/>
  <c r="C508" i="12" s="1" a="1"/>
  <c r="C508" i="12" s="1"/>
  <c r="I145" i="8" s="1" a="1"/>
  <c r="I145" i="8" s="1"/>
  <c r="AC625" i="12" a="1"/>
  <c r="AC625" i="12" s="1"/>
  <c r="K22" i="3" a="1"/>
  <c r="K22" i="3" s="1"/>
  <c r="H151" i="12" a="1"/>
  <c r="H151" i="12" s="1"/>
  <c r="C151" i="12" s="1" a="1"/>
  <c r="C151" i="12" s="1"/>
  <c r="I216" i="2" s="1"/>
  <c r="Y637" i="12" a="1"/>
  <c r="Y637" i="12" s="1"/>
  <c r="H197" i="12" a="1"/>
  <c r="H197" i="12" s="1"/>
  <c r="C197" i="12" s="1" a="1"/>
  <c r="C197" i="12" s="1"/>
  <c r="I430" i="2" s="1"/>
  <c r="H492" i="12" a="1"/>
  <c r="H492" i="12" s="1"/>
  <c r="C492" i="12" s="1" a="1"/>
  <c r="C492" i="12" s="1"/>
  <c r="I330" i="2" s="1"/>
  <c r="Y634" i="12" a="1"/>
  <c r="Y634" i="12" s="1"/>
  <c r="H585" i="12" a="1"/>
  <c r="H585" i="12" s="1"/>
  <c r="C585" i="12" s="1" a="1"/>
  <c r="C585" i="12" s="1"/>
  <c r="I412" i="2" s="1"/>
  <c r="H510" i="12" a="1"/>
  <c r="H510" i="12" s="1"/>
  <c r="C510" i="12" s="1" a="1"/>
  <c r="C510" i="12" s="1"/>
  <c r="I173" i="8" s="1" a="1"/>
  <c r="I173" i="8" s="1"/>
  <c r="AC610" i="12" a="1"/>
  <c r="AC610" i="12" s="1"/>
  <c r="H524" i="12" a="1"/>
  <c r="H524" i="12" s="1"/>
  <c r="C524" i="12" s="1" a="1"/>
  <c r="C524" i="12" s="1"/>
  <c r="I633" i="2" s="1"/>
  <c r="H569" i="12" a="1"/>
  <c r="H569" i="12" s="1"/>
  <c r="C569" i="12" s="1" a="1"/>
  <c r="C569" i="12" s="1"/>
  <c r="I619" i="2" s="1"/>
  <c r="H367" i="12" a="1"/>
  <c r="H367" i="12" s="1"/>
  <c r="C367" i="12" s="1" a="1"/>
  <c r="C367" i="12" s="1"/>
  <c r="I475" i="2" s="1"/>
  <c r="AC642" i="12" a="1"/>
  <c r="AC642" i="12" s="1"/>
  <c r="H27" i="12" a="1"/>
  <c r="H27" i="12" s="1"/>
  <c r="C27" i="12" s="1" a="1"/>
  <c r="C27" i="12" s="1"/>
  <c r="I90" i="2" s="1"/>
  <c r="E33" i="4" s="1" a="1"/>
  <c r="E33" i="4" s="1"/>
  <c r="H467" i="12" a="1"/>
  <c r="H467" i="12" s="1"/>
  <c r="C467" i="12" s="1" a="1"/>
  <c r="C467" i="12" s="1"/>
  <c r="I666" i="2" s="1"/>
  <c r="H578" i="12" a="1"/>
  <c r="H578" i="12" s="1"/>
  <c r="C578" i="12" s="1" a="1"/>
  <c r="C578" i="12" s="1"/>
  <c r="I639" i="2" s="1"/>
  <c r="H433" i="12" a="1"/>
  <c r="H433" i="12" s="1"/>
  <c r="C433" i="12" s="1" a="1"/>
  <c r="C433" i="12" s="1"/>
  <c r="I635" i="2" s="1"/>
  <c r="Y648" i="12" a="1"/>
  <c r="Y648" i="12" s="1"/>
  <c r="H307" i="12" a="1"/>
  <c r="H307" i="12" s="1"/>
  <c r="C307" i="12" s="1" a="1"/>
  <c r="C307" i="12" s="1"/>
  <c r="I535" i="2" s="1"/>
  <c r="H339" i="12" a="1"/>
  <c r="H339" i="12" s="1"/>
  <c r="C339" i="12" s="1" a="1"/>
  <c r="C339" i="12" s="1"/>
  <c r="I646" i="2" s="1"/>
  <c r="H480" i="12" a="1"/>
  <c r="H480" i="12" s="1"/>
  <c r="C480" i="12" s="1" a="1"/>
  <c r="C480" i="12" s="1"/>
  <c r="I570" i="2" s="1"/>
  <c r="H258" i="12" a="1"/>
  <c r="H258" i="12" s="1"/>
  <c r="C258" i="12" s="1" a="1"/>
  <c r="C258" i="12" s="1"/>
  <c r="I663" i="2" s="1"/>
  <c r="H544" i="12" a="1"/>
  <c r="H544" i="12" s="1"/>
  <c r="C544" i="12" s="1" a="1"/>
  <c r="C544" i="12" s="1"/>
  <c r="I669" i="2" s="1"/>
  <c r="H147" i="12" a="1"/>
  <c r="H147" i="12" s="1"/>
  <c r="C147" i="12" s="1" a="1"/>
  <c r="C147" i="12" s="1"/>
  <c r="I388" i="2" s="1"/>
  <c r="H483" i="12" a="1"/>
  <c r="H483" i="12" s="1"/>
  <c r="C483" i="12" s="1" a="1"/>
  <c r="C483" i="12" s="1"/>
  <c r="I181" i="8" s="1" a="1"/>
  <c r="I181" i="8" s="1"/>
  <c r="H468" i="12" a="1"/>
  <c r="H468" i="12" s="1"/>
  <c r="C468" i="12" s="1" a="1"/>
  <c r="C468" i="12" s="1"/>
  <c r="I511" i="2" s="1"/>
  <c r="H322" i="12" a="1"/>
  <c r="H322" i="12" s="1"/>
  <c r="C322" i="12" s="1" a="1"/>
  <c r="C322" i="12" s="1"/>
  <c r="I662" i="2" s="1"/>
  <c r="H536" i="12" a="1"/>
  <c r="H536" i="12" s="1"/>
  <c r="C536" i="12" s="1" a="1"/>
  <c r="C536" i="12" s="1"/>
  <c r="I196" i="8" s="1" a="1"/>
  <c r="I196" i="8" s="1"/>
  <c r="H362" i="12" a="1"/>
  <c r="H362" i="12" s="1"/>
  <c r="C362" i="12" s="1" a="1"/>
  <c r="C362" i="12" s="1"/>
  <c r="I640" i="2" s="1"/>
  <c r="H405" i="12" a="1"/>
  <c r="H405" i="12" s="1"/>
  <c r="C405" i="12" s="1" a="1"/>
  <c r="C405" i="12" s="1"/>
  <c r="I573" i="2" s="1"/>
  <c r="AC652" i="12" a="1"/>
  <c r="AC652" i="12" s="1"/>
  <c r="Y628" i="12" a="1"/>
  <c r="Y628" i="12" s="1"/>
  <c r="H548" i="12" a="1"/>
  <c r="H548" i="12" s="1"/>
  <c r="C548" i="12" s="1" a="1"/>
  <c r="C548" i="12" s="1"/>
  <c r="H342" i="12" a="1"/>
  <c r="H342" i="12" s="1"/>
  <c r="C342" i="12" s="1" a="1"/>
  <c r="C342" i="12" s="1"/>
  <c r="H267" i="12" a="1"/>
  <c r="H267" i="12" s="1"/>
  <c r="C267" i="12" s="1" a="1"/>
  <c r="C267" i="12" s="1"/>
  <c r="I347" i="2" s="1"/>
  <c r="H10" i="12" a="1"/>
  <c r="H10" i="12" s="1"/>
  <c r="C10" i="12" s="1" a="1"/>
  <c r="C10" i="12" s="1"/>
  <c r="I30" i="2" s="1"/>
  <c r="H382" i="12" a="1"/>
  <c r="H382" i="12" s="1"/>
  <c r="C382" i="12" s="1" a="1"/>
  <c r="C382" i="12" s="1"/>
  <c r="I46" i="8" s="1" a="1"/>
  <c r="I46" i="8" s="1"/>
  <c r="H167" i="12" a="1"/>
  <c r="H167" i="12" s="1"/>
  <c r="C167" i="12" s="1" a="1"/>
  <c r="C167" i="12" s="1"/>
  <c r="I304" i="2" s="1"/>
  <c r="H583" i="12" a="1"/>
  <c r="H583" i="12" s="1"/>
  <c r="C583" i="12" s="1" a="1"/>
  <c r="C583" i="12" s="1"/>
  <c r="I128" i="8" s="1" a="1"/>
  <c r="I128" i="8" s="1"/>
  <c r="H479" i="12" a="1"/>
  <c r="H479" i="12" s="1"/>
  <c r="C479" i="12" s="1" a="1"/>
  <c r="C479" i="12" s="1"/>
  <c r="I105" i="8" s="1" a="1"/>
  <c r="I105" i="8" s="1"/>
  <c r="H515" i="12" a="1"/>
  <c r="H515" i="12" s="1"/>
  <c r="C515" i="12" s="1" a="1"/>
  <c r="C515" i="12" s="1"/>
  <c r="I157" i="8" s="1" a="1"/>
  <c r="I157" i="8" s="1"/>
  <c r="H54" i="12" a="1"/>
  <c r="H54" i="12" s="1"/>
  <c r="C54" i="12" s="1" a="1"/>
  <c r="C54" i="12" s="1"/>
  <c r="I140" i="2" s="1"/>
  <c r="AC671" i="12" a="1"/>
  <c r="AC671" i="12" s="1"/>
  <c r="H528" i="12" a="1"/>
  <c r="H528" i="12" s="1"/>
  <c r="C528" i="12" s="1" a="1"/>
  <c r="C528" i="12" s="1"/>
  <c r="I122" i="8" s="1" a="1"/>
  <c r="I122" i="8" s="1"/>
  <c r="H462" i="12" a="1"/>
  <c r="H462" i="12" s="1"/>
  <c r="C462" i="12" s="1" a="1"/>
  <c r="C462" i="12" s="1"/>
  <c r="I139" i="8" s="1" a="1"/>
  <c r="I139" i="8" s="1"/>
  <c r="H308" i="12" a="1"/>
  <c r="H308" i="12" s="1"/>
  <c r="C308" i="12" s="1" a="1"/>
  <c r="C308" i="12" s="1"/>
  <c r="I121" i="8" s="1" a="1"/>
  <c r="I121" i="8" s="1"/>
  <c r="H289" i="12" a="1"/>
  <c r="H289" i="12" s="1"/>
  <c r="C289" i="12" s="1" a="1"/>
  <c r="C289" i="12" s="1"/>
  <c r="I169" i="2" s="1"/>
  <c r="H522" i="12" a="1"/>
  <c r="H522" i="12" s="1"/>
  <c r="C522" i="12" s="1" a="1"/>
  <c r="C522" i="12" s="1"/>
  <c r="I227" i="2" s="1"/>
  <c r="H3" i="12" a="1"/>
  <c r="H3" i="12" s="1"/>
  <c r="C3" i="12" s="1" a="1"/>
  <c r="C3" i="12" s="1"/>
  <c r="I9" i="2" s="1"/>
  <c r="M10" i="3" a="1"/>
  <c r="M10" i="3" s="1"/>
  <c r="H379" i="12" a="1"/>
  <c r="H379" i="12" s="1"/>
  <c r="C379" i="12" s="1" a="1"/>
  <c r="C379" i="12" s="1"/>
  <c r="I81" i="8" s="1" a="1"/>
  <c r="I81" i="8" s="1"/>
  <c r="H110" i="12" a="1"/>
  <c r="H110" i="12" s="1"/>
  <c r="C110" i="12" s="1" a="1"/>
  <c r="C110" i="12" s="1"/>
  <c r="I18" i="8" s="1" a="1"/>
  <c r="I18" i="8" s="1"/>
  <c r="AD623" i="12" a="1"/>
  <c r="AD623" i="12" s="1"/>
  <c r="AC621" i="12" a="1"/>
  <c r="AC621" i="12" s="1"/>
  <c r="H454" i="12" a="1"/>
  <c r="H454" i="12" s="1"/>
  <c r="C454" i="12" s="1" a="1"/>
  <c r="C454" i="12" s="1"/>
  <c r="I126" i="8" s="1" a="1"/>
  <c r="I126" i="8" s="1"/>
  <c r="H534" i="12" a="1"/>
  <c r="H534" i="12" s="1"/>
  <c r="C534" i="12" s="1" a="1"/>
  <c r="C534" i="12" s="1"/>
  <c r="I132" i="8" s="1" a="1"/>
  <c r="I132" i="8" s="1"/>
  <c r="H106" i="12" a="1"/>
  <c r="H106" i="12" s="1"/>
  <c r="C106" i="12" s="1" a="1"/>
  <c r="C106" i="12" s="1"/>
  <c r="I332" i="2" s="1"/>
  <c r="H213" i="12" a="1"/>
  <c r="H213" i="12" s="1"/>
  <c r="C213" i="12" s="1" a="1"/>
  <c r="C213" i="12" s="1"/>
  <c r="I504" i="2" s="1"/>
  <c r="H64" i="12" a="1"/>
  <c r="H64" i="12" s="1"/>
  <c r="C64" i="12" s="1" a="1"/>
  <c r="C64" i="12" s="1"/>
  <c r="I163" i="2" s="1"/>
  <c r="AD631" i="12" a="1"/>
  <c r="AD631" i="12" s="1"/>
  <c r="H177" i="12" a="1"/>
  <c r="H177" i="12" s="1"/>
  <c r="C177" i="12" s="1" a="1"/>
  <c r="C177" i="12" s="1"/>
  <c r="I225" i="2" s="1"/>
  <c r="H426" i="12" a="1"/>
  <c r="H426" i="12" s="1"/>
  <c r="C426" i="12" s="1" a="1"/>
  <c r="C426" i="12" s="1"/>
  <c r="I147" i="8" s="1" a="1"/>
  <c r="I147" i="8" s="1"/>
  <c r="H154" i="12" a="1"/>
  <c r="H154" i="12" s="1"/>
  <c r="C154" i="12" s="1" a="1"/>
  <c r="C154" i="12" s="1"/>
  <c r="I241" i="2" s="1"/>
  <c r="H458" i="12" a="1"/>
  <c r="H458" i="12" s="1"/>
  <c r="C458" i="12" s="1" a="1"/>
  <c r="C458" i="12" s="1"/>
  <c r="I270" i="2" s="1"/>
  <c r="H356" i="12" a="1"/>
  <c r="H356" i="12" s="1"/>
  <c r="C356" i="12" s="1" a="1"/>
  <c r="C356" i="12" s="1"/>
  <c r="I111" i="8" s="1" a="1"/>
  <c r="I111" i="8" s="1"/>
  <c r="H407" i="12" a="1"/>
  <c r="H407" i="12" s="1"/>
  <c r="C407" i="12" s="1" a="1"/>
  <c r="C407" i="12" s="1"/>
  <c r="I150" i="8" s="1" a="1"/>
  <c r="I150" i="8" s="1"/>
  <c r="H260" i="12" a="1"/>
  <c r="H260" i="12" s="1"/>
  <c r="C260" i="12" s="1" a="1"/>
  <c r="C260" i="12" s="1"/>
  <c r="I477" i="2" s="1"/>
  <c r="H77" i="12" a="1"/>
  <c r="H77" i="12" s="1"/>
  <c r="C77" i="12" s="1" a="1"/>
  <c r="C77" i="12" s="1"/>
  <c r="I361" i="2" s="1"/>
  <c r="H81" i="12" a="1"/>
  <c r="H81" i="12" s="1"/>
  <c r="C81" i="12" s="1" a="1"/>
  <c r="C81" i="12" s="1"/>
  <c r="I272" i="2" s="1"/>
  <c r="H67" i="12" a="1"/>
  <c r="H67" i="12" s="1"/>
  <c r="C67" i="12" s="1" a="1"/>
  <c r="C67" i="12" s="1"/>
  <c r="I314" i="2" s="1"/>
  <c r="H129" i="12" a="1"/>
  <c r="H129" i="12" s="1"/>
  <c r="C129" i="12" s="1" a="1"/>
  <c r="C129" i="12" s="1"/>
  <c r="I25" i="8" s="1" a="1"/>
  <c r="I25" i="8" s="1"/>
  <c r="H321" i="12" a="1"/>
  <c r="H321" i="12" s="1"/>
  <c r="C321" i="12" s="1" a="1"/>
  <c r="C321" i="12" s="1"/>
  <c r="I197" i="2" s="1"/>
  <c r="H108" i="12" a="1"/>
  <c r="H108" i="12" s="1"/>
  <c r="C108" i="12" s="1" a="1"/>
  <c r="C108" i="12" s="1"/>
  <c r="Y661" i="12" a="1"/>
  <c r="Y661" i="12" s="1"/>
  <c r="H218" i="12" a="1"/>
  <c r="H218" i="12" s="1"/>
  <c r="C218" i="12" s="1" a="1"/>
  <c r="C218" i="12" s="1"/>
  <c r="I523" i="2" s="1"/>
  <c r="H601" i="12" a="1"/>
  <c r="H601" i="12" s="1"/>
  <c r="C601" i="12" s="1" a="1"/>
  <c r="C601" i="12" s="1"/>
  <c r="I203" i="8" s="1" a="1"/>
  <c r="I203" i="8" s="1"/>
  <c r="H390" i="12" a="1"/>
  <c r="H390" i="12" s="1"/>
  <c r="C390" i="12" s="1" a="1"/>
  <c r="C390" i="12" s="1"/>
  <c r="I657" i="2" s="1"/>
  <c r="H434" i="12" a="1"/>
  <c r="H434" i="12" s="1"/>
  <c r="C434" i="12" s="1" a="1"/>
  <c r="C434" i="12" s="1"/>
  <c r="I641" i="2" s="1"/>
  <c r="H281" i="12" a="1"/>
  <c r="H281" i="12" s="1"/>
  <c r="C281" i="12" s="1" a="1"/>
  <c r="C281" i="12" s="1"/>
  <c r="H574" i="12" a="1"/>
  <c r="H574" i="12" s="1"/>
  <c r="C574" i="12" s="1" a="1"/>
  <c r="C574" i="12" s="1"/>
  <c r="I201" i="8" s="1" a="1"/>
  <c r="I201" i="8" s="1"/>
  <c r="H413" i="12" a="1"/>
  <c r="H413" i="12" s="1"/>
  <c r="C413" i="12" s="1" a="1"/>
  <c r="C413" i="12" s="1"/>
  <c r="AD642" i="12" a="1"/>
  <c r="AD642" i="12" s="1"/>
  <c r="Y655" i="12" a="1"/>
  <c r="Y655" i="12" s="1"/>
  <c r="H323" i="12" a="1"/>
  <c r="H323" i="12" s="1"/>
  <c r="C323" i="12" s="1" a="1"/>
  <c r="C323" i="12" s="1"/>
  <c r="I470" i="2" s="1"/>
  <c r="Y610" i="12" a="1"/>
  <c r="Y610" i="12" s="1"/>
  <c r="AC648" i="12" a="1"/>
  <c r="AC648" i="12" s="1"/>
  <c r="H429" i="12" a="1"/>
  <c r="H429" i="12" s="1"/>
  <c r="C429" i="12" s="1" a="1"/>
  <c r="C429" i="12" s="1"/>
  <c r="I611" i="2" s="1"/>
  <c r="H238" i="12" a="1"/>
  <c r="H238" i="12" s="1"/>
  <c r="C238" i="12" s="1" a="1"/>
  <c r="C238" i="12" s="1"/>
  <c r="I415" i="2" s="1"/>
  <c r="H252" i="12" a="1"/>
  <c r="H252" i="12" s="1"/>
  <c r="C252" i="12" s="1" a="1"/>
  <c r="C252" i="12" s="1"/>
  <c r="I605" i="2" s="1"/>
  <c r="H443" i="12" a="1"/>
  <c r="H443" i="12" s="1"/>
  <c r="C443" i="12" s="1" a="1"/>
  <c r="C443" i="12" s="1"/>
  <c r="I525" i="2" s="1"/>
  <c r="H461" i="12" a="1"/>
  <c r="H461" i="12" s="1"/>
  <c r="C461" i="12" s="1" a="1"/>
  <c r="C461" i="12" s="1"/>
  <c r="I625" i="2" s="1"/>
  <c r="Y612" i="12" a="1"/>
  <c r="Y612" i="12" s="1"/>
  <c r="H450" i="12" a="1"/>
  <c r="H450" i="12" s="1"/>
  <c r="C450" i="12" s="1" a="1"/>
  <c r="C450" i="12" s="1"/>
  <c r="I616" i="2" s="1"/>
  <c r="H587" i="12" a="1"/>
  <c r="H587" i="12" s="1"/>
  <c r="C587" i="12" s="1" a="1"/>
  <c r="C587" i="12" s="1"/>
  <c r="I621" i="2" s="1"/>
  <c r="H343" i="12" a="1"/>
  <c r="H343" i="12" s="1"/>
  <c r="C343" i="12" s="1" a="1"/>
  <c r="C343" i="12" s="1"/>
  <c r="I543" i="2" s="1"/>
  <c r="H334" i="12" a="1"/>
  <c r="H334" i="12" s="1"/>
  <c r="C334" i="12" s="1" a="1"/>
  <c r="C334" i="12" s="1"/>
  <c r="H411" i="12" a="1"/>
  <c r="H411" i="12" s="1"/>
  <c r="C411" i="12" s="1" a="1"/>
  <c r="C411" i="12" s="1"/>
  <c r="I495" i="2" s="1"/>
  <c r="H449" i="12" a="1"/>
  <c r="H449" i="12" s="1"/>
  <c r="C449" i="12" s="1" a="1"/>
  <c r="C449" i="12" s="1"/>
  <c r="I259" i="2" s="1"/>
  <c r="Y618" i="12" a="1"/>
  <c r="Y618" i="12" s="1"/>
  <c r="H543" i="12" a="1"/>
  <c r="H543" i="12" s="1"/>
  <c r="C543" i="12" s="1" a="1"/>
  <c r="C543" i="12" s="1"/>
  <c r="I645" i="2" s="1"/>
  <c r="H550" i="12" a="1"/>
  <c r="H550" i="12" s="1"/>
  <c r="C550" i="12" s="1" a="1"/>
  <c r="C550" i="12" s="1"/>
  <c r="I649" i="2" s="1"/>
  <c r="AC649" i="12" a="1"/>
  <c r="AC649" i="12" s="1"/>
  <c r="H244" i="12" a="1"/>
  <c r="H244" i="12" s="1"/>
  <c r="C244" i="12" s="1" a="1"/>
  <c r="C244" i="12" s="1"/>
  <c r="I375" i="2" s="1"/>
  <c r="H9" i="12" a="1"/>
  <c r="H9" i="12" s="1"/>
  <c r="C9" i="12" s="1" a="1"/>
  <c r="C9" i="12" s="1"/>
  <c r="I23" i="2" s="1"/>
  <c r="E8" i="5" s="1" a="1"/>
  <c r="E8" i="5" s="1"/>
  <c r="H215" i="12" a="1"/>
  <c r="H215" i="12" s="1"/>
  <c r="C215" i="12" s="1" a="1"/>
  <c r="C215" i="12" s="1"/>
  <c r="I540" i="2" s="1"/>
  <c r="H211" i="12" a="1"/>
  <c r="H211" i="12" s="1"/>
  <c r="C211" i="12" s="1" a="1"/>
  <c r="C211" i="12" s="1"/>
  <c r="I549" i="2" s="1"/>
  <c r="H345" i="12" a="1"/>
  <c r="H345" i="12" s="1"/>
  <c r="C345" i="12" s="1" a="1"/>
  <c r="C345" i="12" s="1"/>
  <c r="I99" i="8" s="1" a="1"/>
  <c r="I99" i="8" s="1"/>
  <c r="H520" i="12" a="1"/>
  <c r="H520" i="12" s="1"/>
  <c r="C520" i="12" s="1" a="1"/>
  <c r="C520" i="12" s="1"/>
  <c r="I319" i="2" s="1"/>
  <c r="H131" i="12" a="1"/>
  <c r="H131" i="12" s="1"/>
  <c r="C131" i="12" s="1" a="1"/>
  <c r="C131" i="12" s="1"/>
  <c r="I348" i="2" s="1"/>
  <c r="H122" i="12" a="1"/>
  <c r="H122" i="12" s="1"/>
  <c r="C122" i="12" s="1" a="1"/>
  <c r="C122" i="12" s="1"/>
  <c r="I36" i="2" s="1"/>
  <c r="H75" i="12" a="1"/>
  <c r="H75" i="12" s="1"/>
  <c r="C75" i="12" s="1" a="1"/>
  <c r="C75" i="12" s="1"/>
  <c r="I133" i="2" s="1"/>
  <c r="Y653" i="12" a="1"/>
  <c r="Y653" i="12" s="1"/>
  <c r="H25" i="12" a="1"/>
  <c r="H25" i="12" s="1"/>
  <c r="C25" i="12" s="1" a="1"/>
  <c r="C25" i="12" s="1"/>
  <c r="I302" i="2" s="1"/>
  <c r="H484" i="12" a="1"/>
  <c r="H484" i="12" s="1"/>
  <c r="C484" i="12" s="1" a="1"/>
  <c r="C484" i="12" s="1"/>
  <c r="I119" i="8" s="1" a="1"/>
  <c r="I119" i="8" s="1"/>
  <c r="H114" i="12" a="1"/>
  <c r="H114" i="12" s="1"/>
  <c r="C114" i="12" s="1" a="1"/>
  <c r="C114" i="12" s="1"/>
  <c r="I350" i="2" s="1"/>
  <c r="H24" i="12" a="1"/>
  <c r="H24" i="12" s="1"/>
  <c r="C24" i="12" s="1" a="1"/>
  <c r="C24" i="12" s="1"/>
  <c r="I49" i="2" s="1"/>
  <c r="AC623" i="12" a="1"/>
  <c r="AC623" i="12" s="1"/>
  <c r="H160" i="12" a="1"/>
  <c r="H160" i="12" s="1"/>
  <c r="C160" i="12" s="1" a="1"/>
  <c r="C160" i="12" s="1"/>
  <c r="I387" i="2" s="1"/>
  <c r="H150" i="12" a="1"/>
  <c r="H150" i="12" s="1"/>
  <c r="C150" i="12" s="1" a="1"/>
  <c r="C150" i="12" s="1"/>
  <c r="I446" i="2" s="1"/>
  <c r="H442" i="12" a="1"/>
  <c r="H442" i="12" s="1"/>
  <c r="C442" i="12" s="1" a="1"/>
  <c r="C442" i="12" s="1"/>
  <c r="I115" i="8" s="1" a="1"/>
  <c r="I115" i="8" s="1"/>
  <c r="H41" i="12" a="1"/>
  <c r="H41" i="12" s="1"/>
  <c r="C41" i="12" s="1" a="1"/>
  <c r="C41" i="12" s="1"/>
  <c r="I122" i="2" s="1"/>
  <c r="H393" i="12" a="1"/>
  <c r="H393" i="12" s="1"/>
  <c r="C393" i="12" s="1" a="1"/>
  <c r="C393" i="12" s="1"/>
  <c r="I103" i="8" s="1" a="1"/>
  <c r="I103" i="8" s="1"/>
  <c r="H214" i="12" a="1"/>
  <c r="H214" i="12" s="1"/>
  <c r="C214" i="12" s="1" a="1"/>
  <c r="C214" i="12" s="1"/>
  <c r="I404" i="2" s="1"/>
  <c r="H143" i="12" a="1"/>
  <c r="H143" i="12" s="1"/>
  <c r="C143" i="12" s="1" a="1"/>
  <c r="C143" i="12" s="1"/>
  <c r="H348" i="12" a="1"/>
  <c r="H348" i="12" s="1"/>
  <c r="C348" i="12" s="1" a="1"/>
  <c r="C348" i="12" s="1"/>
  <c r="I416" i="2" s="1"/>
  <c r="H231" i="12" a="1"/>
  <c r="H231" i="12" s="1"/>
  <c r="C231" i="12" s="1" a="1"/>
  <c r="C231" i="12" s="1"/>
  <c r="I151" i="8" s="1" a="1"/>
  <c r="I151" i="8" s="1"/>
  <c r="H466" i="12" a="1"/>
  <c r="H466" i="12" s="1"/>
  <c r="C466" i="12" s="1" a="1"/>
  <c r="C466" i="12" s="1"/>
  <c r="I164" i="2" s="1"/>
  <c r="H6" i="12" a="1"/>
  <c r="H6" i="12" s="1"/>
  <c r="C6" i="12" s="1" a="1"/>
  <c r="C6" i="12" s="1"/>
  <c r="I22" i="2" s="1"/>
  <c r="H78" i="12" a="1"/>
  <c r="H78" i="12" s="1"/>
  <c r="C78" i="12" s="1" a="1"/>
  <c r="C78" i="12" s="1"/>
  <c r="I116" i="2" s="1"/>
  <c r="H421" i="12" a="1"/>
  <c r="H421" i="12" s="1"/>
  <c r="C421" i="12" s="1" a="1"/>
  <c r="C421" i="12" s="1"/>
  <c r="I210" i="2" s="1"/>
  <c r="H539" i="12" a="1"/>
  <c r="H539" i="12" s="1"/>
  <c r="C539" i="12" s="1" a="1"/>
  <c r="C539" i="12" s="1"/>
  <c r="I185" i="8" s="1" a="1"/>
  <c r="I185" i="8" s="1"/>
  <c r="H185" i="12" a="1"/>
  <c r="H185" i="12" s="1"/>
  <c r="C185" i="12" s="1" a="1"/>
  <c r="C185" i="12" s="1"/>
  <c r="I545" i="2" s="1"/>
  <c r="H240" i="12" a="1"/>
  <c r="H240" i="12" s="1"/>
  <c r="C240" i="12" s="1" a="1"/>
  <c r="C240" i="12" s="1"/>
  <c r="I609" i="2" s="1"/>
  <c r="H302" i="12" a="1"/>
  <c r="H302" i="12" s="1"/>
  <c r="C302" i="12" s="1" a="1"/>
  <c r="C302" i="12" s="1"/>
  <c r="I503" i="2" s="1"/>
  <c r="H440" i="12" a="1"/>
  <c r="H440" i="12" s="1"/>
  <c r="C440" i="12" s="1" a="1"/>
  <c r="C440" i="12" s="1"/>
  <c r="I561" i="2" s="1"/>
  <c r="H294" i="12" a="1"/>
  <c r="H294" i="12" s="1"/>
  <c r="C294" i="12" s="1" a="1"/>
  <c r="C294" i="12" s="1"/>
  <c r="I526" i="2" s="1"/>
  <c r="H406" i="12" a="1"/>
  <c r="H406" i="12" s="1"/>
  <c r="C406" i="12" s="1" a="1"/>
  <c r="C406" i="12" s="1"/>
  <c r="I466" i="2" s="1"/>
  <c r="H420" i="12" a="1"/>
  <c r="H420" i="12" s="1"/>
  <c r="C420" i="12" s="1" a="1"/>
  <c r="C420" i="12" s="1"/>
  <c r="I588" i="2" s="1"/>
  <c r="H459" i="12" a="1"/>
  <c r="H459" i="12" s="1"/>
  <c r="C459" i="12" s="1" a="1"/>
  <c r="C459" i="12" s="1"/>
  <c r="I426" i="2" s="1"/>
  <c r="H487" i="12" a="1"/>
  <c r="H487" i="12" s="1"/>
  <c r="C487" i="12" s="1" a="1"/>
  <c r="C487" i="12" s="1"/>
  <c r="I630" i="2" s="1"/>
  <c r="H310" i="12" a="1"/>
  <c r="H310" i="12" s="1"/>
  <c r="C310" i="12" s="1" a="1"/>
  <c r="C310" i="12" s="1"/>
  <c r="I569" i="2" s="1"/>
  <c r="H202" i="12" a="1"/>
  <c r="H202" i="12" s="1"/>
  <c r="C202" i="12" s="1" a="1"/>
  <c r="C202" i="12" s="1"/>
  <c r="I71" i="2" s="1"/>
  <c r="H318" i="12" a="1"/>
  <c r="H318" i="12" s="1"/>
  <c r="C318" i="12" s="1" a="1"/>
  <c r="C318" i="12" s="1"/>
  <c r="I497" i="2" s="1"/>
  <c r="AC670" i="12" a="1"/>
  <c r="AC670" i="12" s="1"/>
  <c r="H389" i="12" a="1"/>
  <c r="H389" i="12" s="1"/>
  <c r="C389" i="12" s="1" a="1"/>
  <c r="C389" i="12" s="1"/>
  <c r="I518" i="2" s="1"/>
  <c r="H438" i="12" a="1"/>
  <c r="H438" i="12" s="1"/>
  <c r="C438" i="12" s="1" a="1"/>
  <c r="C438" i="12" s="1"/>
  <c r="I599" i="2" s="1"/>
  <c r="H297" i="12" a="1"/>
  <c r="H297" i="12" s="1"/>
  <c r="C297" i="12" s="1" a="1"/>
  <c r="C297" i="12" s="1"/>
  <c r="I180" i="2" s="1"/>
  <c r="AD648" i="12" a="1"/>
  <c r="AD648" i="12" s="1"/>
  <c r="H300" i="12" a="1"/>
  <c r="H300" i="12" s="1"/>
  <c r="C300" i="12" s="1" a="1"/>
  <c r="C300" i="12" s="1"/>
  <c r="I603" i="2" s="1"/>
  <c r="Y638" i="12" a="1"/>
  <c r="Y638" i="12" s="1"/>
  <c r="H576" i="12" a="1"/>
  <c r="H576" i="12" s="1"/>
  <c r="C576" i="12" s="1" a="1"/>
  <c r="C576" i="12" s="1"/>
  <c r="I198" i="8" s="1" a="1"/>
  <c r="I198" i="8" s="1"/>
  <c r="H605" i="12" a="1"/>
  <c r="H605" i="12" s="1"/>
  <c r="C605" i="12" s="1" a="1"/>
  <c r="C605" i="12" s="1"/>
  <c r="I481" i="2" s="1"/>
  <c r="H329" i="12" a="1"/>
  <c r="H329" i="12" s="1"/>
  <c r="C329" i="12" s="1" a="1"/>
  <c r="C329" i="12" s="1"/>
  <c r="I652" i="2" s="1"/>
  <c r="H523" i="12" a="1"/>
  <c r="H523" i="12" s="1"/>
  <c r="C523" i="12" s="1" a="1"/>
  <c r="C523" i="12" s="1"/>
  <c r="I574" i="2" s="1"/>
  <c r="H563" i="12" a="1"/>
  <c r="H563" i="12" s="1"/>
  <c r="C563" i="12" s="1" a="1"/>
  <c r="C563" i="12" s="1"/>
  <c r="I613" i="2" s="1"/>
  <c r="H542" i="12" a="1"/>
  <c r="H542" i="12" s="1"/>
  <c r="C542" i="12" s="1" a="1"/>
  <c r="C542" i="12" s="1"/>
  <c r="I659" i="2" s="1"/>
  <c r="H265" i="12" a="1"/>
  <c r="H265" i="12" s="1"/>
  <c r="C265" i="12" s="1" a="1"/>
  <c r="C265" i="12" s="1"/>
  <c r="I448" i="2" s="1"/>
  <c r="H181" i="12" a="1"/>
  <c r="H181" i="12" s="1"/>
  <c r="C181" i="12" s="1" a="1"/>
  <c r="C181" i="12" s="1"/>
  <c r="I429" i="2" s="1"/>
  <c r="H380" i="12" a="1"/>
  <c r="H380" i="12" s="1"/>
  <c r="C380" i="12" s="1" a="1"/>
  <c r="C380" i="12" s="1"/>
  <c r="I563" i="2" s="1"/>
  <c r="AD628" i="12" a="1"/>
  <c r="AD628" i="12" s="1"/>
  <c r="H538" i="12" a="1"/>
  <c r="H538" i="12" s="1"/>
  <c r="C538" i="12" s="1" a="1"/>
  <c r="C538" i="12" s="1"/>
  <c r="I474" i="2" s="1"/>
  <c r="H249" i="12" a="1"/>
  <c r="H249" i="12" s="1"/>
  <c r="C249" i="12" s="1" a="1"/>
  <c r="C249" i="12" s="1"/>
  <c r="I531" i="2" s="1"/>
  <c r="H489" i="12" a="1"/>
  <c r="H489" i="12" s="1"/>
  <c r="C489" i="12" s="1" a="1"/>
  <c r="C489" i="12" s="1"/>
  <c r="E18" i="5" a="1"/>
  <c r="E18" i="5" s="1"/>
  <c r="J90" i="2" a="1"/>
  <c r="J90" i="2" s="1"/>
  <c r="H175" i="12" a="1"/>
  <c r="H175" i="12" s="1"/>
  <c r="C175" i="12" s="1" a="1"/>
  <c r="C175" i="12" s="1"/>
  <c r="H136" i="12" a="1"/>
  <c r="H136" i="12" s="1"/>
  <c r="C136" i="12" s="1" a="1"/>
  <c r="C136" i="12" s="1"/>
  <c r="I356" i="2" s="1"/>
  <c r="H333" i="12" a="1"/>
  <c r="H333" i="12" s="1"/>
  <c r="C333" i="12" s="1" a="1"/>
  <c r="C333" i="12" s="1"/>
  <c r="I209" i="2" s="1"/>
  <c r="H91" i="12" a="1"/>
  <c r="H91" i="12" s="1"/>
  <c r="C91" i="12" s="1" a="1"/>
  <c r="C91" i="12" s="1"/>
  <c r="I407" i="2" s="1"/>
  <c r="AD613" i="12" a="1"/>
  <c r="AD613" i="12" s="1"/>
  <c r="H376" i="12" a="1"/>
  <c r="H376" i="12" s="1"/>
  <c r="C376" i="12" s="1" a="1"/>
  <c r="C376" i="12" s="1"/>
  <c r="I170" i="2" s="1"/>
  <c r="H282" i="12" a="1"/>
  <c r="H282" i="12" s="1"/>
  <c r="C282" i="12" s="1" a="1"/>
  <c r="C282" i="12" s="1"/>
  <c r="I479" i="2" s="1"/>
  <c r="H109" i="12" a="1"/>
  <c r="H109" i="12" s="1"/>
  <c r="C109" i="12" s="1" a="1"/>
  <c r="C109" i="12" s="1"/>
  <c r="I13" i="8" s="1" a="1"/>
  <c r="I13" i="8" s="1"/>
  <c r="AD661" i="12" a="1"/>
  <c r="AD661" i="12" s="1"/>
  <c r="H159" i="12" a="1"/>
  <c r="H159" i="12" s="1"/>
  <c r="C159" i="12" s="1" a="1"/>
  <c r="C159" i="12" s="1"/>
  <c r="I290" i="2" s="1"/>
  <c r="Y624" i="12" a="1"/>
  <c r="Y624" i="12" s="1"/>
  <c r="H509" i="12" a="1"/>
  <c r="H509" i="12" s="1"/>
  <c r="C509" i="12" s="1" a="1"/>
  <c r="C509" i="12" s="1"/>
  <c r="I143" i="8" s="1" a="1"/>
  <c r="I143" i="8" s="1"/>
  <c r="H184" i="12" a="1"/>
  <c r="H184" i="12" s="1"/>
  <c r="C184" i="12" s="1" a="1"/>
  <c r="C184" i="12" s="1"/>
  <c r="I60" i="2" s="1"/>
  <c r="H4" i="12" a="1"/>
  <c r="H4" i="12" s="1"/>
  <c r="C4" i="12" s="1" a="1"/>
  <c r="C4" i="12" s="1"/>
  <c r="I3" i="2" s="1"/>
  <c r="H15" i="12" a="1"/>
  <c r="H15" i="12" s="1"/>
  <c r="C15" i="12" s="1" a="1"/>
  <c r="C15" i="12" s="1"/>
  <c r="I52" i="2" s="1"/>
  <c r="H527" i="12" a="1"/>
  <c r="H527" i="12" s="1"/>
  <c r="C527" i="12" s="1" a="1"/>
  <c r="C527" i="12" s="1"/>
  <c r="I280" i="2" s="1"/>
  <c r="H375" i="12" a="1"/>
  <c r="H375" i="12" s="1"/>
  <c r="C375" i="12" s="1" a="1"/>
  <c r="C375" i="12" s="1"/>
  <c r="I660" i="2" s="1"/>
  <c r="H71" i="12" a="1"/>
  <c r="H71" i="12" s="1"/>
  <c r="C71" i="12" s="1" a="1"/>
  <c r="C71" i="12" s="1"/>
  <c r="I285" i="2" s="1"/>
  <c r="H187" i="12" a="1"/>
  <c r="H187" i="12" s="1"/>
  <c r="C187" i="12" s="1" a="1"/>
  <c r="C187" i="12" s="1"/>
  <c r="I405" i="2" s="1"/>
  <c r="Y640" i="12" a="1"/>
  <c r="Y640" i="12" s="1"/>
  <c r="C640" i="12" s="1" a="1"/>
  <c r="C640" i="12" s="1"/>
  <c r="I217" i="2" s="1"/>
  <c r="H223" i="12" a="1"/>
  <c r="H223" i="12" s="1"/>
  <c r="C223" i="12" s="1" a="1"/>
  <c r="C223" i="12" s="1"/>
  <c r="I585" i="2" s="1"/>
  <c r="AC619" i="12" a="1"/>
  <c r="AC619" i="12" s="1"/>
  <c r="H299" i="12" a="1"/>
  <c r="H299" i="12" s="1"/>
  <c r="C299" i="12" s="1" a="1"/>
  <c r="C299" i="12" s="1"/>
  <c r="I300" i="2" s="1"/>
  <c r="H156" i="12" a="1"/>
  <c r="H156" i="12" s="1"/>
  <c r="C156" i="12" s="1" a="1"/>
  <c r="C156" i="12" s="1"/>
  <c r="I329" i="2" s="1"/>
  <c r="H378" i="12" a="1"/>
  <c r="H378" i="12" s="1"/>
  <c r="C378" i="12" s="1" a="1"/>
  <c r="C378" i="12" s="1"/>
  <c r="I66" i="8" s="1" a="1"/>
  <c r="I66" i="8" s="1"/>
  <c r="Y616" i="12" a="1"/>
  <c r="Y616" i="12" s="1"/>
  <c r="H207" i="12" a="1"/>
  <c r="H207" i="12" s="1"/>
  <c r="C207" i="12" s="1" a="1"/>
  <c r="C207" i="12" s="1"/>
  <c r="I39" i="8" s="1" a="1"/>
  <c r="I39" i="8" s="1"/>
  <c r="H157" i="12" a="1"/>
  <c r="H157" i="12" s="1"/>
  <c r="C157" i="12" s="1" a="1"/>
  <c r="C157" i="12" s="1"/>
  <c r="I260" i="2" s="1"/>
  <c r="H416" i="12" a="1"/>
  <c r="H416" i="12" s="1"/>
  <c r="C416" i="12" s="1" a="1"/>
  <c r="C416" i="12" s="1"/>
  <c r="I106" i="8" s="1" a="1"/>
  <c r="I106" i="8" s="1"/>
  <c r="H230" i="12" a="1"/>
  <c r="H230" i="12" s="1"/>
  <c r="C230" i="12" s="1" a="1"/>
  <c r="C230" i="12" s="1"/>
  <c r="I253" i="2" s="1"/>
  <c r="H474" i="12" a="1"/>
  <c r="H474" i="12" s="1"/>
  <c r="C474" i="12" s="1" a="1"/>
  <c r="C474" i="12" s="1"/>
  <c r="I258" i="2" s="1"/>
  <c r="H222" i="12" a="1"/>
  <c r="H222" i="12" s="1"/>
  <c r="C222" i="12" s="1" a="1"/>
  <c r="C222" i="12" s="1"/>
  <c r="I45" i="8" s="1" a="1"/>
  <c r="I45" i="8" s="1"/>
  <c r="H285" i="12" a="1"/>
  <c r="H285" i="12" s="1"/>
  <c r="C285" i="12" s="1" a="1"/>
  <c r="C285" i="12" s="1"/>
  <c r="I63" i="8" s="1" a="1"/>
  <c r="I63" i="8" s="1"/>
  <c r="AD637" i="12" a="1"/>
  <c r="AD637" i="12" s="1"/>
  <c r="H206" i="12" a="1"/>
  <c r="H206" i="12" s="1"/>
  <c r="C206" i="12" s="1" a="1"/>
  <c r="C206" i="12" s="1"/>
  <c r="I508" i="2" s="1"/>
  <c r="AD666" i="12" a="1"/>
  <c r="AD666" i="12" s="1"/>
  <c r="H551" i="12" a="1"/>
  <c r="H551" i="12" s="1"/>
  <c r="C551" i="12" s="1" a="1"/>
  <c r="C551" i="12" s="1"/>
  <c r="I152" i="8" s="1" a="1"/>
  <c r="I152" i="8" s="1"/>
  <c r="H234" i="12" a="1"/>
  <c r="H234" i="12" s="1"/>
  <c r="C234" i="12" s="1" a="1"/>
  <c r="C234" i="12" s="1"/>
  <c r="I476" i="2" s="1"/>
  <c r="H95" i="12" a="1"/>
  <c r="H95" i="12" s="1"/>
  <c r="C95" i="12" s="1" a="1"/>
  <c r="C95" i="12" s="1"/>
  <c r="I244" i="2" s="1"/>
  <c r="H116" i="12" a="1"/>
  <c r="H116" i="12" s="1"/>
  <c r="C116" i="12" s="1" a="1"/>
  <c r="C116" i="12" s="1"/>
  <c r="I11" i="2" s="1"/>
  <c r="H237" i="12" a="1"/>
  <c r="H237" i="12" s="1"/>
  <c r="C237" i="12" s="1" a="1"/>
  <c r="C237" i="12" s="1"/>
  <c r="I447" i="2" s="1"/>
  <c r="Y668" i="12" a="1"/>
  <c r="Y668" i="12" s="1"/>
  <c r="AD644" i="12" a="1"/>
  <c r="AD644" i="12" s="1"/>
  <c r="H470" i="12" a="1"/>
  <c r="H470" i="12" s="1"/>
  <c r="C470" i="12" s="1" a="1"/>
  <c r="C470" i="12" s="1"/>
  <c r="I557" i="2" s="1"/>
  <c r="AC626" i="12" a="1"/>
  <c r="AC626" i="12" s="1"/>
  <c r="H286" i="12" a="1"/>
  <c r="H286" i="12" s="1"/>
  <c r="C286" i="12" s="1" a="1"/>
  <c r="C286" i="12" s="1"/>
  <c r="I643" i="2" s="1"/>
  <c r="H485" i="12" a="1"/>
  <c r="H485" i="12" s="1"/>
  <c r="C485" i="12" s="1" a="1"/>
  <c r="C485" i="12" s="1"/>
  <c r="I624" i="2" s="1"/>
  <c r="AD618" i="12" a="1"/>
  <c r="AD618" i="12" s="1"/>
  <c r="H208" i="12" a="1"/>
  <c r="H208" i="12" s="1"/>
  <c r="C208" i="12" s="1" a="1"/>
  <c r="C208" i="12" s="1"/>
  <c r="H251" i="12" a="1"/>
  <c r="H251" i="12" s="1"/>
  <c r="C251" i="12" s="1" a="1"/>
  <c r="C251" i="12" s="1"/>
  <c r="I501" i="2" s="1"/>
  <c r="Y642" i="12" a="1"/>
  <c r="Y642" i="12" s="1"/>
  <c r="H361" i="12" a="1"/>
  <c r="H361" i="12" s="1"/>
  <c r="C361" i="12" s="1" a="1"/>
  <c r="C361" i="12" s="1"/>
  <c r="I575" i="2" s="1"/>
  <c r="H456" i="12" a="1"/>
  <c r="H456" i="12" s="1"/>
  <c r="C456" i="12" s="1" a="1"/>
  <c r="C456" i="12" s="1"/>
  <c r="I622" i="2" s="1"/>
  <c r="H589" i="12" a="1"/>
  <c r="H589" i="12" s="1"/>
  <c r="C589" i="12" s="1" a="1"/>
  <c r="C589" i="12" s="1"/>
  <c r="I627" i="2" s="1"/>
  <c r="H198" i="12" a="1"/>
  <c r="H198" i="12" s="1"/>
  <c r="C198" i="12" s="1" a="1"/>
  <c r="C198" i="12" s="1"/>
  <c r="I423" i="2" s="1"/>
  <c r="H364" i="12" a="1"/>
  <c r="H364" i="12" s="1"/>
  <c r="C364" i="12" s="1" a="1"/>
  <c r="C364" i="12" s="1"/>
  <c r="I465" i="2" s="1"/>
  <c r="AD620" i="12" a="1"/>
  <c r="AD620" i="12" s="1"/>
  <c r="H340" i="12" a="1"/>
  <c r="H340" i="12" s="1"/>
  <c r="C340" i="12" s="1" a="1"/>
  <c r="C340" i="12" s="1"/>
  <c r="I667" i="2" s="1"/>
  <c r="H554" i="12" a="1"/>
  <c r="H554" i="12" s="1"/>
  <c r="C554" i="12" s="1" a="1"/>
  <c r="C554" i="12" s="1"/>
  <c r="I546" i="2" s="1"/>
  <c r="E395" i="4" s="1" a="1"/>
  <c r="E395" i="4" s="1"/>
  <c r="H546" i="12" a="1"/>
  <c r="H546" i="12" s="1"/>
  <c r="C546" i="12" s="1" a="1"/>
  <c r="C546" i="12" s="1"/>
  <c r="I653" i="2" s="1"/>
  <c r="H430" i="12" a="1"/>
  <c r="H430" i="12" s="1"/>
  <c r="C430" i="12" s="1" a="1"/>
  <c r="C430" i="12" s="1"/>
  <c r="I480" i="2" s="1"/>
  <c r="H396" i="12" a="1"/>
  <c r="H396" i="12" s="1"/>
  <c r="C396" i="12" s="1" a="1"/>
  <c r="C396" i="12" s="1"/>
  <c r="I562" i="2" s="1"/>
  <c r="H72" i="12" a="1"/>
  <c r="H72" i="12" s="1"/>
  <c r="C72" i="12" s="1" a="1"/>
  <c r="C72" i="12" s="1"/>
  <c r="I265" i="2" s="1"/>
  <c r="H567" i="12" a="1"/>
  <c r="H567" i="12" s="1"/>
  <c r="C567" i="12" s="1" a="1"/>
  <c r="C567" i="12" s="1"/>
  <c r="I607" i="2" s="1"/>
  <c r="AD670" i="12" a="1"/>
  <c r="AD670" i="12" s="1"/>
  <c r="H478" i="12" a="1"/>
  <c r="H478" i="12" s="1"/>
  <c r="C478" i="12" s="1" a="1"/>
  <c r="C478" i="12" s="1"/>
  <c r="I338" i="2" s="1"/>
  <c r="H298" i="12" a="1"/>
  <c r="H298" i="12" s="1"/>
  <c r="C298" i="12" s="1" a="1"/>
  <c r="C298" i="12" s="1"/>
  <c r="AC672" i="12" a="1"/>
  <c r="AC672" i="12" s="1"/>
  <c r="H472" i="12" a="1"/>
  <c r="H472" i="12" s="1"/>
  <c r="C472" i="12" s="1" a="1"/>
  <c r="C472" i="12" s="1"/>
  <c r="I457" i="2" s="1"/>
  <c r="H398" i="12" a="1"/>
  <c r="H398" i="12" s="1"/>
  <c r="C398" i="12" s="1" a="1"/>
  <c r="C398" i="12" s="1"/>
  <c r="I565" i="2" s="1"/>
  <c r="H241" i="12" a="1"/>
  <c r="H241" i="12" s="1"/>
  <c r="C241" i="12" s="1" a="1"/>
  <c r="C241" i="12" s="1"/>
  <c r="H384" i="12" a="1"/>
  <c r="H384" i="12" s="1"/>
  <c r="C384" i="12" s="1" a="1"/>
  <c r="C384" i="12" s="1"/>
  <c r="H560" i="12" a="1"/>
  <c r="H560" i="12" s="1"/>
  <c r="C560" i="12" s="1" a="1"/>
  <c r="C560" i="12" s="1"/>
  <c r="I568" i="2" s="1"/>
  <c r="H418" i="12" a="1"/>
  <c r="H418" i="12" s="1"/>
  <c r="C418" i="12" s="1" a="1"/>
  <c r="C418" i="12" s="1"/>
  <c r="I595" i="2" s="1"/>
  <c r="E201" i="5" s="1" a="1"/>
  <c r="E201" i="5" s="1"/>
  <c r="H579" i="12" a="1"/>
  <c r="H579" i="12" s="1"/>
  <c r="C579" i="12" s="1" a="1"/>
  <c r="C579" i="12" s="1"/>
  <c r="I594" i="2" s="1"/>
  <c r="H505" i="12" a="1"/>
  <c r="H505" i="12" s="1"/>
  <c r="C505" i="12" s="1" a="1"/>
  <c r="C505" i="12" s="1"/>
  <c r="I308" i="2" s="1"/>
  <c r="Y672" i="12" a="1"/>
  <c r="Y672" i="12" s="1"/>
  <c r="H328" i="12" a="1"/>
  <c r="H328" i="12" s="1"/>
  <c r="C328" i="12" s="1" a="1"/>
  <c r="C328" i="12" s="1"/>
  <c r="I513" i="2" s="1"/>
  <c r="AC628" i="12" a="1"/>
  <c r="AC628" i="12" s="1"/>
  <c r="H491" i="12" a="1"/>
  <c r="H491" i="12" s="1"/>
  <c r="C491" i="12" s="1" a="1"/>
  <c r="C491" i="12" s="1"/>
  <c r="H394" i="12" a="1"/>
  <c r="H394" i="12" s="1"/>
  <c r="C394" i="12" s="1" a="1"/>
  <c r="C394" i="12" s="1"/>
  <c r="I604" i="2" s="1"/>
  <c r="H417" i="12" a="1"/>
  <c r="H417" i="12" s="1"/>
  <c r="C417" i="12" s="1" a="1"/>
  <c r="C417" i="12" s="1"/>
  <c r="H216" i="12" a="1"/>
  <c r="H216" i="12" s="1"/>
  <c r="C216" i="12" s="1" a="1"/>
  <c r="C216" i="12" s="1"/>
  <c r="I38" i="8" s="1" a="1"/>
  <c r="I38" i="8" s="1"/>
  <c r="Y636" i="12" a="1"/>
  <c r="Y636" i="12" s="1"/>
  <c r="H537" i="12" a="1"/>
  <c r="H537" i="12" s="1"/>
  <c r="C537" i="12" s="1" a="1"/>
  <c r="C537" i="12" s="1"/>
  <c r="I349" i="2" s="1"/>
  <c r="H171" i="12" a="1"/>
  <c r="H171" i="12" s="1"/>
  <c r="C171" i="12" s="1" a="1"/>
  <c r="C171" i="12" s="1"/>
  <c r="I486" i="2" s="1"/>
  <c r="H148" i="12" a="1"/>
  <c r="H148" i="12" s="1"/>
  <c r="C148" i="12" s="1" a="1"/>
  <c r="C148" i="12" s="1"/>
  <c r="I35" i="2" s="1"/>
  <c r="H195" i="12" a="1"/>
  <c r="H195" i="12" s="1"/>
  <c r="C195" i="12" s="1" a="1"/>
  <c r="C195" i="12" s="1"/>
  <c r="I394" i="2" s="1"/>
  <c r="H337" i="12" a="1"/>
  <c r="H337" i="12" s="1"/>
  <c r="C337" i="12" s="1" a="1"/>
  <c r="C337" i="12" s="1"/>
  <c r="I108" i="8" s="1" a="1"/>
  <c r="I108" i="8" s="1"/>
  <c r="Y656" i="12" a="1"/>
  <c r="Y656" i="12" s="1"/>
  <c r="H182" i="12" a="1"/>
  <c r="H182" i="12" s="1"/>
  <c r="C182" i="12" s="1" a="1"/>
  <c r="C182" i="12" s="1"/>
  <c r="I50" i="2" s="1"/>
  <c r="Y665" i="12" a="1"/>
  <c r="Y665" i="12" s="1"/>
  <c r="H439" i="12" a="1"/>
  <c r="H439" i="12" s="1"/>
  <c r="C439" i="12" s="1" a="1"/>
  <c r="C439" i="12" s="1"/>
  <c r="I110" i="8" s="1" a="1"/>
  <c r="I110" i="8" s="1"/>
  <c r="H210" i="12" a="1"/>
  <c r="H210" i="12" s="1"/>
  <c r="C210" i="12" s="1" a="1"/>
  <c r="C210" i="12" s="1"/>
  <c r="I524" i="2" s="1"/>
  <c r="AD635" i="12" a="1"/>
  <c r="AD635" i="12" s="1"/>
  <c r="H86" i="12" a="1"/>
  <c r="H86" i="12" s="1"/>
  <c r="C86" i="12" s="1" a="1"/>
  <c r="C86" i="12" s="1"/>
  <c r="I20" i="8" s="1" a="1"/>
  <c r="I20" i="8" s="1"/>
  <c r="H199" i="12" a="1"/>
  <c r="H199" i="12" s="1"/>
  <c r="C199" i="12" s="1" a="1"/>
  <c r="C199" i="12" s="1"/>
  <c r="I305" i="2" s="1"/>
  <c r="H573" i="12" a="1"/>
  <c r="H573" i="12" s="1"/>
  <c r="C573" i="12" s="1" a="1"/>
  <c r="C573" i="12" s="1"/>
  <c r="I384" i="2" s="1"/>
  <c r="H200" i="12" a="1"/>
  <c r="H200" i="12" s="1"/>
  <c r="C200" i="12" s="1" a="1"/>
  <c r="C200" i="12" s="1"/>
  <c r="I29" i="8" s="1" a="1"/>
  <c r="I29" i="8" s="1"/>
  <c r="H130" i="12" a="1"/>
  <c r="H130" i="12" s="1"/>
  <c r="C130" i="12" s="1" a="1"/>
  <c r="C130" i="12" s="1"/>
  <c r="I16" i="8" s="1" a="1"/>
  <c r="I16" i="8" s="1"/>
  <c r="H17" i="12" a="1"/>
  <c r="H17" i="12" s="1"/>
  <c r="C17" i="12" s="1" a="1"/>
  <c r="C17" i="12" s="1"/>
  <c r="I40" i="2" s="1"/>
  <c r="AC613" i="12" a="1"/>
  <c r="AC613" i="12" s="1"/>
  <c r="AD669" i="12" a="1"/>
  <c r="AD669" i="12" s="1"/>
  <c r="Q25" i="3" a="1"/>
  <c r="Q25" i="3" s="1"/>
  <c r="AD645" i="12" a="1"/>
  <c r="AD645" i="12" s="1"/>
  <c r="AD611" i="12" a="1"/>
  <c r="AD611" i="12" s="1"/>
  <c r="AD633" i="12" a="1"/>
  <c r="AD633" i="12" s="1"/>
  <c r="AD612" i="12" a="1"/>
  <c r="AD612" i="12" s="1"/>
  <c r="H87" i="12" a="1"/>
  <c r="H87" i="12" s="1"/>
  <c r="C87" i="12" s="1" a="1"/>
  <c r="C87" i="12" s="1"/>
  <c r="I111" i="2" s="1"/>
  <c r="H127" i="12" a="1"/>
  <c r="H127" i="12" s="1"/>
  <c r="C127" i="12" s="1" a="1"/>
  <c r="C127" i="12" s="1"/>
  <c r="I343" i="2" s="1"/>
  <c r="H70" i="12" a="1"/>
  <c r="H70" i="12" s="1"/>
  <c r="C70" i="12" s="1" a="1"/>
  <c r="C70" i="12" s="1"/>
  <c r="I80" i="2" s="1"/>
  <c r="AC661" i="12" a="1"/>
  <c r="AC661" i="12" s="1"/>
  <c r="H476" i="12" a="1"/>
  <c r="H476" i="12" s="1"/>
  <c r="C476" i="12" s="1" a="1"/>
  <c r="C476" i="12" s="1"/>
  <c r="I246" i="2" s="1"/>
  <c r="H496" i="12" a="1"/>
  <c r="H496" i="12" s="1"/>
  <c r="C496" i="12" s="1" a="1"/>
  <c r="C496" i="12" s="1"/>
  <c r="I90" i="8" s="1" a="1"/>
  <c r="I90" i="8" s="1"/>
  <c r="AC645" i="12" a="1"/>
  <c r="AC645" i="12" s="1"/>
  <c r="AD663" i="12" a="1"/>
  <c r="AD663" i="12" s="1"/>
  <c r="H193" i="12" a="1"/>
  <c r="H193" i="12" s="1"/>
  <c r="C193" i="12" s="1" a="1"/>
  <c r="C193" i="12" s="1"/>
  <c r="I395" i="2" s="1"/>
  <c r="H493" i="12" a="1"/>
  <c r="H493" i="12" s="1"/>
  <c r="C493" i="12" s="1" a="1"/>
  <c r="C493" i="12" s="1"/>
  <c r="I288" i="2" s="1"/>
  <c r="H40" i="12" a="1"/>
  <c r="H40" i="12" s="1"/>
  <c r="C40" i="12" s="1" a="1"/>
  <c r="C40" i="12" s="1"/>
  <c r="I89" i="2" s="1"/>
  <c r="H58" i="12" a="1"/>
  <c r="H58" i="12" s="1"/>
  <c r="C58" i="12" s="1" a="1"/>
  <c r="C58" i="12" s="1"/>
  <c r="I301" i="2" s="1"/>
  <c r="AD619" i="12" a="1"/>
  <c r="AD619" i="12" s="1"/>
  <c r="H607" i="12" a="1"/>
  <c r="H607" i="12" s="1"/>
  <c r="C607" i="12" s="1" a="1"/>
  <c r="C607" i="12" s="1"/>
  <c r="I73" i="8" s="1" a="1"/>
  <c r="I73" i="8" s="1"/>
  <c r="H383" i="12" a="1"/>
  <c r="H383" i="12" s="1"/>
  <c r="C383" i="12" s="1" a="1"/>
  <c r="C383" i="12" s="1"/>
  <c r="I317" i="2" s="1"/>
  <c r="H43" i="12" a="1"/>
  <c r="H43" i="12" s="1"/>
  <c r="C43" i="12" s="1" a="1"/>
  <c r="C43" i="12" s="1"/>
  <c r="I88" i="2" s="1"/>
  <c r="H250" i="12" a="1"/>
  <c r="H250" i="12" s="1"/>
  <c r="C250" i="12" s="1" a="1"/>
  <c r="C250" i="12" s="1"/>
  <c r="I52" i="8" s="1" a="1"/>
  <c r="I52" i="8" s="1"/>
  <c r="H312" i="12" a="1"/>
  <c r="H312" i="12" s="1"/>
  <c r="C312" i="12" s="1" a="1"/>
  <c r="C312" i="12" s="1"/>
  <c r="I118" i="2" s="1"/>
  <c r="H469" i="12" a="1"/>
  <c r="H469" i="12" s="1"/>
  <c r="C469" i="12" s="1" a="1"/>
  <c r="C469" i="12" s="1"/>
  <c r="I107" i="8" s="1" a="1"/>
  <c r="I107" i="8" s="1"/>
  <c r="AD654" i="12" a="1"/>
  <c r="AD654" i="12" s="1"/>
  <c r="H526" i="12" a="1"/>
  <c r="H526" i="12" s="1"/>
  <c r="C526" i="12" s="1" a="1"/>
  <c r="C526" i="12" s="1"/>
  <c r="I381" i="2" s="1"/>
  <c r="H268" i="12" a="1"/>
  <c r="H268" i="12" s="1"/>
  <c r="C268" i="12" s="1" a="1"/>
  <c r="C268" i="12" s="1"/>
  <c r="I422" i="2" s="1"/>
  <c r="H598" i="12" a="1"/>
  <c r="H598" i="12" s="1"/>
  <c r="C598" i="12" s="1" a="1"/>
  <c r="C598" i="12" s="1"/>
  <c r="I195" i="8" s="1" a="1"/>
  <c r="I195" i="8" s="1"/>
  <c r="H62" i="12" a="1"/>
  <c r="H62" i="12" s="1"/>
  <c r="C62" i="12" s="1" a="1"/>
  <c r="C62" i="12" s="1"/>
  <c r="I226" i="2" s="1"/>
  <c r="H113" i="12" a="1"/>
  <c r="H113" i="12" s="1"/>
  <c r="C113" i="12" s="1" a="1"/>
  <c r="C113" i="12" s="1"/>
  <c r="I12" i="8" s="1" a="1"/>
  <c r="I12" i="8" s="1"/>
  <c r="AC637" i="12" a="1"/>
  <c r="AC637" i="12" s="1"/>
  <c r="H204" i="12" a="1"/>
  <c r="H204" i="12" s="1"/>
  <c r="C204" i="12" s="1" a="1"/>
  <c r="C204" i="12" s="1"/>
  <c r="H31" i="12" a="1"/>
  <c r="H31" i="12" s="1"/>
  <c r="C31" i="12" s="1" a="1"/>
  <c r="C31" i="12" s="1"/>
  <c r="I7" i="2" s="1"/>
  <c r="H65" i="12" a="1"/>
  <c r="H65" i="12" s="1"/>
  <c r="C65" i="12" s="1" a="1"/>
  <c r="C65" i="12" s="1"/>
  <c r="I234" i="2" s="1"/>
  <c r="AD630" i="12" a="1"/>
  <c r="AD630" i="12" s="1"/>
  <c r="H586" i="12" a="1"/>
  <c r="H586" i="12" s="1"/>
  <c r="C586" i="12" s="1" a="1"/>
  <c r="C586" i="12" s="1"/>
  <c r="I292" i="2" s="1"/>
  <c r="AC618" i="12" a="1"/>
  <c r="AC618" i="12" s="1"/>
  <c r="H319" i="12" a="1"/>
  <c r="H319" i="12" s="1"/>
  <c r="C319" i="12" s="1" a="1"/>
  <c r="C319" i="12" s="1"/>
  <c r="I467" i="2" s="1"/>
  <c r="H371" i="12" a="1"/>
  <c r="H371" i="12" s="1"/>
  <c r="C371" i="12" s="1" a="1"/>
  <c r="C371" i="12" s="1"/>
  <c r="I596" i="2" s="1"/>
  <c r="H315" i="12" a="1"/>
  <c r="H315" i="12" s="1"/>
  <c r="C315" i="12" s="1" a="1"/>
  <c r="C315" i="12" s="1"/>
  <c r="I538" i="2" s="1"/>
  <c r="H446" i="12" a="1"/>
  <c r="H446" i="12" s="1"/>
  <c r="C446" i="12" s="1" a="1"/>
  <c r="C446" i="12" s="1"/>
  <c r="I665" i="2" s="1"/>
  <c r="AC620" i="12" a="1"/>
  <c r="AC620" i="12" s="1"/>
  <c r="H599" i="12" a="1"/>
  <c r="H599" i="12" s="1"/>
  <c r="C599" i="12" s="1" a="1"/>
  <c r="C599" i="12" s="1"/>
  <c r="I593" i="2" s="1"/>
  <c r="H247" i="12" a="1"/>
  <c r="H247" i="12" s="1"/>
  <c r="C247" i="12" s="1" a="1"/>
  <c r="C247" i="12" s="1"/>
  <c r="I555" i="2" s="1"/>
  <c r="AD660" i="12" a="1"/>
  <c r="AD660" i="12" s="1"/>
  <c r="H447" i="12" a="1"/>
  <c r="H447" i="12" s="1"/>
  <c r="C447" i="12" s="1" a="1"/>
  <c r="C447" i="12" s="1"/>
  <c r="I458" i="2" s="1"/>
  <c r="Y646" i="12" a="1"/>
  <c r="Y646" i="12" s="1"/>
  <c r="H545" i="12" a="1"/>
  <c r="H545" i="12" s="1"/>
  <c r="C545" i="12" s="1" a="1"/>
  <c r="C545" i="12" s="1"/>
  <c r="I634" i="2" s="1"/>
  <c r="H400" i="12" a="1"/>
  <c r="H400" i="12" s="1"/>
  <c r="C400" i="12" s="1" a="1"/>
  <c r="C400" i="12" s="1"/>
  <c r="I670" i="2" s="1"/>
  <c r="H437" i="12" a="1"/>
  <c r="H437" i="12" s="1"/>
  <c r="C437" i="12" s="1" a="1"/>
  <c r="C437" i="12" s="1"/>
  <c r="I548" i="2" s="1"/>
  <c r="H137" i="12" a="1"/>
  <c r="H137" i="12" s="1"/>
  <c r="C137" i="12" s="1" a="1"/>
  <c r="C137" i="12" s="1"/>
  <c r="I564" i="2" s="1"/>
  <c r="H552" i="12" a="1"/>
  <c r="H552" i="12" s="1"/>
  <c r="C552" i="12" s="1" a="1"/>
  <c r="C552" i="12" s="1"/>
  <c r="I576" i="2" s="1"/>
  <c r="H482" i="12" a="1"/>
  <c r="H482" i="12" s="1"/>
  <c r="C482" i="12" s="1" a="1"/>
  <c r="C482" i="12" s="1"/>
  <c r="I583" i="2" s="1"/>
  <c r="H556" i="12" a="1"/>
  <c r="H556" i="12" s="1"/>
  <c r="C556" i="12" s="1" a="1"/>
  <c r="C556" i="12" s="1"/>
  <c r="I273" i="2" s="1"/>
  <c r="H239" i="12" a="1"/>
  <c r="H239" i="12" s="1"/>
  <c r="C239" i="12" s="1" a="1"/>
  <c r="C239" i="12" s="1"/>
  <c r="I418" i="2" s="1"/>
  <c r="H572" i="12" a="1"/>
  <c r="H572" i="12" s="1"/>
  <c r="C572" i="12" s="1" a="1"/>
  <c r="C572" i="12" s="1"/>
  <c r="I202" i="8" s="1" a="1"/>
  <c r="I202" i="8" s="1"/>
  <c r="H353" i="12" a="1"/>
  <c r="H353" i="12" s="1"/>
  <c r="C353" i="12" s="1" a="1"/>
  <c r="C353" i="12" s="1"/>
  <c r="Y647" i="12" a="1"/>
  <c r="Y647" i="12" s="1"/>
  <c r="Y629" i="12" a="1"/>
  <c r="Y629" i="12" s="1"/>
  <c r="H38" i="12" a="1"/>
  <c r="H38" i="12" s="1"/>
  <c r="C38" i="12" s="1" a="1"/>
  <c r="C38" i="12" s="1"/>
  <c r="H521" i="12" a="1"/>
  <c r="H521" i="12" s="1"/>
  <c r="C521" i="12" s="1" a="1"/>
  <c r="C521" i="12" s="1"/>
  <c r="I478" i="2" s="1"/>
  <c r="H284" i="12" a="1"/>
  <c r="H284" i="12" s="1"/>
  <c r="C284" i="12" s="1" a="1"/>
  <c r="C284" i="12" s="1"/>
  <c r="I584" i="2" s="1"/>
  <c r="H516" i="12" a="1"/>
  <c r="H516" i="12" s="1"/>
  <c r="C516" i="12" s="1" a="1"/>
  <c r="C516" i="12" s="1"/>
  <c r="I638" i="2" s="1"/>
  <c r="H254" i="12" a="1"/>
  <c r="H254" i="12" s="1"/>
  <c r="C254" i="12" s="1" a="1"/>
  <c r="C254" i="12" s="1"/>
  <c r="H541" i="12" a="1"/>
  <c r="H541" i="12" s="1"/>
  <c r="C541" i="12" s="1" a="1"/>
  <c r="C541" i="12" s="1"/>
  <c r="I146" i="8" s="1" a="1"/>
  <c r="I146" i="8" s="1"/>
  <c r="H561" i="12" a="1"/>
  <c r="H561" i="12" s="1"/>
  <c r="C561" i="12" s="1" a="1"/>
  <c r="C561" i="12" s="1"/>
  <c r="I271" i="2" s="1"/>
  <c r="H44" i="12" a="1"/>
  <c r="H44" i="12" s="1"/>
  <c r="C44" i="12" s="1" a="1"/>
  <c r="C44" i="12" s="1"/>
  <c r="I78" i="2" s="1"/>
  <c r="H105" i="12" a="1"/>
  <c r="H105" i="12" s="1"/>
  <c r="C105" i="12" s="1" a="1"/>
  <c r="C105" i="12" s="1"/>
  <c r="I108" i="2" s="1"/>
  <c r="H50" i="12" a="1"/>
  <c r="H50" i="12" s="1"/>
  <c r="C50" i="12" s="1" a="1"/>
  <c r="C50" i="12" s="1"/>
  <c r="I63" i="2" s="1"/>
  <c r="Y659" i="12" a="1"/>
  <c r="Y659" i="12" s="1"/>
  <c r="H196" i="12" a="1"/>
  <c r="H196" i="12" s="1"/>
  <c r="C196" i="12" s="1" a="1"/>
  <c r="C196" i="12" s="1"/>
  <c r="I79" i="2" s="1"/>
  <c r="H490" i="12" a="1"/>
  <c r="H490" i="12" s="1"/>
  <c r="C490" i="12" s="1" a="1"/>
  <c r="C490" i="12" s="1"/>
  <c r="I93" i="8" s="1" a="1"/>
  <c r="I93" i="8" s="1"/>
  <c r="H314" i="12" a="1"/>
  <c r="H314" i="12" s="1"/>
  <c r="C314" i="12" s="1" a="1"/>
  <c r="C314" i="12" s="1"/>
  <c r="I53" i="8" s="1" a="1"/>
  <c r="I53" i="8" s="1"/>
  <c r="AD649" i="12" a="1"/>
  <c r="AD649" i="12" s="1"/>
  <c r="H16" i="12" a="1"/>
  <c r="H16" i="12" s="1"/>
  <c r="C16" i="12" s="1" a="1"/>
  <c r="C16" i="12" s="1"/>
  <c r="I6" i="2" s="1"/>
  <c r="AD638" i="12" a="1"/>
  <c r="AD638" i="12" s="1"/>
  <c r="H279" i="12" a="1"/>
  <c r="H279" i="12" s="1"/>
  <c r="C279" i="12" s="1" a="1"/>
  <c r="C279" i="12" s="1"/>
  <c r="I55" i="8" s="1" a="1"/>
  <c r="I55" i="8" s="1"/>
  <c r="AC635" i="12" a="1"/>
  <c r="AC635" i="12" s="1"/>
  <c r="H66" i="12" a="1"/>
  <c r="H66" i="12" s="1"/>
  <c r="C66" i="12" s="1" a="1"/>
  <c r="C66" i="12" s="1"/>
  <c r="I335" i="2" s="1"/>
  <c r="H82" i="12" a="1"/>
  <c r="H82" i="12" s="1"/>
  <c r="C82" i="12" s="1" a="1"/>
  <c r="C82" i="12" s="1"/>
  <c r="I29" i="2" s="1"/>
  <c r="AC659" i="12" a="1"/>
  <c r="AC659" i="12" s="1"/>
  <c r="H33" i="12" a="1"/>
  <c r="H33" i="12" s="1"/>
  <c r="C33" i="12" s="1" a="1"/>
  <c r="C33" i="12" s="1"/>
  <c r="I6" i="8" s="1" a="1"/>
  <c r="I6" i="8" s="1"/>
  <c r="Y625" i="12" a="1"/>
  <c r="Y625" i="12" s="1"/>
  <c r="AC669" i="12" a="1"/>
  <c r="AC669" i="12" s="1"/>
  <c r="P25" i="3" a="1"/>
  <c r="P25" i="3" s="1"/>
  <c r="H145" i="12" a="1"/>
  <c r="H145" i="12" s="1"/>
  <c r="C145" i="12" s="1" a="1"/>
  <c r="C145" i="12" s="1"/>
  <c r="I324" i="2" s="1"/>
  <c r="AC616" i="12" a="1"/>
  <c r="AC616" i="12" s="1"/>
  <c r="H502" i="12" a="1"/>
  <c r="H502" i="12" s="1"/>
  <c r="C502" i="12" s="1" a="1"/>
  <c r="C502" i="12" s="1"/>
  <c r="I299" i="2" s="1"/>
  <c r="H415" i="12" a="1"/>
  <c r="H415" i="12" s="1"/>
  <c r="C415" i="12" s="1" a="1"/>
  <c r="C415" i="12" s="1"/>
  <c r="I312" i="2" s="1"/>
  <c r="H189" i="12" a="1"/>
  <c r="H189" i="12" s="1"/>
  <c r="C189" i="12" s="1" a="1"/>
  <c r="C189" i="12" s="1"/>
  <c r="I30" i="8" s="1" a="1"/>
  <c r="I30" i="8" s="1"/>
  <c r="Y617" i="12" a="1"/>
  <c r="Y617" i="12" s="1"/>
  <c r="H20" i="12" a="1"/>
  <c r="H20" i="12" s="1"/>
  <c r="C20" i="12" s="1" a="1"/>
  <c r="C20" i="12" s="1"/>
  <c r="I37" i="2" s="1"/>
  <c r="H94" i="12" a="1"/>
  <c r="H94" i="12" s="1"/>
  <c r="C94" i="12" s="1" a="1"/>
  <c r="C94" i="12" s="1"/>
  <c r="I231" i="2" s="1"/>
  <c r="H126" i="12" a="1"/>
  <c r="H126" i="12" s="1"/>
  <c r="C126" i="12" s="1" a="1"/>
  <c r="C126" i="12" s="1"/>
  <c r="H220" i="12" a="1"/>
  <c r="H220" i="12" s="1"/>
  <c r="C220" i="12" s="1" a="1"/>
  <c r="C220" i="12" s="1"/>
  <c r="I428" i="2" s="1"/>
  <c r="H412" i="12" a="1"/>
  <c r="H412" i="12" s="1"/>
  <c r="C412" i="12" s="1" a="1"/>
  <c r="C412" i="12" s="1"/>
  <c r="I235" i="2" s="1"/>
  <c r="H549" i="12" a="1"/>
  <c r="H549" i="12" s="1"/>
  <c r="C549" i="12" s="1" a="1"/>
  <c r="C549" i="12" s="1"/>
  <c r="I185" i="2" s="1"/>
  <c r="H212" i="12" a="1"/>
  <c r="H212" i="12" s="1"/>
  <c r="C212" i="12" s="1" a="1"/>
  <c r="C212" i="12" s="1"/>
  <c r="I114" i="2" s="1"/>
  <c r="AC663" i="12" a="1"/>
  <c r="AC663" i="12" s="1"/>
  <c r="H602" i="12" a="1"/>
  <c r="H602" i="12" s="1"/>
  <c r="C602" i="12" s="1" a="1"/>
  <c r="C602" i="12" s="1"/>
  <c r="I252" i="2" s="1"/>
  <c r="H153" i="12" a="1"/>
  <c r="H153" i="12" s="1"/>
  <c r="C153" i="12" s="1" a="1"/>
  <c r="C153" i="12" s="1"/>
  <c r="I295" i="2" s="1"/>
  <c r="H164" i="12" a="1"/>
  <c r="H164" i="12" s="1"/>
  <c r="C164" i="12" s="1" a="1"/>
  <c r="C164" i="12" s="1"/>
  <c r="I303" i="2" s="1"/>
  <c r="H142" i="12" a="1"/>
  <c r="H142" i="12" s="1"/>
  <c r="C142" i="12" s="1" a="1"/>
  <c r="C142" i="12" s="1"/>
  <c r="I214" i="2" s="1"/>
  <c r="H118" i="12" a="1"/>
  <c r="H118" i="12" s="1"/>
  <c r="C118" i="12" s="1" a="1"/>
  <c r="C118" i="12" s="1"/>
  <c r="I24" i="8" s="1" a="1"/>
  <c r="I24" i="8" s="1"/>
  <c r="Y643" i="12" a="1"/>
  <c r="Y643" i="12" s="1"/>
  <c r="L22" i="3" a="1"/>
  <c r="L22" i="3" s="1"/>
  <c r="H363" i="12" a="1"/>
  <c r="H363" i="12" s="1"/>
  <c r="C363" i="12" s="1" a="1"/>
  <c r="C363" i="12" s="1"/>
  <c r="I97" i="8" s="1" a="1"/>
  <c r="I97" i="8" s="1"/>
  <c r="H293" i="12" a="1"/>
  <c r="H293" i="12" s="1"/>
  <c r="C293" i="12" s="1" a="1"/>
  <c r="C293" i="12" s="1"/>
  <c r="I150" i="2" s="1"/>
  <c r="H606" i="12" a="1"/>
  <c r="H606" i="12" s="1"/>
  <c r="C606" i="12" s="1" a="1"/>
  <c r="C606" i="12" s="1"/>
  <c r="I376" i="2" s="1"/>
  <c r="E161" i="4" s="1" a="1"/>
  <c r="E161" i="4" s="1"/>
  <c r="H236" i="12" a="1"/>
  <c r="H236" i="12" s="1"/>
  <c r="C236" i="12" s="1" a="1"/>
  <c r="C236" i="12" s="1"/>
  <c r="H63" i="12" a="1"/>
  <c r="H63" i="12" s="1"/>
  <c r="C63" i="12" s="1" a="1"/>
  <c r="C63" i="12" s="1"/>
  <c r="I7" i="8" s="1" a="1"/>
  <c r="I7" i="8" s="1"/>
  <c r="H494" i="12" a="1"/>
  <c r="H494" i="12" s="1"/>
  <c r="C494" i="12" s="1" a="1"/>
  <c r="C494" i="12" s="1"/>
  <c r="I140" i="8" s="1" a="1"/>
  <c r="I140" i="8" s="1"/>
  <c r="AC654" i="12" a="1"/>
  <c r="AC654" i="12" s="1"/>
  <c r="H188" i="12" a="1"/>
  <c r="H188" i="12" s="1"/>
  <c r="C188" i="12" s="1" a="1"/>
  <c r="C188" i="12" s="1"/>
  <c r="I443" i="2" s="1"/>
  <c r="Y627" i="12" a="1"/>
  <c r="Y627" i="12" s="1"/>
  <c r="H229" i="12" a="1"/>
  <c r="H229" i="12" s="1"/>
  <c r="C229" i="12" s="1" a="1"/>
  <c r="C229" i="12" s="1"/>
  <c r="I439" i="2" s="1"/>
  <c r="AD667" i="12" a="1"/>
  <c r="AD667" i="12" s="1"/>
  <c r="H246" i="12" a="1"/>
  <c r="H246" i="12" s="1"/>
  <c r="C246" i="12" s="1" a="1"/>
  <c r="C246" i="12" s="1"/>
  <c r="I449" i="2" s="1"/>
  <c r="H568" i="12" a="1"/>
  <c r="H568" i="12" s="1"/>
  <c r="C568" i="12" s="1" a="1"/>
  <c r="C568" i="12" s="1"/>
  <c r="I151" i="2" s="1"/>
  <c r="H226" i="12" a="1"/>
  <c r="H226" i="12" s="1"/>
  <c r="C226" i="12" s="1" a="1"/>
  <c r="C226" i="12" s="1"/>
  <c r="I492" i="2" s="1"/>
  <c r="H276" i="12" a="1"/>
  <c r="H276" i="12" s="1"/>
  <c r="C276" i="12" s="1" a="1"/>
  <c r="C276" i="12" s="1"/>
  <c r="I500" i="2" s="1"/>
  <c r="H35" i="12" a="1"/>
  <c r="H35" i="12" s="1"/>
  <c r="C35" i="12" s="1" a="1"/>
  <c r="C35" i="12" s="1"/>
  <c r="I62" i="2" s="1"/>
  <c r="X22" i="3" a="1"/>
  <c r="X22" i="3" s="1"/>
  <c r="Z22" i="3" s="1" a="1"/>
  <c r="Z22" i="3" s="1"/>
  <c r="H36" i="12" a="1"/>
  <c r="H36" i="12" s="1"/>
  <c r="C36" i="12" s="1" a="1"/>
  <c r="C36" i="12" s="1"/>
  <c r="H61" i="12" a="1"/>
  <c r="H61" i="12" s="1"/>
  <c r="C61" i="12" s="1" a="1"/>
  <c r="C61" i="12" s="1"/>
  <c r="AC630" i="12" a="1"/>
  <c r="AC630" i="12" s="1"/>
  <c r="Y654" i="12" a="1"/>
  <c r="Y654" i="12" s="1"/>
  <c r="H179" i="12" a="1"/>
  <c r="H179" i="12" s="1"/>
  <c r="C179" i="12" s="1" a="1"/>
  <c r="C179" i="12" s="1"/>
  <c r="I551" i="2" s="1"/>
  <c r="H248" i="12" a="1"/>
  <c r="H248" i="12" s="1"/>
  <c r="C248" i="12" s="1" a="1"/>
  <c r="C248" i="12" s="1"/>
  <c r="I462" i="2" s="1"/>
  <c r="H501" i="12" a="1"/>
  <c r="H501" i="12" s="1"/>
  <c r="C501" i="12" s="1" a="1"/>
  <c r="C501" i="12" s="1"/>
  <c r="I194" i="2" s="1"/>
  <c r="H272" i="12" a="1"/>
  <c r="H272" i="12" s="1"/>
  <c r="C272" i="12" s="1" a="1"/>
  <c r="C272" i="12" s="1"/>
  <c r="I516" i="2" s="1"/>
  <c r="Y664" i="12" a="1"/>
  <c r="Y664" i="12" s="1"/>
  <c r="H477" i="12" a="1"/>
  <c r="H477" i="12" s="1"/>
  <c r="C477" i="12" s="1" a="1"/>
  <c r="C477" i="12" s="1"/>
  <c r="I637" i="2" s="1"/>
  <c r="H453" i="12" a="1"/>
  <c r="H453" i="12" s="1"/>
  <c r="C453" i="12" s="1" a="1"/>
  <c r="C453" i="12" s="1"/>
  <c r="I522" i="2" s="1"/>
  <c r="H395" i="12" a="1"/>
  <c r="H395" i="12" s="1"/>
  <c r="C395" i="12" s="1" a="1"/>
  <c r="C395" i="12" s="1"/>
  <c r="I626" i="2" s="1"/>
  <c r="H295" i="12" a="1"/>
  <c r="H295" i="12" s="1"/>
  <c r="C295" i="12" s="1" a="1"/>
  <c r="C295" i="12" s="1"/>
  <c r="I424" i="2" s="1"/>
  <c r="H262" i="12" a="1"/>
  <c r="H262" i="12" s="1"/>
  <c r="C262" i="12" s="1" a="1"/>
  <c r="C262" i="12" s="1"/>
  <c r="AC632" i="12" a="1"/>
  <c r="AC632" i="12" s="1"/>
  <c r="H455" i="12" a="1"/>
  <c r="H455" i="12" s="1"/>
  <c r="C455" i="12" s="1" a="1"/>
  <c r="C455" i="12" s="1"/>
  <c r="I628" i="2" s="1"/>
  <c r="H269" i="12" a="1"/>
  <c r="H269" i="12" s="1"/>
  <c r="C269" i="12" s="1" a="1"/>
  <c r="C269" i="12" s="1"/>
  <c r="I318" i="2" s="1"/>
  <c r="H553" i="12" a="1"/>
  <c r="H553" i="12" s="1"/>
  <c r="C553" i="12" s="1" a="1"/>
  <c r="C553" i="12" s="1"/>
  <c r="I598" i="2" s="1"/>
  <c r="H306" i="12" a="1"/>
  <c r="H306" i="12" s="1"/>
  <c r="C306" i="12" s="1" a="1"/>
  <c r="C306" i="12" s="1"/>
  <c r="I534" i="2" s="1"/>
  <c r="H410" i="12" a="1"/>
  <c r="H410" i="12" s="1"/>
  <c r="C410" i="12" s="1" a="1"/>
  <c r="C410" i="12" s="1"/>
  <c r="I671" i="2" s="1"/>
  <c r="H144" i="12" a="1"/>
  <c r="H144" i="12" s="1"/>
  <c r="C144" i="12" s="1" a="1"/>
  <c r="C144" i="12" s="1"/>
  <c r="I42" i="2" s="1"/>
  <c r="Y632" i="12" a="1"/>
  <c r="Y632" i="12" s="1"/>
  <c r="H507" i="12" a="1"/>
  <c r="H507" i="12" s="1"/>
  <c r="C507" i="12" s="1" a="1"/>
  <c r="C507" i="12" s="1"/>
  <c r="I614" i="2" s="1"/>
  <c r="AC664" i="12" a="1"/>
  <c r="AC664" i="12" s="1"/>
  <c r="H261" i="12" a="1"/>
  <c r="H261" i="12" s="1"/>
  <c r="C261" i="12" s="1" a="1"/>
  <c r="C261" i="12" s="1"/>
  <c r="I406" i="2" s="1"/>
  <c r="H593" i="12" a="1"/>
  <c r="H593" i="12" s="1"/>
  <c r="C593" i="12" s="1" a="1"/>
  <c r="C593" i="12" s="1"/>
  <c r="I309" i="2" s="1"/>
  <c r="H525" i="12" a="1"/>
  <c r="H525" i="12" s="1"/>
  <c r="C525" i="12" s="1" a="1"/>
  <c r="C525" i="12" s="1"/>
  <c r="I608" i="2" s="1"/>
  <c r="J608" i="2" s="1" a="1"/>
  <c r="J608" i="2" s="1"/>
  <c r="H386" i="12" a="1"/>
  <c r="H386" i="12" s="1"/>
  <c r="C386" i="12" s="1" a="1"/>
  <c r="C386" i="12" s="1"/>
  <c r="I529" i="2" s="1"/>
  <c r="Y626" i="12" a="1"/>
  <c r="Y626" i="12" s="1"/>
  <c r="H511" i="12" a="1"/>
  <c r="H511" i="12" s="1"/>
  <c r="C511" i="12" s="1" a="1"/>
  <c r="C511" i="12" s="1"/>
  <c r="I190" i="8" s="1" a="1"/>
  <c r="I190" i="8" s="1"/>
  <c r="H155" i="12" a="1"/>
  <c r="H155" i="12" s="1"/>
  <c r="C155" i="12" s="1" a="1"/>
  <c r="C155" i="12" s="1"/>
  <c r="I24" i="2" s="1"/>
  <c r="H146" i="12" a="1"/>
  <c r="H146" i="12" s="1"/>
  <c r="C146" i="12" s="1" a="1"/>
  <c r="C146" i="12" s="1"/>
  <c r="I48" i="2" s="1"/>
  <c r="H377" i="12" a="1"/>
  <c r="H377" i="12" s="1"/>
  <c r="C377" i="12" s="1" a="1"/>
  <c r="C377" i="12" s="1"/>
  <c r="I84" i="2" s="1"/>
  <c r="H92" i="12" a="1"/>
  <c r="H92" i="12" s="1"/>
  <c r="C92" i="12" s="1" a="1"/>
  <c r="C92" i="12" s="1"/>
  <c r="I321" i="2" s="1"/>
  <c r="H11" i="12" a="1"/>
  <c r="H11" i="12" s="1"/>
  <c r="C11" i="12" s="1" a="1"/>
  <c r="C11" i="12" s="1"/>
  <c r="I33" i="2" s="1"/>
  <c r="H7" i="12" a="1"/>
  <c r="H7" i="12" s="1"/>
  <c r="C7" i="12" s="1" a="1"/>
  <c r="C7" i="12" s="1"/>
  <c r="I28" i="2" s="1"/>
  <c r="AD641" i="12" a="1"/>
  <c r="AD641" i="12" s="1"/>
  <c r="H358" i="12" a="1"/>
  <c r="H358" i="12" s="1"/>
  <c r="C358" i="12" s="1" a="1"/>
  <c r="C358" i="12" s="1"/>
  <c r="I257" i="2" s="1"/>
  <c r="H530" i="12" a="1"/>
  <c r="H530" i="12" s="1"/>
  <c r="C530" i="12" s="1" a="1"/>
  <c r="C530" i="12" s="1"/>
  <c r="I162" i="8" s="1" a="1"/>
  <c r="I162" i="8" s="1"/>
  <c r="AC638" i="12" a="1"/>
  <c r="AC638" i="12" s="1"/>
  <c r="H435" i="12" a="1"/>
  <c r="H435" i="12" s="1"/>
  <c r="C435" i="12" s="1" a="1"/>
  <c r="C435" i="12" s="1"/>
  <c r="I196" i="2" s="1"/>
  <c r="H178" i="12" a="1"/>
  <c r="H178" i="12" s="1"/>
  <c r="C178" i="12" s="1" a="1"/>
  <c r="C178" i="12" s="1"/>
  <c r="I32" i="8" s="1" a="1"/>
  <c r="I32" i="8" s="1"/>
  <c r="H425" i="12" a="1"/>
  <c r="H425" i="12" s="1"/>
  <c r="C425" i="12" s="1" a="1"/>
  <c r="C425" i="12" s="1"/>
  <c r="I58" i="8" s="1" a="1"/>
  <c r="I58" i="8" s="1"/>
  <c r="H346" i="12" a="1"/>
  <c r="H346" i="12" s="1"/>
  <c r="C346" i="12" s="1" a="1"/>
  <c r="C346" i="12" s="1"/>
  <c r="I96" i="8" s="1" a="1"/>
  <c r="I96" i="8" s="1"/>
  <c r="H217" i="12" a="1"/>
  <c r="H217" i="12" s="1"/>
  <c r="C217" i="12" s="1" a="1"/>
  <c r="C217" i="12" s="1"/>
  <c r="I296" i="2" s="1"/>
  <c r="T22" i="3" a="1"/>
  <c r="T22" i="3" s="1"/>
  <c r="AE7" i="3" s="1" a="1"/>
  <c r="AE7" i="3" s="1"/>
  <c r="H165" i="12" a="1"/>
  <c r="H165" i="12" s="1"/>
  <c r="C165" i="12" s="1" a="1"/>
  <c r="C165" i="12" s="1"/>
  <c r="I268" i="2" s="1"/>
  <c r="AC639" i="12" a="1"/>
  <c r="AC639" i="12" s="1"/>
  <c r="H128" i="12" a="1"/>
  <c r="H128" i="12" s="1"/>
  <c r="C128" i="12" s="1" a="1"/>
  <c r="C128" i="12" s="1"/>
  <c r="I82" i="2" s="1"/>
  <c r="H257" i="12" a="1"/>
  <c r="H257" i="12" s="1"/>
  <c r="C257" i="12" s="1" a="1"/>
  <c r="C257" i="12" s="1"/>
  <c r="I433" i="2" s="1"/>
  <c r="H170" i="12" a="1"/>
  <c r="H170" i="12" s="1"/>
  <c r="C170" i="12" s="1" a="1"/>
  <c r="C170" i="12" s="1"/>
  <c r="I440" i="2" s="1"/>
  <c r="H245" i="12" a="1"/>
  <c r="H245" i="12" s="1"/>
  <c r="C245" i="12" s="1" a="1"/>
  <c r="C245" i="12" s="1"/>
  <c r="I615" i="2" s="1"/>
  <c r="H263" i="12" a="1"/>
  <c r="H263" i="12" s="1"/>
  <c r="C263" i="12" s="1" a="1"/>
  <c r="C263" i="12" s="1"/>
  <c r="I484" i="2" s="1"/>
  <c r="H149" i="12" a="1"/>
  <c r="H149" i="12" s="1"/>
  <c r="C149" i="12" s="1" a="1"/>
  <c r="C149" i="12" s="1"/>
  <c r="I311" i="2" s="1"/>
  <c r="H463" i="12" a="1"/>
  <c r="H463" i="12" s="1"/>
  <c r="C463" i="12" s="1" a="1"/>
  <c r="C463" i="12" s="1"/>
  <c r="I178" i="8" s="1" a="1"/>
  <c r="I178" i="8" s="1"/>
  <c r="AD658" i="12" a="1"/>
  <c r="AD658" i="12" s="1"/>
  <c r="H452" i="12" a="1"/>
  <c r="H452" i="12" s="1"/>
  <c r="C452" i="12" s="1" a="1"/>
  <c r="C452" i="12" s="1"/>
  <c r="I320" i="2" s="1"/>
  <c r="H85" i="12" a="1"/>
  <c r="H85" i="12" s="1"/>
  <c r="C85" i="12" s="1" a="1"/>
  <c r="C85" i="12" s="1"/>
  <c r="I175" i="2" s="1"/>
  <c r="Q28" i="3" a="1"/>
  <c r="Q28" i="3" s="1"/>
  <c r="P28" i="3" a="1"/>
  <c r="P28" i="3" s="1"/>
  <c r="H60" i="12" a="1"/>
  <c r="H60" i="12" s="1"/>
  <c r="C60" i="12" s="1" a="1"/>
  <c r="C60" i="12" s="1"/>
  <c r="H168" i="12" a="1"/>
  <c r="H168" i="12" s="1"/>
  <c r="C168" i="12" s="1" a="1"/>
  <c r="C168" i="12" s="1"/>
  <c r="I374" i="2" s="1"/>
  <c r="H431" i="12" a="1"/>
  <c r="H431" i="12" s="1"/>
  <c r="C431" i="12" s="1" a="1"/>
  <c r="C431" i="12" s="1"/>
  <c r="I145" i="2" s="1"/>
  <c r="H365" i="12" a="1"/>
  <c r="H365" i="12" s="1"/>
  <c r="C365" i="12" s="1" a="1"/>
  <c r="C365" i="12" s="1"/>
  <c r="I79" i="8" s="1" a="1"/>
  <c r="I79" i="8" s="1"/>
  <c r="AD616" i="12" a="1"/>
  <c r="AD616" i="12" s="1"/>
  <c r="H503" i="12" a="1"/>
  <c r="H503" i="12" s="1"/>
  <c r="C503" i="12" s="1" a="1"/>
  <c r="C503" i="12" s="1"/>
  <c r="I164" i="8" s="1" a="1"/>
  <c r="I164" i="8" s="1"/>
  <c r="H99" i="12" a="1"/>
  <c r="H99" i="12" s="1"/>
  <c r="C99" i="12" s="1" a="1"/>
  <c r="C99" i="12" s="1"/>
  <c r="I355" i="2" s="1"/>
  <c r="H475" i="12" a="1"/>
  <c r="H475" i="12" s="1"/>
  <c r="C475" i="12" s="1" a="1"/>
  <c r="C475" i="12" s="1"/>
  <c r="I251" i="2" s="1"/>
  <c r="H53" i="12" a="1"/>
  <c r="H53" i="12" s="1"/>
  <c r="C53" i="12" s="1" a="1"/>
  <c r="C53" i="12" s="1"/>
  <c r="I113" i="2" s="1"/>
  <c r="H161" i="12" a="1"/>
  <c r="H161" i="12" s="1"/>
  <c r="C161" i="12" s="1" a="1"/>
  <c r="C161" i="12" s="1"/>
  <c r="I281" i="2" s="1"/>
  <c r="H84" i="12" a="1"/>
  <c r="H84" i="12" s="1"/>
  <c r="C84" i="12" s="1" a="1"/>
  <c r="C84" i="12" s="1"/>
  <c r="I184" i="2" s="1"/>
  <c r="H56" i="12" a="1"/>
  <c r="H56" i="12" s="1"/>
  <c r="C56" i="12" s="1" a="1"/>
  <c r="C56" i="12" s="1"/>
  <c r="I130" i="2" s="1"/>
  <c r="H531" i="12" a="1"/>
  <c r="H531" i="12" s="1"/>
  <c r="C531" i="12" s="1" a="1"/>
  <c r="C531" i="12" s="1"/>
  <c r="I165" i="2" s="1"/>
  <c r="AD662" i="12" a="1"/>
  <c r="AD662" i="12" s="1"/>
  <c r="H588" i="12" a="1"/>
  <c r="H588" i="12" s="1"/>
  <c r="C588" i="12" s="1" a="1"/>
  <c r="C588" i="12" s="1"/>
  <c r="I345" i="2" s="1"/>
  <c r="AD665" i="12" a="1"/>
  <c r="AD665" i="12" s="1"/>
  <c r="Y611" i="12" a="1"/>
  <c r="Y611" i="12" s="1"/>
  <c r="H141" i="12" a="1"/>
  <c r="H141" i="12" s="1"/>
  <c r="C141" i="12" s="1" a="1"/>
  <c r="C141" i="12" s="1"/>
  <c r="I444" i="2" s="1"/>
  <c r="Y651" i="12" a="1"/>
  <c r="Y651" i="12" s="1"/>
  <c r="H152" i="12" a="1"/>
  <c r="H152" i="12" s="1"/>
  <c r="C152" i="12" s="1" a="1"/>
  <c r="C152" i="12" s="1"/>
  <c r="I519" i="2" s="1"/>
  <c r="H133" i="12" a="1"/>
  <c r="H133" i="12" s="1"/>
  <c r="C133" i="12" s="1" a="1"/>
  <c r="C133" i="12" s="1"/>
  <c r="I181" i="2" s="1"/>
  <c r="R22" i="3" a="1"/>
  <c r="R22" i="3" s="1"/>
  <c r="H32" i="12" a="1"/>
  <c r="H32" i="12" s="1"/>
  <c r="C32" i="12" s="1" a="1"/>
  <c r="C32" i="12" s="1"/>
  <c r="H88" i="12" a="1"/>
  <c r="H88" i="12" s="1"/>
  <c r="C88" i="12" s="1" a="1"/>
  <c r="C88" i="12" s="1"/>
  <c r="H5" i="12" a="1"/>
  <c r="H5" i="12" s="1"/>
  <c r="C5" i="12" s="1" a="1"/>
  <c r="C5" i="12" s="1"/>
  <c r="I12" i="2" s="1"/>
  <c r="H97" i="12" a="1"/>
  <c r="H97" i="12" s="1"/>
  <c r="C97" i="12" s="1" a="1"/>
  <c r="C97" i="12" s="1"/>
  <c r="I159" i="2" s="1"/>
  <c r="H102" i="12" a="1"/>
  <c r="H102" i="12" s="1"/>
  <c r="C102" i="12" s="1" a="1"/>
  <c r="C102" i="12" s="1"/>
  <c r="I103" i="2" s="1"/>
  <c r="Y657" i="12" a="1"/>
  <c r="Y657" i="12" s="1"/>
  <c r="AC667" i="12" a="1"/>
  <c r="AC667" i="12" s="1"/>
  <c r="H139" i="12" a="1"/>
  <c r="H139" i="12" s="1"/>
  <c r="C139" i="12" s="1" a="1"/>
  <c r="C139" i="12" s="1"/>
  <c r="I269" i="2" s="1"/>
  <c r="H205" i="12" a="1"/>
  <c r="H205" i="12" s="1"/>
  <c r="C205" i="12" s="1" a="1"/>
  <c r="C205" i="12" s="1"/>
  <c r="I438" i="2" s="1"/>
  <c r="H52" i="12" a="1"/>
  <c r="H52" i="12" s="1"/>
  <c r="C52" i="12" s="1" a="1"/>
  <c r="C52" i="12" s="1"/>
  <c r="I81" i="2" s="1"/>
  <c r="AC657" i="12" a="1"/>
  <c r="AC657" i="12" s="1"/>
  <c r="H163" i="12" a="1"/>
  <c r="H163" i="12" s="1"/>
  <c r="C163" i="12" s="1" a="1"/>
  <c r="C163" i="12" s="1"/>
  <c r="I437" i="2" s="1"/>
  <c r="H173" i="12" a="1"/>
  <c r="H173" i="12" s="1"/>
  <c r="C173" i="12" s="1" a="1"/>
  <c r="C173" i="12" s="1"/>
  <c r="I441" i="2" s="1"/>
  <c r="H533" i="12" a="1"/>
  <c r="H533" i="12" s="1"/>
  <c r="C533" i="12" s="1" a="1"/>
  <c r="C533" i="12" s="1"/>
  <c r="I169" i="8" s="1" a="1"/>
  <c r="I169" i="8" s="1"/>
  <c r="H591" i="12" a="1"/>
  <c r="H591" i="12" s="1"/>
  <c r="C591" i="12" s="1" a="1"/>
  <c r="C591" i="12" s="1"/>
  <c r="I200" i="8" s="1" a="1"/>
  <c r="I200" i="8" s="1"/>
  <c r="AC666" i="12" a="1"/>
  <c r="AC666" i="12" s="1"/>
  <c r="Y660" i="12" a="1"/>
  <c r="Y660" i="12" s="1"/>
  <c r="H301" i="12" a="1"/>
  <c r="H301" i="12" s="1"/>
  <c r="C301" i="12" s="1" a="1"/>
  <c r="C301" i="12" s="1"/>
  <c r="H448" i="12" a="1"/>
  <c r="H448" i="12" s="1"/>
  <c r="C448" i="12" s="1" a="1"/>
  <c r="C448" i="12" s="1"/>
  <c r="I528" i="2" s="1"/>
  <c r="AC646" i="12" a="1"/>
  <c r="AC646" i="12" s="1"/>
  <c r="H590" i="12" a="1"/>
  <c r="H590" i="12" s="1"/>
  <c r="C590" i="12" s="1" a="1"/>
  <c r="C590" i="12" s="1"/>
  <c r="I631" i="2" s="1"/>
  <c r="H460" i="12" a="1"/>
  <c r="H460" i="12" s="1"/>
  <c r="C460" i="12" s="1" a="1"/>
  <c r="C460" i="12" s="1"/>
  <c r="I648" i="2" s="1"/>
  <c r="H100" i="12" a="1"/>
  <c r="H100" i="12" s="1"/>
  <c r="C100" i="12" s="1" a="1"/>
  <c r="C100" i="12" s="1"/>
  <c r="I219" i="2" s="1"/>
  <c r="H344" i="12" a="1"/>
  <c r="H344" i="12" s="1"/>
  <c r="C344" i="12" s="1" a="1"/>
  <c r="C344" i="12" s="1"/>
  <c r="I383" i="2" s="1"/>
  <c r="H280" i="12" a="1"/>
  <c r="H280" i="12" s="1"/>
  <c r="C280" i="12" s="1" a="1"/>
  <c r="C280" i="12" s="1"/>
  <c r="I515" i="2" s="1"/>
  <c r="H347" i="12" a="1"/>
  <c r="H347" i="12" s="1"/>
  <c r="C347" i="12" s="1" a="1"/>
  <c r="C347" i="12" s="1"/>
  <c r="I589" i="2" s="1"/>
  <c r="H595" i="12" a="1"/>
  <c r="H595" i="12" s="1"/>
  <c r="C595" i="12" s="1" a="1"/>
  <c r="C595" i="12" s="1"/>
  <c r="I493" i="2" s="1"/>
  <c r="H98" i="12" a="1"/>
  <c r="H98" i="12" s="1"/>
  <c r="C98" i="12" s="1" a="1"/>
  <c r="C98" i="12" s="1"/>
  <c r="I617" i="2" s="1"/>
  <c r="H275" i="12" a="1"/>
  <c r="H275" i="12" s="1"/>
  <c r="C275" i="12" s="1" a="1"/>
  <c r="C275" i="12" s="1"/>
  <c r="I148" i="2" s="1"/>
  <c r="H291" i="12" a="1"/>
  <c r="H291" i="12" s="1"/>
  <c r="C291" i="12" s="1" a="1"/>
  <c r="C291" i="12" s="1"/>
  <c r="I591" i="2" s="1"/>
  <c r="E96" i="7" a="1"/>
  <c r="E96" i="7" s="1"/>
  <c r="E86" i="5" a="1"/>
  <c r="E86" i="5" s="1"/>
  <c r="E171" i="4" a="1"/>
  <c r="E171" i="4" s="1"/>
  <c r="J430" i="2" a="1"/>
  <c r="J430" i="2" s="1"/>
  <c r="H600" i="12" a="1"/>
  <c r="H600" i="12" s="1"/>
  <c r="C600" i="12" s="1" a="1"/>
  <c r="C600" i="12" s="1"/>
  <c r="I397" i="2" s="1"/>
  <c r="H399" i="12" a="1"/>
  <c r="H399" i="12" s="1"/>
  <c r="C399" i="12" s="1" a="1"/>
  <c r="C399" i="12" s="1"/>
  <c r="I572" i="2" s="1"/>
  <c r="E207" i="7" a="1"/>
  <c r="E207" i="7" s="1"/>
  <c r="E399" i="4" a="1"/>
  <c r="E399" i="4" s="1"/>
  <c r="J649" i="2" a="1"/>
  <c r="J649" i="2" s="1"/>
  <c r="H597" i="12" a="1"/>
  <c r="H597" i="12" s="1"/>
  <c r="C597" i="12" s="1" a="1"/>
  <c r="C597" i="12" s="1"/>
  <c r="I264" i="2" s="1"/>
  <c r="H324" i="12" a="1"/>
  <c r="H324" i="12" s="1"/>
  <c r="C324" i="12" s="1" a="1"/>
  <c r="C324" i="12" s="1"/>
  <c r="I618" i="2" s="1"/>
  <c r="H498" i="12" a="1"/>
  <c r="H498" i="12" s="1"/>
  <c r="C498" i="12" s="1" a="1"/>
  <c r="C498" i="12" s="1"/>
  <c r="I553" i="2" s="1"/>
  <c r="H288" i="12" a="1"/>
  <c r="H288" i="12" s="1"/>
  <c r="C288" i="12" s="1" a="1"/>
  <c r="C288" i="12" s="1"/>
  <c r="I454" i="2" s="1"/>
  <c r="H513" i="12" a="1"/>
  <c r="H513" i="12" s="1"/>
  <c r="C513" i="12" s="1" a="1"/>
  <c r="C513" i="12" s="1"/>
  <c r="I632" i="2" s="1"/>
  <c r="H518" i="12" a="1"/>
  <c r="H518" i="12" s="1"/>
  <c r="C518" i="12" s="1" a="1"/>
  <c r="C518" i="12" s="1"/>
  <c r="AD664" i="12" a="1"/>
  <c r="AD664" i="12" s="1"/>
  <c r="H471" i="12" a="1"/>
  <c r="H471" i="12" s="1"/>
  <c r="C471" i="12" s="1" a="1"/>
  <c r="C471" i="12" s="1"/>
  <c r="I502" i="2" s="1"/>
  <c r="H535" i="12" a="1"/>
  <c r="H535" i="12" s="1"/>
  <c r="C535" i="12" s="1" a="1"/>
  <c r="C535" i="12" s="1"/>
  <c r="I597" i="2" s="1"/>
  <c r="H473" i="12" a="1"/>
  <c r="H473" i="12" s="1"/>
  <c r="C473" i="12" s="1" a="1"/>
  <c r="C473" i="12" s="1"/>
  <c r="I530" i="2" s="1"/>
  <c r="H402" i="12" a="1"/>
  <c r="H402" i="12" s="1"/>
  <c r="C402" i="12" s="1" a="1"/>
  <c r="C402" i="12" s="1"/>
  <c r="I600" i="2" s="1"/>
  <c r="H219" i="12" a="1"/>
  <c r="H219" i="12" s="1"/>
  <c r="C219" i="12" s="1" a="1"/>
  <c r="C219" i="12" s="1"/>
  <c r="E155" i="7" a="1"/>
  <c r="E155" i="7" s="1"/>
  <c r="E155" i="5" a="1"/>
  <c r="E155" i="5" s="1"/>
  <c r="E287" i="4" a="1"/>
  <c r="E287" i="4" s="1"/>
  <c r="J566" i="2" a="1"/>
  <c r="J566" i="2" s="1"/>
  <c r="H481" i="12" a="1"/>
  <c r="H481" i="12" s="1"/>
  <c r="C481" i="12" s="1" a="1"/>
  <c r="C481" i="12" s="1"/>
  <c r="I471" i="2" s="1"/>
  <c r="H604" i="12" a="1"/>
  <c r="H604" i="12" s="1"/>
  <c r="C604" i="12" s="1" a="1"/>
  <c r="C604" i="12" s="1"/>
  <c r="I435" i="2" s="1"/>
  <c r="AC658" i="12" a="1"/>
  <c r="AC658" i="12" s="1"/>
  <c r="H432" i="12" a="1"/>
  <c r="H432" i="12" s="1"/>
  <c r="C432" i="12" s="1" a="1"/>
  <c r="C432" i="12" s="1"/>
  <c r="I91" i="8" s="1" a="1"/>
  <c r="I91" i="8" s="1"/>
  <c r="H162" i="12" a="1"/>
  <c r="H162" i="12" s="1"/>
  <c r="C162" i="12" s="1" a="1"/>
  <c r="C162" i="12" s="1"/>
  <c r="I468" i="2" s="1"/>
  <c r="H186" i="12" a="1"/>
  <c r="H186" i="12" s="1"/>
  <c r="C186" i="12" s="1" a="1"/>
  <c r="C186" i="12" s="1"/>
  <c r="I464" i="2" s="1"/>
  <c r="Y669" i="12" a="1"/>
  <c r="Y669" i="12" s="1"/>
  <c r="K25" i="3" a="1"/>
  <c r="K25" i="3" s="1"/>
  <c r="K28" i="3" s="1" a="1"/>
  <c r="K28" i="3" s="1"/>
  <c r="Y623" i="12" a="1"/>
  <c r="Y623" i="12" s="1"/>
  <c r="C623" i="12" s="1" a="1"/>
  <c r="C623" i="12" s="1"/>
  <c r="I18" i="9" s="1" a="1"/>
  <c r="I18" i="9" s="1"/>
  <c r="Y662" i="12" a="1"/>
  <c r="Y662" i="12" s="1"/>
  <c r="H37" i="12" a="1"/>
  <c r="H37" i="12" s="1"/>
  <c r="C37" i="12" s="1" a="1"/>
  <c r="C37" i="12" s="1"/>
  <c r="I70" i="2" s="1"/>
  <c r="H121" i="12" a="1"/>
  <c r="H121" i="12" s="1"/>
  <c r="C121" i="12" s="1" a="1"/>
  <c r="C121" i="12" s="1"/>
  <c r="I240" i="2" s="1"/>
  <c r="H79" i="12" a="1"/>
  <c r="H79" i="12" s="1"/>
  <c r="C79" i="12" s="1" a="1"/>
  <c r="C79" i="12" s="1"/>
  <c r="Y631" i="12" a="1"/>
  <c r="Y631" i="12" s="1"/>
  <c r="C631" i="12" s="1" a="1"/>
  <c r="C631" i="12" s="1"/>
  <c r="I22" i="9" s="1" a="1"/>
  <c r="I22" i="9" s="1"/>
  <c r="AC662" i="12" a="1"/>
  <c r="AC662" i="12" s="1"/>
  <c r="H519" i="12" a="1"/>
  <c r="H519" i="12" s="1"/>
  <c r="C519" i="12" s="1" a="1"/>
  <c r="C519" i="12" s="1"/>
  <c r="I368" i="2" s="1"/>
  <c r="H191" i="12" a="1"/>
  <c r="H191" i="12" s="1"/>
  <c r="C191" i="12" s="1" a="1"/>
  <c r="C191" i="12" s="1"/>
  <c r="I19" i="8" s="1" a="1"/>
  <c r="I19" i="8" s="1"/>
  <c r="H26" i="12" a="1"/>
  <c r="H26" i="12" s="1"/>
  <c r="C26" i="12" s="1" a="1"/>
  <c r="C26" i="12" s="1"/>
  <c r="I2" i="2" s="1"/>
  <c r="M14" i="3" a="1"/>
  <c r="M14" i="3" s="1"/>
  <c r="H8" i="12" a="1"/>
  <c r="H8" i="12" s="1"/>
  <c r="C8" i="12" s="1" a="1"/>
  <c r="C8" i="12" s="1"/>
  <c r="I51" i="2" s="1"/>
  <c r="H305" i="12" a="1"/>
  <c r="H305" i="12" s="1"/>
  <c r="C305" i="12" s="1" a="1"/>
  <c r="C305" i="12" s="1"/>
  <c r="I35" i="8" s="1" a="1"/>
  <c r="I35" i="8" s="1"/>
  <c r="H388" i="12" a="1"/>
  <c r="H388" i="12" s="1"/>
  <c r="C388" i="12" s="1" a="1"/>
  <c r="C388" i="12" s="1"/>
  <c r="I171" i="2" s="1"/>
  <c r="AD629" i="12" a="1"/>
  <c r="AD629" i="12" s="1"/>
  <c r="H547" i="12" a="1"/>
  <c r="H547" i="12" s="1"/>
  <c r="C547" i="12" s="1" a="1"/>
  <c r="C547" i="12" s="1"/>
  <c r="I155" i="8" s="1" a="1"/>
  <c r="I155" i="8" s="1"/>
  <c r="H233" i="12" a="1"/>
  <c r="H233" i="12" s="1"/>
  <c r="C233" i="12" s="1" a="1"/>
  <c r="C233" i="12" s="1"/>
  <c r="I469" i="2" s="1"/>
  <c r="H49" i="12" a="1"/>
  <c r="H49" i="12" s="1"/>
  <c r="C49" i="12" s="1" a="1"/>
  <c r="C49" i="12" s="1"/>
  <c r="S22" i="3" a="1"/>
  <c r="S22" i="3" s="1"/>
  <c r="H140" i="12" a="1"/>
  <c r="H140" i="12" s="1"/>
  <c r="C140" i="12" s="1" a="1"/>
  <c r="C140" i="12" s="1"/>
  <c r="I431" i="2" s="1"/>
  <c r="H183" i="12" a="1"/>
  <c r="H183" i="12" s="1"/>
  <c r="C183" i="12" s="1" a="1"/>
  <c r="C183" i="12" s="1"/>
  <c r="I386" i="2" s="1"/>
  <c r="H209" i="12" a="1"/>
  <c r="H209" i="12" s="1"/>
  <c r="C209" i="12" s="1" a="1"/>
  <c r="C209" i="12" s="1"/>
  <c r="I436" i="2" s="1"/>
  <c r="H514" i="12" a="1"/>
  <c r="H514" i="12" s="1"/>
  <c r="C514" i="12" s="1" a="1"/>
  <c r="C514" i="12" s="1"/>
  <c r="I341" i="2" s="1"/>
  <c r="H51" i="12" a="1"/>
  <c r="H51" i="12" s="1"/>
  <c r="C51" i="12" s="1" a="1"/>
  <c r="C51" i="12" s="1"/>
  <c r="H80" i="12" a="1"/>
  <c r="H80" i="12" s="1"/>
  <c r="C80" i="12" s="1" a="1"/>
  <c r="C80" i="12" s="1"/>
  <c r="I16" i="2" s="1"/>
  <c r="H256" i="12" a="1"/>
  <c r="H256" i="12" s="1"/>
  <c r="C256" i="12" s="1" a="1"/>
  <c r="C256" i="12" s="1"/>
  <c r="I93" i="2" s="1"/>
  <c r="H325" i="12" a="1"/>
  <c r="H325" i="12" s="1"/>
  <c r="C325" i="12" s="1" a="1"/>
  <c r="C325" i="12" s="1"/>
  <c r="I84" i="8" s="1" a="1"/>
  <c r="I84" i="8" s="1"/>
  <c r="H190" i="12" a="1"/>
  <c r="H190" i="12" s="1"/>
  <c r="C190" i="12" s="1" a="1"/>
  <c r="C190" i="12" s="1"/>
  <c r="I400" i="2" s="1"/>
  <c r="H180" i="12" a="1"/>
  <c r="H180" i="12" s="1"/>
  <c r="C180" i="12" s="1" a="1"/>
  <c r="C180" i="12" s="1"/>
  <c r="Y652" i="12" a="1"/>
  <c r="Y652" i="12" s="1"/>
  <c r="C652" i="12" s="1" a="1"/>
  <c r="C652" i="12" s="1"/>
  <c r="I326" i="2" s="1"/>
  <c r="AD643" i="12" a="1"/>
  <c r="AD643" i="12" s="1"/>
  <c r="H59" i="12" a="1"/>
  <c r="H59" i="12" s="1"/>
  <c r="C59" i="12" s="1" a="1"/>
  <c r="C59" i="12" s="1"/>
  <c r="I124" i="2" s="1"/>
  <c r="H19" i="12" a="1"/>
  <c r="H19" i="12" s="1"/>
  <c r="C19" i="12" s="1" a="1"/>
  <c r="C19" i="12" s="1"/>
  <c r="I83" i="2" s="1"/>
  <c r="H119" i="12" a="1"/>
  <c r="H119" i="12" s="1"/>
  <c r="C119" i="12" s="1" a="1"/>
  <c r="C119" i="12" s="1"/>
  <c r="I421" i="2" s="1"/>
  <c r="AD657" i="12" a="1"/>
  <c r="AD657" i="12" s="1"/>
  <c r="H566" i="12" a="1"/>
  <c r="H566" i="12" s="1"/>
  <c r="C566" i="12" s="1" a="1"/>
  <c r="C566" i="12" s="1"/>
  <c r="I247" i="2" s="1"/>
  <c r="H517" i="12" a="1"/>
  <c r="H517" i="12" s="1"/>
  <c r="C517" i="12" s="1" a="1"/>
  <c r="C517" i="12" s="1"/>
  <c r="H577" i="12" a="1"/>
  <c r="H577" i="12" s="1"/>
  <c r="C577" i="12" s="1" a="1"/>
  <c r="C577" i="12" s="1"/>
  <c r="I581" i="2" s="1"/>
  <c r="H326" i="12" a="1"/>
  <c r="H326" i="12" s="1"/>
  <c r="C326" i="12" s="1" a="1"/>
  <c r="C326" i="12" s="1"/>
  <c r="I658" i="2" s="1"/>
  <c r="Y650" i="12" a="1"/>
  <c r="Y650" i="12" s="1"/>
  <c r="H304" i="12" a="1"/>
  <c r="H304" i="12" s="1"/>
  <c r="C304" i="12" s="1" a="1"/>
  <c r="C304" i="12" s="1"/>
  <c r="I559" i="2" s="1"/>
  <c r="E151" i="6" s="1" a="1"/>
  <c r="E151" i="6" s="1"/>
  <c r="H313" i="12" a="1"/>
  <c r="H313" i="12" s="1"/>
  <c r="C313" i="12" s="1" a="1"/>
  <c r="C313" i="12" s="1"/>
  <c r="I512" i="2" s="1"/>
  <c r="AD646" i="12" a="1"/>
  <c r="AD646" i="12" s="1"/>
  <c r="H488" i="12" a="1"/>
  <c r="H488" i="12" s="1"/>
  <c r="C488" i="12" s="1" a="1"/>
  <c r="C488" i="12" s="1"/>
  <c r="I550" i="2" s="1"/>
  <c r="Y670" i="12" a="1"/>
  <c r="Y670" i="12" s="1"/>
  <c r="H565" i="12" a="1"/>
  <c r="H565" i="12" s="1"/>
  <c r="C565" i="12" s="1" a="1"/>
  <c r="C565" i="12" s="1"/>
  <c r="I642" i="2" s="1"/>
  <c r="Y658" i="12" a="1"/>
  <c r="Y658" i="12" s="1"/>
  <c r="H158" i="12" a="1"/>
  <c r="H158" i="12" s="1"/>
  <c r="C158" i="12" s="1" a="1"/>
  <c r="C158" i="12" s="1"/>
  <c r="H436" i="12" a="1"/>
  <c r="H436" i="12" s="1"/>
  <c r="C436" i="12" s="1" a="1"/>
  <c r="C436" i="12" s="1"/>
  <c r="AC668" i="12" a="1"/>
  <c r="AC668" i="12" s="1"/>
  <c r="H409" i="12" a="1"/>
  <c r="H409" i="12" s="1"/>
  <c r="C409" i="12" s="1" a="1"/>
  <c r="C409" i="12" s="1"/>
  <c r="I510" i="2" s="1"/>
  <c r="H581" i="12" a="1"/>
  <c r="H581" i="12" s="1"/>
  <c r="C581" i="12" s="1" a="1"/>
  <c r="C581" i="12" s="1"/>
  <c r="I379" i="2" s="1"/>
  <c r="H351" i="12" a="1"/>
  <c r="H351" i="12" s="1"/>
  <c r="C351" i="12" s="1" a="1"/>
  <c r="C351" i="12" s="1"/>
  <c r="I491" i="2" s="1"/>
  <c r="H104" i="12" a="1"/>
  <c r="H104" i="12" s="1"/>
  <c r="C104" i="12" s="1" a="1"/>
  <c r="C104" i="12" s="1"/>
  <c r="H331" i="12" a="1"/>
  <c r="H331" i="12" s="1"/>
  <c r="C331" i="12" s="1" a="1"/>
  <c r="C331" i="12" s="1"/>
  <c r="I453" i="2" s="1"/>
  <c r="H117" i="12" a="1"/>
  <c r="H117" i="12" s="1"/>
  <c r="C117" i="12" s="1" a="1"/>
  <c r="C117" i="12" s="1"/>
  <c r="AC612" i="12" a="1"/>
  <c r="AC612" i="12" s="1"/>
  <c r="H596" i="12" a="1"/>
  <c r="H596" i="12" s="1"/>
  <c r="C596" i="12" s="1" a="1"/>
  <c r="C596" i="12" s="1"/>
  <c r="I276" i="2" s="1"/>
  <c r="H381" i="12" a="1"/>
  <c r="H381" i="12" s="1"/>
  <c r="C381" i="12" s="1" a="1"/>
  <c r="C381" i="12" s="1"/>
  <c r="Y666" i="12" a="1"/>
  <c r="Y666" i="12" s="1"/>
  <c r="AD610" i="12" a="1"/>
  <c r="AD610" i="12" s="1"/>
  <c r="AC609" i="12" a="1"/>
  <c r="AC609" i="12" s="1"/>
  <c r="H366" i="12" a="1"/>
  <c r="H366" i="12" s="1"/>
  <c r="C366" i="12" s="1" a="1"/>
  <c r="C366" i="12" s="1"/>
  <c r="I94" i="8" s="1" a="1"/>
  <c r="I94" i="8" s="1"/>
  <c r="H225" i="12" a="1"/>
  <c r="H225" i="12" s="1"/>
  <c r="C225" i="12" s="1" a="1"/>
  <c r="C225" i="12" s="1"/>
  <c r="I427" i="2" s="1"/>
  <c r="H584" i="12" a="1"/>
  <c r="H584" i="12" s="1"/>
  <c r="C584" i="12" s="1" a="1"/>
  <c r="C584" i="12" s="1"/>
  <c r="I353" i="2" s="1"/>
  <c r="H23" i="12" a="1"/>
  <c r="H23" i="12" s="1"/>
  <c r="C23" i="12" s="1" a="1"/>
  <c r="C23" i="12" s="1"/>
  <c r="I39" i="2" s="1"/>
  <c r="H124" i="12" a="1"/>
  <c r="H124" i="12" s="1"/>
  <c r="C124" i="12" s="1" a="1"/>
  <c r="C124" i="12" s="1"/>
  <c r="H500" i="12" a="1"/>
  <c r="H500" i="12" s="1"/>
  <c r="C500" i="12" s="1" a="1"/>
  <c r="C500" i="12" s="1"/>
  <c r="I141" i="8" s="1" a="1"/>
  <c r="I141" i="8" s="1"/>
  <c r="H277" i="12" a="1"/>
  <c r="H277" i="12" s="1"/>
  <c r="C277" i="12" s="1" a="1"/>
  <c r="C277" i="12" s="1"/>
  <c r="I389" i="2" s="1"/>
  <c r="Y645" i="12" a="1"/>
  <c r="Y645" i="12" s="1"/>
  <c r="H401" i="12" a="1"/>
  <c r="H401" i="12" s="1"/>
  <c r="C401" i="12" s="1" a="1"/>
  <c r="C401" i="12" s="1"/>
  <c r="I80" i="8" s="1" a="1"/>
  <c r="I80" i="8" s="1"/>
  <c r="H22" i="12" a="1"/>
  <c r="H22" i="12" s="1"/>
  <c r="C22" i="12" s="1" a="1"/>
  <c r="C22" i="12" s="1"/>
  <c r="I54" i="2" s="1"/>
  <c r="AD650" i="12" a="1"/>
  <c r="AD650" i="12" s="1"/>
  <c r="H96" i="12" a="1"/>
  <c r="H96" i="12" s="1"/>
  <c r="C96" i="12" s="1" a="1"/>
  <c r="C96" i="12" s="1"/>
  <c r="I208" i="2" s="1"/>
  <c r="H374" i="12" a="1"/>
  <c r="H374" i="12" s="1"/>
  <c r="C374" i="12" s="1" a="1"/>
  <c r="C374" i="12" s="1"/>
  <c r="I113" i="8" s="1" a="1"/>
  <c r="I113" i="8" s="1"/>
  <c r="H559" i="12" a="1"/>
  <c r="H559" i="12" s="1"/>
  <c r="C559" i="12" s="1" a="1"/>
  <c r="C559" i="12" s="1"/>
  <c r="I360" i="2" s="1"/>
  <c r="H235" i="12" a="1"/>
  <c r="H235" i="12" s="1"/>
  <c r="C235" i="12" s="1" a="1"/>
  <c r="C235" i="12" s="1"/>
  <c r="I323" i="2" s="1"/>
  <c r="AD634" i="12" a="1"/>
  <c r="AD634" i="12" s="1"/>
  <c r="H76" i="12" a="1"/>
  <c r="H76" i="12" s="1"/>
  <c r="C76" i="12" s="1" a="1"/>
  <c r="C76" i="12" s="1"/>
  <c r="H45" i="12" a="1"/>
  <c r="H45" i="12" s="1"/>
  <c r="C45" i="12" s="1" a="1"/>
  <c r="C45" i="12" s="1"/>
  <c r="I9" i="8" s="1" a="1"/>
  <c r="I9" i="8" s="1"/>
  <c r="H47" i="12" a="1"/>
  <c r="H47" i="12" s="1"/>
  <c r="C47" i="12" s="1" a="1"/>
  <c r="C47" i="12" s="1"/>
  <c r="I19" i="2" s="1"/>
  <c r="H30" i="12" a="1"/>
  <c r="H30" i="12" s="1"/>
  <c r="C30" i="12" s="1" a="1"/>
  <c r="C30" i="12" s="1"/>
  <c r="I56" i="2" s="1"/>
  <c r="H266" i="12" a="1"/>
  <c r="H266" i="12" s="1"/>
  <c r="C266" i="12" s="1" a="1"/>
  <c r="C266" i="12" s="1"/>
  <c r="I161" i="2" s="1"/>
  <c r="AC656" i="12" a="1"/>
  <c r="AC656" i="12" s="1"/>
  <c r="H46" i="12" a="1"/>
  <c r="H46" i="12" s="1"/>
  <c r="C46" i="12" s="1" a="1"/>
  <c r="C46" i="12" s="1"/>
  <c r="I109" i="2" s="1"/>
  <c r="H403" i="12" a="1"/>
  <c r="H403" i="12" s="1"/>
  <c r="C403" i="12" s="1" a="1"/>
  <c r="C403" i="12" s="1"/>
  <c r="I127" i="8" s="1" a="1"/>
  <c r="I127" i="8" s="1"/>
  <c r="H317" i="12" a="1"/>
  <c r="H317" i="12" s="1"/>
  <c r="C317" i="12" s="1" a="1"/>
  <c r="C317" i="12" s="1"/>
  <c r="I178" i="2" s="1"/>
  <c r="H192" i="12" a="1"/>
  <c r="H192" i="12" s="1"/>
  <c r="C192" i="12" s="1" a="1"/>
  <c r="C192" i="12" s="1"/>
  <c r="I483" i="2" s="1"/>
  <c r="H201" i="12" a="1"/>
  <c r="H201" i="12" s="1"/>
  <c r="C201" i="12" s="1" a="1"/>
  <c r="C201" i="12" s="1"/>
  <c r="I37" i="8" s="1" a="1"/>
  <c r="I37" i="8" s="1"/>
  <c r="P22" i="3" a="1"/>
  <c r="P22" i="3" s="1"/>
  <c r="AC617" i="12" a="1"/>
  <c r="AC617" i="12" s="1"/>
  <c r="H414" i="12" a="1"/>
  <c r="H414" i="12" s="1"/>
  <c r="C414" i="12" s="1" a="1"/>
  <c r="C414" i="12" s="1"/>
  <c r="I102" i="8" s="1" a="1"/>
  <c r="I102" i="8" s="1"/>
  <c r="H107" i="12" a="1"/>
  <c r="H107" i="12" s="1"/>
  <c r="C107" i="12" s="1" a="1"/>
  <c r="C107" i="12" s="1"/>
  <c r="I419" i="2" s="1"/>
  <c r="H203" i="12" a="1"/>
  <c r="H203" i="12" s="1"/>
  <c r="C203" i="12" s="1" a="1"/>
  <c r="C203" i="12" s="1"/>
  <c r="I191" i="2" s="1"/>
  <c r="H194" i="12" a="1"/>
  <c r="H194" i="12" s="1"/>
  <c r="C194" i="12" s="1" a="1"/>
  <c r="C194" i="12" s="1"/>
  <c r="I505" i="2" s="1"/>
  <c r="H327" i="12" a="1"/>
  <c r="H327" i="12" s="1"/>
  <c r="C327" i="12" s="1" a="1"/>
  <c r="C327" i="12" s="1"/>
  <c r="I542" i="2" s="1"/>
  <c r="H571" i="12" a="1"/>
  <c r="H571" i="12" s="1"/>
  <c r="C571" i="12" s="1" a="1"/>
  <c r="C571" i="12" s="1"/>
  <c r="I286" i="2" s="1"/>
  <c r="AC644" i="12" a="1"/>
  <c r="AC644" i="12" s="1"/>
  <c r="H392" i="12" a="1"/>
  <c r="H392" i="12" s="1"/>
  <c r="C392" i="12" s="1" a="1"/>
  <c r="C392" i="12" s="1"/>
  <c r="H512" i="12" a="1"/>
  <c r="H512" i="12" s="1"/>
  <c r="C512" i="12" s="1" a="1"/>
  <c r="C512" i="12" s="1"/>
  <c r="I558" i="2" s="1"/>
  <c r="H529" i="12" a="1"/>
  <c r="H529" i="12" s="1"/>
  <c r="C529" i="12" s="1" a="1"/>
  <c r="C529" i="12" s="1"/>
  <c r="I482" i="2" s="1"/>
  <c r="H570" i="12" a="1"/>
  <c r="H570" i="12" s="1"/>
  <c r="C570" i="12" s="1" a="1"/>
  <c r="C570" i="12" s="1"/>
  <c r="I668" i="2" s="1"/>
  <c r="H464" i="12" a="1"/>
  <c r="H464" i="12" s="1"/>
  <c r="C464" i="12" s="1" a="1"/>
  <c r="C464" i="12" s="1"/>
  <c r="I489" i="2" s="1"/>
  <c r="H270" i="12" a="1"/>
  <c r="H270" i="12" s="1"/>
  <c r="C270" i="12" s="1" a="1"/>
  <c r="C270" i="12" s="1"/>
  <c r="I451" i="2" s="1"/>
  <c r="AD622" i="12" a="1"/>
  <c r="AD622" i="12" s="1"/>
  <c r="H355" i="12" a="1"/>
  <c r="H355" i="12" s="1"/>
  <c r="C355" i="12" s="1" a="1"/>
  <c r="C355" i="12" s="1"/>
  <c r="I517" i="2" s="1"/>
  <c r="H486" i="12" a="1"/>
  <c r="H486" i="12" s="1"/>
  <c r="C486" i="12" s="1" a="1"/>
  <c r="C486" i="12" s="1"/>
  <c r="I533" i="2" s="1"/>
  <c r="H242" i="12" a="1"/>
  <c r="H242" i="12" s="1"/>
  <c r="C242" i="12" s="1" a="1"/>
  <c r="C242" i="12" s="1"/>
  <c r="I587" i="2" s="1"/>
  <c r="AD672" i="12" a="1"/>
  <c r="AD672" i="12" s="1"/>
  <c r="H349" i="12" a="1"/>
  <c r="H349" i="12" s="1"/>
  <c r="C349" i="12" s="1" a="1"/>
  <c r="C349" i="12" s="1"/>
  <c r="I520" i="2" s="1"/>
  <c r="AC611" i="12" a="1"/>
  <c r="AC611" i="12" s="1"/>
  <c r="H444" i="12" a="1"/>
  <c r="H444" i="12" s="1"/>
  <c r="C444" i="12" s="1" a="1"/>
  <c r="C444" i="12" s="1"/>
  <c r="I664" i="2" s="1"/>
  <c r="H278" i="12" a="1"/>
  <c r="H278" i="12" s="1"/>
  <c r="C278" i="12" s="1" a="1"/>
  <c r="C278" i="12" s="1"/>
  <c r="I592" i="2" s="1"/>
  <c r="H287" i="12" a="1"/>
  <c r="H287" i="12" s="1"/>
  <c r="C287" i="12" s="1" a="1"/>
  <c r="C287" i="12" s="1"/>
  <c r="I498" i="2" s="1"/>
  <c r="H316" i="12" a="1"/>
  <c r="H316" i="12" s="1"/>
  <c r="C316" i="12" s="1" a="1"/>
  <c r="C316" i="12" s="1"/>
  <c r="I602" i="2" s="1"/>
  <c r="H320" i="12" a="1"/>
  <c r="H320" i="12" s="1"/>
  <c r="C320" i="12" s="1" a="1"/>
  <c r="C320" i="12" s="1"/>
  <c r="I537" i="2" s="1"/>
  <c r="H111" i="12" a="1"/>
  <c r="H111" i="12" s="1"/>
  <c r="C111" i="12" s="1" a="1"/>
  <c r="C111" i="12" s="1"/>
  <c r="H594" i="12" a="1"/>
  <c r="H594" i="12" s="1"/>
  <c r="C594" i="12" s="1" a="1"/>
  <c r="C594" i="12" s="1"/>
  <c r="I402" i="2" s="1"/>
  <c r="H360" i="12" a="1"/>
  <c r="H360" i="12" s="1"/>
  <c r="C360" i="12" s="1" a="1"/>
  <c r="C360" i="12" s="1"/>
  <c r="I487" i="2" s="1"/>
  <c r="H354" i="12" a="1"/>
  <c r="H354" i="12" s="1"/>
  <c r="C354" i="12" s="1" a="1"/>
  <c r="C354" i="12" s="1"/>
  <c r="I94" i="2" s="1"/>
  <c r="AC647" i="12" a="1"/>
  <c r="AC647" i="12" s="1"/>
  <c r="H132" i="12" a="1"/>
  <c r="H132" i="12" s="1"/>
  <c r="C132" i="12" s="1" a="1"/>
  <c r="C132" i="12" s="1"/>
  <c r="I399" i="2" s="1"/>
  <c r="H283" i="12" a="1"/>
  <c r="H283" i="12" s="1"/>
  <c r="C283" i="12" s="1" a="1"/>
  <c r="C283" i="12" s="1"/>
  <c r="I77" i="8" s="1" a="1"/>
  <c r="I77" i="8" s="1"/>
  <c r="AD647" i="12" a="1"/>
  <c r="AD647" i="12" s="1"/>
  <c r="H34" i="12" a="1"/>
  <c r="H34" i="12" s="1"/>
  <c r="C34" i="12" s="1" a="1"/>
  <c r="C34" i="12" s="1"/>
  <c r="I155" i="2" s="1"/>
  <c r="H451" i="12" a="1"/>
  <c r="H451" i="12" s="1"/>
  <c r="C451" i="12" s="1" a="1"/>
  <c r="C451" i="12" s="1"/>
  <c r="I327" i="2" s="1"/>
  <c r="H243" i="12" a="1"/>
  <c r="H243" i="12" s="1"/>
  <c r="C243" i="12" s="1" a="1"/>
  <c r="C243" i="12" s="1"/>
  <c r="I455" i="2" s="1"/>
  <c r="H174" i="12" a="1"/>
  <c r="H174" i="12" s="1"/>
  <c r="C174" i="12" s="1" a="1"/>
  <c r="C174" i="12" s="1"/>
  <c r="I33" i="8" s="1" a="1"/>
  <c r="I33" i="8" s="1"/>
  <c r="H69" i="12" a="1"/>
  <c r="H69" i="12" s="1"/>
  <c r="C69" i="12" s="1" a="1"/>
  <c r="C69" i="12" s="1"/>
  <c r="I357" i="2" s="1"/>
  <c r="AC633" i="12" a="1"/>
  <c r="AC633" i="12" s="1"/>
  <c r="H39" i="12" a="1"/>
  <c r="H39" i="12" s="1"/>
  <c r="C39" i="12" s="1" a="1"/>
  <c r="C39" i="12" s="1"/>
  <c r="I77" i="2" s="1"/>
  <c r="H232" i="12" a="1"/>
  <c r="H232" i="12" s="1"/>
  <c r="C232" i="12" s="1" a="1"/>
  <c r="C232" i="12" s="1"/>
  <c r="I521" i="2" s="1"/>
  <c r="H12" i="12" a="1"/>
  <c r="H12" i="12" s="1"/>
  <c r="C12" i="12" s="1" a="1"/>
  <c r="C12" i="12" s="1"/>
  <c r="I95" i="2" s="1"/>
  <c r="H21" i="12" a="1"/>
  <c r="H21" i="12" s="1"/>
  <c r="C21" i="12" s="1" a="1"/>
  <c r="C21" i="12" s="1"/>
  <c r="I97" i="2" s="1"/>
  <c r="AD609" i="12" a="1"/>
  <c r="AD609" i="12" s="1"/>
  <c r="AC655" i="12" a="1"/>
  <c r="AC655" i="12" s="1"/>
  <c r="H255" i="12" a="1"/>
  <c r="H255" i="12" s="1"/>
  <c r="C255" i="12" s="1" a="1"/>
  <c r="C255" i="12" s="1"/>
  <c r="I57" i="8" s="1" a="1"/>
  <c r="I57" i="8" s="1"/>
  <c r="H274" i="12" a="1"/>
  <c r="H274" i="12" s="1"/>
  <c r="C274" i="12" s="1" a="1"/>
  <c r="C274" i="12" s="1"/>
  <c r="I579" i="2" s="1"/>
  <c r="H311" i="12" a="1"/>
  <c r="H311" i="12" s="1"/>
  <c r="C311" i="12" s="1" a="1"/>
  <c r="C311" i="12" s="1"/>
  <c r="I473" i="2" s="1"/>
  <c r="H271" i="12" a="1"/>
  <c r="H271" i="12" s="1"/>
  <c r="C271" i="12" s="1" a="1"/>
  <c r="C271" i="12" s="1"/>
  <c r="I366" i="2" s="1"/>
  <c r="AD659" i="12" a="1"/>
  <c r="AD659" i="12" s="1"/>
  <c r="AD627" i="12" a="1"/>
  <c r="AD627" i="12" s="1"/>
  <c r="AC614" i="12" a="1"/>
  <c r="AC614" i="12" s="1"/>
  <c r="H120" i="12" a="1"/>
  <c r="H120" i="12" s="1"/>
  <c r="C120" i="12" s="1" a="1"/>
  <c r="C120" i="12" s="1"/>
  <c r="I254" i="2" s="1"/>
  <c r="H495" i="12" a="1"/>
  <c r="H495" i="12" s="1"/>
  <c r="C495" i="12" s="1" a="1"/>
  <c r="C495" i="12" s="1"/>
  <c r="I370" i="2" s="1"/>
  <c r="V22" i="3" a="1"/>
  <c r="V22" i="3" s="1"/>
  <c r="AC615" i="12" a="1"/>
  <c r="AC615" i="12" s="1"/>
  <c r="C615" i="12" s="1" a="1"/>
  <c r="C615" i="12" s="1"/>
  <c r="I91" i="2" s="1"/>
  <c r="H89" i="12" a="1"/>
  <c r="H89" i="12" s="1"/>
  <c r="C89" i="12" s="1" a="1"/>
  <c r="C89" i="12" s="1"/>
  <c r="I147" i="2" s="1"/>
  <c r="H408" i="12" a="1"/>
  <c r="H408" i="12" s="1"/>
  <c r="C408" i="12" s="1" a="1"/>
  <c r="C408" i="12" s="1"/>
  <c r="I232" i="2" s="1"/>
  <c r="H83" i="12" a="1"/>
  <c r="H83" i="12" s="1"/>
  <c r="C83" i="12" s="1" a="1"/>
  <c r="C83" i="12" s="1"/>
  <c r="I547" i="2" s="1"/>
  <c r="H42" i="12" a="1"/>
  <c r="H42" i="12" s="1"/>
  <c r="C42" i="12" s="1" a="1"/>
  <c r="C42" i="12" s="1"/>
  <c r="I58" i="2" s="1"/>
  <c r="H296" i="12" a="1"/>
  <c r="H296" i="12" s="1"/>
  <c r="C296" i="12" s="1" a="1"/>
  <c r="C296" i="12" s="1"/>
  <c r="I138" i="2" s="1"/>
  <c r="Y614" i="12" a="1"/>
  <c r="Y614" i="12" s="1"/>
  <c r="H499" i="12" a="1"/>
  <c r="H499" i="12" s="1"/>
  <c r="C499" i="12" s="1" a="1"/>
  <c r="C499" i="12" s="1"/>
  <c r="I279" i="2" s="1"/>
  <c r="H224" i="12" a="1"/>
  <c r="H224" i="12" s="1"/>
  <c r="C224" i="12" s="1" a="1"/>
  <c r="C224" i="12" s="1"/>
  <c r="I36" i="8" s="1" a="1"/>
  <c r="I36" i="8" s="1"/>
  <c r="H370" i="12" a="1"/>
  <c r="H370" i="12" s="1"/>
  <c r="C370" i="12" s="1" a="1"/>
  <c r="C370" i="12" s="1"/>
  <c r="I92" i="8" s="1" a="1"/>
  <c r="I92" i="8" s="1"/>
  <c r="H253" i="12" a="1"/>
  <c r="H253" i="12" s="1"/>
  <c r="C253" i="12" s="1" a="1"/>
  <c r="C253" i="12" s="1"/>
  <c r="I182" i="2" s="1"/>
  <c r="H309" i="12" a="1"/>
  <c r="H309" i="12" s="1"/>
  <c r="C309" i="12" s="1" a="1"/>
  <c r="C309" i="12" s="1"/>
  <c r="I144" i="2" s="1"/>
  <c r="H264" i="12" a="1"/>
  <c r="H264" i="12" s="1"/>
  <c r="C264" i="12" s="1" a="1"/>
  <c r="C264" i="12" s="1"/>
  <c r="I160" i="2" s="1"/>
  <c r="AC650" i="12" a="1"/>
  <c r="AC650" i="12" s="1"/>
  <c r="H90" i="12" a="1"/>
  <c r="H90" i="12" s="1"/>
  <c r="C90" i="12" s="1" a="1"/>
  <c r="C90" i="12" s="1"/>
  <c r="I325" i="2" s="1"/>
  <c r="Y641" i="12" a="1"/>
  <c r="Y641" i="12" s="1"/>
  <c r="H368" i="12" a="1"/>
  <c r="H368" i="12" s="1"/>
  <c r="C368" i="12" s="1" a="1"/>
  <c r="C368" i="12" s="1"/>
  <c r="I221" i="2" s="1"/>
  <c r="AC651" i="12" a="1"/>
  <c r="AC651" i="12" s="1"/>
  <c r="AC653" i="12" a="1"/>
  <c r="AC653" i="12" s="1"/>
  <c r="H330" i="12" a="1"/>
  <c r="H330" i="12" s="1"/>
  <c r="C330" i="12" s="1" a="1"/>
  <c r="C330" i="12" s="1"/>
  <c r="I56" i="8" s="1" a="1"/>
  <c r="I56" i="8" s="1"/>
  <c r="AD636" i="12" a="1"/>
  <c r="AD636" i="12" s="1"/>
  <c r="H422" i="12" a="1"/>
  <c r="H422" i="12" s="1"/>
  <c r="C422" i="12" s="1" a="1"/>
  <c r="C422" i="12" s="1"/>
  <c r="I153" i="2" s="1"/>
  <c r="H228" i="12" a="1"/>
  <c r="H228" i="12" s="1"/>
  <c r="C228" i="12" s="1" a="1"/>
  <c r="C228" i="12" s="1"/>
  <c r="I442" i="2" s="1"/>
  <c r="H169" i="12" a="1"/>
  <c r="H169" i="12" s="1"/>
  <c r="C169" i="12" s="1" a="1"/>
  <c r="C169" i="12" s="1"/>
  <c r="I577" i="2" s="1"/>
  <c r="AD656" i="12" a="1"/>
  <c r="AD656" i="12" s="1"/>
  <c r="H93" i="12" a="1"/>
  <c r="H93" i="12" s="1"/>
  <c r="C93" i="12" s="1" a="1"/>
  <c r="C93" i="12" s="1"/>
  <c r="AD624" i="12" a="1"/>
  <c r="AD624" i="12" s="1"/>
  <c r="H74" i="12" a="1"/>
  <c r="H74" i="12" s="1"/>
  <c r="C74" i="12" s="1" a="1"/>
  <c r="C74" i="12" s="1"/>
  <c r="I126" i="2" s="1"/>
  <c r="AD625" i="12" a="1"/>
  <c r="AD625" i="12" s="1"/>
  <c r="H2" i="12" a="1"/>
  <c r="H2" i="12" s="1"/>
  <c r="C2" i="12" s="1" a="1"/>
  <c r="C2" i="12" s="1"/>
  <c r="I4" i="2" s="1"/>
  <c r="M2" i="3" a="1"/>
  <c r="M2" i="3" s="1"/>
  <c r="H423" i="12" a="1"/>
  <c r="H423" i="12" s="1"/>
  <c r="C423" i="12" s="1" a="1"/>
  <c r="C423" i="12" s="1"/>
  <c r="I71" i="8" s="1" a="1"/>
  <c r="I71" i="8" s="1"/>
  <c r="AD617" i="12" a="1"/>
  <c r="AD617" i="12" s="1"/>
  <c r="H68" i="12" a="1"/>
  <c r="H68" i="12" s="1"/>
  <c r="C68" i="12" s="1" a="1"/>
  <c r="C68" i="12" s="1"/>
  <c r="I224" i="2" s="1"/>
  <c r="H135" i="12" a="1"/>
  <c r="H135" i="12" s="1"/>
  <c r="C135" i="12" s="1" a="1"/>
  <c r="C135" i="12" s="1"/>
  <c r="I382" i="2" s="1"/>
  <c r="H555" i="12" a="1"/>
  <c r="H555" i="12" s="1"/>
  <c r="C555" i="12" s="1" a="1"/>
  <c r="C555" i="12" s="1"/>
  <c r="I316" i="2" s="1"/>
  <c r="AD626" i="12" a="1"/>
  <c r="AD626" i="12" s="1"/>
  <c r="Y644" i="12" a="1"/>
  <c r="Y644" i="12" s="1"/>
  <c r="H391" i="12" a="1"/>
  <c r="H391" i="12" s="1"/>
  <c r="C391" i="12" s="1" a="1"/>
  <c r="C391" i="12" s="1"/>
  <c r="I532" i="2" s="1"/>
  <c r="H359" i="12" a="1"/>
  <c r="H359" i="12" s="1"/>
  <c r="C359" i="12" s="1" a="1"/>
  <c r="C359" i="12" s="1"/>
  <c r="I636" i="2" s="1"/>
  <c r="E134" i="7" a="1"/>
  <c r="E134" i="7" s="1"/>
  <c r="E121" i="6" a="1"/>
  <c r="E121" i="6" s="1"/>
  <c r="E233" i="4" a="1"/>
  <c r="E233" i="4" s="1"/>
  <c r="J652" i="2" a="1"/>
  <c r="J652" i="2" s="1"/>
  <c r="H341" i="12" a="1"/>
  <c r="H341" i="12" s="1"/>
  <c r="C341" i="12" s="1" a="1"/>
  <c r="C341" i="12" s="1"/>
  <c r="I629" i="2" s="1"/>
  <c r="H336" i="12" a="1"/>
  <c r="H336" i="12" s="1"/>
  <c r="C336" i="12" s="1" a="1"/>
  <c r="C336" i="12" s="1"/>
  <c r="I425" i="2" s="1"/>
  <c r="H441" i="12" a="1"/>
  <c r="H441" i="12" s="1"/>
  <c r="C441" i="12" s="1" a="1"/>
  <c r="C441" i="12" s="1"/>
  <c r="I601" i="2" s="1"/>
  <c r="Y635" i="12" a="1"/>
  <c r="Y635" i="12" s="1"/>
  <c r="AC629" i="12" a="1"/>
  <c r="AC629" i="12" s="1"/>
  <c r="H290" i="12" a="1"/>
  <c r="H290" i="12" s="1"/>
  <c r="C290" i="12" s="1" a="1"/>
  <c r="C290" i="12" s="1"/>
  <c r="I580" i="2" s="1"/>
  <c r="E103" i="7" a="1"/>
  <c r="E103" i="7" s="1"/>
  <c r="E92" i="6" a="1"/>
  <c r="E92" i="6" s="1"/>
  <c r="E182" i="4" a="1"/>
  <c r="E182" i="4" s="1"/>
  <c r="J369" i="2" a="1"/>
  <c r="J369" i="2" s="1"/>
  <c r="H465" i="12" a="1"/>
  <c r="H465" i="12" s="1"/>
  <c r="C465" i="12" s="1" a="1"/>
  <c r="C465" i="12" s="1"/>
  <c r="I396" i="2" s="1"/>
  <c r="AC622" i="12" a="1"/>
  <c r="AC622" i="12" s="1"/>
  <c r="H506" i="12" a="1"/>
  <c r="H506" i="12" s="1"/>
  <c r="C506" i="12" s="1" a="1"/>
  <c r="C506" i="12" s="1"/>
  <c r="AC660" i="12" a="1"/>
  <c r="AC660" i="12" s="1"/>
  <c r="H532" i="12" a="1"/>
  <c r="H532" i="12" s="1"/>
  <c r="C532" i="12" s="1" a="1"/>
  <c r="C532" i="12" s="1"/>
  <c r="I582" i="2" s="1"/>
  <c r="H424" i="12" a="1"/>
  <c r="H424" i="12" s="1"/>
  <c r="C424" i="12" s="1" a="1"/>
  <c r="C424" i="12" s="1"/>
  <c r="I539" i="2" s="1"/>
  <c r="H580" i="12" a="1"/>
  <c r="H580" i="12" s="1"/>
  <c r="C580" i="12" s="1" a="1"/>
  <c r="C580" i="12" s="1"/>
  <c r="I651" i="2" s="1"/>
  <c r="H338" i="12" a="1"/>
  <c r="H338" i="12" s="1"/>
  <c r="C338" i="12" s="1" a="1"/>
  <c r="C338" i="12" s="1"/>
  <c r="I541" i="2" s="1"/>
  <c r="Y609" i="12" a="1"/>
  <c r="Y609" i="12" s="1"/>
  <c r="Y630" i="12" a="1"/>
  <c r="Y630" i="12" s="1"/>
  <c r="H373" i="12" a="1"/>
  <c r="H373" i="12" s="1"/>
  <c r="C373" i="12" s="1" a="1"/>
  <c r="C373" i="12" s="1"/>
  <c r="I620" i="2" s="1"/>
  <c r="Y622" i="12" a="1"/>
  <c r="Y622" i="12" s="1"/>
  <c r="Y620" i="12" a="1"/>
  <c r="Y620" i="12" s="1"/>
  <c r="H592" i="12" a="1"/>
  <c r="H592" i="12" s="1"/>
  <c r="C592" i="12" s="1" a="1"/>
  <c r="C592" i="12" s="1"/>
  <c r="I610" i="2" s="1"/>
  <c r="H445" i="12" a="1"/>
  <c r="H445" i="12" s="1"/>
  <c r="C445" i="12" s="1" a="1"/>
  <c r="C445" i="12" s="1"/>
  <c r="H385" i="12" a="1"/>
  <c r="H385" i="12" s="1"/>
  <c r="C385" i="12" s="1" a="1"/>
  <c r="C385" i="12" s="1"/>
  <c r="I409" i="2" s="1"/>
  <c r="H457" i="12" a="1"/>
  <c r="H457" i="12" s="1"/>
  <c r="C457" i="12" s="1" a="1"/>
  <c r="C457" i="12" s="1"/>
  <c r="I248" i="2" s="1"/>
  <c r="H357" i="12" a="1"/>
  <c r="H357" i="12" s="1"/>
  <c r="C357" i="12" s="1" a="1"/>
  <c r="C357" i="12" s="1"/>
  <c r="I506" i="2" s="1"/>
  <c r="H428" i="12" a="1"/>
  <c r="H428" i="12" s="1"/>
  <c r="C428" i="12" s="1" a="1"/>
  <c r="C428" i="12" s="1"/>
  <c r="I650" i="2" s="1"/>
  <c r="H350" i="12" a="1"/>
  <c r="H350" i="12" s="1"/>
  <c r="C350" i="12" s="1" a="1"/>
  <c r="C350" i="12" s="1"/>
  <c r="H352" i="12" a="1"/>
  <c r="H352" i="12" s="1"/>
  <c r="C352" i="12" s="1" a="1"/>
  <c r="C352" i="12" s="1"/>
  <c r="H369" i="12" a="1"/>
  <c r="H369" i="12" s="1"/>
  <c r="C369" i="12" s="1" a="1"/>
  <c r="C369" i="12" s="1"/>
  <c r="J363" i="2" l="1" a="1"/>
  <c r="J363" i="2" s="1"/>
  <c r="E102" i="4" a="1"/>
  <c r="E102" i="4" s="1"/>
  <c r="E172" i="7" a="1"/>
  <c r="E172" i="7" s="1"/>
  <c r="J546" i="2" a="1"/>
  <c r="J546" i="2" s="1"/>
  <c r="E206" i="5" a="1"/>
  <c r="E206" i="5" s="1"/>
  <c r="C635" i="12" a="1"/>
  <c r="C635" i="12" s="1"/>
  <c r="I47" i="2" s="1"/>
  <c r="E320" i="4" a="1"/>
  <c r="E320" i="4" s="1"/>
  <c r="E172" i="5" a="1"/>
  <c r="E172" i="5" s="1"/>
  <c r="I173" i="2"/>
  <c r="I223" i="2"/>
  <c r="I131" i="2"/>
  <c r="I262" i="2"/>
  <c r="I18" i="2"/>
  <c r="I96" i="2"/>
  <c r="E55" i="5" a="1"/>
  <c r="E55" i="5" s="1"/>
  <c r="J23" i="2" a="1"/>
  <c r="J23" i="2" s="1"/>
  <c r="E10" i="4" a="1"/>
  <c r="E10" i="4" s="1"/>
  <c r="J595" i="2" a="1"/>
  <c r="J595" i="2" s="1"/>
  <c r="E384" i="4" a="1"/>
  <c r="E384" i="4" s="1"/>
  <c r="E383" i="4" a="1"/>
  <c r="E383" i="4" s="1"/>
  <c r="J645" i="2" a="1"/>
  <c r="J645" i="2" s="1"/>
  <c r="E200" i="6" a="1"/>
  <c r="E200" i="6" s="1"/>
  <c r="E200" i="5" a="1"/>
  <c r="E200" i="5" s="1"/>
  <c r="E56" i="7" a="1"/>
  <c r="E56" i="7" s="1"/>
  <c r="E98" i="4" a="1"/>
  <c r="E98" i="4" s="1"/>
  <c r="E52" i="5" a="1"/>
  <c r="E52" i="5" s="1"/>
  <c r="J314" i="2" a="1"/>
  <c r="J314" i="2" s="1"/>
  <c r="E292" i="4" a="1"/>
  <c r="E292" i="4" s="1"/>
  <c r="E159" i="5" a="1"/>
  <c r="E159" i="5" s="1"/>
  <c r="J573" i="2" a="1"/>
  <c r="J573" i="2" s="1"/>
  <c r="J646" i="2" a="1"/>
  <c r="J646" i="2" s="1"/>
  <c r="E154" i="5" a="1"/>
  <c r="E154" i="5" s="1"/>
  <c r="E285" i="4" a="1"/>
  <c r="E285" i="4" s="1"/>
  <c r="J638" i="2" a="1"/>
  <c r="J638" i="2" s="1"/>
  <c r="E205" i="7" a="1"/>
  <c r="E205" i="7" s="1"/>
  <c r="E396" i="4" a="1"/>
  <c r="E396" i="4" s="1"/>
  <c r="E34" i="5" a="1"/>
  <c r="E34" i="5" s="1"/>
  <c r="E62" i="4" a="1"/>
  <c r="E62" i="4" s="1"/>
  <c r="J244" i="2" a="1"/>
  <c r="J244" i="2" s="1"/>
  <c r="E33" i="7" a="1"/>
  <c r="E33" i="7" s="1"/>
  <c r="E45" i="7" a="1"/>
  <c r="E45" i="7" s="1"/>
  <c r="E80" i="4" a="1"/>
  <c r="E80" i="4" s="1"/>
  <c r="J272" i="2" a="1"/>
  <c r="J272" i="2" s="1"/>
  <c r="E136" i="6" a="1"/>
  <c r="E136" i="6" s="1"/>
  <c r="E131" i="5" a="1"/>
  <c r="E131" i="5" s="1"/>
  <c r="E256" i="4" a="1"/>
  <c r="E256" i="4" s="1"/>
  <c r="J535" i="2" a="1"/>
  <c r="J535" i="2" s="1"/>
  <c r="E137" i="4" a="1"/>
  <c r="E137" i="4" s="1"/>
  <c r="J387" i="2" a="1"/>
  <c r="J387" i="2" s="1"/>
  <c r="E80" i="7" a="1"/>
  <c r="E80" i="7" s="1"/>
  <c r="E86" i="7" a="1"/>
  <c r="E86" i="7" s="1"/>
  <c r="E74" i="6" a="1"/>
  <c r="E74" i="6" s="1"/>
  <c r="E147" i="4" a="1"/>
  <c r="E147" i="4" s="1"/>
  <c r="J571" i="2" a="1"/>
  <c r="J571" i="2" s="1"/>
  <c r="E106" i="7" a="1"/>
  <c r="E106" i="7" s="1"/>
  <c r="E185" i="4" a="1"/>
  <c r="E185" i="4" s="1"/>
  <c r="E21" i="6" a="1"/>
  <c r="E21" i="6" s="1"/>
  <c r="E23" i="5" a="1"/>
  <c r="E23" i="5" s="1"/>
  <c r="E42" i="4" a="1"/>
  <c r="E42" i="4" s="1"/>
  <c r="J88" i="2" a="1"/>
  <c r="J88" i="2" s="1"/>
  <c r="E157" i="6" a="1"/>
  <c r="E157" i="6" s="1"/>
  <c r="E296" i="4" a="1"/>
  <c r="E296" i="4" s="1"/>
  <c r="J667" i="2" a="1"/>
  <c r="J667" i="2" s="1"/>
  <c r="E24" i="6" a="1"/>
  <c r="E24" i="6" s="1"/>
  <c r="E29" i="5" a="1"/>
  <c r="E29" i="5" s="1"/>
  <c r="E52" i="4" a="1"/>
  <c r="E52" i="4" s="1"/>
  <c r="J29" i="2" a="1"/>
  <c r="J29" i="2" s="1"/>
  <c r="E146" i="7" a="1"/>
  <c r="E146" i="7" s="1"/>
  <c r="E137" i="6" a="1"/>
  <c r="E137" i="6" s="1"/>
  <c r="E257" i="4" a="1"/>
  <c r="E257" i="4" s="1"/>
  <c r="J465" i="2" a="1"/>
  <c r="J465" i="2" s="1"/>
  <c r="E134" i="6" a="1"/>
  <c r="E134" i="6" s="1"/>
  <c r="E254" i="4" a="1"/>
  <c r="E254" i="4" s="1"/>
  <c r="E129" i="5" a="1"/>
  <c r="E129" i="5" s="1"/>
  <c r="J531" i="2" a="1"/>
  <c r="J531" i="2" s="1"/>
  <c r="J639" i="2" a="1"/>
  <c r="J639" i="2" s="1"/>
  <c r="E209" i="5" a="1"/>
  <c r="E209" i="5" s="1"/>
  <c r="E403" i="4" a="1"/>
  <c r="E403" i="4" s="1"/>
  <c r="J594" i="2" a="1"/>
  <c r="J594" i="2" s="1"/>
  <c r="E390" i="4" a="1"/>
  <c r="E390" i="4" s="1"/>
  <c r="E204" i="5" a="1"/>
  <c r="E204" i="5" s="1"/>
  <c r="J543" i="2" a="1"/>
  <c r="J543" i="2" s="1"/>
  <c r="E137" i="5" a="1"/>
  <c r="E137" i="5" s="1"/>
  <c r="E264" i="4" a="1"/>
  <c r="E264" i="4" s="1"/>
  <c r="E11" i="4" a="1"/>
  <c r="E11" i="4" s="1"/>
  <c r="J37" i="2" a="1"/>
  <c r="J37" i="2" s="1"/>
  <c r="E9" i="5" a="1"/>
  <c r="E9" i="5" s="1"/>
  <c r="E93" i="5" a="1"/>
  <c r="E93" i="5" s="1"/>
  <c r="E95" i="6" a="1"/>
  <c r="E95" i="6" s="1"/>
  <c r="E107" i="7" a="1"/>
  <c r="E107" i="7" s="1"/>
  <c r="E186" i="4" a="1"/>
  <c r="E186" i="4" s="1"/>
  <c r="E82" i="6" a="1"/>
  <c r="E82" i="6" s="1"/>
  <c r="E163" i="4" a="1"/>
  <c r="E163" i="4" s="1"/>
  <c r="J551" i="2" a="1"/>
  <c r="J551" i="2" s="1"/>
  <c r="E91" i="7" a="1"/>
  <c r="E91" i="7" s="1"/>
  <c r="E124" i="7" a="1"/>
  <c r="E124" i="7" s="1"/>
  <c r="E216" i="4" a="1"/>
  <c r="E216" i="4" s="1"/>
  <c r="J476" i="2" a="1"/>
  <c r="J476" i="2" s="1"/>
  <c r="E196" i="7" a="1"/>
  <c r="E196" i="7" s="1"/>
  <c r="J616" i="2" a="1"/>
  <c r="J616" i="2" s="1"/>
  <c r="E365" i="4" a="1"/>
  <c r="E365" i="4" s="1"/>
  <c r="E78" i="7" a="1"/>
  <c r="E78" i="7" s="1"/>
  <c r="E133" i="4" a="1"/>
  <c r="E133" i="4" s="1"/>
  <c r="J241" i="2" a="1"/>
  <c r="J241" i="2" s="1"/>
  <c r="E170" i="5" a="1"/>
  <c r="E170" i="5" s="1"/>
  <c r="E318" i="4" a="1"/>
  <c r="E318" i="4" s="1"/>
  <c r="J604" i="2" a="1"/>
  <c r="J604" i="2" s="1"/>
  <c r="I623" i="2"/>
  <c r="I5" i="2"/>
  <c r="I452" i="2"/>
  <c r="I104" i="2"/>
  <c r="I59" i="2"/>
  <c r="I101" i="2"/>
  <c r="I278" i="2"/>
  <c r="I237" i="2"/>
  <c r="I222" i="2"/>
  <c r="I174" i="2"/>
  <c r="I291" i="2"/>
  <c r="I536" i="2"/>
  <c r="E288" i="4" s="1" a="1"/>
  <c r="E288" i="4" s="1"/>
  <c r="I125" i="2"/>
  <c r="J615" i="2" a="1"/>
  <c r="J615" i="2" s="1"/>
  <c r="I586" i="2"/>
  <c r="I274" i="2"/>
  <c r="I267" i="2"/>
  <c r="I205" i="2"/>
  <c r="I128" i="2"/>
  <c r="I41" i="2"/>
  <c r="I100" i="2"/>
  <c r="I139" i="2"/>
  <c r="I238" i="2"/>
  <c r="I287" i="2"/>
  <c r="E150" i="8" s="1" a="1"/>
  <c r="E150" i="8" s="1"/>
  <c r="I655" i="2"/>
  <c r="E192" i="6" s="1" a="1"/>
  <c r="E192" i="6" s="1"/>
  <c r="I152" i="2"/>
  <c r="I195" i="2"/>
  <c r="I612" i="2"/>
  <c r="J612" i="2" s="1" a="1"/>
  <c r="J612" i="2" s="1"/>
  <c r="E119" i="7" a="1"/>
  <c r="E119" i="7" s="1"/>
  <c r="I656" i="2"/>
  <c r="J656" i="2" s="1" a="1"/>
  <c r="J656" i="2" s="1"/>
  <c r="E116" i="7" a="1"/>
  <c r="E116" i="7" s="1"/>
  <c r="I115" i="2"/>
  <c r="J115" i="2" s="1" a="1"/>
  <c r="J115" i="2" s="1"/>
  <c r="I398" i="2"/>
  <c r="E64" i="6" s="1" a="1"/>
  <c r="E64" i="6" s="1"/>
  <c r="I123" i="2"/>
  <c r="I193" i="2"/>
  <c r="I31" i="2"/>
  <c r="I315" i="2"/>
  <c r="I112" i="2"/>
  <c r="J112" i="2" s="1" a="1"/>
  <c r="J112" i="2" s="1"/>
  <c r="I202" i="2"/>
  <c r="I98" i="2"/>
  <c r="I339" i="2"/>
  <c r="I496" i="2"/>
  <c r="J496" i="2" s="1" a="1"/>
  <c r="J496" i="2" s="1"/>
  <c r="E162" i="7" a="1"/>
  <c r="E162" i="7" s="1"/>
  <c r="I66" i="2"/>
  <c r="E35" i="4" s="1" a="1"/>
  <c r="E35" i="4" s="1"/>
  <c r="I342" i="2"/>
  <c r="I527" i="2"/>
  <c r="E175" i="7" s="1" a="1"/>
  <c r="E175" i="7" s="1"/>
  <c r="I76" i="2"/>
  <c r="I57" i="2"/>
  <c r="I213" i="2"/>
  <c r="I420" i="2"/>
  <c r="I46" i="2"/>
  <c r="I172" i="2"/>
  <c r="I176" i="2"/>
  <c r="E38" i="6" a="1"/>
  <c r="E38" i="6" s="1"/>
  <c r="I149" i="2"/>
  <c r="E20" i="7" s="1" a="1"/>
  <c r="E20" i="7" s="1"/>
  <c r="I307" i="2"/>
  <c r="E92" i="4" s="1" a="1"/>
  <c r="E92" i="4" s="1"/>
  <c r="E94" i="6" a="1"/>
  <c r="E94" i="6" s="1"/>
  <c r="I266" i="2"/>
  <c r="E36" i="6" s="1" a="1"/>
  <c r="E36" i="6" s="1"/>
  <c r="I367" i="2"/>
  <c r="I499" i="2"/>
  <c r="J499" i="2" s="1" a="1"/>
  <c r="J499" i="2" s="1"/>
  <c r="I43" i="2"/>
  <c r="I230" i="2"/>
  <c r="I401" i="2"/>
  <c r="I249" i="2"/>
  <c r="I99" i="2"/>
  <c r="I432" i="2"/>
  <c r="E141" i="4" s="1" a="1"/>
  <c r="E141" i="4" s="1"/>
  <c r="I206" i="2"/>
  <c r="I198" i="2"/>
  <c r="I417" i="2"/>
  <c r="I204" i="2"/>
  <c r="I334" i="2"/>
  <c r="E133" i="6" a="1"/>
  <c r="E133" i="6" s="1"/>
  <c r="I351" i="2"/>
  <c r="E52" i="6" s="1" a="1"/>
  <c r="E52" i="6" s="1"/>
  <c r="E204" i="7" a="1"/>
  <c r="E204" i="7" s="1"/>
  <c r="E127" i="7" a="1"/>
  <c r="E127" i="7" s="1"/>
  <c r="E40" i="7" a="1"/>
  <c r="E40" i="7" s="1"/>
  <c r="J415" i="2" a="1"/>
  <c r="J415" i="2" s="1"/>
  <c r="E345" i="4" a="1"/>
  <c r="E345" i="4" s="1"/>
  <c r="I157" i="2"/>
  <c r="E104" i="4" s="1" a="1"/>
  <c r="E104" i="4" s="1"/>
  <c r="I552" i="2"/>
  <c r="J552" i="2" s="1" a="1"/>
  <c r="J552" i="2" s="1"/>
  <c r="I200" i="2"/>
  <c r="J200" i="2" s="1" a="1"/>
  <c r="J200" i="2" s="1"/>
  <c r="I236" i="2"/>
  <c r="I414" i="2"/>
  <c r="I158" i="2"/>
  <c r="I44" i="2"/>
  <c r="I218" i="2"/>
  <c r="I75" i="2"/>
  <c r="I358" i="2"/>
  <c r="I293" i="2"/>
  <c r="I494" i="2"/>
  <c r="E127" i="6" s="1" a="1"/>
  <c r="E127" i="6" s="1"/>
  <c r="I340" i="2"/>
  <c r="I137" i="2"/>
  <c r="E51" i="7" s="1" a="1"/>
  <c r="E51" i="7" s="1"/>
  <c r="I408" i="2"/>
  <c r="I68" i="2"/>
  <c r="I336" i="2"/>
  <c r="I34" i="2"/>
  <c r="I65" i="2"/>
  <c r="I352" i="2"/>
  <c r="I189" i="2"/>
  <c r="E37" i="7" a="1"/>
  <c r="E37" i="7" s="1"/>
  <c r="E75" i="5" a="1"/>
  <c r="E75" i="5" s="1"/>
  <c r="E127" i="5" a="1"/>
  <c r="E127" i="5" s="1"/>
  <c r="E22" i="7" a="1"/>
  <c r="E22" i="7" s="1"/>
  <c r="I485" i="2"/>
  <c r="E100" i="7" s="1" a="1"/>
  <c r="E100" i="7" s="1"/>
  <c r="I647" i="2"/>
  <c r="E168" i="7" s="1" a="1"/>
  <c r="E168" i="7" s="1"/>
  <c r="E189" i="4" a="1"/>
  <c r="E189" i="4" s="1"/>
  <c r="I606" i="2"/>
  <c r="J606" i="2" s="1" a="1"/>
  <c r="J606" i="2" s="1"/>
  <c r="E156" i="6" a="1"/>
  <c r="E156" i="6" s="1"/>
  <c r="I105" i="2"/>
  <c r="J105" i="2" s="1" a="1"/>
  <c r="J105" i="2" s="1"/>
  <c r="I135" i="2"/>
  <c r="I14" i="2"/>
  <c r="I306" i="2"/>
  <c r="I242" i="2"/>
  <c r="I392" i="2"/>
  <c r="I215" i="2"/>
  <c r="I154" i="2"/>
  <c r="E24" i="5" s="1" a="1"/>
  <c r="E24" i="5" s="1"/>
  <c r="I67" i="2"/>
  <c r="I661" i="2"/>
  <c r="E141" i="7" s="1" a="1"/>
  <c r="E141" i="7" s="1"/>
  <c r="I298" i="2"/>
  <c r="I243" i="2"/>
  <c r="E185" i="7" a="1"/>
  <c r="E185" i="7" s="1"/>
  <c r="I203" i="2"/>
  <c r="J203" i="2" s="1" a="1"/>
  <c r="J203" i="2" s="1"/>
  <c r="I544" i="2"/>
  <c r="E123" i="5" s="1" a="1"/>
  <c r="E123" i="5" s="1"/>
  <c r="E82" i="5" a="1"/>
  <c r="E82" i="5" s="1"/>
  <c r="E171" i="7" a="1"/>
  <c r="E171" i="7" s="1"/>
  <c r="I390" i="2"/>
  <c r="E124" i="6" s="1" a="1"/>
  <c r="E124" i="6" s="1"/>
  <c r="I556" i="2"/>
  <c r="E204" i="6" s="1" a="1"/>
  <c r="E204" i="6" s="1"/>
  <c r="I362" i="2"/>
  <c r="I183" i="2"/>
  <c r="J183" i="2" s="1" a="1"/>
  <c r="J183" i="2" s="1"/>
  <c r="I132" i="2"/>
  <c r="I284" i="2"/>
  <c r="I187" i="2"/>
  <c r="E46" i="7" s="1" a="1"/>
  <c r="E46" i="7" s="1"/>
  <c r="I456" i="2"/>
  <c r="J456" i="2" s="1" a="1"/>
  <c r="J456" i="2" s="1"/>
  <c r="I294" i="2"/>
  <c r="I239" i="2"/>
  <c r="I250" i="2"/>
  <c r="I25" i="2"/>
  <c r="I8" i="2"/>
  <c r="E154" i="7" a="1"/>
  <c r="E154" i="7" s="1"/>
  <c r="E60" i="7" a="1"/>
  <c r="E60" i="7" s="1"/>
  <c r="E48" i="5" a="1"/>
  <c r="E48" i="5" s="1"/>
  <c r="E332" i="4" a="1"/>
  <c r="E332" i="4" s="1"/>
  <c r="E114" i="4" a="1"/>
  <c r="E114" i="4" s="1"/>
  <c r="E160" i="4" a="1"/>
  <c r="E160" i="4" s="1"/>
  <c r="E7" i="6" a="1"/>
  <c r="E7" i="6" s="1"/>
  <c r="I490" i="2"/>
  <c r="E114" i="5" s="1" a="1"/>
  <c r="E114" i="5" s="1"/>
  <c r="I289" i="2"/>
  <c r="I507" i="2"/>
  <c r="J507" i="2" s="1" a="1"/>
  <c r="J507" i="2" s="1"/>
  <c r="I127" i="2"/>
  <c r="I554" i="2"/>
  <c r="E349" i="4" s="1" a="1"/>
  <c r="E349" i="4" s="1"/>
  <c r="I45" i="2"/>
  <c r="I373" i="2"/>
  <c r="I146" i="2"/>
  <c r="I283" i="2"/>
  <c r="E108" i="8" s="1" a="1"/>
  <c r="E108" i="8" s="1"/>
  <c r="I229" i="2"/>
  <c r="E30" i="5" s="1" a="1"/>
  <c r="E30" i="5" s="1"/>
  <c r="I212" i="2"/>
  <c r="E42" i="5" s="1" a="1"/>
  <c r="E42" i="5" s="1"/>
  <c r="I188" i="2"/>
  <c r="E96" i="4" s="1" a="1"/>
  <c r="E96" i="4" s="1"/>
  <c r="I333" i="2"/>
  <c r="I413" i="2"/>
  <c r="E138" i="6" s="1" a="1"/>
  <c r="E138" i="6" s="1"/>
  <c r="I201" i="2"/>
  <c r="E75" i="7" a="1"/>
  <c r="E75" i="7" s="1"/>
  <c r="I654" i="2"/>
  <c r="E193" i="7" s="1" a="1"/>
  <c r="E193" i="7" s="1"/>
  <c r="I459" i="2"/>
  <c r="E91" i="6" s="1" a="1"/>
  <c r="E91" i="6" s="1"/>
  <c r="E76" i="7" a="1"/>
  <c r="E76" i="7" s="1"/>
  <c r="E80" i="6" a="1"/>
  <c r="E80" i="6" s="1"/>
  <c r="I472" i="2"/>
  <c r="E240" i="4" s="1" a="1"/>
  <c r="E240" i="4" s="1"/>
  <c r="E81" i="6" a="1"/>
  <c r="E81" i="6" s="1"/>
  <c r="E210" i="7" a="1"/>
  <c r="E210" i="7" s="1"/>
  <c r="E107" i="6" a="1"/>
  <c r="E107" i="6" s="1"/>
  <c r="I460" i="2"/>
  <c r="E175" i="4" s="1" a="1"/>
  <c r="E175" i="4" s="1"/>
  <c r="I488" i="2"/>
  <c r="E115" i="5" s="1" a="1"/>
  <c r="E115" i="5" s="1"/>
  <c r="I328" i="2"/>
  <c r="I411" i="2"/>
  <c r="E110" i="5" s="1" a="1"/>
  <c r="E110" i="5" s="1"/>
  <c r="I644" i="2"/>
  <c r="E372" i="4" s="1" a="1"/>
  <c r="E372" i="4" s="1"/>
  <c r="I450" i="2"/>
  <c r="J450" i="2" s="1" a="1"/>
  <c r="J450" i="2" s="1"/>
  <c r="I32" i="2"/>
  <c r="I277" i="2"/>
  <c r="I13" i="2"/>
  <c r="I199" i="2"/>
  <c r="I590" i="2"/>
  <c r="E163" i="7" s="1" a="1"/>
  <c r="E163" i="7" s="1"/>
  <c r="I168" i="2"/>
  <c r="I364" i="2"/>
  <c r="I69" i="2"/>
  <c r="I385" i="2"/>
  <c r="I179" i="2"/>
  <c r="C620" i="12" a="1"/>
  <c r="C620" i="12" s="1"/>
  <c r="C645" i="12" a="1"/>
  <c r="C645" i="12" s="1"/>
  <c r="I27" i="2" s="1"/>
  <c r="C670" i="12" a="1"/>
  <c r="C670" i="12" s="1"/>
  <c r="I134" i="2" s="1"/>
  <c r="C642" i="12" a="1"/>
  <c r="C642" i="12" s="1"/>
  <c r="I445" i="2" s="1"/>
  <c r="C669" i="12" a="1"/>
  <c r="C669" i="12" s="1"/>
  <c r="J386" i="2" a="1"/>
  <c r="J386" i="2" s="1"/>
  <c r="E178" i="5" a="1"/>
  <c r="E178" i="5" s="1"/>
  <c r="J512" i="2" a="1"/>
  <c r="J512" i="2" s="1"/>
  <c r="C644" i="12" a="1"/>
  <c r="C644" i="12" s="1"/>
  <c r="I463" i="2" s="1"/>
  <c r="E250" i="4" a="1"/>
  <c r="E250" i="4" s="1"/>
  <c r="J441" i="2" a="1"/>
  <c r="J441" i="2" s="1"/>
  <c r="J395" i="2" a="1"/>
  <c r="J395" i="2" s="1"/>
  <c r="AF19" i="3" a="1"/>
  <c r="AF19" i="3" s="1"/>
  <c r="J376" i="2" a="1"/>
  <c r="J376" i="2" s="1"/>
  <c r="AF7" i="3" a="1"/>
  <c r="AF7" i="3" s="1"/>
  <c r="E286" i="4" a="1"/>
  <c r="E286" i="4" s="1"/>
  <c r="J500" i="2" a="1"/>
  <c r="J500" i="2" s="1"/>
  <c r="AE3" i="3" a="1"/>
  <c r="AE3" i="3" s="1"/>
  <c r="E162" i="4" a="1"/>
  <c r="E162" i="4" s="1"/>
  <c r="E222" i="4" a="1"/>
  <c r="E222" i="4" s="1"/>
  <c r="J495" i="2" a="1"/>
  <c r="J495" i="2" s="1"/>
  <c r="C621" i="12" a="1"/>
  <c r="C621" i="12" s="1"/>
  <c r="I220" i="2" s="1"/>
  <c r="E295" i="4" a="1"/>
  <c r="E295" i="4" s="1"/>
  <c r="E160" i="7" a="1"/>
  <c r="E160" i="7" s="1"/>
  <c r="E172" i="6" a="1"/>
  <c r="E172" i="6" s="1"/>
  <c r="J648" i="2" a="1"/>
  <c r="J648" i="2" s="1"/>
  <c r="E338" i="4" a="1"/>
  <c r="E338" i="4" s="1"/>
  <c r="J525" i="2" a="1"/>
  <c r="J525" i="2" s="1"/>
  <c r="E105" i="4" a="1"/>
  <c r="E105" i="4" s="1"/>
  <c r="E181" i="7" a="1"/>
  <c r="E181" i="7" s="1"/>
  <c r="J559" i="2" a="1"/>
  <c r="J559" i="2" s="1"/>
  <c r="AF9" i="3" a="1"/>
  <c r="AF9" i="3" s="1"/>
  <c r="AF18" i="3" a="1"/>
  <c r="AF18" i="3" s="1"/>
  <c r="C632" i="12" a="1"/>
  <c r="C632" i="12" s="1"/>
  <c r="I261" i="2" s="1"/>
  <c r="J147" i="2" a="1"/>
  <c r="J147" i="2" s="1"/>
  <c r="E86" i="4" a="1"/>
  <c r="E86" i="4" s="1"/>
  <c r="AF3" i="3" a="1"/>
  <c r="AF3" i="3" s="1"/>
  <c r="J338" i="2" a="1"/>
  <c r="J338" i="2" s="1"/>
  <c r="AF12" i="3" a="1"/>
  <c r="AF12" i="3" s="1"/>
  <c r="J30" i="2" a="1"/>
  <c r="J30" i="2" s="1"/>
  <c r="E171" i="5" a="1"/>
  <c r="E171" i="5" s="1"/>
  <c r="AE6" i="3" a="1"/>
  <c r="AE6" i="3" s="1"/>
  <c r="E14" i="4" a="1"/>
  <c r="E14" i="4" s="1"/>
  <c r="E168" i="6" a="1"/>
  <c r="E168" i="6" s="1"/>
  <c r="E68" i="4" a="1"/>
  <c r="E68" i="4" s="1"/>
  <c r="C609" i="12" a="1"/>
  <c r="C609" i="12" s="1"/>
  <c r="J533" i="2" a="1"/>
  <c r="J533" i="2" s="1"/>
  <c r="E143" i="6" a="1"/>
  <c r="E143" i="6" s="1"/>
  <c r="E143" i="5" a="1"/>
  <c r="E143" i="5" s="1"/>
  <c r="E273" i="4" a="1"/>
  <c r="E273" i="4" s="1"/>
  <c r="J425" i="2" a="1"/>
  <c r="J425" i="2" s="1"/>
  <c r="E174" i="7" a="1"/>
  <c r="E174" i="7" s="1"/>
  <c r="E169" i="6" a="1"/>
  <c r="E169" i="6" s="1"/>
  <c r="E322" i="4" a="1"/>
  <c r="E322" i="4" s="1"/>
  <c r="J582" i="2" a="1"/>
  <c r="J582" i="2" s="1"/>
  <c r="E14" i="7" a="1"/>
  <c r="E14" i="7" s="1"/>
  <c r="E15" i="5" a="1"/>
  <c r="E15" i="5" s="1"/>
  <c r="E25" i="4" a="1"/>
  <c r="E25" i="4" s="1"/>
  <c r="J77" i="2" a="1"/>
  <c r="J77" i="2" s="1"/>
  <c r="I188" i="8" a="1"/>
  <c r="I188" i="8" s="1"/>
  <c r="I180" i="8" a="1"/>
  <c r="I180" i="8" s="1"/>
  <c r="I4" i="8" a="1"/>
  <c r="I4" i="8" s="1"/>
  <c r="I41" i="8" a="1"/>
  <c r="I41" i="8" s="1"/>
  <c r="E59" i="5" a="1"/>
  <c r="E59" i="5" s="1"/>
  <c r="E48" i="7" a="1"/>
  <c r="E48" i="7" s="1"/>
  <c r="E37" i="6" a="1"/>
  <c r="E37" i="6" s="1"/>
  <c r="E45" i="5" a="1"/>
  <c r="E45" i="5" s="1"/>
  <c r="E83" i="4" a="1"/>
  <c r="E83" i="4" s="1"/>
  <c r="J184" i="2" a="1"/>
  <c r="J184" i="2" s="1"/>
  <c r="E53" i="5" a="1"/>
  <c r="E53" i="5" s="1"/>
  <c r="E99" i="4" a="1"/>
  <c r="E99" i="4" s="1"/>
  <c r="J82" i="2" a="1"/>
  <c r="J82" i="2" s="1"/>
  <c r="J321" i="2" a="1"/>
  <c r="J321" i="2" s="1"/>
  <c r="E62" i="7" a="1"/>
  <c r="E62" i="7" s="1"/>
  <c r="E53" i="6" a="1"/>
  <c r="E53" i="6" s="1"/>
  <c r="E57" i="5" a="1"/>
  <c r="E57" i="5" s="1"/>
  <c r="E108" i="4" a="1"/>
  <c r="E108" i="4" s="1"/>
  <c r="E81" i="5" a="1"/>
  <c r="E81" i="5" s="1"/>
  <c r="I123" i="8" a="1"/>
  <c r="I123" i="8" s="1"/>
  <c r="I177" i="8" a="1"/>
  <c r="I177" i="8" s="1"/>
  <c r="E95" i="5" a="1"/>
  <c r="E95" i="5" s="1"/>
  <c r="E97" i="6" a="1"/>
  <c r="E97" i="6" s="1"/>
  <c r="I125" i="8" a="1"/>
  <c r="I125" i="8" s="1"/>
  <c r="J422" i="2" a="1"/>
  <c r="J422" i="2" s="1"/>
  <c r="I31" i="8" a="1"/>
  <c r="I31" i="8" s="1"/>
  <c r="E63" i="7" a="1"/>
  <c r="E63" i="7" s="1"/>
  <c r="E109" i="4" a="1"/>
  <c r="E109" i="4" s="1"/>
  <c r="J260" i="2" a="1"/>
  <c r="J260" i="2" s="1"/>
  <c r="I41" i="9" a="1"/>
  <c r="I41" i="9" s="1"/>
  <c r="E191" i="7" a="1"/>
  <c r="E191" i="7" s="1"/>
  <c r="E357" i="4" a="1"/>
  <c r="E357" i="4" s="1"/>
  <c r="J660" i="2" a="1"/>
  <c r="J660" i="2" s="1"/>
  <c r="I60" i="8" a="1"/>
  <c r="I60" i="8" s="1"/>
  <c r="E48" i="4" a="1"/>
  <c r="E48" i="4" s="1"/>
  <c r="E26" i="5" a="1"/>
  <c r="E26" i="5" s="1"/>
  <c r="J302" i="2" a="1"/>
  <c r="J302" i="2" s="1"/>
  <c r="E27" i="7" a="1"/>
  <c r="E27" i="7" s="1"/>
  <c r="E144" i="7" a="1"/>
  <c r="E144" i="7" s="1"/>
  <c r="E126" i="5" a="1"/>
  <c r="E126" i="5" s="1"/>
  <c r="E130" i="6" a="1"/>
  <c r="E130" i="6" s="1"/>
  <c r="E249" i="4" a="1"/>
  <c r="E249" i="4" s="1"/>
  <c r="J580" i="2" a="1"/>
  <c r="J580" i="2" s="1"/>
  <c r="J505" i="2" a="1"/>
  <c r="J505" i="2" s="1"/>
  <c r="E77" i="5" a="1"/>
  <c r="E77" i="5" s="1"/>
  <c r="E156" i="4" a="1"/>
  <c r="E156" i="4" s="1"/>
  <c r="I48" i="8" a="1"/>
  <c r="I48" i="8" s="1"/>
  <c r="E90" i="6" a="1"/>
  <c r="E90" i="6" s="1"/>
  <c r="E101" i="7" a="1"/>
  <c r="E101" i="7" s="1"/>
  <c r="E178" i="4" a="1"/>
  <c r="E178" i="4" s="1"/>
  <c r="J427" i="2" a="1"/>
  <c r="J427" i="2" s="1"/>
  <c r="I179" i="8" a="1"/>
  <c r="I179" i="8" s="1"/>
  <c r="E370" i="4" a="1"/>
  <c r="E370" i="4" s="1"/>
  <c r="J471" i="2" a="1"/>
  <c r="J471" i="2" s="1"/>
  <c r="I187" i="8" a="1"/>
  <c r="I187" i="8" s="1"/>
  <c r="E210" i="6" a="1"/>
  <c r="E210" i="6" s="1"/>
  <c r="E405" i="4" a="1"/>
  <c r="E405" i="4" s="1"/>
  <c r="J617" i="2" a="1"/>
  <c r="J617" i="2" s="1"/>
  <c r="E42" i="7" a="1"/>
  <c r="E42" i="7" s="1"/>
  <c r="E39" i="5" a="1"/>
  <c r="E39" i="5" s="1"/>
  <c r="E73" i="4" a="1"/>
  <c r="E73" i="4" s="1"/>
  <c r="J219" i="2" a="1"/>
  <c r="J219" i="2" s="1"/>
  <c r="E8" i="4" a="1"/>
  <c r="E8" i="4" s="1"/>
  <c r="J12" i="2" a="1"/>
  <c r="J12" i="2" s="1"/>
  <c r="I88" i="8" a="1"/>
  <c r="I88" i="8" s="1"/>
  <c r="E281" i="4" a="1"/>
  <c r="E281" i="4" s="1"/>
  <c r="E150" i="5" a="1"/>
  <c r="E150" i="5" s="1"/>
  <c r="J529" i="2" a="1"/>
  <c r="J529" i="2" s="1"/>
  <c r="E149" i="6" a="1"/>
  <c r="E149" i="6" s="1"/>
  <c r="J269" i="2" a="1"/>
  <c r="J269" i="2" s="1"/>
  <c r="E73" i="6" a="1"/>
  <c r="E73" i="6" s="1"/>
  <c r="E72" i="5" a="1"/>
  <c r="E72" i="5" s="1"/>
  <c r="E146" i="4" a="1"/>
  <c r="E146" i="4" s="1"/>
  <c r="J443" i="2" a="1"/>
  <c r="J443" i="2" s="1"/>
  <c r="I65" i="8" a="1"/>
  <c r="I65" i="8" s="1"/>
  <c r="I129" i="8" a="1"/>
  <c r="I129" i="8" s="1"/>
  <c r="I172" i="8" a="1"/>
  <c r="I172" i="8" s="1"/>
  <c r="E90" i="7" a="1"/>
  <c r="E90" i="7" s="1"/>
  <c r="E80" i="5" a="1"/>
  <c r="E80" i="5" s="1"/>
  <c r="E190" i="5" a="1"/>
  <c r="E190" i="5" s="1"/>
  <c r="E194" i="6" a="1"/>
  <c r="E194" i="6" s="1"/>
  <c r="E368" i="4" a="1"/>
  <c r="E368" i="4" s="1"/>
  <c r="J565" i="2" a="1"/>
  <c r="J565" i="2" s="1"/>
  <c r="E6" i="5" a="1"/>
  <c r="E6" i="5" s="1"/>
  <c r="E98" i="5" a="1"/>
  <c r="E98" i="5" s="1"/>
  <c r="E196" i="4" a="1"/>
  <c r="E196" i="4" s="1"/>
  <c r="J429" i="2" a="1"/>
  <c r="J429" i="2" s="1"/>
  <c r="I64" i="8" a="1"/>
  <c r="I64" i="8" s="1"/>
  <c r="I159" i="8" a="1"/>
  <c r="I159" i="8" s="1"/>
  <c r="I47" i="8" a="1"/>
  <c r="I47" i="8" s="1"/>
  <c r="E16" i="5" a="1"/>
  <c r="E16" i="5" s="1"/>
  <c r="E31" i="4" a="1"/>
  <c r="E31" i="4" s="1"/>
  <c r="J56" i="2" a="1"/>
  <c r="J56" i="2" s="1"/>
  <c r="E99" i="6" a="1"/>
  <c r="E99" i="6" s="1"/>
  <c r="E96" i="5" a="1"/>
  <c r="E96" i="5" s="1"/>
  <c r="E193" i="4" a="1"/>
  <c r="E193" i="4" s="1"/>
  <c r="J389" i="2" a="1"/>
  <c r="J389" i="2" s="1"/>
  <c r="I182" i="8" a="1"/>
  <c r="I182" i="8" s="1"/>
  <c r="I43" i="9" a="1"/>
  <c r="I43" i="9" s="1"/>
  <c r="E76" i="5" a="1"/>
  <c r="E76" i="5" s="1"/>
  <c r="E155" i="4" a="1"/>
  <c r="E155" i="4" s="1"/>
  <c r="J436" i="2" a="1"/>
  <c r="J436" i="2" s="1"/>
  <c r="C662" i="12" a="1"/>
  <c r="C662" i="12" s="1"/>
  <c r="I256" i="2" s="1"/>
  <c r="I85" i="8" a="1"/>
  <c r="I85" i="8" s="1"/>
  <c r="I137" i="8" a="1"/>
  <c r="I137" i="8" s="1"/>
  <c r="E4" i="7" a="1"/>
  <c r="E4" i="7" s="1"/>
  <c r="E7" i="4" a="1"/>
  <c r="E7" i="4" s="1"/>
  <c r="J28" i="2" a="1"/>
  <c r="J28" i="2" s="1"/>
  <c r="I40" i="8" a="1"/>
  <c r="I40" i="8" s="1"/>
  <c r="E203" i="5" a="1"/>
  <c r="E203" i="5" s="1"/>
  <c r="E388" i="4" a="1"/>
  <c r="E388" i="4" s="1"/>
  <c r="J598" i="2" a="1"/>
  <c r="J598" i="2" s="1"/>
  <c r="E128" i="4" a="1"/>
  <c r="E128" i="4" s="1"/>
  <c r="I144" i="8" a="1"/>
  <c r="I144" i="8" s="1"/>
  <c r="J311" i="2" a="1"/>
  <c r="J311" i="2" s="1"/>
  <c r="I131" i="8" a="1"/>
  <c r="I131" i="8" s="1"/>
  <c r="E37" i="5" a="1"/>
  <c r="E37" i="5" s="1"/>
  <c r="E67" i="4" a="1"/>
  <c r="E67" i="4" s="1"/>
  <c r="J301" i="2" a="1"/>
  <c r="J301" i="2" s="1"/>
  <c r="E36" i="7" a="1"/>
  <c r="E36" i="7" s="1"/>
  <c r="I176" i="8" a="1"/>
  <c r="I176" i="8" s="1"/>
  <c r="I184" i="8" a="1"/>
  <c r="I184" i="8" s="1"/>
  <c r="E41" i="7" a="1"/>
  <c r="E41" i="7" s="1"/>
  <c r="E33" i="6" a="1"/>
  <c r="E33" i="6" s="1"/>
  <c r="J265" i="2" a="1"/>
  <c r="J265" i="2" s="1"/>
  <c r="E132" i="7" a="1"/>
  <c r="E132" i="7" s="1"/>
  <c r="E119" i="6" a="1"/>
  <c r="E119" i="6" s="1"/>
  <c r="E229" i="4" a="1"/>
  <c r="E229" i="4" s="1"/>
  <c r="J423" i="2" a="1"/>
  <c r="J423" i="2" s="1"/>
  <c r="I74" i="8" a="1"/>
  <c r="I74" i="8" s="1"/>
  <c r="E3" i="6" a="1"/>
  <c r="E3" i="6" s="1"/>
  <c r="E150" i="6" a="1"/>
  <c r="E150" i="6" s="1"/>
  <c r="E153" i="5" a="1"/>
  <c r="E153" i="5" s="1"/>
  <c r="E284" i="4" a="1"/>
  <c r="E284" i="4" s="1"/>
  <c r="J409" i="2" a="1"/>
  <c r="J409" i="2" s="1"/>
  <c r="E195" i="7" a="1"/>
  <c r="E195" i="7" s="1"/>
  <c r="E364" i="4" a="1"/>
  <c r="E364" i="4" s="1"/>
  <c r="J601" i="2" a="1"/>
  <c r="J601" i="2" s="1"/>
  <c r="E191" i="6" a="1"/>
  <c r="E191" i="6" s="1"/>
  <c r="I76" i="8" a="1"/>
  <c r="I76" i="8" s="1"/>
  <c r="E89" i="5" a="1"/>
  <c r="E89" i="5" s="1"/>
  <c r="E174" i="4" a="1"/>
  <c r="E174" i="4" s="1"/>
  <c r="J442" i="2" a="1"/>
  <c r="J442" i="2" s="1"/>
  <c r="E98" i="7" a="1"/>
  <c r="E98" i="7" s="1"/>
  <c r="I138" i="8" a="1"/>
  <c r="I138" i="8" s="1"/>
  <c r="E142" i="7" a="1"/>
  <c r="E142" i="7" s="1"/>
  <c r="E243" i="4" a="1"/>
  <c r="E243" i="4" s="1"/>
  <c r="J587" i="2" a="1"/>
  <c r="J587" i="2" s="1"/>
  <c r="I11" i="8" a="1"/>
  <c r="I11" i="8" s="1"/>
  <c r="E207" i="5" a="1"/>
  <c r="E207" i="5" s="1"/>
  <c r="E398" i="4" a="1"/>
  <c r="E398" i="4" s="1"/>
  <c r="J642" i="2" a="1"/>
  <c r="J642" i="2" s="1"/>
  <c r="E51" i="6" a="1"/>
  <c r="E51" i="6" s="1"/>
  <c r="E208" i="6" a="1"/>
  <c r="E208" i="6" s="1"/>
  <c r="E402" i="4" a="1"/>
  <c r="E402" i="4" s="1"/>
  <c r="J124" i="2" a="1"/>
  <c r="J124" i="2" s="1"/>
  <c r="I199" i="8" a="1"/>
  <c r="I199" i="8" s="1"/>
  <c r="E125" i="7" a="1"/>
  <c r="E125" i="7" s="1"/>
  <c r="E113" i="6" a="1"/>
  <c r="E113" i="6" s="1"/>
  <c r="E218" i="4" a="1"/>
  <c r="E218" i="4" s="1"/>
  <c r="J318" i="2" a="1"/>
  <c r="J318" i="2" s="1"/>
  <c r="I183" i="8" a="1"/>
  <c r="I183" i="8" s="1"/>
  <c r="I116" i="8" a="1"/>
  <c r="I116" i="8" s="1"/>
  <c r="E154" i="4" a="1"/>
  <c r="E154" i="4" s="1"/>
  <c r="E29" i="7" a="1"/>
  <c r="E29" i="7" s="1"/>
  <c r="E54" i="4" a="1"/>
  <c r="E54" i="4" s="1"/>
  <c r="J335" i="2" a="1"/>
  <c r="J335" i="2" s="1"/>
  <c r="I5" i="8" a="1"/>
  <c r="I5" i="8" s="1"/>
  <c r="J493" i="2" a="1"/>
  <c r="J493" i="2" s="1"/>
  <c r="E135" i="7" a="1"/>
  <c r="E135" i="7" s="1"/>
  <c r="E122" i="6" a="1"/>
  <c r="E122" i="6" s="1"/>
  <c r="E234" i="4" a="1"/>
  <c r="E234" i="4" s="1"/>
  <c r="J555" i="2" a="1"/>
  <c r="J555" i="2" s="1"/>
  <c r="E23" i="7" a="1"/>
  <c r="E23" i="7" s="1"/>
  <c r="E39" i="4" a="1"/>
  <c r="E39" i="4" s="1"/>
  <c r="J89" i="2" a="1"/>
  <c r="J89" i="2" s="1"/>
  <c r="J382" i="2" a="1"/>
  <c r="J382" i="2" s="1"/>
  <c r="J447" i="2" a="1"/>
  <c r="J447" i="2" s="1"/>
  <c r="E99" i="5" a="1"/>
  <c r="E99" i="5" s="1"/>
  <c r="E201" i="4" a="1"/>
  <c r="E201" i="4" s="1"/>
  <c r="E3" i="5" a="1"/>
  <c r="E3" i="5" s="1"/>
  <c r="E3" i="4" a="1"/>
  <c r="E3" i="4" s="1"/>
  <c r="J3" i="2" a="1"/>
  <c r="J3" i="2" s="1"/>
  <c r="E31" i="7" a="1"/>
  <c r="E31" i="7" s="1"/>
  <c r="E59" i="4" a="1"/>
  <c r="E59" i="4" s="1"/>
  <c r="J116" i="2" a="1"/>
  <c r="J116" i="2" s="1"/>
  <c r="E97" i="7" a="1"/>
  <c r="E97" i="7" s="1"/>
  <c r="E88" i="5" a="1"/>
  <c r="E88" i="5" s="1"/>
  <c r="E173" i="4" a="1"/>
  <c r="E173" i="4" s="1"/>
  <c r="J540" i="2" a="1"/>
  <c r="J540" i="2" s="1"/>
  <c r="E203" i="7" a="1"/>
  <c r="E203" i="7" s="1"/>
  <c r="E206" i="6" a="1"/>
  <c r="E206" i="6" s="1"/>
  <c r="E393" i="4" a="1"/>
  <c r="E393" i="4" s="1"/>
  <c r="J610" i="2" a="1"/>
  <c r="J610" i="2" s="1"/>
  <c r="I20" i="9" a="1"/>
  <c r="I20" i="9" s="1"/>
  <c r="J537" i="2" a="1"/>
  <c r="J537" i="2" s="1"/>
  <c r="E123" i="6" a="1"/>
  <c r="E123" i="6" s="1"/>
  <c r="E136" i="7" a="1"/>
  <c r="E136" i="7" s="1"/>
  <c r="E235" i="4" a="1"/>
  <c r="E235" i="4" s="1"/>
  <c r="E77" i="7" a="1"/>
  <c r="E77" i="7" s="1"/>
  <c r="E67" i="6" a="1"/>
  <c r="E67" i="6" s="1"/>
  <c r="E130" i="4" a="1"/>
  <c r="E130" i="4" s="1"/>
  <c r="J399" i="2" a="1"/>
  <c r="J399" i="2" s="1"/>
  <c r="E181" i="6" a="1"/>
  <c r="E181" i="6" s="1"/>
  <c r="E343" i="4" a="1"/>
  <c r="E343" i="4" s="1"/>
  <c r="J664" i="2" a="1"/>
  <c r="J664" i="2" s="1"/>
  <c r="E224" i="4" a="1"/>
  <c r="E224" i="4" s="1"/>
  <c r="E112" i="5" a="1"/>
  <c r="E112" i="5" s="1"/>
  <c r="J366" i="2" a="1"/>
  <c r="J366" i="2" s="1"/>
  <c r="E152" i="6" a="1"/>
  <c r="E152" i="6" s="1"/>
  <c r="E157" i="5" a="1"/>
  <c r="E157" i="5" s="1"/>
  <c r="I170" i="8" a="1"/>
  <c r="I170" i="8" s="1"/>
  <c r="E4" i="5" a="1"/>
  <c r="E4" i="5" s="1"/>
  <c r="E4" i="4" a="1"/>
  <c r="E4" i="4" s="1"/>
  <c r="F2" i="3" a="1"/>
  <c r="F2" i="3" s="1"/>
  <c r="J4" i="2" a="1"/>
  <c r="J4" i="2" s="1"/>
  <c r="I86" i="8" a="1"/>
  <c r="I86" i="8" s="1"/>
  <c r="E43" i="5" a="1"/>
  <c r="E43" i="5" s="1"/>
  <c r="E78" i="4" a="1"/>
  <c r="E78" i="4" s="1"/>
  <c r="J325" i="2" a="1"/>
  <c r="J325" i="2" s="1"/>
  <c r="E114" i="6" a="1"/>
  <c r="E114" i="6" s="1"/>
  <c r="E109" i="5" a="1"/>
  <c r="E109" i="5" s="1"/>
  <c r="E219" i="4" a="1"/>
  <c r="E219" i="4" s="1"/>
  <c r="J473" i="2" a="1"/>
  <c r="J473" i="2" s="1"/>
  <c r="E18" i="7" a="1"/>
  <c r="E18" i="7" s="1"/>
  <c r="E18" i="6" a="1"/>
  <c r="E18" i="6" s="1"/>
  <c r="E17" i="5" a="1"/>
  <c r="E17" i="5" s="1"/>
  <c r="E32" i="4" a="1"/>
  <c r="E32" i="4" s="1"/>
  <c r="J97" i="2" a="1"/>
  <c r="J97" i="2" s="1"/>
  <c r="J520" i="2" a="1"/>
  <c r="J520" i="2" s="1"/>
  <c r="E278" i="4" a="1"/>
  <c r="E278" i="4" s="1"/>
  <c r="J517" i="2" a="1"/>
  <c r="J517" i="2" s="1"/>
  <c r="E152" i="7" a="1"/>
  <c r="E152" i="7" s="1"/>
  <c r="E147" i="5" a="1"/>
  <c r="E147" i="5" s="1"/>
  <c r="E104" i="7" a="1"/>
  <c r="E104" i="7" s="1"/>
  <c r="E183" i="4" a="1"/>
  <c r="E183" i="4" s="1"/>
  <c r="J483" i="2" a="1"/>
  <c r="J483" i="2" s="1"/>
  <c r="E79" i="7" a="1"/>
  <c r="E79" i="7" s="1"/>
  <c r="E135" i="4" a="1"/>
  <c r="E135" i="4" s="1"/>
  <c r="J468" i="2" a="1"/>
  <c r="J468" i="2" s="1"/>
  <c r="AF13" i="3" a="1"/>
  <c r="AF13" i="3" s="1"/>
  <c r="I75" i="8" a="1"/>
  <c r="I75" i="8" s="1"/>
  <c r="E38" i="4" a="1"/>
  <c r="E38" i="4" s="1"/>
  <c r="I49" i="8" a="1"/>
  <c r="I49" i="8" s="1"/>
  <c r="E394" i="4" a="1"/>
  <c r="E394" i="4" s="1"/>
  <c r="J424" i="2" a="1"/>
  <c r="J424" i="2" s="1"/>
  <c r="I130" i="8" a="1"/>
  <c r="I130" i="8" s="1"/>
  <c r="E127" i="4" a="1"/>
  <c r="E127" i="4" s="1"/>
  <c r="I27" i="8" a="1"/>
  <c r="I27" i="8" s="1"/>
  <c r="E179" i="5" a="1"/>
  <c r="E179" i="5" s="1"/>
  <c r="E348" i="4" a="1"/>
  <c r="E348" i="4" s="1"/>
  <c r="J480" i="2" a="1"/>
  <c r="J480" i="2" s="1"/>
  <c r="E185" i="6" a="1"/>
  <c r="E185" i="6" s="1"/>
  <c r="E313" i="4" a="1"/>
  <c r="E313" i="4" s="1"/>
  <c r="I22" i="8" a="1"/>
  <c r="I22" i="8" s="1"/>
  <c r="I149" i="8" a="1"/>
  <c r="I149" i="8" s="1"/>
  <c r="I191" i="8" a="1"/>
  <c r="I191" i="8" s="1"/>
  <c r="I33" i="9" a="1"/>
  <c r="I33" i="9" s="1"/>
  <c r="E9" i="7" a="1"/>
  <c r="E9" i="7" s="1"/>
  <c r="E12" i="5" a="1"/>
  <c r="E12" i="5" s="1"/>
  <c r="E19" i="4" a="1"/>
  <c r="E19" i="4" s="1"/>
  <c r="J95" i="2" a="1"/>
  <c r="J95" i="2" s="1"/>
  <c r="E253" i="4" a="1"/>
  <c r="E253" i="4" s="1"/>
  <c r="E207" i="6" a="1"/>
  <c r="E207" i="6" s="1"/>
  <c r="E206" i="7" a="1"/>
  <c r="E206" i="7" s="1"/>
  <c r="E397" i="4" a="1"/>
  <c r="E397" i="4" s="1"/>
  <c r="J668" i="2" a="1"/>
  <c r="J668" i="2" s="1"/>
  <c r="I62" i="8" a="1"/>
  <c r="I62" i="8" s="1"/>
  <c r="E199" i="6" a="1"/>
  <c r="E199" i="6" s="1"/>
  <c r="E199" i="5" a="1"/>
  <c r="E199" i="5" s="1"/>
  <c r="E381" i="4" a="1"/>
  <c r="E381" i="4" s="1"/>
  <c r="J632" i="2" a="1"/>
  <c r="J632" i="2" s="1"/>
  <c r="E52" i="7" a="1"/>
  <c r="E52" i="7" s="1"/>
  <c r="E90" i="4" a="1"/>
  <c r="E90" i="4" s="1"/>
  <c r="J103" i="2" a="1"/>
  <c r="J103" i="2" s="1"/>
  <c r="I171" i="8" a="1"/>
  <c r="I171" i="8" s="1"/>
  <c r="E20" i="5" a="1"/>
  <c r="E20" i="5" s="1"/>
  <c r="I23" i="8" a="1"/>
  <c r="I23" i="8" s="1"/>
  <c r="J492" i="2" a="1"/>
  <c r="J492" i="2" s="1"/>
  <c r="E108" i="5" a="1"/>
  <c r="E108" i="5" s="1"/>
  <c r="E217" i="4" a="1"/>
  <c r="E217" i="4" s="1"/>
  <c r="E210" i="4" a="1"/>
  <c r="E210" i="4" s="1"/>
  <c r="E32" i="6" a="1"/>
  <c r="E32" i="6" s="1"/>
  <c r="J80" i="2" a="1"/>
  <c r="J80" i="2" s="1"/>
  <c r="E65" i="6" a="1"/>
  <c r="E65" i="6" s="1"/>
  <c r="E195" i="6" a="1"/>
  <c r="E195" i="6" s="1"/>
  <c r="E242" i="4" a="1"/>
  <c r="E242" i="4" s="1"/>
  <c r="J653" i="2" a="1"/>
  <c r="J653" i="2" s="1"/>
  <c r="E378" i="4" a="1"/>
  <c r="E378" i="4" s="1"/>
  <c r="E167" i="5" a="1"/>
  <c r="E167" i="5" s="1"/>
  <c r="J577" i="2" a="1"/>
  <c r="J577" i="2" s="1"/>
  <c r="E74" i="5" a="1"/>
  <c r="E74" i="5" s="1"/>
  <c r="E77" i="6" a="1"/>
  <c r="E77" i="6" s="1"/>
  <c r="E150" i="4" a="1"/>
  <c r="E150" i="4" s="1"/>
  <c r="J348" i="2" a="1"/>
  <c r="J348" i="2" s="1"/>
  <c r="J636" i="2" a="1"/>
  <c r="J636" i="2" s="1"/>
  <c r="E147" i="6" a="1"/>
  <c r="E147" i="6" s="1"/>
  <c r="E146" i="5" a="1"/>
  <c r="E146" i="5" s="1"/>
  <c r="E277" i="4" a="1"/>
  <c r="E277" i="4" s="1"/>
  <c r="E101" i="5" a="1"/>
  <c r="E101" i="5" s="1"/>
  <c r="E203" i="4" a="1"/>
  <c r="E203" i="4" s="1"/>
  <c r="J455" i="2" a="1"/>
  <c r="J455" i="2" s="1"/>
  <c r="E105" i="6" a="1"/>
  <c r="E105" i="6" s="1"/>
  <c r="E145" i="7" a="1"/>
  <c r="E145" i="7" s="1"/>
  <c r="E187" i="5" a="1"/>
  <c r="E187" i="5" s="1"/>
  <c r="E359" i="4" a="1"/>
  <c r="E359" i="4" s="1"/>
  <c r="J482" i="2" a="1"/>
  <c r="J482" i="2" s="1"/>
  <c r="E192" i="7" a="1"/>
  <c r="E192" i="7" s="1"/>
  <c r="E190" i="6" a="1"/>
  <c r="E190" i="6" s="1"/>
  <c r="I189" i="8" a="1"/>
  <c r="I189" i="8" s="1"/>
  <c r="I186" i="8" a="1"/>
  <c r="I186" i="8" s="1"/>
  <c r="I83" i="8" a="1"/>
  <c r="I83" i="8" s="1"/>
  <c r="I167" i="8" a="1"/>
  <c r="I167" i="8" s="1"/>
  <c r="E51" i="5" a="1"/>
  <c r="E51" i="5" s="1"/>
  <c r="E97" i="4" a="1"/>
  <c r="E97" i="4" s="1"/>
  <c r="AE8" i="3" a="1"/>
  <c r="AE8" i="3" s="1"/>
  <c r="I158" i="8" a="1"/>
  <c r="I158" i="8" s="1"/>
  <c r="J159" i="2" a="1"/>
  <c r="J159" i="2" s="1"/>
  <c r="E12" i="7" a="1"/>
  <c r="E12" i="7" s="1"/>
  <c r="E11" i="6" a="1"/>
  <c r="E11" i="6" s="1"/>
  <c r="E22" i="4" a="1"/>
  <c r="E22" i="4" s="1"/>
  <c r="J63" i="2" a="1"/>
  <c r="J63" i="2" s="1"/>
  <c r="E109" i="6" a="1"/>
  <c r="E109" i="6" s="1"/>
  <c r="J149" i="2" a="1"/>
  <c r="J149" i="2" s="1"/>
  <c r="E10" i="5" a="1"/>
  <c r="E10" i="5" s="1"/>
  <c r="E16" i="4" a="1"/>
  <c r="E16" i="4" s="1"/>
  <c r="J40" i="2" a="1"/>
  <c r="J40" i="2" s="1"/>
  <c r="J486" i="2" a="1"/>
  <c r="J486" i="2" s="1"/>
  <c r="I165" i="8" a="1"/>
  <c r="I165" i="8" s="1"/>
  <c r="E67" i="5" a="1"/>
  <c r="E67" i="5" s="1"/>
  <c r="E134" i="4" a="1"/>
  <c r="E134" i="4" s="1"/>
  <c r="J329" i="2" a="1"/>
  <c r="J329" i="2" s="1"/>
  <c r="E152" i="4" a="1"/>
  <c r="E152" i="4" s="1"/>
  <c r="I61" i="8" a="1"/>
  <c r="I61" i="8" s="1"/>
  <c r="E145" i="5" a="1"/>
  <c r="E145" i="5" s="1"/>
  <c r="E146" i="6" a="1"/>
  <c r="E146" i="6" s="1"/>
  <c r="E276" i="4" a="1"/>
  <c r="E276" i="4" s="1"/>
  <c r="J466" i="2" a="1"/>
  <c r="J466" i="2" s="1"/>
  <c r="E30" i="7" a="1"/>
  <c r="E30" i="7" s="1"/>
  <c r="E26" i="6" a="1"/>
  <c r="E26" i="6" s="1"/>
  <c r="E55" i="4" a="1"/>
  <c r="E55" i="4" s="1"/>
  <c r="J126" i="2" a="1"/>
  <c r="J126" i="2" s="1"/>
  <c r="I69" i="8" a="1"/>
  <c r="I69" i="8" s="1"/>
  <c r="I166" i="8" a="1"/>
  <c r="I166" i="8" s="1"/>
  <c r="J629" i="2" a="1"/>
  <c r="J629" i="2" s="1"/>
  <c r="E149" i="5" a="1"/>
  <c r="E149" i="5" s="1"/>
  <c r="E148" i="6" a="1"/>
  <c r="E148" i="6" s="1"/>
  <c r="E280" i="4" a="1"/>
  <c r="E280" i="4" s="1"/>
  <c r="I161" i="8" a="1"/>
  <c r="I161" i="8" s="1"/>
  <c r="E140" i="7" a="1"/>
  <c r="E140" i="7" s="1"/>
  <c r="J224" i="2" a="1"/>
  <c r="J224" i="2" s="1"/>
  <c r="E81" i="4" a="1"/>
  <c r="E81" i="4" s="1"/>
  <c r="I44" i="8" a="1"/>
  <c r="I44" i="8" s="1"/>
  <c r="I174" i="8" a="1"/>
  <c r="I174" i="8" s="1"/>
  <c r="E355" i="4" a="1"/>
  <c r="E355" i="4" s="1"/>
  <c r="J530" i="2" a="1"/>
  <c r="J530" i="2" s="1"/>
  <c r="E189" i="6" a="1"/>
  <c r="E189" i="6" s="1"/>
  <c r="E185" i="5" a="1"/>
  <c r="E185" i="5" s="1"/>
  <c r="E161" i="7" a="1"/>
  <c r="E161" i="7" s="1"/>
  <c r="E299" i="4" a="1"/>
  <c r="E299" i="4" s="1"/>
  <c r="J572" i="2" a="1"/>
  <c r="J572" i="2" s="1"/>
  <c r="E83" i="5" a="1"/>
  <c r="E83" i="5" s="1"/>
  <c r="E165" i="4" a="1"/>
  <c r="E165" i="4" s="1"/>
  <c r="J437" i="2" a="1"/>
  <c r="J437" i="2" s="1"/>
  <c r="E49" i="5" a="1"/>
  <c r="E49" i="5" s="1"/>
  <c r="E45" i="6" a="1"/>
  <c r="E45" i="6" s="1"/>
  <c r="E94" i="4" a="1"/>
  <c r="E94" i="4" s="1"/>
  <c r="J181" i="2" a="1"/>
  <c r="J181" i="2" s="1"/>
  <c r="J440" i="2" a="1"/>
  <c r="J440" i="2" s="1"/>
  <c r="E70" i="6" a="1"/>
  <c r="E70" i="6" s="1"/>
  <c r="E82" i="7" a="1"/>
  <c r="E82" i="7" s="1"/>
  <c r="E69" i="5" a="1"/>
  <c r="E69" i="5" s="1"/>
  <c r="E140" i="4" a="1"/>
  <c r="E140" i="4" s="1"/>
  <c r="J137" i="2" a="1"/>
  <c r="J137" i="2" s="1"/>
  <c r="J33" i="2" a="1"/>
  <c r="J33" i="2" s="1"/>
  <c r="E7" i="7" a="1"/>
  <c r="E7" i="7" s="1"/>
  <c r="E17" i="4" a="1"/>
  <c r="E17" i="4" s="1"/>
  <c r="E200" i="7" a="1"/>
  <c r="E200" i="7" s="1"/>
  <c r="E382" i="4" a="1"/>
  <c r="E382" i="4" s="1"/>
  <c r="J614" i="2" a="1"/>
  <c r="J614" i="2" s="1"/>
  <c r="E92" i="5" a="1"/>
  <c r="E92" i="5" s="1"/>
  <c r="E93" i="6" a="1"/>
  <c r="E93" i="6" s="1"/>
  <c r="E184" i="4" a="1"/>
  <c r="E184" i="4" s="1"/>
  <c r="J449" i="2" a="1"/>
  <c r="J449" i="2" s="1"/>
  <c r="E105" i="7" a="1"/>
  <c r="E105" i="7" s="1"/>
  <c r="J485" i="2" a="1"/>
  <c r="J485" i="2" s="1"/>
  <c r="E46" i="5" a="1"/>
  <c r="E46" i="5" s="1"/>
  <c r="E41" i="5" a="1"/>
  <c r="E41" i="5" s="1"/>
  <c r="E75" i="4" a="1"/>
  <c r="E75" i="4" s="1"/>
  <c r="J108" i="2" a="1"/>
  <c r="J108" i="2" s="1"/>
  <c r="E104" i="5" a="1"/>
  <c r="E104" i="5" s="1"/>
  <c r="E206" i="4" a="1"/>
  <c r="E206" i="4" s="1"/>
  <c r="J418" i="2" a="1"/>
  <c r="J418" i="2" s="1"/>
  <c r="E159" i="4" a="1"/>
  <c r="E159" i="4" s="1"/>
  <c r="E85" i="6" a="1"/>
  <c r="E85" i="6" s="1"/>
  <c r="E95" i="7" a="1"/>
  <c r="E95" i="7" s="1"/>
  <c r="E169" i="4" a="1"/>
  <c r="E169" i="4" s="1"/>
  <c r="J253" i="2" a="1"/>
  <c r="J253" i="2" s="1"/>
  <c r="I70" i="8" a="1"/>
  <c r="I70" i="8" s="1"/>
  <c r="E196" i="5" a="1"/>
  <c r="E196" i="5" s="1"/>
  <c r="J631" i="2" a="1"/>
  <c r="J631" i="2" s="1"/>
  <c r="E8" i="7" a="1"/>
  <c r="E8" i="7" s="1"/>
  <c r="E11" i="5" a="1"/>
  <c r="E11" i="5" s="1"/>
  <c r="E18" i="4" a="1"/>
  <c r="E18" i="4" s="1"/>
  <c r="J49" i="2" a="1"/>
  <c r="J49" i="2" s="1"/>
  <c r="E55" i="7" a="1"/>
  <c r="E55" i="7" s="1"/>
  <c r="E46" i="6" a="1"/>
  <c r="E46" i="6" s="1"/>
  <c r="E95" i="4" a="1"/>
  <c r="E95" i="4" s="1"/>
  <c r="J332" i="2" a="1"/>
  <c r="J332" i="2" s="1"/>
  <c r="I78" i="8" a="1"/>
  <c r="I78" i="8" s="1"/>
  <c r="I8" i="8" a="1"/>
  <c r="I8" i="8" s="1"/>
  <c r="E4" i="6" a="1"/>
  <c r="E4" i="6" s="1"/>
  <c r="E7" i="5" a="1"/>
  <c r="E7" i="5" s="1"/>
  <c r="E9" i="4" a="1"/>
  <c r="E9" i="4" s="1"/>
  <c r="J51" i="2" a="1"/>
  <c r="J51" i="2" s="1"/>
  <c r="I204" i="8" a="1"/>
  <c r="I204" i="8" s="1"/>
  <c r="E124" i="5" a="1"/>
  <c r="E124" i="5" s="1"/>
  <c r="E246" i="4" a="1"/>
  <c r="E246" i="4" s="1"/>
  <c r="J589" i="2" a="1"/>
  <c r="J589" i="2" s="1"/>
  <c r="J654" i="2" a="1"/>
  <c r="J654" i="2" s="1"/>
  <c r="J431" i="2" a="1"/>
  <c r="J431" i="2" s="1"/>
  <c r="I153" i="8" a="1"/>
  <c r="I153" i="8" s="1"/>
  <c r="E32" i="7" a="1"/>
  <c r="E32" i="7" s="1"/>
  <c r="E28" i="6" a="1"/>
  <c r="E28" i="6" s="1"/>
  <c r="E60" i="4" a="1"/>
  <c r="E60" i="4" s="1"/>
  <c r="J175" i="2" a="1"/>
  <c r="J175" i="2" s="1"/>
  <c r="E89" i="4" a="1"/>
  <c r="E89" i="4" s="1"/>
  <c r="J438" i="2" a="1"/>
  <c r="J438" i="2" s="1"/>
  <c r="J229" i="2" a="1"/>
  <c r="J229" i="2" s="1"/>
  <c r="I43" i="8" a="1"/>
  <c r="I43" i="8" s="1"/>
  <c r="E66" i="5" a="1"/>
  <c r="E66" i="5" s="1"/>
  <c r="E132" i="4" a="1"/>
  <c r="E132" i="4" s="1"/>
  <c r="J324" i="2" a="1"/>
  <c r="J324" i="2" s="1"/>
  <c r="E177" i="4" a="1"/>
  <c r="E177" i="4" s="1"/>
  <c r="E84" i="4" a="1"/>
  <c r="E84" i="4" s="1"/>
  <c r="I136" i="8" a="1"/>
  <c r="I136" i="8" s="1"/>
  <c r="E209" i="6" a="1"/>
  <c r="E209" i="6" s="1"/>
  <c r="E209" i="7" a="1"/>
  <c r="E209" i="7" s="1"/>
  <c r="E404" i="4" a="1"/>
  <c r="E404" i="4" s="1"/>
  <c r="J593" i="2" a="1"/>
  <c r="J593" i="2" s="1"/>
  <c r="J355" i="2" a="1"/>
  <c r="J355" i="2" s="1"/>
  <c r="J487" i="2" a="1"/>
  <c r="J487" i="2" s="1"/>
  <c r="E64" i="7" a="1"/>
  <c r="E64" i="7" s="1"/>
  <c r="E110" i="4" a="1"/>
  <c r="E110" i="4" s="1"/>
  <c r="J416" i="2" a="1"/>
  <c r="J416" i="2" s="1"/>
  <c r="E61" i="6" a="1"/>
  <c r="E61" i="6" s="1"/>
  <c r="E63" i="5" a="1"/>
  <c r="E63" i="5" s="1"/>
  <c r="E123" i="4" a="1"/>
  <c r="E123" i="4" s="1"/>
  <c r="J350" i="2" a="1"/>
  <c r="J350" i="2" s="1"/>
  <c r="E153" i="7" a="1"/>
  <c r="E153" i="7" s="1"/>
  <c r="E148" i="5" a="1"/>
  <c r="E148" i="5" s="1"/>
  <c r="E279" i="4" a="1"/>
  <c r="E279" i="4" s="1"/>
  <c r="J620" i="2" a="1"/>
  <c r="J620" i="2" s="1"/>
  <c r="I87" i="8" a="1"/>
  <c r="I87" i="8" s="1"/>
  <c r="J539" i="2" a="1"/>
  <c r="J539" i="2" s="1"/>
  <c r="E195" i="5" a="1"/>
  <c r="E195" i="5" s="1"/>
  <c r="E377" i="4" a="1"/>
  <c r="E377" i="4" s="1"/>
  <c r="I63" i="9" a="1"/>
  <c r="I63" i="9" s="1"/>
  <c r="I50" i="8" a="1"/>
  <c r="I50" i="8" s="1"/>
  <c r="I193" i="8" a="1"/>
  <c r="I193" i="8" s="1"/>
  <c r="I194" i="8" a="1"/>
  <c r="I194" i="8" s="1"/>
  <c r="E197" i="7" a="1"/>
  <c r="E197" i="7" s="1"/>
  <c r="E367" i="4" a="1"/>
  <c r="E367" i="4" s="1"/>
  <c r="J581" i="2" a="1"/>
  <c r="J581" i="2" s="1"/>
  <c r="E193" i="6" a="1"/>
  <c r="E193" i="6" s="1"/>
  <c r="E8" i="6" a="1"/>
  <c r="E8" i="6" s="1"/>
  <c r="E15" i="4" a="1"/>
  <c r="E15" i="4" s="1"/>
  <c r="J83" i="2" a="1"/>
  <c r="J83" i="2" s="1"/>
  <c r="E21" i="5" a="1"/>
  <c r="E21" i="5" s="1"/>
  <c r="E40" i="4" a="1"/>
  <c r="E40" i="4" s="1"/>
  <c r="J130" i="2" a="1"/>
  <c r="J130" i="2" s="1"/>
  <c r="I98" i="8" a="1"/>
  <c r="I98" i="8" s="1"/>
  <c r="I26" i="8" a="1"/>
  <c r="I26" i="8" s="1"/>
  <c r="E201" i="7" a="1"/>
  <c r="E201" i="7" s="1"/>
  <c r="E387" i="4" a="1"/>
  <c r="E387" i="4" s="1"/>
  <c r="E203" i="6" a="1"/>
  <c r="E203" i="6" s="1"/>
  <c r="J637" i="2" a="1"/>
  <c r="J637" i="2" s="1"/>
  <c r="I134" i="8" a="1"/>
  <c r="I134" i="8" s="1"/>
  <c r="I3" i="8" a="1"/>
  <c r="I3" i="8" s="1"/>
  <c r="I109" i="8" a="1"/>
  <c r="I109" i="8" s="1"/>
  <c r="E71" i="4" a="1"/>
  <c r="E71" i="4" s="1"/>
  <c r="E121" i="5" a="1"/>
  <c r="E121" i="5" s="1"/>
  <c r="E289" i="4" a="1"/>
  <c r="E289" i="4" s="1"/>
  <c r="E72" i="4" a="1"/>
  <c r="E72" i="4" s="1"/>
  <c r="E109" i="7" a="1"/>
  <c r="E109" i="7" s="1"/>
  <c r="E190" i="4" a="1"/>
  <c r="E190" i="4" s="1"/>
  <c r="J545" i="2" a="1"/>
  <c r="J545" i="2" s="1"/>
  <c r="E183" i="6" a="1"/>
  <c r="E183" i="6" s="1"/>
  <c r="E186" i="7" a="1"/>
  <c r="E186" i="7" s="1"/>
  <c r="E178" i="6" a="1"/>
  <c r="E178" i="6" s="1"/>
  <c r="E340" i="4" a="1"/>
  <c r="E340" i="4" s="1"/>
  <c r="J611" i="2" a="1"/>
  <c r="J611" i="2" s="1"/>
  <c r="E214" i="4" a="1"/>
  <c r="E214" i="4" s="1"/>
  <c r="E118" i="7" a="1"/>
  <c r="E118" i="7" s="1"/>
  <c r="E213" i="4" a="1"/>
  <c r="E213" i="4" s="1"/>
  <c r="I68" i="8" a="1"/>
  <c r="I68" i="8" s="1"/>
  <c r="E50" i="6" a="1"/>
  <c r="E50" i="6" s="1"/>
  <c r="I42" i="8" a="1"/>
  <c r="I42" i="8" s="1"/>
  <c r="I154" i="8" a="1"/>
  <c r="I154" i="8" s="1"/>
  <c r="E112" i="6" a="1"/>
  <c r="E112" i="6" s="1"/>
  <c r="E106" i="5" a="1"/>
  <c r="E106" i="5" s="1"/>
  <c r="E59" i="7" a="1"/>
  <c r="E59" i="7" s="1"/>
  <c r="I135" i="8" a="1"/>
  <c r="I135" i="8" s="1"/>
  <c r="E122" i="7" a="1"/>
  <c r="E122" i="7" s="1"/>
  <c r="E111" i="6" a="1"/>
  <c r="E111" i="6" s="1"/>
  <c r="I156" i="8" a="1"/>
  <c r="I156" i="8" s="1"/>
  <c r="E319" i="4" a="1"/>
  <c r="E319" i="4" s="1"/>
  <c r="E301" i="4" a="1"/>
  <c r="E301" i="4" s="1"/>
  <c r="I34" i="8" a="1"/>
  <c r="I34" i="8" s="1"/>
  <c r="I67" i="8" a="1"/>
  <c r="I67" i="8" s="1"/>
  <c r="J266" i="2" a="1"/>
  <c r="J266" i="2" s="1"/>
  <c r="I163" i="8" a="1"/>
  <c r="I163" i="8" s="1"/>
  <c r="I59" i="8" a="1"/>
  <c r="I59" i="8" s="1"/>
  <c r="I65" i="9" a="1"/>
  <c r="I65" i="9" s="1"/>
  <c r="E356" i="4" a="1"/>
  <c r="E356" i="4" s="1"/>
  <c r="J624" i="2" a="1"/>
  <c r="J624" i="2" s="1"/>
  <c r="E190" i="7" a="1"/>
  <c r="E190" i="7" s="1"/>
  <c r="I10" i="8" a="1"/>
  <c r="I10" i="8" s="1"/>
  <c r="E11" i="7" a="1"/>
  <c r="E11" i="7" s="1"/>
  <c r="E10" i="6" a="1"/>
  <c r="E10" i="6" s="1"/>
  <c r="E21" i="4" a="1"/>
  <c r="E21" i="4" s="1"/>
  <c r="J52" i="2" a="1"/>
  <c r="J52" i="2" s="1"/>
  <c r="E82" i="4" a="1"/>
  <c r="E82" i="4" s="1"/>
  <c r="J621" i="2" a="1"/>
  <c r="J621" i="2" s="1"/>
  <c r="I28" i="8" a="1"/>
  <c r="I28" i="8" s="1"/>
  <c r="E47" i="7" a="1"/>
  <c r="E47" i="7" s="1"/>
  <c r="E406" i="4" a="1"/>
  <c r="E406" i="4" s="1"/>
  <c r="I124" i="8" a="1"/>
  <c r="I124" i="8" s="1"/>
  <c r="I89" i="8" a="1"/>
  <c r="I89" i="8" s="1"/>
  <c r="E202" i="7" a="1"/>
  <c r="E202" i="7" s="1"/>
  <c r="E391" i="4" a="1"/>
  <c r="E391" i="4" s="1"/>
  <c r="J669" i="2" a="1"/>
  <c r="J669" i="2" s="1"/>
  <c r="E201" i="6" a="1"/>
  <c r="E201" i="6" s="1"/>
  <c r="E202" i="5" a="1"/>
  <c r="E202" i="5" s="1"/>
  <c r="E385" i="4" a="1"/>
  <c r="E385" i="4" s="1"/>
  <c r="J666" i="2" a="1"/>
  <c r="J666" i="2" s="1"/>
  <c r="I114" i="8" a="1"/>
  <c r="I114" i="8" s="1"/>
  <c r="I192" i="8" a="1"/>
  <c r="I192" i="8" s="1"/>
  <c r="E208" i="7" a="1"/>
  <c r="E208" i="7" s="1"/>
  <c r="E400" i="4" a="1"/>
  <c r="E400" i="4" s="1"/>
  <c r="J659" i="2" a="1"/>
  <c r="J659" i="2" s="1"/>
  <c r="J641" i="2" a="1"/>
  <c r="J641" i="2" s="1"/>
  <c r="I118" i="8" a="1"/>
  <c r="I118" i="8" s="1"/>
  <c r="I21" i="8" a="1"/>
  <c r="I21" i="8" s="1"/>
  <c r="I104" i="8" a="1"/>
  <c r="I104" i="8" s="1"/>
  <c r="J470" i="2" a="1"/>
  <c r="J470" i="2" s="1"/>
  <c r="I95" i="8" a="1"/>
  <c r="I95" i="8" s="1"/>
  <c r="E205" i="5" a="1"/>
  <c r="E205" i="5" s="1"/>
  <c r="E392" i="4" a="1"/>
  <c r="E392" i="4" s="1"/>
  <c r="J613" i="2" a="1"/>
  <c r="J613" i="2" s="1"/>
  <c r="E205" i="6" a="1"/>
  <c r="E205" i="6" s="1"/>
  <c r="I133" i="8" a="1"/>
  <c r="I133" i="8" s="1"/>
  <c r="E207" i="4" a="1"/>
  <c r="E207" i="4" s="1"/>
  <c r="E323" i="4" a="1"/>
  <c r="E323" i="4" s="1"/>
  <c r="J157" i="2" a="1"/>
  <c r="J157" i="2" s="1"/>
  <c r="I160" i="8" a="1"/>
  <c r="I160" i="8" s="1"/>
  <c r="I54" i="8" a="1"/>
  <c r="I54" i="8" s="1"/>
  <c r="I117" i="8" a="1"/>
  <c r="I117" i="8" s="1"/>
  <c r="E19" i="5" a="1"/>
  <c r="E19" i="5" s="1"/>
  <c r="E34" i="4" a="1"/>
  <c r="E34" i="4" s="1"/>
  <c r="J141" i="2" a="1"/>
  <c r="J141" i="2" s="1"/>
  <c r="M22" i="3" a="1"/>
  <c r="M22" i="3" s="1"/>
  <c r="AF5" i="3" a="1"/>
  <c r="AF5" i="3" s="1"/>
  <c r="AF15" i="3" a="1"/>
  <c r="AF15" i="3" s="1"/>
  <c r="C630" i="12" a="1"/>
  <c r="C630" i="12" s="1"/>
  <c r="I233" i="2" s="1"/>
  <c r="C663" i="12" a="1"/>
  <c r="C663" i="12" s="1"/>
  <c r="I72" i="2" s="1"/>
  <c r="C641" i="12" a="1"/>
  <c r="C641" i="12" s="1"/>
  <c r="I92" i="2" s="1"/>
  <c r="C657" i="12" a="1"/>
  <c r="C657" i="12" s="1"/>
  <c r="I117" i="2" s="1"/>
  <c r="AE19" i="3" a="1"/>
  <c r="AE19" i="3" s="1"/>
  <c r="AE13" i="3" a="1"/>
  <c r="AE13" i="3" s="1"/>
  <c r="AE16" i="3" a="1"/>
  <c r="AE16" i="3" s="1"/>
  <c r="C636" i="12" a="1"/>
  <c r="C636" i="12" s="1"/>
  <c r="I143" i="2" s="1"/>
  <c r="C619" i="12" a="1"/>
  <c r="C619" i="12" s="1"/>
  <c r="I162" i="2" s="1"/>
  <c r="C664" i="12" a="1"/>
  <c r="C664" i="12" s="1"/>
  <c r="I297" i="2" s="1"/>
  <c r="C655" i="12" a="1"/>
  <c r="C655" i="12" s="1"/>
  <c r="I245" i="2" s="1"/>
  <c r="C667" i="12" a="1"/>
  <c r="C667" i="12" s="1"/>
  <c r="I53" i="2" s="1"/>
  <c r="AE10" i="3" a="1"/>
  <c r="AE10" i="3" s="1"/>
  <c r="AE4" i="3" a="1"/>
  <c r="AE4" i="3" s="1"/>
  <c r="AE14" i="3" a="1"/>
  <c r="AE14" i="3" s="1"/>
  <c r="AF8" i="3" a="1"/>
  <c r="AF8" i="3" s="1"/>
  <c r="C647" i="12" a="1"/>
  <c r="C647" i="12" s="1"/>
  <c r="I38" i="2" s="1"/>
  <c r="C661" i="12" a="1"/>
  <c r="C661" i="12" s="1"/>
  <c r="I102" i="2" s="1"/>
  <c r="C666" i="12" a="1"/>
  <c r="C666" i="12" s="1"/>
  <c r="I509" i="2" s="1"/>
  <c r="AF17" i="3" a="1"/>
  <c r="AF17" i="3" s="1"/>
  <c r="AF11" i="3" a="1"/>
  <c r="AF11" i="3" s="1"/>
  <c r="AF14" i="3" a="1"/>
  <c r="AF14" i="3" s="1"/>
  <c r="AE9" i="3" a="1"/>
  <c r="AE9" i="3" s="1"/>
  <c r="C659" i="12" a="1"/>
  <c r="C659" i="12" s="1"/>
  <c r="I10" i="2" s="1"/>
  <c r="C668" i="12" a="1"/>
  <c r="C668" i="12" s="1"/>
  <c r="I136" i="2" s="1"/>
  <c r="AE18" i="3" a="1"/>
  <c r="AE18" i="3" s="1"/>
  <c r="AE12" i="3" a="1"/>
  <c r="AE12" i="3" s="1"/>
  <c r="AE15" i="3" a="1"/>
  <c r="AE15" i="3" s="1"/>
  <c r="AF16" i="3" a="1"/>
  <c r="AF16" i="3" s="1"/>
  <c r="C618" i="12" a="1"/>
  <c r="C618" i="12" s="1"/>
  <c r="I393" i="2" s="1"/>
  <c r="AF10" i="3" a="1"/>
  <c r="AF10" i="3" s="1"/>
  <c r="AF4" i="3" a="1"/>
  <c r="AF4" i="3" s="1"/>
  <c r="AF6" i="3" a="1"/>
  <c r="AF6" i="3" s="1"/>
  <c r="AE17" i="3" a="1"/>
  <c r="AE17" i="3" s="1"/>
  <c r="C610" i="12" a="1"/>
  <c r="C610" i="12" s="1"/>
  <c r="I514" i="2" s="1"/>
  <c r="AE11" i="3" a="1"/>
  <c r="AE11" i="3" s="1"/>
  <c r="AE5" i="3" a="1"/>
  <c r="AE5" i="3" s="1"/>
  <c r="C648" i="12" a="1"/>
  <c r="C648" i="12" s="1"/>
  <c r="I322" i="2" s="1"/>
  <c r="C617" i="12" a="1"/>
  <c r="C617" i="12" s="1"/>
  <c r="I26" i="2" s="1"/>
  <c r="C625" i="12" a="1"/>
  <c r="C625" i="12" s="1"/>
  <c r="I20" i="2" s="1"/>
  <c r="C653" i="12" a="1"/>
  <c r="C653" i="12" s="1"/>
  <c r="I346" i="2" s="1"/>
  <c r="I185" i="7" a="1"/>
  <c r="I185" i="7" s="1"/>
  <c r="I338" i="4" a="1"/>
  <c r="I338" i="4" s="1"/>
  <c r="I76" i="7" a="1"/>
  <c r="I76" i="7" s="1"/>
  <c r="I128" i="4" a="1"/>
  <c r="I128" i="4" s="1"/>
  <c r="I187" i="7" a="1"/>
  <c r="I187" i="7" s="1"/>
  <c r="I179" i="6" a="1"/>
  <c r="I179" i="6" s="1"/>
  <c r="I341" i="4" a="1"/>
  <c r="I341" i="4" s="1"/>
  <c r="I9" i="5" a="1"/>
  <c r="I9" i="5" s="1"/>
  <c r="I11" i="4" a="1"/>
  <c r="I11" i="4" s="1"/>
  <c r="I66" i="5" a="1"/>
  <c r="I66" i="5" s="1"/>
  <c r="I132" i="4" a="1"/>
  <c r="I132" i="4" s="1"/>
  <c r="I166" i="6" a="1"/>
  <c r="I166" i="6" s="1"/>
  <c r="I312" i="4" a="1"/>
  <c r="I312" i="4" s="1"/>
  <c r="I87" i="6" a="1"/>
  <c r="I87" i="6" s="1"/>
  <c r="I87" i="5" a="1"/>
  <c r="I87" i="5" s="1"/>
  <c r="I172" i="4" a="1"/>
  <c r="I172" i="4" s="1"/>
  <c r="I116" i="5" a="1"/>
  <c r="I116" i="5" s="1"/>
  <c r="I232" i="4" a="1"/>
  <c r="I232" i="4" s="1"/>
  <c r="I165" i="7" a="1"/>
  <c r="I165" i="7" s="1"/>
  <c r="I308" i="4" a="1"/>
  <c r="I308" i="4" s="1"/>
  <c r="I189" i="5" a="1"/>
  <c r="I189" i="5" s="1"/>
  <c r="I363" i="4" a="1"/>
  <c r="I363" i="4" s="1"/>
  <c r="I160" i="7" a="1"/>
  <c r="I160" i="7" s="1"/>
  <c r="I156" i="6" a="1"/>
  <c r="I156" i="6" s="1"/>
  <c r="I295" i="4" a="1"/>
  <c r="I295" i="4" s="1"/>
  <c r="I164" i="7" a="1"/>
  <c r="I164" i="7" s="1"/>
  <c r="I165" i="5" a="1"/>
  <c r="I165" i="5" s="1"/>
  <c r="I307" i="4" a="1"/>
  <c r="I307" i="4" s="1"/>
  <c r="I18" i="5" a="1"/>
  <c r="I18" i="5" s="1"/>
  <c r="I33" i="4" a="1"/>
  <c r="I33" i="4" s="1"/>
  <c r="I198" i="5" a="1"/>
  <c r="I198" i="5" s="1"/>
  <c r="I380" i="4" a="1"/>
  <c r="I380" i="4" s="1"/>
  <c r="I60" i="5" a="1"/>
  <c r="I60" i="5" s="1"/>
  <c r="I117" i="4" a="1"/>
  <c r="I117" i="4" s="1"/>
  <c r="I99" i="6" a="1"/>
  <c r="I99" i="6" s="1"/>
  <c r="I96" i="5" a="1"/>
  <c r="I96" i="5" s="1"/>
  <c r="I193" i="4" a="1"/>
  <c r="I193" i="4" s="1"/>
  <c r="I192" i="5" a="1"/>
  <c r="I192" i="5" s="1"/>
  <c r="I372" i="4" a="1"/>
  <c r="I372" i="4" s="1"/>
  <c r="I204" i="7" a="1"/>
  <c r="I204" i="7" s="1"/>
  <c r="I394" i="4" a="1"/>
  <c r="I394" i="4" s="1"/>
  <c r="I51" i="7" a="1"/>
  <c r="I51" i="7" s="1"/>
  <c r="I42" i="6" a="1"/>
  <c r="I42" i="6" s="1"/>
  <c r="I89" i="4" a="1"/>
  <c r="I89" i="4" s="1"/>
  <c r="I84" i="7" a="1"/>
  <c r="I84" i="7" s="1"/>
  <c r="I71" i="6" a="1"/>
  <c r="I71" i="6" s="1"/>
  <c r="I71" i="5" a="1"/>
  <c r="I71" i="5" s="1"/>
  <c r="I143" i="4" a="1"/>
  <c r="I143" i="4" s="1"/>
  <c r="I177" i="6" a="1"/>
  <c r="I177" i="6" s="1"/>
  <c r="I177" i="5" a="1"/>
  <c r="I177" i="5" s="1"/>
  <c r="I339" i="4" a="1"/>
  <c r="I339" i="4" s="1"/>
  <c r="I173" i="5" a="1"/>
  <c r="I173" i="5" s="1"/>
  <c r="I324" i="4" a="1"/>
  <c r="I324" i="4" s="1"/>
  <c r="I153" i="6" a="1"/>
  <c r="I153" i="6" s="1"/>
  <c r="I158" i="5" a="1"/>
  <c r="I158" i="5" s="1"/>
  <c r="I290" i="4" a="1"/>
  <c r="I290" i="4" s="1"/>
  <c r="I98" i="7" a="1"/>
  <c r="I98" i="7" s="1"/>
  <c r="I89" i="5" a="1"/>
  <c r="I89" i="5" s="1"/>
  <c r="I174" i="4" a="1"/>
  <c r="I174" i="4" s="1"/>
  <c r="I36" i="5" a="1"/>
  <c r="I36" i="5" s="1"/>
  <c r="I65" i="4" a="1"/>
  <c r="I65" i="4" s="1"/>
  <c r="I152" i="6" a="1"/>
  <c r="I152" i="6" s="1"/>
  <c r="I157" i="5" a="1"/>
  <c r="I157" i="5" s="1"/>
  <c r="I289" i="4" a="1"/>
  <c r="I289" i="4" s="1"/>
  <c r="I162" i="6" a="1"/>
  <c r="I162" i="6" s="1"/>
  <c r="I305" i="4" a="1"/>
  <c r="I305" i="4" s="1"/>
  <c r="I142" i="7" a="1"/>
  <c r="I142" i="7" s="1"/>
  <c r="I243" i="4" a="1"/>
  <c r="I243" i="4" s="1"/>
  <c r="I73" i="5" a="1"/>
  <c r="I73" i="5" s="1"/>
  <c r="I75" i="6" a="1"/>
  <c r="I75" i="6" s="1"/>
  <c r="I148" i="4" a="1"/>
  <c r="I148" i="4" s="1"/>
  <c r="I207" i="5" a="1"/>
  <c r="I207" i="5" s="1"/>
  <c r="I398" i="4" a="1"/>
  <c r="I398" i="4" s="1"/>
  <c r="I91" i="6" a="1"/>
  <c r="I91" i="6" s="1"/>
  <c r="I102" i="7" a="1"/>
  <c r="I102" i="7" s="1"/>
  <c r="I179" i="4" a="1"/>
  <c r="I179" i="4" s="1"/>
  <c r="I72" i="6" a="1"/>
  <c r="I72" i="6" s="1"/>
  <c r="I145" i="4" a="1"/>
  <c r="I145" i="4" s="1"/>
  <c r="I208" i="6" a="1"/>
  <c r="I208" i="6" s="1"/>
  <c r="I402" i="4" a="1"/>
  <c r="I402" i="4" s="1"/>
  <c r="I80" i="6" a="1"/>
  <c r="I80" i="6" s="1"/>
  <c r="I154" i="4" a="1"/>
  <c r="I154" i="4" s="1"/>
  <c r="I147" i="7" a="1"/>
  <c r="I147" i="7" s="1"/>
  <c r="I132" i="5" a="1"/>
  <c r="I132" i="5" s="1"/>
  <c r="I258" i="4" a="1"/>
  <c r="I258" i="4" s="1"/>
  <c r="I203" i="6" a="1"/>
  <c r="I203" i="6" s="1"/>
  <c r="I201" i="7" a="1"/>
  <c r="I201" i="7" s="1"/>
  <c r="I387" i="4" a="1"/>
  <c r="I387" i="4" s="1"/>
  <c r="I57" i="4" a="1"/>
  <c r="I57" i="4" s="1"/>
  <c r="I31" i="5" a="1"/>
  <c r="I31" i="5" s="1"/>
  <c r="I100" i="7" a="1"/>
  <c r="I100" i="7" s="1"/>
  <c r="I177" i="4" a="1"/>
  <c r="I177" i="4" s="1"/>
  <c r="I10" i="7" a="1"/>
  <c r="I10" i="7" s="1"/>
  <c r="I9" i="6" a="1"/>
  <c r="I9" i="6" s="1"/>
  <c r="I13" i="5" a="1"/>
  <c r="I13" i="5" s="1"/>
  <c r="I20" i="4" a="1"/>
  <c r="I20" i="4" s="1"/>
  <c r="I164" i="5" a="1"/>
  <c r="I164" i="5" s="1"/>
  <c r="I304" i="4" a="1"/>
  <c r="I304" i="4" s="1"/>
  <c r="I53" i="7" a="1"/>
  <c r="I53" i="7" s="1"/>
  <c r="I91" i="4" a="1"/>
  <c r="I91" i="4" s="1"/>
  <c r="I87" i="7" a="1"/>
  <c r="I87" i="7" s="1"/>
  <c r="I76" i="6" a="1"/>
  <c r="I76" i="6" s="1"/>
  <c r="I149" i="4" a="1"/>
  <c r="I149" i="4" s="1"/>
  <c r="I171" i="7" a="1"/>
  <c r="I171" i="7" s="1"/>
  <c r="I168" i="6" a="1"/>
  <c r="I168" i="6" s="1"/>
  <c r="I171" i="5" a="1"/>
  <c r="I171" i="5" s="1"/>
  <c r="I319" i="4" a="1"/>
  <c r="I319" i="4" s="1"/>
  <c r="I89" i="6" a="1"/>
  <c r="I89" i="6" s="1"/>
  <c r="I176" i="4" a="1"/>
  <c r="I176" i="4" s="1"/>
  <c r="I11" i="7" a="1"/>
  <c r="I11" i="7" s="1"/>
  <c r="I10" i="6" a="1"/>
  <c r="I10" i="6" s="1"/>
  <c r="I21" i="4" a="1"/>
  <c r="I21" i="4" s="1"/>
  <c r="I136" i="5" a="1"/>
  <c r="I136" i="5" s="1"/>
  <c r="I263" i="4" a="1"/>
  <c r="I263" i="4" s="1"/>
  <c r="I31" i="7" a="1"/>
  <c r="I31" i="7" s="1"/>
  <c r="I59" i="4" a="1"/>
  <c r="I59" i="4" s="1"/>
  <c r="I166" i="7" a="1"/>
  <c r="I166" i="7" s="1"/>
  <c r="I166" i="5" a="1"/>
  <c r="I166" i="5" s="1"/>
  <c r="I165" i="6" a="1"/>
  <c r="I165" i="6" s="1"/>
  <c r="I310" i="4" a="1"/>
  <c r="I310" i="4" s="1"/>
  <c r="I7" i="6" a="1"/>
  <c r="I7" i="6" s="1"/>
  <c r="I14" i="4" a="1"/>
  <c r="I14" i="4" s="1"/>
  <c r="I26" i="7" a="1"/>
  <c r="I26" i="7" s="1"/>
  <c r="I45" i="4" a="1"/>
  <c r="I45" i="4" s="1"/>
  <c r="I14" i="6" a="1"/>
  <c r="I14" i="6" s="1"/>
  <c r="I27" i="4" a="1"/>
  <c r="I27" i="4" s="1"/>
  <c r="I152" i="7" a="1"/>
  <c r="I152" i="7" s="1"/>
  <c r="I147" i="5" a="1"/>
  <c r="I147" i="5" s="1"/>
  <c r="I278" i="4" a="1"/>
  <c r="I278" i="4" s="1"/>
  <c r="I127" i="5" a="1"/>
  <c r="I127" i="5" s="1"/>
  <c r="I250" i="4" a="1"/>
  <c r="I250" i="4" s="1"/>
  <c r="I79" i="7" a="1"/>
  <c r="I79" i="7" s="1"/>
  <c r="I135" i="4" a="1"/>
  <c r="I135" i="4" s="1"/>
  <c r="I92" i="7" a="1"/>
  <c r="I92" i="7" s="1"/>
  <c r="I83" i="6" a="1"/>
  <c r="I83" i="6" s="1"/>
  <c r="I164" i="4" a="1"/>
  <c r="I164" i="4" s="1"/>
  <c r="I19" i="7" a="1"/>
  <c r="I19" i="7" s="1"/>
  <c r="I19" i="6" a="1"/>
  <c r="I19" i="6" s="1"/>
  <c r="I35" i="4" a="1"/>
  <c r="I35" i="4" s="1"/>
  <c r="I20" i="7" a="1"/>
  <c r="I20" i="7" s="1"/>
  <c r="I36" i="4" a="1"/>
  <c r="I36" i="4" s="1"/>
  <c r="I191" i="5" a="1"/>
  <c r="I191" i="5" s="1"/>
  <c r="I369" i="4" a="1"/>
  <c r="I369" i="4" s="1"/>
  <c r="I194" i="6" a="1"/>
  <c r="I194" i="6" s="1"/>
  <c r="I190" i="5" a="1"/>
  <c r="I190" i="5" s="1"/>
  <c r="I368" i="4" a="1"/>
  <c r="I368" i="4" s="1"/>
  <c r="I133" i="7" a="1"/>
  <c r="I133" i="7" s="1"/>
  <c r="I231" i="4" a="1"/>
  <c r="I231" i="4" s="1"/>
  <c r="I33" i="7" a="1"/>
  <c r="I33" i="7" s="1"/>
  <c r="I34" i="5" a="1"/>
  <c r="I34" i="5" s="1"/>
  <c r="I62" i="4" a="1"/>
  <c r="I62" i="4" s="1"/>
  <c r="I67" i="5" a="1"/>
  <c r="I67" i="5" s="1"/>
  <c r="I134" i="4" a="1"/>
  <c r="I134" i="4" s="1"/>
  <c r="I3" i="5" a="1"/>
  <c r="I3" i="5" s="1"/>
  <c r="I3" i="4" a="1"/>
  <c r="I3" i="4" s="1"/>
  <c r="I120" i="7" a="1"/>
  <c r="I120" i="7" s="1"/>
  <c r="I211" i="4" a="1"/>
  <c r="I211" i="4" s="1"/>
  <c r="I143" i="7" a="1"/>
  <c r="I143" i="7" s="1"/>
  <c r="I129" i="6" a="1"/>
  <c r="I129" i="6" s="1"/>
  <c r="I248" i="4" a="1"/>
  <c r="I248" i="4" s="1"/>
  <c r="I106" i="6" a="1"/>
  <c r="I106" i="6" s="1"/>
  <c r="I103" i="5" a="1"/>
  <c r="I103" i="5" s="1"/>
  <c r="I205" i="4" a="1"/>
  <c r="I205" i="4" s="1"/>
  <c r="I108" i="7" a="1"/>
  <c r="I108" i="7" s="1"/>
  <c r="I96" i="6" a="1"/>
  <c r="I96" i="6" s="1"/>
  <c r="I188" i="4" a="1"/>
  <c r="I188" i="4" s="1"/>
  <c r="I128" i="7" a="1"/>
  <c r="I128" i="7" s="1"/>
  <c r="I116" i="6" a="1"/>
  <c r="I116" i="6" s="1"/>
  <c r="I223" i="4" a="1"/>
  <c r="I223" i="4" s="1"/>
  <c r="I209" i="5" a="1"/>
  <c r="I209" i="5" s="1"/>
  <c r="I403" i="4" a="1"/>
  <c r="I403" i="4" s="1"/>
  <c r="I23" i="6" a="1"/>
  <c r="I23" i="6" s="1"/>
  <c r="I50" i="4" a="1"/>
  <c r="I50" i="4" s="1"/>
  <c r="I151" i="7" a="1"/>
  <c r="I151" i="7" s="1"/>
  <c r="I272" i="4" a="1"/>
  <c r="I272" i="4" s="1"/>
  <c r="I171" i="6" a="1"/>
  <c r="I171" i="6" s="1"/>
  <c r="I329" i="4" a="1"/>
  <c r="I329" i="4" s="1"/>
  <c r="I188" i="6" a="1"/>
  <c r="I188" i="6" s="1"/>
  <c r="I182" i="5" a="1"/>
  <c r="I182" i="5" s="1"/>
  <c r="I352" i="4" a="1"/>
  <c r="I352" i="4" s="1"/>
  <c r="I126" i="6" a="1"/>
  <c r="I126" i="6" s="1"/>
  <c r="I139" i="7" a="1"/>
  <c r="I139" i="7" s="1"/>
  <c r="I238" i="4" a="1"/>
  <c r="I238" i="4" s="1"/>
  <c r="I124" i="7" a="1"/>
  <c r="I124" i="7" s="1"/>
  <c r="I216" i="4" a="1"/>
  <c r="I216" i="4" s="1"/>
  <c r="I89" i="7" a="1"/>
  <c r="I89" i="7" s="1"/>
  <c r="I78" i="5" a="1"/>
  <c r="I78" i="5" s="1"/>
  <c r="I157" i="4" a="1"/>
  <c r="I157" i="4" s="1"/>
  <c r="I197" i="6" a="1"/>
  <c r="I197" i="6" s="1"/>
  <c r="I373" i="4" a="1"/>
  <c r="I373" i="4" s="1"/>
  <c r="I179" i="7" a="1"/>
  <c r="I179" i="7" s="1"/>
  <c r="I170" i="6" a="1"/>
  <c r="I170" i="6" s="1"/>
  <c r="I328" i="4" a="1"/>
  <c r="I328" i="4" s="1"/>
  <c r="I145" i="6" a="1"/>
  <c r="I145" i="6" s="1"/>
  <c r="I275" i="4" a="1"/>
  <c r="I275" i="4" s="1"/>
  <c r="I8" i="7" a="1"/>
  <c r="I8" i="7" s="1"/>
  <c r="I11" i="5" a="1"/>
  <c r="I11" i="5" s="1"/>
  <c r="I18" i="4" a="1"/>
  <c r="I18" i="4" s="1"/>
  <c r="I28" i="5" a="1"/>
  <c r="I28" i="5" s="1"/>
  <c r="I51" i="4" a="1"/>
  <c r="I51" i="4" s="1"/>
  <c r="I33" i="5" a="1"/>
  <c r="I33" i="5" s="1"/>
  <c r="I61" i="4" a="1"/>
  <c r="I61" i="4" s="1"/>
  <c r="I202" i="7" a="1"/>
  <c r="I202" i="7" s="1"/>
  <c r="I391" i="4" a="1"/>
  <c r="I391" i="4" s="1"/>
  <c r="I186" i="5" a="1"/>
  <c r="I186" i="5" s="1"/>
  <c r="I358" i="4" a="1"/>
  <c r="I358" i="4" s="1"/>
  <c r="I201" i="6" a="1"/>
  <c r="I201" i="6" s="1"/>
  <c r="I202" i="5" a="1"/>
  <c r="I202" i="5" s="1"/>
  <c r="I385" i="4" a="1"/>
  <c r="I385" i="4" s="1"/>
  <c r="I13" i="7" a="1"/>
  <c r="I13" i="7" s="1"/>
  <c r="I12" i="6" a="1"/>
  <c r="I12" i="6" s="1"/>
  <c r="I23" i="4" a="1"/>
  <c r="I23" i="4" s="1"/>
  <c r="I192" i="7" a="1"/>
  <c r="I192" i="7" s="1"/>
  <c r="I190" i="6" a="1"/>
  <c r="I190" i="6" s="1"/>
  <c r="I187" i="5" a="1"/>
  <c r="I187" i="5" s="1"/>
  <c r="I359" i="4" a="1"/>
  <c r="I359" i="4" s="1"/>
  <c r="I35" i="7" a="1"/>
  <c r="I35" i="7" s="1"/>
  <c r="I30" i="6" a="1"/>
  <c r="I30" i="6" s="1"/>
  <c r="I66" i="4" a="1"/>
  <c r="I66" i="4" s="1"/>
  <c r="I144" i="6" a="1"/>
  <c r="I144" i="6" s="1"/>
  <c r="I144" i="5" a="1"/>
  <c r="I144" i="5" s="1"/>
  <c r="I274" i="4" a="1"/>
  <c r="I274" i="4" s="1"/>
  <c r="I93" i="5" a="1"/>
  <c r="I93" i="5" s="1"/>
  <c r="I107" i="7" a="1"/>
  <c r="I107" i="7" s="1"/>
  <c r="I95" i="6" a="1"/>
  <c r="I95" i="6" s="1"/>
  <c r="I186" i="4" a="1"/>
  <c r="I186" i="4" s="1"/>
  <c r="I388" i="4" a="1"/>
  <c r="I388" i="4" s="1"/>
  <c r="I203" i="5" a="1"/>
  <c r="I203" i="5" s="1"/>
  <c r="I29" i="5" a="1"/>
  <c r="I29" i="5" s="1"/>
  <c r="I24" i="6" a="1"/>
  <c r="I24" i="6" s="1"/>
  <c r="I52" i="4" a="1"/>
  <c r="I52" i="4" s="1"/>
  <c r="I100" i="6" a="1"/>
  <c r="I100" i="6" s="1"/>
  <c r="I194" i="4" a="1"/>
  <c r="I194" i="4" s="1"/>
  <c r="I109" i="7" a="1"/>
  <c r="I109" i="7" s="1"/>
  <c r="I190" i="4" a="1"/>
  <c r="I190" i="4" s="1"/>
  <c r="I61" i="6" a="1"/>
  <c r="I61" i="6" s="1"/>
  <c r="I63" i="5" a="1"/>
  <c r="I63" i="5" s="1"/>
  <c r="I123" i="4" a="1"/>
  <c r="I123" i="4" s="1"/>
  <c r="I3" i="7" a="1"/>
  <c r="I3" i="7" s="1"/>
  <c r="I5" i="4" a="1"/>
  <c r="I5" i="4" s="1"/>
  <c r="I68" i="5" a="1"/>
  <c r="I68" i="5" s="1"/>
  <c r="I136" i="4" a="1"/>
  <c r="I136" i="4" s="1"/>
  <c r="I199" i="7" a="1"/>
  <c r="I199" i="7" s="1"/>
  <c r="I197" i="5" a="1"/>
  <c r="I197" i="5" s="1"/>
  <c r="I379" i="4" a="1"/>
  <c r="I379" i="4" s="1"/>
  <c r="I93" i="7" a="1"/>
  <c r="I93" i="7" s="1"/>
  <c r="I85" i="5" a="1"/>
  <c r="I85" i="5" s="1"/>
  <c r="I167" i="4" a="1"/>
  <c r="I167" i="4" s="1"/>
  <c r="I66" i="7" a="1"/>
  <c r="I66" i="7" s="1"/>
  <c r="I56" i="6" a="1"/>
  <c r="I56" i="6" s="1"/>
  <c r="I113" i="4" a="1"/>
  <c r="I113" i="4" s="1"/>
  <c r="I68" i="6" a="1"/>
  <c r="I68" i="6" s="1"/>
  <c r="I138" i="4" a="1"/>
  <c r="I138" i="4" s="1"/>
  <c r="I67" i="6" a="1"/>
  <c r="I67" i="6" s="1"/>
  <c r="I77" i="7" a="1"/>
  <c r="I77" i="7" s="1"/>
  <c r="I130" i="4" a="1"/>
  <c r="I130" i="4" s="1"/>
  <c r="I43" i="5" a="1"/>
  <c r="I43" i="5" s="1"/>
  <c r="I78" i="4" a="1"/>
  <c r="I78" i="4" s="1"/>
  <c r="I82" i="5" a="1"/>
  <c r="I82" i="5" s="1"/>
  <c r="I161" i="4" a="1"/>
  <c r="I161" i="4" s="1"/>
  <c r="I206" i="7" a="1"/>
  <c r="I206" i="7" s="1"/>
  <c r="I207" i="6" a="1"/>
  <c r="I207" i="6" s="1"/>
  <c r="I397" i="4" a="1"/>
  <c r="I397" i="4" s="1"/>
  <c r="I193" i="5" a="1"/>
  <c r="I193" i="5" s="1"/>
  <c r="I374" i="4" a="1"/>
  <c r="I374" i="4" s="1"/>
  <c r="I73" i="6" a="1"/>
  <c r="I73" i="6" s="1"/>
  <c r="I72" i="5" a="1"/>
  <c r="I72" i="5" s="1"/>
  <c r="I146" i="4" a="1"/>
  <c r="I146" i="4" s="1"/>
  <c r="I184" i="5" a="1"/>
  <c r="I184" i="5" s="1"/>
  <c r="I354" i="4" a="1"/>
  <c r="I354" i="4" s="1"/>
  <c r="I147" i="6" a="1"/>
  <c r="I147" i="6" s="1"/>
  <c r="I146" i="5" a="1"/>
  <c r="I146" i="5" s="1"/>
  <c r="I277" i="4" a="1"/>
  <c r="I277" i="4" s="1"/>
  <c r="I105" i="6" a="1"/>
  <c r="I105" i="6" s="1"/>
  <c r="I101" i="5" a="1"/>
  <c r="I101" i="5" s="1"/>
  <c r="I203" i="4" a="1"/>
  <c r="I203" i="4" s="1"/>
  <c r="I161" i="7" a="1"/>
  <c r="I161" i="7" s="1"/>
  <c r="I299" i="4" a="1"/>
  <c r="I299" i="4" s="1"/>
  <c r="I45" i="6" a="1"/>
  <c r="I45" i="6" s="1"/>
  <c r="I49" i="5" a="1"/>
  <c r="I49" i="5" s="1"/>
  <c r="I94" i="4" a="1"/>
  <c r="I94" i="4" s="1"/>
  <c r="I85" i="7" a="1"/>
  <c r="I85" i="7" s="1"/>
  <c r="I144" i="4" a="1"/>
  <c r="I144" i="4" s="1"/>
  <c r="I82" i="7" a="1"/>
  <c r="I82" i="7" s="1"/>
  <c r="I70" i="6" a="1"/>
  <c r="I70" i="6" s="1"/>
  <c r="I69" i="5" a="1"/>
  <c r="I69" i="5" s="1"/>
  <c r="I140" i="4" a="1"/>
  <c r="I140" i="4" s="1"/>
  <c r="I113" i="6" a="1"/>
  <c r="I113" i="6" s="1"/>
  <c r="I125" i="7" a="1"/>
  <c r="I125" i="7" s="1"/>
  <c r="I218" i="4" a="1"/>
  <c r="I218" i="4" s="1"/>
  <c r="I21" i="7" a="1"/>
  <c r="I21" i="7" s="1"/>
  <c r="I20" i="6" a="1"/>
  <c r="I20" i="6" s="1"/>
  <c r="I37" i="4" a="1"/>
  <c r="I37" i="4" s="1"/>
  <c r="I29" i="7" a="1"/>
  <c r="I29" i="7" s="1"/>
  <c r="I54" i="4" a="1"/>
  <c r="I54" i="4" s="1"/>
  <c r="I151" i="5" a="1"/>
  <c r="I151" i="5" s="1"/>
  <c r="I282" i="4" a="1"/>
  <c r="I282" i="4" s="1"/>
  <c r="I202" i="6" a="1"/>
  <c r="I202" i="6" s="1"/>
  <c r="I386" i="4" a="1"/>
  <c r="I386" i="4" s="1"/>
  <c r="I180" i="6" a="1"/>
  <c r="I180" i="6" s="1"/>
  <c r="I342" i="4" a="1"/>
  <c r="I342" i="4" s="1"/>
  <c r="I163" i="6" a="1"/>
  <c r="I163" i="6" s="1"/>
  <c r="I306" i="4" a="1"/>
  <c r="I306" i="4" s="1"/>
  <c r="I83" i="7" a="1"/>
  <c r="I83" i="7" s="1"/>
  <c r="I141" i="4" a="1"/>
  <c r="I141" i="4" s="1"/>
  <c r="I122" i="5" a="1"/>
  <c r="I122" i="5" s="1"/>
  <c r="I244" i="4" a="1"/>
  <c r="I244" i="4" s="1"/>
  <c r="I205" i="6" a="1"/>
  <c r="I205" i="6" s="1"/>
  <c r="I392" i="4" a="1"/>
  <c r="I392" i="4" s="1"/>
  <c r="I205" i="5" a="1"/>
  <c r="I205" i="5" s="1"/>
  <c r="I77" i="6" a="1"/>
  <c r="I77" i="6" s="1"/>
  <c r="I74" i="5" a="1"/>
  <c r="I74" i="5" s="1"/>
  <c r="I150" i="4" a="1"/>
  <c r="I150" i="4" s="1"/>
  <c r="I97" i="7" a="1"/>
  <c r="I97" i="7" s="1"/>
  <c r="I88" i="5" a="1"/>
  <c r="I88" i="5" s="1"/>
  <c r="I173" i="4" a="1"/>
  <c r="I173" i="4" s="1"/>
  <c r="I8" i="5" a="1"/>
  <c r="I8" i="5" s="1"/>
  <c r="I10" i="4" a="1"/>
  <c r="I10" i="4" s="1"/>
  <c r="I196" i="7" a="1"/>
  <c r="I196" i="7" s="1"/>
  <c r="I365" i="4" a="1"/>
  <c r="I365" i="4" s="1"/>
  <c r="I138" i="7" a="1"/>
  <c r="I138" i="7" s="1"/>
  <c r="I125" i="6" a="1"/>
  <c r="I125" i="6" s="1"/>
  <c r="I117" i="5" a="1"/>
  <c r="I117" i="5" s="1"/>
  <c r="I237" i="4" a="1"/>
  <c r="I237" i="4" s="1"/>
  <c r="I175" i="7" a="1"/>
  <c r="I175" i="7" s="1"/>
  <c r="I323" i="4" a="1"/>
  <c r="I323" i="4" s="1"/>
  <c r="I38" i="7" a="1"/>
  <c r="I38" i="7" s="1"/>
  <c r="I31" i="6" a="1"/>
  <c r="I31" i="6" s="1"/>
  <c r="I38" i="5" a="1"/>
  <c r="I38" i="5" s="1"/>
  <c r="I69" i="4" a="1"/>
  <c r="I69" i="4" s="1"/>
  <c r="I141" i="5" a="1"/>
  <c r="I141" i="5" s="1"/>
  <c r="I269" i="4" a="1"/>
  <c r="I269" i="4" s="1"/>
  <c r="I69" i="7" a="1"/>
  <c r="I69" i="7" s="1"/>
  <c r="I58" i="6" a="1"/>
  <c r="I58" i="6" s="1"/>
  <c r="I118" i="4" a="1"/>
  <c r="I118" i="4" s="1"/>
  <c r="I39" i="7" a="1"/>
  <c r="I39" i="7" s="1"/>
  <c r="I70" i="4" a="1"/>
  <c r="I70" i="4" s="1"/>
  <c r="I6" i="7" a="1"/>
  <c r="I6" i="7" s="1"/>
  <c r="I6" i="6" a="1"/>
  <c r="I6" i="6" s="1"/>
  <c r="I13" i="4" a="1"/>
  <c r="I13" i="4" s="1"/>
  <c r="I18" i="6" a="1"/>
  <c r="I18" i="6" s="1"/>
  <c r="I17" i="5" a="1"/>
  <c r="I17" i="5" s="1"/>
  <c r="I18" i="7" a="1"/>
  <c r="I18" i="7" s="1"/>
  <c r="I32" i="4" a="1"/>
  <c r="I32" i="4" s="1"/>
  <c r="I150" i="6" a="1"/>
  <c r="I150" i="6" s="1"/>
  <c r="I153" i="5" a="1"/>
  <c r="I153" i="5" s="1"/>
  <c r="I284" i="4" a="1"/>
  <c r="I284" i="4" s="1"/>
  <c r="I58" i="7" a="1"/>
  <c r="I58" i="7" s="1"/>
  <c r="I49" i="6" a="1"/>
  <c r="I49" i="6" s="1"/>
  <c r="I103" i="4" a="1"/>
  <c r="I103" i="4" s="1"/>
  <c r="I59" i="5" a="1"/>
  <c r="I59" i="5" s="1"/>
  <c r="I114" i="4" a="1"/>
  <c r="I114" i="4" s="1"/>
  <c r="I42" i="5" a="1"/>
  <c r="I42" i="5" s="1"/>
  <c r="I77" i="4" a="1"/>
  <c r="I77" i="4" s="1"/>
  <c r="I199" i="6" a="1"/>
  <c r="I199" i="6" s="1"/>
  <c r="I199" i="5" a="1"/>
  <c r="I199" i="5" s="1"/>
  <c r="I381" i="4" a="1"/>
  <c r="I381" i="4" s="1"/>
  <c r="I168" i="5" a="1"/>
  <c r="I168" i="5" s="1"/>
  <c r="I314" i="4" a="1"/>
  <c r="I314" i="4" s="1"/>
  <c r="I114" i="7" a="1"/>
  <c r="I114" i="7" s="1"/>
  <c r="I102" i="6" a="1"/>
  <c r="I102" i="6" s="1"/>
  <c r="I199" i="4" a="1"/>
  <c r="I199" i="4" s="1"/>
  <c r="I149" i="6" a="1"/>
  <c r="I149" i="6" s="1"/>
  <c r="I150" i="5" a="1"/>
  <c r="I150" i="5" s="1"/>
  <c r="I281" i="4" a="1"/>
  <c r="I281" i="4" s="1"/>
  <c r="I90" i="7" a="1"/>
  <c r="I90" i="7" s="1"/>
  <c r="I80" i="5" a="1"/>
  <c r="I80" i="5" s="1"/>
  <c r="I159" i="4" a="1"/>
  <c r="I159" i="4" s="1"/>
  <c r="I167" i="6" a="1"/>
  <c r="I167" i="6" s="1"/>
  <c r="I315" i="4" a="1"/>
  <c r="I315" i="4" s="1"/>
  <c r="I41" i="6" a="1"/>
  <c r="I41" i="6" s="1"/>
  <c r="I88" i="4" a="1"/>
  <c r="I88" i="4" s="1"/>
  <c r="I94" i="6" a="1"/>
  <c r="I94" i="6" s="1"/>
  <c r="I106" i="7" a="1"/>
  <c r="I106" i="7" s="1"/>
  <c r="I185" i="4" a="1"/>
  <c r="I185" i="4" s="1"/>
  <c r="I51" i="5" a="1"/>
  <c r="I51" i="5" s="1"/>
  <c r="I97" i="4" a="1"/>
  <c r="I97" i="4" s="1"/>
  <c r="I70" i="7" a="1"/>
  <c r="I70" i="7" s="1"/>
  <c r="I61" i="5" a="1"/>
  <c r="I61" i="5" s="1"/>
  <c r="I119" i="4" a="1"/>
  <c r="I119" i="4" s="1"/>
  <c r="I4" i="7" a="1"/>
  <c r="I4" i="7" s="1"/>
  <c r="I7" i="4" a="1"/>
  <c r="I7" i="4" s="1"/>
  <c r="I66" i="6" a="1"/>
  <c r="I66" i="6" s="1"/>
  <c r="I129" i="4" a="1"/>
  <c r="I129" i="4" s="1"/>
  <c r="I407" i="4" a="1"/>
  <c r="I407" i="4" s="1"/>
  <c r="I210" i="5" a="1"/>
  <c r="I210" i="5" s="1"/>
  <c r="I193" i="7" a="1"/>
  <c r="I193" i="7" s="1"/>
  <c r="I361" i="4" a="1"/>
  <c r="I361" i="4" s="1"/>
  <c r="I46" i="7" a="1"/>
  <c r="I46" i="7" s="1"/>
  <c r="I81" i="4" a="1"/>
  <c r="I81" i="4" s="1"/>
  <c r="I133" i="5" a="1"/>
  <c r="I133" i="5" s="1"/>
  <c r="I138" i="6" a="1"/>
  <c r="I138" i="6" s="1"/>
  <c r="I260" i="4" a="1"/>
  <c r="I260" i="4" s="1"/>
  <c r="I139" i="6" a="1"/>
  <c r="I139" i="6" s="1"/>
  <c r="I134" i="5" a="1"/>
  <c r="I134" i="5" s="1"/>
  <c r="I261" i="4" a="1"/>
  <c r="I261" i="4" s="1"/>
  <c r="I22" i="5" a="1"/>
  <c r="I22" i="5" s="1"/>
  <c r="I41" i="4" a="1"/>
  <c r="I41" i="4" s="1"/>
  <c r="I112" i="7" a="1"/>
  <c r="I112" i="7" s="1"/>
  <c r="I197" i="4" a="1"/>
  <c r="I197" i="4" s="1"/>
  <c r="I182" i="7" a="1"/>
  <c r="I182" i="7" s="1"/>
  <c r="I174" i="6" a="1"/>
  <c r="I174" i="6" s="1"/>
  <c r="I334" i="4" a="1"/>
  <c r="I334" i="4" s="1"/>
  <c r="I124" i="5" a="1"/>
  <c r="I124" i="5" s="1"/>
  <c r="I246" i="4" a="1"/>
  <c r="I246" i="4" s="1"/>
  <c r="I129" i="7" a="1"/>
  <c r="I129" i="7" s="1"/>
  <c r="I225" i="4" a="1"/>
  <c r="I225" i="4" s="1"/>
  <c r="I113" i="5" a="1"/>
  <c r="I113" i="5" s="1"/>
  <c r="I127" i="7" a="1"/>
  <c r="I127" i="7" s="1"/>
  <c r="I222" i="4" a="1"/>
  <c r="I222" i="4" s="1"/>
  <c r="I73" i="7" a="1"/>
  <c r="I73" i="7" s="1"/>
  <c r="I63" i="6" a="1"/>
  <c r="I63" i="6" s="1"/>
  <c r="I125" i="4" a="1"/>
  <c r="I125" i="4" s="1"/>
  <c r="I183" i="7" a="1"/>
  <c r="I183" i="7" s="1"/>
  <c r="I176" i="6" a="1"/>
  <c r="I176" i="6" s="1"/>
  <c r="I336" i="4" a="1"/>
  <c r="I336" i="4" s="1"/>
  <c r="I384" i="4" a="1"/>
  <c r="I384" i="4" s="1"/>
  <c r="I201" i="5" a="1"/>
  <c r="I201" i="5" s="1"/>
  <c r="I167" i="7" a="1"/>
  <c r="I167" i="7" s="1"/>
  <c r="I311" i="4" a="1"/>
  <c r="I311" i="4" s="1"/>
  <c r="I63" i="7" a="1"/>
  <c r="I63" i="7" s="1"/>
  <c r="I109" i="4" a="1"/>
  <c r="I109" i="4" s="1"/>
  <c r="I130" i="7" a="1"/>
  <c r="I130" i="7" s="1"/>
  <c r="I118" i="6" a="1"/>
  <c r="I118" i="6" s="1"/>
  <c r="I227" i="4" a="1"/>
  <c r="I227" i="4" s="1"/>
  <c r="I157" i="7" a="1"/>
  <c r="I157" i="7" s="1"/>
  <c r="I154" i="6" a="1"/>
  <c r="I154" i="6" s="1"/>
  <c r="I291" i="4" a="1"/>
  <c r="I291" i="4" s="1"/>
  <c r="I164" i="6" a="1"/>
  <c r="I164" i="6" s="1"/>
  <c r="I309" i="4" a="1"/>
  <c r="I309" i="4" s="1"/>
  <c r="I86" i="6" a="1"/>
  <c r="I86" i="6" s="1"/>
  <c r="I170" i="4" a="1"/>
  <c r="I170" i="4" s="1"/>
  <c r="I207" i="7" a="1"/>
  <c r="I207" i="7" s="1"/>
  <c r="I399" i="4" a="1"/>
  <c r="I399" i="4" s="1"/>
  <c r="I122" i="7" a="1"/>
  <c r="I122" i="7" s="1"/>
  <c r="I112" i="6" a="1"/>
  <c r="I112" i="6" s="1"/>
  <c r="I214" i="4" a="1"/>
  <c r="I214" i="4" s="1"/>
  <c r="I19" i="5" a="1"/>
  <c r="I19" i="5" s="1"/>
  <c r="I34" i="4" a="1"/>
  <c r="I34" i="4" s="1"/>
  <c r="I24" i="5" a="1"/>
  <c r="I24" i="5" s="1"/>
  <c r="I46" i="4" a="1"/>
  <c r="I46" i="4" s="1"/>
  <c r="I72" i="7" a="1"/>
  <c r="I72" i="7" s="1"/>
  <c r="I60" i="6" a="1"/>
  <c r="I60" i="6" s="1"/>
  <c r="I121" i="4" a="1"/>
  <c r="I121" i="4" s="1"/>
  <c r="I187" i="6" a="1"/>
  <c r="I187" i="6" s="1"/>
  <c r="I351" i="4" a="1"/>
  <c r="I351" i="4" s="1"/>
  <c r="I153" i="7" a="1"/>
  <c r="I153" i="7" s="1"/>
  <c r="I148" i="5" a="1"/>
  <c r="I148" i="5" s="1"/>
  <c r="I279" i="4" a="1"/>
  <c r="I279" i="4" s="1"/>
  <c r="I141" i="6" a="1"/>
  <c r="I141" i="6" s="1"/>
  <c r="I140" i="5" a="1"/>
  <c r="I140" i="5" s="1"/>
  <c r="I268" i="4" a="1"/>
  <c r="I268" i="4" s="1"/>
  <c r="I75" i="7" a="1"/>
  <c r="I75" i="7" s="1"/>
  <c r="I65" i="6" a="1"/>
  <c r="I65" i="6" s="1"/>
  <c r="I127" i="4" a="1"/>
  <c r="I127" i="4" s="1"/>
  <c r="I37" i="7" a="1"/>
  <c r="I37" i="7" s="1"/>
  <c r="I68" i="4" a="1"/>
  <c r="I68" i="4" s="1"/>
  <c r="I173" i="7" a="1"/>
  <c r="I173" i="7" s="1"/>
  <c r="I321" i="4" a="1"/>
  <c r="I321" i="4" s="1"/>
  <c r="I115" i="7" a="1"/>
  <c r="I115" i="7" s="1"/>
  <c r="I103" i="6" a="1"/>
  <c r="I103" i="6" s="1"/>
  <c r="I200" i="4" a="1"/>
  <c r="I200" i="4" s="1"/>
  <c r="I108" i="5" a="1"/>
  <c r="I108" i="5" s="1"/>
  <c r="I217" i="4" a="1"/>
  <c r="I217" i="4" s="1"/>
  <c r="I50" i="5" a="1"/>
  <c r="I50" i="5" s="1"/>
  <c r="I96" i="4" a="1"/>
  <c r="I96" i="4" s="1"/>
  <c r="I205" i="7" a="1"/>
  <c r="I205" i="7" s="1"/>
  <c r="I396" i="4" a="1"/>
  <c r="I396" i="4" s="1"/>
  <c r="I168" i="7" a="1"/>
  <c r="I168" i="7" s="1"/>
  <c r="I167" i="5" a="1"/>
  <c r="I167" i="5" s="1"/>
  <c r="I313" i="4" a="1"/>
  <c r="I313" i="4" s="1"/>
  <c r="I184" i="7" a="1"/>
  <c r="I184" i="7" s="1"/>
  <c r="I337" i="4" a="1"/>
  <c r="I337" i="4" s="1"/>
  <c r="I135" i="7" a="1"/>
  <c r="I135" i="7" s="1"/>
  <c r="I122" i="6" a="1"/>
  <c r="I122" i="6" s="1"/>
  <c r="I234" i="4" a="1"/>
  <c r="I234" i="4" s="1"/>
  <c r="I170" i="5" a="1"/>
  <c r="I170" i="5" s="1"/>
  <c r="I318" i="4" a="1"/>
  <c r="I318" i="4" s="1"/>
  <c r="I141" i="7" a="1"/>
  <c r="I141" i="7" s="1"/>
  <c r="I121" i="5" a="1"/>
  <c r="I121" i="5" s="1"/>
  <c r="I242" i="4" a="1"/>
  <c r="I242" i="4" s="1"/>
  <c r="I185" i="6" a="1"/>
  <c r="I185" i="6" s="1"/>
  <c r="I179" i="5" a="1"/>
  <c r="I179" i="5" s="1"/>
  <c r="I348" i="4" a="1"/>
  <c r="I348" i="4" s="1"/>
  <c r="I65" i="5" a="1"/>
  <c r="I65" i="5" s="1"/>
  <c r="I131" i="4" a="1"/>
  <c r="I131" i="4" s="1"/>
  <c r="I64" i="7" a="1"/>
  <c r="I64" i="7" s="1"/>
  <c r="I110" i="4" a="1"/>
  <c r="I110" i="4" s="1"/>
  <c r="I22" i="6" a="1"/>
  <c r="I22" i="6" s="1"/>
  <c r="I25" i="7" a="1"/>
  <c r="I25" i="7" s="1"/>
  <c r="I44" i="4" a="1"/>
  <c r="I44" i="4" s="1"/>
  <c r="I186" i="7" a="1"/>
  <c r="I186" i="7" s="1"/>
  <c r="I178" i="6" a="1"/>
  <c r="I178" i="6" s="1"/>
  <c r="I340" i="4" a="1"/>
  <c r="I340" i="4" s="1"/>
  <c r="I209" i="4" a="1"/>
  <c r="I209" i="4" s="1"/>
  <c r="I105" i="5" a="1"/>
  <c r="I105" i="5" s="1"/>
  <c r="I62" i="5" a="1"/>
  <c r="I62" i="5" s="1"/>
  <c r="I122" i="4" a="1"/>
  <c r="I122" i="4" s="1"/>
  <c r="I103" i="7" a="1"/>
  <c r="I103" i="7" s="1"/>
  <c r="I92" i="6" a="1"/>
  <c r="I92" i="6" s="1"/>
  <c r="I182" i="4" a="1"/>
  <c r="I182" i="4" s="1"/>
  <c r="I61" i="7" a="1"/>
  <c r="I61" i="7" s="1"/>
  <c r="I52" i="6" a="1"/>
  <c r="I52" i="6" s="1"/>
  <c r="I106" i="4" a="1"/>
  <c r="I106" i="4" s="1"/>
  <c r="I195" i="5" a="1"/>
  <c r="I195" i="5" s="1"/>
  <c r="I377" i="4" a="1"/>
  <c r="I377" i="4" s="1"/>
  <c r="I34" i="7" a="1"/>
  <c r="I34" i="7" s="1"/>
  <c r="I29" i="6" a="1"/>
  <c r="I29" i="6" s="1"/>
  <c r="I64" i="4" a="1"/>
  <c r="I64" i="4" s="1"/>
  <c r="I54" i="6" a="1"/>
  <c r="I54" i="6" s="1"/>
  <c r="I58" i="5" a="1"/>
  <c r="I58" i="5" s="1"/>
  <c r="I111" i="4" a="1"/>
  <c r="I111" i="4" s="1"/>
  <c r="I84" i="6" a="1"/>
  <c r="I84" i="6" s="1"/>
  <c r="I94" i="7" a="1"/>
  <c r="I94" i="7" s="1"/>
  <c r="I168" i="4" a="1"/>
  <c r="I168" i="4" s="1"/>
  <c r="I111" i="5" a="1"/>
  <c r="I111" i="5" s="1"/>
  <c r="I221" i="4" a="1"/>
  <c r="I221" i="4" s="1"/>
  <c r="I110" i="6" a="1"/>
  <c r="I110" i="6" s="1"/>
  <c r="I121" i="7" a="1"/>
  <c r="I121" i="7" s="1"/>
  <c r="I212" i="4" a="1"/>
  <c r="I212" i="4" s="1"/>
  <c r="I36" i="7" a="1"/>
  <c r="I36" i="7" s="1"/>
  <c r="I67" i="4" a="1"/>
  <c r="I67" i="4" s="1"/>
  <c r="I37" i="5" a="1"/>
  <c r="I37" i="5" s="1"/>
  <c r="I188" i="5" a="1"/>
  <c r="I188" i="5" s="1"/>
  <c r="I360" i="4" a="1"/>
  <c r="I360" i="4" s="1"/>
  <c r="I378" i="4" a="1"/>
  <c r="I378" i="4" s="1"/>
  <c r="I196" i="5" a="1"/>
  <c r="I196" i="5" s="1"/>
  <c r="I401" i="4" a="1"/>
  <c r="I401" i="4" s="1"/>
  <c r="I208" i="5" a="1"/>
  <c r="I208" i="5" s="1"/>
  <c r="I90" i="5" a="1"/>
  <c r="I90" i="5" s="1"/>
  <c r="I180" i="4" a="1"/>
  <c r="I180" i="4" s="1"/>
  <c r="I56" i="5" a="1"/>
  <c r="I56" i="5" s="1"/>
  <c r="I107" i="4" a="1"/>
  <c r="I107" i="4" s="1"/>
  <c r="I188" i="7" a="1"/>
  <c r="I188" i="7" s="1"/>
  <c r="I346" i="4" a="1"/>
  <c r="I346" i="4" s="1"/>
  <c r="I146" i="6" a="1"/>
  <c r="I146" i="6" s="1"/>
  <c r="I145" i="5" a="1"/>
  <c r="I145" i="5" s="1"/>
  <c r="I276" i="4" a="1"/>
  <c r="I276" i="4" s="1"/>
  <c r="I27" i="7" a="1"/>
  <c r="I27" i="7" s="1"/>
  <c r="I26" i="5" a="1"/>
  <c r="I26" i="5" s="1"/>
  <c r="I48" i="4" a="1"/>
  <c r="I48" i="4" s="1"/>
  <c r="I111" i="6" a="1"/>
  <c r="I111" i="6" s="1"/>
  <c r="I106" i="5" a="1"/>
  <c r="I106" i="5" s="1"/>
  <c r="I213" i="4" a="1"/>
  <c r="I213" i="4" s="1"/>
  <c r="I57" i="6" a="1"/>
  <c r="I57" i="6" s="1"/>
  <c r="I68" i="7" a="1"/>
  <c r="I68" i="7" s="1"/>
  <c r="I116" i="4" a="1"/>
  <c r="I116" i="4" s="1"/>
  <c r="I50" i="7" a="1"/>
  <c r="I50" i="7" s="1"/>
  <c r="I40" i="6" a="1"/>
  <c r="I40" i="6" s="1"/>
  <c r="I87" i="4" a="1"/>
  <c r="I87" i="4" s="1"/>
  <c r="I75" i="5" a="1"/>
  <c r="I75" i="5" s="1"/>
  <c r="I152" i="4" a="1"/>
  <c r="I152" i="4" s="1"/>
  <c r="I113" i="7" a="1"/>
  <c r="I113" i="7" s="1"/>
  <c r="I198" i="4" a="1"/>
  <c r="I198" i="4" s="1"/>
  <c r="I149" i="7" a="1"/>
  <c r="I149" i="7" s="1"/>
  <c r="I140" i="6" a="1"/>
  <c r="I140" i="6" s="1"/>
  <c r="I265" i="4" a="1"/>
  <c r="I265" i="4" s="1"/>
  <c r="I4" i="5" a="1"/>
  <c r="I4" i="5" s="1"/>
  <c r="I4" i="4" a="1"/>
  <c r="I4" i="4" s="1"/>
  <c r="I48" i="5" a="1"/>
  <c r="I48" i="5" s="1"/>
  <c r="I86" i="4" a="1"/>
  <c r="I86" i="4" s="1"/>
  <c r="I104" i="7" a="1"/>
  <c r="I104" i="7" s="1"/>
  <c r="I183" i="4" a="1"/>
  <c r="I183" i="4" s="1"/>
  <c r="I139" i="5" a="1"/>
  <c r="I139" i="5" s="1"/>
  <c r="I267" i="4" a="1"/>
  <c r="I267" i="4" s="1"/>
  <c r="I79" i="6" a="1"/>
  <c r="I79" i="6" s="1"/>
  <c r="I88" i="7" a="1"/>
  <c r="I88" i="7" s="1"/>
  <c r="I153" i="4" a="1"/>
  <c r="I153" i="4" s="1"/>
  <c r="I204" i="6" a="1"/>
  <c r="I204" i="6" s="1"/>
  <c r="I389" i="4" a="1"/>
  <c r="I389" i="4" s="1"/>
  <c r="I9" i="7" a="1"/>
  <c r="I9" i="7" s="1"/>
  <c r="I12" i="5" a="1"/>
  <c r="I12" i="5" s="1"/>
  <c r="I19" i="4" a="1"/>
  <c r="I19" i="4" s="1"/>
  <c r="I118" i="5" a="1"/>
  <c r="I118" i="5" s="1"/>
  <c r="I239" i="4" a="1"/>
  <c r="I239" i="4" s="1"/>
  <c r="I209" i="7" a="1"/>
  <c r="I209" i="7" s="1"/>
  <c r="I209" i="6" a="1"/>
  <c r="I209" i="6" s="1"/>
  <c r="I404" i="4" a="1"/>
  <c r="I404" i="4" s="1"/>
  <c r="I143" i="6" a="1"/>
  <c r="I143" i="6" s="1"/>
  <c r="I143" i="5" a="1"/>
  <c r="I143" i="5" s="1"/>
  <c r="I273" i="4" a="1"/>
  <c r="I273" i="4" s="1"/>
  <c r="I128" i="6" a="1"/>
  <c r="I128" i="6" s="1"/>
  <c r="I125" i="5" a="1"/>
  <c r="I125" i="5" s="1"/>
  <c r="I247" i="4" a="1"/>
  <c r="I247" i="4" s="1"/>
  <c r="I172" i="7" a="1"/>
  <c r="I172" i="7" s="1"/>
  <c r="I172" i="5" a="1"/>
  <c r="I172" i="5" s="1"/>
  <c r="I320" i="4" a="1"/>
  <c r="I320" i="4" s="1"/>
  <c r="I94" i="5" a="1"/>
  <c r="I94" i="5" s="1"/>
  <c r="I187" i="4" a="1"/>
  <c r="I187" i="4" s="1"/>
  <c r="I148" i="6" a="1"/>
  <c r="I148" i="6" s="1"/>
  <c r="I149" i="5" a="1"/>
  <c r="I149" i="5" s="1"/>
  <c r="I280" i="4" a="1"/>
  <c r="I280" i="4" s="1"/>
  <c r="I197" i="7" a="1"/>
  <c r="I197" i="7" s="1"/>
  <c r="I193" i="6" a="1"/>
  <c r="I193" i="6" s="1"/>
  <c r="I367" i="4" a="1"/>
  <c r="I367" i="4" s="1"/>
  <c r="I8" i="6" a="1"/>
  <c r="I8" i="6" s="1"/>
  <c r="I15" i="4" a="1"/>
  <c r="I15" i="4" s="1"/>
  <c r="I27" i="5" a="1"/>
  <c r="I27" i="5" s="1"/>
  <c r="I49" i="4" a="1"/>
  <c r="I49" i="4" s="1"/>
  <c r="I111" i="7" a="1"/>
  <c r="I111" i="7" s="1"/>
  <c r="I192" i="4" a="1"/>
  <c r="I192" i="4" s="1"/>
  <c r="I174" i="7" a="1"/>
  <c r="I174" i="7" s="1"/>
  <c r="I169" i="6" a="1"/>
  <c r="I169" i="6" s="1"/>
  <c r="I322" i="4" a="1"/>
  <c r="I322" i="4" s="1"/>
  <c r="I130" i="6" a="1"/>
  <c r="I130" i="6" s="1"/>
  <c r="I144" i="7" a="1"/>
  <c r="I144" i="7" s="1"/>
  <c r="I126" i="5" a="1"/>
  <c r="I126" i="5" s="1"/>
  <c r="I249" i="4" a="1"/>
  <c r="I249" i="4" s="1"/>
  <c r="I15" i="6" a="1"/>
  <c r="I15" i="6" s="1"/>
  <c r="I16" i="7" a="1"/>
  <c r="I16" i="7" s="1"/>
  <c r="I28" i="4" a="1"/>
  <c r="I28" i="4" s="1"/>
  <c r="I14" i="7" a="1"/>
  <c r="I14" i="7" s="1"/>
  <c r="I15" i="5" a="1"/>
  <c r="I15" i="5" s="1"/>
  <c r="I25" i="4" a="1"/>
  <c r="I25" i="4" s="1"/>
  <c r="I22" i="7" a="1"/>
  <c r="I22" i="7" s="1"/>
  <c r="I20" i="5" a="1"/>
  <c r="I20" i="5" s="1"/>
  <c r="I38" i="4" a="1"/>
  <c r="I38" i="4" s="1"/>
  <c r="I176" i="7" a="1"/>
  <c r="I176" i="7" s="1"/>
  <c r="I325" i="4" a="1"/>
  <c r="I325" i="4" s="1"/>
  <c r="I148" i="7" a="1"/>
  <c r="I148" i="7" s="1"/>
  <c r="I259" i="4" a="1"/>
  <c r="I259" i="4" s="1"/>
  <c r="I37" i="6" a="1"/>
  <c r="I37" i="6" s="1"/>
  <c r="I48" i="7" a="1"/>
  <c r="I48" i="7" s="1"/>
  <c r="I45" i="5" a="1"/>
  <c r="I45" i="5" s="1"/>
  <c r="I83" i="4" a="1"/>
  <c r="I83" i="4" s="1"/>
  <c r="I53" i="5" a="1"/>
  <c r="I53" i="5" s="1"/>
  <c r="I99" i="4" a="1"/>
  <c r="I99" i="4" s="1"/>
  <c r="I12" i="7" a="1"/>
  <c r="I12" i="7" s="1"/>
  <c r="I11" i="6" a="1"/>
  <c r="I11" i="6" s="1"/>
  <c r="I22" i="4" a="1"/>
  <c r="I22" i="4" s="1"/>
  <c r="I194" i="7" a="1"/>
  <c r="I194" i="7" s="1"/>
  <c r="I362" i="4" a="1"/>
  <c r="I362" i="4" s="1"/>
  <c r="I195" i="7" a="1"/>
  <c r="I195" i="7" s="1"/>
  <c r="I191" i="6" a="1"/>
  <c r="I191" i="6" s="1"/>
  <c r="I364" i="4" a="1"/>
  <c r="I364" i="4" s="1"/>
  <c r="I159" i="6" a="1"/>
  <c r="I159" i="6" s="1"/>
  <c r="I298" i="4" a="1"/>
  <c r="I298" i="4" s="1"/>
  <c r="I182" i="6" a="1"/>
  <c r="I182" i="6" s="1"/>
  <c r="I344" i="4" a="1"/>
  <c r="I344" i="4" s="1"/>
  <c r="I142" i="6" a="1"/>
  <c r="I142" i="6" s="1"/>
  <c r="I150" i="7" a="1"/>
  <c r="I150" i="7" s="1"/>
  <c r="I270" i="4" a="1"/>
  <c r="I270" i="4" s="1"/>
  <c r="I108" i="6" a="1"/>
  <c r="I108" i="6" s="1"/>
  <c r="I208" i="4" a="1"/>
  <c r="I208" i="4" s="1"/>
  <c r="I195" i="6" a="1"/>
  <c r="I195" i="6" s="1"/>
  <c r="I370" i="4" a="1"/>
  <c r="I370" i="4" s="1"/>
  <c r="I178" i="7" a="1"/>
  <c r="I178" i="7" s="1"/>
  <c r="I327" i="4" a="1"/>
  <c r="I327" i="4" s="1"/>
  <c r="I210" i="6" a="1"/>
  <c r="I210" i="6" s="1"/>
  <c r="I405" i="4" a="1"/>
  <c r="I405" i="4" s="1"/>
  <c r="I42" i="7" a="1"/>
  <c r="I42" i="7" s="1"/>
  <c r="I39" i="5" a="1"/>
  <c r="I39" i="5" s="1"/>
  <c r="I73" i="4" a="1"/>
  <c r="I73" i="4" s="1"/>
  <c r="I3" i="6" a="1"/>
  <c r="I3" i="6" s="1"/>
  <c r="I6" i="5" a="1"/>
  <c r="I6" i="5" s="1"/>
  <c r="I8" i="4" a="1"/>
  <c r="I8" i="4" s="1"/>
  <c r="I7" i="7" a="1"/>
  <c r="I7" i="7" s="1"/>
  <c r="I17" i="4" a="1"/>
  <c r="I17" i="4" s="1"/>
  <c r="I41" i="5" a="1"/>
  <c r="I41" i="5" s="1"/>
  <c r="I75" i="4" a="1"/>
  <c r="I75" i="4" s="1"/>
  <c r="I132" i="6" a="1"/>
  <c r="I132" i="6" s="1"/>
  <c r="I128" i="5" a="1"/>
  <c r="I128" i="5" s="1"/>
  <c r="I252" i="4" a="1"/>
  <c r="I252" i="4" s="1"/>
  <c r="I158" i="7" a="1"/>
  <c r="I158" i="7" s="1"/>
  <c r="I160" i="5" a="1"/>
  <c r="I160" i="5" s="1"/>
  <c r="I293" i="4" a="1"/>
  <c r="I293" i="4" s="1"/>
  <c r="I23" i="7" a="1"/>
  <c r="I23" i="7" s="1"/>
  <c r="I39" i="4" a="1"/>
  <c r="I39" i="4" s="1"/>
  <c r="I192" i="6" a="1"/>
  <c r="I192" i="6" s="1"/>
  <c r="I366" i="4" a="1"/>
  <c r="I366" i="4" s="1"/>
  <c r="I206" i="5" a="1"/>
  <c r="I206" i="5" s="1"/>
  <c r="I395" i="4" a="1"/>
  <c r="I395" i="4" s="1"/>
  <c r="I194" i="5" a="1"/>
  <c r="I194" i="5" s="1"/>
  <c r="I376" i="4" a="1"/>
  <c r="I376" i="4" s="1"/>
  <c r="I191" i="7" a="1"/>
  <c r="I191" i="7" s="1"/>
  <c r="I357" i="4" a="1"/>
  <c r="I357" i="4" s="1"/>
  <c r="I186" i="6" a="1"/>
  <c r="I186" i="6" s="1"/>
  <c r="I181" i="5" a="1"/>
  <c r="I181" i="5" s="1"/>
  <c r="I350" i="4" a="1"/>
  <c r="I350" i="4" s="1"/>
  <c r="I135" i="6" a="1"/>
  <c r="I135" i="6" s="1"/>
  <c r="I130" i="5" a="1"/>
  <c r="I130" i="5" s="1"/>
  <c r="I255" i="4" a="1"/>
  <c r="I255" i="4" s="1"/>
  <c r="I183" i="6" a="1"/>
  <c r="I183" i="6" s="1"/>
  <c r="I178" i="5" a="1"/>
  <c r="I178" i="5" s="1"/>
  <c r="I345" i="4" a="1"/>
  <c r="I345" i="4" s="1"/>
  <c r="E112" i="8" a="1"/>
  <c r="E112" i="8" s="1"/>
  <c r="J223" i="2" a="1"/>
  <c r="J223" i="2" s="1"/>
  <c r="E41" i="6" a="1"/>
  <c r="E41" i="6" s="1"/>
  <c r="E88" i="4" a="1"/>
  <c r="E88" i="4" s="1"/>
  <c r="J240" i="2" a="1"/>
  <c r="J240" i="2" s="1"/>
  <c r="E177" i="6" a="1"/>
  <c r="E177" i="6" s="1"/>
  <c r="E177" i="5" a="1"/>
  <c r="E177" i="5" s="1"/>
  <c r="E339" i="4" a="1"/>
  <c r="E339" i="4" s="1"/>
  <c r="J671" i="2" a="1"/>
  <c r="J671" i="2" s="1"/>
  <c r="E194" i="7" a="1"/>
  <c r="E194" i="7" s="1"/>
  <c r="E362" i="4" a="1"/>
  <c r="E362" i="4" s="1"/>
  <c r="J650" i="2" a="1"/>
  <c r="J650" i="2" s="1"/>
  <c r="E128" i="7" a="1"/>
  <c r="E128" i="7" s="1"/>
  <c r="E116" i="6" a="1"/>
  <c r="E116" i="6" s="1"/>
  <c r="E223" i="4" a="1"/>
  <c r="E223" i="4" s="1"/>
  <c r="J663" i="2" a="1"/>
  <c r="J663" i="2" s="1"/>
  <c r="E27" i="6" a="1"/>
  <c r="E27" i="6" s="1"/>
  <c r="E32" i="5" a="1"/>
  <c r="E32" i="5" s="1"/>
  <c r="E58" i="4" a="1"/>
  <c r="E58" i="4" s="1"/>
  <c r="J109" i="2" a="1"/>
  <c r="J109" i="2" s="1"/>
  <c r="E68" i="7" a="1"/>
  <c r="E68" i="7" s="1"/>
  <c r="E57" i="6" a="1"/>
  <c r="E57" i="6" s="1"/>
  <c r="E116" i="4" a="1"/>
  <c r="E116" i="4" s="1"/>
  <c r="J225" i="2" a="1"/>
  <c r="J225" i="2" s="1"/>
  <c r="E92" i="8" a="1"/>
  <c r="E92" i="8" s="1"/>
  <c r="J139" i="2" a="1"/>
  <c r="J139" i="2" s="1"/>
  <c r="E101" i="8" a="1"/>
  <c r="E101" i="8" s="1"/>
  <c r="J262" i="2" a="1"/>
  <c r="J262" i="2" s="1"/>
  <c r="E118" i="5" a="1"/>
  <c r="E118" i="5" s="1"/>
  <c r="E239" i="4" a="1"/>
  <c r="E239" i="4" s="1"/>
  <c r="J498" i="2" a="1"/>
  <c r="J498" i="2" s="1"/>
  <c r="I181" i="7" a="1"/>
  <c r="I181" i="7" s="1"/>
  <c r="I172" i="6" a="1"/>
  <c r="I172" i="6" s="1"/>
  <c r="I332" i="4" a="1"/>
  <c r="I332" i="4" s="1"/>
  <c r="E37" i="8" a="1"/>
  <c r="E37" i="8" s="1"/>
  <c r="J65" i="2" a="1"/>
  <c r="J65" i="2" s="1"/>
  <c r="I16" i="5" a="1"/>
  <c r="I16" i="5" s="1"/>
  <c r="I31" i="4" a="1"/>
  <c r="I31" i="4" s="1"/>
  <c r="E75" i="6" a="1"/>
  <c r="E75" i="6" s="1"/>
  <c r="E73" i="5" a="1"/>
  <c r="E73" i="5" s="1"/>
  <c r="E148" i="4" a="1"/>
  <c r="E148" i="4" s="1"/>
  <c r="J323" i="2" a="1"/>
  <c r="J323" i="2" s="1"/>
  <c r="E150" i="7" a="1"/>
  <c r="E150" i="7" s="1"/>
  <c r="E142" i="6" a="1"/>
  <c r="E142" i="6" s="1"/>
  <c r="E270" i="4" a="1"/>
  <c r="E270" i="4" s="1"/>
  <c r="J491" i="2" a="1"/>
  <c r="J491" i="2" s="1"/>
  <c r="I7" i="5" a="1"/>
  <c r="I7" i="5" s="1"/>
  <c r="I4" i="6" a="1"/>
  <c r="I4" i="6" s="1"/>
  <c r="I9" i="4" a="1"/>
  <c r="I9" i="4" s="1"/>
  <c r="I123" i="5" a="1"/>
  <c r="I123" i="5" s="1"/>
  <c r="I245" i="4" a="1"/>
  <c r="I245" i="4" s="1"/>
  <c r="E70" i="5" a="1"/>
  <c r="E70" i="5" s="1"/>
  <c r="E142" i="4" a="1"/>
  <c r="E142" i="4" s="1"/>
  <c r="J519" i="2" a="1"/>
  <c r="J519" i="2" s="1"/>
  <c r="I57" i="7" a="1"/>
  <c r="I57" i="7" s="1"/>
  <c r="I54" i="5" a="1"/>
  <c r="I54" i="5" s="1"/>
  <c r="I101" i="4" a="1"/>
  <c r="I101" i="4" s="1"/>
  <c r="E190" i="8" a="1"/>
  <c r="E190" i="8" s="1"/>
  <c r="J172" i="2" a="1"/>
  <c r="J172" i="2" s="1"/>
  <c r="C626" i="12" a="1"/>
  <c r="C626" i="12" s="1"/>
  <c r="I228" i="2" s="1"/>
  <c r="E10" i="7" a="1"/>
  <c r="E10" i="7" s="1"/>
  <c r="E13" i="5" a="1"/>
  <c r="E13" i="5" s="1"/>
  <c r="E9" i="6" a="1"/>
  <c r="E9" i="6" s="1"/>
  <c r="E20" i="4" a="1"/>
  <c r="E20" i="4" s="1"/>
  <c r="J78" i="2" a="1"/>
  <c r="J78" i="2" s="1"/>
  <c r="E44" i="7" a="1"/>
  <c r="E44" i="7" s="1"/>
  <c r="E35" i="6" a="1"/>
  <c r="E35" i="6" s="1"/>
  <c r="E76" i="4" a="1"/>
  <c r="E76" i="4" s="1"/>
  <c r="J111" i="2" a="1"/>
  <c r="J111" i="2" s="1"/>
  <c r="J283" i="2" a="1"/>
  <c r="J283" i="2" s="1"/>
  <c r="E129" i="6" a="1"/>
  <c r="E129" i="6" s="1"/>
  <c r="E143" i="7" a="1"/>
  <c r="E143" i="7" s="1"/>
  <c r="E248" i="4" a="1"/>
  <c r="E248" i="4" s="1"/>
  <c r="J526" i="2" a="1"/>
  <c r="J526" i="2" s="1"/>
  <c r="E139" i="7" a="1"/>
  <c r="E139" i="7" s="1"/>
  <c r="E126" i="6" a="1"/>
  <c r="E126" i="6" s="1"/>
  <c r="E238" i="4" a="1"/>
  <c r="E238" i="4" s="1"/>
  <c r="J501" i="2" a="1"/>
  <c r="J501" i="2" s="1"/>
  <c r="I184" i="6" a="1"/>
  <c r="I184" i="6" s="1"/>
  <c r="I347" i="4" a="1"/>
  <c r="I347" i="4" s="1"/>
  <c r="E203" i="8" a="1"/>
  <c r="E203" i="8" s="1"/>
  <c r="J452" i="2" a="1"/>
  <c r="J452" i="2" s="1"/>
  <c r="I47" i="7" a="1"/>
  <c r="I47" i="7" s="1"/>
  <c r="I36" i="6" a="1"/>
  <c r="I36" i="6" s="1"/>
  <c r="I82" i="4" a="1"/>
  <c r="I82" i="4" s="1"/>
  <c r="I67" i="7" a="1"/>
  <c r="I67" i="7" s="1"/>
  <c r="I115" i="4" a="1"/>
  <c r="I115" i="4" s="1"/>
  <c r="I163" i="5" a="1"/>
  <c r="I163" i="5" s="1"/>
  <c r="I161" i="6" a="1"/>
  <c r="I161" i="6" s="1"/>
  <c r="I303" i="4" a="1"/>
  <c r="I303" i="4" s="1"/>
  <c r="E186" i="5" a="1"/>
  <c r="E186" i="5" s="1"/>
  <c r="E358" i="4" a="1"/>
  <c r="E358" i="4" s="1"/>
  <c r="J570" i="2" a="1"/>
  <c r="J570" i="2" s="1"/>
  <c r="E166" i="7" a="1"/>
  <c r="E166" i="7" s="1"/>
  <c r="E165" i="6" a="1"/>
  <c r="E165" i="6" s="1"/>
  <c r="E166" i="5" a="1"/>
  <c r="E166" i="5" s="1"/>
  <c r="E310" i="4" a="1"/>
  <c r="E310" i="4" s="1"/>
  <c r="J657" i="2" a="1"/>
  <c r="J657" i="2" s="1"/>
  <c r="I64" i="6" a="1"/>
  <c r="I64" i="6" s="1"/>
  <c r="I74" i="7" a="1"/>
  <c r="I74" i="7" s="1"/>
  <c r="I126" i="4" a="1"/>
  <c r="I126" i="4" s="1"/>
  <c r="I104" i="6" a="1"/>
  <c r="I104" i="6" s="1"/>
  <c r="I117" i="7" a="1"/>
  <c r="I117" i="7" s="1"/>
  <c r="I100" i="5" a="1"/>
  <c r="I100" i="5" s="1"/>
  <c r="I202" i="4" a="1"/>
  <c r="I202" i="4" s="1"/>
  <c r="E81" i="8" a="1"/>
  <c r="E81" i="8" s="1"/>
  <c r="J205" i="2" a="1"/>
  <c r="J205" i="2" s="1"/>
  <c r="E6" i="7" a="1"/>
  <c r="E6" i="7" s="1"/>
  <c r="E6" i="6" a="1"/>
  <c r="E6" i="6" s="1"/>
  <c r="E13" i="4" a="1"/>
  <c r="E13" i="4" s="1"/>
  <c r="F6" i="3" a="1"/>
  <c r="F6" i="3" s="1"/>
  <c r="J21" i="2" a="1"/>
  <c r="J21" i="2" s="1"/>
  <c r="I96" i="7" a="1"/>
  <c r="I96" i="7" s="1"/>
  <c r="I86" i="5" a="1"/>
  <c r="I86" i="5" s="1"/>
  <c r="I171" i="4" a="1"/>
  <c r="I171" i="4" s="1"/>
  <c r="E145" i="8" a="1"/>
  <c r="E145" i="8" s="1"/>
  <c r="J215" i="2" a="1"/>
  <c r="J215" i="2" s="1"/>
  <c r="E175" i="8" a="1"/>
  <c r="E175" i="8" s="1"/>
  <c r="J131" i="2" a="1"/>
  <c r="J131" i="2" s="1"/>
  <c r="E15" i="8" a="1"/>
  <c r="E15" i="8" s="1"/>
  <c r="J14" i="2" a="1"/>
  <c r="J14" i="2" s="1"/>
  <c r="E84" i="7" a="1"/>
  <c r="E84" i="7" s="1"/>
  <c r="E71" i="6" a="1"/>
  <c r="E71" i="6" s="1"/>
  <c r="E71" i="5" a="1"/>
  <c r="E71" i="5" s="1"/>
  <c r="E143" i="4" a="1"/>
  <c r="E143" i="4" s="1"/>
  <c r="J296" i="2" a="1"/>
  <c r="J296" i="2" s="1"/>
  <c r="E113" i="8" a="1"/>
  <c r="E113" i="8" s="1"/>
  <c r="J294" i="2" a="1"/>
  <c r="J294" i="2" s="1"/>
  <c r="E113" i="7" a="1"/>
  <c r="E113" i="7" s="1"/>
  <c r="E198" i="4" a="1"/>
  <c r="E198" i="4" s="1"/>
  <c r="J547" i="2" a="1"/>
  <c r="J547" i="2" s="1"/>
  <c r="E65" i="7" a="1"/>
  <c r="E65" i="7" s="1"/>
  <c r="E55" i="6" a="1"/>
  <c r="E55" i="6" s="1"/>
  <c r="E112" i="4" a="1"/>
  <c r="E112" i="4" s="1"/>
  <c r="J419" i="2" a="1"/>
  <c r="J419" i="2" s="1"/>
  <c r="E141" i="8" a="1"/>
  <c r="E141" i="8" s="1"/>
  <c r="J204" i="2" a="1"/>
  <c r="J204" i="2" s="1"/>
  <c r="E89" i="7" a="1"/>
  <c r="E89" i="7" s="1"/>
  <c r="E78" i="5" a="1"/>
  <c r="E78" i="5" s="1"/>
  <c r="E157" i="4" a="1"/>
  <c r="E157" i="4" s="1"/>
  <c r="J356" i="2" a="1"/>
  <c r="J356" i="2" s="1"/>
  <c r="E14" i="8" a="1"/>
  <c r="E14" i="8" s="1"/>
  <c r="J18" i="2" a="1"/>
  <c r="J18" i="2" s="1"/>
  <c r="I15" i="7" a="1"/>
  <c r="I15" i="7" s="1"/>
  <c r="I13" i="6" a="1"/>
  <c r="I13" i="6" s="1"/>
  <c r="I26" i="4" a="1"/>
  <c r="I26" i="4" s="1"/>
  <c r="E22" i="5" a="1"/>
  <c r="E22" i="5" s="1"/>
  <c r="E41" i="4" a="1"/>
  <c r="E41" i="4" s="1"/>
  <c r="J70" i="2" a="1"/>
  <c r="J70" i="2" s="1"/>
  <c r="E91" i="8" a="1"/>
  <c r="E91" i="8" s="1"/>
  <c r="J417" i="2" a="1"/>
  <c r="J417" i="2" s="1"/>
  <c r="E112" i="7" a="1"/>
  <c r="E112" i="7" s="1"/>
  <c r="E197" i="4" a="1"/>
  <c r="E197" i="4" s="1"/>
  <c r="J435" i="2" a="1"/>
  <c r="J435" i="2" s="1"/>
  <c r="I189" i="6" a="1"/>
  <c r="I189" i="6" s="1"/>
  <c r="I185" i="5" a="1"/>
  <c r="I185" i="5" s="1"/>
  <c r="I355" i="4" a="1"/>
  <c r="I355" i="4" s="1"/>
  <c r="E29" i="8" a="1"/>
  <c r="E29" i="8" s="1"/>
  <c r="J75" i="2" a="1"/>
  <c r="J75" i="2" s="1"/>
  <c r="E18" i="8" a="1"/>
  <c r="E18" i="8" s="1"/>
  <c r="J31" i="2" a="1"/>
  <c r="J31" i="2" s="1"/>
  <c r="E12" i="8" a="1"/>
  <c r="E12" i="8" s="1"/>
  <c r="J25" i="2" a="1"/>
  <c r="J25" i="2" s="1"/>
  <c r="I30" i="5" a="1"/>
  <c r="I30" i="5" s="1"/>
  <c r="I56" i="4" a="1"/>
  <c r="I56" i="4" s="1"/>
  <c r="I70" i="5" a="1"/>
  <c r="I70" i="5" s="1"/>
  <c r="I142" i="4" a="1"/>
  <c r="I142" i="4" s="1"/>
  <c r="E24" i="7" a="1"/>
  <c r="E24" i="7" s="1"/>
  <c r="E43" i="4" a="1"/>
  <c r="E43" i="4" s="1"/>
  <c r="J113" i="2" a="1"/>
  <c r="J113" i="2" s="1"/>
  <c r="E92" i="7" a="1"/>
  <c r="E92" i="7" s="1"/>
  <c r="E83" i="6" a="1"/>
  <c r="E83" i="6" s="1"/>
  <c r="E164" i="4" a="1"/>
  <c r="E164" i="4" s="1"/>
  <c r="J374" i="2" a="1"/>
  <c r="J374" i="2" s="1"/>
  <c r="E82" i="8" a="1"/>
  <c r="E82" i="8" s="1"/>
  <c r="J202" i="2" a="1"/>
  <c r="J202" i="2" s="1"/>
  <c r="I120" i="6" a="1"/>
  <c r="I120" i="6" s="1"/>
  <c r="I115" i="5" a="1"/>
  <c r="I115" i="5" s="1"/>
  <c r="I230" i="4" a="1"/>
  <c r="I230" i="4" s="1"/>
  <c r="E157" i="8" a="1"/>
  <c r="E157" i="8" s="1"/>
  <c r="J306" i="2" a="1"/>
  <c r="J306" i="2" s="1"/>
  <c r="E198" i="5" a="1"/>
  <c r="E198" i="5" s="1"/>
  <c r="E380" i="4" a="1"/>
  <c r="E380" i="4" s="1"/>
  <c r="J619" i="2" a="1"/>
  <c r="J619" i="2" s="1"/>
  <c r="E166" i="6" a="1"/>
  <c r="E166" i="6" s="1"/>
  <c r="E312" i="4" a="1"/>
  <c r="E312" i="4" s="1"/>
  <c r="J596" i="2" a="1"/>
  <c r="J596" i="2" s="1"/>
  <c r="E107" i="8" a="1"/>
  <c r="E107" i="8" s="1"/>
  <c r="J293" i="2" a="1"/>
  <c r="J293" i="2" s="1"/>
  <c r="I44" i="7" a="1"/>
  <c r="I44" i="7" s="1"/>
  <c r="I35" i="6" a="1"/>
  <c r="I35" i="6" s="1"/>
  <c r="I76" i="4" a="1"/>
  <c r="I76" i="4" s="1"/>
  <c r="I95" i="7" a="1"/>
  <c r="I95" i="7" s="1"/>
  <c r="I85" i="6" a="1"/>
  <c r="I85" i="6" s="1"/>
  <c r="I169" i="4" a="1"/>
  <c r="I169" i="4" s="1"/>
  <c r="E74" i="8" a="1"/>
  <c r="E74" i="8" s="1"/>
  <c r="J170" i="2" a="1"/>
  <c r="J170" i="2" s="1"/>
  <c r="I110" i="7" a="1"/>
  <c r="I110" i="7" s="1"/>
  <c r="I98" i="6" a="1"/>
  <c r="I98" i="6" s="1"/>
  <c r="I191" i="4" a="1"/>
  <c r="I191" i="4" s="1"/>
  <c r="I80" i="7" a="1"/>
  <c r="I80" i="7" s="1"/>
  <c r="I137" i="4" a="1"/>
  <c r="I137" i="4" s="1"/>
  <c r="J287" i="2" a="1"/>
  <c r="J287" i="2" s="1"/>
  <c r="E132" i="8" a="1"/>
  <c r="E132" i="8" s="1"/>
  <c r="J237" i="2" a="1"/>
  <c r="J237" i="2" s="1"/>
  <c r="E128" i="8" a="1"/>
  <c r="E128" i="8" s="1"/>
  <c r="J239" i="2" a="1"/>
  <c r="J239" i="2" s="1"/>
  <c r="I156" i="7" a="1"/>
  <c r="I156" i="7" s="1"/>
  <c r="I156" i="5" a="1"/>
  <c r="I156" i="5" s="1"/>
  <c r="I288" i="4" a="1"/>
  <c r="I288" i="4" s="1"/>
  <c r="I159" i="5" a="1"/>
  <c r="I159" i="5" s="1"/>
  <c r="I292" i="4" a="1"/>
  <c r="I292" i="4" s="1"/>
  <c r="C637" i="12" a="1"/>
  <c r="C637" i="12" s="1"/>
  <c r="I61" i="2" s="1"/>
  <c r="E138" i="5" a="1"/>
  <c r="E138" i="5" s="1"/>
  <c r="E266" i="4" a="1"/>
  <c r="E266" i="4" s="1"/>
  <c r="J513" i="2" a="1"/>
  <c r="J513" i="2" s="1"/>
  <c r="E158" i="5" a="1"/>
  <c r="E158" i="5" s="1"/>
  <c r="E153" i="6" a="1"/>
  <c r="E153" i="6" s="1"/>
  <c r="E290" i="4" a="1"/>
  <c r="E290" i="4" s="1"/>
  <c r="J506" i="2" a="1"/>
  <c r="J506" i="2" s="1"/>
  <c r="E50" i="7" a="1"/>
  <c r="E50" i="7" s="1"/>
  <c r="E40" i="6" a="1"/>
  <c r="E40" i="6" s="1"/>
  <c r="E87" i="4" a="1"/>
  <c r="E87" i="4" s="1"/>
  <c r="J211" i="2" a="1"/>
  <c r="J211" i="2" s="1"/>
  <c r="I163" i="7" a="1"/>
  <c r="I163" i="7" s="1"/>
  <c r="I162" i="5" a="1"/>
  <c r="I162" i="5" s="1"/>
  <c r="I302" i="4" a="1"/>
  <c r="I302" i="4" s="1"/>
  <c r="E36" i="5" a="1"/>
  <c r="E36" i="5" s="1"/>
  <c r="E65" i="4" a="1"/>
  <c r="E65" i="4" s="1"/>
  <c r="J357" i="2" a="1"/>
  <c r="J357" i="2" s="1"/>
  <c r="E154" i="6" a="1"/>
  <c r="E154" i="6" s="1"/>
  <c r="E157" i="7" a="1"/>
  <c r="E157" i="7" s="1"/>
  <c r="E291" i="4" a="1"/>
  <c r="E291" i="4" s="1"/>
  <c r="J603" i="2" a="1"/>
  <c r="J603" i="2" s="1"/>
  <c r="I65" i="7" a="1"/>
  <c r="I65" i="7" s="1"/>
  <c r="I55" i="6" a="1"/>
  <c r="I55" i="6" s="1"/>
  <c r="I112" i="4" a="1"/>
  <c r="I112" i="4" s="1"/>
  <c r="E9" i="8" a="1"/>
  <c r="E9" i="8" s="1"/>
  <c r="J13" i="2" a="1"/>
  <c r="J13" i="2" s="1"/>
  <c r="I198" i="6" a="1"/>
  <c r="I198" i="6" s="1"/>
  <c r="I375" i="4" a="1"/>
  <c r="I375" i="4" s="1"/>
  <c r="E108" i="6" a="1"/>
  <c r="E108" i="6" s="1"/>
  <c r="E208" i="4" a="1"/>
  <c r="E208" i="4" s="1"/>
  <c r="J469" i="2" a="1"/>
  <c r="J469" i="2" s="1"/>
  <c r="E158" i="6" a="1"/>
  <c r="E158" i="6" s="1"/>
  <c r="E297" i="4" a="1"/>
  <c r="E297" i="4" s="1"/>
  <c r="J518" i="2" a="1"/>
  <c r="J518" i="2" s="1"/>
  <c r="I126" i="7" a="1"/>
  <c r="I126" i="7" s="1"/>
  <c r="I115" i="6" a="1"/>
  <c r="I115" i="6" s="1"/>
  <c r="I110" i="5" a="1"/>
  <c r="I110" i="5" s="1"/>
  <c r="I220" i="4" a="1"/>
  <c r="I220" i="4" s="1"/>
  <c r="E177" i="7" a="1"/>
  <c r="E177" i="7" s="1"/>
  <c r="E174" i="5" a="1"/>
  <c r="E174" i="5" s="1"/>
  <c r="E326" i="4" a="1"/>
  <c r="E326" i="4" s="1"/>
  <c r="J597" i="2" a="1"/>
  <c r="J597" i="2" s="1"/>
  <c r="E96" i="8" a="1"/>
  <c r="E96" i="8" s="1"/>
  <c r="J408" i="2" a="1"/>
  <c r="J408" i="2" s="1"/>
  <c r="E169" i="8" a="1"/>
  <c r="E169" i="8" s="1"/>
  <c r="J289" i="2" a="1"/>
  <c r="J289" i="2" s="1"/>
  <c r="I24" i="7" a="1"/>
  <c r="I24" i="7" s="1"/>
  <c r="I43" i="4" a="1"/>
  <c r="I43" i="4" s="1"/>
  <c r="E114" i="7" a="1"/>
  <c r="E114" i="7" s="1"/>
  <c r="E102" i="6" a="1"/>
  <c r="E102" i="6" s="1"/>
  <c r="E199" i="4" a="1"/>
  <c r="E199" i="4" s="1"/>
  <c r="J484" i="2" a="1"/>
  <c r="J484" i="2" s="1"/>
  <c r="E145" i="6" a="1"/>
  <c r="E145" i="6" s="1"/>
  <c r="E275" i="4" a="1"/>
  <c r="E275" i="4" s="1"/>
  <c r="J561" i="2" a="1"/>
  <c r="J561" i="2" s="1"/>
  <c r="E33" i="5" a="1"/>
  <c r="E33" i="5" s="1"/>
  <c r="E61" i="4" a="1"/>
  <c r="E61" i="4" s="1"/>
  <c r="J140" i="2" a="1"/>
  <c r="J140" i="2" s="1"/>
  <c r="E86" i="6" a="1"/>
  <c r="E86" i="6" s="1"/>
  <c r="E170" i="4" a="1"/>
  <c r="E170" i="4" s="1"/>
  <c r="J375" i="2" a="1"/>
  <c r="J375" i="2" s="1"/>
  <c r="E60" i="6" a="1"/>
  <c r="E60" i="6" s="1"/>
  <c r="E72" i="7" a="1"/>
  <c r="E72" i="7" s="1"/>
  <c r="E121" i="4" a="1"/>
  <c r="E121" i="4" s="1"/>
  <c r="J214" i="2" a="1"/>
  <c r="J214" i="2" s="1"/>
  <c r="E30" i="8" a="1"/>
  <c r="E30" i="8" s="1"/>
  <c r="J43" i="2" a="1"/>
  <c r="J43" i="2" s="1"/>
  <c r="E6" i="8" a="1"/>
  <c r="E6" i="8" s="1"/>
  <c r="J5" i="2" a="1"/>
  <c r="J5" i="2" s="1"/>
  <c r="E141" i="5" a="1"/>
  <c r="E141" i="5" s="1"/>
  <c r="E269" i="4" a="1"/>
  <c r="E269" i="4" s="1"/>
  <c r="J475" i="2" a="1"/>
  <c r="J475" i="2" s="1"/>
  <c r="E103" i="5" a="1"/>
  <c r="E103" i="5" s="1"/>
  <c r="E106" i="6" a="1"/>
  <c r="E106" i="6" s="1"/>
  <c r="E205" i="4" a="1"/>
  <c r="E205" i="4" s="1"/>
  <c r="J549" i="2" a="1"/>
  <c r="J549" i="2" s="1"/>
  <c r="E53" i="7" a="1"/>
  <c r="E53" i="7" s="1"/>
  <c r="E91" i="4" a="1"/>
  <c r="E91" i="4" s="1"/>
  <c r="J234" i="2" a="1"/>
  <c r="J234" i="2" s="1"/>
  <c r="E87" i="7" a="1"/>
  <c r="E87" i="7" s="1"/>
  <c r="E76" i="6" a="1"/>
  <c r="E76" i="6" s="1"/>
  <c r="E149" i="4" a="1"/>
  <c r="E149" i="4" s="1"/>
  <c r="J394" i="2" a="1"/>
  <c r="J394" i="2" s="1"/>
  <c r="I33" i="6" a="1"/>
  <c r="I33" i="6" s="1"/>
  <c r="I41" i="7" a="1"/>
  <c r="I41" i="7" s="1"/>
  <c r="I72" i="4" a="1"/>
  <c r="I72" i="4" s="1"/>
  <c r="I137" i="6" a="1"/>
  <c r="I137" i="6" s="1"/>
  <c r="I146" i="7" a="1"/>
  <c r="I146" i="7" s="1"/>
  <c r="I257" i="4" a="1"/>
  <c r="I257" i="4" s="1"/>
  <c r="E163" i="6" a="1"/>
  <c r="E163" i="6" s="1"/>
  <c r="E306" i="4" a="1"/>
  <c r="E306" i="4" s="1"/>
  <c r="J557" i="2" a="1"/>
  <c r="J557" i="2" s="1"/>
  <c r="E152" i="8" a="1"/>
  <c r="E152" i="8" s="1"/>
  <c r="J358" i="2" a="1"/>
  <c r="J358" i="2" s="1"/>
  <c r="E106" i="8" a="1"/>
  <c r="E106" i="8" s="1"/>
  <c r="J218" i="2" a="1"/>
  <c r="J218" i="2" s="1"/>
  <c r="E125" i="6" a="1"/>
  <c r="E125" i="6" s="1"/>
  <c r="E138" i="7" a="1"/>
  <c r="E138" i="7" s="1"/>
  <c r="E117" i="5" a="1"/>
  <c r="E117" i="5" s="1"/>
  <c r="E237" i="4" a="1"/>
  <c r="E237" i="4" s="1"/>
  <c r="J605" i="2" a="1"/>
  <c r="J605" i="2" s="1"/>
  <c r="E170" i="7" a="1"/>
  <c r="E170" i="7" s="1"/>
  <c r="E169" i="5" a="1"/>
  <c r="E169" i="5" s="1"/>
  <c r="E317" i="4" a="1"/>
  <c r="E317" i="4" s="1"/>
  <c r="J563" i="2" a="1"/>
  <c r="J563" i="2" s="1"/>
  <c r="E244" i="4" a="1"/>
  <c r="E244" i="4" s="1"/>
  <c r="E122" i="5" a="1"/>
  <c r="E122" i="5" s="1"/>
  <c r="J448" i="2" a="1"/>
  <c r="J448" i="2" s="1"/>
  <c r="E136" i="5" a="1"/>
  <c r="E136" i="5" s="1"/>
  <c r="E263" i="4" a="1"/>
  <c r="E263" i="4" s="1"/>
  <c r="J609" i="2" a="1"/>
  <c r="J609" i="2" s="1"/>
  <c r="E103" i="8" a="1"/>
  <c r="E103" i="8" s="1"/>
  <c r="J193" i="2" a="1"/>
  <c r="J193" i="2" s="1"/>
  <c r="E3" i="7" a="1"/>
  <c r="E3" i="7" s="1"/>
  <c r="E5" i="4" a="1"/>
  <c r="E5" i="4" s="1"/>
  <c r="F10" i="3" a="1"/>
  <c r="F10" i="3" s="1"/>
  <c r="J9" i="2" a="1"/>
  <c r="J9" i="2" s="1"/>
  <c r="I78" i="6" a="1"/>
  <c r="I78" i="6" s="1"/>
  <c r="I151" i="4" a="1"/>
  <c r="I151" i="4" s="1"/>
  <c r="E62" i="5" a="1"/>
  <c r="E62" i="5" s="1"/>
  <c r="E122" i="4" a="1"/>
  <c r="E122" i="4" s="1"/>
  <c r="J216" i="2" a="1"/>
  <c r="J216" i="2" s="1"/>
  <c r="C649" i="12" a="1"/>
  <c r="C649" i="12" s="1"/>
  <c r="I73" i="2" s="1"/>
  <c r="I140" i="7" a="1"/>
  <c r="I140" i="7" s="1"/>
  <c r="I127" i="6" a="1"/>
  <c r="I127" i="6" s="1"/>
  <c r="I120" i="5" a="1"/>
  <c r="I120" i="5" s="1"/>
  <c r="I241" i="4" a="1"/>
  <c r="I241" i="4" s="1"/>
  <c r="E36" i="8" a="1"/>
  <c r="E36" i="8" s="1"/>
  <c r="J123" i="2" a="1"/>
  <c r="J123" i="2" s="1"/>
  <c r="E66" i="7" a="1"/>
  <c r="E66" i="7" s="1"/>
  <c r="E56" i="6" a="1"/>
  <c r="E56" i="6" s="1"/>
  <c r="E113" i="4" a="1"/>
  <c r="E113" i="4" s="1"/>
  <c r="J331" i="2" a="1"/>
  <c r="J331" i="2" s="1"/>
  <c r="E102" i="8" a="1"/>
  <c r="E102" i="8" s="1"/>
  <c r="J267" i="2" a="1"/>
  <c r="J267" i="2" s="1"/>
  <c r="E17" i="7" a="1"/>
  <c r="E17" i="7" s="1"/>
  <c r="E16" i="6" a="1"/>
  <c r="E16" i="6" s="1"/>
  <c r="E29" i="4" a="1"/>
  <c r="E29" i="4" s="1"/>
  <c r="J54" i="2" a="1"/>
  <c r="J54" i="2" s="1"/>
  <c r="E139" i="6" a="1"/>
  <c r="E139" i="6" s="1"/>
  <c r="E134" i="5" a="1"/>
  <c r="E134" i="5" s="1"/>
  <c r="E261" i="4" a="1"/>
  <c r="E261" i="4" s="1"/>
  <c r="J658" i="2" a="1"/>
  <c r="J658" i="2" s="1"/>
  <c r="E139" i="5" a="1"/>
  <c r="E139" i="5" s="1"/>
  <c r="E267" i="4" a="1"/>
  <c r="E267" i="4" s="1"/>
  <c r="J453" i="2" a="1"/>
  <c r="J453" i="2" s="1"/>
  <c r="E68" i="6" a="1"/>
  <c r="E68" i="6" s="1"/>
  <c r="E138" i="4" a="1"/>
  <c r="E138" i="4" s="1"/>
  <c r="J263" i="2" a="1"/>
  <c r="J263" i="2" s="1"/>
  <c r="E22" i="9" a="1"/>
  <c r="E22" i="9" s="1"/>
  <c r="J69" i="2" a="1"/>
  <c r="J69" i="2" s="1"/>
  <c r="E146" i="8" a="1"/>
  <c r="E146" i="8" s="1"/>
  <c r="J315" i="2" a="1"/>
  <c r="J315" i="2" s="1"/>
  <c r="E151" i="5" a="1"/>
  <c r="E151" i="5" s="1"/>
  <c r="E282" i="4" a="1"/>
  <c r="E282" i="4" s="1"/>
  <c r="J564" i="2" a="1"/>
  <c r="J564" i="2" s="1"/>
  <c r="E160" i="6" a="1"/>
  <c r="E160" i="6" s="1"/>
  <c r="E161" i="5" a="1"/>
  <c r="E161" i="5" s="1"/>
  <c r="E300" i="4" a="1"/>
  <c r="E300" i="4" s="1"/>
  <c r="J600" i="2" a="1"/>
  <c r="J600" i="2" s="1"/>
  <c r="I177" i="7" a="1"/>
  <c r="I177" i="7" s="1"/>
  <c r="I174" i="5" a="1"/>
  <c r="I174" i="5" s="1"/>
  <c r="I326" i="4" a="1"/>
  <c r="I326" i="4" s="1"/>
  <c r="E182" i="7" a="1"/>
  <c r="E182" i="7" s="1"/>
  <c r="E174" i="6" a="1"/>
  <c r="E174" i="6" s="1"/>
  <c r="E334" i="4" a="1"/>
  <c r="E334" i="4" s="1"/>
  <c r="J553" i="2" a="1"/>
  <c r="J553" i="2" s="1"/>
  <c r="I52" i="7" a="1"/>
  <c r="I52" i="7" s="1"/>
  <c r="I90" i="4" a="1"/>
  <c r="I90" i="4" s="1"/>
  <c r="C651" i="12" a="1"/>
  <c r="C651" i="12" s="1"/>
  <c r="I282" i="2" s="1"/>
  <c r="E70" i="7" a="1"/>
  <c r="E70" i="7" s="1"/>
  <c r="E61" i="5" a="1"/>
  <c r="E61" i="5" s="1"/>
  <c r="E119" i="4" a="1"/>
  <c r="E119" i="4" s="1"/>
  <c r="J268" i="2" a="1"/>
  <c r="J268" i="2" s="1"/>
  <c r="E162" i="8" a="1"/>
  <c r="E162" i="8" s="1"/>
  <c r="J339" i="2" a="1"/>
  <c r="J339" i="2" s="1"/>
  <c r="I200" i="7" a="1"/>
  <c r="I200" i="7" s="1"/>
  <c r="I382" i="4" a="1"/>
  <c r="I382" i="4" s="1"/>
  <c r="E94" i="5" a="1"/>
  <c r="E94" i="5" s="1"/>
  <c r="E187" i="4" a="1"/>
  <c r="E187" i="4" s="1"/>
  <c r="J428" i="2" a="1"/>
  <c r="J428" i="2" s="1"/>
  <c r="C629" i="12" a="1"/>
  <c r="C629" i="12" s="1"/>
  <c r="I186" i="2" s="1"/>
  <c r="E87" i="6" a="1"/>
  <c r="E87" i="6" s="1"/>
  <c r="E87" i="5" a="1"/>
  <c r="E87" i="5" s="1"/>
  <c r="E172" i="4" a="1"/>
  <c r="E172" i="4" s="1"/>
  <c r="J524" i="2" a="1"/>
  <c r="J524" i="2" s="1"/>
  <c r="E110" i="7" a="1"/>
  <c r="E110" i="7" s="1"/>
  <c r="E98" i="6" a="1"/>
  <c r="E98" i="6" s="1"/>
  <c r="E191" i="4" a="1"/>
  <c r="E191" i="4" s="1"/>
  <c r="J404" i="2" a="1"/>
  <c r="J404" i="2" s="1"/>
  <c r="E17" i="8" a="1"/>
  <c r="E17" i="8" s="1"/>
  <c r="E35" i="5" a="1"/>
  <c r="E35" i="5" s="1"/>
  <c r="E63" i="4" a="1"/>
  <c r="E63" i="4" s="1"/>
  <c r="J361" i="2" a="1"/>
  <c r="J361" i="2" s="1"/>
  <c r="I81" i="6" a="1"/>
  <c r="I81" i="6" s="1"/>
  <c r="I162" i="4" a="1"/>
  <c r="I162" i="4" s="1"/>
  <c r="I204" i="5" a="1"/>
  <c r="I204" i="5" s="1"/>
  <c r="I390" i="4" a="1"/>
  <c r="I390" i="4" s="1"/>
  <c r="E167" i="7" a="1"/>
  <c r="E167" i="7" s="1"/>
  <c r="E311" i="4" a="1"/>
  <c r="E311" i="4" s="1"/>
  <c r="J562" i="2" a="1"/>
  <c r="J562" i="2" s="1"/>
  <c r="I119" i="6" a="1"/>
  <c r="I119" i="6" s="1"/>
  <c r="I132" i="7" a="1"/>
  <c r="I132" i="7" s="1"/>
  <c r="I229" i="4" a="1"/>
  <c r="I229" i="4" s="1"/>
  <c r="E115" i="8" a="1"/>
  <c r="E115" i="8" s="1"/>
  <c r="J334" i="2" a="1"/>
  <c r="J334" i="2" s="1"/>
  <c r="E130" i="7" a="1"/>
  <c r="E130" i="7" s="1"/>
  <c r="E118" i="6" a="1"/>
  <c r="E118" i="6" s="1"/>
  <c r="E227" i="4" a="1"/>
  <c r="E227" i="4" s="1"/>
  <c r="J585" i="2" a="1"/>
  <c r="J585" i="2" s="1"/>
  <c r="C624" i="12" a="1"/>
  <c r="C624" i="12" s="1"/>
  <c r="I87" i="2" s="1"/>
  <c r="I170" i="7" a="1"/>
  <c r="I170" i="7" s="1"/>
  <c r="I169" i="5" a="1"/>
  <c r="I169" i="5" s="1"/>
  <c r="I317" i="4" a="1"/>
  <c r="I317" i="4" s="1"/>
  <c r="I134" i="7" a="1"/>
  <c r="I134" i="7" s="1"/>
  <c r="I121" i="6" a="1"/>
  <c r="I121" i="6" s="1"/>
  <c r="I233" i="4" a="1"/>
  <c r="I233" i="4" s="1"/>
  <c r="I124" i="6" a="1"/>
  <c r="I124" i="6" s="1"/>
  <c r="I137" i="7" a="1"/>
  <c r="I137" i="7" s="1"/>
  <c r="I236" i="4" a="1"/>
  <c r="I236" i="4" s="1"/>
  <c r="E101" i="6" a="1"/>
  <c r="E101" i="6" s="1"/>
  <c r="E97" i="5" a="1"/>
  <c r="E97" i="5" s="1"/>
  <c r="E195" i="4" a="1"/>
  <c r="E195" i="4" s="1"/>
  <c r="J523" i="2" a="1"/>
  <c r="J523" i="2" s="1"/>
  <c r="E126" i="8" a="1"/>
  <c r="E126" i="8" s="1"/>
  <c r="J352" i="2" a="1"/>
  <c r="J352" i="2" s="1"/>
  <c r="E68" i="5" a="1"/>
  <c r="E68" i="5" s="1"/>
  <c r="E136" i="4" a="1"/>
  <c r="E136" i="4" s="1"/>
  <c r="J304" i="2" a="1"/>
  <c r="J304" i="2" s="1"/>
  <c r="C628" i="12" a="1"/>
  <c r="C628" i="12" s="1"/>
  <c r="I391" i="2" s="1"/>
  <c r="I86" i="7" a="1"/>
  <c r="I86" i="7" s="1"/>
  <c r="I74" i="6" a="1"/>
  <c r="I74" i="6" s="1"/>
  <c r="I147" i="4" a="1"/>
  <c r="I147" i="4" s="1"/>
  <c r="C613" i="12" a="1"/>
  <c r="C613" i="12" s="1"/>
  <c r="I156" i="2" s="1"/>
  <c r="I102" i="5" a="1"/>
  <c r="I102" i="5" s="1"/>
  <c r="I204" i="4" a="1"/>
  <c r="I204" i="4" s="1"/>
  <c r="C639" i="12" a="1"/>
  <c r="C639" i="12" s="1"/>
  <c r="I85" i="2" s="1"/>
  <c r="E93" i="8" a="1"/>
  <c r="E93" i="8" s="1"/>
  <c r="J328" i="2" a="1"/>
  <c r="J328" i="2" s="1"/>
  <c r="E181" i="8" a="1"/>
  <c r="E181" i="8" s="1"/>
  <c r="J278" i="2" a="1"/>
  <c r="J278" i="2" s="1"/>
  <c r="E33" i="8" a="1"/>
  <c r="E33" i="8" s="1"/>
  <c r="J99" i="2" a="1"/>
  <c r="J99" i="2" s="1"/>
  <c r="I25" i="5" a="1"/>
  <c r="I25" i="5" s="1"/>
  <c r="I47" i="4" a="1"/>
  <c r="I47" i="4" s="1"/>
  <c r="I17" i="7" a="1"/>
  <c r="I17" i="7" s="1"/>
  <c r="I16" i="6" a="1"/>
  <c r="I16" i="6" s="1"/>
  <c r="I29" i="4" a="1"/>
  <c r="I29" i="4" s="1"/>
  <c r="E94" i="8" a="1"/>
  <c r="E94" i="8" s="1"/>
  <c r="J284" i="2" a="1"/>
  <c r="J284" i="2" s="1"/>
  <c r="E188" i="6" a="1"/>
  <c r="E188" i="6" s="1"/>
  <c r="E182" i="5" a="1"/>
  <c r="E182" i="5" s="1"/>
  <c r="E352" i="4" a="1"/>
  <c r="E352" i="4" s="1"/>
  <c r="J607" i="2" a="1"/>
  <c r="J607" i="2" s="1"/>
  <c r="E18" i="9" a="1"/>
  <c r="E18" i="9" s="1"/>
  <c r="J32" i="2" a="1"/>
  <c r="J32" i="2" s="1"/>
  <c r="E194" i="5" a="1"/>
  <c r="E194" i="5" s="1"/>
  <c r="E376" i="4" a="1"/>
  <c r="E376" i="4" s="1"/>
  <c r="J622" i="2" a="1"/>
  <c r="J622" i="2" s="1"/>
  <c r="E73" i="8" a="1"/>
  <c r="E73" i="8" s="1"/>
  <c r="J135" i="2" a="1"/>
  <c r="J135" i="2" s="1"/>
  <c r="I76" i="5" a="1"/>
  <c r="I76" i="5" s="1"/>
  <c r="I155" i="4" a="1"/>
  <c r="I155" i="4" s="1"/>
  <c r="E155" i="8" a="1"/>
  <c r="E155" i="8" s="1"/>
  <c r="J420" i="2" a="1"/>
  <c r="J420" i="2" s="1"/>
  <c r="E13" i="7" a="1"/>
  <c r="E13" i="7" s="1"/>
  <c r="E12" i="6" a="1"/>
  <c r="E12" i="6" s="1"/>
  <c r="E23" i="4" a="1"/>
  <c r="E23" i="4" s="1"/>
  <c r="J107" i="2" a="1"/>
  <c r="J107" i="2" s="1"/>
  <c r="E168" i="5" a="1"/>
  <c r="E168" i="5" s="1"/>
  <c r="E314" i="4" a="1"/>
  <c r="E314" i="4" s="1"/>
  <c r="J528" i="2" a="1"/>
  <c r="J528" i="2" s="1"/>
  <c r="I160" i="6" a="1"/>
  <c r="I160" i="6" s="1"/>
  <c r="I161" i="5" a="1"/>
  <c r="I161" i="5" s="1"/>
  <c r="I300" i="4" a="1"/>
  <c r="I300" i="4" s="1"/>
  <c r="E178" i="7" a="1"/>
  <c r="E178" i="7" s="1"/>
  <c r="E327" i="4" a="1"/>
  <c r="E327" i="4" s="1"/>
  <c r="J502" i="2" a="1"/>
  <c r="J502" i="2" s="1"/>
  <c r="I38" i="6" a="1"/>
  <c r="I38" i="6" s="1"/>
  <c r="I46" i="5" a="1"/>
  <c r="I46" i="5" s="1"/>
  <c r="I84" i="4" a="1"/>
  <c r="I84" i="4" s="1"/>
  <c r="E85" i="7" a="1"/>
  <c r="E85" i="7" s="1"/>
  <c r="E144" i="4" a="1"/>
  <c r="E144" i="4" s="1"/>
  <c r="J444" i="2" a="1"/>
  <c r="J444" i="2" s="1"/>
  <c r="I62" i="7" a="1"/>
  <c r="I62" i="7" s="1"/>
  <c r="I53" i="6" a="1"/>
  <c r="I53" i="6" s="1"/>
  <c r="I57" i="5" a="1"/>
  <c r="I57" i="5" s="1"/>
  <c r="I108" i="4" a="1"/>
  <c r="I108" i="4" s="1"/>
  <c r="I123" i="7" a="1"/>
  <c r="I123" i="7" s="1"/>
  <c r="I107" i="5" a="1"/>
  <c r="I107" i="5" s="1"/>
  <c r="I215" i="4" a="1"/>
  <c r="I215" i="4" s="1"/>
  <c r="E21" i="7" a="1"/>
  <c r="E21" i="7" s="1"/>
  <c r="E20" i="6" a="1"/>
  <c r="E20" i="6" s="1"/>
  <c r="E37" i="4" a="1"/>
  <c r="E37" i="4" s="1"/>
  <c r="J62" i="2" a="1"/>
  <c r="J62" i="2" s="1"/>
  <c r="E97" i="8" a="1"/>
  <c r="E97" i="8" s="1"/>
  <c r="J158" i="2" a="1"/>
  <c r="J158" i="2" s="1"/>
  <c r="I119" i="5" a="1"/>
  <c r="I119" i="5" s="1"/>
  <c r="I240" i="4" a="1"/>
  <c r="I240" i="4" s="1"/>
  <c r="E197" i="6" a="1"/>
  <c r="E197" i="6" s="1"/>
  <c r="E373" i="4" a="1"/>
  <c r="E373" i="4" s="1"/>
  <c r="J599" i="2" a="1"/>
  <c r="J599" i="2" s="1"/>
  <c r="E131" i="6" a="1"/>
  <c r="E131" i="6" s="1"/>
  <c r="E251" i="4" a="1"/>
  <c r="E251" i="4" s="1"/>
  <c r="J467" i="2" a="1"/>
  <c r="J467" i="2" s="1"/>
  <c r="E28" i="7" a="1"/>
  <c r="E28" i="7" s="1"/>
  <c r="E25" i="6" a="1"/>
  <c r="E25" i="6" s="1"/>
  <c r="E53" i="4" a="1"/>
  <c r="E53" i="4" s="1"/>
  <c r="J226" i="2" a="1"/>
  <c r="J226" i="2" s="1"/>
  <c r="E52" i="8" a="1"/>
  <c r="E52" i="8" s="1"/>
  <c r="J152" i="2" a="1"/>
  <c r="J152" i="2" s="1"/>
  <c r="I40" i="7" a="1"/>
  <c r="I40" i="7" s="1"/>
  <c r="I32" i="6" a="1"/>
  <c r="I32" i="6" s="1"/>
  <c r="I71" i="4" a="1"/>
  <c r="I71" i="4" s="1"/>
  <c r="C665" i="12" a="1"/>
  <c r="C665" i="12" s="1"/>
  <c r="I359" i="2" s="1"/>
  <c r="E119" i="8" a="1"/>
  <c r="E119" i="8" s="1"/>
  <c r="J243" i="2" a="1"/>
  <c r="J243" i="2" s="1"/>
  <c r="E65" i="5" a="1"/>
  <c r="E65" i="5" s="1"/>
  <c r="E131" i="4" a="1"/>
  <c r="E131" i="4" s="1"/>
  <c r="J290" i="2" a="1"/>
  <c r="J290" i="2" s="1"/>
  <c r="I98" i="5" a="1"/>
  <c r="I98" i="5" s="1"/>
  <c r="I196" i="4" a="1"/>
  <c r="I196" i="4" s="1"/>
  <c r="I117" i="6" a="1"/>
  <c r="I117" i="6" s="1"/>
  <c r="I226" i="4" a="1"/>
  <c r="I226" i="4" s="1"/>
  <c r="E179" i="7" a="1"/>
  <c r="E179" i="7" s="1"/>
  <c r="E170" i="6" a="1"/>
  <c r="E170" i="6" s="1"/>
  <c r="E328" i="4" a="1"/>
  <c r="E328" i="4" s="1"/>
  <c r="J588" i="2" a="1"/>
  <c r="J588" i="2" s="1"/>
  <c r="E5" i="5" a="1"/>
  <c r="E5" i="5" s="1"/>
  <c r="E6" i="4" a="1"/>
  <c r="E6" i="4" s="1"/>
  <c r="J22" i="2" a="1"/>
  <c r="J22" i="2" s="1"/>
  <c r="E28" i="5" a="1"/>
  <c r="E28" i="5" s="1"/>
  <c r="E51" i="4" a="1"/>
  <c r="E51" i="4" s="1"/>
  <c r="J133" i="2" a="1"/>
  <c r="J133" i="2" s="1"/>
  <c r="I264" i="4" a="1"/>
  <c r="I264" i="4" s="1"/>
  <c r="I137" i="5" a="1"/>
  <c r="I137" i="5" s="1"/>
  <c r="E201" i="8" a="1"/>
  <c r="E201" i="8" s="1"/>
  <c r="J401" i="2" a="1"/>
  <c r="J401" i="2" s="1"/>
  <c r="I101" i="6" a="1"/>
  <c r="I101" i="6" s="1"/>
  <c r="I97" i="5" a="1"/>
  <c r="I97" i="5" s="1"/>
  <c r="I195" i="4" a="1"/>
  <c r="I195" i="4" s="1"/>
  <c r="E25" i="8" a="1"/>
  <c r="E25" i="8" s="1"/>
  <c r="J44" i="2" a="1"/>
  <c r="J44" i="2" s="1"/>
  <c r="E38" i="7" a="1"/>
  <c r="E38" i="7" s="1"/>
  <c r="E31" i="6" a="1"/>
  <c r="E31" i="6" s="1"/>
  <c r="E38" i="5" a="1"/>
  <c r="E38" i="5" s="1"/>
  <c r="E69" i="4" a="1"/>
  <c r="E69" i="4" s="1"/>
  <c r="J163" i="2" a="1"/>
  <c r="J163" i="2" s="1"/>
  <c r="E142" i="8" a="1"/>
  <c r="E142" i="8" s="1"/>
  <c r="J333" i="2" a="1"/>
  <c r="J333" i="2" s="1"/>
  <c r="E159" i="7" a="1"/>
  <c r="E159" i="7" s="1"/>
  <c r="E155" i="6" a="1"/>
  <c r="E155" i="6" s="1"/>
  <c r="E294" i="4" a="1"/>
  <c r="E294" i="4" s="1"/>
  <c r="J662" i="2" a="1"/>
  <c r="J662" i="2" s="1"/>
  <c r="I155" i="6" a="1"/>
  <c r="I155" i="6" s="1"/>
  <c r="I159" i="7" a="1"/>
  <c r="I159" i="7" s="1"/>
  <c r="I294" i="4" a="1"/>
  <c r="I294" i="4" s="1"/>
  <c r="I59" i="7" a="1"/>
  <c r="I59" i="7" s="1"/>
  <c r="I50" i="6" a="1"/>
  <c r="I50" i="6" s="1"/>
  <c r="I104" i="4" a="1"/>
  <c r="I104" i="4" s="1"/>
  <c r="E197" i="8" a="1"/>
  <c r="E197" i="8" s="1"/>
  <c r="J367" i="2" a="1"/>
  <c r="J367" i="2" s="1"/>
  <c r="E71" i="8" a="1"/>
  <c r="E71" i="8" s="1"/>
  <c r="J76" i="2" a="1"/>
  <c r="J76" i="2" s="1"/>
  <c r="E128" i="6" a="1"/>
  <c r="E128" i="6" s="1"/>
  <c r="E125" i="5" a="1"/>
  <c r="E125" i="5" s="1"/>
  <c r="E247" i="4" a="1"/>
  <c r="E247" i="4" s="1"/>
  <c r="J451" i="2" a="1"/>
  <c r="J451" i="2" s="1"/>
  <c r="I14" i="5" a="1"/>
  <c r="I14" i="5" s="1"/>
  <c r="I24" i="4" a="1"/>
  <c r="I24" i="4" s="1"/>
  <c r="E127" i="8" a="1"/>
  <c r="E127" i="8" s="1"/>
  <c r="J277" i="2" a="1"/>
  <c r="J277" i="2" s="1"/>
  <c r="E78" i="6" a="1"/>
  <c r="E78" i="6" s="1"/>
  <c r="E151" i="4" a="1"/>
  <c r="E151" i="4" s="1"/>
  <c r="J388" i="2" a="1"/>
  <c r="J388" i="2" s="1"/>
  <c r="E58" i="5" a="1"/>
  <c r="E58" i="5" s="1"/>
  <c r="E54" i="6" a="1"/>
  <c r="E54" i="6" s="1"/>
  <c r="E111" i="4" a="1"/>
  <c r="E111" i="4" s="1"/>
  <c r="J254" i="2" a="1"/>
  <c r="J254" i="2" s="1"/>
  <c r="E183" i="5" a="1"/>
  <c r="E183" i="5" s="1"/>
  <c r="E353" i="4" a="1"/>
  <c r="E353" i="4" s="1"/>
  <c r="J558" i="2" a="1"/>
  <c r="J558" i="2" s="1"/>
  <c r="E91" i="5" a="1"/>
  <c r="E91" i="5" s="1"/>
  <c r="E181" i="4" a="1"/>
  <c r="E181" i="4" s="1"/>
  <c r="J579" i="2" a="1"/>
  <c r="J579" i="2" s="1"/>
  <c r="E72" i="6" a="1"/>
  <c r="E72" i="6" s="1"/>
  <c r="E145" i="4" a="1"/>
  <c r="E145" i="4" s="1"/>
  <c r="J464" i="2" a="1"/>
  <c r="J464" i="2" s="1"/>
  <c r="E135" i="5" a="1"/>
  <c r="E135" i="5" s="1"/>
  <c r="E262" i="4" a="1"/>
  <c r="E262" i="4" s="1"/>
  <c r="J542" i="2" a="1"/>
  <c r="J542" i="2" s="1"/>
  <c r="E80" i="8" a="1"/>
  <c r="E80" i="8" s="1"/>
  <c r="J201" i="2" a="1"/>
  <c r="J201" i="2" s="1"/>
  <c r="E202" i="8" a="1"/>
  <c r="E202" i="8" s="1"/>
  <c r="J414" i="2" a="1"/>
  <c r="J414" i="2" s="1"/>
  <c r="E111" i="5" a="1"/>
  <c r="E111" i="5" s="1"/>
  <c r="E221" i="4" a="1"/>
  <c r="E221" i="4" s="1"/>
  <c r="J515" i="2" a="1"/>
  <c r="J515" i="2" s="1"/>
  <c r="E167" i="6" a="1"/>
  <c r="E167" i="6" s="1"/>
  <c r="E315" i="4" a="1"/>
  <c r="E315" i="4" s="1"/>
  <c r="J510" i="2" a="1"/>
  <c r="J510" i="2" s="1"/>
  <c r="I151" i="6" a="1"/>
  <c r="I151" i="6" s="1"/>
  <c r="I154" i="7" a="1"/>
  <c r="I154" i="7" s="1"/>
  <c r="I286" i="4" a="1"/>
  <c r="I286" i="4" s="1"/>
  <c r="I60" i="7" a="1"/>
  <c r="I60" i="7" s="1"/>
  <c r="I51" i="6" a="1"/>
  <c r="I51" i="6" s="1"/>
  <c r="I105" i="4" a="1"/>
  <c r="I105" i="4" s="1"/>
  <c r="E176" i="7" a="1"/>
  <c r="E176" i="7" s="1"/>
  <c r="E325" i="4" a="1"/>
  <c r="E325" i="4" s="1"/>
  <c r="J618" i="2" a="1"/>
  <c r="J618" i="2" s="1"/>
  <c r="I83" i="5" a="1"/>
  <c r="I83" i="5" s="1"/>
  <c r="I165" i="4" a="1"/>
  <c r="I165" i="4" s="1"/>
  <c r="E107" i="4" a="1"/>
  <c r="E107" i="4" s="1"/>
  <c r="E56" i="5" a="1"/>
  <c r="E56" i="5" s="1"/>
  <c r="J407" i="2" a="1"/>
  <c r="J407" i="2" s="1"/>
  <c r="I109" i="6" a="1"/>
  <c r="I109" i="6" s="1"/>
  <c r="I119" i="7" a="1"/>
  <c r="I119" i="7" s="1"/>
  <c r="I210" i="4" a="1"/>
  <c r="I210" i="4" s="1"/>
  <c r="E73" i="7" a="1"/>
  <c r="E73" i="7" s="1"/>
  <c r="E63" i="6" a="1"/>
  <c r="E63" i="6" s="1"/>
  <c r="E125" i="4" a="1"/>
  <c r="E125" i="4" s="1"/>
  <c r="J295" i="2" a="1"/>
  <c r="J295" i="2" s="1"/>
  <c r="C646" i="12" a="1"/>
  <c r="C646" i="12" s="1"/>
  <c r="I372" i="2" s="1"/>
  <c r="I131" i="6" a="1"/>
  <c r="I131" i="6" s="1"/>
  <c r="I251" i="4" a="1"/>
  <c r="I251" i="4" s="1"/>
  <c r="I28" i="7" a="1"/>
  <c r="I28" i="7" s="1"/>
  <c r="I25" i="6" a="1"/>
  <c r="I25" i="6" s="1"/>
  <c r="I53" i="4" a="1"/>
  <c r="I53" i="4" s="1"/>
  <c r="E84" i="5" a="1"/>
  <c r="E84" i="5" s="1"/>
  <c r="E166" i="4" a="1"/>
  <c r="E166" i="4" s="1"/>
  <c r="J305" i="2" a="1"/>
  <c r="J305" i="2" s="1"/>
  <c r="E188" i="5" a="1"/>
  <c r="E188" i="5" s="1"/>
  <c r="E360" i="4" a="1"/>
  <c r="E360" i="4" s="1"/>
  <c r="J568" i="2" a="1"/>
  <c r="J568" i="2" s="1"/>
  <c r="E208" i="5" a="1"/>
  <c r="E208" i="5" s="1"/>
  <c r="E401" i="4" a="1"/>
  <c r="E401" i="4" s="1"/>
  <c r="J627" i="2" a="1"/>
  <c r="J627" i="2" s="1"/>
  <c r="E90" i="5" a="1"/>
  <c r="E90" i="5" s="1"/>
  <c r="E180" i="4" a="1"/>
  <c r="E180" i="4" s="1"/>
  <c r="J508" i="2" a="1"/>
  <c r="J508" i="2" s="1"/>
  <c r="E39" i="8" a="1"/>
  <c r="E39" i="8" s="1"/>
  <c r="J98" i="2" a="1"/>
  <c r="J98" i="2" s="1"/>
  <c r="E39" i="6" a="1"/>
  <c r="E39" i="6" s="1"/>
  <c r="E49" i="7" a="1"/>
  <c r="E49" i="7" s="1"/>
  <c r="E47" i="5" a="1"/>
  <c r="E47" i="5" s="1"/>
  <c r="E85" i="4" a="1"/>
  <c r="E85" i="4" s="1"/>
  <c r="J285" i="2" a="1"/>
  <c r="J285" i="2" s="1"/>
  <c r="I134" i="6" a="1"/>
  <c r="I134" i="6" s="1"/>
  <c r="I129" i="5" a="1"/>
  <c r="I129" i="5" s="1"/>
  <c r="I254" i="4" a="1"/>
  <c r="I254" i="4" s="1"/>
  <c r="E198" i="8" a="1"/>
  <c r="E198" i="8" s="1"/>
  <c r="J340" i="2" a="1"/>
  <c r="J340" i="2" s="1"/>
  <c r="I5" i="5" a="1"/>
  <c r="I5" i="5" s="1"/>
  <c r="I6" i="4" a="1"/>
  <c r="I6" i="4" s="1"/>
  <c r="E14" i="6" a="1"/>
  <c r="E14" i="6" s="1"/>
  <c r="E27" i="4" a="1"/>
  <c r="E27" i="4" s="1"/>
  <c r="J119" i="2" a="1"/>
  <c r="J119" i="2" s="1"/>
  <c r="I162" i="7" a="1"/>
  <c r="I162" i="7" s="1"/>
  <c r="I301" i="4" a="1"/>
  <c r="I301" i="4" s="1"/>
  <c r="E168" i="8" a="1"/>
  <c r="E168" i="8" s="1"/>
  <c r="J373" i="2" a="1"/>
  <c r="J373" i="2" s="1"/>
  <c r="I78" i="7" a="1"/>
  <c r="I78" i="7" s="1"/>
  <c r="I133" i="4" a="1"/>
  <c r="I133" i="4" s="1"/>
  <c r="I180" i="7" a="1"/>
  <c r="I180" i="7" s="1"/>
  <c r="I176" i="5" a="1"/>
  <c r="I176" i="5" s="1"/>
  <c r="I331" i="4" a="1"/>
  <c r="I331" i="4" s="1"/>
  <c r="E62" i="6" a="1"/>
  <c r="E62" i="6" s="1"/>
  <c r="E64" i="5" a="1"/>
  <c r="E64" i="5" s="1"/>
  <c r="E124" i="4" a="1"/>
  <c r="E124" i="4" s="1"/>
  <c r="J380" i="2" a="1"/>
  <c r="J380" i="2" s="1"/>
  <c r="E60" i="5" a="1"/>
  <c r="E60" i="5" s="1"/>
  <c r="E117" i="4" a="1"/>
  <c r="E117" i="4" s="1"/>
  <c r="J310" i="2" a="1"/>
  <c r="J310" i="2" s="1"/>
  <c r="I59" i="6" a="1"/>
  <c r="I59" i="6" s="1"/>
  <c r="I71" i="7" a="1"/>
  <c r="I71" i="7" s="1"/>
  <c r="I120" i="4" a="1"/>
  <c r="I120" i="4" s="1"/>
  <c r="E182" i="6" a="1"/>
  <c r="E182" i="6" s="1"/>
  <c r="E344" i="4" a="1"/>
  <c r="E344" i="4" s="1"/>
  <c r="J489" i="2" a="1"/>
  <c r="J489" i="2" s="1"/>
  <c r="I27" i="6" a="1"/>
  <c r="I27" i="6" s="1"/>
  <c r="I32" i="5" a="1"/>
  <c r="I32" i="5" s="1"/>
  <c r="I58" i="4" a="1"/>
  <c r="I58" i="4" s="1"/>
  <c r="E44" i="5" a="1"/>
  <c r="E44" i="5" s="1"/>
  <c r="E79" i="4" a="1"/>
  <c r="E79" i="4" s="1"/>
  <c r="J208" i="2" a="1"/>
  <c r="J208" i="2" s="1"/>
  <c r="E144" i="5" a="1"/>
  <c r="E144" i="5" s="1"/>
  <c r="E144" i="6" a="1"/>
  <c r="E144" i="6" s="1"/>
  <c r="E274" i="4" a="1"/>
  <c r="E274" i="4" s="1"/>
  <c r="J454" i="2" a="1"/>
  <c r="J454" i="2" s="1"/>
  <c r="I131" i="7" a="1"/>
  <c r="I131" i="7" s="1"/>
  <c r="I114" i="5" a="1"/>
  <c r="I114" i="5" s="1"/>
  <c r="I228" i="4" a="1"/>
  <c r="I228" i="4" s="1"/>
  <c r="E187" i="6" a="1"/>
  <c r="E187" i="6" s="1"/>
  <c r="E351" i="4" a="1"/>
  <c r="E351" i="4" s="1"/>
  <c r="J550" i="2" a="1"/>
  <c r="J550" i="2" s="1"/>
  <c r="C650" i="12" a="1"/>
  <c r="C650" i="12" s="1"/>
  <c r="I142" i="2" s="1"/>
  <c r="E49" i="6" a="1"/>
  <c r="E49" i="6" s="1"/>
  <c r="E58" i="7" a="1"/>
  <c r="E58" i="7" s="1"/>
  <c r="E103" i="4" a="1"/>
  <c r="E103" i="4" s="1"/>
  <c r="J421" i="2" a="1"/>
  <c r="J421" i="2" s="1"/>
  <c r="E66" i="6" a="1"/>
  <c r="E66" i="6" s="1"/>
  <c r="E129" i="4" a="1"/>
  <c r="E129" i="4" s="1"/>
  <c r="J303" i="2" a="1"/>
  <c r="J303" i="2" s="1"/>
  <c r="E135" i="6" a="1"/>
  <c r="E135" i="6" s="1"/>
  <c r="E130" i="5" a="1"/>
  <c r="E130" i="5" s="1"/>
  <c r="E255" i="4" a="1"/>
  <c r="E255" i="4" s="1"/>
  <c r="J503" i="2" a="1"/>
  <c r="J503" i="2" s="1"/>
  <c r="C611" i="12" a="1"/>
  <c r="C611" i="12" s="1"/>
  <c r="I74" i="2" s="1"/>
  <c r="E79" i="8" a="1"/>
  <c r="E79" i="8" s="1"/>
  <c r="J127" i="2" a="1"/>
  <c r="J127" i="2" s="1"/>
  <c r="I32" i="7" a="1"/>
  <c r="I32" i="7" s="1"/>
  <c r="I28" i="6" a="1"/>
  <c r="I28" i="6" s="1"/>
  <c r="I60" i="4" a="1"/>
  <c r="I60" i="4" s="1"/>
  <c r="E111" i="7" a="1"/>
  <c r="E111" i="7" s="1"/>
  <c r="E192" i="4" a="1"/>
  <c r="E192" i="4" s="1"/>
  <c r="J433" i="2" a="1"/>
  <c r="J433" i="2" s="1"/>
  <c r="E71" i="7" a="1"/>
  <c r="E71" i="7" s="1"/>
  <c r="E59" i="6" a="1"/>
  <c r="E59" i="6" s="1"/>
  <c r="E120" i="4" a="1"/>
  <c r="E120" i="4" s="1"/>
  <c r="J410" i="2" a="1"/>
  <c r="J410" i="2" s="1"/>
  <c r="E184" i="5" a="1"/>
  <c r="E184" i="5" s="1"/>
  <c r="E354" i="4" a="1"/>
  <c r="E354" i="4" s="1"/>
  <c r="J576" i="2" a="1"/>
  <c r="J576" i="2" s="1"/>
  <c r="E115" i="7" a="1"/>
  <c r="E115" i="7" s="1"/>
  <c r="E103" i="6" a="1"/>
  <c r="E103" i="6" s="1"/>
  <c r="E200" i="4" a="1"/>
  <c r="E200" i="4" s="1"/>
  <c r="J462" i="2" a="1"/>
  <c r="J462" i="2" s="1"/>
  <c r="E132" i="6" a="1"/>
  <c r="E132" i="6" s="1"/>
  <c r="E128" i="5" a="1"/>
  <c r="E128" i="5" s="1"/>
  <c r="E252" i="4" a="1"/>
  <c r="E252" i="4" s="1"/>
  <c r="J584" i="2" a="1"/>
  <c r="J584" i="2" s="1"/>
  <c r="E184" i="7" a="1"/>
  <c r="E184" i="7" s="1"/>
  <c r="E337" i="4" a="1"/>
  <c r="E337" i="4" s="1"/>
  <c r="J548" i="2" a="1"/>
  <c r="J548" i="2" s="1"/>
  <c r="E202" i="6" a="1"/>
  <c r="E202" i="6" s="1"/>
  <c r="E386" i="4" a="1"/>
  <c r="E386" i="4" s="1"/>
  <c r="J634" i="2" a="1"/>
  <c r="J634" i="2" s="1"/>
  <c r="E180" i="6" a="1"/>
  <c r="E180" i="6" s="1"/>
  <c r="E342" i="4" a="1"/>
  <c r="E342" i="4" s="1"/>
  <c r="J458" i="2" a="1"/>
  <c r="J458" i="2" s="1"/>
  <c r="E195" i="8" a="1"/>
  <c r="E195" i="8" s="1"/>
  <c r="J364" i="2" a="1"/>
  <c r="J364" i="2" s="1"/>
  <c r="I21" i="6" a="1"/>
  <c r="I21" i="6" s="1"/>
  <c r="I23" i="5" a="1"/>
  <c r="I23" i="5" s="1"/>
  <c r="I42" i="4" a="1"/>
  <c r="I42" i="4" s="1"/>
  <c r="E90" i="8" a="1"/>
  <c r="E90" i="8" s="1"/>
  <c r="J146" i="2" a="1"/>
  <c r="J146" i="2" s="1"/>
  <c r="I84" i="5" a="1"/>
  <c r="I84" i="5" s="1"/>
  <c r="I166" i="4" a="1"/>
  <c r="I166" i="4" s="1"/>
  <c r="I169" i="7" a="1"/>
  <c r="I169" i="7" s="1"/>
  <c r="I316" i="4" a="1"/>
  <c r="I316" i="4" s="1"/>
  <c r="I198" i="7" a="1"/>
  <c r="I198" i="7" s="1"/>
  <c r="I196" i="6" a="1"/>
  <c r="I196" i="6" s="1"/>
  <c r="I371" i="4" a="1"/>
  <c r="I371" i="4" s="1"/>
  <c r="I138" i="5" a="1"/>
  <c r="I138" i="5" s="1"/>
  <c r="I266" i="4" a="1"/>
  <c r="I266" i="4" s="1"/>
  <c r="E100" i="8" a="1"/>
  <c r="E100" i="8" s="1"/>
  <c r="J189" i="2" a="1"/>
  <c r="J189" i="2" s="1"/>
  <c r="I116" i="7" a="1"/>
  <c r="I116" i="7" s="1"/>
  <c r="I99" i="5" a="1"/>
  <c r="I99" i="5" s="1"/>
  <c r="I201" i="4" a="1"/>
  <c r="I201" i="4" s="1"/>
  <c r="I49" i="7" a="1"/>
  <c r="I49" i="7" s="1"/>
  <c r="I39" i="6" a="1"/>
  <c r="I39" i="6" s="1"/>
  <c r="I47" i="5" a="1"/>
  <c r="I47" i="5" s="1"/>
  <c r="I85" i="4" a="1"/>
  <c r="I85" i="4" s="1"/>
  <c r="E5" i="7" a="1"/>
  <c r="E5" i="7" s="1"/>
  <c r="E5" i="6" a="1"/>
  <c r="E5" i="6" s="1"/>
  <c r="E12" i="4" a="1"/>
  <c r="E12" i="4" s="1"/>
  <c r="J39" i="2" a="1"/>
  <c r="J39" i="2" s="1"/>
  <c r="I208" i="7" a="1"/>
  <c r="I208" i="7" s="1"/>
  <c r="I400" i="4" a="1"/>
  <c r="I400" i="4" s="1"/>
  <c r="I158" i="6" a="1"/>
  <c r="I158" i="6" s="1"/>
  <c r="I297" i="4" a="1"/>
  <c r="I297" i="4" s="1"/>
  <c r="I210" i="7" a="1"/>
  <c r="I210" i="7" s="1"/>
  <c r="I406" i="4" a="1"/>
  <c r="I406" i="4" s="1"/>
  <c r="I56" i="7" a="1"/>
  <c r="I56" i="7" s="1"/>
  <c r="I52" i="5" a="1"/>
  <c r="I52" i="5" s="1"/>
  <c r="I98" i="4" a="1"/>
  <c r="I98" i="4" s="1"/>
  <c r="E147" i="8" a="1"/>
  <c r="E147" i="8" s="1"/>
  <c r="J342" i="2" a="1"/>
  <c r="J342" i="2" s="1"/>
  <c r="E105" i="5" a="1"/>
  <c r="E105" i="5" s="1"/>
  <c r="E209" i="4" a="1"/>
  <c r="E209" i="4" s="1"/>
  <c r="J504" i="2" a="1"/>
  <c r="J504" i="2" s="1"/>
  <c r="E142" i="5" a="1"/>
  <c r="E142" i="5" s="1"/>
  <c r="E271" i="4" a="1"/>
  <c r="E271" i="4" s="1"/>
  <c r="J640" i="2" a="1"/>
  <c r="J640" i="2" s="1"/>
  <c r="I48" i="6" a="1"/>
  <c r="I48" i="6" s="1"/>
  <c r="I55" i="5" a="1"/>
  <c r="I55" i="5" s="1"/>
  <c r="I102" i="4" a="1"/>
  <c r="I102" i="4" s="1"/>
  <c r="E26" i="7" a="1"/>
  <c r="E26" i="7" s="1"/>
  <c r="E45" i="4" a="1"/>
  <c r="E45" i="4" s="1"/>
  <c r="J129" i="2" a="1"/>
  <c r="J129" i="2" s="1"/>
  <c r="I62" i="6" a="1"/>
  <c r="I62" i="6" s="1"/>
  <c r="I64" i="5" a="1"/>
  <c r="I64" i="5" s="1"/>
  <c r="I124" i="4" a="1"/>
  <c r="I124" i="4" s="1"/>
  <c r="I112" i="5" a="1"/>
  <c r="I112" i="5" s="1"/>
  <c r="I224" i="4" a="1"/>
  <c r="I224" i="4" s="1"/>
  <c r="E193" i="5" a="1"/>
  <c r="E193" i="5" s="1"/>
  <c r="E374" i="4" a="1"/>
  <c r="E374" i="4" s="1"/>
  <c r="J626" i="2" a="1"/>
  <c r="J626" i="2" s="1"/>
  <c r="E38" i="8" a="1"/>
  <c r="E38" i="8" s="1"/>
  <c r="J101" i="2" a="1"/>
  <c r="J101" i="2" s="1"/>
  <c r="I91" i="5" a="1"/>
  <c r="I91" i="5" s="1"/>
  <c r="I181" i="4" a="1"/>
  <c r="I181" i="4" s="1"/>
  <c r="E77" i="8" a="1"/>
  <c r="E77" i="8" s="1"/>
  <c r="J213" i="2" a="1"/>
  <c r="J213" i="2" s="1"/>
  <c r="I189" i="7" a="1"/>
  <c r="I189" i="7" s="1"/>
  <c r="I180" i="5" a="1"/>
  <c r="I180" i="5" s="1"/>
  <c r="I349" i="4" a="1"/>
  <c r="I349" i="4" s="1"/>
  <c r="E148" i="7" a="1"/>
  <c r="E148" i="7" s="1"/>
  <c r="E259" i="4" a="1"/>
  <c r="E259" i="4" s="1"/>
  <c r="J383" i="2" a="1"/>
  <c r="J383" i="2" s="1"/>
  <c r="E141" i="6" a="1"/>
  <c r="E141" i="6" s="1"/>
  <c r="E140" i="5" a="1"/>
  <c r="E140" i="5" s="1"/>
  <c r="E268" i="4" a="1"/>
  <c r="E268" i="4" s="1"/>
  <c r="J532" i="2" a="1"/>
  <c r="J532" i="2" s="1"/>
  <c r="E173" i="8" a="1"/>
  <c r="E173" i="8" s="1"/>
  <c r="J238" i="2" a="1"/>
  <c r="J238" i="2" s="1"/>
  <c r="E88" i="7" a="1"/>
  <c r="E88" i="7" s="1"/>
  <c r="E79" i="6" a="1"/>
  <c r="E79" i="6" s="1"/>
  <c r="E153" i="4" a="1"/>
  <c r="E153" i="4" s="1"/>
  <c r="J400" i="2" a="1"/>
  <c r="J400" i="2" s="1"/>
  <c r="E94" i="7" a="1"/>
  <c r="E94" i="7" s="1"/>
  <c r="E84" i="6" a="1"/>
  <c r="E84" i="6" s="1"/>
  <c r="E168" i="4" a="1"/>
  <c r="E168" i="4" s="1"/>
  <c r="J521" i="2" a="1"/>
  <c r="J521" i="2" s="1"/>
  <c r="C614" i="12" a="1"/>
  <c r="C614" i="12" s="1"/>
  <c r="I207" i="2" s="1"/>
  <c r="E57" i="8" a="1"/>
  <c r="E57" i="8" s="1"/>
  <c r="J67" i="2" a="1"/>
  <c r="J67" i="2" s="1"/>
  <c r="I136" i="7" a="1"/>
  <c r="I136" i="7" s="1"/>
  <c r="I123" i="6" a="1"/>
  <c r="I123" i="6" s="1"/>
  <c r="I235" i="4" a="1"/>
  <c r="I235" i="4" s="1"/>
  <c r="I145" i="7" a="1"/>
  <c r="I145" i="7" s="1"/>
  <c r="I133" i="6" a="1"/>
  <c r="I133" i="6" s="1"/>
  <c r="I253" i="4" a="1"/>
  <c r="I253" i="4" s="1"/>
  <c r="E46" i="8" a="1"/>
  <c r="E46" i="8" s="1"/>
  <c r="J132" i="2" a="1"/>
  <c r="J132" i="2" s="1"/>
  <c r="I44" i="5" a="1"/>
  <c r="I44" i="5" s="1"/>
  <c r="I79" i="4" a="1"/>
  <c r="I79" i="4" s="1"/>
  <c r="I5" i="7" a="1"/>
  <c r="I5" i="7" s="1"/>
  <c r="I5" i="6" a="1"/>
  <c r="I5" i="6" s="1"/>
  <c r="I12" i="4" a="1"/>
  <c r="I12" i="4" s="1"/>
  <c r="E133" i="7" a="1"/>
  <c r="E133" i="7" s="1"/>
  <c r="E231" i="4" a="1"/>
  <c r="E231" i="4" s="1"/>
  <c r="J643" i="2" a="1"/>
  <c r="J643" i="2" s="1"/>
  <c r="C658" i="12" a="1"/>
  <c r="C658" i="12" s="1"/>
  <c r="I354" i="2" s="1"/>
  <c r="E32" i="8" a="1"/>
  <c r="E32" i="8" s="1"/>
  <c r="J125" i="2" a="1"/>
  <c r="J125" i="2" s="1"/>
  <c r="E84" i="8" a="1"/>
  <c r="E84" i="8" s="1"/>
  <c r="J104" i="2" a="1"/>
  <c r="J104" i="2" s="1"/>
  <c r="E111" i="8" a="1"/>
  <c r="E111" i="8" s="1"/>
  <c r="J128" i="2" a="1"/>
  <c r="J128" i="2" s="1"/>
  <c r="E19" i="8" a="1"/>
  <c r="E19" i="8" s="1"/>
  <c r="J45" i="2" a="1"/>
  <c r="J45" i="2" s="1"/>
  <c r="E129" i="7" a="1"/>
  <c r="E129" i="7" s="1"/>
  <c r="E113" i="5" a="1"/>
  <c r="E113" i="5" s="1"/>
  <c r="E225" i="4" a="1"/>
  <c r="E225" i="4" s="1"/>
  <c r="J406" i="2" a="1"/>
  <c r="J406" i="2" s="1"/>
  <c r="E39" i="7" a="1"/>
  <c r="E39" i="7" s="1"/>
  <c r="E70" i="4" a="1"/>
  <c r="E70" i="4" s="1"/>
  <c r="J192" i="2" a="1"/>
  <c r="J192" i="2" s="1"/>
  <c r="E123" i="7" a="1"/>
  <c r="E123" i="7" s="1"/>
  <c r="E107" i="5" a="1"/>
  <c r="E107" i="5" s="1"/>
  <c r="E215" i="4" a="1"/>
  <c r="E215" i="4" s="1"/>
  <c r="J516" i="2" a="1"/>
  <c r="J516" i="2" s="1"/>
  <c r="E173" i="7" a="1"/>
  <c r="E173" i="7" s="1"/>
  <c r="E321" i="4" a="1"/>
  <c r="E321" i="4" s="1"/>
  <c r="J628" i="2" a="1"/>
  <c r="J628" i="2" s="1"/>
  <c r="E200" i="8" a="1"/>
  <c r="E200" i="8" s="1"/>
  <c r="J362" i="2" a="1"/>
  <c r="J362" i="2" s="1"/>
  <c r="E17" i="6" a="1"/>
  <c r="E17" i="6" s="1"/>
  <c r="E30" i="4" a="1"/>
  <c r="E30" i="4" s="1"/>
  <c r="J81" i="2" a="1"/>
  <c r="J81" i="2" s="1"/>
  <c r="I21" i="5" a="1"/>
  <c r="I21" i="5" s="1"/>
  <c r="I40" i="4" a="1"/>
  <c r="I40" i="4" s="1"/>
  <c r="E51" i="8" a="1"/>
  <c r="E51" i="8" s="1"/>
  <c r="J96" i="2" a="1"/>
  <c r="J96" i="2" s="1"/>
  <c r="E53" i="8" a="1"/>
  <c r="E53" i="8" s="1"/>
  <c r="J195" i="2" a="1"/>
  <c r="J195" i="2" s="1"/>
  <c r="E79" i="5" a="1"/>
  <c r="E79" i="5" s="1"/>
  <c r="E158" i="4" a="1"/>
  <c r="E158" i="4" s="1"/>
  <c r="J439" i="2" a="1"/>
  <c r="J439" i="2" s="1"/>
  <c r="E140" i="8" a="1"/>
  <c r="E140" i="8" s="1"/>
  <c r="J198" i="2" a="1"/>
  <c r="J198" i="2" s="1"/>
  <c r="E44" i="6" a="1"/>
  <c r="E44" i="6" s="1"/>
  <c r="E93" i="4" a="1"/>
  <c r="E93" i="4" s="1"/>
  <c r="J252" i="2" a="1"/>
  <c r="J252" i="2" s="1"/>
  <c r="I104" i="5" a="1"/>
  <c r="I104" i="5" s="1"/>
  <c r="I206" i="4" a="1"/>
  <c r="I206" i="4" s="1"/>
  <c r="E183" i="7" a="1"/>
  <c r="E183" i="7" s="1"/>
  <c r="E176" i="6" a="1"/>
  <c r="E176" i="6" s="1"/>
  <c r="E336" i="4" a="1"/>
  <c r="E336" i="4" s="1"/>
  <c r="J665" i="2" a="1"/>
  <c r="J665" i="2" s="1"/>
  <c r="E27" i="8" a="1"/>
  <c r="E27" i="8" s="1"/>
  <c r="J50" i="2" a="1"/>
  <c r="J50" i="2" s="1"/>
  <c r="E173" i="6" a="1"/>
  <c r="E173" i="6" s="1"/>
  <c r="E333" i="4" a="1"/>
  <c r="E333" i="4" s="1"/>
  <c r="J474" i="2" a="1"/>
  <c r="J474" i="2" s="1"/>
  <c r="C672" i="12" a="1"/>
  <c r="C672" i="12" s="1"/>
  <c r="I377" i="2" s="1"/>
  <c r="E117" i="6" a="1"/>
  <c r="E117" i="6" s="1"/>
  <c r="E226" i="4" a="1"/>
  <c r="E226" i="4" s="1"/>
  <c r="J481" i="2" a="1"/>
  <c r="J481" i="2" s="1"/>
  <c r="E13" i="8" a="1"/>
  <c r="E13" i="8" s="1"/>
  <c r="J41" i="2" a="1"/>
  <c r="J41" i="2" s="1"/>
  <c r="I173" i="6" a="1"/>
  <c r="I173" i="6" s="1"/>
  <c r="I333" i="4" a="1"/>
  <c r="I333" i="4" s="1"/>
  <c r="C638" i="12" a="1"/>
  <c r="C638" i="12" s="1"/>
  <c r="I313" i="2" s="1"/>
  <c r="E164" i="6" a="1"/>
  <c r="E164" i="6" s="1"/>
  <c r="E309" i="4" a="1"/>
  <c r="E309" i="4" s="1"/>
  <c r="J569" i="2" a="1"/>
  <c r="J569" i="2" s="1"/>
  <c r="E151" i="8" a="1"/>
  <c r="E151" i="8" s="1"/>
  <c r="J298" i="2" a="1"/>
  <c r="J298" i="2" s="1"/>
  <c r="I200" i="6" a="1"/>
  <c r="I200" i="6" s="1"/>
  <c r="I200" i="5" a="1"/>
  <c r="I200" i="5" s="1"/>
  <c r="I383" i="4" a="1"/>
  <c r="I383" i="4" s="1"/>
  <c r="I45" i="7" a="1"/>
  <c r="I45" i="7" s="1"/>
  <c r="I80" i="4" a="1"/>
  <c r="I80" i="4" s="1"/>
  <c r="E121" i="8" a="1"/>
  <c r="E121" i="8" s="1"/>
  <c r="J250" i="2" a="1"/>
  <c r="J250" i="2" s="1"/>
  <c r="I142" i="5" a="1"/>
  <c r="I142" i="5" s="1"/>
  <c r="I271" i="4" a="1"/>
  <c r="I271" i="4" s="1"/>
  <c r="E175" i="6" a="1"/>
  <c r="E175" i="6" s="1"/>
  <c r="E335" i="4" a="1"/>
  <c r="E335" i="4" s="1"/>
  <c r="J633" i="2" a="1"/>
  <c r="J633" i="2" s="1"/>
  <c r="E187" i="7" a="1"/>
  <c r="E187" i="7" s="1"/>
  <c r="E179" i="6" a="1"/>
  <c r="E179" i="6" s="1"/>
  <c r="E341" i="4" a="1"/>
  <c r="E341" i="4" s="1"/>
  <c r="J522" i="2" a="1"/>
  <c r="J522" i="2" s="1"/>
  <c r="E14" i="5" a="1"/>
  <c r="E14" i="5" s="1"/>
  <c r="E24" i="4" a="1"/>
  <c r="E24" i="4" s="1"/>
  <c r="J155" i="2" a="1"/>
  <c r="J155" i="2" s="1"/>
  <c r="I114" i="6" a="1"/>
  <c r="I114" i="6" s="1"/>
  <c r="I109" i="5" a="1"/>
  <c r="I109" i="5" s="1"/>
  <c r="I219" i="4" a="1"/>
  <c r="I219" i="4" s="1"/>
  <c r="C622" i="12" a="1"/>
  <c r="C622" i="12" s="1"/>
  <c r="I567" i="2" s="1"/>
  <c r="E210" i="5" a="1"/>
  <c r="E210" i="5" s="1"/>
  <c r="E407" i="4" a="1"/>
  <c r="E407" i="4" s="1"/>
  <c r="J651" i="2" a="1"/>
  <c r="J651" i="2" s="1"/>
  <c r="I54" i="7" a="1"/>
  <c r="I54" i="7" s="1"/>
  <c r="I43" i="6" a="1"/>
  <c r="I43" i="6" s="1"/>
  <c r="I92" i="4" a="1"/>
  <c r="I92" i="4" s="1"/>
  <c r="E159" i="6" a="1"/>
  <c r="E159" i="6" s="1"/>
  <c r="E298" i="4" a="1"/>
  <c r="E298" i="4" s="1"/>
  <c r="J592" i="2" a="1"/>
  <c r="J592" i="2" s="1"/>
  <c r="E120" i="8" a="1"/>
  <c r="E120" i="8" s="1"/>
  <c r="J274" i="2" a="1"/>
  <c r="J274" i="2" s="1"/>
  <c r="E171" i="6" a="1"/>
  <c r="E171" i="6" s="1"/>
  <c r="E329" i="4" a="1"/>
  <c r="E329" i="4" s="1"/>
  <c r="J457" i="2" a="1"/>
  <c r="J457" i="2" s="1"/>
  <c r="E162" i="6" a="1"/>
  <c r="E162" i="6" s="1"/>
  <c r="E305" i="4" a="1"/>
  <c r="E305" i="4" s="1"/>
  <c r="J602" i="2" a="1"/>
  <c r="J602" i="2" s="1"/>
  <c r="I181" i="6" a="1"/>
  <c r="I181" i="6" s="1"/>
  <c r="I343" i="4" a="1"/>
  <c r="I343" i="4" s="1"/>
  <c r="E72" i="8" a="1"/>
  <c r="E72" i="8" s="1"/>
  <c r="J173" i="2" a="1"/>
  <c r="J173" i="2" s="1"/>
  <c r="E175" i="5" a="1"/>
  <c r="E175" i="5" s="1"/>
  <c r="E330" i="4" a="1"/>
  <c r="E330" i="4" s="1"/>
  <c r="J591" i="2" a="1"/>
  <c r="J591" i="2" s="1"/>
  <c r="C660" i="12" a="1"/>
  <c r="C660" i="12" s="1"/>
  <c r="I255" i="2" s="1"/>
  <c r="I17" i="6" a="1"/>
  <c r="I17" i="6" s="1"/>
  <c r="I30" i="4" a="1"/>
  <c r="I30" i="4" s="1"/>
  <c r="I91" i="7" a="1"/>
  <c r="I91" i="7" s="1"/>
  <c r="I82" i="6" a="1"/>
  <c r="I82" i="6" s="1"/>
  <c r="I163" i="4" a="1"/>
  <c r="I163" i="4" s="1"/>
  <c r="I79" i="5" a="1"/>
  <c r="I79" i="5" s="1"/>
  <c r="I158" i="4" a="1"/>
  <c r="I158" i="4" s="1"/>
  <c r="C643" i="12" a="1"/>
  <c r="C643" i="12" s="1"/>
  <c r="I64" i="2" s="1"/>
  <c r="I44" i="6" a="1"/>
  <c r="I44" i="6" s="1"/>
  <c r="I93" i="4" a="1"/>
  <c r="I93" i="4" s="1"/>
  <c r="E43" i="7" a="1"/>
  <c r="E43" i="7" s="1"/>
  <c r="E40" i="5" a="1"/>
  <c r="E40" i="5" s="1"/>
  <c r="E34" i="6" a="1"/>
  <c r="E34" i="6" s="1"/>
  <c r="E74" i="4" a="1"/>
  <c r="E74" i="4" s="1"/>
  <c r="J231" i="2" a="1"/>
  <c r="J231" i="2" s="1"/>
  <c r="E164" i="5" a="1"/>
  <c r="E164" i="5" s="1"/>
  <c r="E304" i="4" a="1"/>
  <c r="E304" i="4" s="1"/>
  <c r="J478" i="2" a="1"/>
  <c r="J478" i="2" s="1"/>
  <c r="E158" i="7" a="1"/>
  <c r="E158" i="7" s="1"/>
  <c r="E160" i="5" a="1"/>
  <c r="E160" i="5" s="1"/>
  <c r="E293" i="4" a="1"/>
  <c r="E293" i="4" s="1"/>
  <c r="J670" i="2" a="1"/>
  <c r="J670" i="2" s="1"/>
  <c r="E143" i="8" a="1"/>
  <c r="E143" i="8" s="1"/>
  <c r="J174" i="2" a="1"/>
  <c r="J174" i="2" s="1"/>
  <c r="I69" i="6" a="1"/>
  <c r="I69" i="6" s="1"/>
  <c r="I81" i="7" a="1"/>
  <c r="I81" i="7" s="1"/>
  <c r="I139" i="4" a="1"/>
  <c r="I139" i="4" s="1"/>
  <c r="I95" i="5" a="1"/>
  <c r="I95" i="5" s="1"/>
  <c r="I97" i="6" a="1"/>
  <c r="I97" i="6" s="1"/>
  <c r="I189" i="4" a="1"/>
  <c r="I189" i="4" s="1"/>
  <c r="E47" i="6" a="1"/>
  <c r="E47" i="6" s="1"/>
  <c r="E100" i="4" a="1"/>
  <c r="E100" i="4" s="1"/>
  <c r="J343" i="2" a="1"/>
  <c r="J343" i="2" s="1"/>
  <c r="E122" i="8" a="1"/>
  <c r="E122" i="8" s="1"/>
  <c r="J336" i="2" a="1"/>
  <c r="J336" i="2" s="1"/>
  <c r="I157" i="6" a="1"/>
  <c r="I157" i="6" s="1"/>
  <c r="I296" i="4" a="1"/>
  <c r="I296" i="4" s="1"/>
  <c r="C616" i="12" a="1"/>
  <c r="C616" i="12" s="1"/>
  <c r="I121" i="2" s="1"/>
  <c r="E89" i="6" a="1"/>
  <c r="E89" i="6" s="1"/>
  <c r="E176" i="4" a="1"/>
  <c r="E176" i="4" s="1"/>
  <c r="J405" i="2" a="1"/>
  <c r="J405" i="2" s="1"/>
  <c r="E152" i="5" a="1"/>
  <c r="E152" i="5" s="1"/>
  <c r="E283" i="4" a="1"/>
  <c r="E283" i="4" s="1"/>
  <c r="J497" i="2" a="1"/>
  <c r="J497" i="2" s="1"/>
  <c r="E25" i="7" a="1"/>
  <c r="E25" i="7" s="1"/>
  <c r="E22" i="6" a="1"/>
  <c r="E22" i="6" s="1"/>
  <c r="E44" i="4" a="1"/>
  <c r="E44" i="4" s="1"/>
  <c r="J122" i="2" a="1"/>
  <c r="J122" i="2" s="1"/>
  <c r="C612" i="12" a="1"/>
  <c r="C612" i="12" s="1"/>
  <c r="I365" i="2" s="1"/>
  <c r="I118" i="7" a="1"/>
  <c r="I118" i="7" s="1"/>
  <c r="I107" i="6" a="1"/>
  <c r="I107" i="6" s="1"/>
  <c r="I207" i="4" a="1"/>
  <c r="I207" i="4" s="1"/>
  <c r="I17" i="8" a="1"/>
  <c r="I17" i="8" s="1"/>
  <c r="H105" i="8" s="1" a="1"/>
  <c r="H105" i="8" s="1"/>
  <c r="I35" i="5" a="1"/>
  <c r="I35" i="5" s="1"/>
  <c r="I63" i="4" a="1"/>
  <c r="I63" i="4" s="1"/>
  <c r="I55" i="7" a="1"/>
  <c r="I55" i="7" s="1"/>
  <c r="I46" i="6" a="1"/>
  <c r="I46" i="6" s="1"/>
  <c r="I95" i="4" a="1"/>
  <c r="I95" i="4" s="1"/>
  <c r="E196" i="8" a="1"/>
  <c r="E196" i="8" s="1"/>
  <c r="J242" i="2" a="1"/>
  <c r="J242" i="2" s="1"/>
  <c r="I154" i="5" a="1"/>
  <c r="I154" i="5" s="1"/>
  <c r="I285" i="4" a="1"/>
  <c r="I285" i="4" s="1"/>
  <c r="I175" i="6" a="1"/>
  <c r="I175" i="6" s="1"/>
  <c r="I335" i="4" a="1"/>
  <c r="I335" i="4" s="1"/>
  <c r="C634" i="12" a="1"/>
  <c r="C634" i="12" s="1"/>
  <c r="I167" i="2" s="1"/>
  <c r="C671" i="12" a="1"/>
  <c r="C671" i="12" s="1"/>
  <c r="I17" i="2" s="1"/>
  <c r="E148" i="8" a="1"/>
  <c r="E148" i="8" s="1"/>
  <c r="J179" i="2" a="1"/>
  <c r="J179" i="2" s="1"/>
  <c r="I155" i="7" a="1"/>
  <c r="I155" i="7" s="1"/>
  <c r="I155" i="5" a="1"/>
  <c r="I155" i="5" s="1"/>
  <c r="I287" i="4" a="1"/>
  <c r="I287" i="4" s="1"/>
  <c r="E55" i="8" a="1"/>
  <c r="E55" i="8" s="1"/>
  <c r="J59" i="2" a="1"/>
  <c r="J59" i="2" s="1"/>
  <c r="I183" i="5" a="1"/>
  <c r="I183" i="5" s="1"/>
  <c r="I353" i="4" a="1"/>
  <c r="I353" i="4" s="1"/>
  <c r="E69" i="7" a="1"/>
  <c r="E69" i="7" s="1"/>
  <c r="E58" i="6" a="1"/>
  <c r="E58" i="6" s="1"/>
  <c r="E118" i="4" a="1"/>
  <c r="E118" i="4" s="1"/>
  <c r="J461" i="2" a="1"/>
  <c r="J461" i="2" s="1"/>
  <c r="I30" i="7" a="1"/>
  <c r="I30" i="7" s="1"/>
  <c r="I26" i="6" a="1"/>
  <c r="I26" i="6" s="1"/>
  <c r="I55" i="4" a="1"/>
  <c r="I55" i="4" s="1"/>
  <c r="E56" i="8" a="1"/>
  <c r="E56" i="8" s="1"/>
  <c r="J168" i="2" a="1"/>
  <c r="J168" i="2" s="1"/>
  <c r="I135" i="5" a="1"/>
  <c r="I135" i="5" s="1"/>
  <c r="I262" i="4" a="1"/>
  <c r="I262" i="4" s="1"/>
  <c r="I203" i="7" a="1"/>
  <c r="I203" i="7" s="1"/>
  <c r="I206" i="6" a="1"/>
  <c r="I206" i="6" s="1"/>
  <c r="I393" i="4" a="1"/>
  <c r="I393" i="4" s="1"/>
  <c r="E176" i="5" a="1"/>
  <c r="E176" i="5" s="1"/>
  <c r="E180" i="7" a="1"/>
  <c r="E180" i="7" s="1"/>
  <c r="E331" i="4" a="1"/>
  <c r="E331" i="4" s="1"/>
  <c r="J635" i="2" a="1"/>
  <c r="J635" i="2" s="1"/>
  <c r="E165" i="7" a="1"/>
  <c r="E165" i="7" s="1"/>
  <c r="E308" i="4" a="1"/>
  <c r="E308" i="4" s="1"/>
  <c r="J575" i="2" a="1"/>
  <c r="J575" i="2" s="1"/>
  <c r="E140" i="6" a="1"/>
  <c r="E140" i="6" s="1"/>
  <c r="E149" i="7" a="1"/>
  <c r="E149" i="7" s="1"/>
  <c r="E265" i="4" a="1"/>
  <c r="E265" i="4" s="1"/>
  <c r="J541" i="2" a="1"/>
  <c r="J541" i="2" s="1"/>
  <c r="E108" i="7" a="1"/>
  <c r="E108" i="7" s="1"/>
  <c r="E96" i="6" a="1"/>
  <c r="E96" i="6" s="1"/>
  <c r="E188" i="4" a="1"/>
  <c r="E188" i="4" s="1"/>
  <c r="J347" i="2" a="1"/>
  <c r="J347" i="2" s="1"/>
  <c r="E16" i="7" a="1"/>
  <c r="E16" i="7" s="1"/>
  <c r="E15" i="6" a="1"/>
  <c r="E15" i="6" s="1"/>
  <c r="E28" i="4" a="1"/>
  <c r="E28" i="4" s="1"/>
  <c r="J58" i="2" a="1"/>
  <c r="J58" i="2" s="1"/>
  <c r="E147" i="7" a="1"/>
  <c r="E147" i="7" s="1"/>
  <c r="E132" i="5" a="1"/>
  <c r="E132" i="5" s="1"/>
  <c r="E258" i="4" a="1"/>
  <c r="E258" i="4" s="1"/>
  <c r="J534" i="2" a="1"/>
  <c r="J534" i="2" s="1"/>
  <c r="E102" i="5" a="1"/>
  <c r="E102" i="5" s="1"/>
  <c r="E204" i="4" a="1"/>
  <c r="E204" i="4" s="1"/>
  <c r="J578" i="2" a="1"/>
  <c r="J578" i="2" s="1"/>
  <c r="E35" i="8" a="1"/>
  <c r="E35" i="8" s="1"/>
  <c r="J68" i="2" a="1"/>
  <c r="J68" i="2" s="1"/>
  <c r="I77" i="5" a="1"/>
  <c r="I77" i="5" s="1"/>
  <c r="I156" i="4" a="1"/>
  <c r="I156" i="4" s="1"/>
  <c r="I101" i="7" a="1"/>
  <c r="I101" i="7" s="1"/>
  <c r="I90" i="6" a="1"/>
  <c r="I90" i="6" s="1"/>
  <c r="I178" i="4" a="1"/>
  <c r="I178" i="4" s="1"/>
  <c r="E23" i="6" a="1"/>
  <c r="E23" i="6" s="1"/>
  <c r="E50" i="4" a="1"/>
  <c r="E50" i="4" s="1"/>
  <c r="J106" i="2" a="1"/>
  <c r="J106" i="2" s="1"/>
  <c r="I175" i="5" a="1"/>
  <c r="I175" i="5" s="1"/>
  <c r="I330" i="4" a="1"/>
  <c r="I330" i="4" s="1"/>
  <c r="E164" i="8" a="1"/>
  <c r="E164" i="8" s="1"/>
  <c r="J392" i="2" a="1"/>
  <c r="J392" i="2" s="1"/>
  <c r="I81" i="5" a="1"/>
  <c r="I81" i="5" s="1"/>
  <c r="I160" i="4" a="1"/>
  <c r="I160" i="4" s="1"/>
  <c r="E58" i="8" a="1"/>
  <c r="E58" i="8" s="1"/>
  <c r="J176" i="2" a="1"/>
  <c r="J176" i="2" s="1"/>
  <c r="E57" i="7" a="1"/>
  <c r="E57" i="7" s="1"/>
  <c r="E54" i="5" a="1"/>
  <c r="E54" i="5" s="1"/>
  <c r="E101" i="4" a="1"/>
  <c r="E101" i="4" s="1"/>
  <c r="J281" i="2" a="1"/>
  <c r="J281" i="2" s="1"/>
  <c r="E178" i="8" a="1"/>
  <c r="E178" i="8" s="1"/>
  <c r="J385" i="2" a="1"/>
  <c r="J385" i="2" s="1"/>
  <c r="E189" i="5" a="1"/>
  <c r="E189" i="5" s="1"/>
  <c r="E363" i="4" a="1"/>
  <c r="E363" i="4" s="1"/>
  <c r="J574" i="2" a="1"/>
  <c r="J574" i="2" s="1"/>
  <c r="C654" i="12" a="1"/>
  <c r="C654" i="12" s="1"/>
  <c r="I378" i="2" s="1"/>
  <c r="I105" i="7" a="1"/>
  <c r="I105" i="7" s="1"/>
  <c r="I93" i="6" a="1"/>
  <c r="I93" i="6" s="1"/>
  <c r="I92" i="5" a="1"/>
  <c r="I92" i="5" s="1"/>
  <c r="I184" i="4" a="1"/>
  <c r="I184" i="4" s="1"/>
  <c r="C627" i="12" a="1"/>
  <c r="C627" i="12" s="1"/>
  <c r="I55" i="2" s="1"/>
  <c r="E7" i="8" a="1"/>
  <c r="E7" i="8" s="1"/>
  <c r="J8" i="2" a="1"/>
  <c r="J8" i="2" s="1"/>
  <c r="E24" i="8" a="1"/>
  <c r="E24" i="8" s="1"/>
  <c r="J57" i="2" a="1"/>
  <c r="J57" i="2" s="1"/>
  <c r="I43" i="7" a="1"/>
  <c r="I43" i="7" s="1"/>
  <c r="I34" i="6" a="1"/>
  <c r="I34" i="6" s="1"/>
  <c r="I40" i="5" a="1"/>
  <c r="I40" i="5" s="1"/>
  <c r="I74" i="4" a="1"/>
  <c r="I74" i="4" s="1"/>
  <c r="E191" i="5" a="1"/>
  <c r="E191" i="5" s="1"/>
  <c r="E369" i="4" a="1"/>
  <c r="E369" i="4" s="1"/>
  <c r="J583" i="2" a="1"/>
  <c r="J583" i="2" s="1"/>
  <c r="E110" i="6" a="1"/>
  <c r="E110" i="6" s="1"/>
  <c r="E121" i="7" a="1"/>
  <c r="E121" i="7" s="1"/>
  <c r="E212" i="4" a="1"/>
  <c r="E212" i="4" s="1"/>
  <c r="J538" i="2" a="1"/>
  <c r="J538" i="2" s="1"/>
  <c r="E20" i="8" a="1"/>
  <c r="E20" i="8" s="1"/>
  <c r="J34" i="2" a="1"/>
  <c r="J34" i="2" s="1"/>
  <c r="I47" i="6" a="1"/>
  <c r="I47" i="6" s="1"/>
  <c r="I100" i="4" a="1"/>
  <c r="I100" i="4" s="1"/>
  <c r="I10" i="5" a="1"/>
  <c r="I10" i="5" s="1"/>
  <c r="I16" i="4" a="1"/>
  <c r="I16" i="4" s="1"/>
  <c r="C656" i="12" a="1"/>
  <c r="C656" i="12" s="1"/>
  <c r="I403" i="2" s="1"/>
  <c r="E186" i="6" a="1"/>
  <c r="E186" i="6" s="1"/>
  <c r="E181" i="5" a="1"/>
  <c r="E181" i="5" s="1"/>
  <c r="E350" i="4" a="1"/>
  <c r="E350" i="4" s="1"/>
  <c r="J426" i="2" a="1"/>
  <c r="J426" i="2" s="1"/>
  <c r="E165" i="8" a="1"/>
  <c r="E165" i="8" s="1"/>
  <c r="J258" i="2" a="1"/>
  <c r="J258" i="2" s="1"/>
  <c r="I190" i="7" a="1"/>
  <c r="I190" i="7" s="1"/>
  <c r="I356" i="4" a="1"/>
  <c r="I356" i="4" s="1"/>
  <c r="E120" i="7" a="1"/>
  <c r="E120" i="7" s="1"/>
  <c r="E211" i="4" a="1"/>
  <c r="E211" i="4" s="1"/>
  <c r="J479" i="2" a="1"/>
  <c r="J479" i="2" s="1"/>
  <c r="E61" i="8" a="1"/>
  <c r="E61" i="8" s="1"/>
  <c r="J209" i="2" a="1"/>
  <c r="J209" i="2" s="1"/>
  <c r="I152" i="5" a="1"/>
  <c r="I152" i="5" s="1"/>
  <c r="I283" i="4" a="1"/>
  <c r="I283" i="4" s="1"/>
  <c r="E188" i="7" a="1"/>
  <c r="E188" i="7" s="1"/>
  <c r="E346" i="4" a="1"/>
  <c r="E346" i="4" s="1"/>
  <c r="J630" i="2" a="1"/>
  <c r="J630" i="2" s="1"/>
  <c r="E67" i="7" a="1"/>
  <c r="E67" i="7" s="1"/>
  <c r="E115" i="4" a="1"/>
  <c r="E115" i="4" s="1"/>
  <c r="J446" i="2" a="1"/>
  <c r="J446" i="2" s="1"/>
  <c r="E161" i="6" a="1"/>
  <c r="E161" i="6" s="1"/>
  <c r="E163" i="5" a="1"/>
  <c r="E163" i="5" s="1"/>
  <c r="E303" i="4" a="1"/>
  <c r="E303" i="4" s="1"/>
  <c r="J625" i="2" a="1"/>
  <c r="J625" i="2" s="1"/>
  <c r="E104" i="6" a="1"/>
  <c r="E104" i="6" s="1"/>
  <c r="E117" i="7" a="1"/>
  <c r="E117" i="7" s="1"/>
  <c r="E100" i="5" a="1"/>
  <c r="E100" i="5" s="1"/>
  <c r="E202" i="4" a="1"/>
  <c r="E202" i="4" s="1"/>
  <c r="J477" i="2" a="1"/>
  <c r="J477" i="2" s="1"/>
  <c r="E139" i="8" a="1"/>
  <c r="E139" i="8" s="1"/>
  <c r="J236" i="2" a="1"/>
  <c r="J236" i="2" s="1"/>
  <c r="E164" i="7" a="1"/>
  <c r="E164" i="7" s="1"/>
  <c r="E165" i="5" a="1"/>
  <c r="E165" i="5" s="1"/>
  <c r="E307" i="4" a="1"/>
  <c r="E307" i="4" s="1"/>
  <c r="J511" i="2" a="1"/>
  <c r="J511" i="2" s="1"/>
  <c r="I131" i="5" a="1"/>
  <c r="I131" i="5" s="1"/>
  <c r="I136" i="6" a="1"/>
  <c r="I136" i="6" s="1"/>
  <c r="I256" i="4" a="1"/>
  <c r="I256" i="4" s="1"/>
  <c r="E93" i="7" a="1"/>
  <c r="E93" i="7" s="1"/>
  <c r="E85" i="5" a="1"/>
  <c r="E85" i="5" s="1"/>
  <c r="E167" i="4" a="1"/>
  <c r="E167" i="4" s="1"/>
  <c r="J560" i="2" a="1"/>
  <c r="J560" i="2" s="1"/>
  <c r="I99" i="7" a="1"/>
  <c r="I99" i="7" s="1"/>
  <c r="I88" i="6" a="1"/>
  <c r="I88" i="6" s="1"/>
  <c r="I175" i="4" a="1"/>
  <c r="I175" i="4" s="1"/>
  <c r="C633" i="12" a="1"/>
  <c r="C633" i="12" s="1"/>
  <c r="I86" i="2" s="1"/>
  <c r="J544" i="2" l="1" a="1"/>
  <c r="J544" i="2" s="1"/>
  <c r="J351" i="2" a="1"/>
  <c r="J351" i="2" s="1"/>
  <c r="J187" i="2" a="1"/>
  <c r="J187" i="2" s="1"/>
  <c r="J661" i="2" a="1"/>
  <c r="J661" i="2" s="1"/>
  <c r="I66" i="9" a="1"/>
  <c r="I66" i="9" s="1"/>
  <c r="I11" i="9" a="1"/>
  <c r="I11" i="9" s="1"/>
  <c r="E184" i="6" a="1"/>
  <c r="E184" i="6" s="1"/>
  <c r="J655" i="2" a="1"/>
  <c r="J655" i="2" s="1"/>
  <c r="E189" i="7" a="1"/>
  <c r="E189" i="7" s="1"/>
  <c r="E272" i="4" a="1"/>
  <c r="E272" i="4" s="1"/>
  <c r="E77" i="4" a="1"/>
  <c r="E77" i="4" s="1"/>
  <c r="E151" i="7" a="1"/>
  <c r="E151" i="7" s="1"/>
  <c r="E13" i="6" a="1"/>
  <c r="E13" i="6" s="1"/>
  <c r="E26" i="4" a="1"/>
  <c r="E26" i="4" s="1"/>
  <c r="E30" i="6" a="1"/>
  <c r="E30" i="6" s="1"/>
  <c r="E120" i="6" a="1"/>
  <c r="E120" i="6" s="1"/>
  <c r="E230" i="4" a="1"/>
  <c r="E230" i="4" s="1"/>
  <c r="E29" i="6" a="1"/>
  <c r="E29" i="6" s="1"/>
  <c r="J488" i="2" a="1"/>
  <c r="J488" i="2" s="1"/>
  <c r="E126" i="4" a="1"/>
  <c r="E126" i="4" s="1"/>
  <c r="J647" i="2" a="1"/>
  <c r="J647" i="2" s="1"/>
  <c r="E74" i="7" a="1"/>
  <c r="E74" i="7" s="1"/>
  <c r="J527" i="2" a="1"/>
  <c r="J527" i="2" s="1"/>
  <c r="E119" i="5" a="1"/>
  <c r="E119" i="5" s="1"/>
  <c r="E106" i="4" a="1"/>
  <c r="E106" i="4" s="1"/>
  <c r="J212" i="2" a="1"/>
  <c r="J212" i="2" s="1"/>
  <c r="E245" i="4" a="1"/>
  <c r="E245" i="4" s="1"/>
  <c r="E241" i="4" a="1"/>
  <c r="E241" i="4" s="1"/>
  <c r="E46" i="4" a="1"/>
  <c r="E46" i="4" s="1"/>
  <c r="J398" i="2" a="1"/>
  <c r="J398" i="2" s="1"/>
  <c r="E15" i="7" a="1"/>
  <c r="E15" i="7" s="1"/>
  <c r="E192" i="5" a="1"/>
  <c r="E192" i="5" s="1"/>
  <c r="E120" i="5" a="1"/>
  <c r="E120" i="5" s="1"/>
  <c r="J494" i="2" a="1"/>
  <c r="J494" i="2" s="1"/>
  <c r="E34" i="7" a="1"/>
  <c r="E34" i="7" s="1"/>
  <c r="E347" i="4" a="1"/>
  <c r="E347" i="4" s="1"/>
  <c r="J472" i="2" a="1"/>
  <c r="J472" i="2" s="1"/>
  <c r="E50" i="5" a="1"/>
  <c r="E50" i="5" s="1"/>
  <c r="E133" i="5" a="1"/>
  <c r="E133" i="5" s="1"/>
  <c r="E64" i="4" a="1"/>
  <c r="E64" i="4" s="1"/>
  <c r="J154" i="2" a="1"/>
  <c r="J154" i="2" s="1"/>
  <c r="I8" i="9" a="1"/>
  <c r="I8" i="9" s="1"/>
  <c r="E260" i="4" a="1"/>
  <c r="E260" i="4" s="1"/>
  <c r="E194" i="4" a="1"/>
  <c r="E194" i="4" s="1"/>
  <c r="E126" i="7" a="1"/>
  <c r="E126" i="7" s="1"/>
  <c r="E179" i="4" a="1"/>
  <c r="E179" i="4" s="1"/>
  <c r="E99" i="7" a="1"/>
  <c r="E99" i="7" s="1"/>
  <c r="E81" i="7" a="1"/>
  <c r="E81" i="7" s="1"/>
  <c r="J644" i="2" a="1"/>
  <c r="J644" i="2" s="1"/>
  <c r="E371" i="4" a="1"/>
  <c r="E371" i="4" s="1"/>
  <c r="E324" i="4" a="1"/>
  <c r="E324" i="4" s="1"/>
  <c r="E137" i="7" a="1"/>
  <c r="E137" i="7" s="1"/>
  <c r="E116" i="5" a="1"/>
  <c r="E116" i="5" s="1"/>
  <c r="E228" i="4" a="1"/>
  <c r="E228" i="4" s="1"/>
  <c r="J390" i="2" a="1"/>
  <c r="J390" i="2" s="1"/>
  <c r="E66" i="4" a="1"/>
  <c r="E66" i="4" s="1"/>
  <c r="J307" i="2" a="1"/>
  <c r="J307" i="2" s="1"/>
  <c r="E232" i="4" a="1"/>
  <c r="E232" i="4" s="1"/>
  <c r="E83" i="7" a="1"/>
  <c r="E83" i="7" s="1"/>
  <c r="E198" i="7" a="1"/>
  <c r="E198" i="7" s="1"/>
  <c r="J411" i="2" a="1"/>
  <c r="J411" i="2" s="1"/>
  <c r="E115" i="6" a="1"/>
  <c r="E115" i="6" s="1"/>
  <c r="E35" i="7" a="1"/>
  <c r="E35" i="7" s="1"/>
  <c r="E220" i="4" a="1"/>
  <c r="E220" i="4" s="1"/>
  <c r="J432" i="2" a="1"/>
  <c r="J432" i="2" s="1"/>
  <c r="E236" i="4" a="1"/>
  <c r="E236" i="4" s="1"/>
  <c r="J490" i="2" a="1"/>
  <c r="J490" i="2" s="1"/>
  <c r="E131" i="7" a="1"/>
  <c r="E131" i="7" s="1"/>
  <c r="E25" i="5" a="1"/>
  <c r="E25" i="5" s="1"/>
  <c r="E361" i="4" a="1"/>
  <c r="E361" i="4" s="1"/>
  <c r="E366" i="4" a="1"/>
  <c r="E366" i="4" s="1"/>
  <c r="J188" i="2" a="1"/>
  <c r="J188" i="2" s="1"/>
  <c r="E27" i="5" a="1"/>
  <c r="E27" i="5" s="1"/>
  <c r="J556" i="2" a="1"/>
  <c r="J556" i="2" s="1"/>
  <c r="E42" i="6" a="1"/>
  <c r="E42" i="6" s="1"/>
  <c r="E61" i="7" a="1"/>
  <c r="E61" i="7" s="1"/>
  <c r="E36" i="4" a="1"/>
  <c r="E36" i="4" s="1"/>
  <c r="E49" i="4" a="1"/>
  <c r="E49" i="4" s="1"/>
  <c r="I3" i="9" a="1"/>
  <c r="I3" i="9" s="1"/>
  <c r="I15" i="2"/>
  <c r="J459" i="2" a="1"/>
  <c r="J459" i="2" s="1"/>
  <c r="E54" i="7" a="1"/>
  <c r="E54" i="7" s="1"/>
  <c r="E102" i="7" a="1"/>
  <c r="E102" i="7" s="1"/>
  <c r="E180" i="5" a="1"/>
  <c r="E180" i="5" s="1"/>
  <c r="J554" i="2" a="1"/>
  <c r="J554" i="2" s="1"/>
  <c r="J460" i="2" a="1"/>
  <c r="J460" i="2" s="1"/>
  <c r="E47" i="4" a="1"/>
  <c r="E47" i="4" s="1"/>
  <c r="E56" i="4" a="1"/>
  <c r="E56" i="4" s="1"/>
  <c r="E198" i="6" a="1"/>
  <c r="E198" i="6" s="1"/>
  <c r="J590" i="2" a="1"/>
  <c r="J590" i="2" s="1"/>
  <c r="E196" i="6" a="1"/>
  <c r="E196" i="6" s="1"/>
  <c r="I56" i="9" a="1"/>
  <c r="I56" i="9" s="1"/>
  <c r="I434" i="2"/>
  <c r="E19" i="7" a="1"/>
  <c r="E19" i="7" s="1"/>
  <c r="E19" i="6" a="1"/>
  <c r="E19" i="6" s="1"/>
  <c r="E156" i="7" a="1"/>
  <c r="E156" i="7" s="1"/>
  <c r="E156" i="5" a="1"/>
  <c r="E156" i="5" s="1"/>
  <c r="J536" i="2" a="1"/>
  <c r="J536" i="2" s="1"/>
  <c r="E162" i="5" a="1"/>
  <c r="E162" i="5" s="1"/>
  <c r="E43" i="6" a="1"/>
  <c r="E43" i="6" s="1"/>
  <c r="E302" i="4" a="1"/>
  <c r="E302" i="4" s="1"/>
  <c r="J66" i="2" a="1"/>
  <c r="J66" i="2" s="1"/>
  <c r="E100" i="6" a="1"/>
  <c r="E100" i="6" s="1"/>
  <c r="E379" i="4" a="1"/>
  <c r="E379" i="4" s="1"/>
  <c r="J586" i="2" a="1"/>
  <c r="J586" i="2" s="1"/>
  <c r="E199" i="7" a="1"/>
  <c r="E199" i="7" s="1"/>
  <c r="E389" i="4" a="1"/>
  <c r="E389" i="4" s="1"/>
  <c r="E69" i="6" a="1"/>
  <c r="E69" i="6" s="1"/>
  <c r="E139" i="4" a="1"/>
  <c r="E139" i="4" s="1"/>
  <c r="E173" i="5" a="1"/>
  <c r="E173" i="5" s="1"/>
  <c r="E31" i="5" a="1"/>
  <c r="E31" i="5" s="1"/>
  <c r="E57" i="4" a="1"/>
  <c r="E57" i="4" s="1"/>
  <c r="E197" i="5" a="1"/>
  <c r="E197" i="5" s="1"/>
  <c r="E169" i="7" a="1"/>
  <c r="E169" i="7" s="1"/>
  <c r="E316" i="4" a="1"/>
  <c r="E316" i="4" s="1"/>
  <c r="J413" i="2" a="1"/>
  <c r="J413" i="2" s="1"/>
  <c r="E375" i="4" a="1"/>
  <c r="E375" i="4" s="1"/>
  <c r="E88" i="6" a="1"/>
  <c r="E88" i="6" s="1"/>
  <c r="J623" i="2" a="1"/>
  <c r="J623" i="2" s="1"/>
  <c r="I16" i="9" a="1"/>
  <c r="I16" i="9" s="1"/>
  <c r="I177" i="2"/>
  <c r="J177" i="2" s="1" a="1"/>
  <c r="J177" i="2" s="1"/>
  <c r="H10" i="8" a="1"/>
  <c r="H10" i="8" s="1"/>
  <c r="H63" i="8" a="1"/>
  <c r="H63" i="8" s="1"/>
  <c r="H129" i="8" a="1"/>
  <c r="H129" i="8" s="1"/>
  <c r="I53" i="9" a="1"/>
  <c r="I53" i="9" s="1"/>
  <c r="I59" i="9" a="1"/>
  <c r="I59" i="9" s="1"/>
  <c r="I19" i="9" a="1"/>
  <c r="I19" i="9" s="1"/>
  <c r="I35" i="9" a="1"/>
  <c r="I35" i="9" s="1"/>
  <c r="E66" i="8" a="1"/>
  <c r="E66" i="8" s="1"/>
  <c r="J222" i="2" a="1"/>
  <c r="J222" i="2" s="1"/>
  <c r="E104" i="8" a="1"/>
  <c r="E104" i="8" s="1"/>
  <c r="J270" i="2" a="1"/>
  <c r="J270" i="2" s="1"/>
  <c r="E105" i="8" a="1"/>
  <c r="E105" i="8" s="1"/>
  <c r="J206" i="2" a="1"/>
  <c r="J206" i="2" s="1"/>
  <c r="E59" i="8" a="1"/>
  <c r="E59" i="8" s="1"/>
  <c r="J118" i="2" a="1"/>
  <c r="J118" i="2" s="1"/>
  <c r="J397" i="2" a="1"/>
  <c r="J397" i="2" s="1"/>
  <c r="E204" i="8" a="1"/>
  <c r="E204" i="8" s="1"/>
  <c r="E70" i="8" a="1"/>
  <c r="E70" i="8" s="1"/>
  <c r="J300" i="2" a="1"/>
  <c r="J300" i="2" s="1"/>
  <c r="E191" i="8" a="1"/>
  <c r="E191" i="8" s="1"/>
  <c r="J316" i="2" a="1"/>
  <c r="J316" i="2" s="1"/>
  <c r="E170" i="8" a="1"/>
  <c r="E170" i="8" s="1"/>
  <c r="J248" i="2" a="1"/>
  <c r="J248" i="2" s="1"/>
  <c r="E5" i="8" a="1"/>
  <c r="E5" i="8" s="1"/>
  <c r="J6" i="2" a="1"/>
  <c r="J6" i="2" s="1"/>
  <c r="E183" i="8" a="1"/>
  <c r="E183" i="8" s="1"/>
  <c r="J194" i="2" a="1"/>
  <c r="J194" i="2" s="1"/>
  <c r="E144" i="8" a="1"/>
  <c r="E144" i="8" s="1"/>
  <c r="J312" i="2" a="1"/>
  <c r="J312" i="2" s="1"/>
  <c r="E88" i="8" a="1"/>
  <c r="E88" i="8" s="1"/>
  <c r="J84" i="2" a="1"/>
  <c r="J84" i="2" s="1"/>
  <c r="E180" i="8" a="1"/>
  <c r="E180" i="8" s="1"/>
  <c r="J341" i="2" a="1"/>
  <c r="J341" i="2" s="1"/>
  <c r="H135" i="8" a="1"/>
  <c r="H135" i="8" s="1"/>
  <c r="I39" i="9" a="1"/>
  <c r="I39" i="9" s="1"/>
  <c r="I61" i="9" a="1"/>
  <c r="I61" i="9" s="1"/>
  <c r="I45" i="9" a="1"/>
  <c r="I45" i="9" s="1"/>
  <c r="I21" i="9" a="1"/>
  <c r="I21" i="9" s="1"/>
  <c r="E192" i="8" a="1"/>
  <c r="E192" i="8" s="1"/>
  <c r="J371" i="2" a="1"/>
  <c r="J371" i="2" s="1"/>
  <c r="E16" i="8" a="1"/>
  <c r="E16" i="8" s="1"/>
  <c r="J46" i="2" a="1"/>
  <c r="J46" i="2" s="1"/>
  <c r="E156" i="8" a="1"/>
  <c r="E156" i="8" s="1"/>
  <c r="J280" i="2" a="1"/>
  <c r="J280" i="2" s="1"/>
  <c r="E98" i="8" a="1"/>
  <c r="E98" i="8" s="1"/>
  <c r="J320" i="2" a="1"/>
  <c r="J320" i="2" s="1"/>
  <c r="E161" i="8" a="1"/>
  <c r="E161" i="8" s="1"/>
  <c r="J370" i="2" a="1"/>
  <c r="J370" i="2" s="1"/>
  <c r="E158" i="8" a="1"/>
  <c r="E158" i="8" s="1"/>
  <c r="J151" i="2" a="1"/>
  <c r="J151" i="2" s="1"/>
  <c r="E83" i="8" a="1"/>
  <c r="E83" i="8" s="1"/>
  <c r="J171" i="2" a="1"/>
  <c r="J171" i="2" s="1"/>
  <c r="E20" i="9" a="1"/>
  <c r="E20" i="9" s="1"/>
  <c r="J47" i="2" a="1"/>
  <c r="J47" i="2" s="1"/>
  <c r="E138" i="8" a="1"/>
  <c r="E138" i="8" s="1"/>
  <c r="J232" i="2" a="1"/>
  <c r="J232" i="2" s="1"/>
  <c r="E137" i="8" a="1"/>
  <c r="E137" i="8" s="1"/>
  <c r="J196" i="2" a="1"/>
  <c r="J196" i="2" s="1"/>
  <c r="J180" i="2" a="1"/>
  <c r="J180" i="2" s="1"/>
  <c r="E60" i="8" a="1"/>
  <c r="E60" i="8" s="1"/>
  <c r="E31" i="8" a="1"/>
  <c r="E31" i="8" s="1"/>
  <c r="J35" i="2" a="1"/>
  <c r="J35" i="2" s="1"/>
  <c r="H114" i="8" a="1"/>
  <c r="H114" i="8" s="1"/>
  <c r="H35" i="8" a="1"/>
  <c r="H35" i="8" s="1"/>
  <c r="H158" i="8" a="1"/>
  <c r="H158" i="8" s="1"/>
  <c r="H56" i="8" a="1"/>
  <c r="H56" i="8" s="1"/>
  <c r="I34" i="9" a="1"/>
  <c r="I34" i="9" s="1"/>
  <c r="I27" i="9" a="1"/>
  <c r="I27" i="9" s="1"/>
  <c r="I52" i="9" a="1"/>
  <c r="I52" i="9" s="1"/>
  <c r="E21" i="8" a="1"/>
  <c r="E21" i="8" s="1"/>
  <c r="J36" i="2" a="1"/>
  <c r="J36" i="2" s="1"/>
  <c r="E89" i="8" a="1"/>
  <c r="E89" i="8" s="1"/>
  <c r="J197" i="2" a="1"/>
  <c r="J197" i="2" s="1"/>
  <c r="J120" i="2" a="1"/>
  <c r="J120" i="2" s="1"/>
  <c r="E28" i="8" a="1"/>
  <c r="E28" i="8" s="1"/>
  <c r="E163" i="8" a="1"/>
  <c r="E163" i="8" s="1"/>
  <c r="J412" i="2" a="1"/>
  <c r="J412" i="2" s="1"/>
  <c r="E134" i="8" a="1"/>
  <c r="E134" i="8" s="1"/>
  <c r="J185" i="2" a="1"/>
  <c r="J185" i="2" s="1"/>
  <c r="E153" i="8" a="1"/>
  <c r="E153" i="8" s="1"/>
  <c r="J165" i="2" a="1"/>
  <c r="J165" i="2" s="1"/>
  <c r="E174" i="8" a="1"/>
  <c r="E174" i="8" s="1"/>
  <c r="J368" i="2" a="1"/>
  <c r="J368" i="2" s="1"/>
  <c r="E23" i="8" a="1"/>
  <c r="E23" i="8" s="1"/>
  <c r="J24" i="2" a="1"/>
  <c r="J24" i="2" s="1"/>
  <c r="E149" i="8" a="1"/>
  <c r="E149" i="8" s="1"/>
  <c r="J396" i="2" a="1"/>
  <c r="J396" i="2" s="1"/>
  <c r="E75" i="8" a="1"/>
  <c r="E75" i="8" s="1"/>
  <c r="J257" i="2" a="1"/>
  <c r="J257" i="2" s="1"/>
  <c r="E43" i="9" a="1"/>
  <c r="E43" i="9" s="1"/>
  <c r="J326" i="2" a="1"/>
  <c r="J326" i="2" s="1"/>
  <c r="E187" i="8" a="1"/>
  <c r="E187" i="8" s="1"/>
  <c r="J264" i="2" a="1"/>
  <c r="J264" i="2" s="1"/>
  <c r="H13" i="8" a="1"/>
  <c r="H13" i="8" s="1"/>
  <c r="I32" i="9" a="1"/>
  <c r="I32" i="9" s="1"/>
  <c r="I17" i="9" a="1"/>
  <c r="I17" i="9" s="1"/>
  <c r="I60" i="9" a="1"/>
  <c r="I60" i="9" s="1"/>
  <c r="I46" i="9" a="1"/>
  <c r="I46" i="9" s="1"/>
  <c r="E114" i="8" a="1"/>
  <c r="E114" i="8" s="1"/>
  <c r="J330" i="2" a="1"/>
  <c r="J330" i="2" s="1"/>
  <c r="E10" i="8" a="1"/>
  <c r="E10" i="8" s="1"/>
  <c r="J11" i="2" a="1"/>
  <c r="J11" i="2" s="1"/>
  <c r="E63" i="8" a="1"/>
  <c r="E63" i="8" s="1"/>
  <c r="J100" i="2" a="1"/>
  <c r="J100" i="2" s="1"/>
  <c r="E194" i="8" a="1"/>
  <c r="E194" i="8" s="1"/>
  <c r="J276" i="2" a="1"/>
  <c r="J276" i="2" s="1"/>
  <c r="E43" i="8" a="1"/>
  <c r="E43" i="8" s="1"/>
  <c r="J114" i="2" a="1"/>
  <c r="J114" i="2" s="1"/>
  <c r="E85" i="8" a="1"/>
  <c r="E85" i="8" s="1"/>
  <c r="J145" i="2" a="1"/>
  <c r="J145" i="2" s="1"/>
  <c r="E123" i="8" a="1"/>
  <c r="E123" i="8" s="1"/>
  <c r="J235" i="2" a="1"/>
  <c r="J235" i="2" s="1"/>
  <c r="I24" i="9" a="1"/>
  <c r="I24" i="9" s="1"/>
  <c r="I40" i="9" a="1"/>
  <c r="I40" i="9" s="1"/>
  <c r="H102" i="8" a="1"/>
  <c r="H102" i="8" s="1"/>
  <c r="H121" i="8" a="1"/>
  <c r="H121" i="8" s="1"/>
  <c r="I54" i="9" a="1"/>
  <c r="I54" i="9" s="1"/>
  <c r="H109" i="8" a="1"/>
  <c r="H109" i="8" s="1"/>
  <c r="I57" i="9" a="1"/>
  <c r="I57" i="9" s="1"/>
  <c r="I25" i="9" a="1"/>
  <c r="I25" i="9" s="1"/>
  <c r="I4" i="9" a="1"/>
  <c r="I4" i="9" s="1"/>
  <c r="I23" i="9" a="1"/>
  <c r="I23" i="9" s="1"/>
  <c r="E117" i="8" a="1"/>
  <c r="E117" i="8" s="1"/>
  <c r="J344" i="2" a="1"/>
  <c r="J344" i="2" s="1"/>
  <c r="E133" i="8" a="1"/>
  <c r="E133" i="8" s="1"/>
  <c r="J227" i="2" a="1"/>
  <c r="J227" i="2" s="1"/>
  <c r="E110" i="8" a="1"/>
  <c r="E110" i="8" s="1"/>
  <c r="J230" i="2" a="1"/>
  <c r="J230" i="2" s="1"/>
  <c r="E118" i="8" a="1"/>
  <c r="E118" i="8" s="1"/>
  <c r="J164" i="2" a="1"/>
  <c r="J164" i="2" s="1"/>
  <c r="E154" i="8" a="1"/>
  <c r="E154" i="8" s="1"/>
  <c r="J275" i="2" a="1"/>
  <c r="J275" i="2" s="1"/>
  <c r="E87" i="8" a="1"/>
  <c r="E87" i="8" s="1"/>
  <c r="J144" i="2" a="1"/>
  <c r="J144" i="2" s="1"/>
  <c r="E44" i="8" a="1"/>
  <c r="E44" i="8" s="1"/>
  <c r="J93" i="2" a="1"/>
  <c r="J93" i="2" s="1"/>
  <c r="J360" i="2" a="1"/>
  <c r="J360" i="2" s="1"/>
  <c r="E186" i="8" a="1"/>
  <c r="E186" i="8" s="1"/>
  <c r="E66" i="9" a="1"/>
  <c r="E66" i="9" s="1"/>
  <c r="J134" i="2" a="1"/>
  <c r="J134" i="2" s="1"/>
  <c r="E22" i="8" a="1"/>
  <c r="E22" i="8" s="1"/>
  <c r="J60" i="2" a="1"/>
  <c r="J60" i="2" s="1"/>
  <c r="E130" i="8" a="1"/>
  <c r="E130" i="8" s="1"/>
  <c r="J288" i="2" a="1"/>
  <c r="J288" i="2" s="1"/>
  <c r="E86" i="8" a="1"/>
  <c r="E86" i="8" s="1"/>
  <c r="J153" i="2" a="1"/>
  <c r="J153" i="2" s="1"/>
  <c r="J384" i="2" a="1"/>
  <c r="J384" i="2" s="1"/>
  <c r="E172" i="8" a="1"/>
  <c r="E172" i="8" s="1"/>
  <c r="E8" i="9" a="1"/>
  <c r="E8" i="9" s="1"/>
  <c r="J27" i="2" a="1"/>
  <c r="J27" i="2" s="1"/>
  <c r="E125" i="8" a="1"/>
  <c r="E125" i="8" s="1"/>
  <c r="J246" i="2" a="1"/>
  <c r="J246" i="2" s="1"/>
  <c r="E188" i="8" a="1"/>
  <c r="E188" i="8" s="1"/>
  <c r="J353" i="2" a="1"/>
  <c r="J353" i="2" s="1"/>
  <c r="H142" i="8" a="1"/>
  <c r="H142" i="8" s="1"/>
  <c r="H199" i="8" a="1"/>
  <c r="H199" i="8" s="1"/>
  <c r="H45" i="8" a="1"/>
  <c r="H45" i="8" s="1"/>
  <c r="I42" i="9" a="1"/>
  <c r="I42" i="9" s="1"/>
  <c r="H160" i="8" a="1"/>
  <c r="H160" i="8" s="1"/>
  <c r="H83" i="8" a="1"/>
  <c r="H83" i="8" s="1"/>
  <c r="I64" i="9" a="1"/>
  <c r="I64" i="9" s="1"/>
  <c r="I9" i="9" a="1"/>
  <c r="I9" i="9" s="1"/>
  <c r="E45" i="8" a="1"/>
  <c r="E45" i="8" s="1"/>
  <c r="J249" i="2" a="1"/>
  <c r="J249" i="2" s="1"/>
  <c r="J291" i="2" a="1"/>
  <c r="J291" i="2" s="1"/>
  <c r="E185" i="8" a="1"/>
  <c r="E185" i="8" s="1"/>
  <c r="E67" i="8" a="1"/>
  <c r="E67" i="8" s="1"/>
  <c r="J210" i="2" a="1"/>
  <c r="J210" i="2" s="1"/>
  <c r="E135" i="8" a="1"/>
  <c r="E135" i="8" s="1"/>
  <c r="J259" i="2" a="1"/>
  <c r="J259" i="2" s="1"/>
  <c r="E193" i="8" a="1"/>
  <c r="E193" i="8" s="1"/>
  <c r="J402" i="2" a="1"/>
  <c r="J402" i="2" s="1"/>
  <c r="E171" i="8" a="1"/>
  <c r="E171" i="8" s="1"/>
  <c r="J251" i="2" a="1"/>
  <c r="J251" i="2" s="1"/>
  <c r="E131" i="8" a="1"/>
  <c r="E131" i="8" s="1"/>
  <c r="J292" i="2" a="1"/>
  <c r="J292" i="2" s="1"/>
  <c r="E182" i="8" a="1"/>
  <c r="E182" i="8" s="1"/>
  <c r="J379" i="2" a="1"/>
  <c r="J379" i="2" s="1"/>
  <c r="E47" i="8" a="1"/>
  <c r="E47" i="8" s="1"/>
  <c r="J191" i="2" a="1"/>
  <c r="J191" i="2" s="1"/>
  <c r="E41" i="8" a="1"/>
  <c r="E41" i="8" s="1"/>
  <c r="J148" i="2" a="1"/>
  <c r="J148" i="2" s="1"/>
  <c r="I5" i="9" a="1"/>
  <c r="I5" i="9" s="1"/>
  <c r="H120" i="8" a="1"/>
  <c r="H120" i="8" s="1"/>
  <c r="I28" i="9" a="1"/>
  <c r="I28" i="9" s="1"/>
  <c r="I30" i="9" a="1"/>
  <c r="I30" i="9" s="1"/>
  <c r="I15" i="9" a="1"/>
  <c r="I15" i="9" s="1"/>
  <c r="E54" i="8" a="1"/>
  <c r="E54" i="8" s="1"/>
  <c r="J169" i="2" a="1"/>
  <c r="J169" i="2" s="1"/>
  <c r="E11" i="9" a="1"/>
  <c r="E11" i="9" s="1"/>
  <c r="J220" i="2" a="1"/>
  <c r="J220" i="2" s="1"/>
  <c r="E95" i="8" a="1"/>
  <c r="E95" i="8" s="1"/>
  <c r="J337" i="2" a="1"/>
  <c r="J337" i="2" s="1"/>
  <c r="E124" i="8" a="1"/>
  <c r="E124" i="8" s="1"/>
  <c r="J190" i="2" a="1"/>
  <c r="J190" i="2" s="1"/>
  <c r="E42" i="8" a="1"/>
  <c r="E42" i="8" s="1"/>
  <c r="J110" i="2" a="1"/>
  <c r="J110" i="2" s="1"/>
  <c r="J273" i="2" a="1"/>
  <c r="J273" i="2" s="1"/>
  <c r="E136" i="8" a="1"/>
  <c r="E136" i="8" s="1"/>
  <c r="E8" i="8" a="1"/>
  <c r="E8" i="8" s="1"/>
  <c r="J16" i="2" a="1"/>
  <c r="J16" i="2" s="1"/>
  <c r="E189" i="8" a="1"/>
  <c r="E189" i="8" s="1"/>
  <c r="J286" i="2" a="1"/>
  <c r="J286" i="2" s="1"/>
  <c r="E62" i="8" a="1"/>
  <c r="E62" i="8" s="1"/>
  <c r="J178" i="2" a="1"/>
  <c r="J178" i="2" s="1"/>
  <c r="E199" i="8" a="1"/>
  <c r="E199" i="8" s="1"/>
  <c r="J309" i="2" a="1"/>
  <c r="J309" i="2" s="1"/>
  <c r="E11" i="8" a="1"/>
  <c r="E11" i="8" s="1"/>
  <c r="J19" i="2" a="1"/>
  <c r="J19" i="2" s="1"/>
  <c r="E40" i="8" a="1"/>
  <c r="E40" i="8" s="1"/>
  <c r="J48" i="2" a="1"/>
  <c r="J48" i="2" s="1"/>
  <c r="E129" i="8" a="1"/>
  <c r="E129" i="8" s="1"/>
  <c r="J381" i="2" a="1"/>
  <c r="J381" i="2" s="1"/>
  <c r="E48" i="8" a="1"/>
  <c r="E48" i="8" s="1"/>
  <c r="J161" i="2" a="1"/>
  <c r="J161" i="2" s="1"/>
  <c r="E41" i="9" a="1"/>
  <c r="E41" i="9" s="1"/>
  <c r="J217" i="2" a="1"/>
  <c r="J217" i="2" s="1"/>
  <c r="I37" i="9" a="1"/>
  <c r="I37" i="9" s="1"/>
  <c r="I36" i="9" a="1"/>
  <c r="I36" i="9" s="1"/>
  <c r="I38" i="9" a="1"/>
  <c r="I38" i="9" s="1"/>
  <c r="I29" i="9" a="1"/>
  <c r="I29" i="9" s="1"/>
  <c r="I31" i="9" a="1"/>
  <c r="I31" i="9" s="1"/>
  <c r="I26" i="9" a="1"/>
  <c r="I26" i="9" s="1"/>
  <c r="I44" i="9" a="1"/>
  <c r="I44" i="9" s="1"/>
  <c r="E34" i="8" a="1"/>
  <c r="E34" i="8" s="1"/>
  <c r="J71" i="2" a="1"/>
  <c r="J71" i="2" s="1"/>
  <c r="E99" i="8" a="1"/>
  <c r="E99" i="8" s="1"/>
  <c r="J199" i="2" a="1"/>
  <c r="J199" i="2" s="1"/>
  <c r="E109" i="8" a="1"/>
  <c r="E109" i="8" s="1"/>
  <c r="J317" i="2" a="1"/>
  <c r="J317" i="2" s="1"/>
  <c r="E50" i="8" a="1"/>
  <c r="E50" i="8" s="1"/>
  <c r="J182" i="2" a="1"/>
  <c r="J182" i="2" s="1"/>
  <c r="E166" i="8" a="1"/>
  <c r="E166" i="8" s="1"/>
  <c r="J279" i="2" a="1"/>
  <c r="J279" i="2" s="1"/>
  <c r="E76" i="8" a="1"/>
  <c r="E76" i="8" s="1"/>
  <c r="J221" i="2" a="1"/>
  <c r="J221" i="2" s="1"/>
  <c r="E184" i="8" a="1"/>
  <c r="E184" i="8" s="1"/>
  <c r="J308" i="2" a="1"/>
  <c r="J308" i="2" s="1"/>
  <c r="I47" i="9" a="1"/>
  <c r="I47" i="9" s="1"/>
  <c r="E159" i="8" a="1"/>
  <c r="E159" i="8" s="1"/>
  <c r="J327" i="2" a="1"/>
  <c r="J327" i="2" s="1"/>
  <c r="E179" i="8" a="1"/>
  <c r="E179" i="8" s="1"/>
  <c r="J247" i="2" a="1"/>
  <c r="J247" i="2" s="1"/>
  <c r="I14" i="9" a="1"/>
  <c r="I14" i="9" s="1"/>
  <c r="H136" i="8" a="1"/>
  <c r="H136" i="8" s="1"/>
  <c r="H200" i="8" a="1"/>
  <c r="H200" i="8" s="1"/>
  <c r="I50" i="9" a="1"/>
  <c r="I50" i="9" s="1"/>
  <c r="I10" i="9" a="1"/>
  <c r="I10" i="9" s="1"/>
  <c r="I62" i="9" a="1"/>
  <c r="I62" i="9" s="1"/>
  <c r="I51" i="9" a="1"/>
  <c r="I51" i="9" s="1"/>
  <c r="E160" i="8" a="1"/>
  <c r="E160" i="8" s="1"/>
  <c r="J319" i="2" a="1"/>
  <c r="J319" i="2" s="1"/>
  <c r="E65" i="9" a="1"/>
  <c r="E65" i="9" s="1"/>
  <c r="J445" i="2" a="1"/>
  <c r="J445" i="2" s="1"/>
  <c r="E26" i="8" a="1"/>
  <c r="E26" i="8" s="1"/>
  <c r="J42" i="2" a="1"/>
  <c r="J42" i="2" s="1"/>
  <c r="E78" i="8" a="1"/>
  <c r="E78" i="8" s="1"/>
  <c r="J94" i="2" a="1"/>
  <c r="J94" i="2" s="1"/>
  <c r="E167" i="8" a="1"/>
  <c r="E167" i="8" s="1"/>
  <c r="J345" i="2" a="1"/>
  <c r="J345" i="2" s="1"/>
  <c r="E33" i="9" a="1"/>
  <c r="E33" i="9" s="1"/>
  <c r="J91" i="2" a="1"/>
  <c r="J91" i="2" s="1"/>
  <c r="E49" i="8" a="1"/>
  <c r="E49" i="8" s="1"/>
  <c r="J79" i="2" a="1"/>
  <c r="J79" i="2" s="1"/>
  <c r="E116" i="8" a="1"/>
  <c r="E116" i="8" s="1"/>
  <c r="J299" i="2" a="1"/>
  <c r="J299" i="2" s="1"/>
  <c r="E177" i="8" a="1"/>
  <c r="E177" i="8" s="1"/>
  <c r="J271" i="2" a="1"/>
  <c r="J271" i="2" s="1"/>
  <c r="E4" i="8" a="1"/>
  <c r="E4" i="8" s="1"/>
  <c r="F14" i="3" a="1"/>
  <c r="F14" i="3" s="1"/>
  <c r="F22" i="3" s="1" a="1"/>
  <c r="F22" i="3" s="1"/>
  <c r="J2" i="2" a="1"/>
  <c r="J2" i="2" s="1"/>
  <c r="I58" i="9" a="1"/>
  <c r="I58" i="9" s="1"/>
  <c r="I48" i="9" a="1"/>
  <c r="I48" i="9" s="1"/>
  <c r="H48" i="8" a="1"/>
  <c r="H48" i="8" s="1"/>
  <c r="I7" i="9" a="1"/>
  <c r="I7" i="9" s="1"/>
  <c r="I55" i="9" a="1"/>
  <c r="I55" i="9" s="1"/>
  <c r="H80" i="8" a="1"/>
  <c r="H80" i="8" s="1"/>
  <c r="H49" i="8" a="1"/>
  <c r="H49" i="8" s="1"/>
  <c r="I13" i="9" a="1"/>
  <c r="I13" i="9" s="1"/>
  <c r="I6" i="9" a="1"/>
  <c r="I6" i="9" s="1"/>
  <c r="I49" i="9" a="1"/>
  <c r="I49" i="9" s="1"/>
  <c r="I12" i="9" a="1"/>
  <c r="I12" i="9" s="1"/>
  <c r="E68" i="8" a="1"/>
  <c r="E68" i="8" s="1"/>
  <c r="J166" i="2" a="1"/>
  <c r="J166" i="2" s="1"/>
  <c r="E3" i="8" a="1"/>
  <c r="E3" i="8" s="1"/>
  <c r="J7" i="2" a="1"/>
  <c r="J7" i="2" s="1"/>
  <c r="E63" i="9" a="1"/>
  <c r="E63" i="9" s="1"/>
  <c r="J463" i="2" a="1"/>
  <c r="J463" i="2" s="1"/>
  <c r="E69" i="8" a="1"/>
  <c r="E69" i="8" s="1"/>
  <c r="J160" i="2" a="1"/>
  <c r="J160" i="2" s="1"/>
  <c r="E176" i="8" a="1"/>
  <c r="E176" i="8" s="1"/>
  <c r="J349" i="2" a="1"/>
  <c r="J349" i="2" s="1"/>
  <c r="E64" i="8" a="1"/>
  <c r="E64" i="8" s="1"/>
  <c r="J138" i="2" a="1"/>
  <c r="J138" i="2" s="1"/>
  <c r="J150" i="2" a="1"/>
  <c r="J150" i="2" s="1"/>
  <c r="E65" i="8" a="1"/>
  <c r="E65" i="8" s="1"/>
  <c r="H98" i="8" a="1"/>
  <c r="H98" i="8" s="1"/>
  <c r="H39" i="8" a="1"/>
  <c r="H39" i="8" s="1"/>
  <c r="H161" i="8" a="1"/>
  <c r="H161" i="8" s="1"/>
  <c r="H94" i="8" a="1"/>
  <c r="H94" i="8" s="1"/>
  <c r="C94" i="8" s="1" a="1"/>
  <c r="C94" i="8" s="1"/>
  <c r="E284" i="2" s="1" a="1"/>
  <c r="E284" i="2" s="1"/>
  <c r="H6" i="8" a="1"/>
  <c r="H6" i="8" s="1"/>
  <c r="H90" i="8" a="1"/>
  <c r="H90" i="8" s="1"/>
  <c r="H183" i="8" a="1"/>
  <c r="H183" i="8" s="1"/>
  <c r="H111" i="8" a="1"/>
  <c r="H111" i="8" s="1"/>
  <c r="H173" i="8" a="1"/>
  <c r="H173" i="8" s="1"/>
  <c r="H106" i="8" a="1"/>
  <c r="H106" i="8" s="1"/>
  <c r="H42" i="8" a="1"/>
  <c r="H42" i="8" s="1"/>
  <c r="H163" i="8" a="1"/>
  <c r="H163" i="8" s="1"/>
  <c r="H176" i="8" a="1"/>
  <c r="H176" i="8" s="1"/>
  <c r="H149" i="8" a="1"/>
  <c r="H149" i="8" s="1"/>
  <c r="H140" i="8" a="1"/>
  <c r="H140" i="8" s="1"/>
  <c r="H79" i="8" a="1"/>
  <c r="H79" i="8" s="1"/>
  <c r="H54" i="8" a="1"/>
  <c r="H54" i="8" s="1"/>
  <c r="H97" i="8" a="1"/>
  <c r="H97" i="8" s="1"/>
  <c r="H136" i="6" a="1"/>
  <c r="H136" i="6" s="1"/>
  <c r="H356" i="4" a="1"/>
  <c r="H356" i="4" s="1"/>
  <c r="H77" i="5" a="1"/>
  <c r="H77" i="5" s="1"/>
  <c r="C77" i="5" s="1" a="1"/>
  <c r="C77" i="5" s="1"/>
  <c r="E505" i="2" s="1" a="1"/>
  <c r="E505" i="2" s="1"/>
  <c r="H283" i="4" a="1"/>
  <c r="H283" i="4" s="1"/>
  <c r="H256" i="4" a="1"/>
  <c r="H256" i="4" s="1"/>
  <c r="C256" i="4" s="1" a="1"/>
  <c r="C256" i="4" s="1"/>
  <c r="H152" i="5" a="1"/>
  <c r="H152" i="5" s="1"/>
  <c r="H43" i="7" a="1"/>
  <c r="H43" i="7" s="1"/>
  <c r="C43" i="7" s="1" a="1"/>
  <c r="C43" i="7" s="1"/>
  <c r="E231" i="2" s="1" a="1"/>
  <c r="E231" i="2" s="1"/>
  <c r="H156" i="4" a="1"/>
  <c r="H156" i="4" s="1"/>
  <c r="H203" i="7" a="1"/>
  <c r="H203" i="7" s="1"/>
  <c r="H155" i="7" a="1"/>
  <c r="H155" i="7" s="1"/>
  <c r="H175" i="6" a="1"/>
  <c r="H175" i="6" s="1"/>
  <c r="H207" i="4" a="1"/>
  <c r="H207" i="4" s="1"/>
  <c r="H139" i="4" a="1"/>
  <c r="H139" i="4" s="1"/>
  <c r="H109" i="5" a="1"/>
  <c r="H109" i="5" s="1"/>
  <c r="H5" i="7" a="1"/>
  <c r="H5" i="7" s="1"/>
  <c r="H235" i="4" a="1"/>
  <c r="H235" i="4" s="1"/>
  <c r="C235" i="4" s="1" a="1"/>
  <c r="C235" i="4" s="1"/>
  <c r="H64" i="5" a="1"/>
  <c r="H64" i="5" s="1"/>
  <c r="H47" i="5" a="1"/>
  <c r="H47" i="5" s="1"/>
  <c r="H59" i="6" a="1"/>
  <c r="H59" i="6" s="1"/>
  <c r="C59" i="6" s="1" a="1"/>
  <c r="C59" i="6" s="1"/>
  <c r="H134" i="6" a="1"/>
  <c r="H134" i="6" s="1"/>
  <c r="C134" i="6" s="1" a="1"/>
  <c r="C134" i="6" s="1"/>
  <c r="E531" i="2" s="1" a="1"/>
  <c r="E531" i="2" s="1"/>
  <c r="H131" i="6" a="1"/>
  <c r="H131" i="6" s="1"/>
  <c r="C131" i="6" s="1" a="1"/>
  <c r="C131" i="6" s="1"/>
  <c r="E467" i="2" s="1" a="1"/>
  <c r="E467" i="2" s="1"/>
  <c r="H148" i="8" a="1"/>
  <c r="H148" i="8" s="1"/>
  <c r="H294" i="4" a="1"/>
  <c r="H294" i="4" s="1"/>
  <c r="H60" i="8" a="1"/>
  <c r="H60" i="8" s="1"/>
  <c r="H119" i="5" a="1"/>
  <c r="H119" i="5" s="1"/>
  <c r="H124" i="6" a="1"/>
  <c r="H124" i="6" s="1"/>
  <c r="C124" i="6" s="1" a="1"/>
  <c r="C124" i="6" s="1"/>
  <c r="H132" i="7" a="1"/>
  <c r="H132" i="7" s="1"/>
  <c r="H90" i="4" a="1"/>
  <c r="H90" i="4" s="1"/>
  <c r="H326" i="4" a="1"/>
  <c r="H326" i="4" s="1"/>
  <c r="H9" i="8" a="1"/>
  <c r="H9" i="8" s="1"/>
  <c r="H67" i="8" a="1"/>
  <c r="H67" i="8" s="1"/>
  <c r="H257" i="4" a="1"/>
  <c r="H257" i="4" s="1"/>
  <c r="C257" i="4" s="1" a="1"/>
  <c r="C257" i="4" s="1"/>
  <c r="H24" i="7" a="1"/>
  <c r="H24" i="7" s="1"/>
  <c r="H156" i="7" a="1"/>
  <c r="H156" i="7" s="1"/>
  <c r="H44" i="7" a="1"/>
  <c r="H44" i="7" s="1"/>
  <c r="H70" i="5" a="1"/>
  <c r="H70" i="5" s="1"/>
  <c r="H161" i="6" a="1"/>
  <c r="H161" i="6" s="1"/>
  <c r="H82" i="4" a="1"/>
  <c r="H82" i="4" s="1"/>
  <c r="H7" i="8" a="1"/>
  <c r="H7" i="8" s="1"/>
  <c r="H54" i="5" a="1"/>
  <c r="H54" i="5" s="1"/>
  <c r="C54" i="5" s="1" a="1"/>
  <c r="C54" i="5" s="1"/>
  <c r="H196" i="8" a="1"/>
  <c r="H196" i="8" s="1"/>
  <c r="H135" i="6" a="1"/>
  <c r="H135" i="6" s="1"/>
  <c r="H366" i="4" a="1"/>
  <c r="H366" i="4" s="1"/>
  <c r="C366" i="4" s="1" a="1"/>
  <c r="C366" i="4" s="1"/>
  <c r="H128" i="5" a="1"/>
  <c r="H128" i="5" s="1"/>
  <c r="H3" i="6" a="1"/>
  <c r="H3" i="6" s="1"/>
  <c r="H370" i="4" a="1"/>
  <c r="H370" i="4" s="1"/>
  <c r="H182" i="6" a="1"/>
  <c r="H182" i="6" s="1"/>
  <c r="H22" i="4" a="1"/>
  <c r="H22" i="4" s="1"/>
  <c r="H148" i="7" a="1"/>
  <c r="H148" i="7" s="1"/>
  <c r="H25" i="4" a="1"/>
  <c r="H25" i="4" s="1"/>
  <c r="H322" i="4" a="1"/>
  <c r="H322" i="4" s="1"/>
  <c r="C322" i="4" s="1" a="1"/>
  <c r="C322" i="4" s="1"/>
  <c r="H193" i="6" a="1"/>
  <c r="H193" i="6" s="1"/>
  <c r="H77" i="8" a="1"/>
  <c r="H77" i="8" s="1"/>
  <c r="H137" i="8" a="1"/>
  <c r="H137" i="8" s="1"/>
  <c r="H143" i="5" a="1"/>
  <c r="H143" i="5" s="1"/>
  <c r="H118" i="5" a="1"/>
  <c r="H118" i="5" s="1"/>
  <c r="H79" i="6" a="1"/>
  <c r="H79" i="6" s="1"/>
  <c r="C79" i="6" s="1" a="1"/>
  <c r="C79" i="6" s="1"/>
  <c r="H140" i="6" a="1"/>
  <c r="H140" i="6" s="1"/>
  <c r="H50" i="7" a="1"/>
  <c r="H50" i="7" s="1"/>
  <c r="C50" i="7" s="1" a="1"/>
  <c r="C50" i="7" s="1"/>
  <c r="E211" i="2" s="1" a="1"/>
  <c r="E211" i="2" s="1"/>
  <c r="H111" i="6" a="1"/>
  <c r="H111" i="6" s="1"/>
  <c r="H146" i="6" a="1"/>
  <c r="H146" i="6" s="1"/>
  <c r="H378" i="4" a="1"/>
  <c r="H378" i="4" s="1"/>
  <c r="H110" i="6" a="1"/>
  <c r="H110" i="6" s="1"/>
  <c r="H111" i="4" a="1"/>
  <c r="H111" i="4" s="1"/>
  <c r="H377" i="4" a="1"/>
  <c r="H377" i="4" s="1"/>
  <c r="H122" i="4" a="1"/>
  <c r="H122" i="4" s="1"/>
  <c r="C122" i="4" s="1" a="1"/>
  <c r="C122" i="4" s="1"/>
  <c r="H340" i="4" a="1"/>
  <c r="H340" i="4" s="1"/>
  <c r="H131" i="4" a="1"/>
  <c r="H131" i="4" s="1"/>
  <c r="C131" i="4" s="1" a="1"/>
  <c r="C131" i="4" s="1"/>
  <c r="H121" i="5" a="1"/>
  <c r="H121" i="5" s="1"/>
  <c r="H167" i="5" a="1"/>
  <c r="H167" i="5" s="1"/>
  <c r="H217" i="4" a="1"/>
  <c r="H217" i="4" s="1"/>
  <c r="H37" i="7" a="1"/>
  <c r="H37" i="7" s="1"/>
  <c r="H141" i="6" a="1"/>
  <c r="H141" i="6" s="1"/>
  <c r="H72" i="7" a="1"/>
  <c r="H72" i="7" s="1"/>
  <c r="C72" i="7" s="1" a="1"/>
  <c r="C72" i="7" s="1"/>
  <c r="E214" i="2" s="1" a="1"/>
  <c r="E214" i="2" s="1"/>
  <c r="H112" i="6" a="1"/>
  <c r="H112" i="6" s="1"/>
  <c r="C112" i="6" s="1" a="1"/>
  <c r="C112" i="6" s="1"/>
  <c r="H291" i="4" a="1"/>
  <c r="H291" i="4" s="1"/>
  <c r="H201" i="5" a="1"/>
  <c r="H201" i="5" s="1"/>
  <c r="H183" i="7" a="1"/>
  <c r="H183" i="7" s="1"/>
  <c r="H129" i="7" a="1"/>
  <c r="H129" i="7" s="1"/>
  <c r="H197" i="4" a="1"/>
  <c r="H197" i="4" s="1"/>
  <c r="H139" i="6" a="1"/>
  <c r="H139" i="6" s="1"/>
  <c r="H127" i="8" a="1"/>
  <c r="H127" i="8" s="1"/>
  <c r="C127" i="8" s="1" a="1"/>
  <c r="C127" i="8" s="1"/>
  <c r="E277" i="2" s="1" a="1"/>
  <c r="E277" i="2" s="1"/>
  <c r="H70" i="7" a="1"/>
  <c r="H70" i="7" s="1"/>
  <c r="H189" i="8" a="1"/>
  <c r="H189" i="8" s="1"/>
  <c r="H114" i="7" a="1"/>
  <c r="H114" i="7" s="1"/>
  <c r="H114" i="4" a="1"/>
  <c r="H114" i="4" s="1"/>
  <c r="C114" i="4" s="1" a="1"/>
  <c r="C114" i="4" s="1"/>
  <c r="H32" i="4" a="1"/>
  <c r="H32" i="4" s="1"/>
  <c r="H6" i="7" a="1"/>
  <c r="H6" i="7" s="1"/>
  <c r="H31" i="6" a="1"/>
  <c r="H31" i="6" s="1"/>
  <c r="H365" i="4" a="1"/>
  <c r="H365" i="4" s="1"/>
  <c r="H185" i="8" a="1"/>
  <c r="H185" i="8" s="1"/>
  <c r="H152" i="8" a="1"/>
  <c r="H152" i="8" s="1"/>
  <c r="H69" i="5" a="1"/>
  <c r="H69" i="5" s="1"/>
  <c r="H146" i="4" a="1"/>
  <c r="H146" i="4" s="1"/>
  <c r="C146" i="4" s="1" a="1"/>
  <c r="C146" i="4" s="1"/>
  <c r="H93" i="8" a="1"/>
  <c r="H93" i="8" s="1"/>
  <c r="H78" i="4" a="1"/>
  <c r="H78" i="4" s="1"/>
  <c r="H56" i="6" a="1"/>
  <c r="H56" i="6" s="1"/>
  <c r="H5" i="4" a="1"/>
  <c r="H5" i="4" s="1"/>
  <c r="H194" i="4" a="1"/>
  <c r="H194" i="4" s="1"/>
  <c r="H40" i="8" a="1"/>
  <c r="H40" i="8" s="1"/>
  <c r="H35" i="7" a="1"/>
  <c r="H35" i="7" s="1"/>
  <c r="C35" i="7" s="1" a="1"/>
  <c r="C35" i="7" s="1"/>
  <c r="E203" i="2" s="1" a="1"/>
  <c r="E203" i="2" s="1"/>
  <c r="H12" i="6" a="1"/>
  <c r="H12" i="6" s="1"/>
  <c r="H186" i="5" a="1"/>
  <c r="H186" i="5" s="1"/>
  <c r="H28" i="5" a="1"/>
  <c r="H28" i="5" s="1"/>
  <c r="H197" i="6" a="1"/>
  <c r="H197" i="6" s="1"/>
  <c r="H238" i="4" a="1"/>
  <c r="H238" i="4" s="1"/>
  <c r="C238" i="4" s="1" a="1"/>
  <c r="C238" i="4" s="1"/>
  <c r="H52" i="8" a="1"/>
  <c r="H52" i="8" s="1"/>
  <c r="H403" i="4" a="1"/>
  <c r="H403" i="4" s="1"/>
  <c r="H34" i="5" a="1"/>
  <c r="H34" i="5" s="1"/>
  <c r="H177" i="8" a="1"/>
  <c r="H177" i="8" s="1"/>
  <c r="H79" i="7" a="1"/>
  <c r="H79" i="7" s="1"/>
  <c r="H45" i="4" a="1"/>
  <c r="H45" i="4" s="1"/>
  <c r="C45" i="4" s="1" a="1"/>
  <c r="C45" i="4" s="1"/>
  <c r="H310" i="4" a="1"/>
  <c r="H310" i="4" s="1"/>
  <c r="H59" i="4" a="1"/>
  <c r="H59" i="4" s="1"/>
  <c r="H59" i="8" a="1"/>
  <c r="H59" i="8" s="1"/>
  <c r="H203" i="6" a="1"/>
  <c r="H203" i="6" s="1"/>
  <c r="C203" i="6" s="1" a="1"/>
  <c r="C203" i="6" s="1"/>
  <c r="H145" i="4" a="1"/>
  <c r="H145" i="4" s="1"/>
  <c r="H75" i="6" a="1"/>
  <c r="H75" i="6" s="1"/>
  <c r="H289" i="4" a="1"/>
  <c r="H289" i="4" s="1"/>
  <c r="H143" i="4" a="1"/>
  <c r="H143" i="4" s="1"/>
  <c r="H51" i="7" a="1"/>
  <c r="H51" i="7" s="1"/>
  <c r="H100" i="8" a="1"/>
  <c r="H100" i="8" s="1"/>
  <c r="H156" i="6" a="1"/>
  <c r="H156" i="6" s="1"/>
  <c r="H232" i="4" a="1"/>
  <c r="H232" i="4" s="1"/>
  <c r="C232" i="4" s="1" a="1"/>
  <c r="C232" i="4" s="1"/>
  <c r="H206" i="4" a="1"/>
  <c r="H206" i="4" s="1"/>
  <c r="C206" i="4" s="1" a="1"/>
  <c r="C206" i="4" s="1"/>
  <c r="H40" i="4" a="1"/>
  <c r="H40" i="4" s="1"/>
  <c r="C40" i="4" s="1" a="1"/>
  <c r="C40" i="4" s="1"/>
  <c r="H79" i="4" a="1"/>
  <c r="H79" i="4" s="1"/>
  <c r="C79" i="4" s="1" a="1"/>
  <c r="C79" i="4" s="1"/>
  <c r="H123" i="6" a="1"/>
  <c r="H123" i="6" s="1"/>
  <c r="H62" i="6" a="1"/>
  <c r="H62" i="6" s="1"/>
  <c r="H39" i="6" a="1"/>
  <c r="H39" i="6" s="1"/>
  <c r="H42" i="4" a="1"/>
  <c r="H42" i="4" s="1"/>
  <c r="C42" i="4" s="1" a="1"/>
  <c r="C42" i="4" s="1"/>
  <c r="H159" i="7" a="1"/>
  <c r="H159" i="7" s="1"/>
  <c r="H226" i="4" a="1"/>
  <c r="H226" i="4" s="1"/>
  <c r="H47" i="4" a="1"/>
  <c r="H47" i="4" s="1"/>
  <c r="H147" i="4" a="1"/>
  <c r="H147" i="4" s="1"/>
  <c r="H317" i="4" a="1"/>
  <c r="H317" i="4" s="1"/>
  <c r="H119" i="6" a="1"/>
  <c r="H119" i="6" s="1"/>
  <c r="H52" i="7" a="1"/>
  <c r="H52" i="7" s="1"/>
  <c r="C52" i="7" s="1" a="1"/>
  <c r="C52" i="7" s="1"/>
  <c r="E103" i="2" s="1" a="1"/>
  <c r="E103" i="2" s="1"/>
  <c r="H174" i="5" a="1"/>
  <c r="H174" i="5" s="1"/>
  <c r="C174" i="5" s="1" a="1"/>
  <c r="C174" i="5" s="1"/>
  <c r="H132" i="8" a="1"/>
  <c r="H132" i="8" s="1"/>
  <c r="H146" i="7" a="1"/>
  <c r="H146" i="7" s="1"/>
  <c r="C146" i="7" s="1" a="1"/>
  <c r="C146" i="7" s="1"/>
  <c r="E465" i="2" s="1" a="1"/>
  <c r="E465" i="2" s="1"/>
  <c r="H375" i="4" a="1"/>
  <c r="H375" i="4" s="1"/>
  <c r="C375" i="4" s="1" a="1"/>
  <c r="C375" i="4" s="1"/>
  <c r="H134" i="8" a="1"/>
  <c r="H134" i="8" s="1"/>
  <c r="H230" i="4" a="1"/>
  <c r="H230" i="4" s="1"/>
  <c r="H56" i="4" a="1"/>
  <c r="H56" i="4" s="1"/>
  <c r="C56" i="4" s="1" a="1"/>
  <c r="C56" i="4" s="1"/>
  <c r="H163" i="5" a="1"/>
  <c r="H163" i="5" s="1"/>
  <c r="H36" i="6" a="1"/>
  <c r="H36" i="6" s="1"/>
  <c r="H57" i="7" a="1"/>
  <c r="H57" i="7" s="1"/>
  <c r="C57" i="7" s="1" a="1"/>
  <c r="C57" i="7" s="1"/>
  <c r="E281" i="2" s="1" a="1"/>
  <c r="E281" i="2" s="1"/>
  <c r="H31" i="4" a="1"/>
  <c r="H31" i="4" s="1"/>
  <c r="H332" i="4" a="1"/>
  <c r="H332" i="4" s="1"/>
  <c r="H157" i="8" a="1"/>
  <c r="H157" i="8" s="1"/>
  <c r="C157" i="8" s="1" a="1"/>
  <c r="C157" i="8" s="1"/>
  <c r="E306" i="2" s="1" a="1"/>
  <c r="E306" i="2" s="1"/>
  <c r="H350" i="4" a="1"/>
  <c r="H350" i="4" s="1"/>
  <c r="C350" i="4" s="1" a="1"/>
  <c r="C350" i="4" s="1"/>
  <c r="H192" i="6" a="1"/>
  <c r="H192" i="6" s="1"/>
  <c r="H132" i="6" a="1"/>
  <c r="H132" i="6" s="1"/>
  <c r="H73" i="4" a="1"/>
  <c r="H73" i="4" s="1"/>
  <c r="C73" i="4" s="1" a="1"/>
  <c r="C73" i="4" s="1"/>
  <c r="H195" i="6" a="1"/>
  <c r="H195" i="6" s="1"/>
  <c r="H298" i="4" a="1"/>
  <c r="H298" i="4" s="1"/>
  <c r="C298" i="4" s="1" a="1"/>
  <c r="C298" i="4" s="1"/>
  <c r="H11" i="6" a="1"/>
  <c r="H11" i="6" s="1"/>
  <c r="H41" i="8" a="1"/>
  <c r="H41" i="8" s="1"/>
  <c r="H15" i="5" a="1"/>
  <c r="H15" i="5" s="1"/>
  <c r="H169" i="6" a="1"/>
  <c r="H169" i="6" s="1"/>
  <c r="H197" i="7" a="1"/>
  <c r="H197" i="7" s="1"/>
  <c r="C197" i="7" s="1" a="1"/>
  <c r="C197" i="7" s="1"/>
  <c r="E581" i="2" s="1" a="1"/>
  <c r="E581" i="2" s="1"/>
  <c r="H143" i="6" a="1"/>
  <c r="H143" i="6" s="1"/>
  <c r="C143" i="6" s="1" a="1"/>
  <c r="C143" i="6" s="1"/>
  <c r="E425" i="2" s="1" a="1"/>
  <c r="E425" i="2" s="1"/>
  <c r="H19" i="4" a="1"/>
  <c r="H19" i="4" s="1"/>
  <c r="C19" i="4" s="1" a="1"/>
  <c r="C19" i="4" s="1"/>
  <c r="H267" i="4" a="1"/>
  <c r="H267" i="4" s="1"/>
  <c r="H149" i="7" a="1"/>
  <c r="H149" i="7" s="1"/>
  <c r="H112" i="8" a="1"/>
  <c r="H112" i="8" s="1"/>
  <c r="H346" i="4" a="1"/>
  <c r="H346" i="4" s="1"/>
  <c r="H360" i="4" a="1"/>
  <c r="H360" i="4" s="1"/>
  <c r="H202" i="8" a="1"/>
  <c r="H202" i="8" s="1"/>
  <c r="H58" i="5" a="1"/>
  <c r="H58" i="5" s="1"/>
  <c r="C58" i="5" s="1" a="1"/>
  <c r="C58" i="5" s="1"/>
  <c r="H195" i="5" a="1"/>
  <c r="H195" i="5" s="1"/>
  <c r="C195" i="5" s="1" a="1"/>
  <c r="C195" i="5" s="1"/>
  <c r="E539" i="2" s="1" a="1"/>
  <c r="E539" i="2" s="1"/>
  <c r="H62" i="5" a="1"/>
  <c r="H62" i="5" s="1"/>
  <c r="C62" i="5" s="1" a="1"/>
  <c r="C62" i="5" s="1"/>
  <c r="E216" i="2" s="1" a="1"/>
  <c r="E216" i="2" s="1"/>
  <c r="H178" i="6" a="1"/>
  <c r="H178" i="6" s="1"/>
  <c r="H65" i="5" a="1"/>
  <c r="H65" i="5" s="1"/>
  <c r="C65" i="5" s="1" a="1"/>
  <c r="C65" i="5" s="1"/>
  <c r="E290" i="2" s="1" a="1"/>
  <c r="E290" i="2" s="1"/>
  <c r="H141" i="7" a="1"/>
  <c r="H141" i="7" s="1"/>
  <c r="H168" i="7" a="1"/>
  <c r="H168" i="7" s="1"/>
  <c r="H108" i="5" a="1"/>
  <c r="H108" i="5" s="1"/>
  <c r="C108" i="5" s="1" a="1"/>
  <c r="C108" i="5" s="1"/>
  <c r="E492" i="2" s="1" a="1"/>
  <c r="E492" i="2" s="1"/>
  <c r="H57" i="8" a="1"/>
  <c r="H57" i="8" s="1"/>
  <c r="H279" i="4" a="1"/>
  <c r="H279" i="4" s="1"/>
  <c r="H122" i="7" a="1"/>
  <c r="H122" i="7" s="1"/>
  <c r="H154" i="6" a="1"/>
  <c r="H154" i="6" s="1"/>
  <c r="C154" i="6" s="1" a="1"/>
  <c r="C154" i="6" s="1"/>
  <c r="H384" i="4" a="1"/>
  <c r="H384" i="4" s="1"/>
  <c r="H75" i="8" a="1"/>
  <c r="H75" i="8" s="1"/>
  <c r="H112" i="7" a="1"/>
  <c r="H112" i="7" s="1"/>
  <c r="C112" i="7" s="1" a="1"/>
  <c r="C112" i="7" s="1"/>
  <c r="E435" i="2" s="1" a="1"/>
  <c r="E435" i="2" s="1"/>
  <c r="H260" i="4" a="1"/>
  <c r="H260" i="4" s="1"/>
  <c r="H97" i="4" a="1"/>
  <c r="H97" i="4" s="1"/>
  <c r="H59" i="5" a="1"/>
  <c r="H59" i="5" s="1"/>
  <c r="H18" i="7" a="1"/>
  <c r="H18" i="7" s="1"/>
  <c r="H70" i="4" a="1"/>
  <c r="H70" i="4" s="1"/>
  <c r="H145" i="8" a="1"/>
  <c r="H145" i="8" s="1"/>
  <c r="H38" i="7" a="1"/>
  <c r="H38" i="7" s="1"/>
  <c r="H196" i="7" a="1"/>
  <c r="H196" i="7" s="1"/>
  <c r="H306" i="4" a="1"/>
  <c r="H306" i="4" s="1"/>
  <c r="H342" i="4" a="1"/>
  <c r="H342" i="4" s="1"/>
  <c r="H54" i="4" a="1"/>
  <c r="H54" i="4" s="1"/>
  <c r="C54" i="4" s="1" a="1"/>
  <c r="C54" i="4" s="1"/>
  <c r="H70" i="6" a="1"/>
  <c r="H70" i="6" s="1"/>
  <c r="C70" i="6" s="1" a="1"/>
  <c r="C70" i="6" s="1"/>
  <c r="H174" i="8" a="1"/>
  <c r="H174" i="8" s="1"/>
  <c r="H72" i="5" a="1"/>
  <c r="H72" i="5" s="1"/>
  <c r="C72" i="5" s="1" a="1"/>
  <c r="C72" i="5" s="1"/>
  <c r="H43" i="5" a="1"/>
  <c r="H43" i="5" s="1"/>
  <c r="H66" i="7" a="1"/>
  <c r="H66" i="7" s="1"/>
  <c r="H3" i="7" a="1"/>
  <c r="H3" i="7" s="1"/>
  <c r="H190" i="4" a="1"/>
  <c r="H190" i="4" s="1"/>
  <c r="H100" i="6" a="1"/>
  <c r="H100" i="6" s="1"/>
  <c r="H186" i="4" a="1"/>
  <c r="H186" i="4" s="1"/>
  <c r="H359" i="4" a="1"/>
  <c r="H359" i="4" s="1"/>
  <c r="H13" i="7" a="1"/>
  <c r="H13" i="7" s="1"/>
  <c r="H391" i="4" a="1"/>
  <c r="H391" i="4" s="1"/>
  <c r="H18" i="4" a="1"/>
  <c r="H18" i="4" s="1"/>
  <c r="H157" i="4" a="1"/>
  <c r="H157" i="4" s="1"/>
  <c r="C157" i="4" s="1" a="1"/>
  <c r="C157" i="4" s="1"/>
  <c r="H139" i="7" a="1"/>
  <c r="H139" i="7" s="1"/>
  <c r="C139" i="7" s="1" a="1"/>
  <c r="C139" i="7" s="1"/>
  <c r="E501" i="2" s="1" a="1"/>
  <c r="E501" i="2" s="1"/>
  <c r="H209" i="5" a="1"/>
  <c r="H209" i="5" s="1"/>
  <c r="H150" i="8" a="1"/>
  <c r="H150" i="8" s="1"/>
  <c r="H211" i="4" a="1"/>
  <c r="H211" i="4" s="1"/>
  <c r="C211" i="4" s="1" a="1"/>
  <c r="C211" i="4" s="1"/>
  <c r="H33" i="7" a="1"/>
  <c r="H33" i="7" s="1"/>
  <c r="C33" i="7" s="1" a="1"/>
  <c r="C33" i="7" s="1"/>
  <c r="E244" i="2" s="1" a="1"/>
  <c r="E244" i="2" s="1"/>
  <c r="H31" i="8" a="1"/>
  <c r="H31" i="8" s="1"/>
  <c r="H35" i="4" a="1"/>
  <c r="H35" i="4" s="1"/>
  <c r="C35" i="4" s="1" a="1"/>
  <c r="C35" i="4" s="1"/>
  <c r="H250" i="4" a="1"/>
  <c r="H250" i="4" s="1"/>
  <c r="H26" i="7" a="1"/>
  <c r="H26" i="7" s="1"/>
  <c r="C26" i="7" s="1" a="1"/>
  <c r="C26" i="7" s="1"/>
  <c r="E129" i="2" s="1" a="1"/>
  <c r="E129" i="2" s="1"/>
  <c r="H165" i="6" a="1"/>
  <c r="H165" i="6" s="1"/>
  <c r="C165" i="6" s="1" a="1"/>
  <c r="C165" i="6" s="1"/>
  <c r="H31" i="7" a="1"/>
  <c r="H31" i="7" s="1"/>
  <c r="C31" i="7" s="1" a="1"/>
  <c r="C31" i="7" s="1"/>
  <c r="E116" i="2" s="1" a="1"/>
  <c r="E116" i="2" s="1"/>
  <c r="H319" i="4" a="1"/>
  <c r="H319" i="4" s="1"/>
  <c r="C319" i="4" s="1" a="1"/>
  <c r="C319" i="4" s="1"/>
  <c r="H258" i="4" a="1"/>
  <c r="H258" i="4" s="1"/>
  <c r="C258" i="4" s="1" a="1"/>
  <c r="C258" i="4" s="1"/>
  <c r="H72" i="6" a="1"/>
  <c r="H72" i="6" s="1"/>
  <c r="C72" i="6" s="1" a="1"/>
  <c r="C72" i="6" s="1"/>
  <c r="E464" i="2" s="1" a="1"/>
  <c r="E464" i="2" s="1"/>
  <c r="H73" i="5" a="1"/>
  <c r="H73" i="5" s="1"/>
  <c r="H157" i="5" a="1"/>
  <c r="H157" i="5" s="1"/>
  <c r="H71" i="5" a="1"/>
  <c r="H71" i="5" s="1"/>
  <c r="C71" i="5" s="1" a="1"/>
  <c r="C71" i="5" s="1"/>
  <c r="H394" i="4" a="1"/>
  <c r="H394" i="4" s="1"/>
  <c r="C394" i="4" s="1" a="1"/>
  <c r="C394" i="4" s="1"/>
  <c r="H160" i="7" a="1"/>
  <c r="H160" i="7" s="1"/>
  <c r="C160" i="7" s="1" a="1"/>
  <c r="C160" i="7" s="1"/>
  <c r="E495" i="2" s="1" a="1"/>
  <c r="E495" i="2" s="1"/>
  <c r="H116" i="5" a="1"/>
  <c r="H116" i="5" s="1"/>
  <c r="H12" i="8" a="1"/>
  <c r="H12" i="8" s="1"/>
  <c r="C12" i="8" s="1" a="1"/>
  <c r="C12" i="8" s="1"/>
  <c r="E25" i="2" s="1" a="1"/>
  <c r="E25" i="2" s="1"/>
  <c r="H341" i="4" a="1"/>
  <c r="H341" i="4" s="1"/>
  <c r="C341" i="4" s="1" a="1"/>
  <c r="C341" i="4" s="1"/>
  <c r="H81" i="7" a="1"/>
  <c r="H81" i="7" s="1"/>
  <c r="C81" i="7" s="1" a="1"/>
  <c r="C81" i="7" s="1"/>
  <c r="E200" i="2" s="1" a="1"/>
  <c r="E200" i="2" s="1"/>
  <c r="H95" i="4" a="1"/>
  <c r="H95" i="4" s="1"/>
  <c r="C95" i="4" s="1" a="1"/>
  <c r="C95" i="4" s="1"/>
  <c r="H118" i="7" a="1"/>
  <c r="H118" i="7" s="1"/>
  <c r="C118" i="7" s="1" a="1"/>
  <c r="C118" i="7" s="1"/>
  <c r="E470" i="2" s="1" a="1"/>
  <c r="E470" i="2" s="1"/>
  <c r="H104" i="5" a="1"/>
  <c r="H104" i="5" s="1"/>
  <c r="C104" i="5" s="1" a="1"/>
  <c r="C104" i="5" s="1"/>
  <c r="E418" i="2" s="1" a="1"/>
  <c r="E418" i="2" s="1"/>
  <c r="H21" i="5" a="1"/>
  <c r="H21" i="5" s="1"/>
  <c r="C21" i="5" s="1" a="1"/>
  <c r="C21" i="5" s="1"/>
  <c r="E130" i="2" s="1" a="1"/>
  <c r="E130" i="2" s="1"/>
  <c r="H44" i="5" a="1"/>
  <c r="H44" i="5" s="1"/>
  <c r="C44" i="5" s="1" a="1"/>
  <c r="C44" i="5" s="1"/>
  <c r="E208" i="2" s="1" a="1"/>
  <c r="E208" i="2" s="1"/>
  <c r="H136" i="7" a="1"/>
  <c r="H136" i="7" s="1"/>
  <c r="H49" i="7" a="1"/>
  <c r="H49" i="7" s="1"/>
  <c r="H266" i="4" a="1"/>
  <c r="H266" i="4" s="1"/>
  <c r="C266" i="4" s="1" a="1"/>
  <c r="C266" i="4" s="1"/>
  <c r="H23" i="5" a="1"/>
  <c r="H23" i="5" s="1"/>
  <c r="H228" i="4" a="1"/>
  <c r="H228" i="4" s="1"/>
  <c r="C228" i="4" s="1" a="1"/>
  <c r="C228" i="4" s="1"/>
  <c r="H301" i="4" a="1"/>
  <c r="H301" i="4" s="1"/>
  <c r="C301" i="4" s="1" a="1"/>
  <c r="C301" i="4" s="1"/>
  <c r="H104" i="4" a="1"/>
  <c r="H104" i="4" s="1"/>
  <c r="H155" i="6" a="1"/>
  <c r="H155" i="6" s="1"/>
  <c r="H195" i="4" a="1"/>
  <c r="H195" i="4" s="1"/>
  <c r="C195" i="4" s="1" a="1"/>
  <c r="C195" i="4" s="1"/>
  <c r="H117" i="6" a="1"/>
  <c r="H117" i="6" s="1"/>
  <c r="C117" i="6" s="1" a="1"/>
  <c r="C117" i="6" s="1"/>
  <c r="E481" i="2" s="1" a="1"/>
  <c r="E481" i="2" s="1"/>
  <c r="H71" i="4" a="1"/>
  <c r="H71" i="4" s="1"/>
  <c r="H25" i="5" a="1"/>
  <c r="H25" i="5" s="1"/>
  <c r="H74" i="6" a="1"/>
  <c r="H74" i="6" s="1"/>
  <c r="H169" i="5" a="1"/>
  <c r="H169" i="5" s="1"/>
  <c r="C169" i="5" s="1" a="1"/>
  <c r="C169" i="5" s="1"/>
  <c r="H177" i="7" a="1"/>
  <c r="H177" i="7" s="1"/>
  <c r="C177" i="7" s="1" a="1"/>
  <c r="C177" i="7" s="1"/>
  <c r="E597" i="2" s="1" a="1"/>
  <c r="E597" i="2" s="1"/>
  <c r="H151" i="4" a="1"/>
  <c r="H151" i="4" s="1"/>
  <c r="C151" i="4" s="1" a="1"/>
  <c r="C151" i="4" s="1"/>
  <c r="H137" i="6" a="1"/>
  <c r="H137" i="6" s="1"/>
  <c r="C137" i="6" s="1" a="1"/>
  <c r="C137" i="6" s="1"/>
  <c r="H198" i="6" a="1"/>
  <c r="H198" i="6" s="1"/>
  <c r="C198" i="6" s="1" a="1"/>
  <c r="C198" i="6" s="1"/>
  <c r="E612" i="2" s="1" a="1"/>
  <c r="E612" i="2" s="1"/>
  <c r="H76" i="8" a="1"/>
  <c r="H76" i="8" s="1"/>
  <c r="H15" i="8" a="1"/>
  <c r="H15" i="8" s="1"/>
  <c r="H137" i="4" a="1"/>
  <c r="H137" i="4" s="1"/>
  <c r="H115" i="5" a="1"/>
  <c r="H115" i="5" s="1"/>
  <c r="H30" i="5" a="1"/>
  <c r="H30" i="5" s="1"/>
  <c r="C30" i="5" s="1" a="1"/>
  <c r="C30" i="5" s="1"/>
  <c r="E229" i="2" s="1" a="1"/>
  <c r="E229" i="2" s="1"/>
  <c r="H202" i="4" a="1"/>
  <c r="H202" i="4" s="1"/>
  <c r="H47" i="7" a="1"/>
  <c r="H47" i="7" s="1"/>
  <c r="C47" i="7" s="1" a="1"/>
  <c r="C47" i="7" s="1"/>
  <c r="E266" i="2" s="1" a="1"/>
  <c r="E266" i="2" s="1"/>
  <c r="H9" i="4" a="1"/>
  <c r="H9" i="4" s="1"/>
  <c r="C9" i="4" s="1" a="1"/>
  <c r="C9" i="4" s="1"/>
  <c r="H16" i="5" a="1"/>
  <c r="H16" i="5" s="1"/>
  <c r="H172" i="6" a="1"/>
  <c r="H172" i="6" s="1"/>
  <c r="H181" i="5" a="1"/>
  <c r="H181" i="5" s="1"/>
  <c r="C181" i="5" s="1" a="1"/>
  <c r="C181" i="5" s="1"/>
  <c r="H108" i="8" a="1"/>
  <c r="H108" i="8" s="1"/>
  <c r="H75" i="4" a="1"/>
  <c r="H75" i="4" s="1"/>
  <c r="C75" i="4" s="1" a="1"/>
  <c r="C75" i="4" s="1"/>
  <c r="H39" i="5" a="1"/>
  <c r="H39" i="5" s="1"/>
  <c r="H208" i="4" a="1"/>
  <c r="H208" i="4" s="1"/>
  <c r="H159" i="6" a="1"/>
  <c r="H159" i="6" s="1"/>
  <c r="C159" i="6" s="1" a="1"/>
  <c r="C159" i="6" s="1"/>
  <c r="E592" i="2" s="1" a="1"/>
  <c r="E592" i="2" s="1"/>
  <c r="H12" i="7" a="1"/>
  <c r="H12" i="7" s="1"/>
  <c r="C12" i="7" s="1" a="1"/>
  <c r="C12" i="7" s="1"/>
  <c r="E63" i="2" s="1" a="1"/>
  <c r="E63" i="2" s="1"/>
  <c r="H14" i="7" a="1"/>
  <c r="H14" i="7" s="1"/>
  <c r="H174" i="7" a="1"/>
  <c r="H174" i="7" s="1"/>
  <c r="H280" i="4" a="1"/>
  <c r="H280" i="4" s="1"/>
  <c r="H404" i="4" a="1"/>
  <c r="H404" i="4" s="1"/>
  <c r="H12" i="5" a="1"/>
  <c r="H12" i="5" s="1"/>
  <c r="C12" i="5" s="1" a="1"/>
  <c r="C12" i="5" s="1"/>
  <c r="H139" i="5" a="1"/>
  <c r="H139" i="5" s="1"/>
  <c r="C139" i="5" s="1" a="1"/>
  <c r="C139" i="5" s="1"/>
  <c r="E453" i="2" s="1" a="1"/>
  <c r="E453" i="2" s="1"/>
  <c r="H182" i="8" a="1"/>
  <c r="H182" i="8" s="1"/>
  <c r="H188" i="7" a="1"/>
  <c r="H188" i="7" s="1"/>
  <c r="H188" i="5" a="1"/>
  <c r="H188" i="5" s="1"/>
  <c r="C188" i="5" s="1" a="1"/>
  <c r="C188" i="5" s="1"/>
  <c r="E568" i="2" s="1" a="1"/>
  <c r="E568" i="2" s="1"/>
  <c r="H54" i="6" a="1"/>
  <c r="H54" i="6" s="1"/>
  <c r="H18" i="8" a="1"/>
  <c r="H18" i="8" s="1"/>
  <c r="H186" i="7" a="1"/>
  <c r="H186" i="7" s="1"/>
  <c r="H318" i="4" a="1"/>
  <c r="H318" i="4" s="1"/>
  <c r="H396" i="4" a="1"/>
  <c r="H396" i="4" s="1"/>
  <c r="C396" i="4" s="1" a="1"/>
  <c r="C396" i="4" s="1"/>
  <c r="H200" i="4" a="1"/>
  <c r="H200" i="4" s="1"/>
  <c r="C200" i="4" s="1" a="1"/>
  <c r="C200" i="4" s="1"/>
  <c r="H148" i="5" a="1"/>
  <c r="H148" i="5" s="1"/>
  <c r="H399" i="4" a="1"/>
  <c r="H399" i="4" s="1"/>
  <c r="C399" i="4" s="1" a="1"/>
  <c r="C399" i="4" s="1"/>
  <c r="H157" i="7" a="1"/>
  <c r="H157" i="7" s="1"/>
  <c r="C157" i="7" s="1" a="1"/>
  <c r="C157" i="7" s="1"/>
  <c r="E603" i="2" s="1" a="1"/>
  <c r="E603" i="2" s="1"/>
  <c r="H27" i="8" a="1"/>
  <c r="H27" i="8" s="1"/>
  <c r="H91" i="8" a="1"/>
  <c r="H91" i="8" s="1"/>
  <c r="H138" i="6" a="1"/>
  <c r="H138" i="6" s="1"/>
  <c r="H210" i="5" a="1"/>
  <c r="H210" i="5" s="1"/>
  <c r="C210" i="5" s="1" a="1"/>
  <c r="C210" i="5" s="1"/>
  <c r="E651" i="2" s="1" a="1"/>
  <c r="E651" i="2" s="1"/>
  <c r="H51" i="5" a="1"/>
  <c r="H51" i="5" s="1"/>
  <c r="C51" i="5" s="1" a="1"/>
  <c r="C51" i="5" s="1"/>
  <c r="E355" i="2" s="1" a="1"/>
  <c r="E355" i="2" s="1"/>
  <c r="H159" i="4" a="1"/>
  <c r="H159" i="4" s="1"/>
  <c r="C159" i="4" s="1" a="1"/>
  <c r="C159" i="4" s="1"/>
  <c r="H171" i="8" a="1"/>
  <c r="H171" i="8" s="1"/>
  <c r="C171" i="8" s="1" a="1"/>
  <c r="C171" i="8" s="1"/>
  <c r="E251" i="2" s="1" a="1"/>
  <c r="E251" i="2" s="1"/>
  <c r="H103" i="4" a="1"/>
  <c r="H103" i="4" s="1"/>
  <c r="C103" i="4" s="1" a="1"/>
  <c r="C103" i="4" s="1"/>
  <c r="H17" i="5" a="1"/>
  <c r="H17" i="5" s="1"/>
  <c r="H39" i="7" a="1"/>
  <c r="H39" i="7" s="1"/>
  <c r="H269" i="4" a="1"/>
  <c r="H269" i="4" s="1"/>
  <c r="C269" i="4" s="1" a="1"/>
  <c r="C269" i="4" s="1"/>
  <c r="H10" i="4" a="1"/>
  <c r="H10" i="4" s="1"/>
  <c r="C10" i="4" s="1" a="1"/>
  <c r="C10" i="4" s="1"/>
  <c r="H205" i="5" a="1"/>
  <c r="H205" i="5" s="1"/>
  <c r="C205" i="5" s="1" a="1"/>
  <c r="C205" i="5" s="1"/>
  <c r="H163" i="6" a="1"/>
  <c r="H163" i="6" s="1"/>
  <c r="H180" i="6" a="1"/>
  <c r="H180" i="6" s="1"/>
  <c r="C180" i="6" s="1" a="1"/>
  <c r="C180" i="6" s="1"/>
  <c r="E458" i="2" s="1" a="1"/>
  <c r="E458" i="2" s="1"/>
  <c r="H29" i="7" a="1"/>
  <c r="H29" i="7" s="1"/>
  <c r="C29" i="7" s="1" a="1"/>
  <c r="C29" i="7" s="1"/>
  <c r="E335" i="2" s="1" a="1"/>
  <c r="E335" i="2" s="1"/>
  <c r="H82" i="7" a="1"/>
  <c r="H82" i="7" s="1"/>
  <c r="C82" i="7" s="1" a="1"/>
  <c r="C82" i="7" s="1"/>
  <c r="E440" i="2" s="1" a="1"/>
  <c r="E440" i="2" s="1"/>
  <c r="H203" i="4" a="1"/>
  <c r="H203" i="4" s="1"/>
  <c r="C203" i="4" s="1" a="1"/>
  <c r="C203" i="4" s="1"/>
  <c r="H73" i="6" a="1"/>
  <c r="H73" i="6" s="1"/>
  <c r="C73" i="6" s="1" a="1"/>
  <c r="C73" i="6" s="1"/>
  <c r="E443" i="2" s="1" a="1"/>
  <c r="E443" i="2" s="1"/>
  <c r="H161" i="4" a="1"/>
  <c r="H161" i="4" s="1"/>
  <c r="C161" i="4" s="1" a="1"/>
  <c r="C161" i="4" s="1"/>
  <c r="H167" i="4" a="1"/>
  <c r="H167" i="4" s="1"/>
  <c r="C167" i="4" s="1" a="1"/>
  <c r="C167" i="4" s="1"/>
  <c r="H109" i="7" a="1"/>
  <c r="H109" i="7" s="1"/>
  <c r="H52" i="4" a="1"/>
  <c r="H52" i="4" s="1"/>
  <c r="C52" i="4" s="1" a="1"/>
  <c r="C52" i="4" s="1"/>
  <c r="H95" i="6" a="1"/>
  <c r="H95" i="6" s="1"/>
  <c r="C95" i="6" s="1" a="1"/>
  <c r="C95" i="6" s="1"/>
  <c r="H187" i="5" a="1"/>
  <c r="H187" i="5" s="1"/>
  <c r="C187" i="5" s="1" a="1"/>
  <c r="C187" i="5" s="1"/>
  <c r="H202" i="7" a="1"/>
  <c r="H202" i="7" s="1"/>
  <c r="H11" i="5" a="1"/>
  <c r="H11" i="5" s="1"/>
  <c r="C11" i="5" s="1" a="1"/>
  <c r="C11" i="5" s="1"/>
  <c r="H78" i="5" a="1"/>
  <c r="H78" i="5" s="1"/>
  <c r="H126" i="6" a="1"/>
  <c r="H126" i="6" s="1"/>
  <c r="C126" i="6" s="1" a="1"/>
  <c r="C126" i="6" s="1"/>
  <c r="H33" i="8" a="1"/>
  <c r="H33" i="8" s="1"/>
  <c r="H223" i="4" a="1"/>
  <c r="H223" i="4" s="1"/>
  <c r="C223" i="4" s="1" a="1"/>
  <c r="C223" i="4" s="1"/>
  <c r="H205" i="4" a="1"/>
  <c r="H205" i="4" s="1"/>
  <c r="C205" i="4" s="1" a="1"/>
  <c r="C205" i="4" s="1"/>
  <c r="H120" i="7" a="1"/>
  <c r="H120" i="7" s="1"/>
  <c r="H231" i="4" a="1"/>
  <c r="H231" i="4" s="1"/>
  <c r="H19" i="6" a="1"/>
  <c r="H19" i="6" s="1"/>
  <c r="C19" i="6" s="1" a="1"/>
  <c r="C19" i="6" s="1"/>
  <c r="H127" i="5" a="1"/>
  <c r="H127" i="5" s="1"/>
  <c r="C127" i="5" s="1" a="1"/>
  <c r="C127" i="5" s="1"/>
  <c r="E512" i="2" s="1" a="1"/>
  <c r="E512" i="2" s="1"/>
  <c r="H166" i="5" a="1"/>
  <c r="H166" i="5" s="1"/>
  <c r="C166" i="5" s="1" a="1"/>
  <c r="C166" i="5" s="1"/>
  <c r="H263" i="4" a="1"/>
  <c r="H263" i="4" s="1"/>
  <c r="C263" i="4" s="1" a="1"/>
  <c r="C263" i="4" s="1"/>
  <c r="H171" i="5" a="1"/>
  <c r="H171" i="5" s="1"/>
  <c r="C171" i="5" s="1" a="1"/>
  <c r="C171" i="5" s="1"/>
  <c r="H91" i="4" a="1"/>
  <c r="H91" i="4" s="1"/>
  <c r="C91" i="4" s="1" a="1"/>
  <c r="C91" i="4" s="1"/>
  <c r="H132" i="5" a="1"/>
  <c r="H132" i="5" s="1"/>
  <c r="H155" i="8" a="1"/>
  <c r="H155" i="8" s="1"/>
  <c r="H11" i="8" a="1"/>
  <c r="H11" i="8" s="1"/>
  <c r="C11" i="8" s="1" a="1"/>
  <c r="C11" i="8" s="1"/>
  <c r="E19" i="2" s="1" a="1"/>
  <c r="E19" i="2" s="1"/>
  <c r="H152" i="6" a="1"/>
  <c r="H152" i="6" s="1"/>
  <c r="C152" i="6" s="1" a="1"/>
  <c r="C152" i="6" s="1"/>
  <c r="E487" i="2" s="1" a="1"/>
  <c r="E487" i="2" s="1"/>
  <c r="H290" i="4" a="1"/>
  <c r="H290" i="4" s="1"/>
  <c r="H71" i="6" a="1"/>
  <c r="H71" i="6" s="1"/>
  <c r="C71" i="6" s="1" a="1"/>
  <c r="C71" i="6" s="1"/>
  <c r="H204" i="7" a="1"/>
  <c r="H204" i="7" s="1"/>
  <c r="C204" i="7" s="1" a="1"/>
  <c r="C204" i="7" s="1"/>
  <c r="E493" i="2" s="1" a="1"/>
  <c r="E493" i="2" s="1"/>
  <c r="H168" i="8" a="1"/>
  <c r="H168" i="8" s="1"/>
  <c r="H307" i="4" a="1"/>
  <c r="H307" i="4" s="1"/>
  <c r="C307" i="4" s="1" a="1"/>
  <c r="C307" i="4" s="1"/>
  <c r="H34" i="8" a="1"/>
  <c r="H34" i="8" s="1"/>
  <c r="H172" i="4" a="1"/>
  <c r="H172" i="4" s="1"/>
  <c r="C172" i="4" s="1" a="1"/>
  <c r="C172" i="4" s="1"/>
  <c r="H179" i="6" a="1"/>
  <c r="H179" i="6" s="1"/>
  <c r="H131" i="5" a="1"/>
  <c r="H131" i="5" s="1"/>
  <c r="C131" i="5" s="1" a="1"/>
  <c r="C131" i="5" s="1"/>
  <c r="H190" i="7" a="1"/>
  <c r="H190" i="7" s="1"/>
  <c r="H100" i="4" a="1"/>
  <c r="H100" i="4" s="1"/>
  <c r="C100" i="4" s="1" a="1"/>
  <c r="C100" i="4" s="1"/>
  <c r="H69" i="6" a="1"/>
  <c r="H69" i="6" s="1"/>
  <c r="C69" i="6" s="1" a="1"/>
  <c r="C69" i="6" s="1"/>
  <c r="H163" i="4" a="1"/>
  <c r="H163" i="4" s="1"/>
  <c r="H17" i="6" a="1"/>
  <c r="H17" i="6" s="1"/>
  <c r="H271" i="4" a="1"/>
  <c r="H271" i="4" s="1"/>
  <c r="H383" i="4" a="1"/>
  <c r="H383" i="4" s="1"/>
  <c r="C383" i="4" s="1" a="1"/>
  <c r="C383" i="4" s="1"/>
  <c r="H47" i="6" a="1"/>
  <c r="H47" i="6" s="1"/>
  <c r="C47" i="6" s="1" a="1"/>
  <c r="C47" i="6" s="1"/>
  <c r="E343" i="2" s="1" a="1"/>
  <c r="E343" i="2" s="1"/>
  <c r="H175" i="5" a="1"/>
  <c r="H175" i="5" s="1"/>
  <c r="H178" i="4" a="1"/>
  <c r="H178" i="4" s="1"/>
  <c r="C178" i="4" s="1" a="1"/>
  <c r="C178" i="4" s="1"/>
  <c r="H262" i="4" a="1"/>
  <c r="H262" i="4" s="1"/>
  <c r="C262" i="4" s="1" a="1"/>
  <c r="C262" i="4" s="1"/>
  <c r="H46" i="6" a="1"/>
  <c r="H46" i="6" s="1"/>
  <c r="C46" i="6" s="1" a="1"/>
  <c r="C46" i="6" s="1"/>
  <c r="H93" i="4" a="1"/>
  <c r="H93" i="4" s="1"/>
  <c r="C93" i="4" s="1" a="1"/>
  <c r="C93" i="4" s="1"/>
  <c r="H82" i="6" a="1"/>
  <c r="H82" i="6" s="1"/>
  <c r="H142" i="5" a="1"/>
  <c r="H142" i="5" s="1"/>
  <c r="H200" i="5" a="1"/>
  <c r="H200" i="5" s="1"/>
  <c r="C200" i="5" s="1" a="1"/>
  <c r="C200" i="5" s="1"/>
  <c r="C156" i="6" a="1"/>
  <c r="C156" i="6" s="1"/>
  <c r="C77" i="8" a="1"/>
  <c r="C77" i="8" s="1"/>
  <c r="E213" i="2" s="1" a="1"/>
  <c r="E213" i="2" s="1"/>
  <c r="H98" i="4" a="1"/>
  <c r="H98" i="4" s="1"/>
  <c r="C98" i="4" s="1" a="1"/>
  <c r="C98" i="4" s="1"/>
  <c r="H297" i="4" a="1"/>
  <c r="H297" i="4" s="1"/>
  <c r="H138" i="5" a="1"/>
  <c r="H138" i="5" s="1"/>
  <c r="C138" i="5" s="1" a="1"/>
  <c r="C138" i="5" s="1"/>
  <c r="E513" i="2" s="1" a="1"/>
  <c r="E513" i="2" s="1"/>
  <c r="H166" i="4" a="1"/>
  <c r="H166" i="4" s="1"/>
  <c r="C166" i="4" s="1" a="1"/>
  <c r="C166" i="4" s="1"/>
  <c r="H21" i="6" a="1"/>
  <c r="H21" i="6" s="1"/>
  <c r="C21" i="6" s="1" a="1"/>
  <c r="C21" i="6" s="1"/>
  <c r="E88" i="2" s="1" a="1"/>
  <c r="E88" i="2" s="1"/>
  <c r="H204" i="8" a="1"/>
  <c r="H204" i="8" s="1"/>
  <c r="H114" i="5" a="1"/>
  <c r="H114" i="5" s="1"/>
  <c r="C114" i="5" s="1" a="1"/>
  <c r="C114" i="5" s="1"/>
  <c r="H162" i="7" a="1"/>
  <c r="H162" i="7" s="1"/>
  <c r="H105" i="4" a="1"/>
  <c r="H105" i="4" s="1"/>
  <c r="C105" i="4" s="1" a="1"/>
  <c r="C105" i="4" s="1"/>
  <c r="H50" i="6" a="1"/>
  <c r="H50" i="6" s="1"/>
  <c r="H97" i="5" a="1"/>
  <c r="H97" i="5" s="1"/>
  <c r="C97" i="5" s="1" a="1"/>
  <c r="C97" i="5" s="1"/>
  <c r="H32" i="6" a="1"/>
  <c r="H32" i="6" s="1"/>
  <c r="C32" i="6" s="1" a="1"/>
  <c r="C32" i="6" s="1"/>
  <c r="H86" i="7" a="1"/>
  <c r="H86" i="7" s="1"/>
  <c r="C86" i="7" s="1" a="1"/>
  <c r="C86" i="7" s="1"/>
  <c r="E571" i="2" s="1" a="1"/>
  <c r="E571" i="2" s="1"/>
  <c r="H170" i="7" a="1"/>
  <c r="H170" i="7" s="1"/>
  <c r="C170" i="7" s="1" a="1"/>
  <c r="C170" i="7" s="1"/>
  <c r="E563" i="2" s="1" a="1"/>
  <c r="E563" i="2" s="1"/>
  <c r="H382" i="4" a="1"/>
  <c r="H382" i="4" s="1"/>
  <c r="C382" i="4" s="1" a="1"/>
  <c r="C382" i="4" s="1"/>
  <c r="C98" i="8" a="1"/>
  <c r="C98" i="8" s="1"/>
  <c r="E320" i="2" s="1" a="1"/>
  <c r="E320" i="2" s="1"/>
  <c r="C102" i="8" a="1"/>
  <c r="C102" i="8" s="1"/>
  <c r="E267" i="2" s="1" a="1"/>
  <c r="E267" i="2" s="1"/>
  <c r="H14" i="8" a="1"/>
  <c r="H14" i="8" s="1"/>
  <c r="C14" i="8" s="1" a="1"/>
  <c r="C14" i="8" s="1"/>
  <c r="E18" i="2" s="1" a="1"/>
  <c r="E18" i="2" s="1"/>
  <c r="H78" i="6" a="1"/>
  <c r="H78" i="6" s="1"/>
  <c r="C78" i="6" s="1" a="1"/>
  <c r="C78" i="6" s="1"/>
  <c r="E388" i="2" s="1" a="1"/>
  <c r="E388" i="2" s="1"/>
  <c r="H72" i="4" a="1"/>
  <c r="H72" i="4" s="1"/>
  <c r="H220" i="4" a="1"/>
  <c r="H220" i="4" s="1"/>
  <c r="C220" i="4" s="1" a="1"/>
  <c r="C220" i="4" s="1"/>
  <c r="H112" i="4" a="1"/>
  <c r="H112" i="4" s="1"/>
  <c r="H80" i="7" a="1"/>
  <c r="H80" i="7" s="1"/>
  <c r="C80" i="7" s="1" a="1"/>
  <c r="C80" i="7" s="1"/>
  <c r="E387" i="2" s="1" a="1"/>
  <c r="E387" i="2" s="1"/>
  <c r="H120" i="6" a="1"/>
  <c r="H120" i="6" s="1"/>
  <c r="H355" i="4" a="1"/>
  <c r="H355" i="4" s="1"/>
  <c r="C355" i="4" s="1" a="1"/>
  <c r="C355" i="4" s="1"/>
  <c r="H95" i="8" a="1"/>
  <c r="H95" i="8" s="1"/>
  <c r="H171" i="4" a="1"/>
  <c r="H171" i="4" s="1"/>
  <c r="H100" i="5" a="1"/>
  <c r="H100" i="5" s="1"/>
  <c r="C100" i="5" s="1" a="1"/>
  <c r="C100" i="5" s="1"/>
  <c r="H4" i="6" a="1"/>
  <c r="H4" i="6" s="1"/>
  <c r="C4" i="6" s="1" a="1"/>
  <c r="C4" i="6" s="1"/>
  <c r="E51" i="2" s="1" a="1"/>
  <c r="E51" i="2" s="1"/>
  <c r="H181" i="7" a="1"/>
  <c r="H181" i="7" s="1"/>
  <c r="C181" i="7" s="1" a="1"/>
  <c r="C181" i="7" s="1"/>
  <c r="E533" i="2" s="1" a="1"/>
  <c r="E533" i="2" s="1"/>
  <c r="H345" i="4" a="1"/>
  <c r="H345" i="4" s="1"/>
  <c r="H186" i="6" a="1"/>
  <c r="H186" i="6" s="1"/>
  <c r="C186" i="6" s="1" a="1"/>
  <c r="C186" i="6" s="1"/>
  <c r="E426" i="2" s="1" a="1"/>
  <c r="E426" i="2" s="1"/>
  <c r="H41" i="5" a="1"/>
  <c r="H41" i="5" s="1"/>
  <c r="H42" i="7" a="1"/>
  <c r="H42" i="7" s="1"/>
  <c r="C42" i="7" s="1" a="1"/>
  <c r="C42" i="7" s="1"/>
  <c r="E219" i="2" s="1" a="1"/>
  <c r="E219" i="2" s="1"/>
  <c r="H108" i="6" a="1"/>
  <c r="H108" i="6" s="1"/>
  <c r="H92" i="8" a="1"/>
  <c r="H92" i="8" s="1"/>
  <c r="H99" i="4" a="1"/>
  <c r="H99" i="4" s="1"/>
  <c r="C99" i="4" s="1" a="1"/>
  <c r="C99" i="4" s="1"/>
  <c r="H325" i="4" a="1"/>
  <c r="H325" i="4" s="1"/>
  <c r="C325" i="4" s="1" a="1"/>
  <c r="C325" i="4" s="1"/>
  <c r="H28" i="4" a="1"/>
  <c r="H28" i="4" s="1"/>
  <c r="C28" i="4" s="1" a="1"/>
  <c r="C28" i="4" s="1"/>
  <c r="H192" i="4" a="1"/>
  <c r="H192" i="4" s="1"/>
  <c r="C192" i="4" s="1" a="1"/>
  <c r="C192" i="4" s="1"/>
  <c r="H194" i="8" a="1"/>
  <c r="H194" i="8" s="1"/>
  <c r="H149" i="5" a="1"/>
  <c r="H149" i="5" s="1"/>
  <c r="H167" i="8" a="1"/>
  <c r="H167" i="8" s="1"/>
  <c r="H209" i="6" a="1"/>
  <c r="H209" i="6" s="1"/>
  <c r="C209" i="6" s="1" a="1"/>
  <c r="C209" i="6" s="1"/>
  <c r="H9" i="7" a="1"/>
  <c r="H9" i="7" s="1"/>
  <c r="H183" i="4" a="1"/>
  <c r="H183" i="4" s="1"/>
  <c r="C183" i="4" s="1" a="1"/>
  <c r="C183" i="4" s="1"/>
  <c r="H72" i="8" a="1"/>
  <c r="H72" i="8" s="1"/>
  <c r="H48" i="4" a="1"/>
  <c r="H48" i="4" s="1"/>
  <c r="H107" i="4" a="1"/>
  <c r="H107" i="4" s="1"/>
  <c r="C107" i="4" s="1" a="1"/>
  <c r="C107" i="4" s="1"/>
  <c r="H37" i="5" a="1"/>
  <c r="H37" i="5" s="1"/>
  <c r="C37" i="5" s="1" a="1"/>
  <c r="C37" i="5" s="1"/>
  <c r="H188" i="8" a="1"/>
  <c r="H188" i="8" s="1"/>
  <c r="C188" i="8" s="1" a="1"/>
  <c r="C188" i="8" s="1"/>
  <c r="E353" i="2" s="1" a="1"/>
  <c r="E353" i="2" s="1"/>
  <c r="H170" i="5" a="1"/>
  <c r="H170" i="5" s="1"/>
  <c r="C170" i="5" s="1" a="1"/>
  <c r="C170" i="5" s="1"/>
  <c r="E604" i="2" s="1" a="1"/>
  <c r="E604" i="2" s="1"/>
  <c r="H205" i="7" a="1"/>
  <c r="H205" i="7" s="1"/>
  <c r="H103" i="6" a="1"/>
  <c r="H103" i="6" s="1"/>
  <c r="C103" i="6" s="1" a="1"/>
  <c r="C103" i="6" s="1"/>
  <c r="H153" i="7" a="1"/>
  <c r="H153" i="7" s="1"/>
  <c r="H46" i="4" a="1"/>
  <c r="H46" i="4" s="1"/>
  <c r="C46" i="4" s="1" a="1"/>
  <c r="C46" i="4" s="1"/>
  <c r="H207" i="7" a="1"/>
  <c r="H207" i="7" s="1"/>
  <c r="C207" i="7" s="1" a="1"/>
  <c r="C207" i="7" s="1"/>
  <c r="E649" i="2" s="1" a="1"/>
  <c r="E649" i="2" s="1"/>
  <c r="H227" i="4" a="1"/>
  <c r="H227" i="4" s="1"/>
  <c r="C227" i="4" s="1" a="1"/>
  <c r="C227" i="4" s="1"/>
  <c r="H125" i="4" a="1"/>
  <c r="H125" i="4" s="1"/>
  <c r="C125" i="4" s="1" a="1"/>
  <c r="C125" i="4" s="1"/>
  <c r="H153" i="8" a="1"/>
  <c r="H153" i="8" s="1"/>
  <c r="H133" i="5" a="1"/>
  <c r="H133" i="5" s="1"/>
  <c r="C133" i="5" s="1" a="1"/>
  <c r="C133" i="5" s="1"/>
  <c r="H407" i="4" a="1"/>
  <c r="H407" i="4" s="1"/>
  <c r="C407" i="4" s="1" a="1"/>
  <c r="C407" i="4" s="1"/>
  <c r="H185" i="4" a="1"/>
  <c r="H185" i="4" s="1"/>
  <c r="H80" i="5" a="1"/>
  <c r="H80" i="5" s="1"/>
  <c r="C80" i="5" s="1" a="1"/>
  <c r="C80" i="5" s="1"/>
  <c r="H314" i="4" a="1"/>
  <c r="H314" i="4" s="1"/>
  <c r="H49" i="6" a="1"/>
  <c r="H49" i="6" s="1"/>
  <c r="H18" i="6" a="1"/>
  <c r="H18" i="6" s="1"/>
  <c r="C18" i="6" s="1" a="1"/>
  <c r="C18" i="6" s="1"/>
  <c r="H141" i="5" a="1"/>
  <c r="H141" i="5" s="1"/>
  <c r="C141" i="5" s="1" a="1"/>
  <c r="C141" i="5" s="1"/>
  <c r="E475" i="2" s="1" a="1"/>
  <c r="E475" i="2" s="1"/>
  <c r="H25" i="8" a="1"/>
  <c r="H25" i="8" s="1"/>
  <c r="H8" i="5" a="1"/>
  <c r="H8" i="5" s="1"/>
  <c r="C8" i="5" s="1" a="1"/>
  <c r="C8" i="5" s="1"/>
  <c r="E23" i="2" s="1" a="1"/>
  <c r="E23" i="2" s="1"/>
  <c r="H392" i="4" a="1"/>
  <c r="H392" i="4" s="1"/>
  <c r="H20" i="8" a="1"/>
  <c r="H20" i="8" s="1"/>
  <c r="H386" i="4" a="1"/>
  <c r="H386" i="4" s="1"/>
  <c r="C386" i="4" s="1" a="1"/>
  <c r="C386" i="4" s="1"/>
  <c r="H37" i="4" a="1"/>
  <c r="H37" i="4" s="1"/>
  <c r="C37" i="4" s="1" a="1"/>
  <c r="C37" i="4" s="1"/>
  <c r="H144" i="4" a="1"/>
  <c r="H144" i="4" s="1"/>
  <c r="C144" i="4" s="1" a="1"/>
  <c r="C144" i="4" s="1"/>
  <c r="H101" i="5" a="1"/>
  <c r="H101" i="5" s="1"/>
  <c r="H374" i="4" a="1"/>
  <c r="H374" i="4" s="1"/>
  <c r="C374" i="4" s="1" a="1"/>
  <c r="C374" i="4" s="1"/>
  <c r="H82" i="5" a="1"/>
  <c r="H82" i="5" s="1"/>
  <c r="C82" i="5" s="1" a="1"/>
  <c r="C82" i="5" s="1"/>
  <c r="E376" i="2" s="1" a="1"/>
  <c r="E376" i="2" s="1"/>
  <c r="H170" i="8" a="1"/>
  <c r="H170" i="8" s="1"/>
  <c r="C170" i="8" s="1" a="1"/>
  <c r="C170" i="8" s="1"/>
  <c r="E248" i="2" s="1" a="1"/>
  <c r="E248" i="2" s="1"/>
  <c r="H85" i="5" a="1"/>
  <c r="H85" i="5" s="1"/>
  <c r="C85" i="5" s="1" a="1"/>
  <c r="C85" i="5" s="1"/>
  <c r="H126" i="8" a="1"/>
  <c r="H126" i="8" s="1"/>
  <c r="H198" i="8" a="1"/>
  <c r="H198" i="8" s="1"/>
  <c r="C198" i="8" s="1" a="1"/>
  <c r="C198" i="8" s="1"/>
  <c r="E340" i="2" s="1" a="1"/>
  <c r="E340" i="2" s="1"/>
  <c r="H24" i="6" a="1"/>
  <c r="H24" i="6" s="1"/>
  <c r="C24" i="6" s="1" a="1"/>
  <c r="C24" i="6" s="1"/>
  <c r="E29" i="2" s="1" a="1"/>
  <c r="E29" i="2" s="1"/>
  <c r="H107" i="7" a="1"/>
  <c r="H107" i="7" s="1"/>
  <c r="C107" i="7" s="1" a="1"/>
  <c r="C107" i="7" s="1"/>
  <c r="E615" i="2" s="1" a="1"/>
  <c r="E615" i="2" s="1"/>
  <c r="H190" i="6" a="1"/>
  <c r="H190" i="6" s="1"/>
  <c r="C190" i="6" s="1" a="1"/>
  <c r="C190" i="6" s="1"/>
  <c r="H101" i="8" a="1"/>
  <c r="H101" i="8" s="1"/>
  <c r="C101" i="8" s="1" a="1"/>
  <c r="C101" i="8" s="1"/>
  <c r="E262" i="2" s="1" a="1"/>
  <c r="E262" i="2" s="1"/>
  <c r="H61" i="4" a="1"/>
  <c r="H61" i="4" s="1"/>
  <c r="C61" i="4" s="1" a="1"/>
  <c r="C61" i="4" s="1"/>
  <c r="H8" i="7" a="1"/>
  <c r="H8" i="7" s="1"/>
  <c r="C8" i="7" s="1" a="1"/>
  <c r="C8" i="7" s="1"/>
  <c r="E49" i="2" s="1" a="1"/>
  <c r="E49" i="2" s="1"/>
  <c r="H89" i="7" a="1"/>
  <c r="H89" i="7" s="1"/>
  <c r="H352" i="4" a="1"/>
  <c r="H352" i="4" s="1"/>
  <c r="H116" i="6" a="1"/>
  <c r="H116" i="6" s="1"/>
  <c r="C116" i="6" s="1" a="1"/>
  <c r="C116" i="6" s="1"/>
  <c r="H103" i="5" a="1"/>
  <c r="H103" i="5" s="1"/>
  <c r="C103" i="5" s="1" a="1"/>
  <c r="C103" i="5" s="1"/>
  <c r="H3" i="4" a="1"/>
  <c r="H3" i="4" s="1"/>
  <c r="H133" i="7" a="1"/>
  <c r="H133" i="7" s="1"/>
  <c r="H19" i="7" a="1"/>
  <c r="H19" i="7" s="1"/>
  <c r="H278" i="4" a="1"/>
  <c r="H278" i="4" s="1"/>
  <c r="C278" i="4" s="1" a="1"/>
  <c r="C278" i="4" s="1"/>
  <c r="H28" i="8" a="1"/>
  <c r="H28" i="8" s="1"/>
  <c r="H166" i="7" a="1"/>
  <c r="H166" i="7" s="1"/>
  <c r="C166" i="7" s="1" a="1"/>
  <c r="C166" i="7" s="1"/>
  <c r="E657" i="2" s="1" a="1"/>
  <c r="E657" i="2" s="1"/>
  <c r="H136" i="5" a="1"/>
  <c r="H136" i="5" s="1"/>
  <c r="C136" i="5" s="1" a="1"/>
  <c r="C136" i="5" s="1"/>
  <c r="E609" i="2" s="1" a="1"/>
  <c r="E609" i="2" s="1"/>
  <c r="H168" i="6" a="1"/>
  <c r="H168" i="6" s="1"/>
  <c r="C168" i="6" s="1" a="1"/>
  <c r="C168" i="6" s="1"/>
  <c r="H53" i="7" a="1"/>
  <c r="H53" i="7" s="1"/>
  <c r="C53" i="7" s="1" a="1"/>
  <c r="C53" i="7" s="1"/>
  <c r="E234" i="2" s="1" a="1"/>
  <c r="E234" i="2" s="1"/>
  <c r="H147" i="7" a="1"/>
  <c r="H147" i="7" s="1"/>
  <c r="C147" i="7" s="1" a="1"/>
  <c r="C147" i="7" s="1"/>
  <c r="E534" i="2" s="1" a="1"/>
  <c r="E534" i="2" s="1"/>
  <c r="H65" i="4" a="1"/>
  <c r="H65" i="4" s="1"/>
  <c r="C65" i="4" s="1" a="1"/>
  <c r="C65" i="4" s="1"/>
  <c r="H158" i="5" a="1"/>
  <c r="H158" i="5" s="1"/>
  <c r="H84" i="7" a="1"/>
  <c r="H84" i="7" s="1"/>
  <c r="C84" i="7" s="1" a="1"/>
  <c r="C84" i="7" s="1"/>
  <c r="E296" i="2" s="1" a="1"/>
  <c r="E296" i="2" s="1"/>
  <c r="H372" i="4" a="1"/>
  <c r="H372" i="4" s="1"/>
  <c r="C372" i="4" s="1" a="1"/>
  <c r="C372" i="4" s="1"/>
  <c r="H165" i="5" a="1"/>
  <c r="H165" i="5" s="1"/>
  <c r="H87" i="5" a="1"/>
  <c r="H87" i="5" s="1"/>
  <c r="C87" i="5" s="1" a="1"/>
  <c r="C87" i="5" s="1"/>
  <c r="H312" i="4" a="1"/>
  <c r="H312" i="4" s="1"/>
  <c r="C312" i="4" s="1" a="1"/>
  <c r="C312" i="4" s="1"/>
  <c r="H187" i="7" a="1"/>
  <c r="H187" i="7" s="1"/>
  <c r="C187" i="7" s="1" a="1"/>
  <c r="C187" i="7" s="1"/>
  <c r="E522" i="2" s="1" a="1"/>
  <c r="E522" i="2" s="1"/>
  <c r="H44" i="6" a="1"/>
  <c r="H44" i="6" s="1"/>
  <c r="C44" i="6" s="1" a="1"/>
  <c r="C44" i="6" s="1"/>
  <c r="E252" i="2" s="1" a="1"/>
  <c r="E252" i="2" s="1"/>
  <c r="H91" i="7" a="1"/>
  <c r="H91" i="7" s="1"/>
  <c r="C91" i="7" s="1" a="1"/>
  <c r="C91" i="7" s="1"/>
  <c r="E551" i="2" s="1" a="1"/>
  <c r="E551" i="2" s="1"/>
  <c r="H181" i="4" a="1"/>
  <c r="H181" i="4" s="1"/>
  <c r="C181" i="4" s="1" a="1"/>
  <c r="C181" i="4" s="1"/>
  <c r="H52" i="5" a="1"/>
  <c r="H52" i="5" s="1"/>
  <c r="C52" i="5" s="1" a="1"/>
  <c r="C52" i="5" s="1"/>
  <c r="H158" i="6" a="1"/>
  <c r="H158" i="6" s="1"/>
  <c r="C5" i="7" a="1"/>
  <c r="C5" i="7" s="1"/>
  <c r="E39" i="2" s="1" a="1"/>
  <c r="E39" i="2" s="1"/>
  <c r="H371" i="4" a="1"/>
  <c r="H371" i="4" s="1"/>
  <c r="H84" i="5" a="1"/>
  <c r="H84" i="5" s="1"/>
  <c r="C84" i="5" s="1" a="1"/>
  <c r="C84" i="5" s="1"/>
  <c r="E305" i="2" s="1" a="1"/>
  <c r="E305" i="2" s="1"/>
  <c r="H13" i="9" a="1"/>
  <c r="H13" i="9" s="1"/>
  <c r="H131" i="7" a="1"/>
  <c r="H131" i="7" s="1"/>
  <c r="C131" i="7" s="1" a="1"/>
  <c r="C131" i="7" s="1"/>
  <c r="E490" i="2" s="1" a="1"/>
  <c r="E490" i="2" s="1"/>
  <c r="H58" i="4" a="1"/>
  <c r="H58" i="4" s="1"/>
  <c r="C58" i="4" s="1" a="1"/>
  <c r="C58" i="4" s="1"/>
  <c r="H6" i="4" a="1"/>
  <c r="H6" i="4" s="1"/>
  <c r="H53" i="4" a="1"/>
  <c r="H53" i="4" s="1"/>
  <c r="H210" i="4" a="1"/>
  <c r="H210" i="4" s="1"/>
  <c r="C210" i="4" s="1" a="1"/>
  <c r="C210" i="4" s="1"/>
  <c r="H51" i="6" a="1"/>
  <c r="H51" i="6" s="1"/>
  <c r="C51" i="6" s="1" a="1"/>
  <c r="C51" i="6" s="1"/>
  <c r="H59" i="7" a="1"/>
  <c r="H59" i="7" s="1"/>
  <c r="C59" i="7" s="1" a="1"/>
  <c r="C59" i="7" s="1"/>
  <c r="E157" i="2" s="1" a="1"/>
  <c r="E157" i="2" s="1"/>
  <c r="H101" i="6" a="1"/>
  <c r="H101" i="6" s="1"/>
  <c r="H40" i="7" a="1"/>
  <c r="H40" i="7" s="1"/>
  <c r="H108" i="4" a="1"/>
  <c r="H108" i="4" s="1"/>
  <c r="C108" i="4" s="1" a="1"/>
  <c r="C108" i="4" s="1"/>
  <c r="H233" i="4" a="1"/>
  <c r="H233" i="4" s="1"/>
  <c r="C233" i="4" s="1" a="1"/>
  <c r="C233" i="4" s="1"/>
  <c r="H110" i="8" a="1"/>
  <c r="H110" i="8" s="1"/>
  <c r="C110" i="8" s="1" a="1"/>
  <c r="C110" i="8" s="1"/>
  <c r="E230" i="2" s="1" a="1"/>
  <c r="E230" i="2" s="1"/>
  <c r="H200" i="7" a="1"/>
  <c r="H200" i="7" s="1"/>
  <c r="C70" i="7" a="1"/>
  <c r="C70" i="7" s="1"/>
  <c r="E268" i="2" s="1" a="1"/>
  <c r="E268" i="2" s="1"/>
  <c r="H27" i="9" a="1"/>
  <c r="H27" i="9" s="1"/>
  <c r="C106" i="8" a="1"/>
  <c r="C106" i="8" s="1"/>
  <c r="E218" i="2" s="1" a="1"/>
  <c r="E218" i="2" s="1"/>
  <c r="H41" i="7" a="1"/>
  <c r="H41" i="7" s="1"/>
  <c r="C41" i="7" s="1" a="1"/>
  <c r="C41" i="7" s="1"/>
  <c r="E265" i="2" s="1" a="1"/>
  <c r="E265" i="2" s="1"/>
  <c r="H110" i="5" a="1"/>
  <c r="H110" i="5" s="1"/>
  <c r="C60" i="8" a="1"/>
  <c r="C60" i="8" s="1"/>
  <c r="E180" i="2" s="1" a="1"/>
  <c r="E180" i="2" s="1"/>
  <c r="H55" i="6" a="1"/>
  <c r="H55" i="6" s="1"/>
  <c r="C55" i="6" s="1" a="1"/>
  <c r="C55" i="6" s="1"/>
  <c r="H71" i="8" a="1"/>
  <c r="H71" i="8" s="1"/>
  <c r="C71" i="8" s="1" a="1"/>
  <c r="C71" i="8" s="1"/>
  <c r="E76" i="2" s="1" a="1"/>
  <c r="E76" i="2" s="1"/>
  <c r="H191" i="4" a="1"/>
  <c r="H191" i="4" s="1"/>
  <c r="C191" i="4" s="1" a="1"/>
  <c r="C191" i="4" s="1"/>
  <c r="C289" i="4" a="1"/>
  <c r="C289" i="4" s="1"/>
  <c r="H185" i="5" a="1"/>
  <c r="H185" i="5" s="1"/>
  <c r="C185" i="5" s="1" a="1"/>
  <c r="C185" i="5" s="1"/>
  <c r="H86" i="5" a="1"/>
  <c r="H86" i="5" s="1"/>
  <c r="C86" i="5" s="1" a="1"/>
  <c r="C86" i="5" s="1"/>
  <c r="C6" i="7" a="1"/>
  <c r="C6" i="7" s="1"/>
  <c r="E21" i="2" s="1" a="1"/>
  <c r="E21" i="2" s="1"/>
  <c r="C6" i="3" s="1" a="1"/>
  <c r="C6" i="3" s="1"/>
  <c r="H117" i="7" a="1"/>
  <c r="H117" i="7" s="1"/>
  <c r="C69" i="5" a="1"/>
  <c r="C69" i="5" s="1"/>
  <c r="H7" i="5" a="1"/>
  <c r="H7" i="5" s="1"/>
  <c r="C7" i="5" s="1" a="1"/>
  <c r="C7" i="5" s="1"/>
  <c r="H178" i="5" a="1"/>
  <c r="H178" i="5" s="1"/>
  <c r="C178" i="5" s="1" a="1"/>
  <c r="C178" i="5" s="1"/>
  <c r="H357" i="4" a="1"/>
  <c r="H357" i="4" s="1"/>
  <c r="C357" i="4" s="1" a="1"/>
  <c r="C357" i="4" s="1"/>
  <c r="H39" i="4" a="1"/>
  <c r="H39" i="4" s="1"/>
  <c r="C39" i="4" s="1" a="1"/>
  <c r="C39" i="4" s="1"/>
  <c r="H15" i="9" a="1"/>
  <c r="H15" i="9" s="1"/>
  <c r="H405" i="4" a="1"/>
  <c r="H405" i="4" s="1"/>
  <c r="H53" i="5" a="1"/>
  <c r="H53" i="5" s="1"/>
  <c r="H176" i="7" a="1"/>
  <c r="H176" i="7" s="1"/>
  <c r="C176" i="7" s="1" a="1"/>
  <c r="C176" i="7" s="1"/>
  <c r="E618" i="2" s="1" a="1"/>
  <c r="E618" i="2" s="1"/>
  <c r="H16" i="7" a="1"/>
  <c r="H16" i="7" s="1"/>
  <c r="C16" i="7" s="1" a="1"/>
  <c r="C16" i="7" s="1"/>
  <c r="E58" i="2" s="1" a="1"/>
  <c r="E58" i="2" s="1"/>
  <c r="H111" i="7" a="1"/>
  <c r="H111" i="7" s="1"/>
  <c r="C111" i="7" s="1" a="1"/>
  <c r="C111" i="7" s="1"/>
  <c r="E433" i="2" s="1" a="1"/>
  <c r="E433" i="2" s="1"/>
  <c r="H49" i="9" a="1"/>
  <c r="H49" i="9" s="1"/>
  <c r="H148" i="6" a="1"/>
  <c r="H148" i="6" s="1"/>
  <c r="C148" i="6" s="1" a="1"/>
  <c r="C148" i="6" s="1"/>
  <c r="E629" i="2" s="1" a="1"/>
  <c r="E629" i="2" s="1"/>
  <c r="H84" i="8" a="1"/>
  <c r="H84" i="8" s="1"/>
  <c r="H209" i="7" a="1"/>
  <c r="H209" i="7" s="1"/>
  <c r="H33" i="9" a="1"/>
  <c r="H33" i="9" s="1"/>
  <c r="H104" i="7" a="1"/>
  <c r="H104" i="7" s="1"/>
  <c r="C104" i="7" s="1" a="1"/>
  <c r="C104" i="7" s="1"/>
  <c r="E483" i="2" s="1" a="1"/>
  <c r="E483" i="2" s="1"/>
  <c r="H198" i="4" a="1"/>
  <c r="H198" i="4" s="1"/>
  <c r="C198" i="4" s="1" a="1"/>
  <c r="C198" i="4" s="1"/>
  <c r="H26" i="5" a="1"/>
  <c r="H26" i="5" s="1"/>
  <c r="C26" i="5" s="1" a="1"/>
  <c r="C26" i="5" s="1"/>
  <c r="H56" i="5" a="1"/>
  <c r="H56" i="5" s="1"/>
  <c r="C56" i="5" s="1" a="1"/>
  <c r="C56" i="5" s="1"/>
  <c r="E407" i="2" s="1" a="1"/>
  <c r="E407" i="2" s="1"/>
  <c r="H67" i="4" a="1"/>
  <c r="H67" i="4" s="1"/>
  <c r="H50" i="8" a="1"/>
  <c r="H50" i="8" s="1"/>
  <c r="H106" i="4" a="1"/>
  <c r="H106" i="4" s="1"/>
  <c r="C106" i="4" s="1" a="1"/>
  <c r="C106" i="4" s="1"/>
  <c r="H105" i="5" a="1"/>
  <c r="H105" i="5" s="1"/>
  <c r="C105" i="5" s="1" a="1"/>
  <c r="C105" i="5" s="1"/>
  <c r="E504" i="2" s="1" a="1"/>
  <c r="E504" i="2" s="1"/>
  <c r="H119" i="8" a="1"/>
  <c r="H119" i="8" s="1"/>
  <c r="H234" i="4" a="1"/>
  <c r="H234" i="4" s="1"/>
  <c r="C234" i="4" s="1" a="1"/>
  <c r="C234" i="4" s="1"/>
  <c r="H115" i="7" a="1"/>
  <c r="H115" i="7" s="1"/>
  <c r="C115" i="7" s="1" a="1"/>
  <c r="C115" i="7" s="1"/>
  <c r="E462" i="2" s="1" a="1"/>
  <c r="E462" i="2" s="1"/>
  <c r="H87" i="8" a="1"/>
  <c r="H87" i="8" s="1"/>
  <c r="H44" i="8" a="1"/>
  <c r="H44" i="8" s="1"/>
  <c r="H24" i="5" a="1"/>
  <c r="H24" i="5" s="1"/>
  <c r="H170" i="4" a="1"/>
  <c r="H170" i="4" s="1"/>
  <c r="C170" i="4" s="1" a="1"/>
  <c r="C170" i="4" s="1"/>
  <c r="H118" i="6" a="1"/>
  <c r="H118" i="6" s="1"/>
  <c r="C118" i="6" s="1" a="1"/>
  <c r="C118" i="6" s="1"/>
  <c r="H63" i="6" a="1"/>
  <c r="H63" i="6" s="1"/>
  <c r="C63" i="6" s="1" a="1"/>
  <c r="C63" i="6" s="1"/>
  <c r="H41" i="4" a="1"/>
  <c r="H41" i="4" s="1"/>
  <c r="C41" i="4" s="1" a="1"/>
  <c r="C41" i="4" s="1"/>
  <c r="H81" i="4" a="1"/>
  <c r="H81" i="4" s="1"/>
  <c r="C81" i="4" s="1" a="1"/>
  <c r="C81" i="4" s="1"/>
  <c r="H129" i="4" a="1"/>
  <c r="H129" i="4" s="1"/>
  <c r="C129" i="4" s="1" a="1"/>
  <c r="C129" i="4" s="1"/>
  <c r="H106" i="7" a="1"/>
  <c r="H106" i="7" s="1"/>
  <c r="C106" i="7" s="1" a="1"/>
  <c r="C106" i="7" s="1"/>
  <c r="E441" i="2" s="1" a="1"/>
  <c r="E441" i="2" s="1"/>
  <c r="H90" i="7" a="1"/>
  <c r="H90" i="7" s="1"/>
  <c r="C90" i="7" s="1" a="1"/>
  <c r="C90" i="7" s="1"/>
  <c r="E486" i="2" s="1" a="1"/>
  <c r="E486" i="2" s="1"/>
  <c r="H168" i="5" a="1"/>
  <c r="H168" i="5" s="1"/>
  <c r="C168" i="5" s="1" a="1"/>
  <c r="C168" i="5" s="1"/>
  <c r="E528" i="2" s="1" a="1"/>
  <c r="E528" i="2" s="1"/>
  <c r="H58" i="7" a="1"/>
  <c r="H58" i="7" s="1"/>
  <c r="C58" i="7" s="1" a="1"/>
  <c r="C58" i="7" s="1"/>
  <c r="E421" i="2" s="1" a="1"/>
  <c r="E421" i="2" s="1"/>
  <c r="H86" i="8" a="1"/>
  <c r="H86" i="8" s="1"/>
  <c r="H323" i="4" a="1"/>
  <c r="H323" i="4" s="1"/>
  <c r="C323" i="4" s="1" a="1"/>
  <c r="C323" i="4" s="1"/>
  <c r="H173" i="4" a="1"/>
  <c r="H173" i="4" s="1"/>
  <c r="C173" i="4" s="1" a="1"/>
  <c r="C173" i="4" s="1"/>
  <c r="H205" i="6" a="1"/>
  <c r="H205" i="6" s="1"/>
  <c r="C205" i="6" s="1" a="1"/>
  <c r="C205" i="6" s="1"/>
  <c r="E613" i="2" s="1" a="1"/>
  <c r="E613" i="2" s="1"/>
  <c r="H202" i="6" a="1"/>
  <c r="H202" i="6" s="1"/>
  <c r="C202" i="6" s="1" a="1"/>
  <c r="C202" i="6" s="1"/>
  <c r="E634" i="2" s="1" a="1"/>
  <c r="E634" i="2" s="1"/>
  <c r="H20" i="6" a="1"/>
  <c r="H20" i="6" s="1"/>
  <c r="C20" i="6" s="1" a="1"/>
  <c r="C20" i="6" s="1"/>
  <c r="H85" i="7" a="1"/>
  <c r="H85" i="7" s="1"/>
  <c r="C85" i="7" s="1" a="1"/>
  <c r="C85" i="7" s="1"/>
  <c r="E444" i="2" s="1" a="1"/>
  <c r="E444" i="2" s="1"/>
  <c r="H105" i="6" a="1"/>
  <c r="H105" i="6" s="1"/>
  <c r="C105" i="6" s="1" a="1"/>
  <c r="C105" i="6" s="1"/>
  <c r="E455" i="2" s="1" a="1"/>
  <c r="E455" i="2" s="1"/>
  <c r="H193" i="5" a="1"/>
  <c r="H193" i="5" s="1"/>
  <c r="C193" i="5" s="1" a="1"/>
  <c r="C193" i="5" s="1"/>
  <c r="E626" i="2" s="1" a="1"/>
  <c r="E626" i="2" s="1"/>
  <c r="H130" i="4" a="1"/>
  <c r="H130" i="4" s="1"/>
  <c r="C130" i="4" s="1" a="1"/>
  <c r="C130" i="4" s="1"/>
  <c r="H93" i="7" a="1"/>
  <c r="H93" i="7" s="1"/>
  <c r="C93" i="7" s="1" a="1"/>
  <c r="C93" i="7" s="1"/>
  <c r="E560" i="2" s="1" a="1"/>
  <c r="E560" i="2" s="1"/>
  <c r="H29" i="5" a="1"/>
  <c r="H29" i="5" s="1"/>
  <c r="C29" i="5" s="1" a="1"/>
  <c r="C29" i="5" s="1"/>
  <c r="H93" i="5" a="1"/>
  <c r="H93" i="5" s="1"/>
  <c r="C93" i="5" s="1" a="1"/>
  <c r="C93" i="5" s="1"/>
  <c r="H192" i="7" a="1"/>
  <c r="H192" i="7" s="1"/>
  <c r="C192" i="7" s="1" a="1"/>
  <c r="C192" i="7" s="1"/>
  <c r="E482" i="2" s="1" a="1"/>
  <c r="E482" i="2" s="1"/>
  <c r="H33" i="5" a="1"/>
  <c r="H33" i="5" s="1"/>
  <c r="C33" i="5" s="1" a="1"/>
  <c r="C33" i="5" s="1"/>
  <c r="E140" i="2" s="1" a="1"/>
  <c r="E140" i="2" s="1"/>
  <c r="H275" i="4" a="1"/>
  <c r="H275" i="4" s="1"/>
  <c r="H22" i="8" a="1"/>
  <c r="H22" i="8" s="1"/>
  <c r="C22" i="8" s="1" a="1"/>
  <c r="C22" i="8" s="1"/>
  <c r="E60" i="2" s="1" a="1"/>
  <c r="E60" i="2" s="1"/>
  <c r="H182" i="5" a="1"/>
  <c r="H182" i="5" s="1"/>
  <c r="C182" i="5" s="1" a="1"/>
  <c r="C182" i="5" s="1"/>
  <c r="H272" i="4" a="1"/>
  <c r="H272" i="4" s="1"/>
  <c r="C272" i="4" s="1" a="1"/>
  <c r="C272" i="4" s="1"/>
  <c r="H128" i="7" a="1"/>
  <c r="H128" i="7" s="1"/>
  <c r="C128" i="7" s="1" a="1"/>
  <c r="C128" i="7" s="1"/>
  <c r="E663" i="2" s="1" a="1"/>
  <c r="E663" i="2" s="1"/>
  <c r="H106" i="6" a="1"/>
  <c r="H106" i="6" s="1"/>
  <c r="C106" i="6" s="1" a="1"/>
  <c r="C106" i="6" s="1"/>
  <c r="E549" i="2" s="1" a="1"/>
  <c r="E549" i="2" s="1"/>
  <c r="H3" i="5" a="1"/>
  <c r="H3" i="5" s="1"/>
  <c r="C3" i="5" s="1" a="1"/>
  <c r="C3" i="5" s="1"/>
  <c r="H368" i="4" a="1"/>
  <c r="H368" i="4" s="1"/>
  <c r="C368" i="4" s="1" a="1"/>
  <c r="C368" i="4" s="1"/>
  <c r="H172" i="8" a="1"/>
  <c r="H172" i="8" s="1"/>
  <c r="C172" i="8" s="1" a="1"/>
  <c r="C172" i="8" s="1"/>
  <c r="E384" i="2" s="1" a="1"/>
  <c r="E384" i="2" s="1"/>
  <c r="H58" i="8" a="1"/>
  <c r="H58" i="8" s="1"/>
  <c r="C58" i="8" s="1" a="1"/>
  <c r="C58" i="8" s="1"/>
  <c r="E176" i="2" s="1" a="1"/>
  <c r="E176" i="2" s="1"/>
  <c r="H147" i="5" a="1"/>
  <c r="H147" i="5" s="1"/>
  <c r="C147" i="5" s="1" a="1"/>
  <c r="C147" i="5" s="1"/>
  <c r="H181" i="8" a="1"/>
  <c r="H181" i="8" s="1"/>
  <c r="C181" i="8" s="1" a="1"/>
  <c r="C181" i="8" s="1"/>
  <c r="E278" i="2" s="1" a="1"/>
  <c r="E278" i="2" s="1"/>
  <c r="H99" i="8" a="1"/>
  <c r="H99" i="8" s="1"/>
  <c r="C99" i="8" s="1" a="1"/>
  <c r="C99" i="8" s="1"/>
  <c r="E199" i="2" s="1" a="1"/>
  <c r="E199" i="2" s="1"/>
  <c r="H21" i="4" a="1"/>
  <c r="H21" i="4" s="1"/>
  <c r="H171" i="7" a="1"/>
  <c r="H171" i="7" s="1"/>
  <c r="C171" i="7" s="1" a="1"/>
  <c r="C171" i="7" s="1"/>
  <c r="E338" i="2" s="1" a="1"/>
  <c r="E338" i="2" s="1"/>
  <c r="H304" i="4" a="1"/>
  <c r="H304" i="4" s="1"/>
  <c r="C304" i="4" s="1" a="1"/>
  <c r="C304" i="4" s="1"/>
  <c r="H177" i="4" a="1"/>
  <c r="H177" i="4" s="1"/>
  <c r="C177" i="4" s="1" a="1"/>
  <c r="C177" i="4" s="1"/>
  <c r="H179" i="4" a="1"/>
  <c r="H179" i="4" s="1"/>
  <c r="H37" i="8" a="1"/>
  <c r="H37" i="8" s="1"/>
  <c r="C37" i="8" s="1" a="1"/>
  <c r="C37" i="8" s="1"/>
  <c r="E65" i="2" s="1" a="1"/>
  <c r="E65" i="2" s="1"/>
  <c r="H36" i="5" a="1"/>
  <c r="H36" i="5" s="1"/>
  <c r="C36" i="5" s="1" a="1"/>
  <c r="C36" i="5" s="1"/>
  <c r="E357" i="2" s="1" a="1"/>
  <c r="E357" i="2" s="1"/>
  <c r="H153" i="6" a="1"/>
  <c r="H153" i="6" s="1"/>
  <c r="C153" i="6" s="1" a="1"/>
  <c r="C153" i="6" s="1"/>
  <c r="E506" i="2" s="1" a="1"/>
  <c r="E506" i="2" s="1"/>
  <c r="H192" i="5" a="1"/>
  <c r="H192" i="5" s="1"/>
  <c r="C192" i="5" s="1" a="1"/>
  <c r="C192" i="5" s="1"/>
  <c r="E644" i="2" s="1" a="1"/>
  <c r="E644" i="2" s="1"/>
  <c r="H117" i="4" a="1"/>
  <c r="H117" i="4" s="1"/>
  <c r="C117" i="4" s="1" a="1"/>
  <c r="C117" i="4" s="1"/>
  <c r="H164" i="7" a="1"/>
  <c r="H164" i="7" s="1"/>
  <c r="C164" i="7" s="1" a="1"/>
  <c r="C164" i="7" s="1"/>
  <c r="E511" i="2" s="1" a="1"/>
  <c r="E511" i="2" s="1"/>
  <c r="H363" i="4" a="1"/>
  <c r="H363" i="4" s="1"/>
  <c r="C363" i="4" s="1" a="1"/>
  <c r="C363" i="4" s="1"/>
  <c r="H87" i="6" a="1"/>
  <c r="H87" i="6" s="1"/>
  <c r="C87" i="6" s="1" a="1"/>
  <c r="C87" i="6" s="1"/>
  <c r="E524" i="2" s="1" a="1"/>
  <c r="E524" i="2" s="1"/>
  <c r="H166" i="6" a="1"/>
  <c r="H166" i="6" s="1"/>
  <c r="C166" i="6" s="1" a="1"/>
  <c r="C166" i="6" s="1"/>
  <c r="E596" i="2" s="1" a="1"/>
  <c r="E596" i="2" s="1"/>
  <c r="H128" i="4" a="1"/>
  <c r="H128" i="4" s="1"/>
  <c r="C128" i="4" s="1" a="1"/>
  <c r="C128" i="4" s="1"/>
  <c r="C110" i="6" a="1"/>
  <c r="C110" i="6" s="1"/>
  <c r="H114" i="6" a="1"/>
  <c r="H114" i="6" s="1"/>
  <c r="C114" i="6" s="1" a="1"/>
  <c r="C114" i="6" s="1"/>
  <c r="E473" i="2" s="1" a="1"/>
  <c r="E473" i="2" s="1"/>
  <c r="C148" i="8" a="1"/>
  <c r="C148" i="8" s="1"/>
  <c r="E179" i="2" s="1" a="1"/>
  <c r="E179" i="2" s="1"/>
  <c r="H64" i="9" a="1"/>
  <c r="H64" i="9" s="1"/>
  <c r="H14" i="9" a="1"/>
  <c r="H14" i="9" s="1"/>
  <c r="C160" i="8" a="1"/>
  <c r="C160" i="8" s="1"/>
  <c r="E319" i="2" s="1" a="1"/>
  <c r="E319" i="2" s="1"/>
  <c r="H101" i="7" a="1"/>
  <c r="H101" i="7" s="1"/>
  <c r="C101" i="7" s="1" a="1"/>
  <c r="C101" i="7" s="1"/>
  <c r="E427" i="2" s="1" a="1"/>
  <c r="E427" i="2" s="1"/>
  <c r="C365" i="4" a="1"/>
  <c r="C365" i="4" s="1"/>
  <c r="H5" i="9" a="1"/>
  <c r="H5" i="9" s="1"/>
  <c r="H285" i="4" a="1"/>
  <c r="H285" i="4" s="1"/>
  <c r="C285" i="4" s="1" a="1"/>
  <c r="C285" i="4" s="1"/>
  <c r="H63" i="4" a="1"/>
  <c r="H63" i="4" s="1"/>
  <c r="C63" i="4" s="1" a="1"/>
  <c r="C63" i="4" s="1"/>
  <c r="H54" i="9" a="1"/>
  <c r="H54" i="9" s="1"/>
  <c r="C283" i="4" a="1"/>
  <c r="C283" i="4" s="1"/>
  <c r="H7" i="9" a="1"/>
  <c r="H7" i="9" s="1"/>
  <c r="H55" i="9" a="1"/>
  <c r="H55" i="9" s="1"/>
  <c r="H253" i="4" a="1"/>
  <c r="H253" i="4" s="1"/>
  <c r="C253" i="4" s="1" a="1"/>
  <c r="C253" i="4" s="1"/>
  <c r="C173" i="8" a="1"/>
  <c r="C173" i="8" s="1"/>
  <c r="E238" i="2" s="1" a="1"/>
  <c r="E238" i="2" s="1"/>
  <c r="C193" i="6" a="1"/>
  <c r="C193" i="6" s="1"/>
  <c r="H201" i="4" a="1"/>
  <c r="H201" i="4" s="1"/>
  <c r="C201" i="4" s="1" a="1"/>
  <c r="C201" i="4" s="1"/>
  <c r="H196" i="6" a="1"/>
  <c r="H196" i="6" s="1"/>
  <c r="C196" i="6" s="1" a="1"/>
  <c r="C196" i="6" s="1"/>
  <c r="C192" i="6" a="1"/>
  <c r="C192" i="6" s="1"/>
  <c r="E655" i="2" s="1" a="1"/>
  <c r="E655" i="2" s="1"/>
  <c r="H47" i="9" a="1"/>
  <c r="H47" i="9" s="1"/>
  <c r="H32" i="5" a="1"/>
  <c r="H32" i="5" s="1"/>
  <c r="C32" i="5" s="1" a="1"/>
  <c r="C32" i="5" s="1"/>
  <c r="H5" i="5" a="1"/>
  <c r="H5" i="5" s="1"/>
  <c r="C5" i="5" s="1" a="1"/>
  <c r="C5" i="5" s="1"/>
  <c r="E22" i="2" s="1" a="1"/>
  <c r="E22" i="2" s="1"/>
  <c r="H25" i="6" a="1"/>
  <c r="H25" i="6" s="1"/>
  <c r="H119" i="7" a="1"/>
  <c r="H119" i="7" s="1"/>
  <c r="H60" i="7" a="1"/>
  <c r="H60" i="7" s="1"/>
  <c r="C60" i="7" s="1" a="1"/>
  <c r="C60" i="7" s="1"/>
  <c r="E386" i="2" s="1" a="1"/>
  <c r="E386" i="2" s="1"/>
  <c r="C145" i="4" a="1"/>
  <c r="C145" i="4" s="1"/>
  <c r="C16" i="5" a="1"/>
  <c r="C16" i="5" s="1"/>
  <c r="E56" i="2" s="1" a="1"/>
  <c r="E56" i="2" s="1"/>
  <c r="C143" i="5" a="1"/>
  <c r="C143" i="5" s="1"/>
  <c r="C28" i="5" a="1"/>
  <c r="C28" i="5" s="1"/>
  <c r="E133" i="2" s="1" a="1"/>
  <c r="E133" i="2" s="1"/>
  <c r="H196" i="4" a="1"/>
  <c r="H196" i="4" s="1"/>
  <c r="C196" i="4" s="1" a="1"/>
  <c r="C196" i="4" s="1"/>
  <c r="H57" i="5" a="1"/>
  <c r="H57" i="5" s="1"/>
  <c r="C57" i="5" s="1" a="1"/>
  <c r="C57" i="5" s="1"/>
  <c r="H300" i="4" a="1"/>
  <c r="H300" i="4" s="1"/>
  <c r="C300" i="4" s="1" a="1"/>
  <c r="C300" i="4" s="1"/>
  <c r="H155" i="4" a="1"/>
  <c r="H155" i="4" s="1"/>
  <c r="C155" i="4" s="1" a="1"/>
  <c r="C155" i="4" s="1"/>
  <c r="C76" i="8" a="1"/>
  <c r="C76" i="8" s="1"/>
  <c r="E221" i="2" s="1" a="1"/>
  <c r="E221" i="2" s="1"/>
  <c r="C122" i="7" a="1"/>
  <c r="C122" i="7" s="1"/>
  <c r="E415" i="2" s="1" a="1"/>
  <c r="E415" i="2" s="1"/>
  <c r="H121" i="6" a="1"/>
  <c r="H121" i="6" s="1"/>
  <c r="H45" i="9" a="1"/>
  <c r="H45" i="9" s="1"/>
  <c r="C139" i="4" a="1"/>
  <c r="C139" i="4" s="1"/>
  <c r="C104" i="4" a="1"/>
  <c r="C104" i="4" s="1"/>
  <c r="H33" i="6" a="1"/>
  <c r="H33" i="6" s="1"/>
  <c r="C33" i="6" s="1" a="1"/>
  <c r="C33" i="6" s="1"/>
  <c r="C230" i="4" a="1"/>
  <c r="C230" i="4" s="1"/>
  <c r="H115" i="6" a="1"/>
  <c r="H115" i="6" s="1"/>
  <c r="H65" i="7" a="1"/>
  <c r="H65" i="7" s="1"/>
  <c r="H81" i="8" a="1"/>
  <c r="H81" i="8" s="1"/>
  <c r="H98" i="6" a="1"/>
  <c r="H98" i="6" s="1"/>
  <c r="C98" i="6" s="1" a="1"/>
  <c r="C98" i="6" s="1"/>
  <c r="C141" i="7" a="1"/>
  <c r="C141" i="7" s="1"/>
  <c r="E661" i="2" s="1" a="1"/>
  <c r="E661" i="2" s="1"/>
  <c r="H169" i="4" a="1"/>
  <c r="H169" i="4" s="1"/>
  <c r="C169" i="4" s="1" a="1"/>
  <c r="C169" i="4" s="1"/>
  <c r="C48" i="8" a="1"/>
  <c r="C48" i="8" s="1"/>
  <c r="E161" i="2" s="1" a="1"/>
  <c r="E161" i="2" s="1"/>
  <c r="H190" i="8" a="1"/>
  <c r="H190" i="8" s="1"/>
  <c r="C190" i="8" s="1" a="1"/>
  <c r="C190" i="8" s="1"/>
  <c r="E172" i="2" s="1" a="1"/>
  <c r="E172" i="2" s="1"/>
  <c r="H189" i="6" a="1"/>
  <c r="H189" i="6" s="1"/>
  <c r="C189" i="6" s="1" a="1"/>
  <c r="C189" i="6" s="1"/>
  <c r="E530" i="2" s="1" a="1"/>
  <c r="E530" i="2" s="1"/>
  <c r="H96" i="7" a="1"/>
  <c r="H96" i="7" s="1"/>
  <c r="C96" i="7" s="1" a="1"/>
  <c r="C96" i="7" s="1"/>
  <c r="E430" i="2" s="1" a="1"/>
  <c r="E430" i="2" s="1"/>
  <c r="H104" i="6" a="1"/>
  <c r="H104" i="6" s="1"/>
  <c r="C104" i="6" s="1" a="1"/>
  <c r="C104" i="6" s="1"/>
  <c r="C195" i="6" a="1"/>
  <c r="C195" i="6" s="1"/>
  <c r="E471" i="2" s="1" a="1"/>
  <c r="E471" i="2" s="1"/>
  <c r="C41" i="8" a="1"/>
  <c r="C41" i="8" s="1"/>
  <c r="E148" i="2" s="1" a="1"/>
  <c r="E148" i="2" s="1"/>
  <c r="H47" i="8" a="1"/>
  <c r="H47" i="8" s="1"/>
  <c r="C47" i="8" s="1" a="1"/>
  <c r="C47" i="8" s="1"/>
  <c r="E191" i="2" s="1" a="1"/>
  <c r="E191" i="2" s="1"/>
  <c r="H183" i="6" a="1"/>
  <c r="H183" i="6" s="1"/>
  <c r="C183" i="6" s="1" a="1"/>
  <c r="C183" i="6" s="1"/>
  <c r="E641" i="2" s="1" a="1"/>
  <c r="E641" i="2" s="1"/>
  <c r="H191" i="7" a="1"/>
  <c r="H191" i="7" s="1"/>
  <c r="H23" i="7" a="1"/>
  <c r="H23" i="7" s="1"/>
  <c r="C23" i="7" s="1" a="1"/>
  <c r="C23" i="7" s="1"/>
  <c r="E89" i="2" s="1" a="1"/>
  <c r="E89" i="2" s="1"/>
  <c r="H210" i="6" a="1"/>
  <c r="H210" i="6" s="1"/>
  <c r="C210" i="6" s="1" a="1"/>
  <c r="C210" i="6" s="1"/>
  <c r="E617" i="2" s="1" a="1"/>
  <c r="E617" i="2" s="1"/>
  <c r="H179" i="8" a="1"/>
  <c r="H179" i="8" s="1"/>
  <c r="C179" i="8" s="1" a="1"/>
  <c r="C179" i="8" s="1"/>
  <c r="E247" i="2" s="1" a="1"/>
  <c r="E247" i="2" s="1"/>
  <c r="H364" i="4" a="1"/>
  <c r="H364" i="4" s="1"/>
  <c r="C364" i="4" s="1" a="1"/>
  <c r="C364" i="4" s="1"/>
  <c r="H83" i="4" a="1"/>
  <c r="H83" i="4" s="1"/>
  <c r="C83" i="4" s="1" a="1"/>
  <c r="C83" i="4" s="1"/>
  <c r="H4" i="8" a="1"/>
  <c r="H4" i="8" s="1"/>
  <c r="C4" i="8" s="1" a="1"/>
  <c r="C4" i="8" s="1"/>
  <c r="E2" i="2" s="1" a="1"/>
  <c r="E2" i="2" s="1"/>
  <c r="C14" i="3" s="1" a="1"/>
  <c r="C14" i="3" s="1"/>
  <c r="H15" i="6" a="1"/>
  <c r="H15" i="6" s="1"/>
  <c r="C15" i="6" s="1" a="1"/>
  <c r="C15" i="6" s="1"/>
  <c r="H49" i="4" a="1"/>
  <c r="H49" i="4" s="1"/>
  <c r="H187" i="4" a="1"/>
  <c r="H187" i="4" s="1"/>
  <c r="C187" i="4" s="1" a="1"/>
  <c r="C187" i="4" s="1"/>
  <c r="H86" i="4" a="1"/>
  <c r="H86" i="4" s="1"/>
  <c r="C86" i="4" s="1" a="1"/>
  <c r="C86" i="4" s="1"/>
  <c r="H113" i="7" a="1"/>
  <c r="H113" i="7" s="1"/>
  <c r="C113" i="7" s="1" a="1"/>
  <c r="C113" i="7" s="1"/>
  <c r="E547" i="2" s="1" a="1"/>
  <c r="E547" i="2" s="1"/>
  <c r="H116" i="4" a="1"/>
  <c r="H116" i="4" s="1"/>
  <c r="C116" i="4" s="1" a="1"/>
  <c r="C116" i="4" s="1"/>
  <c r="H27" i="7" a="1"/>
  <c r="H27" i="7" s="1"/>
  <c r="C27" i="7" s="1" a="1"/>
  <c r="C27" i="7" s="1"/>
  <c r="E302" i="2" s="1" a="1"/>
  <c r="E302" i="2" s="1"/>
  <c r="H180" i="4" a="1"/>
  <c r="H180" i="4" s="1"/>
  <c r="C180" i="4" s="1" a="1"/>
  <c r="C180" i="4" s="1"/>
  <c r="H36" i="7" a="1"/>
  <c r="H36" i="7" s="1"/>
  <c r="C36" i="7" s="1" a="1"/>
  <c r="C36" i="7" s="1"/>
  <c r="E301" i="2" s="1" a="1"/>
  <c r="E301" i="2" s="1"/>
  <c r="H221" i="4" a="1"/>
  <c r="H221" i="4" s="1"/>
  <c r="C221" i="4" s="1" a="1"/>
  <c r="C221" i="4" s="1"/>
  <c r="H64" i="4" a="1"/>
  <c r="H64" i="4" s="1"/>
  <c r="C64" i="4" s="1" a="1"/>
  <c r="C64" i="4" s="1"/>
  <c r="H52" i="6" a="1"/>
  <c r="H52" i="6" s="1"/>
  <c r="C52" i="6" s="1" a="1"/>
  <c r="C52" i="6" s="1"/>
  <c r="H209" i="4" a="1"/>
  <c r="H209" i="4" s="1"/>
  <c r="C209" i="4" s="1" a="1"/>
  <c r="C209" i="4" s="1"/>
  <c r="H44" i="4" a="1"/>
  <c r="H44" i="4" s="1"/>
  <c r="C44" i="4" s="1" a="1"/>
  <c r="C44" i="4" s="1"/>
  <c r="H46" i="9" a="1"/>
  <c r="H46" i="9" s="1"/>
  <c r="H122" i="6" a="1"/>
  <c r="H122" i="6" s="1"/>
  <c r="H321" i="4" a="1"/>
  <c r="H321" i="4" s="1"/>
  <c r="C321" i="4" s="1" a="1"/>
  <c r="C321" i="4" s="1"/>
  <c r="H127" i="4" a="1"/>
  <c r="H127" i="4" s="1"/>
  <c r="C127" i="4" s="1" a="1"/>
  <c r="C127" i="4" s="1"/>
  <c r="H34" i="4" a="1"/>
  <c r="H34" i="4" s="1"/>
  <c r="C34" i="4" s="1" a="1"/>
  <c r="C34" i="4" s="1"/>
  <c r="H86" i="6" a="1"/>
  <c r="H86" i="6" s="1"/>
  <c r="C86" i="6" s="1" a="1"/>
  <c r="C86" i="6" s="1"/>
  <c r="E375" i="2" s="1" a="1"/>
  <c r="E375" i="2" s="1"/>
  <c r="H130" i="7" a="1"/>
  <c r="H130" i="7" s="1"/>
  <c r="C130" i="7" s="1" a="1"/>
  <c r="C130" i="7" s="1"/>
  <c r="E585" i="2" s="1" a="1"/>
  <c r="E585" i="2" s="1"/>
  <c r="H125" i="8" a="1"/>
  <c r="H125" i="8" s="1"/>
  <c r="C125" i="8" s="1" a="1"/>
  <c r="C125" i="8" s="1"/>
  <c r="E246" i="2" s="1" a="1"/>
  <c r="E246" i="2" s="1"/>
  <c r="H73" i="7" a="1"/>
  <c r="H73" i="7" s="1"/>
  <c r="C73" i="7" s="1" a="1"/>
  <c r="C73" i="7" s="1"/>
  <c r="E295" i="2" s="1" a="1"/>
  <c r="E295" i="2" s="1"/>
  <c r="H246" i="4" a="1"/>
  <c r="H246" i="4" s="1"/>
  <c r="C246" i="4" s="1" a="1"/>
  <c r="C246" i="4" s="1"/>
  <c r="H22" i="5" a="1"/>
  <c r="H22" i="5" s="1"/>
  <c r="C22" i="5" s="1" a="1"/>
  <c r="C22" i="5" s="1"/>
  <c r="E70" i="2" s="1" a="1"/>
  <c r="E70" i="2" s="1"/>
  <c r="H46" i="7" a="1"/>
  <c r="H46" i="7" s="1"/>
  <c r="C46" i="7" s="1" a="1"/>
  <c r="C46" i="7" s="1"/>
  <c r="E187" i="2" s="1" a="1"/>
  <c r="E187" i="2" s="1"/>
  <c r="H66" i="6" a="1"/>
  <c r="H66" i="6" s="1"/>
  <c r="C66" i="6" s="1" a="1"/>
  <c r="C66" i="6" s="1"/>
  <c r="E303" i="2" s="1" a="1"/>
  <c r="E303" i="2" s="1"/>
  <c r="H94" i="6" a="1"/>
  <c r="H94" i="6" s="1"/>
  <c r="C94" i="6" s="1" a="1"/>
  <c r="C94" i="6" s="1"/>
  <c r="H281" i="4" a="1"/>
  <c r="H281" i="4" s="1"/>
  <c r="C281" i="4" s="1" a="1"/>
  <c r="C281" i="4" s="1"/>
  <c r="H381" i="4" a="1"/>
  <c r="H381" i="4" s="1"/>
  <c r="H62" i="8" a="1"/>
  <c r="H62" i="8" s="1"/>
  <c r="C62" i="8" s="1" a="1"/>
  <c r="C62" i="8" s="1"/>
  <c r="E178" i="2" s="1" a="1"/>
  <c r="E178" i="2" s="1"/>
  <c r="H175" i="8" a="1"/>
  <c r="H175" i="8" s="1"/>
  <c r="C175" i="8" s="1" a="1"/>
  <c r="C175" i="8" s="1"/>
  <c r="E131" i="2" s="1" a="1"/>
  <c r="E131" i="2" s="1"/>
  <c r="H133" i="8" a="1"/>
  <c r="H133" i="8" s="1"/>
  <c r="C133" i="8" s="1" a="1"/>
  <c r="C133" i="8" s="1"/>
  <c r="E227" i="2" s="1" a="1"/>
  <c r="E227" i="2" s="1"/>
  <c r="H175" i="7" a="1"/>
  <c r="H175" i="7" s="1"/>
  <c r="C175" i="7" s="1" a="1"/>
  <c r="C175" i="7" s="1"/>
  <c r="E527" i="2" s="1" a="1"/>
  <c r="E527" i="2" s="1"/>
  <c r="H88" i="5" a="1"/>
  <c r="H88" i="5" s="1"/>
  <c r="C88" i="5" s="1" a="1"/>
  <c r="C88" i="5" s="1"/>
  <c r="H244" i="4" a="1"/>
  <c r="H244" i="4" s="1"/>
  <c r="C244" i="4" s="1" a="1"/>
  <c r="C244" i="4" s="1"/>
  <c r="H195" i="8" a="1"/>
  <c r="H195" i="8" s="1"/>
  <c r="C195" i="8" s="1" a="1"/>
  <c r="C195" i="8" s="1"/>
  <c r="E364" i="2" s="1" a="1"/>
  <c r="E364" i="2" s="1"/>
  <c r="H282" i="4" a="1"/>
  <c r="H282" i="4" s="1"/>
  <c r="C282" i="4" s="1" a="1"/>
  <c r="C282" i="4" s="1"/>
  <c r="H21" i="7" a="1"/>
  <c r="H21" i="7" s="1"/>
  <c r="C21" i="7" s="1" a="1"/>
  <c r="C21" i="7" s="1"/>
  <c r="E62" i="2" s="1" a="1"/>
  <c r="E62" i="2" s="1"/>
  <c r="H94" i="4" a="1"/>
  <c r="H94" i="4" s="1"/>
  <c r="C94" i="4" s="1" a="1"/>
  <c r="C94" i="4" s="1"/>
  <c r="H277" i="4" a="1"/>
  <c r="H277" i="4" s="1"/>
  <c r="H32" i="8" a="1"/>
  <c r="H32" i="8" s="1"/>
  <c r="C32" i="8" s="1" a="1"/>
  <c r="C32" i="8" s="1"/>
  <c r="E125" i="2" s="1" a="1"/>
  <c r="E125" i="2" s="1"/>
  <c r="H162" i="8" a="1"/>
  <c r="H162" i="8" s="1"/>
  <c r="C162" i="8" s="1" a="1"/>
  <c r="C162" i="8" s="1"/>
  <c r="E339" i="2" s="1" a="1"/>
  <c r="E339" i="2" s="1"/>
  <c r="H77" i="7" a="1"/>
  <c r="H77" i="7" s="1"/>
  <c r="C77" i="7" s="1" a="1"/>
  <c r="C77" i="7" s="1"/>
  <c r="E399" i="2" s="1" a="1"/>
  <c r="E399" i="2" s="1"/>
  <c r="H379" i="4" a="1"/>
  <c r="H379" i="4" s="1"/>
  <c r="C379" i="4" s="1" a="1"/>
  <c r="C379" i="4" s="1"/>
  <c r="H21" i="8" a="1"/>
  <c r="H21" i="8" s="1"/>
  <c r="C21" i="8" s="1" a="1"/>
  <c r="C21" i="8" s="1"/>
  <c r="E36" i="2" s="1" a="1"/>
  <c r="E36" i="2" s="1"/>
  <c r="H144" i="8" a="1"/>
  <c r="H144" i="8" s="1"/>
  <c r="C144" i="8" s="1" a="1"/>
  <c r="C144" i="8" s="1"/>
  <c r="E312" i="2" s="1" a="1"/>
  <c r="E312" i="2" s="1"/>
  <c r="H274" i="4" a="1"/>
  <c r="H274" i="4" s="1"/>
  <c r="C274" i="4" s="1" a="1"/>
  <c r="C274" i="4" s="1"/>
  <c r="H166" i="8" a="1"/>
  <c r="H166" i="8" s="1"/>
  <c r="C166" i="8" s="1" a="1"/>
  <c r="C166" i="8" s="1"/>
  <c r="E279" i="2" s="1" a="1"/>
  <c r="E279" i="2" s="1"/>
  <c r="H192" i="8" a="1"/>
  <c r="H192" i="8" s="1"/>
  <c r="C192" i="8" s="1" a="1"/>
  <c r="C192" i="8" s="1"/>
  <c r="E371" i="2" s="1" a="1"/>
  <c r="E371" i="2" s="1"/>
  <c r="H145" i="6" a="1"/>
  <c r="H145" i="6" s="1"/>
  <c r="C145" i="6" s="1" a="1"/>
  <c r="C145" i="6" s="1"/>
  <c r="E561" i="2" s="1" a="1"/>
  <c r="E561" i="2" s="1"/>
  <c r="H188" i="6" a="1"/>
  <c r="H188" i="6" s="1"/>
  <c r="C188" i="6" s="1" a="1"/>
  <c r="C188" i="6" s="1"/>
  <c r="E607" i="2" s="1" a="1"/>
  <c r="E607" i="2" s="1"/>
  <c r="H151" i="7" a="1"/>
  <c r="H151" i="7" s="1"/>
  <c r="C151" i="7" s="1" a="1"/>
  <c r="C151" i="7" s="1"/>
  <c r="E552" i="2" s="1" a="1"/>
  <c r="E552" i="2" s="1"/>
  <c r="H188" i="4" a="1"/>
  <c r="H188" i="4" s="1"/>
  <c r="C188" i="4" s="1" a="1"/>
  <c r="C188" i="4" s="1"/>
  <c r="H134" i="4" a="1"/>
  <c r="H134" i="4" s="1"/>
  <c r="C134" i="4" s="1" a="1"/>
  <c r="C134" i="4" s="1"/>
  <c r="H190" i="5" a="1"/>
  <c r="H190" i="5" s="1"/>
  <c r="C190" i="5" s="1" a="1"/>
  <c r="C190" i="5" s="1"/>
  <c r="H369" i="4" a="1"/>
  <c r="H369" i="4" s="1"/>
  <c r="C369" i="4" s="1" a="1"/>
  <c r="C369" i="4" s="1"/>
  <c r="H152" i="7" a="1"/>
  <c r="H152" i="7" s="1"/>
  <c r="C152" i="7" s="1" a="1"/>
  <c r="C152" i="7" s="1"/>
  <c r="E517" i="2" s="1" a="1"/>
  <c r="E517" i="2" s="1"/>
  <c r="H10" i="6" a="1"/>
  <c r="H10" i="6" s="1"/>
  <c r="C10" i="6" s="1" a="1"/>
  <c r="C10" i="6" s="1"/>
  <c r="H149" i="4" a="1"/>
  <c r="H149" i="4" s="1"/>
  <c r="C149" i="4" s="1" a="1"/>
  <c r="C149" i="4" s="1"/>
  <c r="H164" i="5" a="1"/>
  <c r="H164" i="5" s="1"/>
  <c r="C164" i="5" s="1" a="1"/>
  <c r="C164" i="5" s="1"/>
  <c r="E478" i="2" s="1" a="1"/>
  <c r="E478" i="2" s="1"/>
  <c r="H100" i="7" a="1"/>
  <c r="H100" i="7" s="1"/>
  <c r="H96" i="8" a="1"/>
  <c r="H96" i="8" s="1"/>
  <c r="C96" i="8" s="1" a="1"/>
  <c r="C96" i="8" s="1"/>
  <c r="E408" i="2" s="1" a="1"/>
  <c r="E408" i="2" s="1"/>
  <c r="H102" i="7" a="1"/>
  <c r="H102" i="7" s="1"/>
  <c r="C102" i="7" s="1" a="1"/>
  <c r="C102" i="7" s="1"/>
  <c r="E459" i="2" s="1" a="1"/>
  <c r="E459" i="2" s="1"/>
  <c r="H324" i="4" a="1"/>
  <c r="H324" i="4" s="1"/>
  <c r="C324" i="4" s="1" a="1"/>
  <c r="C324" i="4" s="1"/>
  <c r="H85" i="8" a="1"/>
  <c r="H85" i="8" s="1"/>
  <c r="C85" i="8" s="1" a="1"/>
  <c r="C85" i="8" s="1"/>
  <c r="E145" i="2" s="1" a="1"/>
  <c r="E145" i="2" s="1"/>
  <c r="H193" i="4" a="1"/>
  <c r="H193" i="4" s="1"/>
  <c r="C193" i="4" s="1" a="1"/>
  <c r="C193" i="4" s="1"/>
  <c r="H60" i="5" a="1"/>
  <c r="H60" i="5" s="1"/>
  <c r="C60" i="5" s="1" a="1"/>
  <c r="C60" i="5" s="1"/>
  <c r="E310" i="2" s="1" a="1"/>
  <c r="E310" i="2" s="1"/>
  <c r="H189" i="5" a="1"/>
  <c r="H189" i="5" s="1"/>
  <c r="H16" i="8" a="1"/>
  <c r="H16" i="8" s="1"/>
  <c r="C16" i="8" s="1" a="1"/>
  <c r="C16" i="8" s="1"/>
  <c r="E46" i="2" s="1" a="1"/>
  <c r="E46" i="2" s="1"/>
  <c r="H132" i="4" a="1"/>
  <c r="H132" i="4" s="1"/>
  <c r="C132" i="4" s="1" a="1"/>
  <c r="C132" i="4" s="1"/>
  <c r="H76" i="7" a="1"/>
  <c r="H76" i="7" s="1"/>
  <c r="H30" i="4" a="1"/>
  <c r="H30" i="4" s="1"/>
  <c r="C30" i="4" s="1" a="1"/>
  <c r="C30" i="4" s="1"/>
  <c r="H330" i="4" a="1"/>
  <c r="H330" i="4" s="1"/>
  <c r="C330" i="4" s="1" a="1"/>
  <c r="C330" i="4" s="1"/>
  <c r="C18" i="7" a="1"/>
  <c r="C18" i="7" s="1"/>
  <c r="E97" i="2" s="1" a="1"/>
  <c r="E97" i="2" s="1"/>
  <c r="H90" i="6" a="1"/>
  <c r="H90" i="6" s="1"/>
  <c r="C90" i="6" s="1" a="1"/>
  <c r="C90" i="6" s="1"/>
  <c r="H135" i="5" a="1"/>
  <c r="H135" i="5" s="1"/>
  <c r="C135" i="5" s="1" a="1"/>
  <c r="C135" i="5" s="1"/>
  <c r="E542" i="2" s="1" a="1"/>
  <c r="E542" i="2" s="1"/>
  <c r="C48" i="4" a="1"/>
  <c r="C48" i="4" s="1"/>
  <c r="H92" i="4" a="1"/>
  <c r="H92" i="4" s="1"/>
  <c r="C92" i="4" s="1" a="1"/>
  <c r="C92" i="4" s="1"/>
  <c r="C250" i="4" a="1"/>
  <c r="C250" i="4" s="1"/>
  <c r="H200" i="6" a="1"/>
  <c r="H200" i="6" s="1"/>
  <c r="C200" i="6" s="1" a="1"/>
  <c r="C200" i="6" s="1"/>
  <c r="E645" i="2" s="1" a="1"/>
  <c r="E645" i="2" s="1"/>
  <c r="C140" i="8" a="1"/>
  <c r="C140" i="8" s="1"/>
  <c r="E198" i="2" s="1" a="1"/>
  <c r="E198" i="2" s="1"/>
  <c r="H56" i="7" a="1"/>
  <c r="H56" i="7" s="1"/>
  <c r="C56" i="7" s="1" a="1"/>
  <c r="C56" i="7" s="1"/>
  <c r="E314" i="2" s="1" a="1"/>
  <c r="E314" i="2" s="1"/>
  <c r="C163" i="5" a="1"/>
  <c r="C163" i="5" s="1"/>
  <c r="H184" i="4" a="1"/>
  <c r="H184" i="4" s="1"/>
  <c r="C184" i="4" s="1" a="1"/>
  <c r="C184" i="4" s="1"/>
  <c r="H160" i="4" a="1"/>
  <c r="H160" i="4" s="1"/>
  <c r="C160" i="4" s="1" a="1"/>
  <c r="C160" i="4" s="1"/>
  <c r="C318" i="4" a="1"/>
  <c r="C318" i="4" s="1"/>
  <c r="C56" i="8" a="1"/>
  <c r="C56" i="8" s="1"/>
  <c r="E168" i="2" s="1" a="1"/>
  <c r="E168" i="2" s="1"/>
  <c r="C79" i="7" a="1"/>
  <c r="C79" i="7" s="1"/>
  <c r="E468" i="2" s="1" a="1"/>
  <c r="E468" i="2" s="1"/>
  <c r="H154" i="5" a="1"/>
  <c r="H154" i="5" s="1"/>
  <c r="C154" i="5" s="1" a="1"/>
  <c r="C154" i="5" s="1"/>
  <c r="E646" i="2" s="1" a="1"/>
  <c r="E646" i="2" s="1"/>
  <c r="C152" i="5" a="1"/>
  <c r="C152" i="5" s="1"/>
  <c r="E497" i="2" s="1" a="1"/>
  <c r="E497" i="2" s="1"/>
  <c r="H296" i="4" a="1"/>
  <c r="H296" i="4" s="1"/>
  <c r="C296" i="4" s="1" a="1"/>
  <c r="C296" i="4" s="1"/>
  <c r="C163" i="4" a="1"/>
  <c r="C163" i="4" s="1"/>
  <c r="C186" i="4" a="1"/>
  <c r="C186" i="4" s="1"/>
  <c r="H54" i="7" a="1"/>
  <c r="H54" i="7" s="1"/>
  <c r="C54" i="7" s="1" a="1"/>
  <c r="C54" i="7" s="1"/>
  <c r="E307" i="2" s="1" a="1"/>
  <c r="E307" i="2" s="1"/>
  <c r="H333" i="4" a="1"/>
  <c r="H333" i="4" s="1"/>
  <c r="C333" i="4" s="1" a="1"/>
  <c r="C333" i="4" s="1"/>
  <c r="C27" i="8" a="1"/>
  <c r="C27" i="8" s="1"/>
  <c r="E50" i="2" s="1" a="1"/>
  <c r="E50" i="2" s="1"/>
  <c r="C70" i="4" a="1"/>
  <c r="C70" i="4" s="1"/>
  <c r="C231" i="4" a="1"/>
  <c r="C231" i="4" s="1"/>
  <c r="H133" i="6" a="1"/>
  <c r="H133" i="6" s="1"/>
  <c r="C133" i="6" s="1" a="1"/>
  <c r="C133" i="6" s="1"/>
  <c r="H198" i="7" a="1"/>
  <c r="H198" i="7" s="1"/>
  <c r="C198" i="7" s="1" a="1"/>
  <c r="C198" i="7" s="1"/>
  <c r="E656" i="2" s="1" a="1"/>
  <c r="E656" i="2" s="1"/>
  <c r="H27" i="6" a="1"/>
  <c r="H27" i="6" s="1"/>
  <c r="C27" i="6" s="1" a="1"/>
  <c r="C27" i="6" s="1"/>
  <c r="E109" i="2" s="1" a="1"/>
  <c r="E109" i="2" s="1"/>
  <c r="C137" i="4" a="1"/>
  <c r="C137" i="4" s="1"/>
  <c r="C64" i="5" a="1"/>
  <c r="C64" i="5" s="1"/>
  <c r="H331" i="4" a="1"/>
  <c r="H331" i="4" s="1"/>
  <c r="C331" i="4" s="1" a="1"/>
  <c r="C331" i="4" s="1"/>
  <c r="H28" i="7" a="1"/>
  <c r="H28" i="7" s="1"/>
  <c r="C28" i="7" s="1" a="1"/>
  <c r="C28" i="7" s="1"/>
  <c r="E226" i="2" s="1" a="1"/>
  <c r="E226" i="2" s="1"/>
  <c r="C129" i="8" a="1"/>
  <c r="C129" i="8" s="1"/>
  <c r="E381" i="2" s="1" a="1"/>
  <c r="E381" i="2" s="1"/>
  <c r="H109" i="6" a="1"/>
  <c r="H109" i="6" s="1"/>
  <c r="C109" i="6" s="1" a="1"/>
  <c r="C109" i="6" s="1"/>
  <c r="H165" i="4" a="1"/>
  <c r="H165" i="4" s="1"/>
  <c r="C165" i="4" s="1" a="1"/>
  <c r="C165" i="4" s="1"/>
  <c r="H286" i="4" a="1"/>
  <c r="H286" i="4" s="1"/>
  <c r="C286" i="4" s="1" a="1"/>
  <c r="C286" i="4" s="1"/>
  <c r="C10" i="8" a="1"/>
  <c r="C10" i="8" s="1"/>
  <c r="E11" i="2" s="1" a="1"/>
  <c r="E11" i="2" s="1"/>
  <c r="C294" i="4" a="1"/>
  <c r="C294" i="4" s="1"/>
  <c r="C31" i="6" a="1"/>
  <c r="C31" i="6" s="1"/>
  <c r="H98" i="5" a="1"/>
  <c r="H98" i="5" s="1"/>
  <c r="C52" i="8" a="1"/>
  <c r="C52" i="8" s="1"/>
  <c r="E152" i="2" s="1" a="1"/>
  <c r="E152" i="2" s="1"/>
  <c r="C197" i="6" a="1"/>
  <c r="C197" i="6" s="1"/>
  <c r="E599" i="2" s="1" a="1"/>
  <c r="E599" i="2" s="1"/>
  <c r="H53" i="6" a="1"/>
  <c r="H53" i="6" s="1"/>
  <c r="C53" i="6" s="1" a="1"/>
  <c r="C53" i="6" s="1"/>
  <c r="H161" i="5" a="1"/>
  <c r="H161" i="5" s="1"/>
  <c r="C161" i="5" s="1" a="1"/>
  <c r="C161" i="5" s="1"/>
  <c r="H76" i="5" a="1"/>
  <c r="H76" i="5" s="1"/>
  <c r="C76" i="5" s="1" a="1"/>
  <c r="C76" i="5" s="1"/>
  <c r="E436" i="2" s="1" a="1"/>
  <c r="E436" i="2" s="1"/>
  <c r="H29" i="4" a="1"/>
  <c r="H29" i="4" s="1"/>
  <c r="C29" i="4" s="1" a="1"/>
  <c r="C29" i="4" s="1"/>
  <c r="C33" i="8" a="1"/>
  <c r="C33" i="8" s="1"/>
  <c r="E99" i="2" s="1" a="1"/>
  <c r="E99" i="2" s="1"/>
  <c r="H204" i="4" a="1"/>
  <c r="H204" i="4" s="1"/>
  <c r="C204" i="4" s="1" a="1"/>
  <c r="C204" i="4" s="1"/>
  <c r="H68" i="8" a="1"/>
  <c r="H68" i="8" s="1"/>
  <c r="C68" i="8" s="1" a="1"/>
  <c r="C68" i="8" s="1"/>
  <c r="E166" i="2" s="1" a="1"/>
  <c r="E166" i="2" s="1"/>
  <c r="H134" i="7" a="1"/>
  <c r="H134" i="7" s="1"/>
  <c r="C134" i="7" s="1" a="1"/>
  <c r="C134" i="7" s="1"/>
  <c r="E652" i="2" s="1" a="1"/>
  <c r="E652" i="2" s="1"/>
  <c r="H241" i="4" a="1"/>
  <c r="H241" i="4" s="1"/>
  <c r="C241" i="4" s="1" a="1"/>
  <c r="C241" i="4" s="1"/>
  <c r="C100" i="6" a="1"/>
  <c r="C100" i="6" s="1"/>
  <c r="E456" i="2" s="1" a="1"/>
  <c r="E456" i="2" s="1"/>
  <c r="C152" i="8" a="1"/>
  <c r="C152" i="8" s="1"/>
  <c r="E358" i="2" s="1" a="1"/>
  <c r="E358" i="2" s="1"/>
  <c r="H123" i="8" a="1"/>
  <c r="H123" i="8" s="1"/>
  <c r="C123" i="8" s="1" a="1"/>
  <c r="C123" i="8" s="1"/>
  <c r="E235" i="2" s="1" a="1"/>
  <c r="E235" i="2" s="1"/>
  <c r="H126" i="7" a="1"/>
  <c r="H126" i="7" s="1"/>
  <c r="C126" i="7" s="1" a="1"/>
  <c r="C126" i="7" s="1"/>
  <c r="E411" i="2" s="1" a="1"/>
  <c r="E411" i="2" s="1"/>
  <c r="C18" i="4" a="1"/>
  <c r="C18" i="4" s="1"/>
  <c r="C280" i="4" a="1"/>
  <c r="C280" i="4" s="1"/>
  <c r="H292" i="4" a="1"/>
  <c r="H292" i="4" s="1"/>
  <c r="C292" i="4" s="1" a="1"/>
  <c r="C292" i="4" s="1"/>
  <c r="H110" i="7" a="1"/>
  <c r="H110" i="7" s="1"/>
  <c r="C110" i="7" s="1" a="1"/>
  <c r="C110" i="7" s="1"/>
  <c r="E404" i="2" s="1" a="1"/>
  <c r="E404" i="2" s="1"/>
  <c r="H85" i="6" a="1"/>
  <c r="H85" i="6" s="1"/>
  <c r="C85" i="6" s="1" a="1"/>
  <c r="C85" i="6" s="1"/>
  <c r="C24" i="7" a="1"/>
  <c r="C24" i="7" s="1"/>
  <c r="E113" i="2" s="1" a="1"/>
  <c r="E113" i="2" s="1"/>
  <c r="C18" i="8" a="1"/>
  <c r="C18" i="8" s="1"/>
  <c r="E31" i="2" s="1" a="1"/>
  <c r="E31" i="2" s="1"/>
  <c r="H26" i="4" a="1"/>
  <c r="H26" i="4" s="1"/>
  <c r="C26" i="4" s="1" a="1"/>
  <c r="C26" i="4" s="1"/>
  <c r="C112" i="4" a="1"/>
  <c r="C112" i="4" s="1"/>
  <c r="C15" i="8" a="1"/>
  <c r="C15" i="8" s="1"/>
  <c r="E14" i="2" s="1" a="1"/>
  <c r="E14" i="2" s="1"/>
  <c r="H126" i="4" a="1"/>
  <c r="H126" i="4" s="1"/>
  <c r="C126" i="4" s="1" a="1"/>
  <c r="C126" i="4" s="1"/>
  <c r="C70" i="5" a="1"/>
  <c r="C70" i="5" s="1"/>
  <c r="E519" i="2" s="1" a="1"/>
  <c r="E519" i="2" s="1"/>
  <c r="H376" i="4" a="1"/>
  <c r="H376" i="4" s="1"/>
  <c r="C376" i="4" s="1" a="1"/>
  <c r="C376" i="4" s="1"/>
  <c r="H293" i="4" a="1"/>
  <c r="H293" i="4" s="1"/>
  <c r="C293" i="4" s="1" a="1"/>
  <c r="C293" i="4" s="1"/>
  <c r="H17" i="4" a="1"/>
  <c r="H17" i="4" s="1"/>
  <c r="C17" i="4" s="1" a="1"/>
  <c r="C17" i="4" s="1"/>
  <c r="H270" i="4" a="1"/>
  <c r="H270" i="4" s="1"/>
  <c r="C270" i="4" s="1" a="1"/>
  <c r="C270" i="4" s="1"/>
  <c r="H191" i="6" a="1"/>
  <c r="H191" i="6" s="1"/>
  <c r="C191" i="6" s="1" a="1"/>
  <c r="C191" i="6" s="1"/>
  <c r="H45" i="5" a="1"/>
  <c r="H45" i="5" s="1"/>
  <c r="C45" i="5" s="1" a="1"/>
  <c r="C45" i="5" s="1"/>
  <c r="H249" i="4" a="1"/>
  <c r="H249" i="4" s="1"/>
  <c r="C249" i="4" s="1" a="1"/>
  <c r="C249" i="4" s="1"/>
  <c r="H27" i="5" a="1"/>
  <c r="H27" i="5" s="1"/>
  <c r="C27" i="5" s="1" a="1"/>
  <c r="C27" i="5" s="1"/>
  <c r="E105" i="2" s="1" a="1"/>
  <c r="E105" i="2" s="1"/>
  <c r="H193" i="8" a="1"/>
  <c r="H193" i="8" s="1"/>
  <c r="C193" i="8" s="1" a="1"/>
  <c r="C193" i="8" s="1"/>
  <c r="E402" i="2" s="1" a="1"/>
  <c r="E402" i="2" s="1"/>
  <c r="H94" i="5" a="1"/>
  <c r="H94" i="5" s="1"/>
  <c r="C94" i="5" s="1" a="1"/>
  <c r="C94" i="5" s="1"/>
  <c r="E428" i="2" s="1" a="1"/>
  <c r="E428" i="2" s="1"/>
  <c r="H247" i="4" a="1"/>
  <c r="H247" i="4" s="1"/>
  <c r="C247" i="4" s="1" a="1"/>
  <c r="C247" i="4" s="1"/>
  <c r="H30" i="8" a="1"/>
  <c r="H30" i="8" s="1"/>
  <c r="C30" i="8" s="1" a="1"/>
  <c r="C30" i="8" s="1"/>
  <c r="E43" i="2" s="1" a="1"/>
  <c r="E43" i="2" s="1"/>
  <c r="H389" i="4" a="1"/>
  <c r="H389" i="4" s="1"/>
  <c r="C389" i="4" s="1" a="1"/>
  <c r="C389" i="4" s="1"/>
  <c r="H48" i="5" a="1"/>
  <c r="H48" i="5" s="1"/>
  <c r="C48" i="5" s="1" a="1"/>
  <c r="C48" i="5" s="1"/>
  <c r="E147" i="2" s="1" a="1"/>
  <c r="E147" i="2" s="1"/>
  <c r="H152" i="4" a="1"/>
  <c r="H152" i="4" s="1"/>
  <c r="C152" i="4" s="1" a="1"/>
  <c r="C152" i="4" s="1"/>
  <c r="H68" i="7" a="1"/>
  <c r="H68" i="7" s="1"/>
  <c r="C68" i="7" s="1" a="1"/>
  <c r="C68" i="7" s="1"/>
  <c r="E225" i="2" s="1" a="1"/>
  <c r="E225" i="2" s="1"/>
  <c r="H115" i="8" a="1"/>
  <c r="H115" i="8" s="1"/>
  <c r="C115" i="8" s="1" a="1"/>
  <c r="C115" i="8" s="1"/>
  <c r="E334" i="2" s="1" a="1"/>
  <c r="E334" i="2" s="1"/>
  <c r="H90" i="5" a="1"/>
  <c r="H90" i="5" s="1"/>
  <c r="C90" i="5" s="1" a="1"/>
  <c r="C90" i="5" s="1"/>
  <c r="E508" i="2" s="1" a="1"/>
  <c r="E508" i="2" s="1"/>
  <c r="H131" i="8" a="1"/>
  <c r="H131" i="8" s="1"/>
  <c r="C131" i="8" s="1" a="1"/>
  <c r="C131" i="8" s="1"/>
  <c r="E292" i="2" s="1" a="1"/>
  <c r="E292" i="2" s="1"/>
  <c r="H111" i="5" a="1"/>
  <c r="H111" i="5" s="1"/>
  <c r="C111" i="5" s="1" a="1"/>
  <c r="C111" i="5" s="1"/>
  <c r="E515" i="2" s="1" a="1"/>
  <c r="E515" i="2" s="1"/>
  <c r="H29" i="6" a="1"/>
  <c r="H29" i="6" s="1"/>
  <c r="C29" i="6" s="1" a="1"/>
  <c r="C29" i="6" s="1"/>
  <c r="H61" i="7" a="1"/>
  <c r="H61" i="7" s="1"/>
  <c r="C61" i="7" s="1" a="1"/>
  <c r="C61" i="7" s="1"/>
  <c r="E351" i="2" s="1" a="1"/>
  <c r="E351" i="2" s="1"/>
  <c r="H147" i="8" a="1"/>
  <c r="H147" i="8" s="1"/>
  <c r="C147" i="8" s="1" a="1"/>
  <c r="C147" i="8" s="1"/>
  <c r="E342" i="2" s="1" a="1"/>
  <c r="E342" i="2" s="1"/>
  <c r="H25" i="7" a="1"/>
  <c r="H25" i="7" s="1"/>
  <c r="C25" i="7" s="1" a="1"/>
  <c r="C25" i="7" s="1"/>
  <c r="E122" i="2" s="1" a="1"/>
  <c r="E122" i="2" s="1"/>
  <c r="H348" i="4" a="1"/>
  <c r="H348" i="4" s="1"/>
  <c r="C348" i="4" s="1" a="1"/>
  <c r="C348" i="4" s="1"/>
  <c r="H135" i="7" a="1"/>
  <c r="H135" i="7" s="1"/>
  <c r="C135" i="7" s="1" a="1"/>
  <c r="C135" i="7" s="1"/>
  <c r="E555" i="2" s="1" a="1"/>
  <c r="E555" i="2" s="1"/>
  <c r="H173" i="7" a="1"/>
  <c r="H173" i="7" s="1"/>
  <c r="C173" i="7" s="1" a="1"/>
  <c r="C173" i="7" s="1"/>
  <c r="E628" i="2" s="1" a="1"/>
  <c r="E628" i="2" s="1"/>
  <c r="H65" i="6" a="1"/>
  <c r="H65" i="6" s="1"/>
  <c r="C65" i="6" s="1" a="1"/>
  <c r="C65" i="6" s="1"/>
  <c r="H351" i="4" a="1"/>
  <c r="H351" i="4" s="1"/>
  <c r="C351" i="4" s="1" a="1"/>
  <c r="C351" i="4" s="1"/>
  <c r="H19" i="5" a="1"/>
  <c r="H19" i="5" s="1"/>
  <c r="C19" i="5" s="1" a="1"/>
  <c r="C19" i="5" s="1"/>
  <c r="E141" i="2" s="1" a="1"/>
  <c r="E141" i="2" s="1"/>
  <c r="H151" i="8" a="1"/>
  <c r="H151" i="8" s="1"/>
  <c r="C151" i="8" s="1" a="1"/>
  <c r="C151" i="8" s="1"/>
  <c r="E298" i="2" s="1" a="1"/>
  <c r="E298" i="2" s="1"/>
  <c r="H109" i="4" a="1"/>
  <c r="H109" i="4" s="1"/>
  <c r="C109" i="4" s="1" a="1"/>
  <c r="C109" i="4" s="1"/>
  <c r="H222" i="4" a="1"/>
  <c r="H222" i="4" s="1"/>
  <c r="C222" i="4" s="1" a="1"/>
  <c r="C222" i="4" s="1"/>
  <c r="H124" i="5" a="1"/>
  <c r="H124" i="5" s="1"/>
  <c r="C124" i="5" s="1" a="1"/>
  <c r="C124" i="5" s="1"/>
  <c r="E589" i="2" s="1" a="1"/>
  <c r="E589" i="2" s="1"/>
  <c r="H361" i="4" a="1"/>
  <c r="H361" i="4" s="1"/>
  <c r="C361" i="4" s="1" a="1"/>
  <c r="C361" i="4" s="1"/>
  <c r="H7" i="4" a="1"/>
  <c r="H7" i="4" s="1"/>
  <c r="C7" i="4" s="1" a="1"/>
  <c r="C7" i="4" s="1"/>
  <c r="H88" i="4" a="1"/>
  <c r="H88" i="4" s="1"/>
  <c r="C88" i="4" s="1" a="1"/>
  <c r="C88" i="4" s="1"/>
  <c r="H150" i="5" a="1"/>
  <c r="H150" i="5" s="1"/>
  <c r="C150" i="5" s="1" a="1"/>
  <c r="C150" i="5" s="1"/>
  <c r="H199" i="5" a="1"/>
  <c r="H199" i="5" s="1"/>
  <c r="C199" i="5" s="1" a="1"/>
  <c r="C199" i="5" s="1"/>
  <c r="H82" i="8" a="1"/>
  <c r="H82" i="8" s="1"/>
  <c r="C82" i="8" s="1" a="1"/>
  <c r="C82" i="8" s="1"/>
  <c r="E202" i="2" s="1" a="1"/>
  <c r="E202" i="2" s="1"/>
  <c r="H11" i="9" a="1"/>
  <c r="H11" i="9" s="1"/>
  <c r="H237" i="4" a="1"/>
  <c r="H237" i="4" s="1"/>
  <c r="C237" i="4" s="1" a="1"/>
  <c r="C237" i="4" s="1"/>
  <c r="H97" i="7" a="1"/>
  <c r="H97" i="7" s="1"/>
  <c r="C97" i="7" s="1" a="1"/>
  <c r="C97" i="7" s="1"/>
  <c r="E540" i="2" s="1" a="1"/>
  <c r="E540" i="2" s="1"/>
  <c r="H122" i="5" a="1"/>
  <c r="H122" i="5" s="1"/>
  <c r="C122" i="5" s="1" a="1"/>
  <c r="C122" i="5" s="1"/>
  <c r="E448" i="2" s="1" a="1"/>
  <c r="E448" i="2" s="1"/>
  <c r="H151" i="5" a="1"/>
  <c r="H151" i="5" s="1"/>
  <c r="C151" i="5" s="1" a="1"/>
  <c r="C151" i="5" s="1"/>
  <c r="E564" i="2" s="1" a="1"/>
  <c r="E564" i="2" s="1"/>
  <c r="H218" i="4" a="1"/>
  <c r="H218" i="4" s="1"/>
  <c r="C218" i="4" s="1" a="1"/>
  <c r="C218" i="4" s="1"/>
  <c r="H49" i="5" a="1"/>
  <c r="H49" i="5" s="1"/>
  <c r="C49" i="5" s="1" a="1"/>
  <c r="C49" i="5" s="1"/>
  <c r="H146" i="5" a="1"/>
  <c r="H146" i="5" s="1"/>
  <c r="C146" i="5" s="1" a="1"/>
  <c r="C146" i="5" s="1"/>
  <c r="H23" i="9" a="1"/>
  <c r="H23" i="9" s="1"/>
  <c r="H67" i="6" a="1"/>
  <c r="H67" i="6" s="1"/>
  <c r="C67" i="6" s="1" a="1"/>
  <c r="C67" i="6" s="1"/>
  <c r="H197" i="5" a="1"/>
  <c r="H197" i="5" s="1"/>
  <c r="C197" i="5" s="1" a="1"/>
  <c r="C197" i="5" s="1"/>
  <c r="H123" i="4" a="1"/>
  <c r="H123" i="4" s="1"/>
  <c r="C123" i="4" s="1" a="1"/>
  <c r="C123" i="4" s="1"/>
  <c r="H74" i="8" a="1"/>
  <c r="H74" i="8" s="1"/>
  <c r="C74" i="8" s="1" a="1"/>
  <c r="C74" i="8" s="1"/>
  <c r="E170" i="2" s="1" a="1"/>
  <c r="E170" i="2" s="1"/>
  <c r="H144" i="5" a="1"/>
  <c r="H144" i="5" s="1"/>
  <c r="C144" i="5" s="1" a="1"/>
  <c r="C144" i="5" s="1"/>
  <c r="H385" i="4" a="1"/>
  <c r="H385" i="4" s="1"/>
  <c r="C385" i="4" s="1" a="1"/>
  <c r="C385" i="4" s="1"/>
  <c r="H89" i="8" a="1"/>
  <c r="H89" i="8" s="1"/>
  <c r="C89" i="8" s="1" a="1"/>
  <c r="C89" i="8" s="1"/>
  <c r="E197" i="2" s="1" a="1"/>
  <c r="E197" i="2" s="1"/>
  <c r="H328" i="4" a="1"/>
  <c r="H328" i="4" s="1"/>
  <c r="C328" i="4" s="1" a="1"/>
  <c r="C328" i="4" s="1"/>
  <c r="H70" i="8" a="1"/>
  <c r="H70" i="8" s="1"/>
  <c r="C70" i="8" s="1" a="1"/>
  <c r="C70" i="8" s="1"/>
  <c r="E300" i="2" s="1" a="1"/>
  <c r="E300" i="2" s="1"/>
  <c r="H329" i="4" a="1"/>
  <c r="H329" i="4" s="1"/>
  <c r="C329" i="4" s="1" a="1"/>
  <c r="C329" i="4" s="1"/>
  <c r="H96" i="6" a="1"/>
  <c r="H96" i="6" s="1"/>
  <c r="C96" i="6" s="1" a="1"/>
  <c r="C96" i="6" s="1"/>
  <c r="H248" i="4" a="1"/>
  <c r="H248" i="4" s="1"/>
  <c r="C248" i="4" s="1" a="1"/>
  <c r="C248" i="4" s="1"/>
  <c r="H67" i="5" a="1"/>
  <c r="H67" i="5" s="1"/>
  <c r="C67" i="5" s="1" a="1"/>
  <c r="C67" i="5" s="1"/>
  <c r="E329" i="2" s="1" a="1"/>
  <c r="E329" i="2" s="1"/>
  <c r="H194" i="6" a="1"/>
  <c r="H194" i="6" s="1"/>
  <c r="C194" i="6" s="1" a="1"/>
  <c r="C194" i="6" s="1"/>
  <c r="E565" i="2" s="1" a="1"/>
  <c r="E565" i="2" s="1"/>
  <c r="H191" i="5" a="1"/>
  <c r="H191" i="5" s="1"/>
  <c r="C191" i="5" s="1" a="1"/>
  <c r="C191" i="5" s="1"/>
  <c r="E583" i="2" s="1" a="1"/>
  <c r="E583" i="2" s="1"/>
  <c r="H164" i="4" a="1"/>
  <c r="H164" i="4" s="1"/>
  <c r="C164" i="4" s="1" a="1"/>
  <c r="C164" i="4" s="1"/>
  <c r="H36" i="8" a="1"/>
  <c r="H36" i="8" s="1"/>
  <c r="C36" i="8" s="1" a="1"/>
  <c r="C36" i="8" s="1"/>
  <c r="E123" i="2" s="1" a="1"/>
  <c r="E123" i="2" s="1"/>
  <c r="H14" i="4" a="1"/>
  <c r="H14" i="4" s="1"/>
  <c r="C14" i="4" s="1" a="1"/>
  <c r="C14" i="4" s="1"/>
  <c r="H31" i="9" a="1"/>
  <c r="H31" i="9" s="1"/>
  <c r="H11" i="7" a="1"/>
  <c r="H11" i="7" s="1"/>
  <c r="H76" i="6" a="1"/>
  <c r="H76" i="6" s="1"/>
  <c r="C76" i="6" s="1" a="1"/>
  <c r="C76" i="6" s="1"/>
  <c r="H20" i="4" a="1"/>
  <c r="H20" i="4" s="1"/>
  <c r="C20" i="4" s="1" a="1"/>
  <c r="C20" i="4" s="1"/>
  <c r="H31" i="5" a="1"/>
  <c r="H31" i="5" s="1"/>
  <c r="C31" i="5" s="1" a="1"/>
  <c r="C31" i="5" s="1"/>
  <c r="E115" i="2" s="1" a="1"/>
  <c r="E115" i="2" s="1"/>
  <c r="H154" i="4" a="1"/>
  <c r="H154" i="4" s="1"/>
  <c r="C154" i="4" s="1" a="1"/>
  <c r="C154" i="4" s="1"/>
  <c r="H91" i="6" a="1"/>
  <c r="H91" i="6" s="1"/>
  <c r="C91" i="6" s="1" a="1"/>
  <c r="C91" i="6" s="1"/>
  <c r="H243" i="4" a="1"/>
  <c r="H243" i="4" s="1"/>
  <c r="C243" i="4" s="1" a="1"/>
  <c r="C243" i="4" s="1"/>
  <c r="H138" i="8" a="1"/>
  <c r="H138" i="8" s="1"/>
  <c r="C138" i="8" s="1" a="1"/>
  <c r="C138" i="8" s="1"/>
  <c r="E232" i="2" s="1" a="1"/>
  <c r="E232" i="2" s="1"/>
  <c r="H173" i="5" a="1"/>
  <c r="H173" i="5" s="1"/>
  <c r="C173" i="5" s="1" a="1"/>
  <c r="C173" i="5" s="1"/>
  <c r="E496" i="2" s="1" a="1"/>
  <c r="E496" i="2" s="1"/>
  <c r="H164" i="8" a="1"/>
  <c r="H164" i="8" s="1"/>
  <c r="C164" i="8" s="1" a="1"/>
  <c r="C164" i="8" s="1"/>
  <c r="E392" i="2" s="1" a="1"/>
  <c r="E392" i="2" s="1"/>
  <c r="H96" i="5" a="1"/>
  <c r="H96" i="5" s="1"/>
  <c r="C96" i="5" s="1" a="1"/>
  <c r="C96" i="5" s="1"/>
  <c r="H380" i="4" a="1"/>
  <c r="H380" i="4" s="1"/>
  <c r="C380" i="4" s="1" a="1"/>
  <c r="C380" i="4" s="1"/>
  <c r="H66" i="5" a="1"/>
  <c r="H66" i="5" s="1"/>
  <c r="C66" i="5" s="1" a="1"/>
  <c r="C66" i="5" s="1"/>
  <c r="E324" i="2" s="1" a="1"/>
  <c r="E324" i="2" s="1"/>
  <c r="H338" i="4" a="1"/>
  <c r="H338" i="4" s="1"/>
  <c r="C338" i="4" s="1" a="1"/>
  <c r="C338" i="4" s="1"/>
  <c r="H107" i="6" a="1"/>
  <c r="H107" i="6" s="1"/>
  <c r="C107" i="6" s="1" a="1"/>
  <c r="C107" i="6" s="1"/>
  <c r="C179" i="6" a="1"/>
  <c r="C179" i="6" s="1"/>
  <c r="C359" i="4" a="1"/>
  <c r="C359" i="4" s="1"/>
  <c r="C161" i="8" a="1"/>
  <c r="C161" i="8" s="1"/>
  <c r="E370" i="2" s="1" a="1"/>
  <c r="E370" i="2" s="1"/>
  <c r="C7" i="8" a="1"/>
  <c r="C7" i="8" s="1"/>
  <c r="E8" i="2" s="1" a="1"/>
  <c r="E8" i="2" s="1"/>
  <c r="C201" i="5" a="1"/>
  <c r="C201" i="5" s="1"/>
  <c r="E595" i="2" s="1" a="1"/>
  <c r="E595" i="2" s="1"/>
  <c r="C171" i="4" a="1"/>
  <c r="C171" i="4" s="1"/>
  <c r="C82" i="6" a="1"/>
  <c r="C82" i="6" s="1"/>
  <c r="H55" i="7" a="1"/>
  <c r="H55" i="7" s="1"/>
  <c r="C55" i="7" s="1" a="1"/>
  <c r="C55" i="7" s="1"/>
  <c r="E332" i="2" s="1" a="1"/>
  <c r="E332" i="2" s="1"/>
  <c r="C168" i="7" a="1"/>
  <c r="C168" i="7" s="1"/>
  <c r="E647" i="2" s="1" a="1"/>
  <c r="E647" i="2" s="1"/>
  <c r="C132" i="5" a="1"/>
  <c r="C132" i="5" s="1"/>
  <c r="H43" i="6" a="1"/>
  <c r="H43" i="6" s="1"/>
  <c r="C43" i="6" s="1" a="1"/>
  <c r="C43" i="6" s="1"/>
  <c r="C172" i="6" a="1"/>
  <c r="C172" i="6" s="1"/>
  <c r="C23" i="5" a="1"/>
  <c r="C23" i="5" s="1"/>
  <c r="C17" i="5" a="1"/>
  <c r="C17" i="5" s="1"/>
  <c r="C175" i="6" a="1"/>
  <c r="C175" i="6" s="1"/>
  <c r="E633" i="2" s="1" a="1"/>
  <c r="E633" i="2" s="1"/>
  <c r="H91" i="5" a="1"/>
  <c r="H91" i="5" s="1"/>
  <c r="C91" i="5" s="1" a="1"/>
  <c r="C91" i="5" s="1"/>
  <c r="E579" i="2" s="1" a="1"/>
  <c r="E579" i="2" s="1"/>
  <c r="C136" i="7" a="1"/>
  <c r="C136" i="7" s="1"/>
  <c r="E537" i="2" s="1" a="1"/>
  <c r="E537" i="2" s="1"/>
  <c r="C202" i="4" a="1"/>
  <c r="C202" i="4" s="1"/>
  <c r="C378" i="4" a="1"/>
  <c r="C378" i="4" s="1"/>
  <c r="C120" i="7" a="1"/>
  <c r="C120" i="7" s="1"/>
  <c r="E479" i="2" s="1" a="1"/>
  <c r="E479" i="2" s="1"/>
  <c r="H35" i="5" a="1"/>
  <c r="H35" i="5" s="1"/>
  <c r="C35" i="5" s="1" a="1"/>
  <c r="C35" i="5" s="1"/>
  <c r="E361" i="2" s="1" a="1"/>
  <c r="E361" i="2" s="1"/>
  <c r="C148" i="7" a="1"/>
  <c r="C148" i="7" s="1"/>
  <c r="E383" i="2" s="1" a="1"/>
  <c r="E383" i="2" s="1"/>
  <c r="C32" i="4" a="1"/>
  <c r="C32" i="4" s="1"/>
  <c r="C3" i="4" a="1"/>
  <c r="C3" i="4" s="1"/>
  <c r="H99" i="5" a="1"/>
  <c r="H99" i="5" s="1"/>
  <c r="C99" i="5" s="1" a="1"/>
  <c r="C99" i="5" s="1"/>
  <c r="C182" i="8" a="1"/>
  <c r="C182" i="8" s="1"/>
  <c r="E379" i="2" s="1" a="1"/>
  <c r="E379" i="2" s="1"/>
  <c r="H175" i="4" a="1"/>
  <c r="H175" i="4" s="1"/>
  <c r="C175" i="4" s="1" a="1"/>
  <c r="C175" i="4" s="1"/>
  <c r="C165" i="5" a="1"/>
  <c r="C165" i="5" s="1"/>
  <c r="C161" i="6" a="1"/>
  <c r="C161" i="6" s="1"/>
  <c r="E625" i="2" s="1" a="1"/>
  <c r="E625" i="2" s="1"/>
  <c r="C346" i="4" a="1"/>
  <c r="C346" i="4" s="1"/>
  <c r="C194" i="8" a="1"/>
  <c r="C194" i="8" s="1"/>
  <c r="E276" i="2" s="1" a="1"/>
  <c r="E276" i="2" s="1"/>
  <c r="H42" i="9" a="1"/>
  <c r="H42" i="9" s="1"/>
  <c r="H74" i="4" a="1"/>
  <c r="H74" i="4" s="1"/>
  <c r="C74" i="4" s="1" a="1"/>
  <c r="C74" i="4" s="1"/>
  <c r="H92" i="5" a="1"/>
  <c r="H92" i="5" s="1"/>
  <c r="C92" i="5" s="1" a="1"/>
  <c r="C92" i="5" s="1"/>
  <c r="H81" i="5" a="1"/>
  <c r="H81" i="5" s="1"/>
  <c r="C81" i="5" s="1" a="1"/>
  <c r="C81" i="5" s="1"/>
  <c r="E438" i="2" s="1" a="1"/>
  <c r="E438" i="2" s="1"/>
  <c r="H8" i="9" a="1"/>
  <c r="H8" i="9" s="1"/>
  <c r="C35" i="8" a="1"/>
  <c r="C35" i="8" s="1"/>
  <c r="E68" i="2" s="1" a="1"/>
  <c r="E68" i="2" s="1"/>
  <c r="C149" i="7" a="1"/>
  <c r="C149" i="7" s="1"/>
  <c r="E541" i="2" s="1" a="1"/>
  <c r="E541" i="2" s="1"/>
  <c r="H55" i="4" a="1"/>
  <c r="H55" i="4" s="1"/>
  <c r="C55" i="4" s="1" a="1"/>
  <c r="C55" i="4" s="1"/>
  <c r="C136" i="8" a="1"/>
  <c r="C136" i="8" s="1"/>
  <c r="E273" i="2" s="1" a="1"/>
  <c r="E273" i="2" s="1"/>
  <c r="H17" i="8" a="1"/>
  <c r="H17" i="8" s="1"/>
  <c r="C17" i="8" s="1" a="1"/>
  <c r="C17" i="8" s="1"/>
  <c r="C95" i="8" a="1"/>
  <c r="C95" i="8" s="1"/>
  <c r="E337" i="2" s="1" a="1"/>
  <c r="E337" i="2" s="1"/>
  <c r="H157" i="6" a="1"/>
  <c r="H157" i="6" s="1"/>
  <c r="C157" i="6" s="1" a="1"/>
  <c r="C157" i="6" s="1"/>
  <c r="E667" i="2" s="1" a="1"/>
  <c r="E667" i="2" s="1"/>
  <c r="H189" i="4" a="1"/>
  <c r="H189" i="4" s="1"/>
  <c r="C189" i="4" s="1" a="1"/>
  <c r="C189" i="4" s="1"/>
  <c r="H19" i="8" a="1"/>
  <c r="H19" i="8" s="1"/>
  <c r="C19" i="8" s="1" a="1"/>
  <c r="C19" i="8" s="1"/>
  <c r="E45" i="2" s="1" a="1"/>
  <c r="E45" i="2" s="1"/>
  <c r="H343" i="4" a="1"/>
  <c r="H343" i="4" s="1"/>
  <c r="C343" i="4" s="1" a="1"/>
  <c r="C343" i="4" s="1"/>
  <c r="H69" i="8" a="1"/>
  <c r="H69" i="8" s="1"/>
  <c r="C69" i="8" s="1" a="1"/>
  <c r="C69" i="8" s="1"/>
  <c r="E160" i="2" s="1" a="1"/>
  <c r="E160" i="2" s="1"/>
  <c r="C49" i="8" a="1"/>
  <c r="C49" i="8" s="1"/>
  <c r="E79" i="2" s="1" a="1"/>
  <c r="E79" i="2" s="1"/>
  <c r="C40" i="8" a="1"/>
  <c r="C40" i="8" s="1"/>
  <c r="E48" i="2" s="1" a="1"/>
  <c r="E48" i="2" s="1"/>
  <c r="C121" i="8" a="1"/>
  <c r="C121" i="8" s="1"/>
  <c r="E250" i="2" s="1" a="1"/>
  <c r="E250" i="2" s="1"/>
  <c r="C345" i="4" a="1"/>
  <c r="C345" i="4" s="1"/>
  <c r="H173" i="6" a="1"/>
  <c r="H173" i="6" s="1"/>
  <c r="C173" i="6" s="1" a="1"/>
  <c r="C173" i="6" s="1"/>
  <c r="E474" i="2" s="1" a="1"/>
  <c r="E474" i="2" s="1"/>
  <c r="C167" i="5" a="1"/>
  <c r="C167" i="5" s="1"/>
  <c r="C24" i="5" a="1"/>
  <c r="C24" i="5" s="1"/>
  <c r="E154" i="2" s="1" a="1"/>
  <c r="E154" i="2" s="1"/>
  <c r="C39" i="7" a="1"/>
  <c r="C39" i="7" s="1"/>
  <c r="E192" i="2" s="1" a="1"/>
  <c r="E192" i="2" s="1"/>
  <c r="C111" i="8" a="1"/>
  <c r="C111" i="8" s="1"/>
  <c r="E128" i="2" s="1" a="1"/>
  <c r="E128" i="2" s="1"/>
  <c r="C133" i="7" a="1"/>
  <c r="C133" i="7" s="1"/>
  <c r="E643" i="2" s="1" a="1"/>
  <c r="E643" i="2" s="1"/>
  <c r="H145" i="7" a="1"/>
  <c r="H145" i="7" s="1"/>
  <c r="C145" i="7" s="1" a="1"/>
  <c r="C145" i="7" s="1"/>
  <c r="E520" i="2" s="1" a="1"/>
  <c r="E520" i="2" s="1"/>
  <c r="H349" i="4" a="1"/>
  <c r="H349" i="4" s="1"/>
  <c r="C349" i="4" s="1" a="1"/>
  <c r="C349" i="4" s="1"/>
  <c r="H224" i="4" a="1"/>
  <c r="H224" i="4" s="1"/>
  <c r="C224" i="4" s="1" a="1"/>
  <c r="C224" i="4" s="1"/>
  <c r="C217" i="4" a="1"/>
  <c r="C217" i="4" s="1"/>
  <c r="C15" i="5" a="1"/>
  <c r="C15" i="5" s="1"/>
  <c r="C185" i="8" a="1"/>
  <c r="C185" i="8" s="1"/>
  <c r="E291" i="2" s="1" a="1"/>
  <c r="E291" i="2" s="1"/>
  <c r="H102" i="4" a="1"/>
  <c r="H102" i="4" s="1"/>
  <c r="C102" i="4" s="1" a="1"/>
  <c r="C102" i="4" s="1"/>
  <c r="C271" i="4" a="1"/>
  <c r="C271" i="4" s="1"/>
  <c r="H406" i="4" a="1"/>
  <c r="H406" i="4" s="1"/>
  <c r="C406" i="4" s="1" a="1"/>
  <c r="C406" i="4" s="1"/>
  <c r="H400" i="4" a="1"/>
  <c r="H400" i="4" s="1"/>
  <c r="C400" i="4" s="1" a="1"/>
  <c r="C400" i="4" s="1"/>
  <c r="C71" i="4" a="1"/>
  <c r="C71" i="4" s="1"/>
  <c r="H116" i="7" a="1"/>
  <c r="H116" i="7" s="1"/>
  <c r="C116" i="7" s="1" a="1"/>
  <c r="C116" i="7" s="1"/>
  <c r="E447" i="2" s="1" a="1"/>
  <c r="E447" i="2" s="1"/>
  <c r="H316" i="4" a="1"/>
  <c r="H316" i="4" s="1"/>
  <c r="C316" i="4" s="1" a="1"/>
  <c r="C316" i="4" s="1"/>
  <c r="H60" i="4" a="1"/>
  <c r="H60" i="4" s="1"/>
  <c r="C60" i="4" s="1" a="1"/>
  <c r="C60" i="4" s="1"/>
  <c r="C49" i="6" a="1"/>
  <c r="C49" i="6" s="1"/>
  <c r="C62" i="6" a="1"/>
  <c r="C62" i="6" s="1"/>
  <c r="E380" i="2" s="1" a="1"/>
  <c r="E380" i="2" s="1"/>
  <c r="H176" i="5" a="1"/>
  <c r="H176" i="5" s="1"/>
  <c r="C176" i="5" s="1" a="1"/>
  <c r="C176" i="5" s="1"/>
  <c r="C11" i="6" a="1"/>
  <c r="C11" i="6" s="1"/>
  <c r="C47" i="5" a="1"/>
  <c r="C47" i="5" s="1"/>
  <c r="H83" i="5" a="1"/>
  <c r="H83" i="5" s="1"/>
  <c r="C83" i="5" s="1" a="1"/>
  <c r="C83" i="5" s="1"/>
  <c r="E437" i="2" s="1" a="1"/>
  <c r="E437" i="2" s="1"/>
  <c r="H154" i="7" a="1"/>
  <c r="H154" i="7" s="1"/>
  <c r="C154" i="7" s="1" a="1"/>
  <c r="C154" i="7" s="1"/>
  <c r="E559" i="2" s="1" a="1"/>
  <c r="E559" i="2" s="1"/>
  <c r="C155" i="6" a="1"/>
  <c r="C155" i="6" s="1"/>
  <c r="C38" i="7" a="1"/>
  <c r="C38" i="7" s="1"/>
  <c r="E163" i="2" s="1" a="1"/>
  <c r="E163" i="2" s="1"/>
  <c r="H137" i="5" a="1"/>
  <c r="H137" i="5" s="1"/>
  <c r="C137" i="5" s="1" a="1"/>
  <c r="C137" i="5" s="1"/>
  <c r="E543" i="2" s="1" a="1"/>
  <c r="E543" i="2" s="1"/>
  <c r="C156" i="7" a="1"/>
  <c r="C156" i="7" s="1"/>
  <c r="E536" i="2" s="1" a="1"/>
  <c r="E536" i="2" s="1"/>
  <c r="C83" i="8" a="1"/>
  <c r="C83" i="8" s="1"/>
  <c r="E171" i="2" s="1" a="1"/>
  <c r="E171" i="2" s="1"/>
  <c r="H215" i="4" a="1"/>
  <c r="H215" i="4" s="1"/>
  <c r="C215" i="4" s="1" a="1"/>
  <c r="C215" i="4" s="1"/>
  <c r="H62" i="7" a="1"/>
  <c r="H62" i="7" s="1"/>
  <c r="C62" i="7" s="1" a="1"/>
  <c r="C62" i="7" s="1"/>
  <c r="E321" i="2" s="1" a="1"/>
  <c r="E321" i="2" s="1"/>
  <c r="H84" i="4" a="1"/>
  <c r="H84" i="4" s="1"/>
  <c r="C84" i="4" s="1" a="1"/>
  <c r="C84" i="4" s="1"/>
  <c r="H160" i="6" a="1"/>
  <c r="H160" i="6" s="1"/>
  <c r="C160" i="6" s="1" a="1"/>
  <c r="C160" i="6" s="1"/>
  <c r="E600" i="2" s="1" a="1"/>
  <c r="E600" i="2" s="1"/>
  <c r="C12" i="6" a="1"/>
  <c r="C12" i="6" s="1"/>
  <c r="H43" i="9" a="1"/>
  <c r="H43" i="9" s="1"/>
  <c r="H16" i="6" a="1"/>
  <c r="H16" i="6" s="1"/>
  <c r="C16" i="6" s="1" a="1"/>
  <c r="C16" i="6" s="1"/>
  <c r="C101" i="5" a="1"/>
  <c r="C101" i="5" s="1"/>
  <c r="H102" i="5" a="1"/>
  <c r="H102" i="5" s="1"/>
  <c r="C102" i="5" s="1" a="1"/>
  <c r="C102" i="5" s="1"/>
  <c r="E578" i="2" s="1" a="1"/>
  <c r="E578" i="2" s="1"/>
  <c r="C279" i="4" a="1"/>
  <c r="C279" i="4" s="1"/>
  <c r="C101" i="6" a="1"/>
  <c r="C101" i="6" s="1"/>
  <c r="E523" i="2" s="1" a="1"/>
  <c r="E523" i="2" s="1"/>
  <c r="H390" i="4" a="1"/>
  <c r="H390" i="4" s="1"/>
  <c r="C390" i="4" s="1" a="1"/>
  <c r="C390" i="4" s="1"/>
  <c r="H162" i="4" a="1"/>
  <c r="H162" i="4" s="1"/>
  <c r="C162" i="4" s="1" a="1"/>
  <c r="C162" i="4" s="1"/>
  <c r="H120" i="5" a="1"/>
  <c r="H120" i="5" s="1"/>
  <c r="C120" i="5" s="1" a="1"/>
  <c r="C120" i="5" s="1"/>
  <c r="C43" i="5" a="1"/>
  <c r="C43" i="5" s="1"/>
  <c r="E325" i="2" s="1" a="1"/>
  <c r="E325" i="2" s="1"/>
  <c r="H203" i="8" a="1"/>
  <c r="H203" i="8" s="1"/>
  <c r="C203" i="8" s="1" a="1"/>
  <c r="C203" i="8" s="1"/>
  <c r="E452" i="2" s="1" a="1"/>
  <c r="E452" i="2" s="1"/>
  <c r="C119" i="5" a="1"/>
  <c r="C119" i="5" s="1"/>
  <c r="E472" i="2" s="1" a="1"/>
  <c r="E472" i="2" s="1"/>
  <c r="C208" i="4" a="1"/>
  <c r="C208" i="4" s="1"/>
  <c r="H302" i="4" a="1"/>
  <c r="H302" i="4" s="1"/>
  <c r="C302" i="4" s="1" a="1"/>
  <c r="C302" i="4" s="1"/>
  <c r="C290" i="4" a="1"/>
  <c r="C290" i="4" s="1"/>
  <c r="C9" i="7" a="1"/>
  <c r="C9" i="7" s="1"/>
  <c r="E95" i="2" s="1" a="1"/>
  <c r="E95" i="2" s="1"/>
  <c r="H159" i="5" a="1"/>
  <c r="H159" i="5" s="1"/>
  <c r="C159" i="5" s="1" a="1"/>
  <c r="C159" i="5" s="1"/>
  <c r="E573" i="2" s="1" a="1"/>
  <c r="E573" i="2" s="1"/>
  <c r="H95" i="7" a="1"/>
  <c r="H95" i="7" s="1"/>
  <c r="C95" i="7" s="1" a="1"/>
  <c r="C95" i="7" s="1"/>
  <c r="E253" i="2" s="1" a="1"/>
  <c r="E253" i="2" s="1"/>
  <c r="C87" i="8" a="1"/>
  <c r="C87" i="8" s="1"/>
  <c r="E144" i="2" s="1" a="1"/>
  <c r="E144" i="2" s="1"/>
  <c r="C155" i="7" a="1"/>
  <c r="C155" i="7" s="1"/>
  <c r="E566" i="2" s="1" a="1"/>
  <c r="E566" i="2" s="1"/>
  <c r="H13" i="6" a="1"/>
  <c r="H13" i="6" s="1"/>
  <c r="C13" i="6" s="1" a="1"/>
  <c r="C13" i="6" s="1"/>
  <c r="C78" i="5" a="1"/>
  <c r="C78" i="5" s="1"/>
  <c r="C123" i="6" a="1"/>
  <c r="C123" i="6" s="1"/>
  <c r="H46" i="8" a="1"/>
  <c r="H46" i="8" s="1"/>
  <c r="C46" i="8" s="1" a="1"/>
  <c r="C46" i="8" s="1"/>
  <c r="E132" i="2" s="1" a="1"/>
  <c r="E132" i="2" s="1"/>
  <c r="H74" i="7" a="1"/>
  <c r="H74" i="7" s="1"/>
  <c r="C74" i="7" s="1" a="1"/>
  <c r="C74" i="7" s="1"/>
  <c r="E398" i="2" s="1" a="1"/>
  <c r="E398" i="2" s="1"/>
  <c r="C147" i="4" a="1"/>
  <c r="C147" i="4" s="1"/>
  <c r="C121" i="5" a="1"/>
  <c r="C121" i="5" s="1"/>
  <c r="H347" i="4" a="1"/>
  <c r="H347" i="4" s="1"/>
  <c r="C347" i="4" s="1" a="1"/>
  <c r="C347" i="4" s="1"/>
  <c r="C384" i="4" a="1"/>
  <c r="C384" i="4" s="1"/>
  <c r="H245" i="4" a="1"/>
  <c r="H245" i="4" s="1"/>
  <c r="C245" i="4" s="1" a="1"/>
  <c r="C245" i="4" s="1"/>
  <c r="C110" i="5" a="1"/>
  <c r="C110" i="5" s="1"/>
  <c r="H197" i="8" a="1"/>
  <c r="H197" i="8" s="1"/>
  <c r="C197" i="8" s="1" a="1"/>
  <c r="C197" i="8" s="1"/>
  <c r="E367" i="2" s="1" a="1"/>
  <c r="E367" i="2" s="1"/>
  <c r="H60" i="9" a="1"/>
  <c r="H60" i="9" s="1"/>
  <c r="H194" i="5" a="1"/>
  <c r="H194" i="5" s="1"/>
  <c r="C194" i="5" s="1" a="1"/>
  <c r="C194" i="5" s="1"/>
  <c r="E622" i="2" s="1" a="1"/>
  <c r="E622" i="2" s="1"/>
  <c r="H160" i="5" a="1"/>
  <c r="H160" i="5" s="1"/>
  <c r="C160" i="5" s="1" a="1"/>
  <c r="C160" i="5" s="1"/>
  <c r="H7" i="7" a="1"/>
  <c r="H7" i="7" s="1"/>
  <c r="C7" i="7" s="1" a="1"/>
  <c r="C7" i="7" s="1"/>
  <c r="E33" i="2" s="1" a="1"/>
  <c r="E33" i="2" s="1"/>
  <c r="H187" i="8" a="1"/>
  <c r="H187" i="8" s="1"/>
  <c r="C187" i="8" s="1" a="1"/>
  <c r="C187" i="8" s="1"/>
  <c r="E264" i="2" s="1" a="1"/>
  <c r="E264" i="2" s="1"/>
  <c r="H150" i="7" a="1"/>
  <c r="H150" i="7" s="1"/>
  <c r="C150" i="7" s="1" a="1"/>
  <c r="C150" i="7" s="1"/>
  <c r="E491" i="2" s="1" a="1"/>
  <c r="E491" i="2" s="1"/>
  <c r="H195" i="7" a="1"/>
  <c r="H195" i="7" s="1"/>
  <c r="C195" i="7" s="1" a="1"/>
  <c r="C195" i="7" s="1"/>
  <c r="E601" i="2" s="1" a="1"/>
  <c r="E601" i="2" s="1"/>
  <c r="H48" i="7" a="1"/>
  <c r="H48" i="7" s="1"/>
  <c r="C48" i="7" s="1" a="1"/>
  <c r="C48" i="7" s="1"/>
  <c r="E184" i="2" s="1" a="1"/>
  <c r="E184" i="2" s="1"/>
  <c r="H38" i="4" a="1"/>
  <c r="H38" i="4" s="1"/>
  <c r="C38" i="4" s="1" a="1"/>
  <c r="C38" i="4" s="1"/>
  <c r="H126" i="5" a="1"/>
  <c r="H126" i="5" s="1"/>
  <c r="C126" i="5" s="1" a="1"/>
  <c r="C126" i="5" s="1"/>
  <c r="H15" i="4" a="1"/>
  <c r="H15" i="4" s="1"/>
  <c r="C15" i="4" s="1" a="1"/>
  <c r="C15" i="4" s="1"/>
  <c r="H320" i="4" a="1"/>
  <c r="H320" i="4" s="1"/>
  <c r="C320" i="4" s="1" a="1"/>
  <c r="C320" i="4" s="1"/>
  <c r="H125" i="5" a="1"/>
  <c r="H125" i="5" s="1"/>
  <c r="C125" i="5" s="1" a="1"/>
  <c r="C125" i="5" s="1"/>
  <c r="H204" i="6" a="1"/>
  <c r="H204" i="6" s="1"/>
  <c r="C204" i="6" s="1" a="1"/>
  <c r="C204" i="6" s="1"/>
  <c r="E556" i="2" s="1" a="1"/>
  <c r="E556" i="2" s="1"/>
  <c r="H4" i="4" a="1"/>
  <c r="H4" i="4" s="1"/>
  <c r="C4" i="4" s="1" a="1"/>
  <c r="C4" i="4" s="1"/>
  <c r="H75" i="5" a="1"/>
  <c r="H75" i="5" s="1"/>
  <c r="C75" i="5" s="1" a="1"/>
  <c r="C75" i="5" s="1"/>
  <c r="E577" i="2" s="1" a="1"/>
  <c r="E577" i="2" s="1"/>
  <c r="H57" i="6" a="1"/>
  <c r="H57" i="6" s="1"/>
  <c r="C57" i="6" s="1" a="1"/>
  <c r="C57" i="6" s="1"/>
  <c r="H208" i="5" a="1"/>
  <c r="H208" i="5" s="1"/>
  <c r="C208" i="5" s="1" a="1"/>
  <c r="C208" i="5" s="1"/>
  <c r="E627" i="2" s="1" a="1"/>
  <c r="E627" i="2" s="1"/>
  <c r="H168" i="4" a="1"/>
  <c r="H168" i="4" s="1"/>
  <c r="C168" i="4" s="1" a="1"/>
  <c r="C168" i="4" s="1"/>
  <c r="H34" i="7" a="1"/>
  <c r="H34" i="7" s="1"/>
  <c r="C34" i="7" s="1" a="1"/>
  <c r="C34" i="7" s="1"/>
  <c r="E183" i="2" s="1" a="1"/>
  <c r="E183" i="2" s="1"/>
  <c r="H182" i="4" a="1"/>
  <c r="H182" i="4" s="1"/>
  <c r="C182" i="4" s="1" a="1"/>
  <c r="C182" i="4" s="1"/>
  <c r="H22" i="6" a="1"/>
  <c r="H22" i="6" s="1"/>
  <c r="C22" i="6" s="1" a="1"/>
  <c r="C22" i="6" s="1"/>
  <c r="H179" i="5" a="1"/>
  <c r="H179" i="5" s="1"/>
  <c r="C179" i="5" s="1" a="1"/>
  <c r="C179" i="5" s="1"/>
  <c r="H337" i="4" a="1"/>
  <c r="H337" i="4" s="1"/>
  <c r="C337" i="4" s="1" a="1"/>
  <c r="C337" i="4" s="1"/>
  <c r="H55" i="8" a="1"/>
  <c r="H55" i="8" s="1"/>
  <c r="C55" i="8" s="1" a="1"/>
  <c r="C55" i="8" s="1"/>
  <c r="E59" i="2" s="1" a="1"/>
  <c r="E59" i="2" s="1"/>
  <c r="H75" i="7" a="1"/>
  <c r="H75" i="7" s="1"/>
  <c r="C75" i="7" s="1" a="1"/>
  <c r="C75" i="7" s="1"/>
  <c r="E382" i="2" s="1" a="1"/>
  <c r="E382" i="2" s="1"/>
  <c r="H187" i="6" a="1"/>
  <c r="H187" i="6" s="1"/>
  <c r="C187" i="6" s="1" a="1"/>
  <c r="C187" i="6" s="1"/>
  <c r="E550" i="2" s="1" a="1"/>
  <c r="E550" i="2" s="1"/>
  <c r="H63" i="7" a="1"/>
  <c r="H63" i="7" s="1"/>
  <c r="C63" i="7" s="1" a="1"/>
  <c r="C63" i="7" s="1"/>
  <c r="E260" i="2" s="1" a="1"/>
  <c r="E260" i="2" s="1"/>
  <c r="H73" i="8" a="1"/>
  <c r="H73" i="8" s="1"/>
  <c r="C73" i="8" s="1" a="1"/>
  <c r="C73" i="8" s="1"/>
  <c r="E135" i="2" s="1" a="1"/>
  <c r="E135" i="2" s="1"/>
  <c r="H127" i="7" a="1"/>
  <c r="H127" i="7" s="1"/>
  <c r="C127" i="7" s="1" a="1"/>
  <c r="C127" i="7" s="1"/>
  <c r="E500" i="2" s="1" a="1"/>
  <c r="E500" i="2" s="1"/>
  <c r="H334" i="4" a="1"/>
  <c r="H334" i="4" s="1"/>
  <c r="C334" i="4" s="1" a="1"/>
  <c r="C334" i="4" s="1"/>
  <c r="H8" i="8" a="1"/>
  <c r="H8" i="8" s="1"/>
  <c r="C8" i="8" s="1" a="1"/>
  <c r="C8" i="8" s="1"/>
  <c r="E16" i="2" s="1" a="1"/>
  <c r="E16" i="2" s="1"/>
  <c r="H193" i="7" a="1"/>
  <c r="H193" i="7" s="1"/>
  <c r="C193" i="7" s="1" a="1"/>
  <c r="C193" i="7" s="1"/>
  <c r="E654" i="2" s="1" a="1"/>
  <c r="E654" i="2" s="1"/>
  <c r="H4" i="7" a="1"/>
  <c r="H4" i="7" s="1"/>
  <c r="C4" i="7" s="1" a="1"/>
  <c r="C4" i="7" s="1"/>
  <c r="E28" i="2" s="1" a="1"/>
  <c r="E28" i="2" s="1"/>
  <c r="H41" i="6" a="1"/>
  <c r="H41" i="6" s="1"/>
  <c r="C41" i="6" s="1" a="1"/>
  <c r="C41" i="6" s="1"/>
  <c r="E240" i="2" s="1" a="1"/>
  <c r="E240" i="2" s="1"/>
  <c r="H149" i="6" a="1"/>
  <c r="H149" i="6" s="1"/>
  <c r="C149" i="6" s="1" a="1"/>
  <c r="C149" i="6" s="1"/>
  <c r="E529" i="2" s="1" a="1"/>
  <c r="E529" i="2" s="1"/>
  <c r="H199" i="6" a="1"/>
  <c r="H199" i="6" s="1"/>
  <c r="C199" i="6" s="1" a="1"/>
  <c r="C199" i="6" s="1"/>
  <c r="E632" i="2" s="1" a="1"/>
  <c r="E632" i="2" s="1"/>
  <c r="H284" i="4" a="1"/>
  <c r="H284" i="4" s="1"/>
  <c r="C284" i="4" s="1" a="1"/>
  <c r="C284" i="4" s="1"/>
  <c r="H118" i="4" a="1"/>
  <c r="H118" i="4" s="1"/>
  <c r="C118" i="4" s="1" a="1"/>
  <c r="C118" i="4" s="1"/>
  <c r="H117" i="5" a="1"/>
  <c r="H117" i="5" s="1"/>
  <c r="C117" i="5" s="1" a="1"/>
  <c r="C117" i="5" s="1"/>
  <c r="H150" i="4" a="1"/>
  <c r="H150" i="4" s="1"/>
  <c r="C150" i="4" s="1" a="1"/>
  <c r="C150" i="4" s="1"/>
  <c r="H141" i="4" a="1"/>
  <c r="H141" i="4" s="1"/>
  <c r="C141" i="4" s="1" a="1"/>
  <c r="C141" i="4" s="1"/>
  <c r="H51" i="8" a="1"/>
  <c r="H51" i="8" s="1"/>
  <c r="C51" i="8" s="1" a="1"/>
  <c r="C51" i="8" s="1"/>
  <c r="E96" i="2" s="1" a="1"/>
  <c r="E96" i="2" s="1"/>
  <c r="H125" i="7" a="1"/>
  <c r="H125" i="7" s="1"/>
  <c r="C125" i="7" s="1" a="1"/>
  <c r="C125" i="7" s="1"/>
  <c r="E318" i="2" s="1" a="1"/>
  <c r="E318" i="2" s="1"/>
  <c r="H45" i="6" a="1"/>
  <c r="H45" i="6" s="1"/>
  <c r="C45" i="6" s="1" a="1"/>
  <c r="C45" i="6" s="1"/>
  <c r="E181" i="2" s="1" a="1"/>
  <c r="E181" i="2" s="1"/>
  <c r="H147" i="6" a="1"/>
  <c r="H147" i="6" s="1"/>
  <c r="C147" i="6" s="1" a="1"/>
  <c r="C147" i="6" s="1"/>
  <c r="E636" i="2" s="1" a="1"/>
  <c r="E636" i="2" s="1"/>
  <c r="H397" i="4" a="1"/>
  <c r="H397" i="4" s="1"/>
  <c r="C397" i="4" s="1" a="1"/>
  <c r="C397" i="4" s="1"/>
  <c r="H138" i="4" a="1"/>
  <c r="H138" i="4" s="1"/>
  <c r="C138" i="4" s="1" a="1"/>
  <c r="C138" i="4" s="1"/>
  <c r="H199" i="7" a="1"/>
  <c r="H199" i="7" s="1"/>
  <c r="C199" i="7" s="1" a="1"/>
  <c r="C199" i="7" s="1"/>
  <c r="E586" i="2" s="1" a="1"/>
  <c r="E586" i="2" s="1"/>
  <c r="H63" i="5" a="1"/>
  <c r="H63" i="5" s="1"/>
  <c r="C63" i="5" s="1" a="1"/>
  <c r="C63" i="5" s="1"/>
  <c r="H203" i="5" a="1"/>
  <c r="H203" i="5" s="1"/>
  <c r="C203" i="5" s="1" a="1"/>
  <c r="C203" i="5" s="1"/>
  <c r="E598" i="2" s="1" a="1"/>
  <c r="E598" i="2" s="1"/>
  <c r="H144" i="6" a="1"/>
  <c r="H144" i="6" s="1"/>
  <c r="C144" i="6" s="1" a="1"/>
  <c r="C144" i="6" s="1"/>
  <c r="E454" i="2" s="1" a="1"/>
  <c r="E454" i="2" s="1"/>
  <c r="H146" i="8" a="1"/>
  <c r="H146" i="8" s="1"/>
  <c r="C146" i="8" s="1" a="1"/>
  <c r="C146" i="8" s="1"/>
  <c r="E315" i="2" s="1" a="1"/>
  <c r="E315" i="2" s="1"/>
  <c r="H202" i="5" a="1"/>
  <c r="H202" i="5" s="1"/>
  <c r="C202" i="5" s="1" a="1"/>
  <c r="C202" i="5" s="1"/>
  <c r="H170" i="6" a="1"/>
  <c r="H170" i="6" s="1"/>
  <c r="C170" i="6" s="1" a="1"/>
  <c r="C170" i="6" s="1"/>
  <c r="H171" i="6" a="1"/>
  <c r="H171" i="6" s="1"/>
  <c r="C171" i="6" s="1" a="1"/>
  <c r="C171" i="6" s="1"/>
  <c r="E457" i="2" s="1" a="1"/>
  <c r="E457" i="2" s="1"/>
  <c r="H12" i="9" a="1"/>
  <c r="H12" i="9" s="1"/>
  <c r="H108" i="7" a="1"/>
  <c r="H108" i="7" s="1"/>
  <c r="C108" i="7" s="1" a="1"/>
  <c r="C108" i="7" s="1"/>
  <c r="E347" i="2" s="1" a="1"/>
  <c r="E347" i="2" s="1"/>
  <c r="H129" i="6" a="1"/>
  <c r="H129" i="6" s="1"/>
  <c r="C129" i="6" s="1" a="1"/>
  <c r="C129" i="6" s="1"/>
  <c r="H184" i="8" a="1"/>
  <c r="H184" i="8" s="1"/>
  <c r="C184" i="8" s="1" a="1"/>
  <c r="C184" i="8" s="1"/>
  <c r="E308" i="2" s="1" a="1"/>
  <c r="E308" i="2" s="1"/>
  <c r="H36" i="4" a="1"/>
  <c r="H36" i="4" s="1"/>
  <c r="C36" i="4" s="1" a="1"/>
  <c r="C36" i="4" s="1"/>
  <c r="H83" i="6" a="1"/>
  <c r="H83" i="6" s="1"/>
  <c r="C83" i="6" s="1" a="1"/>
  <c r="C83" i="6" s="1"/>
  <c r="H7" i="6" a="1"/>
  <c r="H7" i="6" s="1"/>
  <c r="C7" i="6" s="1" a="1"/>
  <c r="C7" i="6" s="1"/>
  <c r="E30" i="2" s="1" a="1"/>
  <c r="E30" i="2" s="1"/>
  <c r="H176" i="4" a="1"/>
  <c r="H176" i="4" s="1"/>
  <c r="C176" i="4" s="1" a="1"/>
  <c r="C176" i="4" s="1"/>
  <c r="H87" i="7" a="1"/>
  <c r="H87" i="7" s="1"/>
  <c r="C87" i="7" s="1" a="1"/>
  <c r="C87" i="7" s="1"/>
  <c r="E394" i="2" s="1" a="1"/>
  <c r="E394" i="2" s="1"/>
  <c r="H13" i="5" a="1"/>
  <c r="H13" i="5" s="1"/>
  <c r="C13" i="5" s="1" a="1"/>
  <c r="C13" i="5" s="1"/>
  <c r="H57" i="4" a="1"/>
  <c r="H57" i="4" s="1"/>
  <c r="C57" i="4" s="1" a="1"/>
  <c r="C57" i="4" s="1"/>
  <c r="H80" i="6" a="1"/>
  <c r="H80" i="6" s="1"/>
  <c r="C80" i="6" s="1" a="1"/>
  <c r="C80" i="6" s="1"/>
  <c r="E311" i="2" s="1" a="1"/>
  <c r="E311" i="2" s="1"/>
  <c r="H398" i="4" a="1"/>
  <c r="H398" i="4" s="1"/>
  <c r="C398" i="4" s="1" a="1"/>
  <c r="C398" i="4" s="1"/>
  <c r="H142" i="7" a="1"/>
  <c r="H142" i="7" s="1"/>
  <c r="C142" i="7" s="1" a="1"/>
  <c r="C142" i="7" s="1"/>
  <c r="E587" i="2" s="1" a="1"/>
  <c r="E587" i="2" s="1"/>
  <c r="H174" i="4" a="1"/>
  <c r="H174" i="4" s="1"/>
  <c r="C174" i="4" s="1" a="1"/>
  <c r="C174" i="4" s="1"/>
  <c r="H339" i="4" a="1"/>
  <c r="H339" i="4" s="1"/>
  <c r="C339" i="4" s="1" a="1"/>
  <c r="C339" i="4" s="1"/>
  <c r="H99" i="6" a="1"/>
  <c r="H99" i="6" s="1"/>
  <c r="C99" i="6" s="1" a="1"/>
  <c r="C99" i="6" s="1"/>
  <c r="E389" i="2" s="1" a="1"/>
  <c r="E389" i="2" s="1"/>
  <c r="H198" i="5" a="1"/>
  <c r="H198" i="5" s="1"/>
  <c r="C198" i="5" s="1" a="1"/>
  <c r="C198" i="5" s="1"/>
  <c r="E619" i="2" s="1" a="1"/>
  <c r="E619" i="2" s="1"/>
  <c r="H139" i="8" a="1"/>
  <c r="H139" i="8" s="1"/>
  <c r="C139" i="8" s="1" a="1"/>
  <c r="C139" i="8" s="1"/>
  <c r="E236" i="2" s="1" a="1"/>
  <c r="E236" i="2" s="1"/>
  <c r="H156" i="8" a="1"/>
  <c r="H156" i="8" s="1"/>
  <c r="C156" i="8" s="1" a="1"/>
  <c r="C156" i="8" s="1"/>
  <c r="E280" i="2" s="1" a="1"/>
  <c r="E280" i="2" s="1"/>
  <c r="H130" i="8" a="1"/>
  <c r="H130" i="8" s="1"/>
  <c r="C130" i="8" s="1" a="1"/>
  <c r="C130" i="8" s="1"/>
  <c r="E288" i="2" s="1" a="1"/>
  <c r="E288" i="2" s="1"/>
  <c r="H11" i="4" a="1"/>
  <c r="H11" i="4" s="1"/>
  <c r="C11" i="4" s="1" a="1"/>
  <c r="C11" i="4" s="1"/>
  <c r="H185" i="7" a="1"/>
  <c r="H185" i="7" s="1"/>
  <c r="C185" i="7" s="1" a="1"/>
  <c r="C185" i="7" s="1"/>
  <c r="E648" i="2" s="1" a="1"/>
  <c r="E648" i="2" s="1"/>
  <c r="C59" i="4" a="1"/>
  <c r="C59" i="4" s="1"/>
  <c r="C117" i="7" a="1"/>
  <c r="C117" i="7" s="1"/>
  <c r="E477" i="2" s="1" a="1"/>
  <c r="E477" i="2" s="1"/>
  <c r="C188" i="7" a="1"/>
  <c r="C188" i="7" s="1"/>
  <c r="E630" i="2" s="1" a="1"/>
  <c r="E630" i="2" s="1"/>
  <c r="H16" i="4" a="1"/>
  <c r="H16" i="4" s="1"/>
  <c r="C16" i="4" s="1" a="1"/>
  <c r="C16" i="4" s="1"/>
  <c r="H40" i="5" a="1"/>
  <c r="H40" i="5" s="1"/>
  <c r="C40" i="5" s="1" a="1"/>
  <c r="C40" i="5" s="1"/>
  <c r="H93" i="6" a="1"/>
  <c r="H93" i="6" s="1"/>
  <c r="C93" i="6" s="1" a="1"/>
  <c r="C93" i="6" s="1"/>
  <c r="C44" i="8" a="1"/>
  <c r="C44" i="8" s="1"/>
  <c r="E93" i="2" s="1" a="1"/>
  <c r="E93" i="2" s="1"/>
  <c r="C47" i="4" a="1"/>
  <c r="C47" i="4" s="1"/>
  <c r="C140" i="6" a="1"/>
  <c r="C140" i="6" s="1"/>
  <c r="H393" i="4" a="1"/>
  <c r="H393" i="4" s="1"/>
  <c r="C393" i="4" s="1" a="1"/>
  <c r="C393" i="4" s="1"/>
  <c r="H26" i="6" a="1"/>
  <c r="H26" i="6" s="1"/>
  <c r="C26" i="6" s="1" a="1"/>
  <c r="C26" i="6" s="1"/>
  <c r="H353" i="4" a="1"/>
  <c r="H353" i="4" s="1"/>
  <c r="C353" i="4" s="1" a="1"/>
  <c r="C353" i="4" s="1"/>
  <c r="H287" i="4" a="1"/>
  <c r="H287" i="4" s="1"/>
  <c r="C287" i="4" s="1" a="1"/>
  <c r="C287" i="4" s="1"/>
  <c r="H37" i="9" a="1"/>
  <c r="H37" i="9" s="1"/>
  <c r="H97" i="6" a="1"/>
  <c r="H97" i="6" s="1"/>
  <c r="C97" i="6" s="1" a="1"/>
  <c r="C97" i="6" s="1"/>
  <c r="E422" i="2" s="1" a="1"/>
  <c r="E422" i="2" s="1"/>
  <c r="H158" i="4" a="1"/>
  <c r="H158" i="4" s="1"/>
  <c r="C158" i="4" s="1" a="1"/>
  <c r="C158" i="4" s="1"/>
  <c r="C209" i="5" a="1"/>
  <c r="C209" i="5" s="1"/>
  <c r="E639" i="2" s="1" a="1"/>
  <c r="E639" i="2" s="1"/>
  <c r="C59" i="5" a="1"/>
  <c r="C59" i="5" s="1"/>
  <c r="E431" i="2" s="1" a="1"/>
  <c r="E431" i="2" s="1"/>
  <c r="C175" i="5" a="1"/>
  <c r="C175" i="5" s="1"/>
  <c r="E591" i="2" s="1" a="1"/>
  <c r="E591" i="2" s="1"/>
  <c r="H181" i="6" a="1"/>
  <c r="H181" i="6" s="1"/>
  <c r="C181" i="6" s="1" a="1"/>
  <c r="C181" i="6" s="1"/>
  <c r="E664" i="2" s="1" a="1"/>
  <c r="E664" i="2" s="1"/>
  <c r="C190" i="4" a="1"/>
  <c r="C190" i="4" s="1"/>
  <c r="H80" i="4" a="1"/>
  <c r="H80" i="4" s="1"/>
  <c r="C80" i="4" s="1" a="1"/>
  <c r="C80" i="4" s="1"/>
  <c r="C67" i="4" a="1"/>
  <c r="C67" i="4" s="1"/>
  <c r="H12" i="4" a="1"/>
  <c r="H12" i="4" s="1"/>
  <c r="C12" i="4" s="1" a="1"/>
  <c r="C12" i="4" s="1"/>
  <c r="C37" i="7" a="1"/>
  <c r="C37" i="7" s="1"/>
  <c r="E224" i="2" s="1" a="1"/>
  <c r="E224" i="2" s="1"/>
  <c r="H180" i="5" a="1"/>
  <c r="H180" i="5" s="1"/>
  <c r="C180" i="5" s="1" a="1"/>
  <c r="C180" i="5" s="1"/>
  <c r="H112" i="5" a="1"/>
  <c r="H112" i="5" s="1"/>
  <c r="C112" i="5" s="1" a="1"/>
  <c r="C112" i="5" s="1"/>
  <c r="E366" i="2" s="1" a="1"/>
  <c r="E366" i="2" s="1"/>
  <c r="C41" i="5" a="1"/>
  <c r="C41" i="5" s="1"/>
  <c r="E108" i="2" s="1" a="1"/>
  <c r="E108" i="2" s="1"/>
  <c r="H55" i="5" a="1"/>
  <c r="H55" i="5" s="1"/>
  <c r="C55" i="5" s="1" a="1"/>
  <c r="C55" i="5" s="1"/>
  <c r="C142" i="5" a="1"/>
  <c r="C142" i="5" s="1"/>
  <c r="E640" i="2" s="1" a="1"/>
  <c r="E640" i="2" s="1"/>
  <c r="H210" i="7" a="1"/>
  <c r="H210" i="7" s="1"/>
  <c r="C210" i="7" s="1" a="1"/>
  <c r="C210" i="7" s="1"/>
  <c r="E621" i="2" s="1" a="1"/>
  <c r="E621" i="2" s="1"/>
  <c r="H208" i="7" a="1"/>
  <c r="H208" i="7" s="1"/>
  <c r="C208" i="7" s="1" a="1"/>
  <c r="C208" i="7" s="1"/>
  <c r="E659" i="2" s="1" a="1"/>
  <c r="E659" i="2" s="1"/>
  <c r="H169" i="7" a="1"/>
  <c r="H169" i="7" s="1"/>
  <c r="C169" i="7" s="1" a="1"/>
  <c r="C169" i="7" s="1"/>
  <c r="E623" i="2" s="1" a="1"/>
  <c r="E623" i="2" s="1"/>
  <c r="H28" i="6" a="1"/>
  <c r="H28" i="6" s="1"/>
  <c r="C28" i="6" s="1" a="1"/>
  <c r="C28" i="6" s="1"/>
  <c r="C135" i="6" a="1"/>
  <c r="C135" i="6" s="1"/>
  <c r="E503" i="2" s="1" a="1"/>
  <c r="E503" i="2" s="1"/>
  <c r="H39" i="9" a="1"/>
  <c r="H39" i="9" s="1"/>
  <c r="H56" i="9" a="1"/>
  <c r="H56" i="9" s="1"/>
  <c r="C25" i="4" a="1"/>
  <c r="C25" i="4" s="1"/>
  <c r="H120" i="4" a="1"/>
  <c r="H120" i="4" s="1"/>
  <c r="C120" i="4" s="1" a="1"/>
  <c r="C120" i="4" s="1"/>
  <c r="H180" i="7" a="1"/>
  <c r="H180" i="7" s="1"/>
  <c r="C180" i="7" s="1" a="1"/>
  <c r="C180" i="7" s="1"/>
  <c r="E635" i="2" s="1" a="1"/>
  <c r="E635" i="2" s="1"/>
  <c r="H133" i="4" a="1"/>
  <c r="H133" i="4" s="1"/>
  <c r="C133" i="4" s="1" a="1"/>
  <c r="C133" i="4" s="1"/>
  <c r="H254" i="4" a="1"/>
  <c r="H254" i="4" s="1"/>
  <c r="C254" i="4" s="1" a="1"/>
  <c r="C254" i="4" s="1"/>
  <c r="C49" i="7" a="1"/>
  <c r="C49" i="7" s="1"/>
  <c r="E285" i="2" s="1" a="1"/>
  <c r="E285" i="2" s="1"/>
  <c r="H116" i="8" a="1"/>
  <c r="H116" i="8" s="1"/>
  <c r="C116" i="8" s="1" a="1"/>
  <c r="C116" i="8" s="1"/>
  <c r="E299" i="2" s="1" a="1"/>
  <c r="E299" i="2" s="1"/>
  <c r="H26" i="8" a="1"/>
  <c r="H26" i="8" s="1"/>
  <c r="C26" i="8" s="1" a="1"/>
  <c r="C26" i="8" s="1"/>
  <c r="E42" i="2" s="1" a="1"/>
  <c r="E42" i="2" s="1"/>
  <c r="H151" i="6" a="1"/>
  <c r="H151" i="6" s="1"/>
  <c r="C151" i="6" s="1" a="1"/>
  <c r="C151" i="6" s="1"/>
  <c r="C80" i="8" a="1"/>
  <c r="C80" i="8" s="1"/>
  <c r="E201" i="2" s="1" a="1"/>
  <c r="E201" i="2" s="1"/>
  <c r="C158" i="8" a="1"/>
  <c r="C158" i="8" s="1"/>
  <c r="E151" i="2" s="1" a="1"/>
  <c r="E151" i="2" s="1"/>
  <c r="C111" i="4" a="1"/>
  <c r="C111" i="4" s="1"/>
  <c r="H24" i="4" a="1"/>
  <c r="H24" i="4" s="1"/>
  <c r="C24" i="4" s="1" a="1"/>
  <c r="C24" i="4" s="1"/>
  <c r="C148" i="5" a="1"/>
  <c r="C148" i="5" s="1"/>
  <c r="C159" i="7" a="1"/>
  <c r="C159" i="7" s="1"/>
  <c r="E662" i="2" s="1" a="1"/>
  <c r="E662" i="2" s="1"/>
  <c r="H264" i="4" a="1"/>
  <c r="H264" i="4" s="1"/>
  <c r="C264" i="4" s="1" a="1"/>
  <c r="C264" i="4" s="1"/>
  <c r="C72" i="4" a="1"/>
  <c r="C72" i="4" s="1"/>
  <c r="C119" i="8" a="1"/>
  <c r="C119" i="8" s="1"/>
  <c r="E243" i="2" s="1" a="1"/>
  <c r="E243" i="2" s="1"/>
  <c r="C53" i="4" a="1"/>
  <c r="C53" i="4" s="1"/>
  <c r="C120" i="6" a="1"/>
  <c r="C120" i="6" s="1"/>
  <c r="E488" i="2" s="1" a="1"/>
  <c r="E488" i="2" s="1"/>
  <c r="H107" i="5" a="1"/>
  <c r="H107" i="5" s="1"/>
  <c r="C107" i="5" s="1" a="1"/>
  <c r="C107" i="5" s="1"/>
  <c r="H46" i="5" a="1"/>
  <c r="H46" i="5" s="1"/>
  <c r="C46" i="5" s="1" a="1"/>
  <c r="C46" i="5" s="1"/>
  <c r="C13" i="7" a="1"/>
  <c r="C13" i="7" s="1"/>
  <c r="E107" i="2" s="1" a="1"/>
  <c r="E107" i="2" s="1"/>
  <c r="H17" i="7" a="1"/>
  <c r="H17" i="7" s="1"/>
  <c r="C17" i="7" s="1" a="1"/>
  <c r="C17" i="7" s="1"/>
  <c r="E54" i="2" s="1" a="1"/>
  <c r="E54" i="2" s="1"/>
  <c r="C50" i="6" a="1"/>
  <c r="C50" i="6" s="1"/>
  <c r="H236" i="4" a="1"/>
  <c r="H236" i="4" s="1"/>
  <c r="C236" i="4" s="1" a="1"/>
  <c r="C236" i="4" s="1"/>
  <c r="C162" i="7" a="1"/>
  <c r="C162" i="7" s="1"/>
  <c r="E525" i="2" s="1" a="1"/>
  <c r="E525" i="2" s="1"/>
  <c r="H204" i="5" a="1"/>
  <c r="H204" i="5" s="1"/>
  <c r="C204" i="5" s="1" a="1"/>
  <c r="C204" i="5" s="1"/>
  <c r="E594" i="2" s="1" a="1"/>
  <c r="E594" i="2" s="1"/>
  <c r="H81" i="6" a="1"/>
  <c r="H81" i="6" s="1"/>
  <c r="C81" i="6" s="1" a="1"/>
  <c r="C81" i="6" s="1"/>
  <c r="E395" i="2" s="1" a="1"/>
  <c r="E395" i="2" s="1"/>
  <c r="C119" i="7" a="1"/>
  <c r="C119" i="7" s="1"/>
  <c r="E424" i="2" s="1" a="1"/>
  <c r="E424" i="2" s="1"/>
  <c r="H65" i="8" a="1"/>
  <c r="H65" i="8" s="1"/>
  <c r="C65" i="8" s="1" a="1"/>
  <c r="C65" i="8" s="1"/>
  <c r="E150" i="2" s="1" a="1"/>
  <c r="E150" i="2" s="1"/>
  <c r="C51" i="7" a="1"/>
  <c r="C51" i="7" s="1"/>
  <c r="E137" i="2" s="1" a="1"/>
  <c r="E137" i="2" s="1"/>
  <c r="C174" i="8" a="1"/>
  <c r="C174" i="8" s="1"/>
  <c r="E368" i="2" s="1" a="1"/>
  <c r="E368" i="2" s="1"/>
  <c r="C138" i="6" a="1"/>
  <c r="C138" i="6" s="1"/>
  <c r="E413" i="2" s="1" a="1"/>
  <c r="E413" i="2" s="1"/>
  <c r="C56" i="6" a="1"/>
  <c r="C56" i="6" s="1"/>
  <c r="H127" i="6" a="1"/>
  <c r="H127" i="6" s="1"/>
  <c r="C127" i="6" s="1" a="1"/>
  <c r="C127" i="6" s="1"/>
  <c r="C31" i="8" a="1"/>
  <c r="C31" i="8" s="1"/>
  <c r="E35" i="2" s="1" a="1"/>
  <c r="E35" i="2" s="1"/>
  <c r="H117" i="8" a="1"/>
  <c r="H117" i="8" s="1"/>
  <c r="C117" i="8" s="1" a="1"/>
  <c r="C117" i="8" s="1"/>
  <c r="E344" i="2" s="1" a="1"/>
  <c r="E344" i="2" s="1"/>
  <c r="C5" i="4" a="1"/>
  <c r="C5" i="4" s="1"/>
  <c r="C392" i="4" a="1"/>
  <c r="C392" i="4" s="1"/>
  <c r="C391" i="4" a="1"/>
  <c r="C391" i="4" s="1"/>
  <c r="C381" i="4" a="1"/>
  <c r="C381" i="4" s="1"/>
  <c r="C404" i="4" a="1"/>
  <c r="C404" i="4" s="1"/>
  <c r="C340" i="4" a="1"/>
  <c r="C340" i="4" s="1"/>
  <c r="C356" i="4" a="1"/>
  <c r="C356" i="4" s="1"/>
  <c r="C21" i="4" a="1"/>
  <c r="C21" i="4" s="1"/>
  <c r="C377" i="4" a="1"/>
  <c r="C377" i="4" s="1"/>
  <c r="C405" i="4" a="1"/>
  <c r="C405" i="4" s="1"/>
  <c r="C306" i="4" a="1"/>
  <c r="C306" i="4" s="1"/>
  <c r="C50" i="8" a="1"/>
  <c r="C50" i="8" s="1"/>
  <c r="E182" i="2" s="1" a="1"/>
  <c r="E182" i="2" s="1"/>
  <c r="C136" i="6" a="1"/>
  <c r="C136" i="6" s="1"/>
  <c r="E535" i="2" s="1" a="1"/>
  <c r="E535" i="2" s="1"/>
  <c r="C114" i="7" a="1"/>
  <c r="C114" i="7" s="1"/>
  <c r="E484" i="2" s="1" a="1"/>
  <c r="E484" i="2" s="1"/>
  <c r="C297" i="4" a="1"/>
  <c r="C297" i="4" s="1"/>
  <c r="C108" i="6" a="1"/>
  <c r="C108" i="6" s="1"/>
  <c r="E469" i="2" s="1" a="1"/>
  <c r="E469" i="2" s="1"/>
  <c r="C332" i="4" a="1"/>
  <c r="C332" i="4" s="1"/>
  <c r="C86" i="8" a="1"/>
  <c r="C86" i="8" s="1"/>
  <c r="E153" i="2" s="1" a="1"/>
  <c r="E153" i="2" s="1"/>
  <c r="H162" i="5" a="1"/>
  <c r="H162" i="5" s="1"/>
  <c r="C162" i="5" s="1" a="1"/>
  <c r="C162" i="5" s="1"/>
  <c r="H288" i="4" a="1"/>
  <c r="H288" i="4" s="1"/>
  <c r="C288" i="4" s="1" a="1"/>
  <c r="C288" i="4" s="1"/>
  <c r="C132" i="8" a="1"/>
  <c r="C132" i="8" s="1"/>
  <c r="E237" i="2" s="1" a="1"/>
  <c r="E237" i="2" s="1"/>
  <c r="C116" i="5" a="1"/>
  <c r="C116" i="5" s="1"/>
  <c r="E507" i="2" s="1" a="1"/>
  <c r="E507" i="2" s="1"/>
  <c r="H76" i="4" a="1"/>
  <c r="H76" i="4" s="1"/>
  <c r="C76" i="4" s="1" a="1"/>
  <c r="C76" i="4" s="1"/>
  <c r="C19" i="7" a="1"/>
  <c r="C19" i="7" s="1"/>
  <c r="E66" i="2" s="1" a="1"/>
  <c r="E66" i="2" s="1"/>
  <c r="H15" i="7" a="1"/>
  <c r="H15" i="7" s="1"/>
  <c r="C15" i="7" s="1" a="1"/>
  <c r="C15" i="7" s="1"/>
  <c r="E112" i="2" s="1" a="1"/>
  <c r="E112" i="2" s="1"/>
  <c r="C89" i="7" a="1"/>
  <c r="C89" i="7" s="1"/>
  <c r="E356" i="2" s="1" a="1"/>
  <c r="E356" i="2" s="1"/>
  <c r="C65" i="7" a="1"/>
  <c r="C65" i="7" s="1"/>
  <c r="E419" i="2" s="1" a="1"/>
  <c r="E419" i="2" s="1"/>
  <c r="C109" i="5" a="1"/>
  <c r="C109" i="5" s="1"/>
  <c r="H64" i="6" a="1"/>
  <c r="H64" i="6" s="1"/>
  <c r="C64" i="6" s="1" a="1"/>
  <c r="C64" i="6" s="1"/>
  <c r="C186" i="5" a="1"/>
  <c r="C186" i="5" s="1"/>
  <c r="E570" i="2" s="1" a="1"/>
  <c r="E570" i="2" s="1"/>
  <c r="H115" i="4" a="1"/>
  <c r="H115" i="4" s="1"/>
  <c r="C115" i="4" s="1" a="1"/>
  <c r="C115" i="4" s="1"/>
  <c r="H184" i="6" a="1"/>
  <c r="H184" i="6" s="1"/>
  <c r="C184" i="6" s="1" a="1"/>
  <c r="C184" i="6" s="1"/>
  <c r="E606" i="2" s="1" a="1"/>
  <c r="E606" i="2" s="1"/>
  <c r="C44" i="7" a="1"/>
  <c r="C44" i="7" s="1"/>
  <c r="E111" i="2" s="1" a="1"/>
  <c r="E111" i="2" s="1"/>
  <c r="H52" i="9" a="1"/>
  <c r="H52" i="9" s="1"/>
  <c r="H178" i="8" a="1"/>
  <c r="H178" i="8" s="1"/>
  <c r="C178" i="8" s="1" a="1"/>
  <c r="C178" i="8" s="1"/>
  <c r="E385" i="2" s="1" a="1"/>
  <c r="E385" i="2" s="1"/>
  <c r="H123" i="5" a="1"/>
  <c r="H123" i="5" s="1"/>
  <c r="C123" i="5" s="1" a="1"/>
  <c r="C123" i="5" s="1"/>
  <c r="E544" i="2" s="1" a="1"/>
  <c r="E544" i="2" s="1"/>
  <c r="C118" i="5" a="1"/>
  <c r="C118" i="5" s="1"/>
  <c r="E498" i="2" s="1" a="1"/>
  <c r="E498" i="2" s="1"/>
  <c r="C92" i="8" a="1"/>
  <c r="C92" i="8" s="1"/>
  <c r="E139" i="2" s="1" a="1"/>
  <c r="E139" i="2" s="1"/>
  <c r="C121" i="6" a="1"/>
  <c r="C121" i="6" s="1"/>
  <c r="H255" i="4" a="1"/>
  <c r="H255" i="4" s="1"/>
  <c r="C255" i="4" s="1" a="1"/>
  <c r="C255" i="4" s="1"/>
  <c r="H395" i="4" a="1"/>
  <c r="H395" i="4" s="1"/>
  <c r="C395" i="4" s="1" a="1"/>
  <c r="C395" i="4" s="1"/>
  <c r="H158" i="7" a="1"/>
  <c r="H158" i="7" s="1"/>
  <c r="C158" i="7" s="1" a="1"/>
  <c r="C158" i="7" s="1"/>
  <c r="E670" i="2" s="1" a="1"/>
  <c r="E670" i="2" s="1"/>
  <c r="H8" i="4" a="1"/>
  <c r="H8" i="4" s="1"/>
  <c r="C8" i="4" s="1" a="1"/>
  <c r="C8" i="4" s="1"/>
  <c r="H327" i="4" a="1"/>
  <c r="H327" i="4" s="1"/>
  <c r="C327" i="4" s="1" a="1"/>
  <c r="C327" i="4" s="1"/>
  <c r="H142" i="6" a="1"/>
  <c r="H142" i="6" s="1"/>
  <c r="C142" i="6" s="1" a="1"/>
  <c r="C142" i="6" s="1"/>
  <c r="H362" i="4" a="1"/>
  <c r="H362" i="4" s="1"/>
  <c r="C362" i="4" s="1" a="1"/>
  <c r="C362" i="4" s="1"/>
  <c r="H37" i="6" a="1"/>
  <c r="H37" i="6" s="1"/>
  <c r="C37" i="6" s="1" a="1"/>
  <c r="C37" i="6" s="1"/>
  <c r="H20" i="5" a="1"/>
  <c r="H20" i="5" s="1"/>
  <c r="C20" i="5" s="1" a="1"/>
  <c r="C20" i="5" s="1"/>
  <c r="H144" i="7" a="1"/>
  <c r="H144" i="7" s="1"/>
  <c r="C144" i="7" s="1" a="1"/>
  <c r="C144" i="7" s="1"/>
  <c r="E580" i="2" s="1" a="1"/>
  <c r="E580" i="2" s="1"/>
  <c r="H8" i="6" a="1"/>
  <c r="H8" i="6" s="1"/>
  <c r="C8" i="6" s="1" a="1"/>
  <c r="C8" i="6" s="1"/>
  <c r="E83" i="2" s="1" a="1"/>
  <c r="E83" i="2" s="1"/>
  <c r="H172" i="5" a="1"/>
  <c r="H172" i="5" s="1"/>
  <c r="C172" i="5" s="1" a="1"/>
  <c r="C172" i="5" s="1"/>
  <c r="H128" i="6" a="1"/>
  <c r="H128" i="6" s="1"/>
  <c r="C128" i="6" s="1" a="1"/>
  <c r="C128" i="6" s="1"/>
  <c r="E451" i="2" s="1" a="1"/>
  <c r="E451" i="2" s="1"/>
  <c r="H169" i="8" a="1"/>
  <c r="H169" i="8" s="1"/>
  <c r="C169" i="8" s="1" a="1"/>
  <c r="C169" i="8" s="1"/>
  <c r="E289" i="2" s="1" a="1"/>
  <c r="E289" i="2" s="1"/>
  <c r="H153" i="4" a="1"/>
  <c r="H153" i="4" s="1"/>
  <c r="C153" i="4" s="1" a="1"/>
  <c r="C153" i="4" s="1"/>
  <c r="H4" i="5" a="1"/>
  <c r="H4" i="5" s="1"/>
  <c r="C4" i="5" s="1" a="1"/>
  <c r="C4" i="5" s="1"/>
  <c r="E4" i="2" s="1" a="1"/>
  <c r="E4" i="2" s="1"/>
  <c r="C2" i="3" s="1" a="1"/>
  <c r="C2" i="3" s="1"/>
  <c r="H87" i="4" a="1"/>
  <c r="H87" i="4" s="1"/>
  <c r="C87" i="4" s="1" a="1"/>
  <c r="C87" i="4" s="1"/>
  <c r="H213" i="4" a="1"/>
  <c r="H213" i="4" s="1"/>
  <c r="C213" i="4" s="1" a="1"/>
  <c r="C213" i="4" s="1"/>
  <c r="H276" i="4" a="1"/>
  <c r="H276" i="4" s="1"/>
  <c r="C276" i="4" s="1" a="1"/>
  <c r="C276" i="4" s="1"/>
  <c r="H401" i="4" a="1"/>
  <c r="H401" i="4" s="1"/>
  <c r="C401" i="4" s="1" a="1"/>
  <c r="C401" i="4" s="1"/>
  <c r="H212" i="4" a="1"/>
  <c r="H212" i="4" s="1"/>
  <c r="C212" i="4" s="1" a="1"/>
  <c r="C212" i="4" s="1"/>
  <c r="H94" i="7" a="1"/>
  <c r="H94" i="7" s="1"/>
  <c r="C94" i="7" s="1" a="1"/>
  <c r="C94" i="7" s="1"/>
  <c r="E521" i="2" s="1" a="1"/>
  <c r="E521" i="2" s="1"/>
  <c r="H63" i="9" a="1"/>
  <c r="H63" i="9" s="1"/>
  <c r="H92" i="6" a="1"/>
  <c r="H92" i="6" s="1"/>
  <c r="C92" i="6" s="1" a="1"/>
  <c r="C92" i="6" s="1"/>
  <c r="H110" i="4" a="1"/>
  <c r="H110" i="4" s="1"/>
  <c r="C110" i="4" s="1" a="1"/>
  <c r="C110" i="4" s="1"/>
  <c r="H185" i="6" a="1"/>
  <c r="H185" i="6" s="1"/>
  <c r="C185" i="6" s="1" a="1"/>
  <c r="C185" i="6" s="1"/>
  <c r="E480" i="2" s="1" a="1"/>
  <c r="E480" i="2" s="1"/>
  <c r="H184" i="7" a="1"/>
  <c r="H184" i="7" s="1"/>
  <c r="C184" i="7" s="1" a="1"/>
  <c r="C184" i="7" s="1"/>
  <c r="E548" i="2" s="1" a="1"/>
  <c r="E548" i="2" s="1"/>
  <c r="H96" i="4" a="1"/>
  <c r="H96" i="4" s="1"/>
  <c r="C96" i="4" s="1" a="1"/>
  <c r="C96" i="4" s="1"/>
  <c r="H23" i="8" a="1"/>
  <c r="H23" i="8" s="1"/>
  <c r="C23" i="8" s="1" a="1"/>
  <c r="C23" i="8" s="1"/>
  <c r="E24" i="2" s="1" a="1"/>
  <c r="E24" i="2" s="1"/>
  <c r="H268" i="4" a="1"/>
  <c r="H268" i="4" s="1"/>
  <c r="C268" i="4" s="1" a="1"/>
  <c r="C268" i="4" s="1"/>
  <c r="H121" i="4" a="1"/>
  <c r="H121" i="4" s="1"/>
  <c r="C121" i="4" s="1" a="1"/>
  <c r="C121" i="4" s="1"/>
  <c r="H19" i="9" a="1"/>
  <c r="H19" i="9" s="1"/>
  <c r="H309" i="4" a="1"/>
  <c r="H309" i="4" s="1"/>
  <c r="C309" i="4" s="1" a="1"/>
  <c r="C309" i="4" s="1"/>
  <c r="H311" i="4" a="1"/>
  <c r="H311" i="4" s="1"/>
  <c r="C311" i="4" s="1" a="1"/>
  <c r="C311" i="4" s="1"/>
  <c r="H336" i="4" a="1"/>
  <c r="H336" i="4" s="1"/>
  <c r="C336" i="4" s="1" a="1"/>
  <c r="C336" i="4" s="1"/>
  <c r="H113" i="5" a="1"/>
  <c r="H113" i="5" s="1"/>
  <c r="C113" i="5" s="1" a="1"/>
  <c r="C113" i="5" s="1"/>
  <c r="H174" i="6" a="1"/>
  <c r="H174" i="6" s="1"/>
  <c r="C174" i="6" s="1" a="1"/>
  <c r="C174" i="6" s="1"/>
  <c r="H261" i="4" a="1"/>
  <c r="H261" i="4" s="1"/>
  <c r="C261" i="4" s="1" a="1"/>
  <c r="C261" i="4" s="1"/>
  <c r="H119" i="4" a="1"/>
  <c r="H119" i="4" s="1"/>
  <c r="C119" i="4" s="1" a="1"/>
  <c r="C119" i="4" s="1"/>
  <c r="H315" i="4" a="1"/>
  <c r="H315" i="4" s="1"/>
  <c r="C315" i="4" s="1" a="1"/>
  <c r="C315" i="4" s="1"/>
  <c r="H199" i="4" a="1"/>
  <c r="H199" i="4" s="1"/>
  <c r="C199" i="4" s="1" a="1"/>
  <c r="C199" i="4" s="1"/>
  <c r="H77" i="4" a="1"/>
  <c r="H77" i="4" s="1"/>
  <c r="C77" i="4" s="1" a="1"/>
  <c r="C77" i="4" s="1"/>
  <c r="H153" i="5" a="1"/>
  <c r="H153" i="5" s="1"/>
  <c r="C153" i="5" s="1" a="1"/>
  <c r="C153" i="5" s="1"/>
  <c r="H13" i="4" a="1"/>
  <c r="H13" i="4" s="1"/>
  <c r="C13" i="4" s="1" a="1"/>
  <c r="C13" i="4" s="1"/>
  <c r="H58" i="6" a="1"/>
  <c r="H58" i="6" s="1"/>
  <c r="C58" i="6" s="1" a="1"/>
  <c r="C58" i="6" s="1"/>
  <c r="H69" i="4" a="1"/>
  <c r="H69" i="4" s="1"/>
  <c r="C69" i="4" s="1" a="1"/>
  <c r="C69" i="4" s="1"/>
  <c r="H125" i="6" a="1"/>
  <c r="H125" i="6" s="1"/>
  <c r="C125" i="6" s="1" a="1"/>
  <c r="C125" i="6" s="1"/>
  <c r="H74" i="5" a="1"/>
  <c r="H74" i="5" s="1"/>
  <c r="C74" i="5" s="1" a="1"/>
  <c r="C74" i="5" s="1"/>
  <c r="H83" i="7" a="1"/>
  <c r="H83" i="7" s="1"/>
  <c r="C83" i="7" s="1" a="1"/>
  <c r="C83" i="7" s="1"/>
  <c r="E432" i="2" s="1" a="1"/>
  <c r="E432" i="2" s="1"/>
  <c r="H154" i="8" a="1"/>
  <c r="H154" i="8" s="1"/>
  <c r="C154" i="8" s="1" a="1"/>
  <c r="C154" i="8" s="1"/>
  <c r="E275" i="2" s="1" a="1"/>
  <c r="E275" i="2" s="1"/>
  <c r="H53" i="8" a="1"/>
  <c r="H53" i="8" s="1"/>
  <c r="C53" i="8" s="1" a="1"/>
  <c r="C53" i="8" s="1"/>
  <c r="E195" i="2" s="1" a="1"/>
  <c r="E195" i="2" s="1"/>
  <c r="H113" i="6" a="1"/>
  <c r="H113" i="6" s="1"/>
  <c r="C113" i="6" s="1" a="1"/>
  <c r="C113" i="6" s="1"/>
  <c r="H299" i="4" a="1"/>
  <c r="H299" i="4" s="1"/>
  <c r="C299" i="4" s="1" a="1"/>
  <c r="C299" i="4" s="1"/>
  <c r="H354" i="4" a="1"/>
  <c r="H354" i="4" s="1"/>
  <c r="C354" i="4" s="1" a="1"/>
  <c r="C354" i="4" s="1"/>
  <c r="H207" i="6" a="1"/>
  <c r="H207" i="6" s="1"/>
  <c r="C207" i="6" s="1" a="1"/>
  <c r="C207" i="6" s="1"/>
  <c r="H141" i="8" a="1"/>
  <c r="H141" i="8" s="1"/>
  <c r="C141" i="8" s="1" a="1"/>
  <c r="C141" i="8" s="1"/>
  <c r="E204" i="2" s="1" a="1"/>
  <c r="E204" i="2" s="1"/>
  <c r="H68" i="6" a="1"/>
  <c r="H68" i="6" s="1"/>
  <c r="C68" i="6" s="1" a="1"/>
  <c r="C68" i="6" s="1"/>
  <c r="E263" i="2" s="1" a="1"/>
  <c r="E263" i="2" s="1"/>
  <c r="H136" i="4" a="1"/>
  <c r="H136" i="4" s="1"/>
  <c r="C136" i="4" s="1" a="1"/>
  <c r="C136" i="4" s="1"/>
  <c r="H61" i="6" a="1"/>
  <c r="H61" i="6" s="1"/>
  <c r="C61" i="6" s="1" a="1"/>
  <c r="C61" i="6" s="1"/>
  <c r="E350" i="2" s="1" a="1"/>
  <c r="E350" i="2" s="1"/>
  <c r="H143" i="8" a="1"/>
  <c r="H143" i="8" s="1"/>
  <c r="C143" i="8" s="1" a="1"/>
  <c r="C143" i="8" s="1"/>
  <c r="E174" i="2" s="1" a="1"/>
  <c r="E174" i="2" s="1"/>
  <c r="H388" i="4" a="1"/>
  <c r="H388" i="4" s="1"/>
  <c r="C388" i="4" s="1" a="1"/>
  <c r="C388" i="4" s="1"/>
  <c r="H66" i="4" a="1"/>
  <c r="H66" i="4" s="1"/>
  <c r="C66" i="4" s="1" a="1"/>
  <c r="C66" i="4" s="1"/>
  <c r="H201" i="6" a="1"/>
  <c r="H201" i="6" s="1"/>
  <c r="C201" i="6" s="1" a="1"/>
  <c r="C201" i="6" s="1"/>
  <c r="E666" i="2" s="1" a="1"/>
  <c r="E666" i="2" s="1"/>
  <c r="H26" i="9" a="1"/>
  <c r="H26" i="9" s="1"/>
  <c r="H179" i="7" a="1"/>
  <c r="H179" i="7" s="1"/>
  <c r="C179" i="7" s="1" a="1"/>
  <c r="C179" i="7" s="1"/>
  <c r="E588" i="2" s="1" a="1"/>
  <c r="E588" i="2" s="1"/>
  <c r="H216" i="4" a="1"/>
  <c r="H216" i="4" s="1"/>
  <c r="C216" i="4" s="1" a="1"/>
  <c r="C216" i="4" s="1"/>
  <c r="H38" i="8" a="1"/>
  <c r="H38" i="8" s="1"/>
  <c r="C38" i="8" s="1" a="1"/>
  <c r="C38" i="8" s="1"/>
  <c r="E101" i="2" s="1" a="1"/>
  <c r="E101" i="2" s="1"/>
  <c r="H50" i="4" a="1"/>
  <c r="H50" i="4" s="1"/>
  <c r="C50" i="4" s="1" a="1"/>
  <c r="C50" i="4" s="1"/>
  <c r="H128" i="8" a="1"/>
  <c r="H128" i="8" s="1"/>
  <c r="C128" i="8" s="1" a="1"/>
  <c r="C128" i="8" s="1"/>
  <c r="E239" i="2" s="1" a="1"/>
  <c r="E239" i="2" s="1"/>
  <c r="H143" i="7" a="1"/>
  <c r="H143" i="7" s="1"/>
  <c r="C143" i="7" s="1" a="1"/>
  <c r="C143" i="7" s="1"/>
  <c r="E526" i="2" s="1" a="1"/>
  <c r="E526" i="2" s="1"/>
  <c r="H165" i="8" a="1"/>
  <c r="H165" i="8" s="1"/>
  <c r="C165" i="8" s="1" a="1"/>
  <c r="C165" i="8" s="1"/>
  <c r="E258" i="2" s="1" a="1"/>
  <c r="E258" i="2" s="1"/>
  <c r="H20" i="7" a="1"/>
  <c r="H20" i="7" s="1"/>
  <c r="C20" i="7" s="1" a="1"/>
  <c r="C20" i="7" s="1"/>
  <c r="E149" i="2" s="1" a="1"/>
  <c r="E149" i="2" s="1"/>
  <c r="H92" i="7" a="1"/>
  <c r="H92" i="7" s="1"/>
  <c r="C92" i="7" s="1" a="1"/>
  <c r="C92" i="7" s="1"/>
  <c r="E374" i="2" s="1" a="1"/>
  <c r="E374" i="2" s="1"/>
  <c r="H27" i="4" a="1"/>
  <c r="H27" i="4" s="1"/>
  <c r="C27" i="4" s="1" a="1"/>
  <c r="C27" i="4" s="1"/>
  <c r="H122" i="8" a="1"/>
  <c r="H122" i="8" s="1"/>
  <c r="C122" i="8" s="1" a="1"/>
  <c r="C122" i="8" s="1"/>
  <c r="E336" i="2" s="1" a="1"/>
  <c r="E336" i="2" s="1"/>
  <c r="H103" i="8" a="1"/>
  <c r="H103" i="8" s="1"/>
  <c r="C103" i="8" s="1" a="1"/>
  <c r="C103" i="8" s="1"/>
  <c r="E193" i="2" s="1" a="1"/>
  <c r="E193" i="2" s="1"/>
  <c r="H89" i="6" a="1"/>
  <c r="H89" i="6" s="1"/>
  <c r="C89" i="6" s="1" a="1"/>
  <c r="C89" i="6" s="1"/>
  <c r="E405" i="2" s="1" a="1"/>
  <c r="E405" i="2" s="1"/>
  <c r="H29" i="8" a="1"/>
  <c r="H29" i="8" s="1"/>
  <c r="C29" i="8" s="1" a="1"/>
  <c r="C29" i="8" s="1"/>
  <c r="E75" i="2" s="1" a="1"/>
  <c r="E75" i="2" s="1"/>
  <c r="H9" i="6" a="1"/>
  <c r="H9" i="6" s="1"/>
  <c r="C9" i="6" s="1" a="1"/>
  <c r="C9" i="6" s="1"/>
  <c r="H387" i="4" a="1"/>
  <c r="H387" i="4" s="1"/>
  <c r="C387" i="4" s="1" a="1"/>
  <c r="C387" i="4" s="1"/>
  <c r="H402" i="4" a="1"/>
  <c r="H402" i="4" s="1"/>
  <c r="C402" i="4" s="1" a="1"/>
  <c r="C402" i="4" s="1"/>
  <c r="H207" i="5" a="1"/>
  <c r="H207" i="5" s="1"/>
  <c r="C207" i="5" s="1" a="1"/>
  <c r="C207" i="5" s="1"/>
  <c r="E642" i="2" s="1" a="1"/>
  <c r="E642" i="2" s="1"/>
  <c r="H305" i="4" a="1"/>
  <c r="H305" i="4" s="1"/>
  <c r="C305" i="4" s="1" a="1"/>
  <c r="C305" i="4" s="1"/>
  <c r="H89" i="5" a="1"/>
  <c r="H89" i="5" s="1"/>
  <c r="C89" i="5" s="1" a="1"/>
  <c r="C89" i="5" s="1"/>
  <c r="H177" i="5" a="1"/>
  <c r="H177" i="5" s="1"/>
  <c r="C177" i="5" s="1" a="1"/>
  <c r="C177" i="5" s="1"/>
  <c r="H89" i="4" a="1"/>
  <c r="H89" i="4" s="1"/>
  <c r="C89" i="4" s="1" a="1"/>
  <c r="C89" i="4" s="1"/>
  <c r="H33" i="4" a="1"/>
  <c r="H33" i="4" s="1"/>
  <c r="C33" i="4" s="1" a="1"/>
  <c r="C33" i="4" s="1"/>
  <c r="H308" i="4" a="1"/>
  <c r="H308" i="4" s="1"/>
  <c r="C308" i="4" s="1" a="1"/>
  <c r="C308" i="4" s="1"/>
  <c r="H9" i="5" a="1"/>
  <c r="H9" i="5" s="1"/>
  <c r="C9" i="5" s="1" a="1"/>
  <c r="C9" i="5" s="1"/>
  <c r="E37" i="2" s="1" a="1"/>
  <c r="E37" i="2" s="1"/>
  <c r="H22" i="9" a="1"/>
  <c r="H22" i="9" s="1"/>
  <c r="H24" i="9" a="1"/>
  <c r="H24" i="9" s="1"/>
  <c r="H88" i="6" a="1"/>
  <c r="H88" i="6" s="1"/>
  <c r="C88" i="6" s="1" a="1"/>
  <c r="C88" i="6" s="1"/>
  <c r="H99" i="7" a="1"/>
  <c r="H99" i="7" s="1"/>
  <c r="C99" i="7" s="1" a="1"/>
  <c r="C99" i="7" s="1"/>
  <c r="E460" i="2" s="1" a="1"/>
  <c r="E460" i="2" s="1"/>
  <c r="H10" i="5" a="1"/>
  <c r="H10" i="5" s="1"/>
  <c r="C10" i="5" s="1" a="1"/>
  <c r="C10" i="5" s="1"/>
  <c r="E40" i="2" s="1" a="1"/>
  <c r="E40" i="2" s="1"/>
  <c r="H34" i="6" a="1"/>
  <c r="H34" i="6" s="1"/>
  <c r="C34" i="6" s="1" a="1"/>
  <c r="C34" i="6" s="1"/>
  <c r="H105" i="7" a="1"/>
  <c r="H105" i="7" s="1"/>
  <c r="C105" i="7" s="1" a="1"/>
  <c r="C105" i="7" s="1"/>
  <c r="E449" i="2" s="1" a="1"/>
  <c r="E449" i="2" s="1"/>
  <c r="C189" i="5" a="1"/>
  <c r="C189" i="5" s="1"/>
  <c r="E574" i="2" s="1" a="1"/>
  <c r="E574" i="2" s="1"/>
  <c r="C185" i="4" a="1"/>
  <c r="C185" i="4" s="1"/>
  <c r="C205" i="7" a="1"/>
  <c r="C205" i="7" s="1"/>
  <c r="E638" i="2" s="1" a="1"/>
  <c r="E638" i="2" s="1"/>
  <c r="H206" i="6" a="1"/>
  <c r="H206" i="6" s="1"/>
  <c r="C206" i="6" s="1" a="1"/>
  <c r="C206" i="6" s="1"/>
  <c r="H30" i="7" a="1"/>
  <c r="H30" i="7" s="1"/>
  <c r="C30" i="7" s="1" a="1"/>
  <c r="C30" i="7" s="1"/>
  <c r="E126" i="2" s="1" a="1"/>
  <c r="E126" i="2" s="1"/>
  <c r="H183" i="5" a="1"/>
  <c r="H183" i="5" s="1"/>
  <c r="C183" i="5" s="1" a="1"/>
  <c r="C183" i="5" s="1"/>
  <c r="E558" i="2" s="1" a="1"/>
  <c r="E558" i="2" s="1"/>
  <c r="H155" i="5" a="1"/>
  <c r="H155" i="5" s="1"/>
  <c r="C155" i="5" s="1" a="1"/>
  <c r="C155" i="5" s="1"/>
  <c r="C109" i="7" a="1"/>
  <c r="C109" i="7" s="1"/>
  <c r="E545" i="2" s="1" a="1"/>
  <c r="E545" i="2" s="1"/>
  <c r="C277" i="4" a="1"/>
  <c r="C277" i="4" s="1"/>
  <c r="H335" i="4" a="1"/>
  <c r="H335" i="4" s="1"/>
  <c r="C335" i="4" s="1" a="1"/>
  <c r="C335" i="4" s="1"/>
  <c r="C109" i="8" a="1"/>
  <c r="C109" i="8" s="1"/>
  <c r="E317" i="2" s="1" a="1"/>
  <c r="E317" i="2" s="1"/>
  <c r="H36" i="9" a="1"/>
  <c r="H36" i="9" s="1"/>
  <c r="H95" i="5" a="1"/>
  <c r="H95" i="5" s="1"/>
  <c r="C95" i="5" s="1" a="1"/>
  <c r="C95" i="5" s="1"/>
  <c r="H79" i="5" a="1"/>
  <c r="H79" i="5" s="1"/>
  <c r="C79" i="5" s="1" a="1"/>
  <c r="C79" i="5" s="1"/>
  <c r="E439" i="2" s="1" a="1"/>
  <c r="E439" i="2" s="1"/>
  <c r="C167" i="8" a="1"/>
  <c r="C167" i="8" s="1"/>
  <c r="E345" i="2" s="1" a="1"/>
  <c r="E345" i="2" s="1"/>
  <c r="H219" i="4" a="1"/>
  <c r="H219" i="4" s="1"/>
  <c r="C219" i="4" s="1" a="1"/>
  <c r="C219" i="4" s="1"/>
  <c r="C14" i="7" a="1"/>
  <c r="C14" i="7" s="1"/>
  <c r="E77" i="2" s="1" a="1"/>
  <c r="E77" i="2" s="1"/>
  <c r="C53" i="5" a="1"/>
  <c r="C53" i="5" s="1"/>
  <c r="E82" i="2" s="1" a="1"/>
  <c r="E82" i="2" s="1"/>
  <c r="H45" i="7" a="1"/>
  <c r="H45" i="7" s="1"/>
  <c r="C45" i="7" s="1" a="1"/>
  <c r="C45" i="7" s="1"/>
  <c r="E272" i="2" s="1" a="1"/>
  <c r="E272" i="2" s="1"/>
  <c r="C40" i="7" a="1"/>
  <c r="C40" i="7" s="1"/>
  <c r="E80" i="2" s="1" a="1"/>
  <c r="E80" i="2" s="1"/>
  <c r="C226" i="4" a="1"/>
  <c r="C226" i="4" s="1"/>
  <c r="C17" i="6" a="1"/>
  <c r="C17" i="6" s="1"/>
  <c r="E81" i="2" s="1" a="1"/>
  <c r="E81" i="2" s="1"/>
  <c r="C84" i="8" a="1"/>
  <c r="C84" i="8" s="1"/>
  <c r="E104" i="2" s="1" a="1"/>
  <c r="E104" i="2" s="1"/>
  <c r="H5" i="6" a="1"/>
  <c r="H5" i="6" s="1"/>
  <c r="C5" i="6" s="1" a="1"/>
  <c r="C5" i="6" s="1"/>
  <c r="C141" i="6" a="1"/>
  <c r="C141" i="6" s="1"/>
  <c r="E532" i="2" s="1" a="1"/>
  <c r="E532" i="2" s="1"/>
  <c r="H189" i="7" a="1"/>
  <c r="H189" i="7" s="1"/>
  <c r="C189" i="7" s="1" a="1"/>
  <c r="C189" i="7" s="1"/>
  <c r="E554" i="2" s="1" a="1"/>
  <c r="E554" i="2" s="1"/>
  <c r="C115" i="6" a="1"/>
  <c r="C115" i="6" s="1"/>
  <c r="H124" i="4" a="1"/>
  <c r="H124" i="4" s="1"/>
  <c r="C124" i="4" s="1" a="1"/>
  <c r="C124" i="4" s="1"/>
  <c r="H48" i="6" a="1"/>
  <c r="H48" i="6" s="1"/>
  <c r="C48" i="6" s="1" a="1"/>
  <c r="C48" i="6" s="1"/>
  <c r="E363" i="2" s="1" a="1"/>
  <c r="E363" i="2" s="1"/>
  <c r="H85" i="4" a="1"/>
  <c r="H85" i="4" s="1"/>
  <c r="C85" i="4" s="1" a="1"/>
  <c r="C85" i="4" s="1"/>
  <c r="C342" i="4" a="1"/>
  <c r="C342" i="4" s="1"/>
  <c r="C128" i="5" a="1"/>
  <c r="C128" i="5" s="1"/>
  <c r="H32" i="7" a="1"/>
  <c r="H32" i="7" s="1"/>
  <c r="C32" i="7" s="1" a="1"/>
  <c r="C32" i="7" s="1"/>
  <c r="E175" i="2" s="1" a="1"/>
  <c r="E175" i="2" s="1"/>
  <c r="C182" i="6" a="1"/>
  <c r="C182" i="6" s="1"/>
  <c r="E489" i="2" s="1" a="1"/>
  <c r="E489" i="2" s="1"/>
  <c r="H71" i="7" a="1"/>
  <c r="H71" i="7" s="1"/>
  <c r="C71" i="7" s="1" a="1"/>
  <c r="C71" i="7" s="1"/>
  <c r="E410" i="2" s="1" a="1"/>
  <c r="E410" i="2" s="1"/>
  <c r="C90" i="4" a="1"/>
  <c r="C90" i="4" s="1"/>
  <c r="C153" i="7" a="1"/>
  <c r="C153" i="7" s="1"/>
  <c r="E620" i="2" s="1" a="1"/>
  <c r="E620" i="2" s="1"/>
  <c r="H78" i="7" a="1"/>
  <c r="H78" i="7" s="1"/>
  <c r="C78" i="7" s="1" a="1"/>
  <c r="C78" i="7" s="1"/>
  <c r="E241" i="2" s="1" a="1"/>
  <c r="E241" i="2" s="1"/>
  <c r="C39" i="5" a="1"/>
  <c r="C39" i="5" s="1"/>
  <c r="C146" i="6" a="1"/>
  <c r="C146" i="6" s="1"/>
  <c r="E466" i="2" s="1" a="1"/>
  <c r="E466" i="2" s="1"/>
  <c r="H129" i="5" a="1"/>
  <c r="H129" i="5" s="1"/>
  <c r="C129" i="5" s="1" a="1"/>
  <c r="C129" i="5" s="1"/>
  <c r="C39" i="6" a="1"/>
  <c r="C39" i="6" s="1"/>
  <c r="C360" i="4" a="1"/>
  <c r="C360" i="4" s="1"/>
  <c r="H251" i="4" a="1"/>
  <c r="H251" i="4" s="1"/>
  <c r="C251" i="4" s="1" a="1"/>
  <c r="C251" i="4" s="1"/>
  <c r="C76" i="7" a="1"/>
  <c r="C76" i="7" s="1"/>
  <c r="E269" i="2" s="1" a="1"/>
  <c r="E269" i="2" s="1"/>
  <c r="H88" i="8" a="1"/>
  <c r="H88" i="8" s="1"/>
  <c r="C88" i="8" s="1" a="1"/>
  <c r="C88" i="8" s="1"/>
  <c r="E84" i="2" s="1" a="1"/>
  <c r="E84" i="2" s="1"/>
  <c r="H66" i="9" a="1"/>
  <c r="H66" i="9" s="1"/>
  <c r="H113" i="8" a="1"/>
  <c r="H113" i="8" s="1"/>
  <c r="C113" i="8" s="1" a="1"/>
  <c r="C113" i="8" s="1"/>
  <c r="E294" i="2" s="1" a="1"/>
  <c r="E294" i="2" s="1"/>
  <c r="H191" i="8" a="1"/>
  <c r="H191" i="8" s="1"/>
  <c r="C191" i="8" s="1" a="1"/>
  <c r="C191" i="8" s="1"/>
  <c r="E316" i="2" s="1" a="1"/>
  <c r="E316" i="2" s="1"/>
  <c r="C54" i="6" a="1"/>
  <c r="C54" i="6" s="1"/>
  <c r="E254" i="2" s="1" a="1"/>
  <c r="E254" i="2" s="1"/>
  <c r="H14" i="5" a="1"/>
  <c r="H14" i="5" s="1"/>
  <c r="C14" i="5" s="1" a="1"/>
  <c r="C14" i="5" s="1"/>
  <c r="E155" i="2" s="1" a="1"/>
  <c r="E155" i="2" s="1"/>
  <c r="H104" i="8" a="1"/>
  <c r="H104" i="8" s="1"/>
  <c r="C104" i="8" s="1" a="1"/>
  <c r="C104" i="8" s="1"/>
  <c r="E270" i="2" s="1" a="1"/>
  <c r="E270" i="2" s="1"/>
  <c r="C6" i="4" a="1"/>
  <c r="C6" i="4" s="1"/>
  <c r="C153" i="8" a="1"/>
  <c r="C153" i="8" s="1"/>
  <c r="E165" i="2" s="1" a="1"/>
  <c r="E165" i="2" s="1"/>
  <c r="C25" i="6" a="1"/>
  <c r="C25" i="6" s="1"/>
  <c r="H240" i="4" a="1"/>
  <c r="H240" i="4" s="1"/>
  <c r="C240" i="4" s="1" a="1"/>
  <c r="C240" i="4" s="1"/>
  <c r="H123" i="7" a="1"/>
  <c r="H123" i="7" s="1"/>
  <c r="C123" i="7" s="1" a="1"/>
  <c r="C123" i="7" s="1"/>
  <c r="E516" i="2" s="1" a="1"/>
  <c r="E516" i="2" s="1"/>
  <c r="H38" i="6" a="1"/>
  <c r="H38" i="6" s="1"/>
  <c r="C38" i="6" s="1" a="1"/>
  <c r="C38" i="6" s="1"/>
  <c r="E159" i="2" s="1" a="1"/>
  <c r="E159" i="2" s="1"/>
  <c r="C314" i="4" a="1"/>
  <c r="C314" i="4" s="1"/>
  <c r="C49" i="4" a="1"/>
  <c r="C49" i="4" s="1"/>
  <c r="C352" i="4" a="1"/>
  <c r="C352" i="4" s="1"/>
  <c r="H186" i="8" a="1"/>
  <c r="H186" i="8" s="1"/>
  <c r="C186" i="8" s="1" a="1"/>
  <c r="C186" i="8" s="1"/>
  <c r="E360" i="2" s="1" a="1"/>
  <c r="E360" i="2" s="1"/>
  <c r="C105" i="8" a="1"/>
  <c r="C105" i="8" s="1"/>
  <c r="E206" i="2" s="1" a="1"/>
  <c r="E206" i="2" s="1"/>
  <c r="C149" i="5" a="1"/>
  <c r="C149" i="5" s="1"/>
  <c r="C126" i="8" a="1"/>
  <c r="C126" i="8" s="1"/>
  <c r="E352" i="2" s="1" a="1"/>
  <c r="E352" i="2" s="1"/>
  <c r="H137" i="7" a="1"/>
  <c r="H137" i="7" s="1"/>
  <c r="C137" i="7" s="1" a="1"/>
  <c r="C137" i="7" s="1"/>
  <c r="E390" i="2" s="1" a="1"/>
  <c r="E390" i="2" s="1"/>
  <c r="C97" i="4" a="1"/>
  <c r="C97" i="4" s="1"/>
  <c r="H229" i="4" a="1"/>
  <c r="H229" i="4" s="1"/>
  <c r="C229" i="4" s="1" a="1"/>
  <c r="C229" i="4" s="1"/>
  <c r="C115" i="5" a="1"/>
  <c r="C115" i="5" s="1"/>
  <c r="H32" i="9" a="1"/>
  <c r="H32" i="9" s="1"/>
  <c r="C34" i="8" a="1"/>
  <c r="C34" i="8" s="1"/>
  <c r="E71" i="2" s="1" a="1"/>
  <c r="E71" i="2" s="1"/>
  <c r="C66" i="7" a="1"/>
  <c r="C66" i="7" s="1"/>
  <c r="E331" i="2" s="1" a="1"/>
  <c r="E331" i="2" s="1"/>
  <c r="H140" i="7" a="1"/>
  <c r="H140" i="7" s="1"/>
  <c r="C140" i="7" s="1" a="1"/>
  <c r="C140" i="7" s="1"/>
  <c r="E494" i="2" s="1" a="1"/>
  <c r="E494" i="2" s="1"/>
  <c r="C3" i="7" a="1"/>
  <c r="C3" i="7" s="1"/>
  <c r="C11" i="7" a="1"/>
  <c r="C11" i="7" s="1"/>
  <c r="E52" i="2" s="1" a="1"/>
  <c r="E52" i="2" s="1"/>
  <c r="C200" i="7" a="1"/>
  <c r="C200" i="7" s="1"/>
  <c r="E614" i="2" s="1" a="1"/>
  <c r="E614" i="2" s="1"/>
  <c r="C191" i="7" a="1"/>
  <c r="C191" i="7" s="1"/>
  <c r="E660" i="2" s="1" a="1"/>
  <c r="E660" i="2" s="1"/>
  <c r="C190" i="7" a="1"/>
  <c r="C190" i="7" s="1"/>
  <c r="E624" i="2" s="1" a="1"/>
  <c r="E624" i="2" s="1"/>
  <c r="C202" i="7" a="1"/>
  <c r="C202" i="7" s="1"/>
  <c r="E669" i="2" s="1" a="1"/>
  <c r="E669" i="2" s="1"/>
  <c r="C186" i="7" a="1"/>
  <c r="C186" i="7" s="1"/>
  <c r="E611" i="2" s="1" a="1"/>
  <c r="E611" i="2" s="1"/>
  <c r="C203" i="7" a="1"/>
  <c r="C203" i="7" s="1"/>
  <c r="E610" i="2" s="1" a="1"/>
  <c r="E610" i="2" s="1"/>
  <c r="C209" i="7" a="1"/>
  <c r="C209" i="7" s="1"/>
  <c r="E593" i="2" s="1" a="1"/>
  <c r="E593" i="2" s="1"/>
  <c r="C174" i="7" a="1"/>
  <c r="C174" i="7" s="1"/>
  <c r="E582" i="2" s="1" a="1"/>
  <c r="E582" i="2" s="1"/>
  <c r="C157" i="5" a="1"/>
  <c r="C157" i="5" s="1"/>
  <c r="C317" i="4" a="1"/>
  <c r="C317" i="4" s="1"/>
  <c r="C3" i="6" a="1"/>
  <c r="C3" i="6" s="1"/>
  <c r="C163" i="6" a="1"/>
  <c r="C163" i="6" s="1"/>
  <c r="E557" i="2" s="1" a="1"/>
  <c r="E557" i="2" s="1"/>
  <c r="C371" i="4" a="1"/>
  <c r="C371" i="4" s="1"/>
  <c r="C179" i="4" a="1"/>
  <c r="C179" i="4" s="1"/>
  <c r="C275" i="4" a="1"/>
  <c r="C275" i="4" s="1"/>
  <c r="H43" i="4" a="1"/>
  <c r="H43" i="4" s="1"/>
  <c r="C43" i="4" s="1" a="1"/>
  <c r="C43" i="4" s="1"/>
  <c r="C158" i="6" a="1"/>
  <c r="C158" i="6" s="1"/>
  <c r="E518" i="2" s="1" a="1"/>
  <c r="E518" i="2" s="1"/>
  <c r="H180" i="8" a="1"/>
  <c r="H180" i="8" s="1"/>
  <c r="C180" i="8" s="1" a="1"/>
  <c r="C180" i="8" s="1"/>
  <c r="E341" i="2" s="1" a="1"/>
  <c r="E341" i="2" s="1"/>
  <c r="C291" i="4" a="1"/>
  <c r="C291" i="4" s="1"/>
  <c r="H163" i="7" a="1"/>
  <c r="H163" i="7" s="1"/>
  <c r="C163" i="7" s="1" a="1"/>
  <c r="C163" i="7" s="1"/>
  <c r="E590" i="2" s="1" a="1"/>
  <c r="E590" i="2" s="1"/>
  <c r="C158" i="5" a="1"/>
  <c r="C158" i="5" s="1"/>
  <c r="C98" i="5" a="1"/>
  <c r="C98" i="5" s="1"/>
  <c r="E429" i="2" s="1" a="1"/>
  <c r="E429" i="2" s="1"/>
  <c r="H156" i="5" a="1"/>
  <c r="H156" i="5" s="1"/>
  <c r="C156" i="5" s="1" a="1"/>
  <c r="C156" i="5" s="1"/>
  <c r="C74" i="6" a="1"/>
  <c r="C74" i="6" s="1"/>
  <c r="C194" i="4" a="1"/>
  <c r="C194" i="4" s="1"/>
  <c r="C204" i="8" a="1"/>
  <c r="C204" i="8" s="1"/>
  <c r="E397" i="2" s="1" a="1"/>
  <c r="E397" i="2" s="1"/>
  <c r="H35" i="6" a="1"/>
  <c r="H35" i="6" s="1"/>
  <c r="C35" i="6" s="1" a="1"/>
  <c r="C35" i="6" s="1"/>
  <c r="C100" i="7" a="1"/>
  <c r="C100" i="7" s="1"/>
  <c r="E485" i="2" s="1" a="1"/>
  <c r="E485" i="2" s="1"/>
  <c r="H142" i="4" a="1"/>
  <c r="H142" i="4" s="1"/>
  <c r="C142" i="4" s="1" a="1"/>
  <c r="C142" i="4" s="1"/>
  <c r="C197" i="4" a="1"/>
  <c r="C197" i="4" s="1"/>
  <c r="C260" i="4" a="1"/>
  <c r="C260" i="4" s="1"/>
  <c r="C122" i="6" a="1"/>
  <c r="C122" i="6" s="1"/>
  <c r="H124" i="8" a="1"/>
  <c r="H124" i="8" s="1"/>
  <c r="C124" i="8" s="1" a="1"/>
  <c r="C124" i="8" s="1"/>
  <c r="E190" i="2" s="1" a="1"/>
  <c r="E190" i="2" s="1"/>
  <c r="C81" i="8" a="1"/>
  <c r="C81" i="8" s="1"/>
  <c r="E205" i="2" s="1" a="1"/>
  <c r="E205" i="2" s="1"/>
  <c r="H303" i="4" a="1"/>
  <c r="H303" i="4" s="1"/>
  <c r="C303" i="4" s="1" a="1"/>
  <c r="C303" i="4" s="1"/>
  <c r="H67" i="7" a="1"/>
  <c r="H67" i="7" s="1"/>
  <c r="C67" i="7" s="1" a="1"/>
  <c r="C67" i="7" s="1"/>
  <c r="E446" i="2" s="1" a="1"/>
  <c r="E446" i="2" s="1"/>
  <c r="H24" i="8" a="1"/>
  <c r="H24" i="8" s="1"/>
  <c r="C24" i="8" s="1" a="1"/>
  <c r="C24" i="8" s="1"/>
  <c r="E57" i="2" s="1" a="1"/>
  <c r="E57" i="2" s="1"/>
  <c r="H101" i="4" a="1"/>
  <c r="H101" i="4" s="1"/>
  <c r="C101" i="4" s="1" a="1"/>
  <c r="C101" i="4" s="1"/>
  <c r="C73" i="5" a="1"/>
  <c r="C73" i="5" s="1"/>
  <c r="C196" i="7" a="1"/>
  <c r="C196" i="7" s="1"/>
  <c r="E616" i="2" s="1" a="1"/>
  <c r="E616" i="2" s="1"/>
  <c r="C25" i="5" a="1"/>
  <c r="C25" i="5" s="1"/>
  <c r="E499" i="2" s="1" a="1"/>
  <c r="E499" i="2" s="1"/>
  <c r="H20" i="9" a="1"/>
  <c r="H20" i="9" s="1"/>
  <c r="H130" i="5" a="1"/>
  <c r="H130" i="5" s="1"/>
  <c r="C130" i="5" s="1" a="1"/>
  <c r="C130" i="5" s="1"/>
  <c r="H206" i="5" a="1"/>
  <c r="H206" i="5" s="1"/>
  <c r="C206" i="5" s="1" a="1"/>
  <c r="C206" i="5" s="1"/>
  <c r="E546" i="2" s="1" a="1"/>
  <c r="E546" i="2" s="1"/>
  <c r="H252" i="4" a="1"/>
  <c r="H252" i="4" s="1"/>
  <c r="C252" i="4" s="1" a="1"/>
  <c r="C252" i="4" s="1"/>
  <c r="H6" i="5" a="1"/>
  <c r="H6" i="5" s="1"/>
  <c r="C6" i="5" s="1" a="1"/>
  <c r="C6" i="5" s="1"/>
  <c r="H178" i="7" a="1"/>
  <c r="H178" i="7" s="1"/>
  <c r="C178" i="7" s="1" a="1"/>
  <c r="C178" i="7" s="1"/>
  <c r="E502" i="2" s="1" a="1"/>
  <c r="E502" i="2" s="1"/>
  <c r="H344" i="4" a="1"/>
  <c r="H344" i="4" s="1"/>
  <c r="C344" i="4" s="1" a="1"/>
  <c r="C344" i="4" s="1"/>
  <c r="H194" i="7" a="1"/>
  <c r="H194" i="7" s="1"/>
  <c r="C194" i="7" s="1" a="1"/>
  <c r="C194" i="7" s="1"/>
  <c r="E650" i="2" s="1" a="1"/>
  <c r="E650" i="2" s="1"/>
  <c r="H259" i="4" a="1"/>
  <c r="H259" i="4" s="1"/>
  <c r="C259" i="4" s="1" a="1"/>
  <c r="C259" i="4" s="1"/>
  <c r="H22" i="7" a="1"/>
  <c r="H22" i="7" s="1"/>
  <c r="C22" i="7" s="1" a="1"/>
  <c r="C22" i="7" s="1"/>
  <c r="E124" i="2" s="1" a="1"/>
  <c r="E124" i="2" s="1"/>
  <c r="H130" i="6" a="1"/>
  <c r="H130" i="6" s="1"/>
  <c r="C130" i="6" s="1" a="1"/>
  <c r="C130" i="6" s="1"/>
  <c r="H367" i="4" a="1"/>
  <c r="H367" i="4" s="1"/>
  <c r="C367" i="4" s="1" a="1"/>
  <c r="C367" i="4" s="1"/>
  <c r="H64" i="8" a="1"/>
  <c r="H64" i="8" s="1"/>
  <c r="C64" i="8" s="1" a="1"/>
  <c r="C64" i="8" s="1"/>
  <c r="E138" i="2" s="1" a="1"/>
  <c r="E138" i="2" s="1"/>
  <c r="H172" i="7" a="1"/>
  <c r="H172" i="7" s="1"/>
  <c r="C172" i="7" s="1" a="1"/>
  <c r="C172" i="7" s="1"/>
  <c r="E608" i="2" s="1" a="1"/>
  <c r="E608" i="2" s="1"/>
  <c r="H273" i="4" a="1"/>
  <c r="H273" i="4" s="1"/>
  <c r="C273" i="4" s="1" a="1"/>
  <c r="C273" i="4" s="1"/>
  <c r="H239" i="4" a="1"/>
  <c r="H239" i="4" s="1"/>
  <c r="C239" i="4" s="1" a="1"/>
  <c r="C239" i="4" s="1"/>
  <c r="H88" i="7" a="1"/>
  <c r="H88" i="7" s="1"/>
  <c r="C88" i="7" s="1" a="1"/>
  <c r="C88" i="7" s="1"/>
  <c r="E400" i="2" s="1" a="1"/>
  <c r="E400" i="2" s="1"/>
  <c r="H265" i="4" a="1"/>
  <c r="H265" i="4" s="1"/>
  <c r="C265" i="4" s="1" a="1"/>
  <c r="C265" i="4" s="1"/>
  <c r="H40" i="6" a="1"/>
  <c r="H40" i="6" s="1"/>
  <c r="C40" i="6" s="1" a="1"/>
  <c r="C40" i="6" s="1"/>
  <c r="H106" i="5" a="1"/>
  <c r="H106" i="5" s="1"/>
  <c r="C106" i="5" s="1" a="1"/>
  <c r="C106" i="5" s="1"/>
  <c r="H145" i="5" a="1"/>
  <c r="H145" i="5" s="1"/>
  <c r="C145" i="5" s="1" a="1"/>
  <c r="C145" i="5" s="1"/>
  <c r="H196" i="5" a="1"/>
  <c r="H196" i="5" s="1"/>
  <c r="C196" i="5" s="1" a="1"/>
  <c r="C196" i="5" s="1"/>
  <c r="E653" i="2" s="1" a="1"/>
  <c r="E653" i="2" s="1"/>
  <c r="H121" i="7" a="1"/>
  <c r="H121" i="7" s="1"/>
  <c r="C121" i="7" s="1" a="1"/>
  <c r="C121" i="7" s="1"/>
  <c r="E538" i="2" s="1" a="1"/>
  <c r="E538" i="2" s="1"/>
  <c r="H84" i="6" a="1"/>
  <c r="H84" i="6" s="1"/>
  <c r="C84" i="6" s="1" a="1"/>
  <c r="C84" i="6" s="1"/>
  <c r="H103" i="7" a="1"/>
  <c r="H103" i="7" s="1"/>
  <c r="C103" i="7" s="1" a="1"/>
  <c r="C103" i="7" s="1"/>
  <c r="E369" i="2" s="1" a="1"/>
  <c r="E369" i="2" s="1"/>
  <c r="H201" i="8" a="1"/>
  <c r="H201" i="8" s="1"/>
  <c r="C201" i="8" s="1" a="1"/>
  <c r="C201" i="8" s="1"/>
  <c r="E401" i="2" s="1" a="1"/>
  <c r="E401" i="2" s="1"/>
  <c r="H64" i="7" a="1"/>
  <c r="H64" i="7" s="1"/>
  <c r="C64" i="7" s="1" a="1"/>
  <c r="C64" i="7" s="1"/>
  <c r="E416" i="2" s="1" a="1"/>
  <c r="E416" i="2" s="1"/>
  <c r="H242" i="4" a="1"/>
  <c r="H242" i="4" s="1"/>
  <c r="C242" i="4" s="1" a="1"/>
  <c r="C242" i="4" s="1"/>
  <c r="H313" i="4" a="1"/>
  <c r="H313" i="4" s="1"/>
  <c r="C313" i="4" s="1" a="1"/>
  <c r="C313" i="4" s="1"/>
  <c r="H50" i="5" a="1"/>
  <c r="H50" i="5" s="1"/>
  <c r="C50" i="5" s="1" a="1"/>
  <c r="C50" i="5" s="1"/>
  <c r="E188" i="2" s="1" a="1"/>
  <c r="E188" i="2" s="1"/>
  <c r="H68" i="4" a="1"/>
  <c r="H68" i="4" s="1"/>
  <c r="C68" i="4" s="1" a="1"/>
  <c r="C68" i="4" s="1"/>
  <c r="H140" i="5" a="1"/>
  <c r="H140" i="5" s="1"/>
  <c r="C140" i="5" s="1" a="1"/>
  <c r="C140" i="5" s="1"/>
  <c r="H60" i="6" a="1"/>
  <c r="H60" i="6" s="1"/>
  <c r="C60" i="6" s="1" a="1"/>
  <c r="C60" i="6" s="1"/>
  <c r="H214" i="4" a="1"/>
  <c r="H214" i="4" s="1"/>
  <c r="C214" i="4" s="1" a="1"/>
  <c r="C214" i="4" s="1"/>
  <c r="H164" i="6" a="1"/>
  <c r="H164" i="6" s="1"/>
  <c r="C164" i="6" s="1" a="1"/>
  <c r="C164" i="6" s="1"/>
  <c r="E569" i="2" s="1" a="1"/>
  <c r="E569" i="2" s="1"/>
  <c r="H167" i="7" a="1"/>
  <c r="H167" i="7" s="1"/>
  <c r="C167" i="7" s="1" a="1"/>
  <c r="C167" i="7" s="1"/>
  <c r="E562" i="2" s="1" a="1"/>
  <c r="E562" i="2" s="1"/>
  <c r="H176" i="6" a="1"/>
  <c r="H176" i="6" s="1"/>
  <c r="C176" i="6" s="1" a="1"/>
  <c r="C176" i="6" s="1"/>
  <c r="H225" i="4" a="1"/>
  <c r="H225" i="4" s="1"/>
  <c r="C225" i="4" s="1" a="1"/>
  <c r="C225" i="4" s="1"/>
  <c r="H182" i="7" a="1"/>
  <c r="H182" i="7" s="1"/>
  <c r="C182" i="7" s="1" a="1"/>
  <c r="C182" i="7" s="1"/>
  <c r="E553" i="2" s="1" a="1"/>
  <c r="E553" i="2" s="1"/>
  <c r="H134" i="5" a="1"/>
  <c r="H134" i="5" s="1"/>
  <c r="C134" i="5" s="1" a="1"/>
  <c r="C134" i="5" s="1"/>
  <c r="H78" i="8" a="1"/>
  <c r="H78" i="8" s="1"/>
  <c r="C78" i="8" s="1" a="1"/>
  <c r="C78" i="8" s="1"/>
  <c r="E94" i="2" s="1" a="1"/>
  <c r="E94" i="2" s="1"/>
  <c r="H61" i="5" a="1"/>
  <c r="H61" i="5" s="1"/>
  <c r="C61" i="5" s="1" a="1"/>
  <c r="C61" i="5" s="1"/>
  <c r="H167" i="6" a="1"/>
  <c r="H167" i="6" s="1"/>
  <c r="C167" i="6" s="1" a="1"/>
  <c r="C167" i="6" s="1"/>
  <c r="E510" i="2" s="1" a="1"/>
  <c r="E510" i="2" s="1"/>
  <c r="H102" i="6" a="1"/>
  <c r="H102" i="6" s="1"/>
  <c r="C102" i="6" s="1" a="1"/>
  <c r="C102" i="6" s="1"/>
  <c r="H42" i="5" a="1"/>
  <c r="H42" i="5" s="1"/>
  <c r="C42" i="5" s="1" a="1"/>
  <c r="C42" i="5" s="1"/>
  <c r="E212" i="2" s="1" a="1"/>
  <c r="E212" i="2" s="1"/>
  <c r="H150" i="6" a="1"/>
  <c r="H150" i="6" s="1"/>
  <c r="C150" i="6" s="1" a="1"/>
  <c r="C150" i="6" s="1"/>
  <c r="E409" i="2" s="1" a="1"/>
  <c r="E409" i="2" s="1"/>
  <c r="H6" i="6" a="1"/>
  <c r="H6" i="6" s="1"/>
  <c r="H69" i="7" a="1"/>
  <c r="H69" i="7" s="1"/>
  <c r="C69" i="7" s="1" a="1"/>
  <c r="C69" i="7" s="1"/>
  <c r="E461" i="2" s="1" a="1"/>
  <c r="E461" i="2" s="1"/>
  <c r="H38" i="5" a="1"/>
  <c r="H38" i="5" s="1"/>
  <c r="C38" i="5" s="1" a="1"/>
  <c r="C38" i="5" s="1"/>
  <c r="H138" i="7" a="1"/>
  <c r="H138" i="7" s="1"/>
  <c r="C138" i="7" s="1" a="1"/>
  <c r="C138" i="7" s="1"/>
  <c r="E605" i="2" s="1" a="1"/>
  <c r="E605" i="2" s="1"/>
  <c r="H77" i="6" a="1"/>
  <c r="H77" i="6" s="1"/>
  <c r="C77" i="6" s="1" a="1"/>
  <c r="C77" i="6" s="1"/>
  <c r="E348" i="2" s="1" a="1"/>
  <c r="E348" i="2" s="1"/>
  <c r="H3" i="8" a="1"/>
  <c r="H3" i="8" s="1"/>
  <c r="C3" i="8" s="1" a="1"/>
  <c r="C3" i="8" s="1"/>
  <c r="H5" i="8" a="1"/>
  <c r="H5" i="8" s="1"/>
  <c r="C5" i="8" s="1" a="1"/>
  <c r="C5" i="8" s="1"/>
  <c r="E6" i="2" s="1" a="1"/>
  <c r="E6" i="2" s="1"/>
  <c r="H140" i="4" a="1"/>
  <c r="H140" i="4" s="1"/>
  <c r="C140" i="4" s="1" a="1"/>
  <c r="C140" i="4" s="1"/>
  <c r="H161" i="7" a="1"/>
  <c r="H161" i="7" s="1"/>
  <c r="C161" i="7" s="1" a="1"/>
  <c r="C161" i="7" s="1"/>
  <c r="E572" i="2" s="1" a="1"/>
  <c r="E572" i="2" s="1"/>
  <c r="H184" i="5" a="1"/>
  <c r="H184" i="5" s="1"/>
  <c r="C184" i="5" s="1" a="1"/>
  <c r="C184" i="5" s="1"/>
  <c r="E576" i="2" s="1" a="1"/>
  <c r="E576" i="2" s="1"/>
  <c r="H206" i="7" a="1"/>
  <c r="H206" i="7" s="1"/>
  <c r="C206" i="7" s="1" a="1"/>
  <c r="C206" i="7" s="1"/>
  <c r="E668" i="2" s="1" a="1"/>
  <c r="E668" i="2" s="1"/>
  <c r="H113" i="4" a="1"/>
  <c r="H113" i="4" s="1"/>
  <c r="C113" i="4" s="1" a="1"/>
  <c r="C113" i="4" s="1"/>
  <c r="H68" i="5" a="1"/>
  <c r="H68" i="5" s="1"/>
  <c r="C68" i="5" s="1" a="1"/>
  <c r="C68" i="5" s="1"/>
  <c r="E304" i="2" s="1" a="1"/>
  <c r="E304" i="2" s="1"/>
  <c r="H118" i="8" a="1"/>
  <c r="H118" i="8" s="1"/>
  <c r="C118" i="8" s="1" a="1"/>
  <c r="C118" i="8" s="1"/>
  <c r="E164" i="2" s="1" a="1"/>
  <c r="E164" i="2" s="1"/>
  <c r="H30" i="6" a="1"/>
  <c r="H30" i="6" s="1"/>
  <c r="C30" i="6" s="1" a="1"/>
  <c r="C30" i="6" s="1"/>
  <c r="H23" i="4" a="1"/>
  <c r="H23" i="4" s="1"/>
  <c r="C23" i="4" s="1" a="1"/>
  <c r="C23" i="4" s="1"/>
  <c r="H358" i="4" a="1"/>
  <c r="H358" i="4" s="1"/>
  <c r="C358" i="4" s="1" a="1"/>
  <c r="C358" i="4" s="1"/>
  <c r="H51" i="4" a="1"/>
  <c r="H51" i="4" s="1"/>
  <c r="C51" i="4" s="1" a="1"/>
  <c r="C51" i="4" s="1"/>
  <c r="H373" i="4" a="1"/>
  <c r="H373" i="4" s="1"/>
  <c r="C373" i="4" s="1" a="1"/>
  <c r="C373" i="4" s="1"/>
  <c r="H124" i="7" a="1"/>
  <c r="H124" i="7" s="1"/>
  <c r="C124" i="7" s="1" a="1"/>
  <c r="C124" i="7" s="1"/>
  <c r="E476" i="2" s="1" a="1"/>
  <c r="E476" i="2" s="1"/>
  <c r="H23" i="6" a="1"/>
  <c r="H23" i="6" s="1"/>
  <c r="C23" i="6" s="1" a="1"/>
  <c r="C23" i="6" s="1"/>
  <c r="E106" i="2" s="1" a="1"/>
  <c r="E106" i="2" s="1"/>
  <c r="H61" i="8" a="1"/>
  <c r="H61" i="8" s="1"/>
  <c r="C61" i="8" s="1" a="1"/>
  <c r="C61" i="8" s="1"/>
  <c r="E209" i="2" s="1" a="1"/>
  <c r="E209" i="2" s="1"/>
  <c r="H62" i="4" a="1"/>
  <c r="H62" i="4" s="1"/>
  <c r="C62" i="4" s="1" a="1"/>
  <c r="C62" i="4" s="1"/>
  <c r="H135" i="4" a="1"/>
  <c r="H135" i="4" s="1"/>
  <c r="C135" i="4" s="1" a="1"/>
  <c r="C135" i="4" s="1"/>
  <c r="H14" i="6" a="1"/>
  <c r="H14" i="6" s="1"/>
  <c r="C14" i="6" s="1" a="1"/>
  <c r="C14" i="6" s="1"/>
  <c r="E119" i="2" s="1" a="1"/>
  <c r="E119" i="2" s="1"/>
  <c r="H66" i="8" a="1"/>
  <c r="H66" i="8" s="1"/>
  <c r="C66" i="8" s="1" a="1"/>
  <c r="C66" i="8" s="1"/>
  <c r="E222" i="2" s="1" a="1"/>
  <c r="E222" i="2" s="1"/>
  <c r="H10" i="7" a="1"/>
  <c r="H10" i="7" s="1"/>
  <c r="H201" i="7" a="1"/>
  <c r="H201" i="7" s="1"/>
  <c r="C201" i="7" s="1" a="1"/>
  <c r="C201" i="7" s="1"/>
  <c r="E637" i="2" s="1" a="1"/>
  <c r="E637" i="2" s="1"/>
  <c r="H208" i="6" a="1"/>
  <c r="H208" i="6" s="1"/>
  <c r="C208" i="6" s="1" a="1"/>
  <c r="C208" i="6" s="1"/>
  <c r="E631" i="2" s="1" a="1"/>
  <c r="E631" i="2" s="1"/>
  <c r="H148" i="4" a="1"/>
  <c r="H148" i="4" s="1"/>
  <c r="C148" i="4" s="1" a="1"/>
  <c r="C148" i="4" s="1"/>
  <c r="H162" i="6" a="1"/>
  <c r="H162" i="6" s="1"/>
  <c r="C162" i="6" s="1" a="1"/>
  <c r="C162" i="6" s="1"/>
  <c r="E602" i="2" s="1" a="1"/>
  <c r="E602" i="2" s="1"/>
  <c r="H98" i="7" a="1"/>
  <c r="H98" i="7" s="1"/>
  <c r="C98" i="7" s="1" a="1"/>
  <c r="C98" i="7" s="1"/>
  <c r="E442" i="2" s="1" a="1"/>
  <c r="E442" i="2" s="1"/>
  <c r="H177" i="6" a="1"/>
  <c r="H177" i="6" s="1"/>
  <c r="C177" i="6" s="1" a="1"/>
  <c r="C177" i="6" s="1"/>
  <c r="E671" i="2" s="1" a="1"/>
  <c r="E671" i="2" s="1"/>
  <c r="H42" i="6" a="1"/>
  <c r="H42" i="6" s="1"/>
  <c r="C42" i="6" s="1" a="1"/>
  <c r="C42" i="6" s="1"/>
  <c r="H159" i="8" a="1"/>
  <c r="H159" i="8" s="1"/>
  <c r="C159" i="8" s="1" a="1"/>
  <c r="C159" i="8" s="1"/>
  <c r="E327" i="2" s="1" a="1"/>
  <c r="E327" i="2" s="1"/>
  <c r="H18" i="5" a="1"/>
  <c r="H18" i="5" s="1"/>
  <c r="C18" i="5" s="1" a="1"/>
  <c r="C18" i="5" s="1"/>
  <c r="E90" i="2" s="1" a="1"/>
  <c r="E90" i="2" s="1"/>
  <c r="H295" i="4" a="1"/>
  <c r="H295" i="4" s="1"/>
  <c r="C295" i="4" s="1" a="1"/>
  <c r="C295" i="4" s="1"/>
  <c r="H165" i="7" a="1"/>
  <c r="H165" i="7" s="1"/>
  <c r="C165" i="7" s="1" a="1"/>
  <c r="C165" i="7" s="1"/>
  <c r="E575" i="2" s="1" a="1"/>
  <c r="E575" i="2" s="1"/>
  <c r="H107" i="8" a="1"/>
  <c r="H107" i="8" s="1"/>
  <c r="C107" i="8" s="1" a="1"/>
  <c r="C107" i="8" s="1"/>
  <c r="E293" i="2" s="1" a="1"/>
  <c r="E293" i="2" s="1"/>
  <c r="H43" i="8" a="1"/>
  <c r="H43" i="8" s="1"/>
  <c r="C43" i="8" s="1" a="1"/>
  <c r="C43" i="8" s="1"/>
  <c r="E114" i="2" s="1" a="1"/>
  <c r="E114" i="2" s="1"/>
  <c r="H44" i="9" l="1" a="1"/>
  <c r="H44" i="9" s="1"/>
  <c r="H25" i="9" a="1"/>
  <c r="H25" i="9" s="1"/>
  <c r="H4" i="9" a="1"/>
  <c r="H4" i="9" s="1"/>
  <c r="H9" i="9" a="1"/>
  <c r="H9" i="9" s="1"/>
  <c r="H38" i="9" a="1"/>
  <c r="H38" i="9" s="1"/>
  <c r="C169" i="6" a="1"/>
  <c r="C169" i="6" s="1"/>
  <c r="C36" i="6" a="1"/>
  <c r="C36" i="6" s="1"/>
  <c r="C132" i="7" a="1"/>
  <c r="C132" i="7" s="1"/>
  <c r="E423" i="2" s="1" a="1"/>
  <c r="E423" i="2" s="1"/>
  <c r="C129" i="7" a="1"/>
  <c r="C129" i="7" s="1"/>
  <c r="E406" i="2" s="1" a="1"/>
  <c r="E406" i="2" s="1"/>
  <c r="C183" i="7" a="1"/>
  <c r="C183" i="7" s="1"/>
  <c r="E665" i="2" s="1" a="1"/>
  <c r="E665" i="2" s="1"/>
  <c r="H18" i="9" a="1"/>
  <c r="H18" i="9" s="1"/>
  <c r="E16" i="9" a="1"/>
  <c r="E16" i="9" s="1"/>
  <c r="C20" i="8" a="1"/>
  <c r="C20" i="8" s="1"/>
  <c r="E34" i="2" s="1" a="1"/>
  <c r="E34" i="2" s="1"/>
  <c r="C139" i="6" a="1"/>
  <c r="C139" i="6" s="1"/>
  <c r="E658" i="2" s="1" a="1"/>
  <c r="E658" i="2" s="1"/>
  <c r="C207" i="4" a="1"/>
  <c r="C207" i="4" s="1"/>
  <c r="C67" i="8" a="1"/>
  <c r="C67" i="8" s="1"/>
  <c r="E210" i="2" s="1" a="1"/>
  <c r="E210" i="2" s="1"/>
  <c r="C91" i="8" a="1"/>
  <c r="C91" i="8" s="1"/>
  <c r="E417" i="2" s="1" a="1"/>
  <c r="E417" i="2" s="1"/>
  <c r="H6" i="9" a="1"/>
  <c r="H6" i="9" s="1"/>
  <c r="H61" i="9" a="1"/>
  <c r="H61" i="9" s="1"/>
  <c r="C177" i="8" a="1"/>
  <c r="C177" i="8" s="1"/>
  <c r="E271" i="2" s="1" a="1"/>
  <c r="E271" i="2" s="1"/>
  <c r="C72" i="8" a="1"/>
  <c r="C72" i="8" s="1"/>
  <c r="E173" i="2" s="1" a="1"/>
  <c r="E173" i="2" s="1"/>
  <c r="H17" i="9" a="1"/>
  <c r="H17" i="9" s="1"/>
  <c r="C199" i="8" a="1"/>
  <c r="C199" i="8" s="1"/>
  <c r="E309" i="2" s="1" a="1"/>
  <c r="E309" i="2" s="1"/>
  <c r="C42" i="8" a="1"/>
  <c r="C42" i="8" s="1"/>
  <c r="E110" i="2" s="1" a="1"/>
  <c r="E110" i="2" s="1"/>
  <c r="J7" i="7" a="1"/>
  <c r="J7" i="7" s="1"/>
  <c r="C168" i="8" a="1"/>
  <c r="C168" i="8" s="1"/>
  <c r="E373" i="2" s="1" a="1"/>
  <c r="E373" i="2" s="1"/>
  <c r="C28" i="8" a="1"/>
  <c r="C28" i="8" s="1"/>
  <c r="E120" i="2" s="1" a="1"/>
  <c r="E120" i="2" s="1"/>
  <c r="C25" i="8" a="1"/>
  <c r="C25" i="8" s="1"/>
  <c r="E44" i="2" s="1" a="1"/>
  <c r="E44" i="2" s="1"/>
  <c r="C178" i="6" a="1"/>
  <c r="C178" i="6" s="1"/>
  <c r="C132" i="6" a="1"/>
  <c r="C132" i="6" s="1"/>
  <c r="E584" i="2" s="1" a="1"/>
  <c r="E584" i="2" s="1"/>
  <c r="C78" i="4" a="1"/>
  <c r="C78" i="4" s="1"/>
  <c r="C370" i="4" a="1"/>
  <c r="C370" i="4" s="1"/>
  <c r="C111" i="6" a="1"/>
  <c r="C111" i="6" s="1"/>
  <c r="E450" i="2" s="1" a="1"/>
  <c r="E450" i="2" s="1"/>
  <c r="C156" i="4" a="1"/>
  <c r="C156" i="4" s="1"/>
  <c r="C267" i="4" a="1"/>
  <c r="C267" i="4" s="1"/>
  <c r="C143" i="4" a="1"/>
  <c r="C143" i="4" s="1"/>
  <c r="C119" i="6" a="1"/>
  <c r="C119" i="6" s="1"/>
  <c r="C75" i="6" a="1"/>
  <c r="C75" i="6" s="1"/>
  <c r="E323" i="2" s="1" a="1"/>
  <c r="E323" i="2" s="1"/>
  <c r="C403" i="4" a="1"/>
  <c r="C403" i="4" s="1"/>
  <c r="C22" i="4" a="1"/>
  <c r="C22" i="4" s="1"/>
  <c r="C82" i="4" a="1"/>
  <c r="C82" i="4" s="1"/>
  <c r="C326" i="4" a="1"/>
  <c r="C326" i="4" s="1"/>
  <c r="C310" i="4" a="1"/>
  <c r="C310" i="4" s="1"/>
  <c r="C31" i="4" a="1"/>
  <c r="C31" i="4" s="1"/>
  <c r="C112" i="8" a="1"/>
  <c r="C112" i="8" s="1"/>
  <c r="E223" i="2" s="1" a="1"/>
  <c r="E223" i="2" s="1"/>
  <c r="C34" i="5" a="1"/>
  <c r="C34" i="5" s="1"/>
  <c r="H53" i="9" a="1"/>
  <c r="H53" i="9" s="1"/>
  <c r="H62" i="9" a="1"/>
  <c r="H62" i="9" s="1"/>
  <c r="H51" i="9" a="1"/>
  <c r="H51" i="9" s="1"/>
  <c r="E56" i="9" a="1"/>
  <c r="E56" i="9" s="1"/>
  <c r="J434" i="2" a="1"/>
  <c r="J434" i="2" s="1"/>
  <c r="C10" i="7" a="1"/>
  <c r="C10" i="7" s="1"/>
  <c r="E78" i="2" s="1" a="1"/>
  <c r="E78" i="2" s="1"/>
  <c r="F25" i="3" a="1"/>
  <c r="F25" i="3" s="1"/>
  <c r="F28" i="3" s="1" a="1"/>
  <c r="F28" i="3" s="1"/>
  <c r="U25" i="3" s="1" a="1"/>
  <c r="U25" i="3" s="1"/>
  <c r="AE2" i="3" s="1" a="1"/>
  <c r="AE2" i="3" s="1"/>
  <c r="J15" i="2" a="1"/>
  <c r="J15" i="2" s="1"/>
  <c r="E3" i="9" a="1"/>
  <c r="E3" i="9" s="1"/>
  <c r="C145" i="8" a="1"/>
  <c r="C145" i="8" s="1"/>
  <c r="E215" i="2" s="1" a="1"/>
  <c r="E215" i="2" s="1"/>
  <c r="C142" i="8" a="1"/>
  <c r="C142" i="8" s="1"/>
  <c r="E333" i="2" s="1" a="1"/>
  <c r="E333" i="2" s="1"/>
  <c r="C189" i="8" a="1"/>
  <c r="C189" i="8" s="1"/>
  <c r="E286" i="2" s="1" a="1"/>
  <c r="E286" i="2" s="1"/>
  <c r="H41" i="9" a="1"/>
  <c r="H41" i="9" s="1"/>
  <c r="C137" i="8" a="1"/>
  <c r="C137" i="8" s="1"/>
  <c r="E196" i="2" s="1" a="1"/>
  <c r="E196" i="2" s="1"/>
  <c r="C9" i="8" a="1"/>
  <c r="C9" i="8" s="1"/>
  <c r="E13" i="2" s="1" a="1"/>
  <c r="E13" i="2" s="1"/>
  <c r="C149" i="8" a="1"/>
  <c r="C149" i="8" s="1"/>
  <c r="E396" i="2" s="1" a="1"/>
  <c r="E396" i="2" s="1"/>
  <c r="C45" i="8" a="1"/>
  <c r="C45" i="8" s="1"/>
  <c r="E249" i="2" s="1" a="1"/>
  <c r="E249" i="2" s="1"/>
  <c r="C155" i="8" a="1"/>
  <c r="C155" i="8" s="1"/>
  <c r="E420" i="2" s="1" a="1"/>
  <c r="E420" i="2" s="1"/>
  <c r="H10" i="9" a="1"/>
  <c r="H10" i="9" s="1"/>
  <c r="C57" i="8" a="1"/>
  <c r="C57" i="8" s="1"/>
  <c r="E67" i="2" s="1" a="1"/>
  <c r="E67" i="2" s="1"/>
  <c r="C150" i="8" a="1"/>
  <c r="C150" i="8" s="1"/>
  <c r="E287" i="2" s="1" a="1"/>
  <c r="E287" i="2" s="1"/>
  <c r="H59" i="9" a="1"/>
  <c r="H59" i="9" s="1"/>
  <c r="C63" i="8" a="1"/>
  <c r="C63" i="8" s="1"/>
  <c r="E100" i="2" s="1" a="1"/>
  <c r="E100" i="2" s="1"/>
  <c r="C39" i="8" a="1"/>
  <c r="C39" i="8" s="1"/>
  <c r="E98" i="2" s="1" a="1"/>
  <c r="E98" i="2" s="1"/>
  <c r="C100" i="8" a="1"/>
  <c r="C100" i="8" s="1"/>
  <c r="E189" i="2" s="1" a="1"/>
  <c r="E189" i="2" s="1"/>
  <c r="H40" i="9" a="1"/>
  <c r="H40" i="9" s="1"/>
  <c r="H3" i="9" a="1"/>
  <c r="H3" i="9" s="1"/>
  <c r="C6" i="8" a="1"/>
  <c r="C6" i="8" s="1"/>
  <c r="E5" i="2" s="1" a="1"/>
  <c r="E5" i="2" s="1"/>
  <c r="H35" i="9" a="1"/>
  <c r="H35" i="9" s="1"/>
  <c r="C200" i="8" a="1"/>
  <c r="C200" i="8" s="1"/>
  <c r="E362" i="2" s="1" a="1"/>
  <c r="E362" i="2" s="1"/>
  <c r="H28" i="9" a="1"/>
  <c r="H28" i="9" s="1"/>
  <c r="C108" i="8" a="1"/>
  <c r="C108" i="8" s="1"/>
  <c r="E283" i="2" s="1" a="1"/>
  <c r="E283" i="2" s="1"/>
  <c r="C75" i="8" a="1"/>
  <c r="C75" i="8" s="1"/>
  <c r="E257" i="2" s="1" a="1"/>
  <c r="E257" i="2" s="1"/>
  <c r="C114" i="8" a="1"/>
  <c r="C114" i="8" s="1"/>
  <c r="E330" i="2" s="1" a="1"/>
  <c r="E330" i="2" s="1"/>
  <c r="H58" i="9" a="1"/>
  <c r="H58" i="9" s="1"/>
  <c r="C90" i="8" a="1"/>
  <c r="C90" i="8" s="1"/>
  <c r="E146" i="2" s="1" a="1"/>
  <c r="E146" i="2" s="1"/>
  <c r="H21" i="9" a="1"/>
  <c r="H21" i="9" s="1"/>
  <c r="H48" i="9" a="1"/>
  <c r="H48" i="9" s="1"/>
  <c r="H16" i="9" a="1"/>
  <c r="H16" i="9" s="1"/>
  <c r="C59" i="8" a="1"/>
  <c r="C59" i="8" s="1"/>
  <c r="E118" i="2" s="1" a="1"/>
  <c r="E118" i="2" s="1"/>
  <c r="H50" i="9" a="1"/>
  <c r="H50" i="9" s="1"/>
  <c r="C202" i="8" a="1"/>
  <c r="C202" i="8" s="1"/>
  <c r="E414" i="2" s="1" a="1"/>
  <c r="E414" i="2" s="1"/>
  <c r="C134" i="8" a="1"/>
  <c r="C134" i="8" s="1"/>
  <c r="E185" i="2" s="1" a="1"/>
  <c r="E185" i="2" s="1"/>
  <c r="C93" i="8" a="1"/>
  <c r="C93" i="8" s="1"/>
  <c r="E328" i="2" s="1" a="1"/>
  <c r="E328" i="2" s="1"/>
  <c r="J124" i="7" a="1"/>
  <c r="J124" i="7" s="1"/>
  <c r="C196" i="8" a="1"/>
  <c r="C196" i="8" s="1"/>
  <c r="E242" i="2" s="1" a="1"/>
  <c r="E242" i="2" s="1"/>
  <c r="C13" i="8" a="1"/>
  <c r="C13" i="8" s="1"/>
  <c r="E41" i="2" s="1" a="1"/>
  <c r="E41" i="2" s="1"/>
  <c r="C135" i="8" a="1"/>
  <c r="C135" i="8" s="1"/>
  <c r="E259" i="2" s="1" a="1"/>
  <c r="E259" i="2" s="1"/>
  <c r="C176" i="8" a="1"/>
  <c r="C176" i="8" s="1"/>
  <c r="E349" i="2" s="1" a="1"/>
  <c r="E349" i="2" s="1"/>
  <c r="H29" i="9" a="1"/>
  <c r="H29" i="9" s="1"/>
  <c r="H34" i="9" a="1"/>
  <c r="H34" i="9" s="1"/>
  <c r="C163" i="8" a="1"/>
  <c r="C163" i="8" s="1"/>
  <c r="E412" i="2" s="1" a="1"/>
  <c r="E412" i="2" s="1"/>
  <c r="C120" i="8" a="1"/>
  <c r="C120" i="8" s="1"/>
  <c r="E274" i="2" s="1" a="1"/>
  <c r="E274" i="2" s="1"/>
  <c r="C97" i="8" a="1"/>
  <c r="C97" i="8" s="1"/>
  <c r="E158" i="2" s="1" a="1"/>
  <c r="E158" i="2" s="1"/>
  <c r="C183" i="8" a="1"/>
  <c r="C183" i="8" s="1"/>
  <c r="E194" i="2" s="1" a="1"/>
  <c r="E194" i="2" s="1"/>
  <c r="C54" i="8" a="1"/>
  <c r="C54" i="8" s="1"/>
  <c r="E169" i="2" s="1" a="1"/>
  <c r="E169" i="2" s="1"/>
  <c r="C79" i="8" a="1"/>
  <c r="C79" i="8" s="1"/>
  <c r="E127" i="2" s="1" a="1"/>
  <c r="E127" i="2" s="1"/>
  <c r="H65" i="9" a="1"/>
  <c r="H65" i="9" s="1"/>
  <c r="H30" i="9" a="1"/>
  <c r="H30" i="9" s="1"/>
  <c r="H57" i="9" a="1"/>
  <c r="H57" i="9" s="1"/>
  <c r="J261" i="2" a="1"/>
  <c r="J261" i="2" s="1"/>
  <c r="E53" i="9" a="1"/>
  <c r="E53" i="9" s="1"/>
  <c r="J113" i="6" a="1"/>
  <c r="J113" i="6" s="1"/>
  <c r="C6" i="6" a="1"/>
  <c r="C6" i="6" s="1"/>
  <c r="E64" i="9" a="1"/>
  <c r="E64" i="9" s="1"/>
  <c r="J567" i="2" a="1"/>
  <c r="J567" i="2" s="1"/>
  <c r="E54" i="9" a="1"/>
  <c r="E54" i="9" s="1"/>
  <c r="J365" i="2" a="1"/>
  <c r="J365" i="2" s="1"/>
  <c r="E12" i="9" a="1"/>
  <c r="E12" i="9" s="1"/>
  <c r="J162" i="2" a="1"/>
  <c r="J162" i="2" s="1"/>
  <c r="E55" i="9" a="1"/>
  <c r="E55" i="9" s="1"/>
  <c r="J255" i="2" a="1"/>
  <c r="J255" i="2" s="1"/>
  <c r="E51" i="9" a="1"/>
  <c r="E51" i="9" s="1"/>
  <c r="J297" i="2" a="1"/>
  <c r="J297" i="2" s="1"/>
  <c r="E14" i="9" a="1"/>
  <c r="E14" i="9" s="1"/>
  <c r="J55" i="2" a="1"/>
  <c r="J55" i="2" s="1"/>
  <c r="E29" i="9" a="1"/>
  <c r="E29" i="9" s="1"/>
  <c r="J156" i="2" a="1"/>
  <c r="J156" i="2" s="1"/>
  <c r="E30" i="9" a="1"/>
  <c r="E30" i="9" s="1"/>
  <c r="J53" i="2" a="1"/>
  <c r="J53" i="2" s="1"/>
  <c r="E23" i="9" a="1"/>
  <c r="E23" i="9" s="1"/>
  <c r="J117" i="2" a="1"/>
  <c r="J117" i="2" s="1"/>
  <c r="E45" i="9" a="1"/>
  <c r="E45" i="9" s="1"/>
  <c r="J186" i="2" a="1"/>
  <c r="J186" i="2" s="1"/>
  <c r="E46" i="9" a="1"/>
  <c r="E46" i="9" s="1"/>
  <c r="J136" i="2" a="1"/>
  <c r="J136" i="2" s="1"/>
  <c r="J509" i="2" a="1"/>
  <c r="J509" i="2" s="1"/>
  <c r="E49" i="9" a="1"/>
  <c r="E49" i="9" s="1"/>
  <c r="E7" i="9" a="1"/>
  <c r="E7" i="9" s="1"/>
  <c r="J64" i="2" a="1"/>
  <c r="J64" i="2" s="1"/>
  <c r="E62" i="9" a="1"/>
  <c r="E62" i="9" s="1"/>
  <c r="J393" i="2" a="1"/>
  <c r="J393" i="2" s="1"/>
  <c r="E38" i="9" a="1"/>
  <c r="E38" i="9" s="1"/>
  <c r="J207" i="2" a="1"/>
  <c r="J207" i="2" s="1"/>
  <c r="E28" i="9" a="1"/>
  <c r="E28" i="9" s="1"/>
  <c r="J359" i="2" a="1"/>
  <c r="J359" i="2" s="1"/>
  <c r="E4" i="9" a="1"/>
  <c r="E4" i="9" s="1"/>
  <c r="J10" i="2" a="1"/>
  <c r="J10" i="2" s="1"/>
  <c r="E61" i="9" a="1"/>
  <c r="E61" i="9" s="1"/>
  <c r="J391" i="2" a="1"/>
  <c r="J391" i="2" s="1"/>
  <c r="E42" i="9" a="1"/>
  <c r="E42" i="9" s="1"/>
  <c r="J403" i="2" a="1"/>
  <c r="J403" i="2" s="1"/>
  <c r="J378" i="2" a="1"/>
  <c r="J378" i="2" s="1"/>
  <c r="E40" i="9" a="1"/>
  <c r="E40" i="9" s="1"/>
  <c r="E60" i="9" a="1"/>
  <c r="E60" i="9" s="1"/>
  <c r="J514" i="2" a="1"/>
  <c r="J514" i="2" s="1"/>
  <c r="J143" i="2" a="1"/>
  <c r="J143" i="2" s="1"/>
  <c r="E35" i="9" a="1"/>
  <c r="E35" i="9" s="1"/>
  <c r="E6" i="9" a="1"/>
  <c r="E6" i="9" s="1"/>
  <c r="J26" i="2" a="1"/>
  <c r="J26" i="2" s="1"/>
  <c r="E10" i="9" a="1"/>
  <c r="E10" i="9" s="1"/>
  <c r="J20" i="2" a="1"/>
  <c r="J20" i="2" s="1"/>
  <c r="E44" i="9" a="1"/>
  <c r="E44" i="9" s="1"/>
  <c r="J233" i="2" a="1"/>
  <c r="J233" i="2" s="1"/>
  <c r="J121" i="2" a="1"/>
  <c r="J121" i="2" s="1"/>
  <c r="E36" i="9" a="1"/>
  <c r="E36" i="9" s="1"/>
  <c r="E25" i="9" a="1"/>
  <c r="E25" i="9" s="1"/>
  <c r="J85" i="2" a="1"/>
  <c r="J85" i="2" s="1"/>
  <c r="J228" i="2" a="1"/>
  <c r="J228" i="2" s="1"/>
  <c r="E52" i="9" a="1"/>
  <c r="E52" i="9" s="1"/>
  <c r="J142" i="2" a="1"/>
  <c r="J142" i="2" s="1"/>
  <c r="E39" i="9" a="1"/>
  <c r="E39" i="9" s="1"/>
  <c r="E48" i="9" a="1"/>
  <c r="E48" i="9" s="1"/>
  <c r="J354" i="2" a="1"/>
  <c r="J354" i="2" s="1"/>
  <c r="E5" i="9" a="1"/>
  <c r="E5" i="9" s="1"/>
  <c r="J17" i="2" a="1"/>
  <c r="J17" i="2" s="1"/>
  <c r="E24" i="9" a="1"/>
  <c r="E24" i="9" s="1"/>
  <c r="J86" i="2" a="1"/>
  <c r="J86" i="2" s="1"/>
  <c r="E17" i="9" a="1"/>
  <c r="E17" i="9" s="1"/>
  <c r="J61" i="2" a="1"/>
  <c r="J61" i="2" s="1"/>
  <c r="E19" i="9" a="1"/>
  <c r="E19" i="9" s="1"/>
  <c r="J102" i="2" a="1"/>
  <c r="J102" i="2" s="1"/>
  <c r="J74" i="2" a="1"/>
  <c r="J74" i="2" s="1"/>
  <c r="E13" i="9" a="1"/>
  <c r="E13" i="9" s="1"/>
  <c r="E50" i="9" a="1"/>
  <c r="E50" i="9" s="1"/>
  <c r="J313" i="2" a="1"/>
  <c r="J313" i="2" s="1"/>
  <c r="E47" i="9" a="1"/>
  <c r="E47" i="9" s="1"/>
  <c r="J256" i="2" a="1"/>
  <c r="J256" i="2" s="1"/>
  <c r="E26" i="9" a="1"/>
  <c r="E26" i="9" s="1"/>
  <c r="J245" i="2" a="1"/>
  <c r="J245" i="2" s="1"/>
  <c r="J167" i="2" a="1"/>
  <c r="J167" i="2" s="1"/>
  <c r="E37" i="9" a="1"/>
  <c r="E37" i="9" s="1"/>
  <c r="J372" i="2" a="1"/>
  <c r="J372" i="2" s="1"/>
  <c r="E57" i="9" a="1"/>
  <c r="E57" i="9" s="1"/>
  <c r="E27" i="9" a="1"/>
  <c r="E27" i="9" s="1"/>
  <c r="J73" i="2" a="1"/>
  <c r="J73" i="2" s="1"/>
  <c r="E58" i="9" a="1"/>
  <c r="E58" i="9" s="1"/>
  <c r="J377" i="2" a="1"/>
  <c r="J377" i="2" s="1"/>
  <c r="E9" i="9" a="1"/>
  <c r="E9" i="9" s="1"/>
  <c r="J92" i="2" a="1"/>
  <c r="J92" i="2" s="1"/>
  <c r="E32" i="9" a="1"/>
  <c r="E32" i="9" s="1"/>
  <c r="J282" i="2" a="1"/>
  <c r="J282" i="2" s="1"/>
  <c r="E59" i="9" a="1"/>
  <c r="E59" i="9" s="1"/>
  <c r="J322" i="2" a="1"/>
  <c r="J322" i="2" s="1"/>
  <c r="E31" i="9" a="1"/>
  <c r="E31" i="9" s="1"/>
  <c r="J346" i="2" a="1"/>
  <c r="J346" i="2" s="1"/>
  <c r="E15" i="9" a="1"/>
  <c r="E15" i="9" s="1"/>
  <c r="J72" i="2" a="1"/>
  <c r="J72" i="2" s="1"/>
  <c r="E34" i="9" a="1"/>
  <c r="E34" i="9" s="1"/>
  <c r="J87" i="2" a="1"/>
  <c r="J87" i="2" s="1"/>
  <c r="E21" i="9" a="1"/>
  <c r="E21" i="9" s="1"/>
  <c r="J38" i="2" a="1"/>
  <c r="J38" i="2" s="1"/>
  <c r="J162" i="6" a="1"/>
  <c r="J162" i="6" s="1"/>
  <c r="J69" i="7" a="1"/>
  <c r="J69" i="7" s="1"/>
  <c r="J182" i="7" a="1"/>
  <c r="J182" i="7" s="1"/>
  <c r="F182" i="7" s="1" a="1"/>
  <c r="F182" i="7" s="1"/>
  <c r="K553" i="2" s="1" a="1"/>
  <c r="K553" i="2" s="1"/>
  <c r="J30" i="6" a="1"/>
  <c r="J30" i="6" s="1"/>
  <c r="J145" i="5" a="1"/>
  <c r="J145" i="5" s="1"/>
  <c r="F145" i="5" s="1" a="1"/>
  <c r="F145" i="5" s="1"/>
  <c r="J51" i="4" a="1"/>
  <c r="J51" i="4" s="1"/>
  <c r="J161" i="7" a="1"/>
  <c r="J161" i="7" s="1"/>
  <c r="J67" i="7" a="1"/>
  <c r="J67" i="7" s="1"/>
  <c r="J20" i="5" a="1"/>
  <c r="J20" i="5" s="1"/>
  <c r="F20" i="5" s="1" a="1"/>
  <c r="F20" i="5" s="1"/>
  <c r="J123" i="7" a="1"/>
  <c r="J123" i="7" s="1"/>
  <c r="F123" i="7" s="1" a="1"/>
  <c r="F123" i="7" s="1"/>
  <c r="K516" i="2" s="1" a="1"/>
  <c r="K516" i="2" s="1"/>
  <c r="J20" i="6" a="1"/>
  <c r="J20" i="6" s="1"/>
  <c r="J184" i="7" a="1"/>
  <c r="J184" i="7" s="1"/>
  <c r="F184" i="7" s="1" a="1"/>
  <c r="F184" i="7" s="1"/>
  <c r="K548" i="2" s="1" a="1"/>
  <c r="K548" i="2" s="1"/>
  <c r="J163" i="7" a="1"/>
  <c r="J163" i="7" s="1"/>
  <c r="J27" i="5" a="1"/>
  <c r="J27" i="5" s="1"/>
  <c r="F27" i="5" s="1" a="1"/>
  <c r="F27" i="5" s="1"/>
  <c r="K105" i="2" s="1" a="1"/>
  <c r="K105" i="2" s="1"/>
  <c r="J170" i="4" a="1"/>
  <c r="J170" i="4" s="1"/>
  <c r="J176" i="6" a="1"/>
  <c r="J176" i="6" s="1"/>
  <c r="J8" i="4" a="1"/>
  <c r="J8" i="4" s="1"/>
  <c r="J47" i="7" a="1"/>
  <c r="J47" i="7" s="1"/>
  <c r="J74" i="7" a="1"/>
  <c r="J74" i="7" s="1"/>
  <c r="J136" i="6" a="1"/>
  <c r="J136" i="6" s="1"/>
  <c r="J35" i="6" a="1"/>
  <c r="J35" i="6" s="1"/>
  <c r="J34" i="6" a="1"/>
  <c r="J34" i="6" s="1"/>
  <c r="J162" i="4" a="1"/>
  <c r="J162" i="4" s="1"/>
  <c r="J109" i="5" a="1"/>
  <c r="J109" i="5" s="1"/>
  <c r="F109" i="5" s="1" a="1"/>
  <c r="F109" i="5" s="1"/>
  <c r="J313" i="4" a="1"/>
  <c r="J313" i="4" s="1"/>
  <c r="J64" i="7" a="1"/>
  <c r="J64" i="7" s="1"/>
  <c r="F64" i="7" s="1" a="1"/>
  <c r="F64" i="7" s="1"/>
  <c r="K416" i="2" s="1" a="1"/>
  <c r="K416" i="2" s="1"/>
  <c r="J194" i="7" a="1"/>
  <c r="J194" i="7" s="1"/>
  <c r="J43" i="7" a="1"/>
  <c r="J43" i="7" s="1"/>
  <c r="F43" i="7" s="1" a="1"/>
  <c r="F43" i="7" s="1"/>
  <c r="K231" i="2" s="1" a="1"/>
  <c r="K231" i="2" s="1"/>
  <c r="J178" i="7" a="1"/>
  <c r="J178" i="7" s="1"/>
  <c r="F178" i="7" s="1" a="1"/>
  <c r="F178" i="7" s="1"/>
  <c r="K502" i="2" s="1" a="1"/>
  <c r="K502" i="2" s="1"/>
  <c r="J189" i="7" a="1"/>
  <c r="J189" i="7" s="1"/>
  <c r="J161" i="6" a="1"/>
  <c r="J161" i="6" s="1"/>
  <c r="J208" i="6" a="1"/>
  <c r="J208" i="6" s="1"/>
  <c r="J377" i="4" a="1"/>
  <c r="J377" i="4" s="1"/>
  <c r="J68" i="5" a="1"/>
  <c r="J68" i="5" s="1"/>
  <c r="J239" i="4" a="1"/>
  <c r="J239" i="4" s="1"/>
  <c r="J134" i="5" a="1"/>
  <c r="J134" i="5" s="1"/>
  <c r="F134" i="5" s="1" a="1"/>
  <c r="F134" i="5" s="1"/>
  <c r="J98" i="7" a="1"/>
  <c r="J98" i="7" s="1"/>
  <c r="J10" i="7" a="1"/>
  <c r="J10" i="7" s="1"/>
  <c r="J23" i="6" a="1"/>
  <c r="J23" i="6" s="1"/>
  <c r="J23" i="4" a="1"/>
  <c r="J23" i="4" s="1"/>
  <c r="J184" i="5" a="1"/>
  <c r="J184" i="5" s="1"/>
  <c r="E9" i="2" a="1"/>
  <c r="E9" i="2" s="1"/>
  <c r="C10" i="3" s="1" a="1"/>
  <c r="C10" i="3" s="1"/>
  <c r="J251" i="4" a="1"/>
  <c r="J251" i="4" s="1"/>
  <c r="J78" i="7" a="1"/>
  <c r="J78" i="7" s="1"/>
  <c r="J124" i="4" a="1"/>
  <c r="J124" i="4" s="1"/>
  <c r="J219" i="4" a="1"/>
  <c r="J219" i="4" s="1"/>
  <c r="J95" i="5" a="1"/>
  <c r="J95" i="5" s="1"/>
  <c r="F95" i="5" s="1" a="1"/>
  <c r="F95" i="5" s="1"/>
  <c r="J335" i="4" a="1"/>
  <c r="J335" i="4" s="1"/>
  <c r="J206" i="6" a="1"/>
  <c r="J206" i="6" s="1"/>
  <c r="J10" i="5" a="1"/>
  <c r="J10" i="5" s="1"/>
  <c r="F10" i="5" s="1" a="1"/>
  <c r="F10" i="5" s="1"/>
  <c r="K40" i="2" s="1" a="1"/>
  <c r="K40" i="2" s="1"/>
  <c r="J68" i="6" a="1"/>
  <c r="J68" i="6" s="1"/>
  <c r="J58" i="6" a="1"/>
  <c r="J58" i="6" s="1"/>
  <c r="J268" i="4" a="1"/>
  <c r="J268" i="4" s="1"/>
  <c r="J276" i="4" a="1"/>
  <c r="J276" i="4" s="1"/>
  <c r="J288" i="4" a="1"/>
  <c r="J288" i="4" s="1"/>
  <c r="J81" i="6" a="1"/>
  <c r="J81" i="6" s="1"/>
  <c r="J264" i="4" a="1"/>
  <c r="J264" i="4" s="1"/>
  <c r="J80" i="4" a="1"/>
  <c r="J80" i="4" s="1"/>
  <c r="J97" i="6" a="1"/>
  <c r="J97" i="6" s="1"/>
  <c r="J16" i="4" a="1"/>
  <c r="J16" i="4" s="1"/>
  <c r="F16" i="4" s="1" a="1"/>
  <c r="F16" i="4" s="1"/>
  <c r="J185" i="7" a="1"/>
  <c r="J185" i="7" s="1"/>
  <c r="J83" i="6" a="1"/>
  <c r="J83" i="6" s="1"/>
  <c r="J203" i="5" a="1"/>
  <c r="J203" i="5" s="1"/>
  <c r="F203" i="5" s="1" a="1"/>
  <c r="F203" i="5" s="1"/>
  <c r="K598" i="2" s="1" a="1"/>
  <c r="K598" i="2" s="1"/>
  <c r="J41" i="6" a="1"/>
  <c r="J41" i="6" s="1"/>
  <c r="J337" i="4" a="1"/>
  <c r="J337" i="4" s="1"/>
  <c r="J168" i="4" a="1"/>
  <c r="J168" i="4" s="1"/>
  <c r="J204" i="6" a="1"/>
  <c r="J204" i="6" s="1"/>
  <c r="F204" i="6" s="1" a="1"/>
  <c r="F204" i="6" s="1"/>
  <c r="K556" i="2" s="1" a="1"/>
  <c r="K556" i="2" s="1"/>
  <c r="J38" i="4" a="1"/>
  <c r="J38" i="4" s="1"/>
  <c r="J81" i="5" a="1"/>
  <c r="J81" i="5" s="1"/>
  <c r="F81" i="5" s="1" a="1"/>
  <c r="F81" i="5" s="1"/>
  <c r="K438" i="2" s="1" a="1"/>
  <c r="K438" i="2" s="1"/>
  <c r="J35" i="5" a="1"/>
  <c r="J35" i="5" s="1"/>
  <c r="F35" i="5" s="1" a="1"/>
  <c r="F35" i="5" s="1"/>
  <c r="K361" i="2" s="1" a="1"/>
  <c r="K361" i="2" s="1"/>
  <c r="J380" i="4" a="1"/>
  <c r="J380" i="4" s="1"/>
  <c r="J91" i="6" a="1"/>
  <c r="J91" i="6" s="1"/>
  <c r="J11" i="7" a="1"/>
  <c r="J11" i="7" s="1"/>
  <c r="J361" i="4" a="1"/>
  <c r="J361" i="4" s="1"/>
  <c r="J19" i="5" a="1"/>
  <c r="J19" i="5" s="1"/>
  <c r="F19" i="5" s="1" a="1"/>
  <c r="F19" i="5" s="1"/>
  <c r="K141" i="2" s="1" a="1"/>
  <c r="K141" i="2" s="1"/>
  <c r="J389" i="4" a="1"/>
  <c r="J389" i="4" s="1"/>
  <c r="J165" i="4" a="1"/>
  <c r="J165" i="4" s="1"/>
  <c r="J133" i="6" a="1"/>
  <c r="J133" i="6" s="1"/>
  <c r="J184" i="4" a="1"/>
  <c r="J184" i="4" s="1"/>
  <c r="J92" i="4" a="1"/>
  <c r="J92" i="4" s="1"/>
  <c r="F92" i="4" s="1" a="1"/>
  <c r="F92" i="4" s="1"/>
  <c r="J60" i="5" a="1"/>
  <c r="J60" i="5" s="1"/>
  <c r="J369" i="4" a="1"/>
  <c r="J369" i="4" s="1"/>
  <c r="F369" i="4" s="1" a="1"/>
  <c r="F369" i="4" s="1"/>
  <c r="J188" i="6" a="1"/>
  <c r="J188" i="6" s="1"/>
  <c r="J94" i="6" a="1"/>
  <c r="J94" i="6" s="1"/>
  <c r="J73" i="7" a="1"/>
  <c r="J73" i="7" s="1"/>
  <c r="F73" i="7" s="1" a="1"/>
  <c r="F73" i="7" s="1"/>
  <c r="K295" i="2" s="1" a="1"/>
  <c r="K295" i="2" s="1"/>
  <c r="J52" i="6" a="1"/>
  <c r="J52" i="6" s="1"/>
  <c r="J169" i="4" a="1"/>
  <c r="J169" i="4" s="1"/>
  <c r="J155" i="4" a="1"/>
  <c r="J155" i="4" s="1"/>
  <c r="J164" i="7" a="1"/>
  <c r="J164" i="7" s="1"/>
  <c r="J106" i="6" a="1"/>
  <c r="J106" i="6" s="1"/>
  <c r="F106" i="6" s="1" a="1"/>
  <c r="F106" i="6" s="1"/>
  <c r="K549" i="2" s="1" a="1"/>
  <c r="K549" i="2" s="1"/>
  <c r="J275" i="4" a="1"/>
  <c r="J275" i="4" s="1"/>
  <c r="F275" i="4" s="1" a="1"/>
  <c r="F275" i="4" s="1"/>
  <c r="J24" i="5" a="1"/>
  <c r="J24" i="5" s="1"/>
  <c r="F24" i="5" s="1" a="1"/>
  <c r="F24" i="5" s="1"/>
  <c r="K154" i="2" s="1" a="1"/>
  <c r="K154" i="2" s="1"/>
  <c r="J105" i="5" a="1"/>
  <c r="J105" i="5" s="1"/>
  <c r="J26" i="5" a="1"/>
  <c r="J26" i="5" s="1"/>
  <c r="F26" i="5" s="1" a="1"/>
  <c r="F26" i="5" s="1"/>
  <c r="J148" i="6" a="1"/>
  <c r="J148" i="6" s="1"/>
  <c r="J200" i="7" a="1"/>
  <c r="J200" i="7" s="1"/>
  <c r="J40" i="7" a="1"/>
  <c r="J40" i="7" s="1"/>
  <c r="J181" i="4" a="1"/>
  <c r="J181" i="4" s="1"/>
  <c r="J312" i="4" a="1"/>
  <c r="J312" i="4" s="1"/>
  <c r="J158" i="5" a="1"/>
  <c r="J158" i="5" s="1"/>
  <c r="F158" i="5" s="1" a="1"/>
  <c r="F158" i="5" s="1"/>
  <c r="J136" i="5" a="1"/>
  <c r="J136" i="5" s="1"/>
  <c r="F136" i="5" s="1" a="1"/>
  <c r="F136" i="5" s="1"/>
  <c r="K609" i="2" s="1" a="1"/>
  <c r="K609" i="2" s="1"/>
  <c r="J325" i="4" a="1"/>
  <c r="J325" i="4" s="1"/>
  <c r="J41" i="5" a="1"/>
  <c r="J41" i="5" s="1"/>
  <c r="F41" i="5" s="1" a="1"/>
  <c r="F41" i="5" s="1"/>
  <c r="K108" i="2" s="1" a="1"/>
  <c r="K108" i="2" s="1"/>
  <c r="J114" i="5" a="1"/>
  <c r="J114" i="5" s="1"/>
  <c r="F114" i="5" s="1" a="1"/>
  <c r="F114" i="5" s="1"/>
  <c r="J82" i="6" a="1"/>
  <c r="J82" i="6" s="1"/>
  <c r="J91" i="4" a="1"/>
  <c r="J91" i="4" s="1"/>
  <c r="J19" i="6" a="1"/>
  <c r="J19" i="6" s="1"/>
  <c r="J126" i="6" a="1"/>
  <c r="J126" i="6" s="1"/>
  <c r="J163" i="6" a="1"/>
  <c r="J163" i="6" s="1"/>
  <c r="J17" i="5" a="1"/>
  <c r="J17" i="5" s="1"/>
  <c r="F17" i="5" s="1" a="1"/>
  <c r="F17" i="5" s="1"/>
  <c r="J210" i="5" a="1"/>
  <c r="J210" i="5" s="1"/>
  <c r="F210" i="5" s="1" a="1"/>
  <c r="F210" i="5" s="1"/>
  <c r="K651" i="2" s="1" a="1"/>
  <c r="K651" i="2" s="1"/>
  <c r="J174" i="7" a="1"/>
  <c r="J174" i="7" s="1"/>
  <c r="F174" i="7" s="1" a="1"/>
  <c r="F174" i="7" s="1"/>
  <c r="K582" i="2" s="1" a="1"/>
  <c r="K582" i="2" s="1"/>
  <c r="J137" i="4" a="1"/>
  <c r="J137" i="4" s="1"/>
  <c r="J177" i="7" a="1"/>
  <c r="J177" i="7" s="1"/>
  <c r="J195" i="4" a="1"/>
  <c r="J195" i="4" s="1"/>
  <c r="J116" i="5" a="1"/>
  <c r="J116" i="5" s="1"/>
  <c r="F116" i="5" s="1" a="1"/>
  <c r="F116" i="5" s="1"/>
  <c r="K507" i="2" s="1" a="1"/>
  <c r="K507" i="2" s="1"/>
  <c r="J73" i="5" a="1"/>
  <c r="J73" i="5" s="1"/>
  <c r="F73" i="5" s="1" a="1"/>
  <c r="F73" i="5" s="1"/>
  <c r="J31" i="7" a="1"/>
  <c r="J31" i="7" s="1"/>
  <c r="J186" i="4" a="1"/>
  <c r="J186" i="4" s="1"/>
  <c r="J108" i="5" a="1"/>
  <c r="J108" i="5" s="1"/>
  <c r="F108" i="5" s="1" a="1"/>
  <c r="F108" i="5" s="1"/>
  <c r="K492" i="2" s="1" a="1"/>
  <c r="K492" i="2" s="1"/>
  <c r="J62" i="5" a="1"/>
  <c r="J62" i="5" s="1"/>
  <c r="F62" i="5" s="1" a="1"/>
  <c r="F62" i="5" s="1"/>
  <c r="K216" i="2" s="1" a="1"/>
  <c r="K216" i="2" s="1"/>
  <c r="J156" i="6" a="1"/>
  <c r="J156" i="6" s="1"/>
  <c r="J289" i="4" a="1"/>
  <c r="J289" i="4" s="1"/>
  <c r="J403" i="4" a="1"/>
  <c r="J403" i="4" s="1"/>
  <c r="J186" i="5" a="1"/>
  <c r="J186" i="5" s="1"/>
  <c r="J56" i="6" a="1"/>
  <c r="J56" i="6" s="1"/>
  <c r="J197" i="4" a="1"/>
  <c r="J197" i="4" s="1"/>
  <c r="F197" i="4" s="1" a="1"/>
  <c r="F197" i="4" s="1"/>
  <c r="J112" i="6" a="1"/>
  <c r="J112" i="6" s="1"/>
  <c r="J167" i="5" a="1"/>
  <c r="J167" i="5" s="1"/>
  <c r="F167" i="5" s="1" a="1"/>
  <c r="F167" i="5" s="1"/>
  <c r="J148" i="7" a="1"/>
  <c r="J148" i="7" s="1"/>
  <c r="F148" i="7" s="1" a="1"/>
  <c r="F148" i="7" s="1"/>
  <c r="K383" i="2" s="1" a="1"/>
  <c r="K383" i="2" s="1"/>
  <c r="J128" i="5" a="1"/>
  <c r="J128" i="5" s="1"/>
  <c r="J294" i="4" a="1"/>
  <c r="J294" i="4" s="1"/>
  <c r="J64" i="5" a="1"/>
  <c r="J64" i="5" s="1"/>
  <c r="J5" i="7" a="1"/>
  <c r="J5" i="7" s="1"/>
  <c r="J101" i="4" a="1"/>
  <c r="J101" i="4" s="1"/>
  <c r="F101" i="4" s="1" a="1"/>
  <c r="F101" i="4" s="1"/>
  <c r="J354" i="4" a="1"/>
  <c r="J354" i="4" s="1"/>
  <c r="F354" i="4" s="1" a="1"/>
  <c r="F354" i="4" s="1"/>
  <c r="J153" i="5" a="1"/>
  <c r="J153" i="5" s="1"/>
  <c r="F153" i="5" s="1" a="1"/>
  <c r="F153" i="5" s="1"/>
  <c r="J261" i="4" a="1"/>
  <c r="J261" i="4" s="1"/>
  <c r="J212" i="4" a="1"/>
  <c r="J212" i="4" s="1"/>
  <c r="F212" i="4" s="1" a="1"/>
  <c r="F212" i="4" s="1"/>
  <c r="J62" i="4" a="1"/>
  <c r="J62" i="4" s="1"/>
  <c r="F62" i="4" s="1" a="1"/>
  <c r="F62" i="4" s="1"/>
  <c r="J113" i="4" a="1"/>
  <c r="J113" i="4" s="1"/>
  <c r="F113" i="4" s="1" a="1"/>
  <c r="F113" i="4" s="1"/>
  <c r="J154" i="8" a="1"/>
  <c r="J154" i="8" s="1"/>
  <c r="J51" i="8" a="1"/>
  <c r="J51" i="8" s="1"/>
  <c r="F51" i="8" s="1" a="1"/>
  <c r="F51" i="8" s="1"/>
  <c r="K96" i="2" s="1" a="1"/>
  <c r="K96" i="2" s="1"/>
  <c r="J29" i="8" a="1"/>
  <c r="J29" i="8" s="1"/>
  <c r="J103" i="8" a="1"/>
  <c r="J103" i="8" s="1"/>
  <c r="J122" i="8" a="1"/>
  <c r="J122" i="8" s="1"/>
  <c r="J177" i="8" a="1"/>
  <c r="J177" i="8" s="1"/>
  <c r="J128" i="8" a="1"/>
  <c r="J128" i="8" s="1"/>
  <c r="F128" i="8" s="1" a="1"/>
  <c r="F128" i="8" s="1"/>
  <c r="K239" i="2" s="1" a="1"/>
  <c r="K239" i="2" s="1"/>
  <c r="J38" i="8" a="1"/>
  <c r="J38" i="8" s="1"/>
  <c r="J40" i="8" a="1"/>
  <c r="J40" i="8" s="1"/>
  <c r="J143" i="8" a="1"/>
  <c r="J143" i="8" s="1"/>
  <c r="F143" i="8" s="1" a="1"/>
  <c r="F143" i="8" s="1"/>
  <c r="K174" i="2" s="1" a="1"/>
  <c r="K174" i="2" s="1"/>
  <c r="J141" i="8" a="1"/>
  <c r="J141" i="8" s="1"/>
  <c r="J152" i="8" a="1"/>
  <c r="J152" i="8" s="1"/>
  <c r="J196" i="8" a="1"/>
  <c r="J196" i="8" s="1"/>
  <c r="J60" i="8" a="1"/>
  <c r="J60" i="8" s="1"/>
  <c r="J116" i="8" a="1"/>
  <c r="J116" i="8" s="1"/>
  <c r="F116" i="8" s="1" a="1"/>
  <c r="F116" i="8" s="1"/>
  <c r="K299" i="2" s="1" a="1"/>
  <c r="K299" i="2" s="1"/>
  <c r="J42" i="8" a="1"/>
  <c r="J42" i="8" s="1"/>
  <c r="J56" i="8" a="1"/>
  <c r="J56" i="8" s="1"/>
  <c r="J10" i="8" a="1"/>
  <c r="J10" i="8" s="1"/>
  <c r="J130" i="8" a="1"/>
  <c r="J130" i="8" s="1"/>
  <c r="J139" i="8" a="1"/>
  <c r="J139" i="8" s="1"/>
  <c r="F139" i="8" s="1" a="1"/>
  <c r="F139" i="8" s="1"/>
  <c r="K236" i="2" s="1" a="1"/>
  <c r="K236" i="2" s="1"/>
  <c r="J159" i="8" a="1"/>
  <c r="J159" i="8" s="1"/>
  <c r="J184" i="8" a="1"/>
  <c r="J184" i="8" s="1"/>
  <c r="J146" i="8" a="1"/>
  <c r="J146" i="8" s="1"/>
  <c r="F146" i="8" s="1" a="1"/>
  <c r="F146" i="8" s="1"/>
  <c r="K315" i="2" s="1" a="1"/>
  <c r="K315" i="2" s="1"/>
  <c r="J78" i="8" a="1"/>
  <c r="J78" i="8" s="1"/>
  <c r="J201" i="8" a="1"/>
  <c r="J201" i="8" s="1"/>
  <c r="F201" i="8" s="1" a="1"/>
  <c r="F201" i="8" s="1"/>
  <c r="K401" i="2" s="1" a="1"/>
  <c r="K401" i="2" s="1"/>
  <c r="J64" i="8" a="1"/>
  <c r="J64" i="8" s="1"/>
  <c r="J197" i="8" a="1"/>
  <c r="J197" i="8" s="1"/>
  <c r="J24" i="8" a="1"/>
  <c r="J24" i="8" s="1"/>
  <c r="J104" i="8" a="1"/>
  <c r="J104" i="8" s="1"/>
  <c r="J191" i="8" a="1"/>
  <c r="J191" i="8" s="1"/>
  <c r="J69" i="8" a="1"/>
  <c r="J69" i="8" s="1"/>
  <c r="J19" i="8" a="1"/>
  <c r="J19" i="8" s="1"/>
  <c r="J48" i="8" a="1"/>
  <c r="J48" i="8" s="1"/>
  <c r="J45" i="8" a="1"/>
  <c r="J45" i="8" s="1"/>
  <c r="J135" i="8" a="1"/>
  <c r="J135" i="8" s="1"/>
  <c r="J164" i="8" a="1"/>
  <c r="J164" i="8" s="1"/>
  <c r="J36" i="8" a="1"/>
  <c r="J36" i="8" s="1"/>
  <c r="J165" i="8" a="1"/>
  <c r="J165" i="8" s="1"/>
  <c r="J70" i="8" a="1"/>
  <c r="J70" i="8" s="1"/>
  <c r="J74" i="8" a="1"/>
  <c r="J74" i="8" s="1"/>
  <c r="J53" i="8" a="1"/>
  <c r="J53" i="8" s="1"/>
  <c r="J82" i="8" a="1"/>
  <c r="J82" i="8" s="1"/>
  <c r="J151" i="8" a="1"/>
  <c r="J151" i="8" s="1"/>
  <c r="F151" i="8" s="1" a="1"/>
  <c r="F151" i="8" s="1"/>
  <c r="K298" i="2" s="1" a="1"/>
  <c r="K298" i="2" s="1"/>
  <c r="J23" i="8" a="1"/>
  <c r="J23" i="8" s="1"/>
  <c r="J147" i="8" a="1"/>
  <c r="J147" i="8" s="1"/>
  <c r="J131" i="8" a="1"/>
  <c r="J131" i="8" s="1"/>
  <c r="J115" i="8" a="1"/>
  <c r="J115" i="8" s="1"/>
  <c r="J169" i="8" a="1"/>
  <c r="J169" i="8" s="1"/>
  <c r="J193" i="8" a="1"/>
  <c r="J193" i="8" s="1"/>
  <c r="J178" i="8" a="1"/>
  <c r="J178" i="8" s="1"/>
  <c r="J123" i="8" a="1"/>
  <c r="J123" i="8" s="1"/>
  <c r="J117" i="8" a="1"/>
  <c r="J117" i="8" s="1"/>
  <c r="J65" i="8" a="1"/>
  <c r="J65" i="8" s="1"/>
  <c r="J68" i="8" a="1"/>
  <c r="J68" i="8" s="1"/>
  <c r="J26" i="8" a="1"/>
  <c r="J26" i="8" s="1"/>
  <c r="J54" i="8" a="1"/>
  <c r="J54" i="8" s="1"/>
  <c r="J98" i="8" a="1"/>
  <c r="J98" i="8" s="1"/>
  <c r="J140" i="8" a="1"/>
  <c r="J140" i="8" s="1"/>
  <c r="F140" i="8" s="1" a="1"/>
  <c r="F140" i="8" s="1"/>
  <c r="K198" i="2" s="1" a="1"/>
  <c r="K198" i="2" s="1"/>
  <c r="J160" i="8" a="1"/>
  <c r="J160" i="8" s="1"/>
  <c r="J114" i="8" a="1"/>
  <c r="J114" i="8" s="1"/>
  <c r="J120" i="8" a="1"/>
  <c r="J120" i="8" s="1"/>
  <c r="J102" i="8" a="1"/>
  <c r="J102" i="8" s="1"/>
  <c r="J129" i="8" a="1"/>
  <c r="J129" i="8" s="1"/>
  <c r="J16" i="8" a="1"/>
  <c r="J16" i="8" s="1"/>
  <c r="J156" i="8" a="1"/>
  <c r="J156" i="8" s="1"/>
  <c r="J166" i="8" a="1"/>
  <c r="J166" i="8" s="1"/>
  <c r="J144" i="8" a="1"/>
  <c r="J144" i="8" s="1"/>
  <c r="J32" i="8" a="1"/>
  <c r="J32" i="8" s="1"/>
  <c r="F32" i="8" s="1" a="1"/>
  <c r="F32" i="8" s="1"/>
  <c r="K125" i="2" s="1" a="1"/>
  <c r="K125" i="2" s="1"/>
  <c r="J195" i="8" a="1"/>
  <c r="J195" i="8" s="1"/>
  <c r="J175" i="8" a="1"/>
  <c r="J175" i="8" s="1"/>
  <c r="F175" i="8" s="1" a="1"/>
  <c r="F175" i="8" s="1"/>
  <c r="K131" i="2" s="1" a="1"/>
  <c r="K131" i="2" s="1"/>
  <c r="J62" i="8" a="1"/>
  <c r="J62" i="8" s="1"/>
  <c r="J8" i="8" a="1"/>
  <c r="J8" i="8" s="1"/>
  <c r="J73" i="8" a="1"/>
  <c r="J73" i="8" s="1"/>
  <c r="F73" i="8" s="1" a="1"/>
  <c r="F73" i="8" s="1"/>
  <c r="K135" i="2" s="1" a="1"/>
  <c r="K135" i="2" s="1"/>
  <c r="J55" i="8" a="1"/>
  <c r="J55" i="8" s="1"/>
  <c r="J4" i="8" a="1"/>
  <c r="J4" i="8" s="1"/>
  <c r="J187" i="8" a="1"/>
  <c r="J187" i="8" s="1"/>
  <c r="F187" i="8" s="1" a="1"/>
  <c r="F187" i="8" s="1"/>
  <c r="K264" i="2" s="1" a="1"/>
  <c r="K264" i="2" s="1"/>
  <c r="J47" i="8" a="1"/>
  <c r="J47" i="8" s="1"/>
  <c r="J46" i="8" a="1"/>
  <c r="J46" i="8" s="1"/>
  <c r="F46" i="8" s="1" a="1"/>
  <c r="F46" i="8" s="1"/>
  <c r="K132" i="2" s="1" a="1"/>
  <c r="K132" i="2" s="1"/>
  <c r="J81" i="8" a="1"/>
  <c r="J81" i="8" s="1"/>
  <c r="J203" i="8" a="1"/>
  <c r="J203" i="8" s="1"/>
  <c r="F203" i="8" s="1" a="1"/>
  <c r="F203" i="8" s="1"/>
  <c r="K452" i="2" s="1" a="1"/>
  <c r="K452" i="2" s="1"/>
  <c r="J106" i="8" a="1"/>
  <c r="J106" i="8" s="1"/>
  <c r="J35" i="8" a="1"/>
  <c r="J35" i="8" s="1"/>
  <c r="J63" i="8" a="1"/>
  <c r="J63" i="8" s="1"/>
  <c r="J105" i="8" a="1"/>
  <c r="J105" i="8" s="1"/>
  <c r="J138" i="8" a="1"/>
  <c r="J138" i="8" s="1"/>
  <c r="J37" i="8" a="1"/>
  <c r="J37" i="8" s="1"/>
  <c r="J99" i="8" a="1"/>
  <c r="J99" i="8" s="1"/>
  <c r="J181" i="8" a="1"/>
  <c r="J181" i="8" s="1"/>
  <c r="F181" i="8" s="1" a="1"/>
  <c r="F181" i="8" s="1"/>
  <c r="K278" i="2" s="1" a="1"/>
  <c r="K278" i="2" s="1"/>
  <c r="J58" i="8" a="1"/>
  <c r="J58" i="8" s="1"/>
  <c r="J22" i="8" a="1"/>
  <c r="J22" i="8" s="1"/>
  <c r="F22" i="8" s="1" a="1"/>
  <c r="F22" i="8" s="1"/>
  <c r="K60" i="2" s="1" a="1"/>
  <c r="K60" i="2" s="1"/>
  <c r="J89" i="8" a="1"/>
  <c r="J89" i="8" s="1"/>
  <c r="J86" i="8" a="1"/>
  <c r="J86" i="8" s="1"/>
  <c r="J44" i="8" a="1"/>
  <c r="J44" i="8" s="1"/>
  <c r="J30" i="8" a="1"/>
  <c r="J30" i="8" s="1"/>
  <c r="J84" i="8" a="1"/>
  <c r="J84" i="8" s="1"/>
  <c r="J149" i="8" a="1"/>
  <c r="J149" i="8" s="1"/>
  <c r="F149" i="8" s="1" a="1"/>
  <c r="F149" i="8" s="1"/>
  <c r="K396" i="2" s="1" a="1"/>
  <c r="K396" i="2" s="1"/>
  <c r="J97" i="8" a="1"/>
  <c r="J97" i="8" s="1"/>
  <c r="J13" i="8" a="1"/>
  <c r="J13" i="8" s="1"/>
  <c r="J199" i="8" a="1"/>
  <c r="J199" i="8" s="1"/>
  <c r="J142" i="8" a="1"/>
  <c r="J142" i="8" s="1"/>
  <c r="F142" i="8" s="1" a="1"/>
  <c r="F142" i="8" s="1"/>
  <c r="K333" i="2" s="1" a="1"/>
  <c r="K333" i="2" s="1"/>
  <c r="J109" i="8" a="1"/>
  <c r="J109" i="8" s="1"/>
  <c r="F109" i="8" s="1" a="1"/>
  <c r="F109" i="8" s="1"/>
  <c r="K317" i="2" s="1" a="1"/>
  <c r="K317" i="2" s="1"/>
  <c r="J85" i="8" a="1"/>
  <c r="J85" i="8" s="1"/>
  <c r="J96" i="8" a="1"/>
  <c r="J96" i="8" s="1"/>
  <c r="J192" i="8" a="1"/>
  <c r="J192" i="8" s="1"/>
  <c r="J198" i="8" a="1"/>
  <c r="J198" i="8" s="1"/>
  <c r="J21" i="8" a="1"/>
  <c r="J21" i="8" s="1"/>
  <c r="J162" i="8" a="1"/>
  <c r="J162" i="8" s="1"/>
  <c r="J20" i="8" a="1"/>
  <c r="J20" i="8" s="1"/>
  <c r="J133" i="8" a="1"/>
  <c r="J133" i="8" s="1"/>
  <c r="J153" i="8" a="1"/>
  <c r="J153" i="8" s="1"/>
  <c r="J125" i="8" a="1"/>
  <c r="J125" i="8" s="1"/>
  <c r="J188" i="8" a="1"/>
  <c r="J188" i="8" s="1"/>
  <c r="J72" i="8" a="1"/>
  <c r="J72" i="8" s="1"/>
  <c r="J92" i="8" a="1"/>
  <c r="J92" i="8" s="1"/>
  <c r="J179" i="8" a="1"/>
  <c r="J179" i="8" s="1"/>
  <c r="F179" i="8" s="1" a="1"/>
  <c r="F179" i="8" s="1"/>
  <c r="K247" i="2" s="1" a="1"/>
  <c r="K247" i="2" s="1"/>
  <c r="J95" i="8" a="1"/>
  <c r="J95" i="8" s="1"/>
  <c r="J190" i="8" a="1"/>
  <c r="J190" i="8" s="1"/>
  <c r="J204" i="8" a="1"/>
  <c r="J204" i="8" s="1"/>
  <c r="J200" i="8" a="1"/>
  <c r="J200" i="8" s="1"/>
  <c r="J34" i="8" a="1"/>
  <c r="J34" i="8" s="1"/>
  <c r="J168" i="8" a="1"/>
  <c r="J168" i="8" s="1"/>
  <c r="J11" i="8" a="1"/>
  <c r="J11" i="8" s="1"/>
  <c r="J155" i="8" a="1"/>
  <c r="J155" i="8" s="1"/>
  <c r="J172" i="8" a="1"/>
  <c r="J172" i="8" s="1"/>
  <c r="F172" i="8" s="1" a="1"/>
  <c r="F172" i="8" s="1"/>
  <c r="K384" i="2" s="1" a="1"/>
  <c r="K384" i="2" s="1"/>
  <c r="J33" i="8" a="1"/>
  <c r="J33" i="8" s="1"/>
  <c r="J91" i="8" a="1"/>
  <c r="J91" i="8" s="1"/>
  <c r="F91" i="8" s="1" a="1"/>
  <c r="F91" i="8" s="1"/>
  <c r="K417" i="2" s="1" a="1"/>
  <c r="K417" i="2" s="1"/>
  <c r="J27" i="8" a="1"/>
  <c r="J27" i="8" s="1"/>
  <c r="F27" i="8" s="1" a="1"/>
  <c r="F27" i="8" s="1"/>
  <c r="K50" i="2" s="1" a="1"/>
  <c r="K50" i="2" s="1"/>
  <c r="J87" i="8" a="1"/>
  <c r="J87" i="8" s="1"/>
  <c r="J119" i="8" a="1"/>
  <c r="J119" i="8" s="1"/>
  <c r="J18" i="8" a="1"/>
  <c r="J18" i="8" s="1"/>
  <c r="J50" i="8" a="1"/>
  <c r="J50" i="8" s="1"/>
  <c r="J182" i="8" a="1"/>
  <c r="J182" i="8" s="1"/>
  <c r="J108" i="8" a="1"/>
  <c r="J108" i="8" s="1"/>
  <c r="J71" i="8" a="1"/>
  <c r="J71" i="8" s="1"/>
  <c r="J6" i="8" a="1"/>
  <c r="J6" i="8" s="1"/>
  <c r="J110" i="8" a="1"/>
  <c r="J110" i="8" s="1"/>
  <c r="J111" i="8" a="1"/>
  <c r="J111" i="8" s="1"/>
  <c r="F111" i="8" s="1" a="1"/>
  <c r="F111" i="8" s="1"/>
  <c r="K128" i="2" s="1" a="1"/>
  <c r="K128" i="2" s="1"/>
  <c r="J94" i="8" a="1"/>
  <c r="J94" i="8" s="1"/>
  <c r="J173" i="8" a="1"/>
  <c r="J173" i="8" s="1"/>
  <c r="F173" i="8" s="1" a="1"/>
  <c r="F173" i="8" s="1"/>
  <c r="K238" i="2" s="1" a="1"/>
  <c r="K238" i="2" s="1"/>
  <c r="J39" i="8" a="1"/>
  <c r="J39" i="8" s="1"/>
  <c r="J12" i="8" a="1"/>
  <c r="J12" i="8" s="1"/>
  <c r="J28" i="8" a="1"/>
  <c r="J28" i="8" s="1"/>
  <c r="J31" i="8" a="1"/>
  <c r="J31" i="8" s="1"/>
  <c r="J101" i="8" a="1"/>
  <c r="J101" i="8" s="1"/>
  <c r="J126" i="8" a="1"/>
  <c r="J126" i="8" s="1"/>
  <c r="F126" i="8" s="1" a="1"/>
  <c r="F126" i="8" s="1"/>
  <c r="K352" i="2" s="1" a="1"/>
  <c r="K352" i="2" s="1"/>
  <c r="J170" i="8" a="1"/>
  <c r="J170" i="8" s="1"/>
  <c r="J25" i="8" a="1"/>
  <c r="J25" i="8" s="1"/>
  <c r="J75" i="8" a="1"/>
  <c r="J75" i="8" s="1"/>
  <c r="J57" i="8" a="1"/>
  <c r="J57" i="8" s="1"/>
  <c r="J202" i="8" a="1"/>
  <c r="J202" i="8" s="1"/>
  <c r="J112" i="8" a="1"/>
  <c r="J112" i="8" s="1"/>
  <c r="J167" i="8" a="1"/>
  <c r="J167" i="8" s="1"/>
  <c r="J194" i="8" a="1"/>
  <c r="J194" i="8" s="1"/>
  <c r="J41" i="8" a="1"/>
  <c r="J41" i="8" s="1"/>
  <c r="J157" i="8" a="1"/>
  <c r="J157" i="8" s="1"/>
  <c r="J134" i="8" a="1"/>
  <c r="J134" i="8" s="1"/>
  <c r="J14" i="8" a="1"/>
  <c r="J14" i="8" s="1"/>
  <c r="J161" i="8" a="1"/>
  <c r="J161" i="8" s="1"/>
  <c r="J100" i="8" a="1"/>
  <c r="J100" i="8" s="1"/>
  <c r="F100" i="8" s="1" a="1"/>
  <c r="F100" i="8" s="1"/>
  <c r="K189" i="2" s="1" a="1"/>
  <c r="K189" i="2" s="1"/>
  <c r="J59" i="8" a="1"/>
  <c r="J59" i="8" s="1"/>
  <c r="F59" i="8" s="1" a="1"/>
  <c r="F59" i="8" s="1"/>
  <c r="K118" i="2" s="1" a="1"/>
  <c r="K118" i="2" s="1"/>
  <c r="J52" i="8" a="1"/>
  <c r="J52" i="8" s="1"/>
  <c r="F52" i="8" s="1" a="1"/>
  <c r="F52" i="8" s="1"/>
  <c r="K152" i="2" s="1" a="1"/>
  <c r="K152" i="2" s="1"/>
  <c r="J93" i="8" a="1"/>
  <c r="J93" i="8" s="1"/>
  <c r="J185" i="8" a="1"/>
  <c r="J185" i="8" s="1"/>
  <c r="J171" i="8" a="1"/>
  <c r="J171" i="8" s="1"/>
  <c r="J189" i="8" a="1"/>
  <c r="J189" i="8" s="1"/>
  <c r="F189" i="8" s="1" a="1"/>
  <c r="F189" i="8" s="1"/>
  <c r="K286" i="2" s="1" a="1"/>
  <c r="K286" i="2" s="1"/>
  <c r="J127" i="8" a="1"/>
  <c r="J127" i="8" s="1"/>
  <c r="F127" i="8" s="1" a="1"/>
  <c r="F127" i="8" s="1"/>
  <c r="K277" i="2" s="1" a="1"/>
  <c r="K277" i="2" s="1"/>
  <c r="J137" i="8" a="1"/>
  <c r="J137" i="8" s="1"/>
  <c r="J77" i="8" a="1"/>
  <c r="J77" i="8" s="1"/>
  <c r="J7" i="8" a="1"/>
  <c r="J7" i="8" s="1"/>
  <c r="F7" i="8" s="1" a="1"/>
  <c r="F7" i="8" s="1"/>
  <c r="K8" i="2" s="1" a="1"/>
  <c r="K8" i="2" s="1"/>
  <c r="J15" i="8" a="1"/>
  <c r="J15" i="8" s="1"/>
  <c r="F15" i="8" s="1" a="1"/>
  <c r="F15" i="8" s="1"/>
  <c r="K14" i="2" s="1" a="1"/>
  <c r="K14" i="2" s="1"/>
  <c r="J76" i="8" a="1"/>
  <c r="J76" i="8" s="1"/>
  <c r="J67" i="8" a="1"/>
  <c r="J67" i="8" s="1"/>
  <c r="J9" i="8" a="1"/>
  <c r="J9" i="8" s="1"/>
  <c r="J148" i="8" a="1"/>
  <c r="J148" i="8" s="1"/>
  <c r="J49" i="8" a="1"/>
  <c r="J49" i="8" s="1"/>
  <c r="J90" i="8" a="1"/>
  <c r="J90" i="8" s="1"/>
  <c r="J43" i="8" a="1"/>
  <c r="J43" i="8" s="1"/>
  <c r="J107" i="8" a="1"/>
  <c r="J107" i="8" s="1"/>
  <c r="F107" i="8" s="1" a="1"/>
  <c r="F107" i="8" s="1"/>
  <c r="K293" i="2" s="1" a="1"/>
  <c r="K293" i="2" s="1"/>
  <c r="J66" i="8" a="1"/>
  <c r="J66" i="8" s="1"/>
  <c r="J61" i="8" a="1"/>
  <c r="J61" i="8" s="1"/>
  <c r="F61" i="8" s="1" a="1"/>
  <c r="F61" i="8" s="1"/>
  <c r="K209" i="2" s="1" a="1"/>
  <c r="K209" i="2" s="1"/>
  <c r="J150" i="8" a="1"/>
  <c r="J150" i="8" s="1"/>
  <c r="F150" i="8" s="1" a="1"/>
  <c r="F150" i="8" s="1"/>
  <c r="K287" i="2" s="1" a="1"/>
  <c r="K287" i="2" s="1"/>
  <c r="J118" i="8" a="1"/>
  <c r="J118" i="8" s="1"/>
  <c r="J174" i="8" a="1"/>
  <c r="J174" i="8" s="1"/>
  <c r="J5" i="8" a="1"/>
  <c r="J5" i="8" s="1"/>
  <c r="J3" i="8" a="1"/>
  <c r="J3" i="8" s="1"/>
  <c r="J145" i="8" a="1"/>
  <c r="J145" i="8" s="1"/>
  <c r="J124" i="8" a="1"/>
  <c r="J124" i="8" s="1"/>
  <c r="J180" i="8" a="1"/>
  <c r="J180" i="8" s="1"/>
  <c r="J132" i="8" a="1"/>
  <c r="J132" i="8" s="1"/>
  <c r="J186" i="8" a="1"/>
  <c r="J186" i="8" s="1"/>
  <c r="J113" i="8" a="1"/>
  <c r="J113" i="8" s="1"/>
  <c r="J88" i="8" a="1"/>
  <c r="J88" i="8" s="1"/>
  <c r="J183" i="8" a="1"/>
  <c r="J183" i="8" s="1"/>
  <c r="J176" i="8" a="1"/>
  <c r="J176" i="8" s="1"/>
  <c r="J163" i="8" a="1"/>
  <c r="J163" i="8" s="1"/>
  <c r="J80" i="8" a="1"/>
  <c r="J80" i="8" s="1"/>
  <c r="F80" i="8" s="1" a="1"/>
  <c r="F80" i="8" s="1"/>
  <c r="K201" i="2" s="1" a="1"/>
  <c r="K201" i="2" s="1"/>
  <c r="J79" i="8" a="1"/>
  <c r="J79" i="8" s="1"/>
  <c r="J83" i="8" a="1"/>
  <c r="J83" i="8" s="1"/>
  <c r="J158" i="8" a="1"/>
  <c r="J158" i="8" s="1"/>
  <c r="J136" i="8" a="1"/>
  <c r="J136" i="8" s="1"/>
  <c r="J121" i="8" a="1"/>
  <c r="J121" i="8" s="1"/>
  <c r="J6" i="6" a="1"/>
  <c r="J6" i="6" s="1"/>
  <c r="J77" i="6" a="1"/>
  <c r="J77" i="6" s="1"/>
  <c r="J150" i="6" a="1"/>
  <c r="J150" i="6" s="1"/>
  <c r="J50" i="5" a="1"/>
  <c r="J50" i="5" s="1"/>
  <c r="F50" i="5" s="1" a="1"/>
  <c r="F50" i="5" s="1"/>
  <c r="K188" i="2" s="1" a="1"/>
  <c r="K188" i="2" s="1"/>
  <c r="J106" i="5" a="1"/>
  <c r="J106" i="5" s="1"/>
  <c r="F106" i="5" s="1" a="1"/>
  <c r="F106" i="5" s="1"/>
  <c r="J295" i="4" a="1"/>
  <c r="J295" i="4" s="1"/>
  <c r="J138" i="7" a="1"/>
  <c r="J138" i="7" s="1"/>
  <c r="F138" i="7" s="1" a="1"/>
  <c r="F138" i="7" s="1"/>
  <c r="K605" i="2" s="1" a="1"/>
  <c r="K605" i="2" s="1"/>
  <c r="J164" i="6" a="1"/>
  <c r="J164" i="6" s="1"/>
  <c r="J84" i="6" a="1"/>
  <c r="J84" i="6" s="1"/>
  <c r="J40" i="6" a="1"/>
  <c r="J40" i="6" s="1"/>
  <c r="J259" i="4" a="1"/>
  <c r="J259" i="4" s="1"/>
  <c r="F259" i="4" s="1" a="1"/>
  <c r="F259" i="4" s="1"/>
  <c r="J252" i="4" a="1"/>
  <c r="J252" i="4" s="1"/>
  <c r="F252" i="4" s="1" a="1"/>
  <c r="F252" i="4" s="1"/>
  <c r="E12" i="2" a="1"/>
  <c r="E12" i="2" s="1"/>
  <c r="J42" i="5" a="1"/>
  <c r="J42" i="5" s="1"/>
  <c r="F42" i="5" s="1" a="1"/>
  <c r="F42" i="5" s="1"/>
  <c r="K212" i="2" s="1" a="1"/>
  <c r="K212" i="2" s="1"/>
  <c r="J214" i="4" a="1"/>
  <c r="J214" i="4" s="1"/>
  <c r="J172" i="7" a="1"/>
  <c r="J172" i="7" s="1"/>
  <c r="F172" i="7" s="1" a="1"/>
  <c r="F172" i="7" s="1"/>
  <c r="K608" i="2" s="1" a="1"/>
  <c r="K608" i="2" s="1"/>
  <c r="J43" i="4" a="1"/>
  <c r="J43" i="4" s="1"/>
  <c r="F43" i="4" s="1" a="1"/>
  <c r="F43" i="4" s="1"/>
  <c r="J137" i="7" a="1"/>
  <c r="J137" i="7" s="1"/>
  <c r="F137" i="7" s="1" a="1"/>
  <c r="F137" i="7" s="1"/>
  <c r="K390" i="2" s="1" a="1"/>
  <c r="K390" i="2" s="1"/>
  <c r="J387" i="4" a="1"/>
  <c r="J387" i="4" s="1"/>
  <c r="J27" i="4" a="1"/>
  <c r="J27" i="4" s="1"/>
  <c r="F27" i="4" s="1" a="1"/>
  <c r="F27" i="4" s="1"/>
  <c r="J50" i="4" a="1"/>
  <c r="J50" i="4" s="1"/>
  <c r="J66" i="4" a="1"/>
  <c r="J66" i="4" s="1"/>
  <c r="F66" i="4" s="1" a="1"/>
  <c r="F66" i="4" s="1"/>
  <c r="J315" i="4" a="1"/>
  <c r="J315" i="4" s="1"/>
  <c r="J336" i="4" a="1"/>
  <c r="J336" i="4" s="1"/>
  <c r="J92" i="6" a="1"/>
  <c r="J92" i="6" s="1"/>
  <c r="J128" i="6" a="1"/>
  <c r="J128" i="6" s="1"/>
  <c r="J37" i="6" a="1"/>
  <c r="J37" i="6" s="1"/>
  <c r="J158" i="7" a="1"/>
  <c r="J158" i="7" s="1"/>
  <c r="J64" i="6" a="1"/>
  <c r="J64" i="6" s="1"/>
  <c r="J15" i="7" a="1"/>
  <c r="J15" i="7" s="1"/>
  <c r="J28" i="6" a="1"/>
  <c r="J28" i="6" s="1"/>
  <c r="J112" i="5" a="1"/>
  <c r="J112" i="5" s="1"/>
  <c r="F112" i="5" s="1" a="1"/>
  <c r="F112" i="5" s="1"/>
  <c r="K366" i="2" s="1" a="1"/>
  <c r="K366" i="2" s="1"/>
  <c r="J353" i="4" a="1"/>
  <c r="J353" i="4" s="1"/>
  <c r="F353" i="4" s="1" a="1"/>
  <c r="F353" i="4" s="1"/>
  <c r="J339" i="4" a="1"/>
  <c r="J339" i="4" s="1"/>
  <c r="J57" i="4" a="1"/>
  <c r="J57" i="4" s="1"/>
  <c r="F57" i="4" s="1" a="1"/>
  <c r="F57" i="4" s="1"/>
  <c r="J171" i="6" a="1"/>
  <c r="J171" i="6" s="1"/>
  <c r="J117" i="5" a="1"/>
  <c r="J117" i="5" s="1"/>
  <c r="J125" i="5" a="1"/>
  <c r="J125" i="5" s="1"/>
  <c r="J160" i="5" a="1"/>
  <c r="J160" i="5" s="1"/>
  <c r="F160" i="5" s="1" a="1"/>
  <c r="F160" i="5" s="1"/>
  <c r="J347" i="4" a="1"/>
  <c r="J347" i="4" s="1"/>
  <c r="F347" i="4" s="1" a="1"/>
  <c r="F347" i="4" s="1"/>
  <c r="J390" i="4" a="1"/>
  <c r="J390" i="4" s="1"/>
  <c r="J102" i="5" a="1"/>
  <c r="J102" i="5" s="1"/>
  <c r="J160" i="6" a="1"/>
  <c r="J160" i="6" s="1"/>
  <c r="J137" i="5" a="1"/>
  <c r="J137" i="5" s="1"/>
  <c r="F137" i="5" s="1" a="1"/>
  <c r="F137" i="5" s="1"/>
  <c r="K543" i="2" s="1" a="1"/>
  <c r="K543" i="2" s="1"/>
  <c r="J316" i="4" a="1"/>
  <c r="J316" i="4" s="1"/>
  <c r="F316" i="4" s="1" a="1"/>
  <c r="F316" i="4" s="1"/>
  <c r="J92" i="5" a="1"/>
  <c r="J92" i="5" s="1"/>
  <c r="F92" i="5" s="1" a="1"/>
  <c r="F92" i="5" s="1"/>
  <c r="J194" i="6" a="1"/>
  <c r="J194" i="6" s="1"/>
  <c r="J218" i="4" a="1"/>
  <c r="J218" i="4" s="1"/>
  <c r="F218" i="4" s="1" a="1"/>
  <c r="F218" i="4" s="1"/>
  <c r="J25" i="7" a="1"/>
  <c r="J25" i="7" s="1"/>
  <c r="F25" i="7" s="1" a="1"/>
  <c r="F25" i="7" s="1"/>
  <c r="K122" i="2" s="1" a="1"/>
  <c r="K122" i="2" s="1"/>
  <c r="J249" i="4" a="1"/>
  <c r="J249" i="4" s="1"/>
  <c r="F249" i="4" s="1" a="1"/>
  <c r="F249" i="4" s="1"/>
  <c r="J293" i="4" a="1"/>
  <c r="J293" i="4" s="1"/>
  <c r="F293" i="4" s="1" a="1"/>
  <c r="F293" i="4" s="1"/>
  <c r="J126" i="4" a="1"/>
  <c r="J126" i="4" s="1"/>
  <c r="F126" i="4" s="1" a="1"/>
  <c r="F126" i="4" s="1"/>
  <c r="J85" i="6" a="1"/>
  <c r="J85" i="6" s="1"/>
  <c r="J56" i="7" a="1"/>
  <c r="J56" i="7" s="1"/>
  <c r="J164" i="5" a="1"/>
  <c r="J164" i="5" s="1"/>
  <c r="F164" i="5" s="1" a="1"/>
  <c r="F164" i="5" s="1"/>
  <c r="K478" i="2" s="1" a="1"/>
  <c r="K478" i="2" s="1"/>
  <c r="J175" i="7" a="1"/>
  <c r="J175" i="7" s="1"/>
  <c r="F175" i="7" s="1" a="1"/>
  <c r="F175" i="7" s="1"/>
  <c r="K527" i="2" s="1" a="1"/>
  <c r="K527" i="2" s="1"/>
  <c r="J66" i="6" a="1"/>
  <c r="J66" i="6" s="1"/>
  <c r="F66" i="6" s="1" a="1"/>
  <c r="F66" i="6" s="1"/>
  <c r="K303" i="2" s="1" a="1"/>
  <c r="K303" i="2" s="1"/>
  <c r="J321" i="4" a="1"/>
  <c r="J321" i="4" s="1"/>
  <c r="J64" i="4" a="1"/>
  <c r="J64" i="4" s="1"/>
  <c r="F64" i="4" s="1" a="1"/>
  <c r="F64" i="4" s="1"/>
  <c r="J189" i="6" a="1"/>
  <c r="J189" i="6" s="1"/>
  <c r="J196" i="4" a="1"/>
  <c r="J196" i="4" s="1"/>
  <c r="F196" i="4" s="1" a="1"/>
  <c r="F196" i="4" s="1"/>
  <c r="J128" i="4" a="1"/>
  <c r="J128" i="4" s="1"/>
  <c r="F128" i="4" s="1" a="1"/>
  <c r="F128" i="4" s="1"/>
  <c r="J179" i="4" a="1"/>
  <c r="J179" i="4" s="1"/>
  <c r="F179" i="4" s="1" a="1"/>
  <c r="F179" i="4" s="1"/>
  <c r="J130" i="4" a="1"/>
  <c r="J130" i="4" s="1"/>
  <c r="J58" i="7" a="1"/>
  <c r="J58" i="7" s="1"/>
  <c r="F58" i="7" s="1" a="1"/>
  <c r="F58" i="7" s="1"/>
  <c r="K421" i="2" s="1" a="1"/>
  <c r="K421" i="2" s="1"/>
  <c r="J81" i="4" a="1"/>
  <c r="J81" i="4" s="1"/>
  <c r="F81" i="4" s="1" a="1"/>
  <c r="F81" i="4" s="1"/>
  <c r="J198" i="4" a="1"/>
  <c r="J198" i="4" s="1"/>
  <c r="J405" i="4" a="1"/>
  <c r="J405" i="4" s="1"/>
  <c r="J86" i="5" a="1"/>
  <c r="J86" i="5" s="1"/>
  <c r="F86" i="5" s="1" a="1"/>
  <c r="F86" i="5" s="1"/>
  <c r="J59" i="7" a="1"/>
  <c r="J59" i="7" s="1"/>
  <c r="F59" i="7" s="1" a="1"/>
  <c r="F59" i="7" s="1"/>
  <c r="K157" i="2" s="1" a="1"/>
  <c r="K157" i="2" s="1"/>
  <c r="J51" i="6" a="1"/>
  <c r="J51" i="6" s="1"/>
  <c r="J3" i="4" a="1"/>
  <c r="J3" i="4" s="1"/>
  <c r="J8" i="7" a="1"/>
  <c r="J8" i="7" s="1"/>
  <c r="F8" i="7" s="1" a="1"/>
  <c r="F8" i="7" s="1"/>
  <c r="K49" i="2" s="1" a="1"/>
  <c r="K49" i="2" s="1"/>
  <c r="J101" i="5" a="1"/>
  <c r="J101" i="5" s="1"/>
  <c r="F101" i="5" s="1" a="1"/>
  <c r="F101" i="5" s="1"/>
  <c r="J314" i="4" a="1"/>
  <c r="J314" i="4" s="1"/>
  <c r="F314" i="4" s="1" a="1"/>
  <c r="F314" i="4" s="1"/>
  <c r="J103" i="6" a="1"/>
  <c r="J103" i="6" s="1"/>
  <c r="J107" i="4" a="1"/>
  <c r="J107" i="4" s="1"/>
  <c r="J209" i="6" a="1"/>
  <c r="J209" i="6" s="1"/>
  <c r="J181" i="7" a="1"/>
  <c r="J181" i="7" s="1"/>
  <c r="F181" i="7" s="1" a="1"/>
  <c r="F181" i="7" s="1"/>
  <c r="K533" i="2" s="1" a="1"/>
  <c r="K533" i="2" s="1"/>
  <c r="J120" i="6" a="1"/>
  <c r="J120" i="6" s="1"/>
  <c r="J170" i="7" a="1"/>
  <c r="J170" i="7" s="1"/>
  <c r="J162" i="7" a="1"/>
  <c r="J162" i="7" s="1"/>
  <c r="F162" i="7" s="1" a="1"/>
  <c r="F162" i="7" s="1"/>
  <c r="K525" i="2" s="1" a="1"/>
  <c r="K525" i="2" s="1"/>
  <c r="J172" i="4" a="1"/>
  <c r="J172" i="4" s="1"/>
  <c r="F172" i="4" s="1" a="1"/>
  <c r="F172" i="4" s="1"/>
  <c r="J290" i="4" a="1"/>
  <c r="J290" i="4" s="1"/>
  <c r="F290" i="4" s="1" a="1"/>
  <c r="F290" i="4" s="1"/>
  <c r="J171" i="5" a="1"/>
  <c r="J171" i="5" s="1"/>
  <c r="F171" i="5" s="1" a="1"/>
  <c r="F171" i="5" s="1"/>
  <c r="J95" i="6" a="1"/>
  <c r="J95" i="6" s="1"/>
  <c r="J73" i="6" a="1"/>
  <c r="J73" i="6" s="1"/>
  <c r="J138" i="6" a="1"/>
  <c r="J138" i="6" s="1"/>
  <c r="J148" i="5" a="1"/>
  <c r="J148" i="5" s="1"/>
  <c r="F148" i="5" s="1" a="1"/>
  <c r="F148" i="5" s="1"/>
  <c r="J186" i="7" a="1"/>
  <c r="J186" i="7" s="1"/>
  <c r="F186" i="7" s="1" a="1"/>
  <c r="F186" i="7" s="1"/>
  <c r="K611" i="2" s="1" a="1"/>
  <c r="K611" i="2" s="1"/>
  <c r="J139" i="5" a="1"/>
  <c r="J139" i="5" s="1"/>
  <c r="J115" i="5" a="1"/>
  <c r="J115" i="5" s="1"/>
  <c r="F115" i="5" s="1" a="1"/>
  <c r="F115" i="5" s="1"/>
  <c r="J151" i="4" a="1"/>
  <c r="J151" i="4" s="1"/>
  <c r="F151" i="4" s="1" a="1"/>
  <c r="F151" i="4" s="1"/>
  <c r="J49" i="7" a="1"/>
  <c r="J49" i="7" s="1"/>
  <c r="F49" i="7" s="1" a="1"/>
  <c r="F49" i="7" s="1"/>
  <c r="K285" i="2" s="1" a="1"/>
  <c r="K285" i="2" s="1"/>
  <c r="E3" i="2" a="1"/>
  <c r="E3" i="2" s="1"/>
  <c r="J95" i="4" a="1"/>
  <c r="J95" i="4" s="1"/>
  <c r="F95" i="4" s="1" a="1"/>
  <c r="F95" i="4" s="1"/>
  <c r="J165" i="6" a="1"/>
  <c r="J165" i="6" s="1"/>
  <c r="F165" i="6" s="1" a="1"/>
  <c r="F165" i="6" s="1"/>
  <c r="J33" i="7" a="1"/>
  <c r="J33" i="7" s="1"/>
  <c r="F33" i="7" s="1" a="1"/>
  <c r="F33" i="7" s="1"/>
  <c r="K244" i="2" s="1" a="1"/>
  <c r="K244" i="2" s="1"/>
  <c r="J306" i="4" a="1"/>
  <c r="J306" i="4" s="1"/>
  <c r="F306" i="4" s="1" a="1"/>
  <c r="F306" i="4" s="1"/>
  <c r="J59" i="5" a="1"/>
  <c r="J59" i="5" s="1"/>
  <c r="F59" i="5" s="1" a="1"/>
  <c r="F59" i="5" s="1"/>
  <c r="K431" i="2" s="1" a="1"/>
  <c r="K431" i="2" s="1"/>
  <c r="J384" i="4" a="1"/>
  <c r="J384" i="4" s="1"/>
  <c r="F384" i="4" s="1" a="1"/>
  <c r="F384" i="4" s="1"/>
  <c r="J168" i="7" a="1"/>
  <c r="J168" i="7" s="1"/>
  <c r="F168" i="7" s="1" a="1"/>
  <c r="F168" i="7" s="1"/>
  <c r="K647" i="2" s="1" a="1"/>
  <c r="K647" i="2" s="1"/>
  <c r="J195" i="6" a="1"/>
  <c r="J195" i="6" s="1"/>
  <c r="F195" i="6" s="1" a="1"/>
  <c r="F195" i="6" s="1"/>
  <c r="K471" i="2" s="1" a="1"/>
  <c r="K471" i="2" s="1"/>
  <c r="J56" i="4" a="1"/>
  <c r="J56" i="4" s="1"/>
  <c r="F56" i="4" s="1" a="1"/>
  <c r="F56" i="4" s="1"/>
  <c r="J11" i="9" a="1"/>
  <c r="J11" i="9" s="1"/>
  <c r="J12" i="9" a="1"/>
  <c r="J12" i="9" s="1"/>
  <c r="J9" i="9" a="1"/>
  <c r="J9" i="9" s="1"/>
  <c r="J119" i="6" a="1"/>
  <c r="J119" i="6" s="1"/>
  <c r="F119" i="6" s="1" a="1"/>
  <c r="F119" i="6" s="1"/>
  <c r="J159" i="7" a="1"/>
  <c r="J159" i="7" s="1"/>
  <c r="F159" i="7" s="1" a="1"/>
  <c r="F159" i="7" s="1"/>
  <c r="K662" i="2" s="1" a="1"/>
  <c r="K662" i="2" s="1"/>
  <c r="J42" i="4" a="1"/>
  <c r="J42" i="4" s="1"/>
  <c r="J310" i="4" a="1"/>
  <c r="J310" i="4" s="1"/>
  <c r="F310" i="4" s="1" a="1"/>
  <c r="F310" i="4" s="1"/>
  <c r="J129" i="7" a="1"/>
  <c r="J129" i="7" s="1"/>
  <c r="F129" i="7" s="1" a="1"/>
  <c r="F129" i="7" s="1"/>
  <c r="K406" i="2" s="1" a="1"/>
  <c r="K406" i="2" s="1"/>
  <c r="J121" i="5" a="1"/>
  <c r="J121" i="5" s="1"/>
  <c r="F121" i="5" s="1" a="1"/>
  <c r="F121" i="5" s="1"/>
  <c r="J50" i="7" a="1"/>
  <c r="J50" i="7" s="1"/>
  <c r="F50" i="7" s="1" a="1"/>
  <c r="F50" i="7" s="1"/>
  <c r="K211" i="2" s="1" a="1"/>
  <c r="K211" i="2" s="1"/>
  <c r="J366" i="4" a="1"/>
  <c r="J366" i="4" s="1"/>
  <c r="J70" i="5" a="1"/>
  <c r="J70" i="5" s="1"/>
  <c r="F70" i="5" s="1" a="1"/>
  <c r="F70" i="5" s="1"/>
  <c r="K519" i="2" s="1" a="1"/>
  <c r="K519" i="2" s="1"/>
  <c r="J257" i="4" a="1"/>
  <c r="J257" i="4" s="1"/>
  <c r="F257" i="4" s="1" a="1"/>
  <c r="F257" i="4" s="1"/>
  <c r="J139" i="4" a="1"/>
  <c r="J139" i="4" s="1"/>
  <c r="F139" i="4" s="1" a="1"/>
  <c r="F139" i="4" s="1"/>
  <c r="J175" i="6" a="1"/>
  <c r="J175" i="6" s="1"/>
  <c r="F175" i="6" s="1" a="1"/>
  <c r="F175" i="6" s="1"/>
  <c r="K633" i="2" s="1" a="1"/>
  <c r="K633" i="2" s="1"/>
  <c r="J256" i="4" a="1"/>
  <c r="J256" i="4" s="1"/>
  <c r="J119" i="4" a="1"/>
  <c r="J119" i="4" s="1"/>
  <c r="F119" i="4" s="1" a="1"/>
  <c r="F119" i="4" s="1"/>
  <c r="J362" i="4" a="1"/>
  <c r="J362" i="4" s="1"/>
  <c r="J11" i="4" a="1"/>
  <c r="J11" i="4" s="1"/>
  <c r="F11" i="4" s="1" a="1"/>
  <c r="F11" i="4" s="1"/>
  <c r="J63" i="5" a="1"/>
  <c r="J63" i="5" s="1"/>
  <c r="F63" i="5" s="1" a="1"/>
  <c r="F63" i="5" s="1"/>
  <c r="J45" i="6" a="1"/>
  <c r="J45" i="6" s="1"/>
  <c r="F45" i="6" s="1" a="1"/>
  <c r="F45" i="6" s="1"/>
  <c r="K181" i="2" s="1" a="1"/>
  <c r="K181" i="2" s="1"/>
  <c r="J4" i="7" a="1"/>
  <c r="J4" i="7" s="1"/>
  <c r="F4" i="7" s="1" a="1"/>
  <c r="F4" i="7" s="1"/>
  <c r="K28" i="2" s="1" a="1"/>
  <c r="K28" i="2" s="1"/>
  <c r="J63" i="7" a="1"/>
  <c r="J63" i="7" s="1"/>
  <c r="F63" i="7" s="1" a="1"/>
  <c r="F63" i="7" s="1"/>
  <c r="K260" i="2" s="1" a="1"/>
  <c r="K260" i="2" s="1"/>
  <c r="J179" i="5" a="1"/>
  <c r="J179" i="5" s="1"/>
  <c r="F179" i="5" s="1" a="1"/>
  <c r="F179" i="5" s="1"/>
  <c r="J208" i="5" a="1"/>
  <c r="J208" i="5" s="1"/>
  <c r="F208" i="5" s="1" a="1"/>
  <c r="F208" i="5" s="1"/>
  <c r="K627" i="2" s="1" a="1"/>
  <c r="K627" i="2" s="1"/>
  <c r="J48" i="7" a="1"/>
  <c r="J48" i="7" s="1"/>
  <c r="F48" i="7" s="1" a="1"/>
  <c r="F48" i="7" s="1"/>
  <c r="K184" i="2" s="1" a="1"/>
  <c r="K184" i="2" s="1"/>
  <c r="J102" i="4" a="1"/>
  <c r="J102" i="4" s="1"/>
  <c r="F102" i="4" s="1" a="1"/>
  <c r="F102" i="4" s="1"/>
  <c r="J349" i="4" a="1"/>
  <c r="J349" i="4" s="1"/>
  <c r="F349" i="4" s="1" a="1"/>
  <c r="F349" i="4" s="1"/>
  <c r="J189" i="4" a="1"/>
  <c r="J189" i="4" s="1"/>
  <c r="F189" i="4" s="1" a="1"/>
  <c r="F189" i="4" s="1"/>
  <c r="J17" i="8" a="1"/>
  <c r="J17" i="8" s="1"/>
  <c r="J175" i="4" a="1"/>
  <c r="J175" i="4" s="1"/>
  <c r="F175" i="4" s="1" a="1"/>
  <c r="F175" i="4" s="1"/>
  <c r="J107" i="6" a="1"/>
  <c r="J107" i="6" s="1"/>
  <c r="F107" i="6" s="1" a="1"/>
  <c r="F107" i="6" s="1"/>
  <c r="J96" i="5" a="1"/>
  <c r="J96" i="5" s="1"/>
  <c r="F96" i="5" s="1" a="1"/>
  <c r="F96" i="5" s="1"/>
  <c r="J328" i="4" a="1"/>
  <c r="J328" i="4" s="1"/>
  <c r="F328" i="4" s="1" a="1"/>
  <c r="F328" i="4" s="1"/>
  <c r="J197" i="5" a="1"/>
  <c r="J197" i="5" s="1"/>
  <c r="F197" i="5" s="1" a="1"/>
  <c r="F197" i="5" s="1"/>
  <c r="J351" i="4" a="1"/>
  <c r="J351" i="4" s="1"/>
  <c r="F351" i="4" s="1" a="1"/>
  <c r="F351" i="4" s="1"/>
  <c r="J90" i="5" a="1"/>
  <c r="J90" i="5" s="1"/>
  <c r="J76" i="5" a="1"/>
  <c r="J76" i="5" s="1"/>
  <c r="F76" i="5" s="1" a="1"/>
  <c r="F76" i="5" s="1"/>
  <c r="K436" i="2" s="1" a="1"/>
  <c r="K436" i="2" s="1"/>
  <c r="J109" i="6" a="1"/>
  <c r="J109" i="6" s="1"/>
  <c r="F109" i="6" s="1" a="1"/>
  <c r="F109" i="6" s="1"/>
  <c r="J193" i="4" a="1"/>
  <c r="J193" i="4" s="1"/>
  <c r="F193" i="4" s="1" a="1"/>
  <c r="F193" i="4" s="1"/>
  <c r="J190" i="5" a="1"/>
  <c r="J190" i="5" s="1"/>
  <c r="F190" i="5" s="1" a="1"/>
  <c r="F190" i="5" s="1"/>
  <c r="J379" i="4" a="1"/>
  <c r="J379" i="4" s="1"/>
  <c r="F379" i="4" s="1" a="1"/>
  <c r="F379" i="4" s="1"/>
  <c r="J21" i="7" a="1"/>
  <c r="J21" i="7" s="1"/>
  <c r="F21" i="7" s="1" a="1"/>
  <c r="F21" i="7" s="1"/>
  <c r="K62" i="2" s="1" a="1"/>
  <c r="K62" i="2" s="1"/>
  <c r="J116" i="4" a="1"/>
  <c r="J116" i="4" s="1"/>
  <c r="J15" i="6" a="1"/>
  <c r="J15" i="6" s="1"/>
  <c r="J23" i="7" a="1"/>
  <c r="J23" i="7" s="1"/>
  <c r="F23" i="7" s="1" a="1"/>
  <c r="F23" i="7" s="1"/>
  <c r="K89" i="2" s="1" a="1"/>
  <c r="K89" i="2" s="1"/>
  <c r="J104" i="6" a="1"/>
  <c r="J104" i="6" s="1"/>
  <c r="J60" i="7" a="1"/>
  <c r="J60" i="7" s="1"/>
  <c r="F60" i="7" s="1" a="1"/>
  <c r="F60" i="7" s="1"/>
  <c r="K386" i="2" s="1" a="1"/>
  <c r="K386" i="2" s="1"/>
  <c r="J101" i="7" a="1"/>
  <c r="J101" i="7" s="1"/>
  <c r="F101" i="7" s="1" a="1"/>
  <c r="F101" i="7" s="1"/>
  <c r="K427" i="2" s="1" a="1"/>
  <c r="K427" i="2" s="1"/>
  <c r="J117" i="4" a="1"/>
  <c r="J117" i="4" s="1"/>
  <c r="J33" i="5" a="1"/>
  <c r="J33" i="5" s="1"/>
  <c r="F33" i="5" s="1" a="1"/>
  <c r="F33" i="5" s="1"/>
  <c r="K140" i="2" s="1" a="1"/>
  <c r="K140" i="2" s="1"/>
  <c r="J202" i="6" a="1"/>
  <c r="J202" i="6" s="1"/>
  <c r="F202" i="6" s="1" a="1"/>
  <c r="F202" i="6" s="1"/>
  <c r="K634" i="2" s="1" a="1"/>
  <c r="K634" i="2" s="1"/>
  <c r="J168" i="5" a="1"/>
  <c r="J168" i="5" s="1"/>
  <c r="F168" i="5" s="1" a="1"/>
  <c r="F168" i="5" s="1"/>
  <c r="K528" i="2" s="1" a="1"/>
  <c r="K528" i="2" s="1"/>
  <c r="J111" i="7" a="1"/>
  <c r="J111" i="7" s="1"/>
  <c r="J185" i="5" a="1"/>
  <c r="J185" i="5" s="1"/>
  <c r="F185" i="5" s="1" a="1"/>
  <c r="F185" i="5" s="1"/>
  <c r="J233" i="4" a="1"/>
  <c r="J233" i="4" s="1"/>
  <c r="F233" i="4" s="1" a="1"/>
  <c r="F233" i="4" s="1"/>
  <c r="J6" i="4" a="1"/>
  <c r="J6" i="4" s="1"/>
  <c r="F6" i="4" s="1" a="1"/>
  <c r="F6" i="4" s="1"/>
  <c r="J52" i="5" a="1"/>
  <c r="J52" i="5" s="1"/>
  <c r="F52" i="5" s="1" a="1"/>
  <c r="F52" i="5" s="1"/>
  <c r="J87" i="5" a="1"/>
  <c r="J87" i="5" s="1"/>
  <c r="F87" i="5" s="1" a="1"/>
  <c r="F87" i="5" s="1"/>
  <c r="J65" i="4" a="1"/>
  <c r="J65" i="4" s="1"/>
  <c r="F65" i="4" s="1" a="1"/>
  <c r="F65" i="4" s="1"/>
  <c r="J166" i="7" a="1"/>
  <c r="J166" i="7" s="1"/>
  <c r="F166" i="7" s="1" a="1"/>
  <c r="F166" i="7" s="1"/>
  <c r="K657" i="2" s="1" a="1"/>
  <c r="K657" i="2" s="1"/>
  <c r="J144" i="4" a="1"/>
  <c r="J144" i="4" s="1"/>
  <c r="J8" i="5" a="1"/>
  <c r="J8" i="5" s="1"/>
  <c r="F8" i="5" s="1" a="1"/>
  <c r="F8" i="5" s="1"/>
  <c r="K23" i="2" s="1" a="1"/>
  <c r="K23" i="2" s="1"/>
  <c r="J80" i="5" a="1"/>
  <c r="J80" i="5" s="1"/>
  <c r="F80" i="5" s="1" a="1"/>
  <c r="F80" i="5" s="1"/>
  <c r="J125" i="4" a="1"/>
  <c r="J125" i="4" s="1"/>
  <c r="F125" i="4" s="1" a="1"/>
  <c r="F125" i="4" s="1"/>
  <c r="J99" i="4" a="1"/>
  <c r="J99" i="4" s="1"/>
  <c r="F99" i="4" s="1" a="1"/>
  <c r="F99" i="4" s="1"/>
  <c r="J186" i="6" a="1"/>
  <c r="J186" i="6" s="1"/>
  <c r="J50" i="6" a="1"/>
  <c r="J50" i="6" s="1"/>
  <c r="F50" i="6" s="1" a="1"/>
  <c r="F50" i="6" s="1"/>
  <c r="J98" i="4" a="1"/>
  <c r="J98" i="4" s="1"/>
  <c r="F98" i="4" s="1" a="1"/>
  <c r="F98" i="4" s="1"/>
  <c r="J93" i="4" a="1"/>
  <c r="J93" i="4" s="1"/>
  <c r="F69" i="7" a="1"/>
  <c r="F69" i="7" s="1"/>
  <c r="K461" i="2" s="1" a="1"/>
  <c r="K461" i="2" s="1"/>
  <c r="J175" i="5" a="1"/>
  <c r="J175" i="5" s="1"/>
  <c r="F175" i="5" s="1" a="1"/>
  <c r="F175" i="5" s="1"/>
  <c r="K591" i="2" s="1" a="1"/>
  <c r="K591" i="2" s="1"/>
  <c r="J383" i="4" a="1"/>
  <c r="J383" i="4" s="1"/>
  <c r="F383" i="4" s="1" a="1"/>
  <c r="F383" i="4" s="1"/>
  <c r="J163" i="4" a="1"/>
  <c r="J163" i="4" s="1"/>
  <c r="F163" i="4" s="1" a="1"/>
  <c r="F163" i="4" s="1"/>
  <c r="J100" i="4" a="1"/>
  <c r="J100" i="4" s="1"/>
  <c r="J231" i="4" a="1"/>
  <c r="J231" i="4" s="1"/>
  <c r="F231" i="4" s="1" a="1"/>
  <c r="F231" i="4" s="1"/>
  <c r="J203" i="4" a="1"/>
  <c r="J203" i="4" s="1"/>
  <c r="F203" i="4" s="1" a="1"/>
  <c r="F203" i="4" s="1"/>
  <c r="J205" i="5" a="1"/>
  <c r="J205" i="5" s="1"/>
  <c r="F205" i="5" s="1" a="1"/>
  <c r="F205" i="5" s="1"/>
  <c r="J14" i="7" a="1"/>
  <c r="J14" i="7" s="1"/>
  <c r="F14" i="7" s="1" a="1"/>
  <c r="F14" i="7" s="1"/>
  <c r="K77" i="2" s="1" a="1"/>
  <c r="K77" i="2" s="1"/>
  <c r="J75" i="4" a="1"/>
  <c r="J75" i="4" s="1"/>
  <c r="F75" i="4" s="1" a="1"/>
  <c r="F75" i="4" s="1"/>
  <c r="J169" i="5" a="1"/>
  <c r="J169" i="5" s="1"/>
  <c r="F169" i="5" s="1" a="1"/>
  <c r="F169" i="5" s="1"/>
  <c r="J18" i="4" a="1"/>
  <c r="J18" i="4" s="1"/>
  <c r="F18" i="4" s="1" a="1"/>
  <c r="F18" i="4" s="1"/>
  <c r="J100" i="6" a="1"/>
  <c r="J100" i="6" s="1"/>
  <c r="F100" i="6" s="1" a="1"/>
  <c r="F100" i="6" s="1"/>
  <c r="K456" i="2" s="1" a="1"/>
  <c r="K456" i="2" s="1"/>
  <c r="J72" i="5" a="1"/>
  <c r="J72" i="5" s="1"/>
  <c r="F72" i="5" s="1" a="1"/>
  <c r="F72" i="5" s="1"/>
  <c r="J196" i="7" a="1"/>
  <c r="J196" i="7" s="1"/>
  <c r="F196" i="7" s="1" a="1"/>
  <c r="F196" i="7" s="1"/>
  <c r="K616" i="2" s="1" a="1"/>
  <c r="K616" i="2" s="1"/>
  <c r="J195" i="5" a="1"/>
  <c r="J195" i="5" s="1"/>
  <c r="F195" i="5" s="1" a="1"/>
  <c r="F195" i="5" s="1"/>
  <c r="K539" i="2" s="1" a="1"/>
  <c r="K539" i="2" s="1"/>
  <c r="J149" i="7" a="1"/>
  <c r="J149" i="7" s="1"/>
  <c r="F149" i="7" s="1" a="1"/>
  <c r="F149" i="7" s="1"/>
  <c r="K541" i="2" s="1" a="1"/>
  <c r="K541" i="2" s="1"/>
  <c r="J169" i="6" a="1"/>
  <c r="J169" i="6" s="1"/>
  <c r="F169" i="6" s="1" a="1"/>
  <c r="F169" i="6" s="1"/>
  <c r="J57" i="7" a="1"/>
  <c r="J57" i="7" s="1"/>
  <c r="F57" i="7" s="1" a="1"/>
  <c r="F57" i="7" s="1"/>
  <c r="K281" i="2" s="1" a="1"/>
  <c r="K281" i="2" s="1"/>
  <c r="J75" i="6" a="1"/>
  <c r="J75" i="6" s="1"/>
  <c r="F75" i="6" s="1" a="1"/>
  <c r="F75" i="6" s="1"/>
  <c r="K323" i="2" s="1" a="1"/>
  <c r="K323" i="2" s="1"/>
  <c r="J12" i="6" a="1"/>
  <c r="J12" i="6" s="1"/>
  <c r="J365" i="4" a="1"/>
  <c r="J365" i="4" s="1"/>
  <c r="F365" i="4" s="1" a="1"/>
  <c r="F365" i="4" s="1"/>
  <c r="J114" i="7" a="1"/>
  <c r="J114" i="7" s="1"/>
  <c r="F114" i="7" s="1" a="1"/>
  <c r="F114" i="7" s="1"/>
  <c r="K484" i="2" s="1" a="1"/>
  <c r="K484" i="2" s="1"/>
  <c r="J72" i="7" a="1"/>
  <c r="J72" i="7" s="1"/>
  <c r="J111" i="4" a="1"/>
  <c r="J111" i="4" s="1"/>
  <c r="F111" i="4" s="1" a="1"/>
  <c r="F111" i="4" s="1"/>
  <c r="J22" i="4" a="1"/>
  <c r="J22" i="4" s="1"/>
  <c r="F22" i="4" s="1" a="1"/>
  <c r="F22" i="4" s="1"/>
  <c r="J131" i="6" a="1"/>
  <c r="J131" i="6" s="1"/>
  <c r="F131" i="6" s="1" a="1"/>
  <c r="F131" i="6" s="1"/>
  <c r="K467" i="2" s="1" a="1"/>
  <c r="K467" i="2" s="1"/>
  <c r="J156" i="4" a="1"/>
  <c r="J156" i="4" s="1"/>
  <c r="F156" i="4" s="1" a="1"/>
  <c r="F156" i="4" s="1"/>
  <c r="J177" i="5" a="1"/>
  <c r="J177" i="5" s="1"/>
  <c r="J107" i="5" a="1"/>
  <c r="J107" i="5" s="1"/>
  <c r="F107" i="5" s="1" a="1"/>
  <c r="F107" i="5" s="1"/>
  <c r="J180" i="5" a="1"/>
  <c r="J180" i="5" s="1"/>
  <c r="F180" i="5" s="1" a="1"/>
  <c r="F180" i="5" s="1"/>
  <c r="J18" i="5" a="1"/>
  <c r="J18" i="5" s="1"/>
  <c r="F18" i="5" s="1" a="1"/>
  <c r="F18" i="5" s="1"/>
  <c r="K90" i="2" s="1" a="1"/>
  <c r="K90" i="2" s="1"/>
  <c r="J148" i="4" a="1"/>
  <c r="J148" i="4" s="1"/>
  <c r="F148" i="4" s="1" a="1"/>
  <c r="F148" i="4" s="1"/>
  <c r="J14" i="6" a="1"/>
  <c r="J14" i="6" s="1"/>
  <c r="F14" i="6" s="1" a="1"/>
  <c r="F14" i="6" s="1"/>
  <c r="K119" i="2" s="1" a="1"/>
  <c r="K119" i="2" s="1"/>
  <c r="J38" i="5" a="1"/>
  <c r="J38" i="5" s="1"/>
  <c r="J102" i="6" a="1"/>
  <c r="J102" i="6" s="1"/>
  <c r="F102" i="6" s="1" a="1"/>
  <c r="F102" i="6" s="1"/>
  <c r="J60" i="6" a="1"/>
  <c r="J60" i="6" s="1"/>
  <c r="J121" i="7" a="1"/>
  <c r="J121" i="7" s="1"/>
  <c r="F121" i="7" s="1" a="1"/>
  <c r="F121" i="7" s="1"/>
  <c r="K538" i="2" s="1" a="1"/>
  <c r="K538" i="2" s="1"/>
  <c r="J265" i="4" a="1"/>
  <c r="J265" i="4" s="1"/>
  <c r="J367" i="4" a="1"/>
  <c r="J367" i="4" s="1"/>
  <c r="F367" i="4" s="1" a="1"/>
  <c r="F367" i="4" s="1"/>
  <c r="J130" i="5" a="1"/>
  <c r="J130" i="5" s="1"/>
  <c r="F130" i="5" s="1" a="1"/>
  <c r="F130" i="5" s="1"/>
  <c r="J140" i="7" a="1"/>
  <c r="J140" i="7" s="1"/>
  <c r="F140" i="7" s="1" a="1"/>
  <c r="F140" i="7" s="1"/>
  <c r="K494" i="2" s="1" a="1"/>
  <c r="K494" i="2" s="1"/>
  <c r="J38" i="6" a="1"/>
  <c r="J38" i="6" s="1"/>
  <c r="F38" i="6" s="1" a="1"/>
  <c r="F38" i="6" s="1"/>
  <c r="K159" i="2" s="1" a="1"/>
  <c r="K159" i="2" s="1"/>
  <c r="J32" i="7" a="1"/>
  <c r="J32" i="7" s="1"/>
  <c r="F32" i="7" s="1" a="1"/>
  <c r="F32" i="7" s="1"/>
  <c r="K175" i="2" s="1" a="1"/>
  <c r="K175" i="2" s="1"/>
  <c r="J89" i="5" a="1"/>
  <c r="J89" i="5" s="1"/>
  <c r="F89" i="5" s="1" a="1"/>
  <c r="F89" i="5" s="1"/>
  <c r="J92" i="7" a="1"/>
  <c r="J92" i="7" s="1"/>
  <c r="J388" i="4" a="1"/>
  <c r="J388" i="4" s="1"/>
  <c r="F388" i="4" s="1" a="1"/>
  <c r="F388" i="4" s="1"/>
  <c r="J207" i="6" a="1"/>
  <c r="J207" i="6" s="1"/>
  <c r="F207" i="6" s="1" a="1"/>
  <c r="F207" i="6" s="1"/>
  <c r="J83" i="7" a="1"/>
  <c r="J83" i="7" s="1"/>
  <c r="F83" i="7" s="1" a="1"/>
  <c r="F83" i="7" s="1"/>
  <c r="K432" i="2" s="1" a="1"/>
  <c r="K432" i="2" s="1"/>
  <c r="J13" i="4" a="1"/>
  <c r="J13" i="4" s="1"/>
  <c r="F13" i="4" s="1" a="1"/>
  <c r="F13" i="4" s="1"/>
  <c r="J311" i="4" a="1"/>
  <c r="J311" i="4" s="1"/>
  <c r="F311" i="4" s="1" a="1"/>
  <c r="F311" i="4" s="1"/>
  <c r="J96" i="4" a="1"/>
  <c r="J96" i="4" s="1"/>
  <c r="F96" i="4" s="1" a="1"/>
  <c r="F96" i="4" s="1"/>
  <c r="J87" i="4" a="1"/>
  <c r="J87" i="4" s="1"/>
  <c r="F87" i="4" s="1" a="1"/>
  <c r="F87" i="4" s="1"/>
  <c r="J172" i="5" a="1"/>
  <c r="J172" i="5" s="1"/>
  <c r="F172" i="5" s="1" a="1"/>
  <c r="F172" i="5" s="1"/>
  <c r="J395" i="4" a="1"/>
  <c r="J395" i="4" s="1"/>
  <c r="F395" i="4" s="1" a="1"/>
  <c r="F395" i="4" s="1"/>
  <c r="J123" i="5" a="1"/>
  <c r="J123" i="5" s="1"/>
  <c r="F123" i="5" s="1" a="1"/>
  <c r="F123" i="5" s="1"/>
  <c r="K544" i="2" s="1" a="1"/>
  <c r="K544" i="2" s="1"/>
  <c r="J204" i="5" a="1"/>
  <c r="J204" i="5" s="1"/>
  <c r="F204" i="5" s="1" a="1"/>
  <c r="F204" i="5" s="1"/>
  <c r="K594" i="2" s="1" a="1"/>
  <c r="K594" i="2" s="1"/>
  <c r="J254" i="4" a="1"/>
  <c r="J254" i="4" s="1"/>
  <c r="F254" i="4" s="1" a="1"/>
  <c r="F254" i="4" s="1"/>
  <c r="J210" i="7" a="1"/>
  <c r="J210" i="7" s="1"/>
  <c r="F210" i="7" s="1" a="1"/>
  <c r="F210" i="7" s="1"/>
  <c r="K621" i="2" s="1" a="1"/>
  <c r="K621" i="2" s="1"/>
  <c r="J174" i="4" a="1"/>
  <c r="J174" i="4" s="1"/>
  <c r="F174" i="4" s="1" a="1"/>
  <c r="F174" i="4" s="1"/>
  <c r="J13" i="5" a="1"/>
  <c r="J13" i="5" s="1"/>
  <c r="J36" i="4" a="1"/>
  <c r="J36" i="4" s="1"/>
  <c r="F36" i="4" s="1" a="1"/>
  <c r="F36" i="4" s="1"/>
  <c r="J170" i="6" a="1"/>
  <c r="J170" i="6" s="1"/>
  <c r="F170" i="6" s="1" a="1"/>
  <c r="F170" i="6" s="1"/>
  <c r="J199" i="7" a="1"/>
  <c r="J199" i="7" s="1"/>
  <c r="F199" i="7" s="1" a="1"/>
  <c r="F199" i="7" s="1"/>
  <c r="K586" i="2" s="1" a="1"/>
  <c r="K586" i="2" s="1"/>
  <c r="J125" i="7" a="1"/>
  <c r="J125" i="7" s="1"/>
  <c r="F125" i="7" s="1" a="1"/>
  <c r="F125" i="7" s="1"/>
  <c r="K318" i="2" s="1" a="1"/>
  <c r="K318" i="2" s="1"/>
  <c r="J118" i="4" a="1"/>
  <c r="J118" i="4" s="1"/>
  <c r="F118" i="4" s="1" a="1"/>
  <c r="F118" i="4" s="1"/>
  <c r="J57" i="6" a="1"/>
  <c r="J57" i="6" s="1"/>
  <c r="F57" i="6" s="1" a="1"/>
  <c r="F57" i="6" s="1"/>
  <c r="J194" i="5" a="1"/>
  <c r="J194" i="5" s="1"/>
  <c r="F194" i="5" s="1" a="1"/>
  <c r="F194" i="5" s="1"/>
  <c r="K622" i="2" s="1" a="1"/>
  <c r="K622" i="2" s="1"/>
  <c r="J245" i="4" a="1"/>
  <c r="J245" i="4" s="1"/>
  <c r="F245" i="4" s="1" a="1"/>
  <c r="F245" i="4" s="1"/>
  <c r="J302" i="4" a="1"/>
  <c r="J302" i="4" s="1"/>
  <c r="F302" i="4" s="1" a="1"/>
  <c r="F302" i="4" s="1"/>
  <c r="J84" i="4" a="1"/>
  <c r="J84" i="4" s="1"/>
  <c r="F84" i="4" s="1" a="1"/>
  <c r="F84" i="4" s="1"/>
  <c r="J116" i="7" a="1"/>
  <c r="J116" i="7" s="1"/>
  <c r="F116" i="7" s="1" a="1"/>
  <c r="F116" i="7" s="1"/>
  <c r="K447" i="2" s="1" a="1"/>
  <c r="K447" i="2" s="1"/>
  <c r="F268" i="4" a="1"/>
  <c r="F268" i="4" s="1"/>
  <c r="J173" i="6" a="1"/>
  <c r="J173" i="6" s="1"/>
  <c r="J74" i="4" a="1"/>
  <c r="J74" i="4" s="1"/>
  <c r="F67" i="7" a="1"/>
  <c r="F67" i="7" s="1"/>
  <c r="K446" i="2" s="1" a="1"/>
  <c r="K446" i="2" s="1"/>
  <c r="J99" i="5" a="1"/>
  <c r="J99" i="5" s="1"/>
  <c r="F99" i="5" s="1" a="1"/>
  <c r="F99" i="5" s="1"/>
  <c r="J91" i="5" a="1"/>
  <c r="J91" i="5" s="1"/>
  <c r="J154" i="4" a="1"/>
  <c r="J154" i="4" s="1"/>
  <c r="F154" i="4" s="1" a="1"/>
  <c r="F154" i="4" s="1"/>
  <c r="J14" i="4" a="1"/>
  <c r="J14" i="4" s="1"/>
  <c r="F14" i="4" s="1" a="1"/>
  <c r="F14" i="4" s="1"/>
  <c r="J67" i="5" a="1"/>
  <c r="J67" i="5" s="1"/>
  <c r="F67" i="5" s="1" a="1"/>
  <c r="F67" i="5" s="1"/>
  <c r="K329" i="2" s="1" a="1"/>
  <c r="K329" i="2" s="1"/>
  <c r="J151" i="5" a="1"/>
  <c r="J151" i="5" s="1"/>
  <c r="J199" i="5" a="1"/>
  <c r="J199" i="5" s="1"/>
  <c r="F199" i="5" s="1" a="1"/>
  <c r="F199" i="5" s="1"/>
  <c r="J124" i="5" a="1"/>
  <c r="J124" i="5" s="1"/>
  <c r="F124" i="5" s="1" a="1"/>
  <c r="F124" i="5" s="1"/>
  <c r="K589" i="2" s="1" a="1"/>
  <c r="K589" i="2" s="1"/>
  <c r="J45" i="5" a="1"/>
  <c r="J45" i="5" s="1"/>
  <c r="F45" i="5" s="1" a="1"/>
  <c r="F45" i="5" s="1"/>
  <c r="J376" i="4" a="1"/>
  <c r="J376" i="4" s="1"/>
  <c r="F376" i="4" s="1" a="1"/>
  <c r="F376" i="4" s="1"/>
  <c r="F23" i="4" a="1"/>
  <c r="F23" i="4" s="1"/>
  <c r="J198" i="7" a="1"/>
  <c r="J198" i="7" s="1"/>
  <c r="F198" i="7" s="1" a="1"/>
  <c r="F198" i="7" s="1"/>
  <c r="K656" i="2" s="1" a="1"/>
  <c r="K656" i="2" s="1"/>
  <c r="J330" i="4" a="1"/>
  <c r="J330" i="4" s="1"/>
  <c r="J76" i="7" a="1"/>
  <c r="J76" i="7" s="1"/>
  <c r="F76" i="7" s="1" a="1"/>
  <c r="F76" i="7" s="1"/>
  <c r="K269" i="2" s="1" a="1"/>
  <c r="K269" i="2" s="1"/>
  <c r="J145" i="6" a="1"/>
  <c r="J145" i="6" s="1"/>
  <c r="F145" i="6" s="1" a="1"/>
  <c r="F145" i="6" s="1"/>
  <c r="K561" i="2" s="1" a="1"/>
  <c r="K561" i="2" s="1"/>
  <c r="J77" i="7" a="1"/>
  <c r="J77" i="7" s="1"/>
  <c r="F77" i="7" s="1" a="1"/>
  <c r="F77" i="7" s="1"/>
  <c r="K399" i="2" s="1" a="1"/>
  <c r="K399" i="2" s="1"/>
  <c r="J130" i="7" a="1"/>
  <c r="J130" i="7" s="1"/>
  <c r="F130" i="7" s="1" a="1"/>
  <c r="F130" i="7" s="1"/>
  <c r="K585" i="2" s="1" a="1"/>
  <c r="K585" i="2" s="1"/>
  <c r="J122" i="6" a="1"/>
  <c r="J122" i="6" s="1"/>
  <c r="F122" i="6" s="1" a="1"/>
  <c r="F122" i="6" s="1"/>
  <c r="J221" i="4" a="1"/>
  <c r="J221" i="4" s="1"/>
  <c r="F221" i="4" s="1" a="1"/>
  <c r="F221" i="4" s="1"/>
  <c r="J113" i="7" a="1"/>
  <c r="J113" i="7" s="1"/>
  <c r="F113" i="7" s="1" a="1"/>
  <c r="F113" i="7" s="1"/>
  <c r="K547" i="2" s="1" a="1"/>
  <c r="K547" i="2" s="1"/>
  <c r="J300" i="4" a="1"/>
  <c r="J300" i="4" s="1"/>
  <c r="F300" i="4" s="1" a="1"/>
  <c r="F300" i="4" s="1"/>
  <c r="J54" i="9" a="1"/>
  <c r="J54" i="9" s="1"/>
  <c r="J177" i="4" a="1"/>
  <c r="J177" i="4" s="1"/>
  <c r="F177" i="4" s="1" a="1"/>
  <c r="F177" i="4" s="1"/>
  <c r="J147" i="5" a="1"/>
  <c r="J147" i="5" s="1"/>
  <c r="F147" i="5" s="1" a="1"/>
  <c r="F147" i="5" s="1"/>
  <c r="J128" i="7" a="1"/>
  <c r="J128" i="7" s="1"/>
  <c r="F128" i="7" s="1" a="1"/>
  <c r="F128" i="7" s="1"/>
  <c r="K663" i="2" s="1" a="1"/>
  <c r="K663" i="2" s="1"/>
  <c r="J193" i="5" a="1"/>
  <c r="J193" i="5" s="1"/>
  <c r="J41" i="4" a="1"/>
  <c r="J41" i="4" s="1"/>
  <c r="F41" i="4" s="1" a="1"/>
  <c r="F41" i="4" s="1"/>
  <c r="J106" i="4" a="1"/>
  <c r="J106" i="4" s="1"/>
  <c r="F106" i="4" s="1" a="1"/>
  <c r="F106" i="4" s="1"/>
  <c r="J104" i="7" a="1"/>
  <c r="J104" i="7" s="1"/>
  <c r="F104" i="7" s="1" a="1"/>
  <c r="F104" i="7" s="1"/>
  <c r="K483" i="2" s="1" a="1"/>
  <c r="K483" i="2" s="1"/>
  <c r="J39" i="4" a="1"/>
  <c r="J39" i="4" s="1"/>
  <c r="F39" i="4" s="1" a="1"/>
  <c r="F39" i="4" s="1"/>
  <c r="J191" i="4" a="1"/>
  <c r="J191" i="4" s="1"/>
  <c r="F191" i="4" s="1" a="1"/>
  <c r="F191" i="4" s="1"/>
  <c r="J55" i="6" a="1"/>
  <c r="J55" i="6" s="1"/>
  <c r="F55" i="6" s="1" a="1"/>
  <c r="F55" i="6" s="1"/>
  <c r="J84" i="5" a="1"/>
  <c r="J84" i="5" s="1"/>
  <c r="F84" i="5" s="1" a="1"/>
  <c r="F84" i="5" s="1"/>
  <c r="K305" i="2" s="1" a="1"/>
  <c r="K305" i="2" s="1"/>
  <c r="J91" i="7" a="1"/>
  <c r="J91" i="7" s="1"/>
  <c r="F91" i="7" s="1" a="1"/>
  <c r="F91" i="7" s="1"/>
  <c r="K551" i="2" s="1" a="1"/>
  <c r="K551" i="2" s="1"/>
  <c r="J103" i="5" a="1"/>
  <c r="J103" i="5" s="1"/>
  <c r="F103" i="5" s="1" a="1"/>
  <c r="F103" i="5" s="1"/>
  <c r="J61" i="4" a="1"/>
  <c r="J61" i="4" s="1"/>
  <c r="J85" i="5" a="1"/>
  <c r="J85" i="5" s="1"/>
  <c r="F85" i="5" s="1" a="1"/>
  <c r="F85" i="5" s="1"/>
  <c r="J205" i="7" a="1"/>
  <c r="J205" i="7" s="1"/>
  <c r="F205" i="7" s="1" a="1"/>
  <c r="F205" i="7" s="1"/>
  <c r="K638" i="2" s="1" a="1"/>
  <c r="K638" i="2" s="1"/>
  <c r="J382" i="4" a="1"/>
  <c r="J382" i="4" s="1"/>
  <c r="F382" i="4" s="1" a="1"/>
  <c r="F382" i="4" s="1"/>
  <c r="J21" i="6" a="1"/>
  <c r="J21" i="6" s="1"/>
  <c r="F21" i="6" s="1" a="1"/>
  <c r="F21" i="6" s="1"/>
  <c r="K88" i="2" s="1" a="1"/>
  <c r="K88" i="2" s="1"/>
  <c r="J38" i="9" a="1"/>
  <c r="J38" i="9" s="1"/>
  <c r="J200" i="5" a="1"/>
  <c r="J200" i="5" s="1"/>
  <c r="F200" i="5" s="1" a="1"/>
  <c r="F200" i="5" s="1"/>
  <c r="J152" i="6" a="1"/>
  <c r="J152" i="6" s="1"/>
  <c r="F152" i="6" s="1" a="1"/>
  <c r="F152" i="6" s="1"/>
  <c r="K487" i="2" s="1" a="1"/>
  <c r="K487" i="2" s="1"/>
  <c r="J120" i="7" a="1"/>
  <c r="J120" i="7" s="1"/>
  <c r="J78" i="5" a="1"/>
  <c r="J78" i="5" s="1"/>
  <c r="F78" i="5" s="1" a="1"/>
  <c r="F78" i="5" s="1"/>
  <c r="J52" i="4" a="1"/>
  <c r="J52" i="4" s="1"/>
  <c r="F52" i="4" s="1" a="1"/>
  <c r="F52" i="4" s="1"/>
  <c r="J103" i="4" a="1"/>
  <c r="J103" i="4" s="1"/>
  <c r="F103" i="4" s="1" a="1"/>
  <c r="F103" i="4" s="1"/>
  <c r="J172" i="6" a="1"/>
  <c r="J172" i="6" s="1"/>
  <c r="F172" i="6" s="1" a="1"/>
  <c r="F172" i="6" s="1"/>
  <c r="J202" i="4" a="1"/>
  <c r="J202" i="4" s="1"/>
  <c r="F9" i="8" a="1"/>
  <c r="F9" i="8" s="1"/>
  <c r="K13" i="2" s="1" a="1"/>
  <c r="K13" i="2" s="1"/>
  <c r="F251" i="4" a="1"/>
  <c r="F251" i="4" s="1"/>
  <c r="J228" i="4" a="1"/>
  <c r="J228" i="4" s="1"/>
  <c r="F228" i="4" s="1" a="1"/>
  <c r="F228" i="4" s="1"/>
  <c r="J21" i="5" a="1"/>
  <c r="J21" i="5" s="1"/>
  <c r="F21" i="5" s="1" a="1"/>
  <c r="F21" i="5" s="1"/>
  <c r="K130" i="2" s="1" a="1"/>
  <c r="K130" i="2" s="1"/>
  <c r="J160" i="7" a="1"/>
  <c r="J160" i="7" s="1"/>
  <c r="F160" i="7" s="1" a="1"/>
  <c r="F160" i="7" s="1"/>
  <c r="K495" i="2" s="1" a="1"/>
  <c r="K495" i="2" s="1"/>
  <c r="J72" i="6" a="1"/>
  <c r="J72" i="6" s="1"/>
  <c r="F72" i="6" s="1" a="1"/>
  <c r="F72" i="6" s="1"/>
  <c r="K464" i="2" s="1" a="1"/>
  <c r="K464" i="2" s="1"/>
  <c r="J211" i="4" a="1"/>
  <c r="J211" i="4" s="1"/>
  <c r="F211" i="4" s="1" a="1"/>
  <c r="F211" i="4" s="1"/>
  <c r="J97" i="4" a="1"/>
  <c r="J97" i="4" s="1"/>
  <c r="F97" i="4" s="1" a="1"/>
  <c r="F97" i="4" s="1"/>
  <c r="J154" i="6" a="1"/>
  <c r="J154" i="6" s="1"/>
  <c r="J141" i="7" a="1"/>
  <c r="J141" i="7" s="1"/>
  <c r="F141" i="7" s="1" a="1"/>
  <c r="F141" i="7" s="1"/>
  <c r="K661" i="2" s="1" a="1"/>
  <c r="K661" i="2" s="1"/>
  <c r="J73" i="4" a="1"/>
  <c r="J73" i="4" s="1"/>
  <c r="F73" i="4" s="1" a="1"/>
  <c r="F73" i="4" s="1"/>
  <c r="J317" i="4" a="1"/>
  <c r="J317" i="4" s="1"/>
  <c r="F317" i="4" s="1" a="1"/>
  <c r="F317" i="4" s="1"/>
  <c r="J28" i="9" a="1"/>
  <c r="J28" i="9" s="1"/>
  <c r="J57" i="9" a="1"/>
  <c r="J57" i="9" s="1"/>
  <c r="J206" i="4" a="1"/>
  <c r="J206" i="4" s="1"/>
  <c r="F206" i="4" s="1" a="1"/>
  <c r="F206" i="4" s="1"/>
  <c r="J45" i="4" a="1"/>
  <c r="J45" i="4" s="1"/>
  <c r="F45" i="4" s="1" a="1"/>
  <c r="F45" i="4" s="1"/>
  <c r="J78" i="4" a="1"/>
  <c r="J78" i="4" s="1"/>
  <c r="F78" i="4" s="1" a="1"/>
  <c r="F78" i="4" s="1"/>
  <c r="J31" i="6" a="1"/>
  <c r="J31" i="6" s="1"/>
  <c r="F31" i="6" s="1" a="1"/>
  <c r="F31" i="6" s="1"/>
  <c r="J183" i="7" a="1"/>
  <c r="J183" i="7" s="1"/>
  <c r="J110" i="6" a="1"/>
  <c r="J110" i="6" s="1"/>
  <c r="J140" i="6" a="1"/>
  <c r="J140" i="6" s="1"/>
  <c r="F140" i="6" s="1" a="1"/>
  <c r="F140" i="6" s="1"/>
  <c r="J135" i="6" a="1"/>
  <c r="J135" i="6" s="1"/>
  <c r="F135" i="6" s="1" a="1"/>
  <c r="F135" i="6" s="1"/>
  <c r="K503" i="2" s="1" a="1"/>
  <c r="K503" i="2" s="1"/>
  <c r="J24" i="7" a="1"/>
  <c r="J24" i="7" s="1"/>
  <c r="F24" i="7" s="1" a="1"/>
  <c r="F24" i="7" s="1"/>
  <c r="K113" i="2" s="1" a="1"/>
  <c r="K113" i="2" s="1"/>
  <c r="F120" i="8" a="1"/>
  <c r="F120" i="8" s="1"/>
  <c r="K274" i="2" s="1" a="1"/>
  <c r="K274" i="2" s="1"/>
  <c r="J206" i="5" a="1"/>
  <c r="J206" i="5" s="1"/>
  <c r="F206" i="5" s="1" a="1"/>
  <c r="F206" i="5" s="1"/>
  <c r="K546" i="2" s="1" a="1"/>
  <c r="K546" i="2" s="1"/>
  <c r="J85" i="4" a="1"/>
  <c r="J85" i="4" s="1"/>
  <c r="J213" i="4" a="1"/>
  <c r="J213" i="4" s="1"/>
  <c r="F213" i="4" s="1" a="1"/>
  <c r="F213" i="4" s="1"/>
  <c r="J135" i="4" a="1"/>
  <c r="J135" i="4" s="1"/>
  <c r="F135" i="4" s="1" a="1"/>
  <c r="F135" i="4" s="1"/>
  <c r="J373" i="4" a="1"/>
  <c r="J373" i="4" s="1"/>
  <c r="F373" i="4" s="1" a="1"/>
  <c r="F373" i="4" s="1"/>
  <c r="J167" i="6" a="1"/>
  <c r="J167" i="6" s="1"/>
  <c r="F167" i="6" s="1" a="1"/>
  <c r="F167" i="6" s="1"/>
  <c r="K510" i="2" s="1" a="1"/>
  <c r="K510" i="2" s="1"/>
  <c r="J225" i="4" a="1"/>
  <c r="J225" i="4" s="1"/>
  <c r="F225" i="4" s="1" a="1"/>
  <c r="F225" i="4" s="1"/>
  <c r="J242" i="4" a="1"/>
  <c r="J242" i="4" s="1"/>
  <c r="F242" i="4" s="1" a="1"/>
  <c r="F242" i="4" s="1"/>
  <c r="J196" i="5" a="1"/>
  <c r="J196" i="5" s="1"/>
  <c r="F196" i="5" s="1" a="1"/>
  <c r="F196" i="5" s="1"/>
  <c r="K653" i="2" s="1" a="1"/>
  <c r="K653" i="2" s="1"/>
  <c r="J88" i="7" a="1"/>
  <c r="J88" i="7" s="1"/>
  <c r="F88" i="7" s="1" a="1"/>
  <c r="F88" i="7" s="1"/>
  <c r="K400" i="2" s="1" a="1"/>
  <c r="K400" i="2" s="1"/>
  <c r="J344" i="4" a="1"/>
  <c r="J344" i="4" s="1"/>
  <c r="F344" i="4" s="1" a="1"/>
  <c r="F344" i="4" s="1"/>
  <c r="J303" i="4" a="1"/>
  <c r="J303" i="4" s="1"/>
  <c r="F303" i="4" s="1" a="1"/>
  <c r="F303" i="4" s="1"/>
  <c r="F103" i="8" a="1"/>
  <c r="F103" i="8" s="1"/>
  <c r="K193" i="2" s="1" a="1"/>
  <c r="K193" i="2" s="1"/>
  <c r="J71" i="7" a="1"/>
  <c r="J71" i="7" s="1"/>
  <c r="F71" i="7" s="1" a="1"/>
  <c r="F71" i="7" s="1"/>
  <c r="K410" i="2" s="1" a="1"/>
  <c r="K410" i="2" s="1"/>
  <c r="F184" i="5" a="1"/>
  <c r="F184" i="5" s="1"/>
  <c r="K576" i="2" s="1" a="1"/>
  <c r="K576" i="2" s="1"/>
  <c r="J45" i="7" a="1"/>
  <c r="J45" i="7" s="1"/>
  <c r="F45" i="7" s="1" a="1"/>
  <c r="F45" i="7" s="1"/>
  <c r="K272" i="2" s="1" a="1"/>
  <c r="K272" i="2" s="1"/>
  <c r="J155" i="5" a="1"/>
  <c r="J155" i="5" s="1"/>
  <c r="F155" i="5" s="1" a="1"/>
  <c r="F155" i="5" s="1"/>
  <c r="J105" i="7" a="1"/>
  <c r="J105" i="7" s="1"/>
  <c r="F105" i="7" s="1" a="1"/>
  <c r="F105" i="7" s="1"/>
  <c r="K449" i="2" s="1" a="1"/>
  <c r="K449" i="2" s="1"/>
  <c r="J99" i="7" a="1"/>
  <c r="J99" i="7" s="1"/>
  <c r="F99" i="7" s="1" a="1"/>
  <c r="F99" i="7" s="1"/>
  <c r="K460" i="2" s="1" a="1"/>
  <c r="K460" i="2" s="1"/>
  <c r="J9" i="5" a="1"/>
  <c r="J9" i="5" s="1"/>
  <c r="F9" i="5" s="1" a="1"/>
  <c r="F9" i="5" s="1"/>
  <c r="K37" i="2" s="1" a="1"/>
  <c r="K37" i="2" s="1"/>
  <c r="J9" i="6" a="1"/>
  <c r="J9" i="6" s="1"/>
  <c r="F9" i="6" s="1" a="1"/>
  <c r="F9" i="6" s="1"/>
  <c r="J20" i="7" a="1"/>
  <c r="J20" i="7" s="1"/>
  <c r="F20" i="7" s="1" a="1"/>
  <c r="F20" i="7" s="1"/>
  <c r="K149" i="2" s="1" a="1"/>
  <c r="K149" i="2" s="1"/>
  <c r="J216" i="4" a="1"/>
  <c r="J216" i="4" s="1"/>
  <c r="F216" i="4" s="1" a="1"/>
  <c r="F216" i="4" s="1"/>
  <c r="J309" i="4" a="1"/>
  <c r="J309" i="4" s="1"/>
  <c r="F309" i="4" s="1" a="1"/>
  <c r="F309" i="4" s="1"/>
  <c r="J94" i="7" a="1"/>
  <c r="J94" i="7" s="1"/>
  <c r="F94" i="7" s="1" a="1"/>
  <c r="F94" i="7" s="1"/>
  <c r="K521" i="2" s="1" a="1"/>
  <c r="K521" i="2" s="1"/>
  <c r="J8" i="6" a="1"/>
  <c r="J8" i="6" s="1"/>
  <c r="F8" i="6" s="1" a="1"/>
  <c r="F8" i="6" s="1"/>
  <c r="K83" i="2" s="1" a="1"/>
  <c r="K83" i="2" s="1"/>
  <c r="J142" i="6" a="1"/>
  <c r="J142" i="6" s="1"/>
  <c r="F142" i="6" s="1" a="1"/>
  <c r="F142" i="6" s="1"/>
  <c r="J255" i="4" a="1"/>
  <c r="J255" i="4" s="1"/>
  <c r="F255" i="4" s="1" a="1"/>
  <c r="F255" i="4" s="1"/>
  <c r="J26" i="6" a="1"/>
  <c r="J26" i="6" s="1"/>
  <c r="F26" i="6" s="1" a="1"/>
  <c r="F26" i="6" s="1"/>
  <c r="J284" i="4" a="1"/>
  <c r="J284" i="4" s="1"/>
  <c r="F284" i="4" s="1" a="1"/>
  <c r="F284" i="4" s="1"/>
  <c r="J193" i="7" a="1"/>
  <c r="J193" i="7" s="1"/>
  <c r="F193" i="7" s="1" a="1"/>
  <c r="F193" i="7" s="1"/>
  <c r="K654" i="2" s="1" a="1"/>
  <c r="K654" i="2" s="1"/>
  <c r="J22" i="6" a="1"/>
  <c r="J22" i="6" s="1"/>
  <c r="F22" i="6" s="1" a="1"/>
  <c r="F22" i="6" s="1"/>
  <c r="J320" i="4" a="1"/>
  <c r="J320" i="4" s="1"/>
  <c r="F320" i="4" s="1" a="1"/>
  <c r="F320" i="4" s="1"/>
  <c r="J195" i="7" a="1"/>
  <c r="J195" i="7" s="1"/>
  <c r="F195" i="7" s="1" a="1"/>
  <c r="F195" i="7" s="1"/>
  <c r="K601" i="2" s="1" a="1"/>
  <c r="K601" i="2" s="1"/>
  <c r="J95" i="7" a="1"/>
  <c r="J95" i="7" s="1"/>
  <c r="F95" i="7" s="1" a="1"/>
  <c r="F95" i="7" s="1"/>
  <c r="K253" i="2" s="1" a="1"/>
  <c r="K253" i="2" s="1"/>
  <c r="J16" i="6" a="1"/>
  <c r="J16" i="6" s="1"/>
  <c r="F16" i="6" s="1" a="1"/>
  <c r="F16" i="6" s="1"/>
  <c r="J31" i="5" a="1"/>
  <c r="J31" i="5" s="1"/>
  <c r="F31" i="5" s="1" a="1"/>
  <c r="F31" i="5" s="1"/>
  <c r="K115" i="2" s="1" a="1"/>
  <c r="K115" i="2" s="1"/>
  <c r="J248" i="4" a="1"/>
  <c r="J248" i="4" s="1"/>
  <c r="F248" i="4" s="1" a="1"/>
  <c r="F248" i="4" s="1"/>
  <c r="J385" i="4" a="1"/>
  <c r="J385" i="4" s="1"/>
  <c r="F385" i="4" s="1" a="1"/>
  <c r="F385" i="4" s="1"/>
  <c r="J67" i="6" a="1"/>
  <c r="J67" i="6" s="1"/>
  <c r="F67" i="6" s="1" a="1"/>
  <c r="F67" i="6" s="1"/>
  <c r="J150" i="5" a="1"/>
  <c r="J150" i="5" s="1"/>
  <c r="F150" i="5" s="1" a="1"/>
  <c r="F150" i="5" s="1"/>
  <c r="J65" i="6" a="1"/>
  <c r="J65" i="6" s="1"/>
  <c r="F65" i="6" s="1" a="1"/>
  <c r="F65" i="6" s="1"/>
  <c r="J61" i="7" a="1"/>
  <c r="J61" i="7" s="1"/>
  <c r="F61" i="7" s="1" a="1"/>
  <c r="F61" i="7" s="1"/>
  <c r="K351" i="2" s="1" a="1"/>
  <c r="K351" i="2" s="1"/>
  <c r="J68" i="7" a="1"/>
  <c r="J68" i="7" s="1"/>
  <c r="F68" i="7" s="1" a="1"/>
  <c r="F68" i="7" s="1"/>
  <c r="K225" i="2" s="1" a="1"/>
  <c r="K225" i="2" s="1"/>
  <c r="J247" i="4" a="1"/>
  <c r="J247" i="4" s="1"/>
  <c r="F247" i="4" s="1" a="1"/>
  <c r="F247" i="4" s="1"/>
  <c r="J26" i="4" a="1"/>
  <c r="J26" i="4" s="1"/>
  <c r="F26" i="4" s="1" a="1"/>
  <c r="F26" i="4" s="1"/>
  <c r="J110" i="7" a="1"/>
  <c r="J110" i="7" s="1"/>
  <c r="F110" i="7" s="1" a="1"/>
  <c r="F110" i="7" s="1"/>
  <c r="K404" i="2" s="1" a="1"/>
  <c r="K404" i="2" s="1"/>
  <c r="J333" i="4" a="1"/>
  <c r="J333" i="4" s="1"/>
  <c r="F333" i="4" s="1" a="1"/>
  <c r="F333" i="4" s="1"/>
  <c r="J154" i="5" a="1"/>
  <c r="J154" i="5" s="1"/>
  <c r="F154" i="5" s="1" a="1"/>
  <c r="F154" i="5" s="1"/>
  <c r="K646" i="2" s="1" a="1"/>
  <c r="K646" i="2" s="1"/>
  <c r="J132" i="4" a="1"/>
  <c r="J132" i="4" s="1"/>
  <c r="F132" i="4" s="1" a="1"/>
  <c r="F132" i="4" s="1"/>
  <c r="J324" i="4" a="1"/>
  <c r="J324" i="4" s="1"/>
  <c r="F324" i="4" s="1" a="1"/>
  <c r="F324" i="4" s="1"/>
  <c r="J149" i="4" a="1"/>
  <c r="J149" i="4" s="1"/>
  <c r="F149" i="4" s="1" a="1"/>
  <c r="F149" i="4" s="1"/>
  <c r="J134" i="4" a="1"/>
  <c r="J134" i="4" s="1"/>
  <c r="F134" i="4" s="1" a="1"/>
  <c r="F134" i="4" s="1"/>
  <c r="J282" i="4" a="1"/>
  <c r="J282" i="4" s="1"/>
  <c r="F282" i="4" s="1" a="1"/>
  <c r="F282" i="4" s="1"/>
  <c r="J46" i="7" a="1"/>
  <c r="J46" i="7" s="1"/>
  <c r="F46" i="7" s="1" a="1"/>
  <c r="F46" i="7" s="1"/>
  <c r="K187" i="2" s="1" a="1"/>
  <c r="K187" i="2" s="1"/>
  <c r="J86" i="6" a="1"/>
  <c r="J86" i="6" s="1"/>
  <c r="F86" i="6" s="1" a="1"/>
  <c r="F86" i="6" s="1"/>
  <c r="K375" i="2" s="1" a="1"/>
  <c r="K375" i="2" s="1"/>
  <c r="J191" i="7" a="1"/>
  <c r="J191" i="7" s="1"/>
  <c r="F191" i="7" s="1" a="1"/>
  <c r="F191" i="7" s="1"/>
  <c r="K660" i="2" s="1" a="1"/>
  <c r="K660" i="2" s="1"/>
  <c r="J98" i="6" a="1"/>
  <c r="J98" i="6" s="1"/>
  <c r="F98" i="6" s="1" a="1"/>
  <c r="F98" i="6" s="1"/>
  <c r="J57" i="5" a="1"/>
  <c r="J57" i="5" s="1"/>
  <c r="F57" i="5" s="1" a="1"/>
  <c r="F57" i="5" s="1"/>
  <c r="J196" i="6" a="1"/>
  <c r="J196" i="6" s="1"/>
  <c r="F196" i="6" s="1" a="1"/>
  <c r="F196" i="6" s="1"/>
  <c r="J7" i="9" a="1"/>
  <c r="J7" i="9" s="1"/>
  <c r="F58" i="8" a="1"/>
  <c r="F58" i="8" s="1"/>
  <c r="K176" i="2" s="1" a="1"/>
  <c r="K176" i="2" s="1"/>
  <c r="F335" i="4" a="1"/>
  <c r="F335" i="4" s="1"/>
  <c r="J166" i="6" a="1"/>
  <c r="J166" i="6" s="1"/>
  <c r="F166" i="6" s="1" a="1"/>
  <c r="F166" i="6" s="1"/>
  <c r="K596" i="2" s="1" a="1"/>
  <c r="K596" i="2" s="1"/>
  <c r="J192" i="5" a="1"/>
  <c r="J192" i="5" s="1"/>
  <c r="F192" i="5" s="1" a="1"/>
  <c r="F192" i="5" s="1"/>
  <c r="K644" i="2" s="1" a="1"/>
  <c r="K644" i="2" s="1"/>
  <c r="J192" i="7" a="1"/>
  <c r="J192" i="7" s="1"/>
  <c r="F192" i="7" s="1" a="1"/>
  <c r="F192" i="7" s="1"/>
  <c r="K482" i="2" s="1" a="1"/>
  <c r="K482" i="2" s="1"/>
  <c r="J205" i="6" a="1"/>
  <c r="J205" i="6" s="1"/>
  <c r="F205" i="6" s="1" a="1"/>
  <c r="F205" i="6" s="1"/>
  <c r="K613" i="2" s="1" a="1"/>
  <c r="K613" i="2" s="1"/>
  <c r="J16" i="7" a="1"/>
  <c r="J16" i="7" s="1"/>
  <c r="F16" i="7" s="1" a="1"/>
  <c r="F16" i="7" s="1"/>
  <c r="K58" i="2" s="1" a="1"/>
  <c r="K58" i="2" s="1"/>
  <c r="F12" i="8" a="1"/>
  <c r="F12" i="8" s="1"/>
  <c r="K25" i="2" s="1" a="1"/>
  <c r="K25" i="2" s="1"/>
  <c r="J210" i="4" a="1"/>
  <c r="J210" i="4" s="1"/>
  <c r="F210" i="4" s="1" a="1"/>
  <c r="F210" i="4" s="1"/>
  <c r="J165" i="5" a="1"/>
  <c r="J165" i="5" s="1"/>
  <c r="J147" i="7" a="1"/>
  <c r="J147" i="7" s="1"/>
  <c r="F147" i="7" s="1" a="1"/>
  <c r="F147" i="7" s="1"/>
  <c r="K534" i="2" s="1" a="1"/>
  <c r="K534" i="2" s="1"/>
  <c r="J116" i="6" a="1"/>
  <c r="J116" i="6" s="1"/>
  <c r="J141" i="5" a="1"/>
  <c r="J141" i="5" s="1"/>
  <c r="F141" i="5" s="1" a="1"/>
  <c r="F141" i="5" s="1"/>
  <c r="K475" i="2" s="1" a="1"/>
  <c r="K475" i="2" s="1"/>
  <c r="J185" i="4" a="1"/>
  <c r="J185" i="4" s="1"/>
  <c r="F185" i="4" s="1" a="1"/>
  <c r="F185" i="4" s="1"/>
  <c r="J227" i="4" a="1"/>
  <c r="J227" i="4" s="1"/>
  <c r="F227" i="4" s="1" a="1"/>
  <c r="F227" i="4" s="1"/>
  <c r="J48" i="4" a="1"/>
  <c r="J48" i="4" s="1"/>
  <c r="F48" i="4" s="1" a="1"/>
  <c r="F48" i="4" s="1"/>
  <c r="J149" i="5" a="1"/>
  <c r="J149" i="5" s="1"/>
  <c r="F149" i="5" s="1" a="1"/>
  <c r="F149" i="5" s="1"/>
  <c r="J345" i="4" a="1"/>
  <c r="J345" i="4" s="1"/>
  <c r="F345" i="4" s="1" a="1"/>
  <c r="F345" i="4" s="1"/>
  <c r="J4" i="6" a="1"/>
  <c r="J4" i="6" s="1"/>
  <c r="F4" i="6" s="1" a="1"/>
  <c r="F4" i="6" s="1"/>
  <c r="K51" i="2" s="1" a="1"/>
  <c r="K51" i="2" s="1"/>
  <c r="J80" i="7" a="1"/>
  <c r="J80" i="7" s="1"/>
  <c r="F80" i="7" s="1" a="1"/>
  <c r="F80" i="7" s="1"/>
  <c r="K387" i="2" s="1" a="1"/>
  <c r="K387" i="2" s="1"/>
  <c r="J72" i="4" a="1"/>
  <c r="J72" i="4" s="1"/>
  <c r="F72" i="4" s="1" a="1"/>
  <c r="F72" i="4" s="1"/>
  <c r="J61" i="9" a="1"/>
  <c r="J61" i="9" s="1"/>
  <c r="J32" i="6" a="1"/>
  <c r="J32" i="6" s="1"/>
  <c r="F32" i="6" s="1" a="1"/>
  <c r="F32" i="6" s="1"/>
  <c r="F60" i="5" a="1"/>
  <c r="F60" i="5" s="1"/>
  <c r="K310" i="2" s="1" a="1"/>
  <c r="K310" i="2" s="1"/>
  <c r="J262" i="4" a="1"/>
  <c r="J262" i="4" s="1"/>
  <c r="F262" i="4" s="1" a="1"/>
  <c r="F262" i="4" s="1"/>
  <c r="J271" i="4" a="1"/>
  <c r="J271" i="4" s="1"/>
  <c r="F271" i="4" s="1" a="1"/>
  <c r="F271" i="4" s="1"/>
  <c r="J190" i="7" a="1"/>
  <c r="J190" i="7" s="1"/>
  <c r="F190" i="7" s="1" a="1"/>
  <c r="F190" i="7" s="1"/>
  <c r="K624" i="2" s="1" a="1"/>
  <c r="K624" i="2" s="1"/>
  <c r="J307" i="4" a="1"/>
  <c r="J307" i="4" s="1"/>
  <c r="F307" i="4" s="1" a="1"/>
  <c r="F307" i="4" s="1"/>
  <c r="J263" i="4" a="1"/>
  <c r="J263" i="4" s="1"/>
  <c r="F263" i="4" s="1" a="1"/>
  <c r="F263" i="4" s="1"/>
  <c r="J109" i="7" a="1"/>
  <c r="J109" i="7" s="1"/>
  <c r="F109" i="7" s="1" a="1"/>
  <c r="F109" i="7" s="1"/>
  <c r="K545" i="2" s="1" a="1"/>
  <c r="K545" i="2" s="1"/>
  <c r="J200" i="4" a="1"/>
  <c r="J200" i="4" s="1"/>
  <c r="F200" i="4" s="1" a="1"/>
  <c r="F200" i="4" s="1"/>
  <c r="J54" i="6" a="1"/>
  <c r="J54" i="6" s="1"/>
  <c r="F54" i="6" s="1" a="1"/>
  <c r="F54" i="6" s="1"/>
  <c r="K254" i="2" s="1" a="1"/>
  <c r="K254" i="2" s="1"/>
  <c r="J12" i="5" a="1"/>
  <c r="J12" i="5" s="1"/>
  <c r="F12" i="5" s="1" a="1"/>
  <c r="F12" i="5" s="1"/>
  <c r="J12" i="7" a="1"/>
  <c r="J12" i="7" s="1"/>
  <c r="F12" i="7" s="1" a="1"/>
  <c r="F12" i="7" s="1"/>
  <c r="K63" i="2" s="1" a="1"/>
  <c r="K63" i="2" s="1"/>
  <c r="F108" i="8" a="1"/>
  <c r="F108" i="8" s="1"/>
  <c r="K283" i="2" s="1" a="1"/>
  <c r="K283" i="2" s="1"/>
  <c r="F29" i="8" a="1"/>
  <c r="F29" i="8" s="1"/>
  <c r="K75" i="2" s="1" a="1"/>
  <c r="K75" i="2" s="1"/>
  <c r="J155" i="6" a="1"/>
  <c r="J155" i="6" s="1"/>
  <c r="F155" i="6" s="1" a="1"/>
  <c r="F155" i="6" s="1"/>
  <c r="F202" i="8" a="1"/>
  <c r="F202" i="8" s="1"/>
  <c r="K414" i="2" s="1" a="1"/>
  <c r="K414" i="2" s="1"/>
  <c r="J136" i="7" a="1"/>
  <c r="J136" i="7" s="1"/>
  <c r="F136" i="7" s="1" a="1"/>
  <c r="F136" i="7" s="1"/>
  <c r="K537" i="2" s="1" a="1"/>
  <c r="K537" i="2" s="1"/>
  <c r="J26" i="7" a="1"/>
  <c r="J26" i="7" s="1"/>
  <c r="F26" i="7" s="1" a="1"/>
  <c r="F26" i="7" s="1"/>
  <c r="K129" i="2" s="1" a="1"/>
  <c r="K129" i="2" s="1"/>
  <c r="J391" i="4" a="1"/>
  <c r="J391" i="4" s="1"/>
  <c r="F391" i="4" s="1" a="1"/>
  <c r="F391" i="4" s="1"/>
  <c r="J190" i="4" a="1"/>
  <c r="J190" i="4" s="1"/>
  <c r="F190" i="4" s="1" a="1"/>
  <c r="F190" i="4" s="1"/>
  <c r="J38" i="7" a="1"/>
  <c r="J38" i="7" s="1"/>
  <c r="F38" i="7" s="1" a="1"/>
  <c r="F38" i="7" s="1"/>
  <c r="K163" i="2" s="1" a="1"/>
  <c r="K163" i="2" s="1"/>
  <c r="J58" i="5" a="1"/>
  <c r="J58" i="5" s="1"/>
  <c r="F58" i="5" s="1" a="1"/>
  <c r="F58" i="5" s="1"/>
  <c r="J267" i="4" a="1"/>
  <c r="J267" i="4" s="1"/>
  <c r="F267" i="4" s="1" a="1"/>
  <c r="F267" i="4" s="1"/>
  <c r="J15" i="5" a="1"/>
  <c r="J15" i="5" s="1"/>
  <c r="F15" i="5" s="1" a="1"/>
  <c r="F15" i="5" s="1"/>
  <c r="J230" i="4" a="1"/>
  <c r="J230" i="4" s="1"/>
  <c r="F230" i="4" s="1" a="1"/>
  <c r="F230" i="4" s="1"/>
  <c r="F170" i="4" a="1"/>
  <c r="F170" i="4" s="1"/>
  <c r="F91" i="4" a="1"/>
  <c r="F91" i="4" s="1"/>
  <c r="J174" i="5" a="1"/>
  <c r="J174" i="5" s="1"/>
  <c r="F174" i="5" s="1" a="1"/>
  <c r="F174" i="5" s="1"/>
  <c r="J47" i="4" a="1"/>
  <c r="J47" i="4" s="1"/>
  <c r="F47" i="4" s="1" a="1"/>
  <c r="F47" i="4" s="1"/>
  <c r="F39" i="8" a="1"/>
  <c r="F39" i="8" s="1"/>
  <c r="K98" i="2" s="1" a="1"/>
  <c r="K98" i="2" s="1"/>
  <c r="J145" i="4" a="1"/>
  <c r="J145" i="4" s="1"/>
  <c r="F145" i="4" s="1" a="1"/>
  <c r="F145" i="4" s="1"/>
  <c r="J79" i="7" a="1"/>
  <c r="J79" i="7" s="1"/>
  <c r="F79" i="7" s="1" a="1"/>
  <c r="F79" i="7" s="1"/>
  <c r="K468" i="2" s="1" a="1"/>
  <c r="K468" i="2" s="1"/>
  <c r="J238" i="4" a="1"/>
  <c r="J238" i="4" s="1"/>
  <c r="F238" i="4" s="1" a="1"/>
  <c r="F238" i="4" s="1"/>
  <c r="J35" i="7" a="1"/>
  <c r="J35" i="7" s="1"/>
  <c r="F35" i="7" s="1" a="1"/>
  <c r="F35" i="7" s="1"/>
  <c r="K203" i="2" s="1" a="1"/>
  <c r="K203" i="2" s="1"/>
  <c r="J70" i="7" a="1"/>
  <c r="J70" i="7" s="1"/>
  <c r="J141" i="6" a="1"/>
  <c r="J141" i="6" s="1"/>
  <c r="F141" i="6" s="1" a="1"/>
  <c r="F141" i="6" s="1"/>
  <c r="K532" i="2" s="1" a="1"/>
  <c r="K532" i="2" s="1"/>
  <c r="J131" i="4" a="1"/>
  <c r="J131" i="4" s="1"/>
  <c r="F131" i="4" s="1" a="1"/>
  <c r="F131" i="4" s="1"/>
  <c r="J193" i="6" a="1"/>
  <c r="J193" i="6" s="1"/>
  <c r="F193" i="6" s="1" a="1"/>
  <c r="F193" i="6" s="1"/>
  <c r="J182" i="6" a="1"/>
  <c r="J182" i="6" s="1"/>
  <c r="F182" i="6" s="1" a="1"/>
  <c r="F182" i="6" s="1"/>
  <c r="K489" i="2" s="1" a="1"/>
  <c r="K489" i="2" s="1"/>
  <c r="J44" i="7" a="1"/>
  <c r="J44" i="7" s="1"/>
  <c r="F44" i="7" s="1" a="1"/>
  <c r="F44" i="7" s="1"/>
  <c r="K111" i="2" s="1" a="1"/>
  <c r="K111" i="2" s="1"/>
  <c r="J326" i="4" a="1"/>
  <c r="J326" i="4" s="1"/>
  <c r="F326" i="4" s="1" a="1"/>
  <c r="F326" i="4" s="1"/>
  <c r="J132" i="7" a="1"/>
  <c r="J132" i="7" s="1"/>
  <c r="F132" i="7" s="1" a="1"/>
  <c r="F132" i="7" s="1"/>
  <c r="K423" i="2" s="1" a="1"/>
  <c r="K423" i="2" s="1"/>
  <c r="J29" i="9" a="1"/>
  <c r="J29" i="9" s="1"/>
  <c r="J155" i="7" a="1"/>
  <c r="J155" i="7" s="1"/>
  <c r="F155" i="7" s="1" a="1"/>
  <c r="F155" i="7" s="1"/>
  <c r="K566" i="2" s="1" a="1"/>
  <c r="K566" i="2" s="1"/>
  <c r="J77" i="5" a="1"/>
  <c r="J77" i="5" s="1"/>
  <c r="F77" i="5" s="1" a="1"/>
  <c r="F77" i="5" s="1"/>
  <c r="K505" i="2" s="1" a="1"/>
  <c r="K505" i="2" s="1"/>
  <c r="J184" i="6" a="1"/>
  <c r="J184" i="6" s="1"/>
  <c r="F184" i="6" s="1" a="1"/>
  <c r="F184" i="6" s="1"/>
  <c r="K606" i="2" s="1" a="1"/>
  <c r="K606" i="2" s="1"/>
  <c r="J76" i="4" a="1"/>
  <c r="J76" i="4" s="1"/>
  <c r="F76" i="4" s="1" a="1"/>
  <c r="F76" i="4" s="1"/>
  <c r="J133" i="4" a="1"/>
  <c r="J133" i="4" s="1"/>
  <c r="F133" i="4" s="1" a="1"/>
  <c r="F133" i="4" s="1"/>
  <c r="J393" i="4" a="1"/>
  <c r="J393" i="4" s="1"/>
  <c r="F393" i="4" s="1" a="1"/>
  <c r="F393" i="4" s="1"/>
  <c r="J93" i="6" a="1"/>
  <c r="J93" i="6" s="1"/>
  <c r="F93" i="6" s="1" a="1"/>
  <c r="F93" i="6" s="1"/>
  <c r="J142" i="7" a="1"/>
  <c r="J142" i="7" s="1"/>
  <c r="F142" i="7" s="1" a="1"/>
  <c r="F142" i="7" s="1"/>
  <c r="K587" i="2" s="1" a="1"/>
  <c r="K587" i="2" s="1"/>
  <c r="J87" i="7" a="1"/>
  <c r="J87" i="7" s="1"/>
  <c r="F87" i="7" s="1" a="1"/>
  <c r="F87" i="7" s="1"/>
  <c r="K394" i="2" s="1" a="1"/>
  <c r="K394" i="2" s="1"/>
  <c r="J202" i="5" a="1"/>
  <c r="J202" i="5" s="1"/>
  <c r="F202" i="5" s="1" a="1"/>
  <c r="F202" i="5" s="1"/>
  <c r="J187" i="6" a="1"/>
  <c r="J187" i="6" s="1"/>
  <c r="F187" i="6" s="1" a="1"/>
  <c r="F187" i="6" s="1"/>
  <c r="K550" i="2" s="1" a="1"/>
  <c r="K550" i="2" s="1"/>
  <c r="J182" i="4" a="1"/>
  <c r="J182" i="4" s="1"/>
  <c r="F182" i="4" s="1" a="1"/>
  <c r="F182" i="4" s="1"/>
  <c r="J75" i="5" a="1"/>
  <c r="J75" i="5" s="1"/>
  <c r="F75" i="5" s="1" a="1"/>
  <c r="F75" i="5" s="1"/>
  <c r="K577" i="2" s="1" a="1"/>
  <c r="K577" i="2" s="1"/>
  <c r="J154" i="7" a="1"/>
  <c r="J154" i="7" s="1"/>
  <c r="F154" i="7" s="1" a="1"/>
  <c r="F154" i="7" s="1"/>
  <c r="K559" i="2" s="1" a="1"/>
  <c r="K559" i="2" s="1"/>
  <c r="F321" i="4" a="1"/>
  <c r="F321" i="4" s="1"/>
  <c r="J157" i="6" a="1"/>
  <c r="J157" i="6" s="1"/>
  <c r="F157" i="6" s="1" a="1"/>
  <c r="F157" i="6" s="1"/>
  <c r="K667" i="2" s="1" a="1"/>
  <c r="K667" i="2" s="1"/>
  <c r="F20" i="8" a="1"/>
  <c r="F20" i="8" s="1"/>
  <c r="K34" i="2" s="1" a="1"/>
  <c r="K34" i="2" s="1"/>
  <c r="F387" i="4" a="1"/>
  <c r="F387" i="4" s="1"/>
  <c r="F377" i="4" a="1"/>
  <c r="F377" i="4" s="1"/>
  <c r="F405" i="4" a="1"/>
  <c r="F405" i="4" s="1"/>
  <c r="F8" i="4" a="1"/>
  <c r="F8" i="4" s="1"/>
  <c r="F403" i="4" a="1"/>
  <c r="F403" i="4" s="1"/>
  <c r="F361" i="4" a="1"/>
  <c r="F361" i="4" s="1"/>
  <c r="F313" i="4" a="1"/>
  <c r="F313" i="4" s="1"/>
  <c r="F165" i="4" a="1"/>
  <c r="F165" i="4" s="1"/>
  <c r="F169" i="4" a="1"/>
  <c r="F169" i="4" s="1"/>
  <c r="F264" i="4" a="1"/>
  <c r="F264" i="4" s="1"/>
  <c r="F137" i="4" a="1"/>
  <c r="F137" i="4" s="1"/>
  <c r="F155" i="4" a="1"/>
  <c r="F155" i="4" s="1"/>
  <c r="F219" i="4" a="1"/>
  <c r="F219" i="4" s="1"/>
  <c r="F186" i="4" a="1"/>
  <c r="F186" i="4" s="1"/>
  <c r="F130" i="4" a="1"/>
  <c r="F130" i="4" s="1"/>
  <c r="F389" i="4" a="1"/>
  <c r="F389" i="4" s="1"/>
  <c r="F295" i="4" a="1"/>
  <c r="F295" i="4" s="1"/>
  <c r="F3" i="4" a="1"/>
  <c r="F3" i="4" s="1"/>
  <c r="F184" i="4" a="1"/>
  <c r="F184" i="4" s="1"/>
  <c r="F38" i="4" a="1"/>
  <c r="F38" i="4" s="1"/>
  <c r="F80" i="4" a="1"/>
  <c r="F80" i="4" s="1"/>
  <c r="F289" i="4" a="1"/>
  <c r="F289" i="4" s="1"/>
  <c r="F214" i="4" a="1"/>
  <c r="F214" i="4" s="1"/>
  <c r="F288" i="4" a="1"/>
  <c r="F288" i="4" s="1"/>
  <c r="F256" i="4" a="1"/>
  <c r="F256" i="4" s="1"/>
  <c r="F42" i="4" a="1"/>
  <c r="F42" i="4" s="1"/>
  <c r="F390" i="4" a="1"/>
  <c r="F390" i="4" s="1"/>
  <c r="F162" i="4" a="1"/>
  <c r="F162" i="4" s="1"/>
  <c r="F276" i="4" a="1"/>
  <c r="F276" i="4" s="1"/>
  <c r="F366" i="4" a="1"/>
  <c r="F366" i="4" s="1"/>
  <c r="F165" i="8" a="1"/>
  <c r="F165" i="8" s="1"/>
  <c r="K258" i="2" s="1" a="1"/>
  <c r="K258" i="2" s="1"/>
  <c r="F168" i="4" a="1"/>
  <c r="F168" i="4" s="1"/>
  <c r="J55" i="7" a="1"/>
  <c r="J55" i="7" s="1"/>
  <c r="F55" i="7" s="1" a="1"/>
  <c r="F55" i="7" s="1"/>
  <c r="K332" i="2" s="1" a="1"/>
  <c r="K332" i="2" s="1"/>
  <c r="J173" i="5" a="1"/>
  <c r="J173" i="5" s="1"/>
  <c r="F173" i="5" s="1" a="1"/>
  <c r="F173" i="5" s="1"/>
  <c r="K496" i="2" s="1" a="1"/>
  <c r="K496" i="2" s="1"/>
  <c r="J122" i="5" a="1"/>
  <c r="J122" i="5" s="1"/>
  <c r="F122" i="5" s="1" a="1"/>
  <c r="F122" i="5" s="1"/>
  <c r="K448" i="2" s="1" a="1"/>
  <c r="K448" i="2" s="1"/>
  <c r="J222" i="4" a="1"/>
  <c r="J222" i="4" s="1"/>
  <c r="F222" i="4" s="1" a="1"/>
  <c r="F222" i="4" s="1"/>
  <c r="J173" i="7" a="1"/>
  <c r="J173" i="7" s="1"/>
  <c r="F173" i="7" s="1" a="1"/>
  <c r="F173" i="7" s="1"/>
  <c r="K628" i="2" s="1" a="1"/>
  <c r="K628" i="2" s="1"/>
  <c r="J94" i="5" a="1"/>
  <c r="J94" i="5" s="1"/>
  <c r="F94" i="5" s="1" a="1"/>
  <c r="F94" i="5" s="1"/>
  <c r="K428" i="2" s="1" a="1"/>
  <c r="K428" i="2" s="1"/>
  <c r="J191" i="6" a="1"/>
  <c r="J191" i="6" s="1"/>
  <c r="F191" i="6" s="1" a="1"/>
  <c r="F191" i="6" s="1"/>
  <c r="J126" i="7" a="1"/>
  <c r="J126" i="7" s="1"/>
  <c r="F126" i="7" s="1" a="1"/>
  <c r="F126" i="7" s="1"/>
  <c r="K411" i="2" s="1" a="1"/>
  <c r="K411" i="2" s="1"/>
  <c r="F152" i="8" a="1"/>
  <c r="F152" i="8" s="1"/>
  <c r="K358" i="2" s="1" a="1"/>
  <c r="K358" i="2" s="1"/>
  <c r="J241" i="4" a="1"/>
  <c r="J241" i="4" s="1"/>
  <c r="F241" i="4" s="1" a="1"/>
  <c r="F241" i="4" s="1"/>
  <c r="J28" i="7" a="1"/>
  <c r="J28" i="7" s="1"/>
  <c r="F28" i="7" s="1" a="1"/>
  <c r="F28" i="7" s="1"/>
  <c r="K226" i="2" s="1" a="1"/>
  <c r="K226" i="2" s="1"/>
  <c r="J331" i="4" a="1"/>
  <c r="J331" i="4" s="1"/>
  <c r="F331" i="4" s="1" a="1"/>
  <c r="F331" i="4" s="1"/>
  <c r="J135" i="5" a="1"/>
  <c r="J135" i="5" s="1"/>
  <c r="F135" i="5" s="1" a="1"/>
  <c r="F135" i="5" s="1"/>
  <c r="K542" i="2" s="1" a="1"/>
  <c r="K542" i="2" s="1"/>
  <c r="F24" i="8" a="1"/>
  <c r="F24" i="8" s="1"/>
  <c r="K57" i="2" s="1" a="1"/>
  <c r="K57" i="2" s="1"/>
  <c r="J10" i="6" a="1"/>
  <c r="J10" i="6" s="1"/>
  <c r="F10" i="6" s="1" a="1"/>
  <c r="F10" i="6" s="1"/>
  <c r="J44" i="4" a="1"/>
  <c r="J44" i="4" s="1"/>
  <c r="F44" i="4" s="1" a="1"/>
  <c r="F44" i="4" s="1"/>
  <c r="J36" i="7" a="1"/>
  <c r="J36" i="7" s="1"/>
  <c r="F36" i="7" s="1" a="1"/>
  <c r="F36" i="7" s="1"/>
  <c r="K301" i="2" s="1" a="1"/>
  <c r="K301" i="2" s="1"/>
  <c r="J83" i="4" a="1"/>
  <c r="J83" i="4" s="1"/>
  <c r="F83" i="4" s="1" a="1"/>
  <c r="F83" i="4" s="1"/>
  <c r="J183" i="6" a="1"/>
  <c r="J183" i="6" s="1"/>
  <c r="F183" i="6" s="1" a="1"/>
  <c r="F183" i="6" s="1"/>
  <c r="K641" i="2" s="1" a="1"/>
  <c r="K641" i="2" s="1"/>
  <c r="J96" i="7" a="1"/>
  <c r="J96" i="7" s="1"/>
  <c r="F96" i="7" s="1" a="1"/>
  <c r="F96" i="7" s="1"/>
  <c r="K430" i="2" s="1" a="1"/>
  <c r="K430" i="2" s="1"/>
  <c r="J65" i="7" a="1"/>
  <c r="J65" i="7" s="1"/>
  <c r="F65" i="7" s="1" a="1"/>
  <c r="F65" i="7" s="1"/>
  <c r="K419" i="2" s="1" a="1"/>
  <c r="K419" i="2" s="1"/>
  <c r="J45" i="9" a="1"/>
  <c r="J45" i="9" s="1"/>
  <c r="J25" i="9" a="1"/>
  <c r="J25" i="9" s="1"/>
  <c r="J119" i="7" a="1"/>
  <c r="J119" i="7" s="1"/>
  <c r="F119" i="7" s="1" a="1"/>
  <c r="F119" i="7" s="1"/>
  <c r="K424" i="2" s="1" a="1"/>
  <c r="K424" i="2" s="1"/>
  <c r="J63" i="4" a="1"/>
  <c r="J63" i="4" s="1"/>
  <c r="F63" i="4" s="1" a="1"/>
  <c r="F63" i="4" s="1"/>
  <c r="J114" i="6" a="1"/>
  <c r="J114" i="6" s="1"/>
  <c r="F114" i="6" s="1" a="1"/>
  <c r="F114" i="6" s="1"/>
  <c r="K473" i="2" s="1" a="1"/>
  <c r="K473" i="2" s="1"/>
  <c r="J304" i="4" a="1"/>
  <c r="J304" i="4" s="1"/>
  <c r="F304" i="4" s="1" a="1"/>
  <c r="F304" i="4" s="1"/>
  <c r="J272" i="4" a="1"/>
  <c r="J272" i="4" s="1"/>
  <c r="F272" i="4" s="1" a="1"/>
  <c r="F272" i="4" s="1"/>
  <c r="J105" i="6" a="1"/>
  <c r="J105" i="6" s="1"/>
  <c r="F105" i="6" s="1" a="1"/>
  <c r="F105" i="6" s="1"/>
  <c r="K455" i="2" s="1" a="1"/>
  <c r="K455" i="2" s="1"/>
  <c r="J173" i="4" a="1"/>
  <c r="J173" i="4" s="1"/>
  <c r="F173" i="4" s="1" a="1"/>
  <c r="F173" i="4" s="1"/>
  <c r="J90" i="7" a="1"/>
  <c r="J90" i="7" s="1"/>
  <c r="F90" i="7" s="1" a="1"/>
  <c r="F90" i="7" s="1"/>
  <c r="K486" i="2" s="1" a="1"/>
  <c r="K486" i="2" s="1"/>
  <c r="J63" i="6" a="1"/>
  <c r="J63" i="6" s="1"/>
  <c r="F63" i="6" s="1" a="1"/>
  <c r="F63" i="6" s="1"/>
  <c r="J115" i="7" a="1"/>
  <c r="J115" i="7" s="1"/>
  <c r="F115" i="7" s="1" a="1"/>
  <c r="F115" i="7" s="1"/>
  <c r="K462" i="2" s="1" a="1"/>
  <c r="K462" i="2" s="1"/>
  <c r="J67" i="4" a="1"/>
  <c r="J67" i="4" s="1"/>
  <c r="F67" i="4" s="1" a="1"/>
  <c r="F67" i="4" s="1"/>
  <c r="F157" i="8" a="1"/>
  <c r="F157" i="8" s="1"/>
  <c r="K306" i="2" s="1" a="1"/>
  <c r="K306" i="2" s="1"/>
  <c r="J58" i="4" a="1"/>
  <c r="J58" i="4" s="1"/>
  <c r="F58" i="4" s="1" a="1"/>
  <c r="F58" i="4" s="1"/>
  <c r="J371" i="4" a="1"/>
  <c r="J371" i="4" s="1"/>
  <c r="F371" i="4" s="1" a="1"/>
  <c r="F371" i="4" s="1"/>
  <c r="J372" i="4" a="1"/>
  <c r="J372" i="4" s="1"/>
  <c r="F372" i="4" s="1" a="1"/>
  <c r="F372" i="4" s="1"/>
  <c r="J278" i="4" a="1"/>
  <c r="J278" i="4" s="1"/>
  <c r="F278" i="4" s="1" a="1"/>
  <c r="F278" i="4" s="1"/>
  <c r="J190" i="6" a="1"/>
  <c r="J190" i="6" s="1"/>
  <c r="F190" i="6" s="1" a="1"/>
  <c r="F190" i="6" s="1"/>
  <c r="J37" i="4" a="1"/>
  <c r="J37" i="4" s="1"/>
  <c r="F37" i="4" s="1" a="1"/>
  <c r="F37" i="4" s="1"/>
  <c r="J207" i="7" a="1"/>
  <c r="J207" i="7" s="1"/>
  <c r="F207" i="7" s="1" a="1"/>
  <c r="F207" i="7" s="1"/>
  <c r="K649" i="2" s="1" a="1"/>
  <c r="K649" i="2" s="1"/>
  <c r="J100" i="5" a="1"/>
  <c r="J100" i="5" s="1"/>
  <c r="F100" i="5" s="1" a="1"/>
  <c r="F100" i="5" s="1"/>
  <c r="J112" i="4" a="1"/>
  <c r="J112" i="4" s="1"/>
  <c r="F112" i="4" s="1" a="1"/>
  <c r="F112" i="4" s="1"/>
  <c r="F36" i="8" a="1"/>
  <c r="F36" i="8" s="1"/>
  <c r="K123" i="2" s="1" a="1"/>
  <c r="K123" i="2" s="1"/>
  <c r="J86" i="7" a="1"/>
  <c r="J86" i="7" s="1"/>
  <c r="F86" i="7" s="1" a="1"/>
  <c r="F86" i="7" s="1"/>
  <c r="K571" i="2" s="1" a="1"/>
  <c r="K571" i="2" s="1"/>
  <c r="J105" i="4" a="1"/>
  <c r="J105" i="4" s="1"/>
  <c r="F105" i="4" s="1" a="1"/>
  <c r="F105" i="4" s="1"/>
  <c r="J166" i="4" a="1"/>
  <c r="J166" i="4" s="1"/>
  <c r="F166" i="4" s="1" a="1"/>
  <c r="F166" i="4" s="1"/>
  <c r="F178" i="8" a="1"/>
  <c r="F178" i="8" s="1"/>
  <c r="K385" i="2" s="1" a="1"/>
  <c r="K385" i="2" s="1"/>
  <c r="J166" i="5" a="1"/>
  <c r="J166" i="5" s="1"/>
  <c r="F166" i="5" s="1" a="1"/>
  <c r="F166" i="5" s="1"/>
  <c r="J205" i="4" a="1"/>
  <c r="J205" i="4" s="1"/>
  <c r="J11" i="5" a="1"/>
  <c r="J11" i="5" s="1"/>
  <c r="F11" i="5" s="1" a="1"/>
  <c r="F11" i="5" s="1"/>
  <c r="J82" i="7" a="1"/>
  <c r="J82" i="7" s="1"/>
  <c r="F82" i="7" s="1" a="1"/>
  <c r="F82" i="7" s="1"/>
  <c r="K440" i="2" s="1" a="1"/>
  <c r="K440" i="2" s="1"/>
  <c r="J10" i="4" a="1"/>
  <c r="J10" i="4" s="1"/>
  <c r="F10" i="4" s="1" a="1"/>
  <c r="F10" i="4" s="1"/>
  <c r="J181" i="5" a="1"/>
  <c r="J181" i="5" s="1"/>
  <c r="F181" i="5" s="1" a="1"/>
  <c r="F181" i="5" s="1"/>
  <c r="J198" i="6" a="1"/>
  <c r="J198" i="6" s="1"/>
  <c r="F198" i="6" s="1" a="1"/>
  <c r="F198" i="6" s="1"/>
  <c r="K612" i="2" s="1" a="1"/>
  <c r="K612" i="2" s="1"/>
  <c r="J71" i="4" a="1"/>
  <c r="J71" i="4" s="1"/>
  <c r="F71" i="4" s="1" a="1"/>
  <c r="F71" i="4" s="1"/>
  <c r="J104" i="4" a="1"/>
  <c r="J104" i="4" s="1"/>
  <c r="F104" i="4" s="1" a="1"/>
  <c r="F104" i="4" s="1"/>
  <c r="J394" i="4" a="1"/>
  <c r="J394" i="4" s="1"/>
  <c r="F394" i="4" s="1" a="1"/>
  <c r="F394" i="4" s="1"/>
  <c r="J258" i="4" a="1"/>
  <c r="J258" i="4" s="1"/>
  <c r="F258" i="4" s="1" a="1"/>
  <c r="F258" i="4" s="1"/>
  <c r="J209" i="5" a="1"/>
  <c r="J209" i="5" s="1"/>
  <c r="F209" i="5" s="1" a="1"/>
  <c r="F209" i="5" s="1"/>
  <c r="K639" i="2" s="1" a="1"/>
  <c r="K639" i="2" s="1"/>
  <c r="J13" i="7" a="1"/>
  <c r="J13" i="7" s="1"/>
  <c r="F13" i="7" s="1" a="1"/>
  <c r="F13" i="7" s="1"/>
  <c r="K107" i="2" s="1" a="1"/>
  <c r="K107" i="2" s="1"/>
  <c r="J70" i="6" a="1"/>
  <c r="J70" i="6" s="1"/>
  <c r="F70" i="6" s="1" a="1"/>
  <c r="F70" i="6" s="1"/>
  <c r="J260" i="4" a="1"/>
  <c r="J260" i="4" s="1"/>
  <c r="F260" i="4" s="1" a="1"/>
  <c r="F260" i="4" s="1"/>
  <c r="J122" i="7" a="1"/>
  <c r="J122" i="7" s="1"/>
  <c r="F122" i="7" s="1" a="1"/>
  <c r="F122" i="7" s="1"/>
  <c r="K415" i="2" s="1" a="1"/>
  <c r="K415" i="2" s="1"/>
  <c r="J19" i="4" a="1"/>
  <c r="J19" i="4" s="1"/>
  <c r="F19" i="4" s="1" a="1"/>
  <c r="F19" i="4" s="1"/>
  <c r="J132" i="6" a="1"/>
  <c r="J132" i="6" s="1"/>
  <c r="J332" i="4" a="1"/>
  <c r="J332" i="4" s="1"/>
  <c r="F332" i="4" s="1" a="1"/>
  <c r="F332" i="4" s="1"/>
  <c r="J52" i="7" a="1"/>
  <c r="J52" i="7" s="1"/>
  <c r="F52" i="7" s="1" a="1"/>
  <c r="F52" i="7" s="1"/>
  <c r="K103" i="2" s="1" a="1"/>
  <c r="K103" i="2" s="1"/>
  <c r="J58" i="9" a="1"/>
  <c r="J58" i="9" s="1"/>
  <c r="J51" i="7" a="1"/>
  <c r="J51" i="7" s="1"/>
  <c r="F51" i="7" s="1" a="1"/>
  <c r="F51" i="7" s="1"/>
  <c r="K137" i="2" s="1" a="1"/>
  <c r="K137" i="2" s="1"/>
  <c r="J197" i="6" a="1"/>
  <c r="J197" i="6" s="1"/>
  <c r="F197" i="6" s="1" a="1"/>
  <c r="F197" i="6" s="1"/>
  <c r="K599" i="2" s="1" a="1"/>
  <c r="K599" i="2" s="1"/>
  <c r="J146" i="4" a="1"/>
  <c r="J146" i="4" s="1"/>
  <c r="F146" i="4" s="1" a="1"/>
  <c r="F146" i="4" s="1"/>
  <c r="J47" i="5" a="1"/>
  <c r="J47" i="5" s="1"/>
  <c r="F47" i="5" s="1" a="1"/>
  <c r="F47" i="5" s="1"/>
  <c r="J140" i="4" a="1"/>
  <c r="J140" i="4" s="1"/>
  <c r="F140" i="4" s="1" a="1"/>
  <c r="F140" i="4" s="1"/>
  <c r="J140" i="5" a="1"/>
  <c r="J140" i="5" s="1"/>
  <c r="F140" i="5" s="1" a="1"/>
  <c r="F140" i="5" s="1"/>
  <c r="J130" i="6" a="1"/>
  <c r="J130" i="6" s="1"/>
  <c r="F130" i="6" s="1" a="1"/>
  <c r="F130" i="6" s="1"/>
  <c r="J142" i="4" a="1"/>
  <c r="J142" i="4" s="1"/>
  <c r="F142" i="4" s="1" a="1"/>
  <c r="F142" i="4" s="1"/>
  <c r="E7" i="2" a="1"/>
  <c r="E7" i="2" s="1"/>
  <c r="F95" i="8" a="1"/>
  <c r="F95" i="8" s="1"/>
  <c r="K337" i="2" s="1" a="1"/>
  <c r="K337" i="2" s="1"/>
  <c r="F153" i="8" a="1"/>
  <c r="F153" i="8" s="1"/>
  <c r="K165" i="2" s="1" a="1"/>
  <c r="K165" i="2" s="1"/>
  <c r="F124" i="8" a="1"/>
  <c r="F124" i="8" s="1"/>
  <c r="K190" i="2" s="1" a="1"/>
  <c r="K190" i="2" s="1"/>
  <c r="F125" i="8" a="1"/>
  <c r="F125" i="8" s="1"/>
  <c r="K246" i="2" s="1" a="1"/>
  <c r="K246" i="2" s="1"/>
  <c r="F50" i="8" a="1"/>
  <c r="F50" i="8" s="1"/>
  <c r="K182" i="2" s="1" a="1"/>
  <c r="K182" i="2" s="1"/>
  <c r="F31" i="8" a="1"/>
  <c r="F31" i="8" s="1"/>
  <c r="K35" i="2" s="1" a="1"/>
  <c r="K35" i="2" s="1"/>
  <c r="F78" i="8" a="1"/>
  <c r="F78" i="8" s="1"/>
  <c r="K94" i="2" s="1" a="1"/>
  <c r="K94" i="2" s="1"/>
  <c r="F184" i="8" a="1"/>
  <c r="F184" i="8" s="1"/>
  <c r="K308" i="2" s="1" a="1"/>
  <c r="K308" i="2" s="1"/>
  <c r="F43" i="8" a="1"/>
  <c r="F43" i="8" s="1"/>
  <c r="K114" i="2" s="1" a="1"/>
  <c r="K114" i="2" s="1"/>
  <c r="F70" i="8" a="1"/>
  <c r="F70" i="8" s="1"/>
  <c r="K300" i="2" s="1" a="1"/>
  <c r="K300" i="2" s="1"/>
  <c r="F44" i="8" a="1"/>
  <c r="F44" i="8" s="1"/>
  <c r="K93" i="2" s="1" a="1"/>
  <c r="K93" i="2" s="1"/>
  <c r="F176" i="8" a="1"/>
  <c r="F176" i="8" s="1"/>
  <c r="K349" i="2" s="1" a="1"/>
  <c r="K349" i="2" s="1"/>
  <c r="F87" i="8" a="1"/>
  <c r="F87" i="8" s="1"/>
  <c r="K144" i="2" s="1" a="1"/>
  <c r="K144" i="2" s="1"/>
  <c r="F204" i="8" a="1"/>
  <c r="F204" i="8" s="1"/>
  <c r="K397" i="2" s="1" a="1"/>
  <c r="K397" i="2" s="1"/>
  <c r="F34" i="8" a="1"/>
  <c r="F34" i="8" s="1"/>
  <c r="K71" i="2" s="1" a="1"/>
  <c r="K71" i="2" s="1"/>
  <c r="F83" i="8" a="1"/>
  <c r="F83" i="8" s="1"/>
  <c r="K171" i="2" s="1" a="1"/>
  <c r="K171" i="2" s="1"/>
  <c r="F185" i="8" a="1"/>
  <c r="F185" i="8" s="1"/>
  <c r="K291" i="2" s="1" a="1"/>
  <c r="K291" i="2" s="1"/>
  <c r="F40" i="8" a="1"/>
  <c r="F40" i="8" s="1"/>
  <c r="K48" i="2" s="1" a="1"/>
  <c r="K48" i="2" s="1"/>
  <c r="F49" i="8" a="1"/>
  <c r="F49" i="8" s="1"/>
  <c r="K79" i="2" s="1" a="1"/>
  <c r="K79" i="2" s="1"/>
  <c r="F104" i="8" a="1"/>
  <c r="F104" i="8" s="1"/>
  <c r="K270" i="2" s="1" a="1"/>
  <c r="K270" i="2" s="1"/>
  <c r="F136" i="8" a="1"/>
  <c r="F136" i="8" s="1"/>
  <c r="K273" i="2" s="1" a="1"/>
  <c r="K273" i="2" s="1"/>
  <c r="F194" i="8" a="1"/>
  <c r="F194" i="8" s="1"/>
  <c r="K276" i="2" s="1" a="1"/>
  <c r="K276" i="2" s="1"/>
  <c r="F86" i="8" a="1"/>
  <c r="F86" i="8" s="1"/>
  <c r="K153" i="2" s="1" a="1"/>
  <c r="K153" i="2" s="1"/>
  <c r="F188" i="8" a="1"/>
  <c r="F188" i="8" s="1"/>
  <c r="K353" i="2" s="1" a="1"/>
  <c r="K353" i="2" s="1"/>
  <c r="F174" i="8" a="1"/>
  <c r="F174" i="8" s="1"/>
  <c r="K368" i="2" s="1" a="1"/>
  <c r="K368" i="2" s="1"/>
  <c r="F10" i="8" a="1"/>
  <c r="F10" i="8" s="1"/>
  <c r="K11" i="2" s="1" a="1"/>
  <c r="K11" i="2" s="1"/>
  <c r="F158" i="8" a="1"/>
  <c r="F158" i="8" s="1"/>
  <c r="K151" i="2" s="1" a="1"/>
  <c r="K151" i="2" s="1"/>
  <c r="F129" i="8" a="1"/>
  <c r="F129" i="8" s="1"/>
  <c r="K381" i="2" s="1" a="1"/>
  <c r="K381" i="2" s="1"/>
  <c r="F66" i="8" a="1"/>
  <c r="F66" i="8" s="1"/>
  <c r="K222" i="2" s="1" a="1"/>
  <c r="K222" i="2" s="1"/>
  <c r="F110" i="8" a="1"/>
  <c r="F110" i="8" s="1"/>
  <c r="K230" i="2" s="1" a="1"/>
  <c r="K230" i="2" s="1"/>
  <c r="F182" i="8" a="1"/>
  <c r="F182" i="8" s="1"/>
  <c r="K379" i="2" s="1" a="1"/>
  <c r="K379" i="2" s="1"/>
  <c r="F186" i="8" a="1"/>
  <c r="F186" i="8" s="1"/>
  <c r="K360" i="2" s="1" a="1"/>
  <c r="K360" i="2" s="1"/>
  <c r="F89" i="8" a="1"/>
  <c r="F89" i="8" s="1"/>
  <c r="K197" i="2" s="1" a="1"/>
  <c r="K197" i="2" s="1"/>
  <c r="F21" i="8" a="1"/>
  <c r="F21" i="8" s="1"/>
  <c r="K36" i="2" s="1" a="1"/>
  <c r="K36" i="2" s="1"/>
  <c r="F69" i="8" a="1"/>
  <c r="F69" i="8" s="1"/>
  <c r="K160" i="2" s="1" a="1"/>
  <c r="K160" i="2" s="1"/>
  <c r="F62" i="8" a="1"/>
  <c r="F62" i="8" s="1"/>
  <c r="K178" i="2" s="1" a="1"/>
  <c r="K178" i="2" s="1"/>
  <c r="F138" i="8" a="1"/>
  <c r="F138" i="8" s="1"/>
  <c r="K232" i="2" s="1" a="1"/>
  <c r="K232" i="2" s="1"/>
  <c r="F76" i="8" a="1"/>
  <c r="F76" i="8" s="1"/>
  <c r="K221" i="2" s="1" a="1"/>
  <c r="K221" i="2" s="1"/>
  <c r="F26" i="8" a="1"/>
  <c r="F26" i="8" s="1"/>
  <c r="K42" i="2" s="1" a="1"/>
  <c r="K42" i="2" s="1"/>
  <c r="F65" i="8" a="1"/>
  <c r="F65" i="8" s="1"/>
  <c r="K150" i="2" s="1" a="1"/>
  <c r="K150" i="2" s="1"/>
  <c r="F160" i="8" a="1"/>
  <c r="F160" i="8" s="1"/>
  <c r="K319" i="2" s="1" a="1"/>
  <c r="K319" i="2" s="1"/>
  <c r="F11" i="8" a="1"/>
  <c r="F11" i="8" s="1"/>
  <c r="K19" i="2" s="1" a="1"/>
  <c r="K19" i="2" s="1"/>
  <c r="F16" i="8" a="1"/>
  <c r="F16" i="8" s="1"/>
  <c r="K46" i="2" s="1" a="1"/>
  <c r="K46" i="2" s="1"/>
  <c r="F47" i="8" a="1"/>
  <c r="F47" i="8" s="1"/>
  <c r="K191" i="2" s="1" a="1"/>
  <c r="K191" i="2" s="1"/>
  <c r="F123" i="8" a="1"/>
  <c r="F123" i="8" s="1"/>
  <c r="K235" i="2" s="1" a="1"/>
  <c r="K235" i="2" s="1"/>
  <c r="F60" i="8" a="1"/>
  <c r="F60" i="8" s="1"/>
  <c r="K180" i="2" s="1" a="1"/>
  <c r="K180" i="2" s="1"/>
  <c r="F85" i="8" a="1"/>
  <c r="F85" i="8" s="1"/>
  <c r="K145" i="2" s="1" a="1"/>
  <c r="K145" i="2" s="1"/>
  <c r="F99" i="8" a="1"/>
  <c r="F99" i="8" s="1"/>
  <c r="K199" i="2" s="1" a="1"/>
  <c r="K199" i="2" s="1"/>
  <c r="F75" i="8" a="1"/>
  <c r="F75" i="8" s="1"/>
  <c r="K257" i="2" s="1" a="1"/>
  <c r="K257" i="2" s="1"/>
  <c r="F28" i="8" a="1"/>
  <c r="F28" i="8" s="1"/>
  <c r="K120" i="2" s="1" a="1"/>
  <c r="K120" i="2" s="1"/>
  <c r="F118" i="8" a="1"/>
  <c r="F118" i="8" s="1"/>
  <c r="K164" i="2" s="1" a="1"/>
  <c r="K164" i="2" s="1"/>
  <c r="F193" i="8" a="1"/>
  <c r="F193" i="8" s="1"/>
  <c r="K402" i="2" s="1" a="1"/>
  <c r="K402" i="2" s="1"/>
  <c r="F5" i="8" a="1"/>
  <c r="F5" i="8" s="1"/>
  <c r="K6" i="2" s="1" a="1"/>
  <c r="K6" i="2" s="1"/>
  <c r="F41" i="8" a="1"/>
  <c r="F41" i="8" s="1"/>
  <c r="K148" i="2" s="1" a="1"/>
  <c r="K148" i="2" s="1"/>
  <c r="F154" i="8" a="1"/>
  <c r="F154" i="8" s="1"/>
  <c r="K275" i="2" s="1" a="1"/>
  <c r="K275" i="2" s="1"/>
  <c r="F48" i="8" a="1"/>
  <c r="F48" i="8" s="1"/>
  <c r="K161" i="2" s="1" a="1"/>
  <c r="K161" i="2" s="1"/>
  <c r="F199" i="8" a="1"/>
  <c r="F199" i="8" s="1"/>
  <c r="K309" i="2" s="1" a="1"/>
  <c r="K309" i="2" s="1"/>
  <c r="F42" i="8" a="1"/>
  <c r="F42" i="8" s="1"/>
  <c r="K110" i="2" s="1" a="1"/>
  <c r="K110" i="2" s="1"/>
  <c r="F23" i="8" a="1"/>
  <c r="F23" i="8" s="1"/>
  <c r="K24" i="2" s="1" a="1"/>
  <c r="K24" i="2" s="1"/>
  <c r="F166" i="8" a="1"/>
  <c r="F166" i="8" s="1"/>
  <c r="K279" i="2" s="1" a="1"/>
  <c r="K279" i="2" s="1"/>
  <c r="F192" i="8" a="1"/>
  <c r="F192" i="8" s="1"/>
  <c r="K371" i="2" s="1" a="1"/>
  <c r="K371" i="2" s="1"/>
  <c r="F177" i="8" a="1"/>
  <c r="F177" i="8" s="1"/>
  <c r="K271" i="2" s="1" a="1"/>
  <c r="K271" i="2" s="1"/>
  <c r="F171" i="8" a="1"/>
  <c r="F171" i="8" s="1"/>
  <c r="K251" i="2" s="1" a="1"/>
  <c r="K251" i="2" s="1"/>
  <c r="F191" i="8" a="1"/>
  <c r="F191" i="8" s="1"/>
  <c r="K316" i="2" s="1" a="1"/>
  <c r="K316" i="2" s="1"/>
  <c r="F88" i="8" a="1"/>
  <c r="F88" i="8" s="1"/>
  <c r="K84" i="2" s="1" a="1"/>
  <c r="K84" i="2" s="1"/>
  <c r="F117" i="8" a="1"/>
  <c r="F117" i="8" s="1"/>
  <c r="K344" i="2" s="1" a="1"/>
  <c r="K344" i="2" s="1"/>
  <c r="F144" i="8" a="1"/>
  <c r="F144" i="8" s="1"/>
  <c r="K312" i="2" s="1" a="1"/>
  <c r="K312" i="2" s="1"/>
  <c r="F156" i="8" a="1"/>
  <c r="F156" i="8" s="1"/>
  <c r="K280" i="2" s="1" a="1"/>
  <c r="K280" i="2" s="1"/>
  <c r="F131" i="8" a="1"/>
  <c r="F131" i="8" s="1"/>
  <c r="K292" i="2" s="1" a="1"/>
  <c r="K292" i="2" s="1"/>
  <c r="F161" i="8" a="1"/>
  <c r="F161" i="8" s="1"/>
  <c r="K370" i="2" s="1" a="1"/>
  <c r="K370" i="2" s="1"/>
  <c r="F183" i="8" a="1"/>
  <c r="F183" i="8" s="1"/>
  <c r="K194" i="2" s="1" a="1"/>
  <c r="K194" i="2" s="1"/>
  <c r="F170" i="8" a="1"/>
  <c r="F170" i="8" s="1"/>
  <c r="K248" i="2" s="1" a="1"/>
  <c r="K248" i="2" s="1"/>
  <c r="F159" i="8" a="1"/>
  <c r="F159" i="8" s="1"/>
  <c r="K327" i="2" s="1" a="1"/>
  <c r="K327" i="2" s="1"/>
  <c r="F98" i="8" a="1"/>
  <c r="F98" i="8" s="1"/>
  <c r="K320" i="2" s="1" a="1"/>
  <c r="K320" i="2" s="1"/>
  <c r="F45" i="8" a="1"/>
  <c r="F45" i="8" s="1"/>
  <c r="K249" i="2" s="1" a="1"/>
  <c r="K249" i="2" s="1"/>
  <c r="F67" i="8" a="1"/>
  <c r="F67" i="8" s="1"/>
  <c r="K210" i="2" s="1" a="1"/>
  <c r="K210" i="2" s="1"/>
  <c r="F130" i="8" a="1"/>
  <c r="F130" i="8" s="1"/>
  <c r="K288" i="2" s="1" a="1"/>
  <c r="K288" i="2" s="1"/>
  <c r="F135" i="8" a="1"/>
  <c r="F135" i="8" s="1"/>
  <c r="K259" i="2" s="1" a="1"/>
  <c r="K259" i="2" s="1"/>
  <c r="F64" i="8" a="1"/>
  <c r="F64" i="8" s="1"/>
  <c r="K138" i="2" s="1" a="1"/>
  <c r="K138" i="2" s="1"/>
  <c r="F4" i="8" a="1"/>
  <c r="F4" i="8" s="1"/>
  <c r="K2" i="2" s="1" a="1"/>
  <c r="K2" i="2" s="1"/>
  <c r="F180" i="8" a="1"/>
  <c r="F180" i="8" s="1"/>
  <c r="K341" i="2" s="1" a="1"/>
  <c r="K341" i="2" s="1"/>
  <c r="F114" i="8" a="1"/>
  <c r="F114" i="8" s="1"/>
  <c r="K330" i="2" s="1" a="1"/>
  <c r="K330" i="2" s="1"/>
  <c r="F3" i="8" a="1"/>
  <c r="F3" i="8" s="1"/>
  <c r="F8" i="8" a="1"/>
  <c r="F8" i="8" s="1"/>
  <c r="K16" i="2" s="1" a="1"/>
  <c r="K16" i="2" s="1"/>
  <c r="F63" i="8" a="1"/>
  <c r="F63" i="8" s="1"/>
  <c r="K100" i="2" s="1" a="1"/>
  <c r="K100" i="2" s="1"/>
  <c r="F54" i="8" a="1"/>
  <c r="F54" i="8" s="1"/>
  <c r="K169" i="2" s="1" a="1"/>
  <c r="K169" i="2" s="1"/>
  <c r="F105" i="8" a="1"/>
  <c r="F105" i="8" s="1"/>
  <c r="K206" i="2" s="1" a="1"/>
  <c r="K206" i="2" s="1"/>
  <c r="F133" i="8" a="1"/>
  <c r="F133" i="8" s="1"/>
  <c r="K227" i="2" s="1" a="1"/>
  <c r="K227" i="2" s="1"/>
  <c r="F68" i="8" a="1"/>
  <c r="F68" i="8" s="1"/>
  <c r="K166" i="2" s="1" a="1"/>
  <c r="K166" i="2" s="1"/>
  <c r="F167" i="8" a="1"/>
  <c r="F167" i="8" s="1"/>
  <c r="K345" i="2" s="1" a="1"/>
  <c r="K345" i="2" s="1"/>
  <c r="F134" i="8" a="1"/>
  <c r="F134" i="8" s="1"/>
  <c r="K185" i="2" s="1" a="1"/>
  <c r="K185" i="2" s="1"/>
  <c r="F137" i="8" a="1"/>
  <c r="F137" i="8" s="1"/>
  <c r="K196" i="2" s="1" a="1"/>
  <c r="K196" i="2" s="1"/>
  <c r="F163" i="8" a="1"/>
  <c r="F163" i="8" s="1"/>
  <c r="K412" i="2" s="1" a="1"/>
  <c r="K412" i="2" s="1"/>
  <c r="F197" i="8" a="1"/>
  <c r="F197" i="8" s="1"/>
  <c r="K367" i="2" s="1" a="1"/>
  <c r="K367" i="2" s="1"/>
  <c r="J129" i="5" a="1"/>
  <c r="J129" i="5" s="1"/>
  <c r="F129" i="5" s="1" a="1"/>
  <c r="F129" i="5" s="1"/>
  <c r="J79" i="5" a="1"/>
  <c r="J79" i="5" s="1"/>
  <c r="F79" i="5" s="1" a="1"/>
  <c r="F79" i="5" s="1"/>
  <c r="K439" i="2" s="1" a="1"/>
  <c r="K439" i="2" s="1"/>
  <c r="J308" i="4" a="1"/>
  <c r="J308" i="4" s="1"/>
  <c r="F308" i="4" s="1" a="1"/>
  <c r="F308" i="4" s="1"/>
  <c r="J179" i="7" a="1"/>
  <c r="J179" i="7" s="1"/>
  <c r="F179" i="7" s="1" a="1"/>
  <c r="F179" i="7" s="1"/>
  <c r="K588" i="2" s="1" a="1"/>
  <c r="K588" i="2" s="1"/>
  <c r="J77" i="4" a="1"/>
  <c r="J77" i="4" s="1"/>
  <c r="F77" i="4" s="1" a="1"/>
  <c r="F77" i="4" s="1"/>
  <c r="J174" i="6" a="1"/>
  <c r="J174" i="6" s="1"/>
  <c r="F174" i="6" s="1" a="1"/>
  <c r="F174" i="6" s="1"/>
  <c r="J185" i="6" a="1"/>
  <c r="J185" i="6" s="1"/>
  <c r="F185" i="6" s="1" a="1"/>
  <c r="F185" i="6" s="1"/>
  <c r="K480" i="2" s="1" a="1"/>
  <c r="K480" i="2" s="1"/>
  <c r="J17" i="7" a="1"/>
  <c r="J17" i="7" s="1"/>
  <c r="F17" i="7" s="1" a="1"/>
  <c r="F17" i="7" s="1"/>
  <c r="K54" i="2" s="1" a="1"/>
  <c r="K54" i="2" s="1"/>
  <c r="J151" i="6" a="1"/>
  <c r="J151" i="6" s="1"/>
  <c r="F151" i="6" s="1" a="1"/>
  <c r="F151" i="6" s="1"/>
  <c r="J55" i="5" a="1"/>
  <c r="J55" i="5" s="1"/>
  <c r="F55" i="5" s="1" a="1"/>
  <c r="F55" i="5" s="1"/>
  <c r="F336" i="4" a="1"/>
  <c r="F336" i="4" s="1"/>
  <c r="J158" i="4" a="1"/>
  <c r="J158" i="4" s="1"/>
  <c r="F158" i="4" s="1" a="1"/>
  <c r="F158" i="4" s="1"/>
  <c r="F164" i="7" a="1"/>
  <c r="F164" i="7" s="1"/>
  <c r="K511" i="2" s="1" a="1"/>
  <c r="K511" i="2" s="1"/>
  <c r="J198" i="5" a="1"/>
  <c r="J198" i="5" s="1"/>
  <c r="F198" i="5" s="1" a="1"/>
  <c r="F198" i="5" s="1"/>
  <c r="K619" i="2" s="1" a="1"/>
  <c r="K619" i="2" s="1"/>
  <c r="J129" i="6" a="1"/>
  <c r="J129" i="6" s="1"/>
  <c r="F129" i="6" s="1" a="1"/>
  <c r="F129" i="6" s="1"/>
  <c r="J138" i="4" a="1"/>
  <c r="J138" i="4" s="1"/>
  <c r="F138" i="4" s="1" a="1"/>
  <c r="F138" i="4" s="1"/>
  <c r="J199" i="6" a="1"/>
  <c r="J199" i="6" s="1"/>
  <c r="F199" i="6" s="1" a="1"/>
  <c r="F199" i="6" s="1"/>
  <c r="K632" i="2" s="1" a="1"/>
  <c r="K632" i="2" s="1"/>
  <c r="J75" i="7" a="1"/>
  <c r="J75" i="7" s="1"/>
  <c r="F75" i="7" s="1" a="1"/>
  <c r="F75" i="7" s="1"/>
  <c r="K382" i="2" s="1" a="1"/>
  <c r="K382" i="2" s="1"/>
  <c r="J15" i="4" a="1"/>
  <c r="J15" i="4" s="1"/>
  <c r="F15" i="4" s="1" a="1"/>
  <c r="F15" i="4" s="1"/>
  <c r="J150" i="7" a="1"/>
  <c r="J150" i="7" s="1"/>
  <c r="F150" i="7" s="1" a="1"/>
  <c r="F150" i="7" s="1"/>
  <c r="K491" i="2" s="1" a="1"/>
  <c r="K491" i="2" s="1"/>
  <c r="J62" i="7" a="1"/>
  <c r="J62" i="7" s="1"/>
  <c r="F62" i="7" s="1" a="1"/>
  <c r="F62" i="7" s="1"/>
  <c r="K321" i="2" s="1" a="1"/>
  <c r="K321" i="2" s="1"/>
  <c r="F121" i="8" a="1"/>
  <c r="F121" i="8" s="1"/>
  <c r="K250" i="2" s="1" a="1"/>
  <c r="K250" i="2" s="1"/>
  <c r="J343" i="4" a="1"/>
  <c r="J343" i="4" s="1"/>
  <c r="F343" i="4" s="1" a="1"/>
  <c r="F343" i="4" s="1"/>
  <c r="F35" i="8" a="1"/>
  <c r="F35" i="8" s="1"/>
  <c r="K68" i="2" s="1" a="1"/>
  <c r="K68" i="2" s="1"/>
  <c r="F161" i="6" a="1"/>
  <c r="F161" i="6" s="1"/>
  <c r="K625" i="2" s="1" a="1"/>
  <c r="K625" i="2" s="1"/>
  <c r="F15" i="6" a="1"/>
  <c r="F15" i="6" s="1"/>
  <c r="J164" i="4" a="1"/>
  <c r="J164" i="4" s="1"/>
  <c r="F164" i="4" s="1" a="1"/>
  <c r="F164" i="4" s="1"/>
  <c r="J96" i="6" a="1"/>
  <c r="J96" i="6" s="1"/>
  <c r="F96" i="6" s="1" a="1"/>
  <c r="F96" i="6" s="1"/>
  <c r="J146" i="5" a="1"/>
  <c r="J146" i="5" s="1"/>
  <c r="F146" i="5" s="1" a="1"/>
  <c r="F146" i="5" s="1"/>
  <c r="J109" i="4" a="1"/>
  <c r="J109" i="4" s="1"/>
  <c r="F109" i="4" s="1" a="1"/>
  <c r="F109" i="4" s="1"/>
  <c r="J270" i="4" a="1"/>
  <c r="J270" i="4" s="1"/>
  <c r="F270" i="4" s="1" a="1"/>
  <c r="F270" i="4" s="1"/>
  <c r="F362" i="4" a="1"/>
  <c r="F362" i="4" s="1"/>
  <c r="F18" i="8" a="1"/>
  <c r="F18" i="8" s="1"/>
  <c r="K31" i="2" s="1" a="1"/>
  <c r="K31" i="2" s="1"/>
  <c r="F117" i="5" a="1"/>
  <c r="F117" i="5" s="1"/>
  <c r="J204" i="4" a="1"/>
  <c r="J204" i="4" s="1"/>
  <c r="F204" i="4" s="1" a="1"/>
  <c r="F204" i="4" s="1"/>
  <c r="J161" i="5" a="1"/>
  <c r="J161" i="5" s="1"/>
  <c r="F161" i="5" s="1" a="1"/>
  <c r="F161" i="5" s="1"/>
  <c r="J54" i="7" a="1"/>
  <c r="J54" i="7" s="1"/>
  <c r="F54" i="7" s="1" a="1"/>
  <c r="F54" i="7" s="1"/>
  <c r="K307" i="2" s="1" a="1"/>
  <c r="K307" i="2" s="1"/>
  <c r="J160" i="4" a="1"/>
  <c r="J160" i="4" s="1"/>
  <c r="F160" i="4" s="1" a="1"/>
  <c r="F160" i="4" s="1"/>
  <c r="F162" i="6" a="1"/>
  <c r="F162" i="6" s="1"/>
  <c r="K602" i="2" s="1" a="1"/>
  <c r="K602" i="2" s="1"/>
  <c r="J102" i="7" a="1"/>
  <c r="J102" i="7" s="1"/>
  <c r="F102" i="7" s="1" a="1"/>
  <c r="F102" i="7" s="1"/>
  <c r="K459" i="2" s="1" a="1"/>
  <c r="K459" i="2" s="1"/>
  <c r="J244" i="4" a="1"/>
  <c r="J244" i="4" s="1"/>
  <c r="F244" i="4" s="1" a="1"/>
  <c r="F244" i="4" s="1"/>
  <c r="J381" i="4" a="1"/>
  <c r="J381" i="4" s="1"/>
  <c r="F381" i="4" s="1" a="1"/>
  <c r="F381" i="4" s="1"/>
  <c r="J22" i="5" a="1"/>
  <c r="J22" i="5" s="1"/>
  <c r="F22" i="5" s="1" a="1"/>
  <c r="F22" i="5" s="1"/>
  <c r="K70" i="2" s="1" a="1"/>
  <c r="K70" i="2" s="1"/>
  <c r="J34" i="4" a="1"/>
  <c r="J34" i="4" s="1"/>
  <c r="F34" i="4" s="1" a="1"/>
  <c r="F34" i="4" s="1"/>
  <c r="J86" i="4" a="1"/>
  <c r="J86" i="4" s="1"/>
  <c r="F86" i="4" s="1" a="1"/>
  <c r="F86" i="4" s="1"/>
  <c r="J33" i="6" a="1"/>
  <c r="J33" i="6" s="1"/>
  <c r="F33" i="6" s="1" a="1"/>
  <c r="F33" i="6" s="1"/>
  <c r="F139" i="5" a="1"/>
  <c r="F139" i="5" s="1"/>
  <c r="K453" i="2" s="1" a="1"/>
  <c r="K453" i="2" s="1"/>
  <c r="F91" i="5" a="1"/>
  <c r="F91" i="5" s="1"/>
  <c r="K579" i="2" s="1" a="1"/>
  <c r="K579" i="2" s="1"/>
  <c r="F124" i="4" a="1"/>
  <c r="F124" i="4" s="1"/>
  <c r="J201" i="4" a="1"/>
  <c r="J201" i="4" s="1"/>
  <c r="F201" i="4" s="1" a="1"/>
  <c r="F201" i="4" s="1"/>
  <c r="F100" i="4" a="1"/>
  <c r="F100" i="4" s="1"/>
  <c r="F148" i="8" a="1"/>
  <c r="F148" i="8" s="1"/>
  <c r="K179" i="2" s="1" a="1"/>
  <c r="K179" i="2" s="1"/>
  <c r="J87" i="6" a="1"/>
  <c r="J87" i="6" s="1"/>
  <c r="F87" i="6" s="1" a="1"/>
  <c r="F87" i="6" s="1"/>
  <c r="K524" i="2" s="1" a="1"/>
  <c r="K524" i="2" s="1"/>
  <c r="J153" i="6" a="1"/>
  <c r="J153" i="6" s="1"/>
  <c r="F153" i="6" s="1" a="1"/>
  <c r="F153" i="6" s="1"/>
  <c r="K506" i="2" s="1" a="1"/>
  <c r="K506" i="2" s="1"/>
  <c r="J182" i="5" a="1"/>
  <c r="J182" i="5" s="1"/>
  <c r="F182" i="5" s="1" a="1"/>
  <c r="F182" i="5" s="1"/>
  <c r="J93" i="5" a="1"/>
  <c r="J93" i="5" s="1"/>
  <c r="F93" i="5" s="1" a="1"/>
  <c r="F93" i="5" s="1"/>
  <c r="J209" i="7" a="1"/>
  <c r="J209" i="7" s="1"/>
  <c r="F209" i="7" s="1" a="1"/>
  <c r="F209" i="7" s="1"/>
  <c r="K593" i="2" s="1" a="1"/>
  <c r="K593" i="2" s="1"/>
  <c r="J176" i="7" a="1"/>
  <c r="J176" i="7" s="1"/>
  <c r="F176" i="7" s="1" a="1"/>
  <c r="F176" i="7" s="1"/>
  <c r="K618" i="2" s="1" a="1"/>
  <c r="K618" i="2" s="1"/>
  <c r="J357" i="4" a="1"/>
  <c r="J357" i="4" s="1"/>
  <c r="F357" i="4" s="1" a="1"/>
  <c r="F357" i="4" s="1"/>
  <c r="F141" i="8" a="1"/>
  <c r="F141" i="8" s="1"/>
  <c r="K204" i="2" s="1" a="1"/>
  <c r="K204" i="2" s="1"/>
  <c r="J41" i="7" a="1"/>
  <c r="J41" i="7" s="1"/>
  <c r="F41" i="7" s="1" a="1"/>
  <c r="F41" i="7" s="1"/>
  <c r="K265" i="2" s="1" a="1"/>
  <c r="K265" i="2" s="1"/>
  <c r="J108" i="4" a="1"/>
  <c r="J108" i="4" s="1"/>
  <c r="F108" i="4" s="1" a="1"/>
  <c r="F108" i="4" s="1"/>
  <c r="F51" i="4" a="1"/>
  <c r="F51" i="4" s="1"/>
  <c r="F181" i="4" a="1"/>
  <c r="F181" i="4" s="1"/>
  <c r="J44" i="6" a="1"/>
  <c r="J44" i="6" s="1"/>
  <c r="F44" i="6" s="1" a="1"/>
  <c r="F44" i="6" s="1"/>
  <c r="K252" i="2" s="1" a="1"/>
  <c r="K252" i="2" s="1"/>
  <c r="J53" i="7" a="1"/>
  <c r="J53" i="7" s="1"/>
  <c r="F53" i="7" s="1" a="1"/>
  <c r="F53" i="7" s="1"/>
  <c r="K234" i="2" s="1" a="1"/>
  <c r="K234" i="2" s="1"/>
  <c r="J82" i="5" a="1"/>
  <c r="J82" i="5" s="1"/>
  <c r="F82" i="5" s="1" a="1"/>
  <c r="F82" i="5" s="1"/>
  <c r="K376" i="2" s="1" a="1"/>
  <c r="K376" i="2" s="1"/>
  <c r="J170" i="5" a="1"/>
  <c r="J170" i="5" s="1"/>
  <c r="F170" i="5" s="1" a="1"/>
  <c r="F170" i="5" s="1"/>
  <c r="K604" i="2" s="1" a="1"/>
  <c r="K604" i="2" s="1"/>
  <c r="J108" i="6" a="1"/>
  <c r="J108" i="6" s="1"/>
  <c r="F108" i="6" s="1" a="1"/>
  <c r="F108" i="6" s="1"/>
  <c r="K469" i="2" s="1" a="1"/>
  <c r="K469" i="2" s="1"/>
  <c r="J17" i="9" a="1"/>
  <c r="J17" i="9" s="1"/>
  <c r="F128" i="6" a="1"/>
  <c r="F128" i="6" s="1"/>
  <c r="K451" i="2" s="1" a="1"/>
  <c r="K451" i="2" s="1"/>
  <c r="J142" i="5" a="1"/>
  <c r="J142" i="5" s="1"/>
  <c r="F142" i="5" s="1" a="1"/>
  <c r="F142" i="5" s="1"/>
  <c r="K640" i="2" s="1" a="1"/>
  <c r="K640" i="2" s="1"/>
  <c r="J69" i="6" a="1"/>
  <c r="J69" i="6" s="1"/>
  <c r="F69" i="6" s="1" a="1"/>
  <c r="F69" i="6" s="1"/>
  <c r="J132" i="5" a="1"/>
  <c r="J132" i="5" s="1"/>
  <c r="F132" i="5" s="1" a="1"/>
  <c r="F132" i="5" s="1"/>
  <c r="J202" i="7" a="1"/>
  <c r="J202" i="7" s="1"/>
  <c r="F202" i="7" s="1" a="1"/>
  <c r="F202" i="7" s="1"/>
  <c r="K669" i="2" s="1" a="1"/>
  <c r="K669" i="2" s="1"/>
  <c r="J29" i="7" a="1"/>
  <c r="J29" i="7" s="1"/>
  <c r="F29" i="7" s="1" a="1"/>
  <c r="F29" i="7" s="1"/>
  <c r="K335" i="2" s="1" a="1"/>
  <c r="K335" i="2" s="1"/>
  <c r="J269" i="4" a="1"/>
  <c r="J269" i="4" s="1"/>
  <c r="F269" i="4" s="1" a="1"/>
  <c r="F269" i="4" s="1"/>
  <c r="J159" i="4" a="1"/>
  <c r="J159" i="4" s="1"/>
  <c r="F159" i="4" s="1" a="1"/>
  <c r="F159" i="4" s="1"/>
  <c r="J157" i="7" a="1"/>
  <c r="J157" i="7" s="1"/>
  <c r="F157" i="7" s="1" a="1"/>
  <c r="F157" i="7" s="1"/>
  <c r="K603" i="2" s="1" a="1"/>
  <c r="K603" i="2" s="1"/>
  <c r="J396" i="4" a="1"/>
  <c r="J396" i="4" s="1"/>
  <c r="F396" i="4" s="1" a="1"/>
  <c r="F396" i="4" s="1"/>
  <c r="J188" i="5" a="1"/>
  <c r="J188" i="5" s="1"/>
  <c r="F188" i="5" s="1" a="1"/>
  <c r="F188" i="5" s="1"/>
  <c r="K568" i="2" s="1" a="1"/>
  <c r="K568" i="2" s="1"/>
  <c r="J404" i="4" a="1"/>
  <c r="J404" i="4" s="1"/>
  <c r="F404" i="4" s="1" a="1"/>
  <c r="F404" i="4" s="1"/>
  <c r="J159" i="6" a="1"/>
  <c r="J159" i="6" s="1"/>
  <c r="F159" i="6" s="1" a="1"/>
  <c r="F159" i="6" s="1"/>
  <c r="K592" i="2" s="1" a="1"/>
  <c r="K592" i="2" s="1"/>
  <c r="J16" i="5" a="1"/>
  <c r="J16" i="5" s="1"/>
  <c r="F16" i="5" s="1" a="1"/>
  <c r="F16" i="5" s="1"/>
  <c r="K56" i="2" s="1" a="1"/>
  <c r="K56" i="2" s="1"/>
  <c r="J30" i="5" a="1"/>
  <c r="J30" i="5" s="1"/>
  <c r="F30" i="5" s="1" a="1"/>
  <c r="F30" i="5" s="1"/>
  <c r="K229" i="2" s="1" a="1"/>
  <c r="K229" i="2" s="1"/>
  <c r="F177" i="7" a="1"/>
  <c r="F177" i="7" s="1"/>
  <c r="K597" i="2" s="1" a="1"/>
  <c r="K597" i="2" s="1"/>
  <c r="J74" i="6" a="1"/>
  <c r="J74" i="6" s="1"/>
  <c r="F74" i="6" s="1" a="1"/>
  <c r="F74" i="6" s="1"/>
  <c r="F147" i="8" a="1"/>
  <c r="F147" i="8" s="1"/>
  <c r="K342" i="2" s="1" a="1"/>
  <c r="K342" i="2" s="1"/>
  <c r="J44" i="5" a="1"/>
  <c r="J44" i="5" s="1"/>
  <c r="F44" i="5" s="1" a="1"/>
  <c r="F44" i="5" s="1"/>
  <c r="K208" i="2" s="1" a="1"/>
  <c r="K208" i="2" s="1"/>
  <c r="F53" i="8" a="1"/>
  <c r="F53" i="8" s="1"/>
  <c r="K195" i="2" s="1" a="1"/>
  <c r="K195" i="2" s="1"/>
  <c r="J71" i="5" a="1"/>
  <c r="J71" i="5" s="1"/>
  <c r="F71" i="5" s="1" a="1"/>
  <c r="F71" i="5" s="1"/>
  <c r="J250" i="4" a="1"/>
  <c r="J250" i="4" s="1"/>
  <c r="F250" i="4" s="1" a="1"/>
  <c r="F250" i="4" s="1"/>
  <c r="J3" i="7" a="1"/>
  <c r="J3" i="7" s="1"/>
  <c r="F3" i="7" s="1" a="1"/>
  <c r="F3" i="7" s="1"/>
  <c r="J54" i="4" a="1"/>
  <c r="J54" i="4" s="1"/>
  <c r="F54" i="4" s="1" a="1"/>
  <c r="F54" i="4" s="1"/>
  <c r="J65" i="5" a="1"/>
  <c r="J65" i="5" s="1"/>
  <c r="F65" i="5" s="1" a="1"/>
  <c r="F65" i="5" s="1"/>
  <c r="K290" i="2" s="1" a="1"/>
  <c r="K290" i="2" s="1"/>
  <c r="J192" i="6" a="1"/>
  <c r="J192" i="6" s="1"/>
  <c r="F192" i="6" s="1" a="1"/>
  <c r="F192" i="6" s="1"/>
  <c r="K655" i="2" s="1" a="1"/>
  <c r="K655" i="2" s="1"/>
  <c r="J146" i="7" a="1"/>
  <c r="J146" i="7" s="1"/>
  <c r="F146" i="7" s="1" a="1"/>
  <c r="F146" i="7" s="1"/>
  <c r="K465" i="2" s="1" a="1"/>
  <c r="K465" i="2" s="1"/>
  <c r="F188" i="6" a="1"/>
  <c r="F188" i="6" s="1"/>
  <c r="K607" i="2" s="1" a="1"/>
  <c r="K607" i="2" s="1"/>
  <c r="F79" i="8" a="1"/>
  <c r="F79" i="8" s="1"/>
  <c r="K127" i="2" s="1" a="1"/>
  <c r="K127" i="2" s="1"/>
  <c r="J39" i="6" a="1"/>
  <c r="J39" i="6" s="1"/>
  <c r="F39" i="6" s="1" a="1"/>
  <c r="F39" i="6" s="1"/>
  <c r="J123" i="6" a="1"/>
  <c r="J123" i="6" s="1"/>
  <c r="F123" i="6" s="1" a="1"/>
  <c r="F123" i="6" s="1"/>
  <c r="F200" i="8" a="1"/>
  <c r="F200" i="8" s="1"/>
  <c r="K362" i="2" s="1" a="1"/>
  <c r="K362" i="2" s="1"/>
  <c r="F13" i="8" a="1"/>
  <c r="F13" i="8" s="1"/>
  <c r="K41" i="2" s="1" a="1"/>
  <c r="K41" i="2" s="1"/>
  <c r="J203" i="6" a="1"/>
  <c r="J203" i="6" s="1"/>
  <c r="F203" i="6" s="1" a="1"/>
  <c r="F203" i="6" s="1"/>
  <c r="J194" i="4" a="1"/>
  <c r="J194" i="4" s="1"/>
  <c r="F194" i="4" s="1" a="1"/>
  <c r="F194" i="4" s="1"/>
  <c r="J6" i="7" a="1"/>
  <c r="J6" i="7" s="1"/>
  <c r="F6" i="7" s="1" a="1"/>
  <c r="F6" i="7" s="1"/>
  <c r="K21" i="2" s="1" a="1"/>
  <c r="K21" i="2" s="1"/>
  <c r="J201" i="5" a="1"/>
  <c r="J201" i="5" s="1"/>
  <c r="F201" i="5" s="1" a="1"/>
  <c r="F201" i="5" s="1"/>
  <c r="K595" i="2" s="1" a="1"/>
  <c r="K595" i="2" s="1"/>
  <c r="J37" i="7" a="1"/>
  <c r="J37" i="7" s="1"/>
  <c r="F37" i="7" s="1" a="1"/>
  <c r="F37" i="7" s="1"/>
  <c r="K224" i="2" s="1" a="1"/>
  <c r="K224" i="2" s="1"/>
  <c r="J340" i="4" a="1"/>
  <c r="J340" i="4" s="1"/>
  <c r="F340" i="4" s="1" a="1"/>
  <c r="F340" i="4" s="1"/>
  <c r="J378" i="4" a="1"/>
  <c r="J378" i="4" s="1"/>
  <c r="F378" i="4" s="1" a="1"/>
  <c r="F378" i="4" s="1"/>
  <c r="J79" i="6" a="1"/>
  <c r="J79" i="6" s="1"/>
  <c r="F79" i="6" s="1" a="1"/>
  <c r="F79" i="6" s="1"/>
  <c r="J322" i="4" a="1"/>
  <c r="J322" i="4" s="1"/>
  <c r="F322" i="4" s="1" a="1"/>
  <c r="F322" i="4" s="1"/>
  <c r="J370" i="4" a="1"/>
  <c r="J370" i="4" s="1"/>
  <c r="F370" i="4" s="1" a="1"/>
  <c r="F370" i="4" s="1"/>
  <c r="F177" i="5" a="1"/>
  <c r="F177" i="5" s="1"/>
  <c r="J82" i="4" a="1"/>
  <c r="J82" i="4" s="1"/>
  <c r="F82" i="4" s="1" a="1"/>
  <c r="F82" i="4" s="1"/>
  <c r="F72" i="7" a="1"/>
  <c r="F72" i="7" s="1"/>
  <c r="K214" i="2" s="1" a="1"/>
  <c r="K214" i="2" s="1"/>
  <c r="J90" i="4" a="1"/>
  <c r="J90" i="4" s="1"/>
  <c r="F90" i="4" s="1" a="1"/>
  <c r="F90" i="4" s="1"/>
  <c r="J34" i="9" a="1"/>
  <c r="J34" i="9" s="1"/>
  <c r="J235" i="4" a="1"/>
  <c r="J235" i="4" s="1"/>
  <c r="F235" i="4" s="1" a="1"/>
  <c r="F235" i="4" s="1"/>
  <c r="F93" i="4" a="1"/>
  <c r="F93" i="4" s="1"/>
  <c r="J207" i="4" a="1"/>
  <c r="J207" i="4" s="1"/>
  <c r="F207" i="4" s="1" a="1"/>
  <c r="F207" i="4" s="1"/>
  <c r="J203" i="7" a="1"/>
  <c r="J203" i="7" s="1"/>
  <c r="F203" i="7" s="1" a="1"/>
  <c r="F203" i="7" s="1"/>
  <c r="K610" i="2" s="1" a="1"/>
  <c r="K610" i="2" s="1"/>
  <c r="J152" i="5" a="1"/>
  <c r="J152" i="5" s="1"/>
  <c r="F152" i="5" s="1" a="1"/>
  <c r="F152" i="5" s="1"/>
  <c r="K497" i="2" s="1" a="1"/>
  <c r="K497" i="2" s="1"/>
  <c r="J283" i="4" a="1"/>
  <c r="J283" i="4" s="1"/>
  <c r="F283" i="4" s="1" a="1"/>
  <c r="F283" i="4" s="1"/>
  <c r="J356" i="4" a="1"/>
  <c r="J356" i="4" s="1"/>
  <c r="F356" i="4" s="1" a="1"/>
  <c r="F356" i="4" s="1"/>
  <c r="J156" i="5" a="1"/>
  <c r="J156" i="5" s="1"/>
  <c r="F156" i="5" s="1" a="1"/>
  <c r="F156" i="5" s="1"/>
  <c r="F176" i="6" a="1"/>
  <c r="F176" i="6" s="1"/>
  <c r="J183" i="5" a="1"/>
  <c r="J183" i="5" s="1"/>
  <c r="F183" i="5" s="1" a="1"/>
  <c r="F183" i="5" s="1"/>
  <c r="K558" i="2" s="1" a="1"/>
  <c r="K558" i="2" s="1"/>
  <c r="J89" i="6" a="1"/>
  <c r="J89" i="6" s="1"/>
  <c r="F89" i="6" s="1" a="1"/>
  <c r="F89" i="6" s="1"/>
  <c r="K405" i="2" s="1" a="1"/>
  <c r="K405" i="2" s="1"/>
  <c r="J144" i="7" a="1"/>
  <c r="J144" i="7" s="1"/>
  <c r="F144" i="7" s="1" a="1"/>
  <c r="F144" i="7" s="1"/>
  <c r="K580" i="2" s="1" a="1"/>
  <c r="K580" i="2" s="1"/>
  <c r="J327" i="4" a="1"/>
  <c r="J327" i="4" s="1"/>
  <c r="F327" i="4" s="1" a="1"/>
  <c r="F327" i="4" s="1"/>
  <c r="J115" i="4" a="1"/>
  <c r="J115" i="4" s="1"/>
  <c r="F115" i="4" s="1" a="1"/>
  <c r="F115" i="4" s="1"/>
  <c r="J162" i="5" a="1"/>
  <c r="J162" i="5" s="1"/>
  <c r="F162" i="5" s="1" a="1"/>
  <c r="F162" i="5" s="1"/>
  <c r="J24" i="4" a="1"/>
  <c r="J24" i="4" s="1"/>
  <c r="F24" i="4" s="1" a="1"/>
  <c r="F24" i="4" s="1"/>
  <c r="J180" i="7" a="1"/>
  <c r="J180" i="7" s="1"/>
  <c r="F180" i="7" s="1" a="1"/>
  <c r="F180" i="7" s="1"/>
  <c r="K635" i="2" s="1" a="1"/>
  <c r="K635" i="2" s="1"/>
  <c r="J40" i="5" a="1"/>
  <c r="J40" i="5" s="1"/>
  <c r="F40" i="5" s="1" a="1"/>
  <c r="F40" i="5" s="1"/>
  <c r="J398" i="4" a="1"/>
  <c r="J398" i="4" s="1"/>
  <c r="F398" i="4" s="1" a="1"/>
  <c r="F398" i="4" s="1"/>
  <c r="J176" i="4" a="1"/>
  <c r="J176" i="4" s="1"/>
  <c r="F176" i="4" s="1" a="1"/>
  <c r="F176" i="4" s="1"/>
  <c r="J141" i="4" a="1"/>
  <c r="J141" i="4" s="1"/>
  <c r="F141" i="4" s="1" a="1"/>
  <c r="F141" i="4" s="1"/>
  <c r="J334" i="4" a="1"/>
  <c r="J334" i="4" s="1"/>
  <c r="F334" i="4" s="1" a="1"/>
  <c r="F334" i="4" s="1"/>
  <c r="J34" i="7" a="1"/>
  <c r="J34" i="7" s="1"/>
  <c r="F34" i="7" s="1" a="1"/>
  <c r="F34" i="7" s="1"/>
  <c r="K183" i="2" s="1" a="1"/>
  <c r="K183" i="2" s="1"/>
  <c r="J4" i="4" a="1"/>
  <c r="J4" i="4" s="1"/>
  <c r="F4" i="4" s="1" a="1"/>
  <c r="F4" i="4" s="1"/>
  <c r="J159" i="5" a="1"/>
  <c r="J159" i="5" s="1"/>
  <c r="F159" i="5" s="1" a="1"/>
  <c r="F159" i="5" s="1"/>
  <c r="K573" i="2" s="1" a="1"/>
  <c r="K573" i="2" s="1"/>
  <c r="F68" i="5" a="1"/>
  <c r="F68" i="5" s="1"/>
  <c r="K304" i="2" s="1" a="1"/>
  <c r="K304" i="2" s="1"/>
  <c r="J400" i="4" a="1"/>
  <c r="J400" i="4" s="1"/>
  <c r="F400" i="4" s="1" a="1"/>
  <c r="F400" i="4" s="1"/>
  <c r="J145" i="7" a="1"/>
  <c r="J145" i="7" s="1"/>
  <c r="F145" i="7" s="1" a="1"/>
  <c r="F145" i="7" s="1"/>
  <c r="K520" i="2" s="1" a="1"/>
  <c r="K520" i="2" s="1"/>
  <c r="J42" i="9" a="1"/>
  <c r="J42" i="9" s="1"/>
  <c r="F120" i="7" a="1"/>
  <c r="F120" i="7" s="1"/>
  <c r="K479" i="2" s="1" a="1"/>
  <c r="K479" i="2" s="1"/>
  <c r="F164" i="6" a="1"/>
  <c r="F164" i="6" s="1"/>
  <c r="K569" i="2" s="1" a="1"/>
  <c r="K569" i="2" s="1"/>
  <c r="J338" i="4" a="1"/>
  <c r="J338" i="4" s="1"/>
  <c r="F338" i="4" s="1" a="1"/>
  <c r="F338" i="4" s="1"/>
  <c r="J20" i="4" a="1"/>
  <c r="J20" i="4" s="1"/>
  <c r="F20" i="4" s="1" a="1"/>
  <c r="F20" i="4" s="1"/>
  <c r="J144" i="5" a="1"/>
  <c r="J144" i="5" s="1"/>
  <c r="F144" i="5" s="1" a="1"/>
  <c r="F144" i="5" s="1"/>
  <c r="J97" i="7" a="1"/>
  <c r="J97" i="7" s="1"/>
  <c r="F97" i="7" s="1" a="1"/>
  <c r="F97" i="7" s="1"/>
  <c r="K540" i="2" s="1" a="1"/>
  <c r="K540" i="2" s="1"/>
  <c r="J88" i="4" a="1"/>
  <c r="J88" i="4" s="1"/>
  <c r="F88" i="4" s="1" a="1"/>
  <c r="F88" i="4" s="1"/>
  <c r="J29" i="6" a="1"/>
  <c r="J29" i="6" s="1"/>
  <c r="F29" i="6" s="1" a="1"/>
  <c r="F29" i="6" s="1"/>
  <c r="J152" i="4" a="1"/>
  <c r="J152" i="4" s="1"/>
  <c r="F152" i="4" s="1" a="1"/>
  <c r="F152" i="4" s="1"/>
  <c r="F198" i="4" a="1"/>
  <c r="F198" i="4" s="1"/>
  <c r="J292" i="4" a="1"/>
  <c r="J292" i="4" s="1"/>
  <c r="F292" i="4" s="1" a="1"/>
  <c r="F292" i="4" s="1"/>
  <c r="J134" i="7" a="1"/>
  <c r="J134" i="7" s="1"/>
  <c r="F134" i="7" s="1" a="1"/>
  <c r="F134" i="7" s="1"/>
  <c r="K652" i="2" s="1" a="1"/>
  <c r="K652" i="2" s="1"/>
  <c r="J98" i="5" a="1"/>
  <c r="J98" i="5" s="1"/>
  <c r="F98" i="5" s="1" a="1"/>
  <c r="F98" i="5" s="1"/>
  <c r="K429" i="2" s="1" a="1"/>
  <c r="K429" i="2" s="1"/>
  <c r="F294" i="4" a="1"/>
  <c r="F294" i="4" s="1"/>
  <c r="J286" i="4" a="1"/>
  <c r="J286" i="4" s="1"/>
  <c r="F286" i="4" s="1" a="1"/>
  <c r="F286" i="4" s="1"/>
  <c r="F64" i="5" a="1"/>
  <c r="F64" i="5" s="1"/>
  <c r="J296" i="4" a="1"/>
  <c r="J296" i="4" s="1"/>
  <c r="F296" i="4" s="1" a="1"/>
  <c r="F296" i="4" s="1"/>
  <c r="J90" i="6" a="1"/>
  <c r="J90" i="6" s="1"/>
  <c r="F90" i="6" s="1" a="1"/>
  <c r="F90" i="6" s="1"/>
  <c r="J189" i="5" a="1"/>
  <c r="J189" i="5" s="1"/>
  <c r="F189" i="5" s="1" a="1"/>
  <c r="F189" i="5" s="1"/>
  <c r="K574" i="2" s="1" a="1"/>
  <c r="K574" i="2" s="1"/>
  <c r="J188" i="4" a="1"/>
  <c r="J188" i="4" s="1"/>
  <c r="F188" i="4" s="1" a="1"/>
  <c r="F188" i="4" s="1"/>
  <c r="J274" i="4" a="1"/>
  <c r="J274" i="4" s="1"/>
  <c r="F274" i="4" s="1" a="1"/>
  <c r="F274" i="4" s="1"/>
  <c r="J277" i="4" a="1"/>
  <c r="J277" i="4" s="1"/>
  <c r="F277" i="4" s="1" a="1"/>
  <c r="F277" i="4" s="1"/>
  <c r="J246" i="4" a="1"/>
  <c r="J246" i="4" s="1"/>
  <c r="F246" i="4" s="1" a="1"/>
  <c r="F246" i="4" s="1"/>
  <c r="J180" i="4" a="1"/>
  <c r="J180" i="4" s="1"/>
  <c r="F180" i="4" s="1" a="1"/>
  <c r="F180" i="4" s="1"/>
  <c r="J187" i="4" a="1"/>
  <c r="J187" i="4" s="1"/>
  <c r="F187" i="4" s="1" a="1"/>
  <c r="F187" i="4" s="1"/>
  <c r="J364" i="4" a="1"/>
  <c r="J364" i="4" s="1"/>
  <c r="F364" i="4" s="1" a="1"/>
  <c r="F364" i="4" s="1"/>
  <c r="J115" i="6" a="1"/>
  <c r="J115" i="6" s="1"/>
  <c r="F115" i="6" s="1" a="1"/>
  <c r="F115" i="6" s="1"/>
  <c r="F20" i="6" a="1"/>
  <c r="F20" i="6" s="1"/>
  <c r="J253" i="4" a="1"/>
  <c r="J253" i="4" s="1"/>
  <c r="F253" i="4" s="1" a="1"/>
  <c r="F253" i="4" s="1"/>
  <c r="J285" i="4" a="1"/>
  <c r="J285" i="4" s="1"/>
  <c r="F285" i="4" s="1" a="1"/>
  <c r="F285" i="4" s="1"/>
  <c r="J14" i="9" a="1"/>
  <c r="J14" i="9" s="1"/>
  <c r="J171" i="7" a="1"/>
  <c r="J171" i="7" s="1"/>
  <c r="F171" i="7" s="1" a="1"/>
  <c r="F171" i="7" s="1"/>
  <c r="K338" i="2" s="1" a="1"/>
  <c r="K338" i="2" s="1"/>
  <c r="J368" i="4" a="1"/>
  <c r="J368" i="4" s="1"/>
  <c r="F368" i="4" s="1" a="1"/>
  <c r="F368" i="4" s="1"/>
  <c r="J106" i="7" a="1"/>
  <c r="J106" i="7" s="1"/>
  <c r="F106" i="7" s="1" a="1"/>
  <c r="F106" i="7" s="1"/>
  <c r="K441" i="2" s="1" a="1"/>
  <c r="K441" i="2" s="1"/>
  <c r="J118" i="6" a="1"/>
  <c r="J118" i="6" s="1"/>
  <c r="F118" i="6" s="1" a="1"/>
  <c r="F118" i="6" s="1"/>
  <c r="F37" i="8" a="1"/>
  <c r="F37" i="8" s="1"/>
  <c r="K65" i="2" s="1" a="1"/>
  <c r="K65" i="2" s="1"/>
  <c r="J117" i="7" a="1"/>
  <c r="J117" i="7" s="1"/>
  <c r="F117" i="7" s="1" a="1"/>
  <c r="F117" i="7" s="1"/>
  <c r="K477" i="2" s="1" a="1"/>
  <c r="K477" i="2" s="1"/>
  <c r="F14" i="8" a="1"/>
  <c r="F14" i="8" s="1"/>
  <c r="K18" i="2" s="1" a="1"/>
  <c r="K18" i="2" s="1"/>
  <c r="J110" i="5" a="1"/>
  <c r="J110" i="5" s="1"/>
  <c r="F110" i="5" s="1" a="1"/>
  <c r="F110" i="5" s="1"/>
  <c r="J101" i="6" a="1"/>
  <c r="J101" i="6" s="1"/>
  <c r="F101" i="6" s="1" a="1"/>
  <c r="F101" i="6" s="1"/>
  <c r="K523" i="2" s="1" a="1"/>
  <c r="K523" i="2" s="1"/>
  <c r="J53" i="4" a="1"/>
  <c r="J53" i="4" s="1"/>
  <c r="F53" i="4" s="1" a="1"/>
  <c r="F53" i="4" s="1"/>
  <c r="J84" i="7" a="1"/>
  <c r="J84" i="7" s="1"/>
  <c r="F84" i="7" s="1" a="1"/>
  <c r="F84" i="7" s="1"/>
  <c r="K296" i="2" s="1" a="1"/>
  <c r="K296" i="2" s="1"/>
  <c r="J19" i="7" a="1"/>
  <c r="J19" i="7" s="1"/>
  <c r="F19" i="7" s="1" a="1"/>
  <c r="F19" i="7" s="1"/>
  <c r="K66" i="2" s="1" a="1"/>
  <c r="K66" i="2" s="1"/>
  <c r="J352" i="4" a="1"/>
  <c r="J352" i="4" s="1"/>
  <c r="F352" i="4" s="1" a="1"/>
  <c r="F352" i="4" s="1"/>
  <c r="J386" i="4" a="1"/>
  <c r="J386" i="4" s="1"/>
  <c r="F386" i="4" s="1" a="1"/>
  <c r="F386" i="4" s="1"/>
  <c r="J18" i="6" a="1"/>
  <c r="J18" i="6" s="1"/>
  <c r="F18" i="6" s="1" a="1"/>
  <c r="F18" i="6" s="1"/>
  <c r="J407" i="4" a="1"/>
  <c r="J407" i="4" s="1"/>
  <c r="F407" i="4" s="1" a="1"/>
  <c r="F407" i="4" s="1"/>
  <c r="J183" i="4" a="1"/>
  <c r="J183" i="4" s="1"/>
  <c r="F183" i="4" s="1" a="1"/>
  <c r="F183" i="4" s="1"/>
  <c r="J192" i="4" a="1"/>
  <c r="J192" i="4" s="1"/>
  <c r="F192" i="4" s="1" a="1"/>
  <c r="F192" i="4" s="1"/>
  <c r="F102" i="8" a="1"/>
  <c r="F102" i="8" s="1"/>
  <c r="K267" i="2" s="1" a="1"/>
  <c r="K267" i="2" s="1"/>
  <c r="F325" i="4" a="1"/>
  <c r="F325" i="4" s="1"/>
  <c r="J138" i="5" a="1"/>
  <c r="J138" i="5" s="1"/>
  <c r="F138" i="5" s="1" a="1"/>
  <c r="F138" i="5" s="1"/>
  <c r="K513" i="2" s="1" a="1"/>
  <c r="K513" i="2" s="1"/>
  <c r="F77" i="8" a="1"/>
  <c r="F77" i="8" s="1"/>
  <c r="K213" i="2" s="1" a="1"/>
  <c r="K213" i="2" s="1"/>
  <c r="J46" i="6" a="1"/>
  <c r="J46" i="6" s="1"/>
  <c r="F46" i="6" s="1" a="1"/>
  <c r="F46" i="6" s="1"/>
  <c r="J131" i="5" a="1"/>
  <c r="J131" i="5" s="1"/>
  <c r="F131" i="5" s="1" a="1"/>
  <c r="F131" i="5" s="1"/>
  <c r="J204" i="7" a="1"/>
  <c r="J204" i="7" s="1"/>
  <c r="F204" i="7" s="1" a="1"/>
  <c r="F204" i="7" s="1"/>
  <c r="K493" i="2" s="1" a="1"/>
  <c r="K493" i="2" s="1"/>
  <c r="J223" i="4" a="1"/>
  <c r="J223" i="4" s="1"/>
  <c r="F223" i="4" s="1" a="1"/>
  <c r="F223" i="4" s="1"/>
  <c r="J167" i="4" a="1"/>
  <c r="J167" i="4" s="1"/>
  <c r="F167" i="4" s="1" a="1"/>
  <c r="F167" i="4" s="1"/>
  <c r="J188" i="7" a="1"/>
  <c r="J188" i="7" s="1"/>
  <c r="F188" i="7" s="1" a="1"/>
  <c r="F188" i="7" s="1"/>
  <c r="K630" i="2" s="1" a="1"/>
  <c r="K630" i="2" s="1"/>
  <c r="J280" i="4" a="1"/>
  <c r="J280" i="4" s="1"/>
  <c r="F280" i="4" s="1" a="1"/>
  <c r="F280" i="4" s="1"/>
  <c r="F112" i="8" a="1"/>
  <c r="F112" i="8" s="1"/>
  <c r="K223" i="2" s="1" a="1"/>
  <c r="K223" i="2" s="1"/>
  <c r="F145" i="8" a="1"/>
  <c r="F145" i="8" s="1"/>
  <c r="K215" i="2" s="1" a="1"/>
  <c r="K215" i="2" s="1"/>
  <c r="F68" i="6" a="1"/>
  <c r="F68" i="6" s="1"/>
  <c r="K263" i="2" s="1" a="1"/>
  <c r="K263" i="2" s="1"/>
  <c r="F17" i="8" a="1"/>
  <c r="F17" i="8" s="1"/>
  <c r="J117" i="6" a="1"/>
  <c r="J117" i="6" s="1"/>
  <c r="F117" i="6" s="1" a="1"/>
  <c r="F117" i="6" s="1"/>
  <c r="K481" i="2" s="1" a="1"/>
  <c r="K481" i="2" s="1"/>
  <c r="J301" i="4" a="1"/>
  <c r="J301" i="4" s="1"/>
  <c r="F301" i="4" s="1" a="1"/>
  <c r="F301" i="4" s="1"/>
  <c r="J23" i="5" a="1"/>
  <c r="J23" i="5" s="1"/>
  <c r="F23" i="5" s="1" a="1"/>
  <c r="F23" i="5" s="1"/>
  <c r="J341" i="4" a="1"/>
  <c r="J341" i="4" s="1"/>
  <c r="F341" i="4" s="1" a="1"/>
  <c r="F341" i="4" s="1"/>
  <c r="J66" i="7" a="1"/>
  <c r="J66" i="7" s="1"/>
  <c r="F66" i="7" s="1" a="1"/>
  <c r="F66" i="7" s="1"/>
  <c r="K331" i="2" s="1" a="1"/>
  <c r="K331" i="2" s="1"/>
  <c r="L331" i="2" s="1" a="1"/>
  <c r="L331" i="2" s="1"/>
  <c r="J279" i="4" a="1"/>
  <c r="J279" i="4" s="1"/>
  <c r="F279" i="4" s="1" a="1"/>
  <c r="F279" i="4" s="1"/>
  <c r="J360" i="4" a="1"/>
  <c r="J360" i="4" s="1"/>
  <c r="F360" i="4" s="1" a="1"/>
  <c r="F360" i="4" s="1"/>
  <c r="J11" i="6" a="1"/>
  <c r="J11" i="6" s="1"/>
  <c r="F11" i="6" s="1" a="1"/>
  <c r="F11" i="6" s="1"/>
  <c r="J36" i="6" a="1"/>
  <c r="J36" i="6" s="1"/>
  <c r="F36" i="6" s="1" a="1"/>
  <c r="F36" i="6" s="1"/>
  <c r="F380" i="4" a="1"/>
  <c r="F380" i="4" s="1"/>
  <c r="F60" i="6" a="1"/>
  <c r="F60" i="6" s="1"/>
  <c r="J226" i="4" a="1"/>
  <c r="J226" i="4" s="1"/>
  <c r="F226" i="4" s="1" a="1"/>
  <c r="F226" i="4" s="1"/>
  <c r="J143" i="4" a="1"/>
  <c r="J143" i="4" s="1"/>
  <c r="F143" i="4" s="1" a="1"/>
  <c r="F143" i="4" s="1"/>
  <c r="J28" i="5" a="1"/>
  <c r="J28" i="5" s="1"/>
  <c r="F28" i="5" s="1" a="1"/>
  <c r="F28" i="5" s="1"/>
  <c r="K133" i="2" s="1" a="1"/>
  <c r="K133" i="2" s="1"/>
  <c r="J291" i="4" a="1"/>
  <c r="J291" i="4" s="1"/>
  <c r="F291" i="4" s="1" a="1"/>
  <c r="F291" i="4" s="1"/>
  <c r="J3" i="6" a="1"/>
  <c r="J3" i="6" s="1"/>
  <c r="F3" i="6" s="1" a="1"/>
  <c r="F3" i="6" s="1"/>
  <c r="J54" i="5" a="1"/>
  <c r="J54" i="5" s="1"/>
  <c r="F54" i="5" s="1" a="1"/>
  <c r="F54" i="5" s="1"/>
  <c r="F162" i="8" a="1"/>
  <c r="F162" i="8" s="1"/>
  <c r="K339" i="2" s="1" a="1"/>
  <c r="K339" i="2" s="1"/>
  <c r="F93" i="8" a="1"/>
  <c r="F93" i="8" s="1"/>
  <c r="K328" i="2" s="1" a="1"/>
  <c r="K328" i="2" s="1"/>
  <c r="F97" i="8" a="1"/>
  <c r="F97" i="8" s="1"/>
  <c r="K158" i="2" s="1" a="1"/>
  <c r="K158" i="2" s="1"/>
  <c r="J134" i="6" a="1"/>
  <c r="J134" i="6" s="1"/>
  <c r="F134" i="6" s="1" a="1"/>
  <c r="F134" i="6" s="1"/>
  <c r="K531" i="2" s="1" a="1"/>
  <c r="K531" i="2" s="1"/>
  <c r="F104" i="6" a="1"/>
  <c r="F104" i="6" s="1"/>
  <c r="J305" i="4" a="1"/>
  <c r="J305" i="4" s="1"/>
  <c r="F305" i="4" s="1" a="1"/>
  <c r="F305" i="4" s="1"/>
  <c r="J61" i="6" a="1"/>
  <c r="J61" i="6" s="1"/>
  <c r="F61" i="6" s="1" a="1"/>
  <c r="F61" i="6" s="1"/>
  <c r="K350" i="2" s="1" a="1"/>
  <c r="K350" i="2" s="1"/>
  <c r="J74" i="5" a="1"/>
  <c r="J74" i="5" s="1"/>
  <c r="F74" i="5" s="1" a="1"/>
  <c r="F74" i="5" s="1"/>
  <c r="J4" i="5" a="1"/>
  <c r="J4" i="5" s="1"/>
  <c r="F4" i="5" s="1" a="1"/>
  <c r="F4" i="5" s="1"/>
  <c r="K4" i="2" s="1" a="1"/>
  <c r="K4" i="2" s="1"/>
  <c r="J42" i="6" a="1"/>
  <c r="J42" i="6" s="1"/>
  <c r="F42" i="6" s="1" a="1"/>
  <c r="F42" i="6" s="1"/>
  <c r="J167" i="7" a="1"/>
  <c r="J167" i="7" s="1"/>
  <c r="F167" i="7" s="1" a="1"/>
  <c r="F167" i="7" s="1"/>
  <c r="K562" i="2" s="1" a="1"/>
  <c r="K562" i="2" s="1"/>
  <c r="F261" i="4" a="1"/>
  <c r="F261" i="4" s="1"/>
  <c r="J240" i="4" a="1"/>
  <c r="J240" i="4" s="1"/>
  <c r="F240" i="4" s="1" a="1"/>
  <c r="F240" i="4" s="1"/>
  <c r="F128" i="5" a="1"/>
  <c r="F128" i="5" s="1"/>
  <c r="J48" i="6" a="1"/>
  <c r="J48" i="6" s="1"/>
  <c r="F48" i="6" s="1" a="1"/>
  <c r="F48" i="6" s="1"/>
  <c r="K363" i="2" s="1" a="1"/>
  <c r="K363" i="2" s="1"/>
  <c r="J88" i="6" a="1"/>
  <c r="J88" i="6" s="1"/>
  <c r="F88" i="6" s="1" a="1"/>
  <c r="F88" i="6" s="1"/>
  <c r="J207" i="5" a="1"/>
  <c r="J207" i="5" s="1"/>
  <c r="F207" i="5" s="1" a="1"/>
  <c r="F207" i="5" s="1"/>
  <c r="K642" i="2" s="1" a="1"/>
  <c r="K642" i="2" s="1"/>
  <c r="J143" i="7" a="1"/>
  <c r="J143" i="7" s="1"/>
  <c r="F143" i="7" s="1" a="1"/>
  <c r="F143" i="7" s="1"/>
  <c r="K526" i="2" s="1" a="1"/>
  <c r="K526" i="2" s="1"/>
  <c r="J299" i="4" a="1"/>
  <c r="J299" i="4" s="1"/>
  <c r="F299" i="4" s="1" a="1"/>
  <c r="F299" i="4" s="1"/>
  <c r="J125" i="6" a="1"/>
  <c r="J125" i="6" s="1"/>
  <c r="F125" i="6" s="1" a="1"/>
  <c r="F125" i="6" s="1"/>
  <c r="J121" i="4" a="1"/>
  <c r="J121" i="4" s="1"/>
  <c r="F121" i="4" s="1" a="1"/>
  <c r="F121" i="4" s="1"/>
  <c r="J153" i="4" a="1"/>
  <c r="J153" i="4" s="1"/>
  <c r="F153" i="4" s="1" a="1"/>
  <c r="F153" i="4" s="1"/>
  <c r="J177" i="6" a="1"/>
  <c r="J177" i="6" s="1"/>
  <c r="F177" i="6" s="1" a="1"/>
  <c r="F177" i="6" s="1"/>
  <c r="K671" i="2" s="1" a="1"/>
  <c r="K671" i="2" s="1"/>
  <c r="J201" i="7" a="1"/>
  <c r="J201" i="7" s="1"/>
  <c r="F201" i="7" s="1" a="1"/>
  <c r="F201" i="7" s="1"/>
  <c r="K637" i="2" s="1" a="1"/>
  <c r="K637" i="2" s="1"/>
  <c r="J358" i="4" a="1"/>
  <c r="J358" i="4" s="1"/>
  <c r="F358" i="4" s="1" a="1"/>
  <c r="F358" i="4" s="1"/>
  <c r="J206" i="7" a="1"/>
  <c r="J206" i="7" s="1"/>
  <c r="F206" i="7" s="1" a="1"/>
  <c r="F206" i="7" s="1"/>
  <c r="K668" i="2" s="1" a="1"/>
  <c r="K668" i="2" s="1"/>
  <c r="J68" i="4" a="1"/>
  <c r="J68" i="4" s="1"/>
  <c r="F68" i="4" s="1" a="1"/>
  <c r="F68" i="4" s="1"/>
  <c r="J273" i="4" a="1"/>
  <c r="J273" i="4" s="1"/>
  <c r="F273" i="4" s="1" a="1"/>
  <c r="F273" i="4" s="1"/>
  <c r="J22" i="7" a="1"/>
  <c r="J22" i="7" s="1"/>
  <c r="F22" i="7" s="1" a="1"/>
  <c r="F22" i="7" s="1"/>
  <c r="K124" i="2" s="1" a="1"/>
  <c r="K124" i="2" s="1"/>
  <c r="J6" i="5" a="1"/>
  <c r="J6" i="5" s="1"/>
  <c r="F6" i="5" s="1" a="1"/>
  <c r="F6" i="5" s="1"/>
  <c r="J229" i="4" a="1"/>
  <c r="J229" i="4" s="1"/>
  <c r="F229" i="4" s="1" a="1"/>
  <c r="F229" i="4" s="1"/>
  <c r="F74" i="4" a="1"/>
  <c r="F74" i="4" s="1"/>
  <c r="F164" i="8" a="1"/>
  <c r="F164" i="8" s="1"/>
  <c r="K392" i="2" s="1" a="1"/>
  <c r="K392" i="2" s="1"/>
  <c r="J33" i="4" a="1"/>
  <c r="J33" i="4" s="1"/>
  <c r="F33" i="4" s="1" a="1"/>
  <c r="F33" i="4" s="1"/>
  <c r="J201" i="6" a="1"/>
  <c r="J201" i="6" s="1"/>
  <c r="F201" i="6" s="1" a="1"/>
  <c r="F201" i="6" s="1"/>
  <c r="K666" i="2" s="1" a="1"/>
  <c r="K666" i="2" s="1"/>
  <c r="J136" i="4" a="1"/>
  <c r="J136" i="4" s="1"/>
  <c r="F136" i="4" s="1" a="1"/>
  <c r="F136" i="4" s="1"/>
  <c r="J69" i="4" a="1"/>
  <c r="J69" i="4" s="1"/>
  <c r="F69" i="4" s="1" a="1"/>
  <c r="F69" i="4" s="1"/>
  <c r="J401" i="4" a="1"/>
  <c r="J401" i="4" s="1"/>
  <c r="F401" i="4" s="1" a="1"/>
  <c r="F401" i="4" s="1"/>
  <c r="F92" i="8" a="1"/>
  <c r="F92" i="8" s="1"/>
  <c r="K139" i="2" s="1" a="1"/>
  <c r="K139" i="2" s="1"/>
  <c r="F13" i="5" a="1"/>
  <c r="F13" i="5" s="1"/>
  <c r="F186" i="5" a="1"/>
  <c r="F186" i="5" s="1"/>
  <c r="K570" i="2" s="1" a="1"/>
  <c r="K570" i="2" s="1"/>
  <c r="F132" i="8" a="1"/>
  <c r="F132" i="8" s="1"/>
  <c r="K237" i="2" s="1" a="1"/>
  <c r="K237" i="2" s="1"/>
  <c r="J127" i="6" a="1"/>
  <c r="J127" i="6" s="1"/>
  <c r="F127" i="6" s="1" a="1"/>
  <c r="F127" i="6" s="1"/>
  <c r="F119" i="8" a="1"/>
  <c r="F119" i="8" s="1"/>
  <c r="K243" i="2" s="1" a="1"/>
  <c r="K243" i="2" s="1"/>
  <c r="J169" i="7" a="1"/>
  <c r="J169" i="7" s="1"/>
  <c r="F169" i="7" s="1" a="1"/>
  <c r="F169" i="7" s="1"/>
  <c r="K623" i="2" s="1" a="1"/>
  <c r="K623" i="2" s="1"/>
  <c r="J181" i="6" a="1"/>
  <c r="J181" i="6" s="1"/>
  <c r="F181" i="6" s="1" a="1"/>
  <c r="F181" i="6" s="1"/>
  <c r="K664" i="2" s="1" a="1"/>
  <c r="K664" i="2" s="1"/>
  <c r="F158" i="7" a="1"/>
  <c r="F158" i="7" s="1"/>
  <c r="K670" i="2" s="1" a="1"/>
  <c r="K670" i="2" s="1"/>
  <c r="J108" i="7" a="1"/>
  <c r="J108" i="7" s="1"/>
  <c r="F108" i="7" s="1" a="1"/>
  <c r="F108" i="7" s="1"/>
  <c r="K347" i="2" s="1" a="1"/>
  <c r="K347" i="2" s="1"/>
  <c r="J144" i="6" a="1"/>
  <c r="J144" i="6" s="1"/>
  <c r="F144" i="6" s="1" a="1"/>
  <c r="F144" i="6" s="1"/>
  <c r="K454" i="2" s="1" a="1"/>
  <c r="K454" i="2" s="1"/>
  <c r="J397" i="4" a="1"/>
  <c r="J397" i="4" s="1"/>
  <c r="F397" i="4" s="1" a="1"/>
  <c r="F397" i="4" s="1"/>
  <c r="J149" i="6" a="1"/>
  <c r="J149" i="6" s="1"/>
  <c r="F149" i="6" s="1" a="1"/>
  <c r="F149" i="6" s="1"/>
  <c r="K529" i="2" s="1" a="1"/>
  <c r="K529" i="2" s="1"/>
  <c r="J126" i="5" a="1"/>
  <c r="J126" i="5" s="1"/>
  <c r="F126" i="5" s="1" a="1"/>
  <c r="F126" i="5" s="1"/>
  <c r="F194" i="7" a="1"/>
  <c r="F194" i="7" s="1"/>
  <c r="K650" i="2" s="1" a="1"/>
  <c r="K650" i="2" s="1"/>
  <c r="J13" i="6" a="1"/>
  <c r="J13" i="6" s="1"/>
  <c r="F13" i="6" s="1" a="1"/>
  <c r="F13" i="6" s="1"/>
  <c r="J215" i="4" a="1"/>
  <c r="J215" i="4" s="1"/>
  <c r="F215" i="4" s="1" a="1"/>
  <c r="F215" i="4" s="1"/>
  <c r="J83" i="5" a="1"/>
  <c r="J83" i="5" s="1"/>
  <c r="F83" i="5" s="1" a="1"/>
  <c r="F83" i="5" s="1"/>
  <c r="K437" i="2" s="1" a="1"/>
  <c r="K437" i="2" s="1"/>
  <c r="J406" i="4" a="1"/>
  <c r="J406" i="4" s="1"/>
  <c r="F406" i="4" s="1" a="1"/>
  <c r="F406" i="4" s="1"/>
  <c r="J224" i="4" a="1"/>
  <c r="J224" i="4" s="1"/>
  <c r="F224" i="4" s="1" a="1"/>
  <c r="F224" i="4" s="1"/>
  <c r="F330" i="4" a="1"/>
  <c r="F330" i="4" s="1"/>
  <c r="F111" i="7" a="1"/>
  <c r="F111" i="7" s="1"/>
  <c r="K433" i="2" s="1" a="1"/>
  <c r="K433" i="2" s="1"/>
  <c r="F193" i="5" a="1"/>
  <c r="F193" i="5" s="1"/>
  <c r="K626" i="2" s="1" a="1"/>
  <c r="K626" i="2" s="1"/>
  <c r="F23" i="6" a="1"/>
  <c r="F23" i="6" s="1"/>
  <c r="K106" i="2" s="1" a="1"/>
  <c r="K106" i="2" s="1"/>
  <c r="J66" i="5" a="1"/>
  <c r="J66" i="5" s="1"/>
  <c r="F66" i="5" s="1" a="1"/>
  <c r="F66" i="5" s="1"/>
  <c r="K324" i="2" s="1" a="1"/>
  <c r="K324" i="2" s="1"/>
  <c r="J76" i="6" a="1"/>
  <c r="J76" i="6" s="1"/>
  <c r="F76" i="6" s="1" a="1"/>
  <c r="F76" i="6" s="1"/>
  <c r="J191" i="5" a="1"/>
  <c r="J191" i="5" s="1"/>
  <c r="F191" i="5" s="1" a="1"/>
  <c r="F191" i="5" s="1"/>
  <c r="K583" i="2" s="1" a="1"/>
  <c r="K583" i="2" s="1"/>
  <c r="J237" i="4" a="1"/>
  <c r="J237" i="4" s="1"/>
  <c r="F237" i="4" s="1" a="1"/>
  <c r="F237" i="4" s="1"/>
  <c r="J135" i="7" a="1"/>
  <c r="J135" i="7" s="1"/>
  <c r="F135" i="7" s="1" a="1"/>
  <c r="F135" i="7" s="1"/>
  <c r="K555" i="2" s="1" a="1"/>
  <c r="K555" i="2" s="1"/>
  <c r="J48" i="5" a="1"/>
  <c r="J48" i="5" s="1"/>
  <c r="F48" i="5" s="1" a="1"/>
  <c r="F48" i="5" s="1"/>
  <c r="K147" i="2" s="1" a="1"/>
  <c r="K147" i="2" s="1"/>
  <c r="F160" i="6" a="1"/>
  <c r="F160" i="6" s="1"/>
  <c r="K600" i="2" s="1" a="1"/>
  <c r="K600" i="2" s="1"/>
  <c r="F33" i="8" a="1"/>
  <c r="F33" i="8" s="1"/>
  <c r="K99" i="2" s="1" a="1"/>
  <c r="K99" i="2" s="1"/>
  <c r="F85" i="4" a="1"/>
  <c r="F85" i="4" s="1"/>
  <c r="F84" i="6" a="1"/>
  <c r="F84" i="6" s="1"/>
  <c r="F56" i="8" a="1"/>
  <c r="F56" i="8" s="1"/>
  <c r="K168" i="2" s="1" a="1"/>
  <c r="K168" i="2" s="1"/>
  <c r="J200" i="6" a="1"/>
  <c r="J200" i="6" s="1"/>
  <c r="F200" i="6" s="1" a="1"/>
  <c r="F200" i="6" s="1"/>
  <c r="K645" i="2" s="1" a="1"/>
  <c r="K645" i="2" s="1"/>
  <c r="J152" i="7" a="1"/>
  <c r="J152" i="7" s="1"/>
  <c r="F152" i="7" s="1" a="1"/>
  <c r="F152" i="7" s="1"/>
  <c r="K517" i="2" s="1" a="1"/>
  <c r="K517" i="2" s="1"/>
  <c r="J281" i="4" a="1"/>
  <c r="J281" i="4" s="1"/>
  <c r="F281" i="4" s="1" a="1"/>
  <c r="F281" i="4" s="1"/>
  <c r="J209" i="4" a="1"/>
  <c r="J209" i="4" s="1"/>
  <c r="F209" i="4" s="1" a="1"/>
  <c r="F209" i="4" s="1"/>
  <c r="F38" i="5" a="1"/>
  <c r="F38" i="5" s="1"/>
  <c r="J25" i="6" a="1"/>
  <c r="J25" i="6" s="1"/>
  <c r="F25" i="6" s="1" a="1"/>
  <c r="F25" i="6" s="1"/>
  <c r="J32" i="5" a="1"/>
  <c r="J32" i="5" s="1"/>
  <c r="F32" i="5" s="1" a="1"/>
  <c r="F32" i="5" s="1"/>
  <c r="J5" i="9" a="1"/>
  <c r="J5" i="9" s="1"/>
  <c r="F110" i="6" a="1"/>
  <c r="F110" i="6" s="1"/>
  <c r="J363" i="4" a="1"/>
  <c r="J363" i="4" s="1"/>
  <c r="F363" i="4" s="1" a="1"/>
  <c r="F363" i="4" s="1"/>
  <c r="J36" i="5" a="1"/>
  <c r="J36" i="5" s="1"/>
  <c r="F36" i="5" s="1" a="1"/>
  <c r="F36" i="5" s="1"/>
  <c r="K357" i="2" s="1" a="1"/>
  <c r="K357" i="2" s="1"/>
  <c r="J29" i="5" a="1"/>
  <c r="J29" i="5" s="1"/>
  <c r="F29" i="5" s="1" a="1"/>
  <c r="F29" i="5" s="1"/>
  <c r="J85" i="7" a="1"/>
  <c r="J85" i="7" s="1"/>
  <c r="F85" i="7" s="1" a="1"/>
  <c r="F85" i="7" s="1"/>
  <c r="K444" i="2" s="1" a="1"/>
  <c r="K444" i="2" s="1"/>
  <c r="J323" i="4" a="1"/>
  <c r="J323" i="4" s="1"/>
  <c r="F323" i="4" s="1" a="1"/>
  <c r="F323" i="4" s="1"/>
  <c r="J234" i="4" a="1"/>
  <c r="J234" i="4" s="1"/>
  <c r="F234" i="4" s="1" a="1"/>
  <c r="F234" i="4" s="1"/>
  <c r="J56" i="5" a="1"/>
  <c r="J56" i="5" s="1"/>
  <c r="F56" i="5" s="1" a="1"/>
  <c r="F56" i="5" s="1"/>
  <c r="K407" i="2" s="1" a="1"/>
  <c r="K407" i="2" s="1"/>
  <c r="J178" i="5" a="1"/>
  <c r="J178" i="5" s="1"/>
  <c r="F178" i="5" s="1" a="1"/>
  <c r="F178" i="5" s="1"/>
  <c r="J7" i="5" a="1"/>
  <c r="J7" i="5" s="1"/>
  <c r="F7" i="5" s="1" a="1"/>
  <c r="F7" i="5" s="1"/>
  <c r="F312" i="4" a="1"/>
  <c r="F312" i="4" s="1"/>
  <c r="F169" i="8" a="1"/>
  <c r="F169" i="8" s="1"/>
  <c r="K289" i="2" s="1" a="1"/>
  <c r="K289" i="2" s="1"/>
  <c r="J27" i="9" a="1"/>
  <c r="J27" i="9" s="1"/>
  <c r="J131" i="7" a="1"/>
  <c r="J131" i="7" s="1"/>
  <c r="F131" i="7" s="1" a="1"/>
  <c r="F131" i="7" s="1"/>
  <c r="K490" i="2" s="1" a="1"/>
  <c r="K490" i="2" s="1"/>
  <c r="F5" i="7" a="1"/>
  <c r="F5" i="7" s="1"/>
  <c r="K39" i="2" s="1" a="1"/>
  <c r="K39" i="2" s="1"/>
  <c r="J187" i="7" a="1"/>
  <c r="J187" i="7" s="1"/>
  <c r="F187" i="7" s="1" a="1"/>
  <c r="F187" i="7" s="1"/>
  <c r="K522" i="2" s="1" a="1"/>
  <c r="K522" i="2" s="1"/>
  <c r="J168" i="6" a="1"/>
  <c r="J168" i="6" s="1"/>
  <c r="F168" i="6" s="1" a="1"/>
  <c r="F168" i="6" s="1"/>
  <c r="J107" i="7" a="1"/>
  <c r="J107" i="7" s="1"/>
  <c r="F107" i="7" s="1" a="1"/>
  <c r="F107" i="7" s="1"/>
  <c r="K615" i="2" s="1" a="1"/>
  <c r="K615" i="2" s="1"/>
  <c r="J49" i="6" a="1"/>
  <c r="J49" i="6" s="1"/>
  <c r="F49" i="6" s="1" a="1"/>
  <c r="F49" i="6" s="1"/>
  <c r="J46" i="4" a="1"/>
  <c r="J46" i="4" s="1"/>
  <c r="F46" i="4" s="1" a="1"/>
  <c r="F46" i="4" s="1"/>
  <c r="J9" i="7" a="1"/>
  <c r="J9" i="7" s="1"/>
  <c r="F9" i="7" s="1" a="1"/>
  <c r="F9" i="7" s="1"/>
  <c r="K95" i="2" s="1" a="1"/>
  <c r="K95" i="2" s="1"/>
  <c r="J42" i="7" a="1"/>
  <c r="J42" i="7" s="1"/>
  <c r="F42" i="7" s="1" a="1"/>
  <c r="F42" i="7" s="1"/>
  <c r="K219" i="2" s="1" a="1"/>
  <c r="K219" i="2" s="1"/>
  <c r="F116" i="6" a="1"/>
  <c r="F116" i="6" s="1"/>
  <c r="F6" i="6" a="1"/>
  <c r="F6" i="6" s="1"/>
  <c r="J355" i="4" a="1"/>
  <c r="J355" i="4" s="1"/>
  <c r="F355" i="4" s="1" a="1"/>
  <c r="F355" i="4" s="1"/>
  <c r="F144" i="4" a="1"/>
  <c r="F144" i="4" s="1"/>
  <c r="F107" i="4" a="1"/>
  <c r="F107" i="4" s="1"/>
  <c r="F198" i="8" a="1"/>
  <c r="F198" i="8" s="1"/>
  <c r="K340" i="2" s="1" a="1"/>
  <c r="K340" i="2" s="1"/>
  <c r="F103" i="6" a="1"/>
  <c r="F103" i="6" s="1"/>
  <c r="J178" i="4" a="1"/>
  <c r="J178" i="4" s="1"/>
  <c r="F178" i="4" s="1" a="1"/>
  <c r="F178" i="4" s="1"/>
  <c r="J47" i="6" a="1"/>
  <c r="J47" i="6" s="1"/>
  <c r="F47" i="6" s="1" a="1"/>
  <c r="F47" i="6" s="1"/>
  <c r="K343" i="2" s="1" a="1"/>
  <c r="K343" i="2" s="1"/>
  <c r="J17" i="6" a="1"/>
  <c r="J17" i="6" s="1"/>
  <c r="F17" i="6" s="1" a="1"/>
  <c r="F17" i="6" s="1"/>
  <c r="K81" i="2" s="1" a="1"/>
  <c r="K81" i="2" s="1"/>
  <c r="J71" i="6" a="1"/>
  <c r="J71" i="6" s="1"/>
  <c r="F71" i="6" s="1" a="1"/>
  <c r="F71" i="6" s="1"/>
  <c r="J127" i="5" a="1"/>
  <c r="J127" i="5" s="1"/>
  <c r="F127" i="5" s="1" a="1"/>
  <c r="F127" i="5" s="1"/>
  <c r="K512" i="2" s="1" a="1"/>
  <c r="K512" i="2" s="1"/>
  <c r="J51" i="5" a="1"/>
  <c r="J51" i="5" s="1"/>
  <c r="F51" i="5" s="1" a="1"/>
  <c r="F51" i="5" s="1"/>
  <c r="K355" i="2" s="1" a="1"/>
  <c r="K355" i="2" s="1"/>
  <c r="J399" i="4" a="1"/>
  <c r="J399" i="4" s="1"/>
  <c r="F399" i="4" s="1" a="1"/>
  <c r="F399" i="4" s="1"/>
  <c r="J318" i="4" a="1"/>
  <c r="J318" i="4" s="1"/>
  <c r="F318" i="4" s="1" a="1"/>
  <c r="F318" i="4" s="1"/>
  <c r="J208" i="4" a="1"/>
  <c r="J208" i="4" s="1"/>
  <c r="F208" i="4" s="1" a="1"/>
  <c r="F208" i="4" s="1"/>
  <c r="F74" i="8" a="1"/>
  <c r="F74" i="8" s="1"/>
  <c r="K170" i="2" s="1" a="1"/>
  <c r="K170" i="2" s="1"/>
  <c r="J137" i="6" a="1"/>
  <c r="J137" i="6" s="1"/>
  <c r="F137" i="6" s="1" a="1"/>
  <c r="F137" i="6" s="1"/>
  <c r="J104" i="5" a="1"/>
  <c r="J104" i="5" s="1"/>
  <c r="F104" i="5" s="1" a="1"/>
  <c r="F104" i="5" s="1"/>
  <c r="K418" i="2" s="1" a="1"/>
  <c r="K418" i="2" s="1"/>
  <c r="J118" i="7" a="1"/>
  <c r="J118" i="7" s="1"/>
  <c r="F118" i="7" s="1" a="1"/>
  <c r="F118" i="7" s="1"/>
  <c r="K470" i="2" s="1" a="1"/>
  <c r="K470" i="2" s="1"/>
  <c r="J81" i="7" a="1"/>
  <c r="J81" i="7" s="1"/>
  <c r="F81" i="7" s="1" a="1"/>
  <c r="F81" i="7" s="1"/>
  <c r="K200" i="2" s="1" a="1"/>
  <c r="K200" i="2" s="1"/>
  <c r="J157" i="5" a="1"/>
  <c r="J157" i="5" s="1"/>
  <c r="F157" i="5" s="1" a="1"/>
  <c r="F157" i="5" s="1"/>
  <c r="J319" i="4" a="1"/>
  <c r="J319" i="4" s="1"/>
  <c r="F319" i="4" s="1" a="1"/>
  <c r="F319" i="4" s="1"/>
  <c r="J35" i="4" a="1"/>
  <c r="J35" i="4" s="1"/>
  <c r="F35" i="4" s="1" a="1"/>
  <c r="F35" i="4" s="1"/>
  <c r="J139" i="7" a="1"/>
  <c r="J139" i="7" s="1"/>
  <c r="F139" i="7" s="1" a="1"/>
  <c r="F139" i="7" s="1"/>
  <c r="K501" i="2" s="1" a="1"/>
  <c r="K501" i="2" s="1"/>
  <c r="J359" i="4" a="1"/>
  <c r="J359" i="4" s="1"/>
  <c r="F359" i="4" s="1" a="1"/>
  <c r="F359" i="4" s="1"/>
  <c r="J342" i="4" a="1"/>
  <c r="J342" i="4" s="1"/>
  <c r="F342" i="4" s="1" a="1"/>
  <c r="F342" i="4" s="1"/>
  <c r="J70" i="4" a="1"/>
  <c r="J70" i="4" s="1"/>
  <c r="F70" i="4" s="1" a="1"/>
  <c r="F70" i="4" s="1"/>
  <c r="J112" i="7" a="1"/>
  <c r="J112" i="7" s="1"/>
  <c r="F112" i="7" s="1" a="1"/>
  <c r="F112" i="7" s="1"/>
  <c r="K435" i="2" s="1" a="1"/>
  <c r="K435" i="2" s="1"/>
  <c r="J178" i="6" a="1"/>
  <c r="J178" i="6" s="1"/>
  <c r="F178" i="6" s="1" a="1"/>
  <c r="F178" i="6" s="1"/>
  <c r="J143" i="6" a="1"/>
  <c r="J143" i="6" s="1"/>
  <c r="F143" i="6" s="1" a="1"/>
  <c r="F143" i="6" s="1"/>
  <c r="K425" i="2" s="1" a="1"/>
  <c r="K425" i="2" s="1"/>
  <c r="J298" i="4" a="1"/>
  <c r="J298" i="4" s="1"/>
  <c r="F298" i="4" s="1" a="1"/>
  <c r="F298" i="4" s="1"/>
  <c r="J31" i="4" a="1"/>
  <c r="J31" i="4" s="1"/>
  <c r="F31" i="4" s="1" a="1"/>
  <c r="F31" i="4" s="1"/>
  <c r="F154" i="6" a="1"/>
  <c r="F154" i="6" s="1"/>
  <c r="F168" i="8" a="1"/>
  <c r="F168" i="8" s="1"/>
  <c r="K373" i="2" s="1" a="1"/>
  <c r="K373" i="2" s="1"/>
  <c r="J79" i="4" a="1"/>
  <c r="J79" i="4" s="1"/>
  <c r="F79" i="4" s="1" a="1"/>
  <c r="F79" i="4" s="1"/>
  <c r="J232" i="4" a="1"/>
  <c r="J232" i="4" s="1"/>
  <c r="F232" i="4" s="1" a="1"/>
  <c r="F232" i="4" s="1"/>
  <c r="J59" i="4" a="1"/>
  <c r="J59" i="4" s="1"/>
  <c r="F59" i="4" s="1" a="1"/>
  <c r="F59" i="4" s="1"/>
  <c r="J69" i="5" a="1"/>
  <c r="J69" i="5" s="1"/>
  <c r="F69" i="5" s="1" a="1"/>
  <c r="F69" i="5" s="1"/>
  <c r="J32" i="4" a="1"/>
  <c r="J32" i="4" s="1"/>
  <c r="F32" i="4" s="1" a="1"/>
  <c r="F32" i="4" s="1"/>
  <c r="J139" i="6" a="1"/>
  <c r="J139" i="6" s="1"/>
  <c r="F139" i="6" s="1" a="1"/>
  <c r="F139" i="6" s="1"/>
  <c r="K658" i="2" s="1" a="1"/>
  <c r="K658" i="2" s="1"/>
  <c r="J217" i="4" a="1"/>
  <c r="J217" i="4" s="1"/>
  <c r="F217" i="4" s="1" a="1"/>
  <c r="F217" i="4" s="1"/>
  <c r="J122" i="4" a="1"/>
  <c r="J122" i="4" s="1"/>
  <c r="F122" i="4" s="1" a="1"/>
  <c r="F122" i="4" s="1"/>
  <c r="J146" i="6" a="1"/>
  <c r="J146" i="6" s="1"/>
  <c r="F146" i="6" s="1" a="1"/>
  <c r="F146" i="6" s="1"/>
  <c r="K466" i="2" s="1" a="1"/>
  <c r="K466" i="2" s="1"/>
  <c r="J118" i="5" a="1"/>
  <c r="J118" i="5" s="1"/>
  <c r="F118" i="5" s="1" a="1"/>
  <c r="F118" i="5" s="1"/>
  <c r="K498" i="2" s="1" a="1"/>
  <c r="K498" i="2" s="1"/>
  <c r="J25" i="4" a="1"/>
  <c r="J25" i="4" s="1"/>
  <c r="F25" i="4" s="1" a="1"/>
  <c r="F25" i="4" s="1"/>
  <c r="F116" i="4" a="1"/>
  <c r="F116" i="4" s="1"/>
  <c r="J59" i="6" a="1"/>
  <c r="J59" i="6" s="1"/>
  <c r="F59" i="6" s="1" a="1"/>
  <c r="F59" i="6" s="1"/>
  <c r="F132" i="6" a="1"/>
  <c r="F132" i="6" s="1"/>
  <c r="K584" i="2" s="1" a="1"/>
  <c r="K584" i="2" s="1"/>
  <c r="F72" i="8" a="1"/>
  <c r="F72" i="8" s="1"/>
  <c r="K173" i="2" s="1" a="1"/>
  <c r="K173" i="2" s="1"/>
  <c r="F196" i="8" a="1"/>
  <c r="F196" i="8" s="1"/>
  <c r="K242" i="2" s="1" a="1"/>
  <c r="K242" i="2" s="1"/>
  <c r="J40" i="9" a="1"/>
  <c r="J40" i="9" s="1"/>
  <c r="J61" i="5" a="1"/>
  <c r="J61" i="5" s="1"/>
  <c r="F61" i="5" s="1" a="1"/>
  <c r="F61" i="5" s="1"/>
  <c r="F339" i="4" a="1"/>
  <c r="F339" i="4" s="1"/>
  <c r="J165" i="7" a="1"/>
  <c r="J165" i="7" s="1"/>
  <c r="F165" i="7" s="1" a="1"/>
  <c r="F165" i="7" s="1"/>
  <c r="K575" i="2" s="1" a="1"/>
  <c r="K575" i="2" s="1"/>
  <c r="J103" i="7" a="1"/>
  <c r="J103" i="7" s="1"/>
  <c r="F103" i="7" s="1" a="1"/>
  <c r="F103" i="7" s="1"/>
  <c r="K369" i="2" s="1" a="1"/>
  <c r="K369" i="2" s="1"/>
  <c r="F163" i="6" a="1"/>
  <c r="F163" i="6" s="1"/>
  <c r="K557" i="2" s="1" a="1"/>
  <c r="K557" i="2" s="1"/>
  <c r="F151" i="5" a="1"/>
  <c r="F151" i="5" s="1"/>
  <c r="K564" i="2" s="1" a="1"/>
  <c r="K564" i="2" s="1"/>
  <c r="J14" i="5" a="1"/>
  <c r="J14" i="5" s="1"/>
  <c r="F14" i="5" s="1" a="1"/>
  <c r="F14" i="5" s="1"/>
  <c r="K155" i="2" s="1" a="1"/>
  <c r="K155" i="2" s="1"/>
  <c r="J5" i="6" a="1"/>
  <c r="J5" i="6" s="1"/>
  <c r="F5" i="6" s="1" a="1"/>
  <c r="F5" i="6" s="1"/>
  <c r="J30" i="7" a="1"/>
  <c r="J30" i="7" s="1"/>
  <c r="F30" i="7" s="1" a="1"/>
  <c r="F30" i="7" s="1"/>
  <c r="K126" i="2" s="1" a="1"/>
  <c r="K126" i="2" s="1"/>
  <c r="J89" i="4" a="1"/>
  <c r="J89" i="4" s="1"/>
  <c r="F89" i="4" s="1" a="1"/>
  <c r="F89" i="4" s="1"/>
  <c r="J402" i="4" a="1"/>
  <c r="J402" i="4" s="1"/>
  <c r="F402" i="4" s="1" a="1"/>
  <c r="F402" i="4" s="1"/>
  <c r="J199" i="4" a="1"/>
  <c r="J199" i="4" s="1"/>
  <c r="F199" i="4" s="1" a="1"/>
  <c r="F199" i="4" s="1"/>
  <c r="J113" i="5" a="1"/>
  <c r="J113" i="5" s="1"/>
  <c r="F113" i="5" s="1" a="1"/>
  <c r="F113" i="5" s="1"/>
  <c r="J110" i="4" a="1"/>
  <c r="J110" i="4" s="1"/>
  <c r="F110" i="4" s="1" a="1"/>
  <c r="F110" i="4" s="1"/>
  <c r="J236" i="4" a="1"/>
  <c r="J236" i="4" s="1"/>
  <c r="F236" i="4" s="1" a="1"/>
  <c r="F236" i="4" s="1"/>
  <c r="J46" i="5" a="1"/>
  <c r="J46" i="5" s="1"/>
  <c r="F46" i="5" s="1" a="1"/>
  <c r="F46" i="5" s="1"/>
  <c r="J120" i="4" a="1"/>
  <c r="J120" i="4" s="1"/>
  <c r="F120" i="4" s="1" a="1"/>
  <c r="F120" i="4" s="1"/>
  <c r="J208" i="7" a="1"/>
  <c r="J208" i="7" s="1"/>
  <c r="F208" i="7" s="1" a="1"/>
  <c r="F208" i="7" s="1"/>
  <c r="K659" i="2" s="1" a="1"/>
  <c r="K659" i="2" s="1"/>
  <c r="J12" i="4" a="1"/>
  <c r="J12" i="4" s="1"/>
  <c r="F12" i="4" s="1" a="1"/>
  <c r="F12" i="4" s="1"/>
  <c r="J287" i="4" a="1"/>
  <c r="J287" i="4" s="1"/>
  <c r="F287" i="4" s="1" a="1"/>
  <c r="F287" i="4" s="1"/>
  <c r="J99" i="6" a="1"/>
  <c r="J99" i="6" s="1"/>
  <c r="F99" i="6" s="1" a="1"/>
  <c r="F99" i="6" s="1"/>
  <c r="K389" i="2" s="1" a="1"/>
  <c r="K389" i="2" s="1"/>
  <c r="J80" i="6" a="1"/>
  <c r="J80" i="6" s="1"/>
  <c r="F80" i="6" s="1" a="1"/>
  <c r="F80" i="6" s="1"/>
  <c r="K311" i="2" s="1" a="1"/>
  <c r="K311" i="2" s="1"/>
  <c r="J7" i="6" a="1"/>
  <c r="J7" i="6" s="1"/>
  <c r="F7" i="6" s="1" a="1"/>
  <c r="F7" i="6" s="1"/>
  <c r="K30" i="2" s="1" a="1"/>
  <c r="K30" i="2" s="1"/>
  <c r="J147" i="6" a="1"/>
  <c r="J147" i="6" s="1"/>
  <c r="F147" i="6" s="1" a="1"/>
  <c r="F147" i="6" s="1"/>
  <c r="K636" i="2" s="1" a="1"/>
  <c r="K636" i="2" s="1"/>
  <c r="J150" i="4" a="1"/>
  <c r="J150" i="4" s="1"/>
  <c r="F150" i="4" s="1" a="1"/>
  <c r="F150" i="4" s="1"/>
  <c r="J127" i="7" a="1"/>
  <c r="J127" i="7" s="1"/>
  <c r="F127" i="7" s="1" a="1"/>
  <c r="F127" i="7" s="1"/>
  <c r="K500" i="2" s="1" a="1"/>
  <c r="K500" i="2" s="1"/>
  <c r="J120" i="5" a="1"/>
  <c r="J120" i="5" s="1"/>
  <c r="F120" i="5" s="1" a="1"/>
  <c r="F120" i="5" s="1"/>
  <c r="F12" i="6" a="1"/>
  <c r="F12" i="6" s="1"/>
  <c r="J176" i="5" a="1"/>
  <c r="J176" i="5" s="1"/>
  <c r="F176" i="5" s="1" a="1"/>
  <c r="F176" i="5" s="1"/>
  <c r="J60" i="4" a="1"/>
  <c r="J60" i="4" s="1"/>
  <c r="F60" i="4" s="1" a="1"/>
  <c r="F60" i="4" s="1"/>
  <c r="F38" i="8" a="1"/>
  <c r="F38" i="8" s="1"/>
  <c r="K101" i="2" s="1" a="1"/>
  <c r="K101" i="2" s="1"/>
  <c r="J55" i="4" a="1"/>
  <c r="J55" i="4" s="1"/>
  <c r="F55" i="4" s="1" a="1"/>
  <c r="F55" i="4" s="1"/>
  <c r="F165" i="5" a="1"/>
  <c r="F165" i="5" s="1"/>
  <c r="F202" i="4" a="1"/>
  <c r="F202" i="4" s="1"/>
  <c r="J43" i="6" a="1"/>
  <c r="J43" i="6" s="1"/>
  <c r="F43" i="6" s="1" a="1"/>
  <c r="F43" i="6" s="1"/>
  <c r="J243" i="4" a="1"/>
  <c r="J243" i="4" s="1"/>
  <c r="F243" i="4" s="1" a="1"/>
  <c r="F243" i="4" s="1"/>
  <c r="J329" i="4" a="1"/>
  <c r="J329" i="4" s="1"/>
  <c r="F329" i="4" s="1" a="1"/>
  <c r="F329" i="4" s="1"/>
  <c r="J123" i="4" a="1"/>
  <c r="J123" i="4" s="1"/>
  <c r="F123" i="4" s="1" a="1"/>
  <c r="F123" i="4" s="1"/>
  <c r="J49" i="5" a="1"/>
  <c r="J49" i="5" s="1"/>
  <c r="F49" i="5" s="1" a="1"/>
  <c r="F49" i="5" s="1"/>
  <c r="J7" i="4" a="1"/>
  <c r="J7" i="4" s="1"/>
  <c r="F7" i="4" s="1" a="1"/>
  <c r="F7" i="4" s="1"/>
  <c r="J348" i="4" a="1"/>
  <c r="J348" i="4" s="1"/>
  <c r="F348" i="4" s="1" a="1"/>
  <c r="F348" i="4" s="1"/>
  <c r="J111" i="5" a="1"/>
  <c r="J111" i="5" s="1"/>
  <c r="F111" i="5" s="1" a="1"/>
  <c r="F111" i="5" s="1"/>
  <c r="K515" i="2" s="1" a="1"/>
  <c r="K515" i="2" s="1"/>
  <c r="J17" i="4" a="1"/>
  <c r="J17" i="4" s="1"/>
  <c r="F17" i="4" s="1" a="1"/>
  <c r="F17" i="4" s="1"/>
  <c r="F61" i="4" a="1"/>
  <c r="F61" i="4" s="1"/>
  <c r="J29" i="4" a="1"/>
  <c r="J29" i="4" s="1"/>
  <c r="F29" i="4" s="1" a="1"/>
  <c r="F29" i="4" s="1"/>
  <c r="J53" i="6" a="1"/>
  <c r="J53" i="6" s="1"/>
  <c r="F53" i="6" s="1" a="1"/>
  <c r="F53" i="6" s="1"/>
  <c r="J27" i="6" a="1"/>
  <c r="J27" i="6" s="1"/>
  <c r="F27" i="6" s="1" a="1"/>
  <c r="F27" i="6" s="1"/>
  <c r="K109" i="2" s="1" a="1"/>
  <c r="K109" i="2" s="1"/>
  <c r="F265" i="4" a="1"/>
  <c r="F265" i="4" s="1"/>
  <c r="F186" i="6" a="1"/>
  <c r="F186" i="6" s="1"/>
  <c r="K426" i="2" s="1" a="1"/>
  <c r="K426" i="2" s="1"/>
  <c r="J30" i="4" a="1"/>
  <c r="J30" i="4" s="1"/>
  <c r="F30" i="4" s="1" a="1"/>
  <c r="F30" i="4" s="1"/>
  <c r="J100" i="7" a="1"/>
  <c r="J100" i="7" s="1"/>
  <c r="F100" i="7" s="1" a="1"/>
  <c r="F100" i="7" s="1"/>
  <c r="K485" i="2" s="1" a="1"/>
  <c r="K485" i="2" s="1"/>
  <c r="J151" i="7" a="1"/>
  <c r="J151" i="7" s="1"/>
  <c r="F151" i="7" s="1" a="1"/>
  <c r="F151" i="7" s="1"/>
  <c r="K552" i="2" s="1" a="1"/>
  <c r="K552" i="2" s="1"/>
  <c r="J94" i="4" a="1"/>
  <c r="J94" i="4" s="1"/>
  <c r="F94" i="4" s="1" a="1"/>
  <c r="F94" i="4" s="1"/>
  <c r="J88" i="5" a="1"/>
  <c r="J88" i="5" s="1"/>
  <c r="F88" i="5" s="1" a="1"/>
  <c r="F88" i="5" s="1"/>
  <c r="J127" i="4" a="1"/>
  <c r="J127" i="4" s="1"/>
  <c r="F127" i="4" s="1" a="1"/>
  <c r="F127" i="4" s="1"/>
  <c r="J27" i="7" a="1"/>
  <c r="J27" i="7" s="1"/>
  <c r="F27" i="7" s="1" a="1"/>
  <c r="F27" i="7" s="1"/>
  <c r="K302" i="2" s="1" a="1"/>
  <c r="K302" i="2" s="1"/>
  <c r="J49" i="4" a="1"/>
  <c r="J49" i="4" s="1"/>
  <c r="F49" i="4" s="1" a="1"/>
  <c r="F49" i="4" s="1"/>
  <c r="J210" i="6" a="1"/>
  <c r="J210" i="6" s="1"/>
  <c r="F210" i="6" s="1" a="1"/>
  <c r="F210" i="6" s="1"/>
  <c r="K617" i="2" s="1" a="1"/>
  <c r="K617" i="2" s="1"/>
  <c r="J121" i="6" a="1"/>
  <c r="J121" i="6" s="1"/>
  <c r="F121" i="6" s="1" a="1"/>
  <c r="F121" i="6" s="1"/>
  <c r="J5" i="5" a="1"/>
  <c r="J5" i="5" s="1"/>
  <c r="F5" i="5" s="1" a="1"/>
  <c r="F5" i="5" s="1"/>
  <c r="K22" i="2" s="1" a="1"/>
  <c r="K22" i="2" s="1"/>
  <c r="F337" i="4" a="1"/>
  <c r="F337" i="4" s="1"/>
  <c r="F19" i="8" a="1"/>
  <c r="F19" i="8" s="1"/>
  <c r="K45" i="2" s="1" a="1"/>
  <c r="K45" i="2" s="1"/>
  <c r="F173" i="6" a="1"/>
  <c r="F173" i="6" s="1"/>
  <c r="K474" i="2" s="1" a="1"/>
  <c r="K474" i="2" s="1"/>
  <c r="F171" i="6" a="1"/>
  <c r="F171" i="6" s="1"/>
  <c r="K457" i="2" s="1" a="1"/>
  <c r="K457" i="2" s="1"/>
  <c r="J21" i="4" a="1"/>
  <c r="J21" i="4" s="1"/>
  <c r="F21" i="4" s="1" a="1"/>
  <c r="F21" i="4" s="1"/>
  <c r="J3" i="5" a="1"/>
  <c r="J3" i="5" s="1"/>
  <c r="F3" i="5" s="1" a="1"/>
  <c r="F3" i="5" s="1"/>
  <c r="J93" i="7" a="1"/>
  <c r="J93" i="7" s="1"/>
  <c r="F93" i="7" s="1" a="1"/>
  <c r="F93" i="7" s="1"/>
  <c r="K560" i="2" s="1" a="1"/>
  <c r="K560" i="2" s="1"/>
  <c r="J129" i="4" a="1"/>
  <c r="J129" i="4" s="1"/>
  <c r="F129" i="4" s="1" a="1"/>
  <c r="F129" i="4" s="1"/>
  <c r="J53" i="5" a="1"/>
  <c r="J53" i="5" s="1"/>
  <c r="F53" i="5" s="1" a="1"/>
  <c r="F53" i="5" s="1"/>
  <c r="K82" i="2" s="1" a="1"/>
  <c r="K82" i="2" s="1"/>
  <c r="F106" i="8" a="1"/>
  <c r="F106" i="8" s="1"/>
  <c r="K218" i="2" s="1" a="1"/>
  <c r="K218" i="2" s="1"/>
  <c r="F70" i="7" a="1"/>
  <c r="F70" i="7" s="1"/>
  <c r="K268" i="2" s="1" a="1"/>
  <c r="K268" i="2" s="1"/>
  <c r="F155" i="8" a="1"/>
  <c r="F155" i="8" s="1"/>
  <c r="K420" i="2" s="1" a="1"/>
  <c r="K420" i="2" s="1"/>
  <c r="F315" i="4" a="1"/>
  <c r="F315" i="4" s="1"/>
  <c r="F90" i="5" a="1"/>
  <c r="F90" i="5" s="1"/>
  <c r="K508" i="2" s="1" a="1"/>
  <c r="K508" i="2" s="1"/>
  <c r="J158" i="6" a="1"/>
  <c r="J158" i="6" s="1"/>
  <c r="F158" i="6" s="1" a="1"/>
  <c r="F158" i="6" s="1"/>
  <c r="K518" i="2" s="1" a="1"/>
  <c r="K518" i="2" s="1"/>
  <c r="J133" i="7" a="1"/>
  <c r="J133" i="7" s="1"/>
  <c r="F133" i="7" s="1" a="1"/>
  <c r="F133" i="7" s="1"/>
  <c r="K643" i="2" s="1" a="1"/>
  <c r="K643" i="2" s="1"/>
  <c r="J89" i="7" a="1"/>
  <c r="J89" i="7" s="1"/>
  <c r="F89" i="7" s="1" a="1"/>
  <c r="F89" i="7" s="1"/>
  <c r="K356" i="2" s="1" a="1"/>
  <c r="K356" i="2" s="1"/>
  <c r="J24" i="6" a="1"/>
  <c r="J24" i="6" s="1"/>
  <c r="F24" i="6" s="1" a="1"/>
  <c r="F24" i="6" s="1"/>
  <c r="K29" i="2" s="1" a="1"/>
  <c r="K29" i="2" s="1"/>
  <c r="J374" i="4" a="1"/>
  <c r="J374" i="4" s="1"/>
  <c r="F374" i="4" s="1" a="1"/>
  <c r="F374" i="4" s="1"/>
  <c r="J392" i="4" a="1"/>
  <c r="J392" i="4" s="1"/>
  <c r="F392" i="4" s="1" a="1"/>
  <c r="F392" i="4" s="1"/>
  <c r="J133" i="5" a="1"/>
  <c r="J133" i="5" s="1"/>
  <c r="F133" i="5" s="1" a="1"/>
  <c r="F133" i="5" s="1"/>
  <c r="J153" i="7" a="1"/>
  <c r="J153" i="7" s="1"/>
  <c r="F153" i="7" s="1" a="1"/>
  <c r="F153" i="7" s="1"/>
  <c r="K620" i="2" s="1" a="1"/>
  <c r="K620" i="2" s="1"/>
  <c r="J37" i="5" a="1"/>
  <c r="J37" i="5" s="1"/>
  <c r="F37" i="5" s="1" a="1"/>
  <c r="F37" i="5" s="1"/>
  <c r="J28" i="4" a="1"/>
  <c r="J28" i="4" s="1"/>
  <c r="F28" i="4" s="1" a="1"/>
  <c r="F28" i="4" s="1"/>
  <c r="F126" i="6" a="1"/>
  <c r="F126" i="6" s="1"/>
  <c r="J171" i="4" a="1"/>
  <c r="J171" i="4" s="1"/>
  <c r="F171" i="4" s="1" a="1"/>
  <c r="F171" i="4" s="1"/>
  <c r="F92" i="7" a="1"/>
  <c r="F92" i="7" s="1"/>
  <c r="K374" i="2" s="1" a="1"/>
  <c r="K374" i="2" s="1"/>
  <c r="J220" i="4" a="1"/>
  <c r="J220" i="4" s="1"/>
  <c r="F220" i="4" s="1" a="1"/>
  <c r="F220" i="4" s="1"/>
  <c r="J78" i="6" a="1"/>
  <c r="J78" i="6" s="1"/>
  <c r="F78" i="6" s="1" a="1"/>
  <c r="F78" i="6" s="1"/>
  <c r="K388" i="2" s="1" a="1"/>
  <c r="K388" i="2" s="1"/>
  <c r="J97" i="5" a="1"/>
  <c r="J97" i="5" s="1"/>
  <c r="F97" i="5" s="1" a="1"/>
  <c r="F97" i="5" s="1"/>
  <c r="J297" i="4" a="1"/>
  <c r="J297" i="4" s="1"/>
  <c r="F297" i="4" s="1" a="1"/>
  <c r="F297" i="4" s="1"/>
  <c r="J179" i="6" a="1"/>
  <c r="J179" i="6" s="1"/>
  <c r="F179" i="6" s="1" a="1"/>
  <c r="F179" i="6" s="1"/>
  <c r="J187" i="5" a="1"/>
  <c r="J187" i="5" s="1"/>
  <c r="F187" i="5" s="1" a="1"/>
  <c r="F187" i="5" s="1"/>
  <c r="J161" i="4" a="1"/>
  <c r="J161" i="4" s="1"/>
  <c r="F161" i="4" s="1" a="1"/>
  <c r="F161" i="4" s="1"/>
  <c r="J180" i="6" a="1"/>
  <c r="J180" i="6" s="1"/>
  <c r="F180" i="6" s="1" a="1"/>
  <c r="F180" i="6" s="1"/>
  <c r="K458" i="2" s="1" a="1"/>
  <c r="K458" i="2" s="1"/>
  <c r="J39" i="7" a="1"/>
  <c r="J39" i="7" s="1"/>
  <c r="F39" i="7" s="1" a="1"/>
  <c r="F39" i="7" s="1"/>
  <c r="K192" i="2" s="1" a="1"/>
  <c r="K192" i="2" s="1"/>
  <c r="J39" i="5" a="1"/>
  <c r="J39" i="5" s="1"/>
  <c r="F39" i="5" s="1" a="1"/>
  <c r="F39" i="5" s="1"/>
  <c r="J9" i="4" a="1"/>
  <c r="J9" i="4" s="1"/>
  <c r="F9" i="4" s="1" a="1"/>
  <c r="F9" i="4" s="1"/>
  <c r="F83" i="6" a="1"/>
  <c r="F83" i="6" s="1"/>
  <c r="J25" i="5" a="1"/>
  <c r="J25" i="5" s="1"/>
  <c r="F25" i="5" s="1" a="1"/>
  <c r="F25" i="5" s="1"/>
  <c r="K499" i="2" s="1" a="1"/>
  <c r="K499" i="2" s="1"/>
  <c r="F125" i="5" a="1"/>
  <c r="F125" i="5" s="1"/>
  <c r="F117" i="4" a="1"/>
  <c r="F117" i="4" s="1"/>
  <c r="J266" i="4" a="1"/>
  <c r="J266" i="4" s="1"/>
  <c r="F266" i="4" s="1" a="1"/>
  <c r="F266" i="4" s="1"/>
  <c r="J157" i="4" a="1"/>
  <c r="J157" i="4" s="1"/>
  <c r="F157" i="4" s="1" a="1"/>
  <c r="F157" i="4" s="1"/>
  <c r="J43" i="5" a="1"/>
  <c r="J43" i="5" s="1"/>
  <c r="F43" i="5" s="1" a="1"/>
  <c r="F43" i="5" s="1"/>
  <c r="K325" i="2" s="1" a="1"/>
  <c r="K325" i="2" s="1"/>
  <c r="J18" i="7" a="1"/>
  <c r="J18" i="7" s="1"/>
  <c r="F18" i="7" s="1" a="1"/>
  <c r="F18" i="7" s="1"/>
  <c r="K97" i="2" s="1" a="1"/>
  <c r="K97" i="2" s="1"/>
  <c r="J346" i="4" a="1"/>
  <c r="J346" i="4" s="1"/>
  <c r="F346" i="4" s="1" a="1"/>
  <c r="F346" i="4" s="1"/>
  <c r="J197" i="7" a="1"/>
  <c r="J197" i="7" s="1"/>
  <c r="F197" i="7" s="1" a="1"/>
  <c r="F197" i="7" s="1"/>
  <c r="K581" i="2" s="1" a="1"/>
  <c r="K581" i="2" s="1"/>
  <c r="J350" i="4" a="1"/>
  <c r="J350" i="4" s="1"/>
  <c r="F350" i="4" s="1" a="1"/>
  <c r="F350" i="4" s="1"/>
  <c r="J163" i="5" a="1"/>
  <c r="J163" i="5" s="1"/>
  <c r="F163" i="5" s="1" a="1"/>
  <c r="F163" i="5" s="1"/>
  <c r="J375" i="4" a="1"/>
  <c r="J375" i="4" s="1"/>
  <c r="F375" i="4" s="1" a="1"/>
  <c r="F375" i="4" s="1"/>
  <c r="F170" i="7" a="1"/>
  <c r="F170" i="7" s="1"/>
  <c r="K563" i="2" s="1" a="1"/>
  <c r="K563" i="2" s="1"/>
  <c r="J147" i="4" a="1"/>
  <c r="J147" i="4" s="1"/>
  <c r="F147" i="4" s="1" a="1"/>
  <c r="F147" i="4" s="1"/>
  <c r="J62" i="6" a="1"/>
  <c r="J62" i="6" s="1"/>
  <c r="F62" i="6" s="1" a="1"/>
  <c r="F62" i="6" s="1"/>
  <c r="K380" i="2" s="1" a="1"/>
  <c r="K380" i="2" s="1"/>
  <c r="J40" i="4" a="1"/>
  <c r="J40" i="4" s="1"/>
  <c r="F40" i="4" s="1" a="1"/>
  <c r="F40" i="4" s="1"/>
  <c r="J34" i="5" a="1"/>
  <c r="J34" i="5" s="1"/>
  <c r="F34" i="5" s="1" a="1"/>
  <c r="F34" i="5" s="1"/>
  <c r="J5" i="4" a="1"/>
  <c r="J5" i="4" s="1"/>
  <c r="F5" i="4" s="1" a="1"/>
  <c r="F5" i="4" s="1"/>
  <c r="J114" i="4" a="1"/>
  <c r="J114" i="4" s="1"/>
  <c r="F114" i="4" s="1" a="1"/>
  <c r="F114" i="4" s="1"/>
  <c r="J111" i="6" a="1"/>
  <c r="J111" i="6" s="1"/>
  <c r="F111" i="6" s="1" a="1"/>
  <c r="F111" i="6" s="1"/>
  <c r="K450" i="2" s="1" a="1"/>
  <c r="K450" i="2" s="1"/>
  <c r="J143" i="5" a="1"/>
  <c r="J143" i="5" s="1"/>
  <c r="F143" i="5" s="1" a="1"/>
  <c r="F143" i="5" s="1"/>
  <c r="F190" i="8" a="1"/>
  <c r="F190" i="8" s="1"/>
  <c r="K172" i="2" s="1" a="1"/>
  <c r="K172" i="2" s="1"/>
  <c r="J156" i="7" a="1"/>
  <c r="J156" i="7" s="1"/>
  <c r="F156" i="7" s="1" a="1"/>
  <c r="F156" i="7" s="1"/>
  <c r="K536" i="2" s="1" a="1"/>
  <c r="K536" i="2" s="1"/>
  <c r="F205" i="4" a="1"/>
  <c r="F205" i="4" s="1"/>
  <c r="J124" i="6" a="1"/>
  <c r="J124" i="6" s="1"/>
  <c r="F124" i="6" s="1" a="1"/>
  <c r="F124" i="6" s="1"/>
  <c r="J119" i="5" a="1"/>
  <c r="J119" i="5" s="1"/>
  <c r="F119" i="5" s="1" a="1"/>
  <c r="F119" i="5" s="1"/>
  <c r="K472" i="2" s="1" a="1"/>
  <c r="K472" i="2" s="1"/>
  <c r="F105" i="5" a="1"/>
  <c r="F105" i="5" s="1"/>
  <c r="K504" i="2" s="1" a="1"/>
  <c r="K504" i="2" s="1"/>
  <c r="F183" i="7" a="1"/>
  <c r="F183" i="7" s="1"/>
  <c r="K665" i="2" s="1" a="1"/>
  <c r="K665" i="2" s="1"/>
  <c r="F102" i="5" a="1"/>
  <c r="F102" i="5" s="1"/>
  <c r="K578" i="2" s="1" a="1"/>
  <c r="K578" i="2" s="1"/>
  <c r="J21" i="9" l="1" a="1"/>
  <c r="J21" i="9" s="1"/>
  <c r="J16" i="9" a="1"/>
  <c r="J16" i="9" s="1"/>
  <c r="J30" i="9" a="1"/>
  <c r="J30" i="9" s="1"/>
  <c r="J20" i="9" a="1"/>
  <c r="J20" i="9" s="1"/>
  <c r="J8" i="9" a="1"/>
  <c r="J8" i="9" s="1"/>
  <c r="J55" i="9" a="1"/>
  <c r="J55" i="9" s="1"/>
  <c r="J4" i="9" a="1"/>
  <c r="J4" i="9" s="1"/>
  <c r="J35" i="9" a="1"/>
  <c r="J35" i="9" s="1"/>
  <c r="J41" i="9" a="1"/>
  <c r="J41" i="9" s="1"/>
  <c r="J15" i="9" a="1"/>
  <c r="J15" i="9" s="1"/>
  <c r="J49" i="9" a="1"/>
  <c r="J49" i="9" s="1"/>
  <c r="J22" i="9" a="1"/>
  <c r="J22" i="9" s="1"/>
  <c r="J23" i="9" a="1"/>
  <c r="J23" i="9" s="1"/>
  <c r="J66" i="9" a="1"/>
  <c r="J66" i="9" s="1"/>
  <c r="J51" i="9" a="1"/>
  <c r="J51" i="9" s="1"/>
  <c r="J65" i="9" a="1"/>
  <c r="J65" i="9" s="1"/>
  <c r="J10" i="9" a="1"/>
  <c r="J10" i="9" s="1"/>
  <c r="J60" i="9" a="1"/>
  <c r="J60" i="9" s="1"/>
  <c r="J44" i="9" a="1"/>
  <c r="J44" i="9" s="1"/>
  <c r="J56" i="9" a="1"/>
  <c r="J56" i="9" s="1"/>
  <c r="J18" i="9" a="1"/>
  <c r="J18" i="9" s="1"/>
  <c r="J63" i="9" a="1"/>
  <c r="J63" i="9" s="1"/>
  <c r="J33" i="9" a="1"/>
  <c r="J33" i="9" s="1"/>
  <c r="J59" i="9" a="1"/>
  <c r="J59" i="9" s="1"/>
  <c r="J19" i="9" a="1"/>
  <c r="J19" i="9" s="1"/>
  <c r="J62" i="9" a="1"/>
  <c r="J62" i="9" s="1"/>
  <c r="J47" i="9" a="1"/>
  <c r="J47" i="9" s="1"/>
  <c r="J53" i="9" a="1"/>
  <c r="J53" i="9" s="1"/>
  <c r="J43" i="9" a="1"/>
  <c r="J43" i="9" s="1"/>
  <c r="J6" i="9" a="1"/>
  <c r="J6" i="9" s="1"/>
  <c r="J26" i="9" a="1"/>
  <c r="J26" i="9" s="1"/>
  <c r="F239" i="4" a="1"/>
  <c r="F239" i="4" s="1"/>
  <c r="J3" i="9" a="1"/>
  <c r="J3" i="9" s="1"/>
  <c r="J46" i="9" a="1"/>
  <c r="J46" i="9" s="1"/>
  <c r="F91" i="6" a="1"/>
  <c r="F91" i="6" s="1"/>
  <c r="F195" i="4" a="1"/>
  <c r="F195" i="4" s="1"/>
  <c r="F50" i="4" a="1"/>
  <c r="F50" i="4" s="1"/>
  <c r="J31" i="9" a="1"/>
  <c r="J31" i="9" s="1"/>
  <c r="F28" i="6" a="1"/>
  <c r="F28" i="6" s="1"/>
  <c r="F56" i="7" a="1"/>
  <c r="F56" i="7" s="1"/>
  <c r="K314" i="2" s="1" a="1"/>
  <c r="K314" i="2" s="1"/>
  <c r="L314" i="2" s="1" a="1"/>
  <c r="L314" i="2" s="1"/>
  <c r="F189" i="7" a="1"/>
  <c r="F189" i="7" s="1"/>
  <c r="K554" i="2" s="1" a="1"/>
  <c r="K554" i="2" s="1"/>
  <c r="L554" i="2" s="1" a="1"/>
  <c r="L554" i="2" s="1"/>
  <c r="F15" i="7" a="1"/>
  <c r="F15" i="7" s="1"/>
  <c r="K112" i="2" s="1" a="1"/>
  <c r="K112" i="2" s="1"/>
  <c r="F163" i="7" a="1"/>
  <c r="F163" i="7" s="1"/>
  <c r="K590" i="2" s="1" a="1"/>
  <c r="K590" i="2" s="1"/>
  <c r="L590" i="2" s="1" a="1"/>
  <c r="L590" i="2" s="1"/>
  <c r="F31" i="7" a="1"/>
  <c r="F31" i="7" s="1"/>
  <c r="K116" i="2" s="1" a="1"/>
  <c r="K116" i="2" s="1"/>
  <c r="L116" i="2" s="1" a="1"/>
  <c r="L116" i="2" s="1"/>
  <c r="F161" i="7" a="1"/>
  <c r="F161" i="7" s="1"/>
  <c r="K572" i="2" s="1" a="1"/>
  <c r="K572" i="2" s="1"/>
  <c r="J13" i="9" a="1"/>
  <c r="J13" i="9" s="1"/>
  <c r="F94" i="8" a="1"/>
  <c r="F94" i="8" s="1"/>
  <c r="K284" i="2" s="1" a="1"/>
  <c r="K284" i="2" s="1"/>
  <c r="F30" i="8" a="1"/>
  <c r="F30" i="8" s="1"/>
  <c r="K43" i="2" s="1" a="1"/>
  <c r="K43" i="2" s="1"/>
  <c r="F200" i="7" a="1"/>
  <c r="F200" i="7" s="1"/>
  <c r="K614" i="2" s="1" a="1"/>
  <c r="K614" i="2" s="1"/>
  <c r="L614" i="2" s="1" a="1"/>
  <c r="L614" i="2" s="1"/>
  <c r="F124" i="7" a="1"/>
  <c r="F124" i="7" s="1"/>
  <c r="K476" i="2" s="1" a="1"/>
  <c r="K476" i="2" s="1"/>
  <c r="L476" i="2" s="1" a="1"/>
  <c r="L476" i="2" s="1"/>
  <c r="F6" i="8" a="1"/>
  <c r="F6" i="8" s="1"/>
  <c r="K5" i="2" s="1" a="1"/>
  <c r="K5" i="2" s="1"/>
  <c r="L5" i="2" s="1" a="1"/>
  <c r="L5" i="2" s="1"/>
  <c r="F74" i="7" a="1"/>
  <c r="F74" i="7" s="1"/>
  <c r="K398" i="2" s="1" a="1"/>
  <c r="K398" i="2" s="1"/>
  <c r="J39" i="9" a="1"/>
  <c r="J39" i="9" s="1"/>
  <c r="F40" i="7" a="1"/>
  <c r="F40" i="7" s="1"/>
  <c r="K80" i="2" s="1" a="1"/>
  <c r="K80" i="2" s="1"/>
  <c r="L80" i="2" s="1" a="1"/>
  <c r="L80" i="2" s="1"/>
  <c r="F7" i="7" a="1"/>
  <c r="F7" i="7" s="1"/>
  <c r="K33" i="2" s="1" a="1"/>
  <c r="K33" i="2" s="1"/>
  <c r="L33" i="2" s="1" a="1"/>
  <c r="L33" i="2" s="1"/>
  <c r="F10" i="7" a="1"/>
  <c r="F10" i="7" s="1"/>
  <c r="K78" i="2" s="1" a="1"/>
  <c r="K78" i="2" s="1"/>
  <c r="L78" i="2" s="1" a="1"/>
  <c r="L78" i="2" s="1"/>
  <c r="F185" i="7" a="1"/>
  <c r="F185" i="7" s="1"/>
  <c r="K648" i="2" s="1" a="1"/>
  <c r="K648" i="2" s="1"/>
  <c r="L648" i="2" s="1" a="1"/>
  <c r="L648" i="2" s="1"/>
  <c r="J37" i="9" a="1"/>
  <c r="J37" i="9" s="1"/>
  <c r="J24" i="9" a="1"/>
  <c r="J24" i="9" s="1"/>
  <c r="F122" i="8" a="1"/>
  <c r="F122" i="8" s="1"/>
  <c r="K336" i="2" s="1" a="1"/>
  <c r="K336" i="2" s="1"/>
  <c r="L336" i="2" s="1" a="1"/>
  <c r="L336" i="2" s="1"/>
  <c r="F82" i="8" a="1"/>
  <c r="F82" i="8" s="1"/>
  <c r="K202" i="2" s="1" a="1"/>
  <c r="K202" i="2" s="1"/>
  <c r="L202" i="2" s="1" a="1"/>
  <c r="L202" i="2" s="1"/>
  <c r="F209" i="6" a="1"/>
  <c r="F209" i="6" s="1"/>
  <c r="F84" i="8" a="1"/>
  <c r="F84" i="8" s="1"/>
  <c r="K104" i="2" s="1" a="1"/>
  <c r="K104" i="2" s="1"/>
  <c r="L104" i="2" s="1" a="1"/>
  <c r="L104" i="2" s="1"/>
  <c r="F73" i="6" a="1"/>
  <c r="F73" i="6" s="1"/>
  <c r="K443" i="2" s="1" a="1"/>
  <c r="K443" i="2" s="1"/>
  <c r="L443" i="2" s="1" a="1"/>
  <c r="L443" i="2" s="1"/>
  <c r="F90" i="8" a="1"/>
  <c r="F90" i="8" s="1"/>
  <c r="K146" i="2" s="1" a="1"/>
  <c r="K146" i="2" s="1"/>
  <c r="L146" i="2" s="1" a="1"/>
  <c r="L146" i="2" s="1"/>
  <c r="F71" i="8" a="1"/>
  <c r="F71" i="8" s="1"/>
  <c r="K76" i="2" s="1" a="1"/>
  <c r="K76" i="2" s="1"/>
  <c r="L76" i="2" s="1" a="1"/>
  <c r="L76" i="2" s="1"/>
  <c r="F51" i="6" a="1"/>
  <c r="F51" i="6" s="1"/>
  <c r="F101" i="8" a="1"/>
  <c r="F101" i="8" s="1"/>
  <c r="K262" i="2" s="1" a="1"/>
  <c r="K262" i="2" s="1"/>
  <c r="L262" i="2" s="1" a="1"/>
  <c r="L262" i="2" s="1"/>
  <c r="F55" i="8" a="1"/>
  <c r="F55" i="8" s="1"/>
  <c r="K59" i="2" s="1" a="1"/>
  <c r="K59" i="2" s="1"/>
  <c r="L59" i="2" s="1" a="1"/>
  <c r="L59" i="2" s="1"/>
  <c r="J32" i="9" a="1"/>
  <c r="J32" i="9" s="1"/>
  <c r="F113" i="8" a="1"/>
  <c r="F113" i="8" s="1"/>
  <c r="K294" i="2" s="1" a="1"/>
  <c r="K294" i="2" s="1"/>
  <c r="L294" i="2" s="1" a="1"/>
  <c r="L294" i="2" s="1"/>
  <c r="F11" i="7" a="1"/>
  <c r="F11" i="7" s="1"/>
  <c r="K52" i="2" s="1" a="1"/>
  <c r="K52" i="2" s="1"/>
  <c r="L52" i="2" s="1" a="1"/>
  <c r="L52" i="2" s="1"/>
  <c r="F78" i="7" a="1"/>
  <c r="F78" i="7" s="1"/>
  <c r="K241" i="2" s="1" a="1"/>
  <c r="K241" i="2" s="1"/>
  <c r="L241" i="2" s="1" a="1"/>
  <c r="L241" i="2" s="1"/>
  <c r="F98" i="7" a="1"/>
  <c r="F98" i="7" s="1"/>
  <c r="K442" i="2" s="1" a="1"/>
  <c r="K442" i="2" s="1"/>
  <c r="L442" i="2" s="1" a="1"/>
  <c r="L442" i="2" s="1"/>
  <c r="F47" i="7" a="1"/>
  <c r="F47" i="7" s="1"/>
  <c r="K266" i="2" s="1" a="1"/>
  <c r="K266" i="2" s="1"/>
  <c r="L266" i="2" s="1" a="1"/>
  <c r="L266" i="2" s="1"/>
  <c r="F115" i="8" a="1"/>
  <c r="F115" i="8" s="1"/>
  <c r="K334" i="2" s="1" a="1"/>
  <c r="K334" i="2" s="1"/>
  <c r="L334" i="2" s="1" a="1"/>
  <c r="L334" i="2" s="1"/>
  <c r="F96" i="8" a="1"/>
  <c r="F96" i="8" s="1"/>
  <c r="K408" i="2" s="1" a="1"/>
  <c r="K408" i="2" s="1"/>
  <c r="L408" i="2" s="1" a="1"/>
  <c r="L408" i="2" s="1"/>
  <c r="F94" i="6" a="1"/>
  <c r="F94" i="6" s="1"/>
  <c r="F57" i="8" a="1"/>
  <c r="F57" i="8" s="1"/>
  <c r="K67" i="2" s="1" a="1"/>
  <c r="K67" i="2" s="1"/>
  <c r="L67" i="2" s="1" a="1"/>
  <c r="L67" i="2" s="1"/>
  <c r="F81" i="8" a="1"/>
  <c r="F81" i="8" s="1"/>
  <c r="K205" i="2" s="1" a="1"/>
  <c r="K205" i="2" s="1"/>
  <c r="L205" i="2" s="1" a="1"/>
  <c r="L205" i="2" s="1"/>
  <c r="F195" i="8" a="1"/>
  <c r="F195" i="8" s="1"/>
  <c r="K364" i="2" s="1" a="1"/>
  <c r="K364" i="2" s="1"/>
  <c r="L364" i="2" s="1" a="1"/>
  <c r="L364" i="2" s="1"/>
  <c r="F25" i="8" a="1"/>
  <c r="F25" i="8" s="1"/>
  <c r="K44" i="2" s="1" a="1"/>
  <c r="K44" i="2" s="1"/>
  <c r="L44" i="2" s="1" a="1"/>
  <c r="L44" i="2" s="1"/>
  <c r="J64" i="9" a="1"/>
  <c r="J64" i="9" s="1"/>
  <c r="J48" i="9" a="1"/>
  <c r="J48" i="9" s="1"/>
  <c r="J50" i="9" a="1"/>
  <c r="J50" i="9" s="1"/>
  <c r="F92" i="6" a="1"/>
  <c r="F92" i="6" s="1"/>
  <c r="F19" i="6" a="1"/>
  <c r="F19" i="6" s="1"/>
  <c r="F81" i="6" a="1"/>
  <c r="F81" i="6" s="1"/>
  <c r="K395" i="2" s="1" a="1"/>
  <c r="K395" i="2" s="1"/>
  <c r="L395" i="2" s="1" a="1"/>
  <c r="L395" i="2" s="1"/>
  <c r="F35" i="6" a="1"/>
  <c r="F35" i="6" s="1"/>
  <c r="F34" i="6" a="1"/>
  <c r="F34" i="6" s="1"/>
  <c r="F189" i="6" a="1"/>
  <c r="F189" i="6" s="1"/>
  <c r="K530" i="2" s="1" a="1"/>
  <c r="K530" i="2" s="1"/>
  <c r="L530" i="2" s="1" a="1"/>
  <c r="L530" i="2" s="1"/>
  <c r="F82" i="6" a="1"/>
  <c r="F82" i="6" s="1"/>
  <c r="F40" i="6" a="1"/>
  <c r="F40" i="6" s="1"/>
  <c r="F156" i="6" a="1"/>
  <c r="F156" i="6" s="1"/>
  <c r="F52" i="6" a="1"/>
  <c r="F52" i="6" s="1"/>
  <c r="F138" i="6" a="1"/>
  <c r="F138" i="6" s="1"/>
  <c r="K413" i="2" s="1" a="1"/>
  <c r="K413" i="2" s="1"/>
  <c r="L413" i="2" s="1" a="1"/>
  <c r="L413" i="2" s="1"/>
  <c r="F97" i="6" a="1"/>
  <c r="F97" i="6" s="1"/>
  <c r="K422" i="2" s="1" a="1"/>
  <c r="K422" i="2" s="1"/>
  <c r="L422" i="2" s="1" a="1"/>
  <c r="L422" i="2" s="1"/>
  <c r="F148" i="6" a="1"/>
  <c r="F148" i="6" s="1"/>
  <c r="K629" i="2" s="1" a="1"/>
  <c r="K629" i="2" s="1"/>
  <c r="L629" i="2" s="1" a="1"/>
  <c r="L629" i="2" s="1"/>
  <c r="F95" i="6" a="1"/>
  <c r="F95" i="6" s="1"/>
  <c r="F120" i="6" a="1"/>
  <c r="F120" i="6" s="1"/>
  <c r="K488" i="2" s="1" a="1"/>
  <c r="K488" i="2" s="1"/>
  <c r="L488" i="2" s="1" a="1"/>
  <c r="L488" i="2" s="1"/>
  <c r="F77" i="6" a="1"/>
  <c r="F77" i="6" s="1"/>
  <c r="K348" i="2" s="1" a="1"/>
  <c r="K348" i="2" s="1"/>
  <c r="L348" i="2" s="1" a="1"/>
  <c r="L348" i="2" s="1"/>
  <c r="F208" i="6" a="1"/>
  <c r="F208" i="6" s="1"/>
  <c r="K631" i="2" s="1" a="1"/>
  <c r="K631" i="2" s="1"/>
  <c r="L631" i="2" s="1" a="1"/>
  <c r="L631" i="2" s="1"/>
  <c r="F194" i="6" a="1"/>
  <c r="F194" i="6" s="1"/>
  <c r="K565" i="2" s="1" a="1"/>
  <c r="K565" i="2" s="1"/>
  <c r="L565" i="2" s="1" a="1"/>
  <c r="L565" i="2" s="1"/>
  <c r="F64" i="6" a="1"/>
  <c r="F64" i="6" s="1"/>
  <c r="F113" i="6" a="1"/>
  <c r="F113" i="6" s="1"/>
  <c r="F136" i="6" a="1"/>
  <c r="F136" i="6" s="1"/>
  <c r="K535" i="2" s="1" a="1"/>
  <c r="K535" i="2" s="1"/>
  <c r="L535" i="2" s="1" a="1"/>
  <c r="L535" i="2" s="1"/>
  <c r="F133" i="6" a="1"/>
  <c r="F133" i="6" s="1"/>
  <c r="F206" i="6" a="1"/>
  <c r="F206" i="6" s="1"/>
  <c r="F41" i="6" a="1"/>
  <c r="F41" i="6" s="1"/>
  <c r="K240" i="2" s="1" a="1"/>
  <c r="K240" i="2" s="1"/>
  <c r="L240" i="2" s="1" a="1"/>
  <c r="L240" i="2" s="1"/>
  <c r="F37" i="6" a="1"/>
  <c r="F37" i="6" s="1"/>
  <c r="F112" i="6" a="1"/>
  <c r="F112" i="6" s="1"/>
  <c r="F56" i="6" a="1"/>
  <c r="F56" i="6" s="1"/>
  <c r="F58" i="6" a="1"/>
  <c r="F58" i="6" s="1"/>
  <c r="F85" i="6" a="1"/>
  <c r="F85" i="6" s="1"/>
  <c r="F150" i="6" a="1"/>
  <c r="F150" i="6" s="1"/>
  <c r="K409" i="2" s="1" a="1"/>
  <c r="K409" i="2" s="1"/>
  <c r="L409" i="2" s="1" a="1"/>
  <c r="L409" i="2" s="1"/>
  <c r="F30" i="6" a="1"/>
  <c r="F30" i="6" s="1"/>
  <c r="J36" i="9" a="1"/>
  <c r="J36" i="9" s="1"/>
  <c r="J52" i="9" a="1"/>
  <c r="J52" i="9" s="1"/>
  <c r="C57" i="9" a="1"/>
  <c r="C57" i="9" s="1"/>
  <c r="E372" i="2" s="1" a="1"/>
  <c r="E372" i="2" s="1"/>
  <c r="C52" i="9" a="1"/>
  <c r="C52" i="9" s="1"/>
  <c r="E228" i="2" s="1" a="1"/>
  <c r="E228" i="2" s="1"/>
  <c r="C37" i="9" a="1"/>
  <c r="C37" i="9" s="1"/>
  <c r="E167" i="2" s="1" a="1"/>
  <c r="E167" i="2" s="1"/>
  <c r="C39" i="9" a="1"/>
  <c r="C39" i="9" s="1"/>
  <c r="E142" i="2" s="1" a="1"/>
  <c r="E142" i="2" s="1"/>
  <c r="C21" i="9" a="1"/>
  <c r="C21" i="9" s="1"/>
  <c r="E38" i="2" s="1" a="1"/>
  <c r="E38" i="2" s="1"/>
  <c r="C32" i="9" a="1"/>
  <c r="C32" i="9" s="1"/>
  <c r="E282" i="2" s="1" a="1"/>
  <c r="E282" i="2" s="1"/>
  <c r="C19" i="9" a="1"/>
  <c r="C19" i="9" s="1"/>
  <c r="E102" i="2" s="1" a="1"/>
  <c r="E102" i="2" s="1"/>
  <c r="C10" i="9" a="1"/>
  <c r="C10" i="9" s="1"/>
  <c r="E20" i="2" s="1" a="1"/>
  <c r="E20" i="2" s="1"/>
  <c r="C42" i="9" a="1"/>
  <c r="C42" i="9" s="1"/>
  <c r="E403" i="2" s="1" a="1"/>
  <c r="E403" i="2" s="1"/>
  <c r="C62" i="9" a="1"/>
  <c r="C62" i="9" s="1"/>
  <c r="E393" i="2" s="1" a="1"/>
  <c r="E393" i="2" s="1"/>
  <c r="C23" i="9" a="1"/>
  <c r="C23" i="9" s="1"/>
  <c r="E117" i="2" s="1" a="1"/>
  <c r="E117" i="2" s="1"/>
  <c r="C55" i="9" a="1"/>
  <c r="C55" i="9" s="1"/>
  <c r="E255" i="2" s="1" a="1"/>
  <c r="E255" i="2" s="1"/>
  <c r="C34" i="9" a="1"/>
  <c r="C34" i="9" s="1"/>
  <c r="E87" i="2" s="1" a="1"/>
  <c r="E87" i="2" s="1"/>
  <c r="C9" i="9" a="1"/>
  <c r="C9" i="9" s="1"/>
  <c r="E92" i="2" s="1" a="1"/>
  <c r="E92" i="2" s="1"/>
  <c r="C26" i="9" a="1"/>
  <c r="C26" i="9" s="1"/>
  <c r="E245" i="2" s="1" a="1"/>
  <c r="E245" i="2" s="1"/>
  <c r="C17" i="9" a="1"/>
  <c r="C17" i="9" s="1"/>
  <c r="E61" i="2" s="1" a="1"/>
  <c r="E61" i="2" s="1"/>
  <c r="C6" i="9" a="1"/>
  <c r="C6" i="9" s="1"/>
  <c r="E26" i="2" s="1" a="1"/>
  <c r="E26" i="2" s="1"/>
  <c r="C61" i="9" a="1"/>
  <c r="C61" i="9" s="1"/>
  <c r="E391" i="2" s="1" a="1"/>
  <c r="E391" i="2" s="1"/>
  <c r="C7" i="9" a="1"/>
  <c r="C7" i="9" s="1"/>
  <c r="E64" i="2" s="1" a="1"/>
  <c r="E64" i="2" s="1"/>
  <c r="C30" i="9" a="1"/>
  <c r="C30" i="9" s="1"/>
  <c r="E53" i="2" s="1" a="1"/>
  <c r="E53" i="2" s="1"/>
  <c r="C12" i="9" a="1"/>
  <c r="C12" i="9" s="1"/>
  <c r="E162" i="2" s="1" a="1"/>
  <c r="E162" i="2" s="1"/>
  <c r="C35" i="9" a="1"/>
  <c r="C35" i="9" s="1"/>
  <c r="E143" i="2" s="1" a="1"/>
  <c r="E143" i="2" s="1"/>
  <c r="C49" i="9" a="1"/>
  <c r="C49" i="9" s="1"/>
  <c r="E509" i="2" s="1" a="1"/>
  <c r="E509" i="2" s="1"/>
  <c r="C15" i="9" a="1"/>
  <c r="C15" i="9" s="1"/>
  <c r="E72" i="2" s="1" a="1"/>
  <c r="E72" i="2" s="1"/>
  <c r="C58" i="9" a="1"/>
  <c r="C58" i="9" s="1"/>
  <c r="E377" i="2" s="1" a="1"/>
  <c r="E377" i="2" s="1"/>
  <c r="C47" i="9" a="1"/>
  <c r="C47" i="9" s="1"/>
  <c r="E256" i="2" s="1" a="1"/>
  <c r="E256" i="2" s="1"/>
  <c r="C24" i="9" a="1"/>
  <c r="C24" i="9" s="1"/>
  <c r="E86" i="2" s="1" a="1"/>
  <c r="E86" i="2" s="1"/>
  <c r="C25" i="9" a="1"/>
  <c r="C25" i="9" s="1"/>
  <c r="E85" i="2" s="1" a="1"/>
  <c r="E85" i="2" s="1"/>
  <c r="C22" i="9" a="1"/>
  <c r="C22" i="9" s="1"/>
  <c r="E69" i="2" s="1" a="1"/>
  <c r="E69" i="2" s="1"/>
  <c r="C8" i="9" a="1"/>
  <c r="C8" i="9" s="1"/>
  <c r="E27" i="2" s="1" a="1"/>
  <c r="E27" i="2" s="1"/>
  <c r="C4" i="9" a="1"/>
  <c r="C4" i="9" s="1"/>
  <c r="E10" i="2" s="1" a="1"/>
  <c r="E10" i="2" s="1"/>
  <c r="C20" i="9" a="1"/>
  <c r="C20" i="9" s="1"/>
  <c r="E47" i="2" s="1" a="1"/>
  <c r="E47" i="2" s="1"/>
  <c r="C11" i="9" a="1"/>
  <c r="C11" i="9" s="1"/>
  <c r="E220" i="2" s="1" a="1"/>
  <c r="E220" i="2" s="1"/>
  <c r="C16" i="9" a="1"/>
  <c r="C16" i="9" s="1"/>
  <c r="E177" i="2" s="1" a="1"/>
  <c r="E177" i="2" s="1"/>
  <c r="C53" i="9" a="1"/>
  <c r="C53" i="9" s="1"/>
  <c r="E261" i="2" s="1" a="1"/>
  <c r="E261" i="2" s="1"/>
  <c r="C33" i="9" a="1"/>
  <c r="C33" i="9" s="1"/>
  <c r="E91" i="2" s="1" a="1"/>
  <c r="E91" i="2" s="1"/>
  <c r="C43" i="9" a="1"/>
  <c r="C43" i="9" s="1"/>
  <c r="E326" i="2" s="1" a="1"/>
  <c r="E326" i="2" s="1"/>
  <c r="C66" i="9" a="1"/>
  <c r="C66" i="9" s="1"/>
  <c r="E134" i="2" s="1" a="1"/>
  <c r="E134" i="2" s="1"/>
  <c r="C3" i="9" a="1"/>
  <c r="C3" i="9" s="1"/>
  <c r="C65" i="9" a="1"/>
  <c r="C65" i="9" s="1"/>
  <c r="E445" i="2" s="1" a="1"/>
  <c r="E445" i="2" s="1"/>
  <c r="C18" i="9" a="1"/>
  <c r="C18" i="9" s="1"/>
  <c r="E32" i="2" s="1" a="1"/>
  <c r="E32" i="2" s="1"/>
  <c r="C41" i="9" a="1"/>
  <c r="C41" i="9" s="1"/>
  <c r="E217" i="2" s="1" a="1"/>
  <c r="E217" i="2" s="1"/>
  <c r="C56" i="9" a="1"/>
  <c r="C56" i="9" s="1"/>
  <c r="E434" i="2" s="1" a="1"/>
  <c r="E434" i="2" s="1"/>
  <c r="C63" i="9" a="1"/>
  <c r="C63" i="9" s="1"/>
  <c r="E463" i="2" s="1" a="1"/>
  <c r="E463" i="2" s="1"/>
  <c r="C29" i="9" a="1"/>
  <c r="C29" i="9" s="1"/>
  <c r="E156" i="2" s="1" a="1"/>
  <c r="E156" i="2" s="1"/>
  <c r="C54" i="9" a="1"/>
  <c r="C54" i="9" s="1"/>
  <c r="E365" i="2" s="1" a="1"/>
  <c r="E365" i="2" s="1"/>
  <c r="C36" i="9" a="1"/>
  <c r="C36" i="9" s="1"/>
  <c r="E121" i="2" s="1" a="1"/>
  <c r="E121" i="2" s="1"/>
  <c r="C31" i="9" a="1"/>
  <c r="C31" i="9" s="1"/>
  <c r="E346" i="2" s="1" a="1"/>
  <c r="E346" i="2" s="1"/>
  <c r="C27" i="9" a="1"/>
  <c r="C27" i="9" s="1"/>
  <c r="E73" i="2" s="1" a="1"/>
  <c r="E73" i="2" s="1"/>
  <c r="C50" i="9" a="1"/>
  <c r="C50" i="9" s="1"/>
  <c r="E313" i="2" s="1" a="1"/>
  <c r="E313" i="2" s="1"/>
  <c r="C5" i="9" a="1"/>
  <c r="C5" i="9" s="1"/>
  <c r="E17" i="2" s="1" a="1"/>
  <c r="E17" i="2" s="1"/>
  <c r="C60" i="9" a="1"/>
  <c r="C60" i="9" s="1"/>
  <c r="E514" i="2" s="1" a="1"/>
  <c r="E514" i="2" s="1"/>
  <c r="C28" i="9" a="1"/>
  <c r="C28" i="9" s="1"/>
  <c r="E359" i="2" s="1" a="1"/>
  <c r="E359" i="2" s="1"/>
  <c r="C46" i="9" a="1"/>
  <c r="C46" i="9" s="1"/>
  <c r="E136" i="2" s="1" a="1"/>
  <c r="E136" i="2" s="1"/>
  <c r="C14" i="9" a="1"/>
  <c r="C14" i="9" s="1"/>
  <c r="E55" i="2" s="1" a="1"/>
  <c r="E55" i="2" s="1"/>
  <c r="C64" i="9" a="1"/>
  <c r="C64" i="9" s="1"/>
  <c r="E567" i="2" s="1" a="1"/>
  <c r="E567" i="2" s="1"/>
  <c r="C13" i="9" a="1"/>
  <c r="C13" i="9" s="1"/>
  <c r="E74" i="2" s="1" a="1"/>
  <c r="E74" i="2" s="1"/>
  <c r="C40" i="9" a="1"/>
  <c r="C40" i="9" s="1"/>
  <c r="E378" i="2" s="1" a="1"/>
  <c r="E378" i="2" s="1"/>
  <c r="C59" i="9" a="1"/>
  <c r="C59" i="9" s="1"/>
  <c r="E322" i="2" s="1" a="1"/>
  <c r="E322" i="2" s="1"/>
  <c r="C48" i="9" a="1"/>
  <c r="C48" i="9" s="1"/>
  <c r="E354" i="2" s="1" a="1"/>
  <c r="E354" i="2" s="1"/>
  <c r="C44" i="9" a="1"/>
  <c r="C44" i="9" s="1"/>
  <c r="E233" i="2" s="1" a="1"/>
  <c r="E233" i="2" s="1"/>
  <c r="C38" i="9" a="1"/>
  <c r="C38" i="9" s="1"/>
  <c r="E207" i="2" s="1" a="1"/>
  <c r="E207" i="2" s="1"/>
  <c r="C45" i="9" a="1"/>
  <c r="C45" i="9" s="1"/>
  <c r="E186" i="2" s="1" a="1"/>
  <c r="E186" i="2" s="1"/>
  <c r="C51" i="9" a="1"/>
  <c r="C51" i="9" s="1"/>
  <c r="E297" i="2" s="1" a="1"/>
  <c r="E297" i="2" s="1"/>
  <c r="L504" i="2" a="1"/>
  <c r="L504" i="2" s="1"/>
  <c r="L420" i="2" a="1"/>
  <c r="L420" i="2" s="1"/>
  <c r="L563" i="2" a="1"/>
  <c r="L563" i="2" s="1"/>
  <c r="L356" i="2" a="1"/>
  <c r="L356" i="2" s="1"/>
  <c r="L491" i="2" a="1"/>
  <c r="L491" i="2" s="1"/>
  <c r="K9" i="2" a="1"/>
  <c r="K9" i="2" s="1"/>
  <c r="L578" i="2" a="1"/>
  <c r="L578" i="2" s="1"/>
  <c r="L522" i="2" a="1"/>
  <c r="L522" i="2" s="1"/>
  <c r="L101" i="2" a="1"/>
  <c r="L101" i="2" s="1"/>
  <c r="L557" i="2" a="1"/>
  <c r="L557" i="2" s="1"/>
  <c r="L584" i="2" a="1"/>
  <c r="L584" i="2" s="1"/>
  <c r="L340" i="2" a="1"/>
  <c r="L340" i="2" s="1"/>
  <c r="L392" i="2" a="1"/>
  <c r="L392" i="2" s="1"/>
  <c r="L339" i="2" a="1"/>
  <c r="L339" i="2" s="1"/>
  <c r="L267" i="2" a="1"/>
  <c r="L267" i="2" s="1"/>
  <c r="L107" i="2" a="1"/>
  <c r="L107" i="2" s="1"/>
  <c r="L204" i="2" a="1"/>
  <c r="L204" i="2" s="1"/>
  <c r="L166" i="2" a="1"/>
  <c r="L166" i="2" s="1"/>
  <c r="L138" i="2" a="1"/>
  <c r="L138" i="2" s="1"/>
  <c r="L370" i="2" a="1"/>
  <c r="L370" i="2" s="1"/>
  <c r="L279" i="2" a="1"/>
  <c r="L279" i="2" s="1"/>
  <c r="L402" i="2" a="1"/>
  <c r="L402" i="2" s="1"/>
  <c r="L19" i="2" a="1"/>
  <c r="L19" i="2" s="1"/>
  <c r="L197" i="2" a="1"/>
  <c r="L197" i="2" s="1"/>
  <c r="L353" i="2" a="1"/>
  <c r="L353" i="2" s="1"/>
  <c r="L71" i="2" a="1"/>
  <c r="L71" i="2" s="1"/>
  <c r="L35" i="2" a="1"/>
  <c r="L35" i="2" s="1"/>
  <c r="L410" i="2" a="1"/>
  <c r="L410" i="2" s="1"/>
  <c r="L550" i="2" a="1"/>
  <c r="L550" i="2" s="1"/>
  <c r="L239" i="2" a="1"/>
  <c r="L239" i="2" s="1"/>
  <c r="L506" i="2" a="1"/>
  <c r="L506" i="2" s="1"/>
  <c r="L274" i="2" a="1"/>
  <c r="L274" i="2" s="1"/>
  <c r="L231" i="2" a="1"/>
  <c r="L231" i="2" s="1"/>
  <c r="L303" i="2" a="1"/>
  <c r="L303" i="2" s="1"/>
  <c r="L599" i="2" a="1"/>
  <c r="L599" i="2" s="1"/>
  <c r="L278" i="2" a="1"/>
  <c r="L278" i="2" s="1"/>
  <c r="L131" i="2" a="1"/>
  <c r="L131" i="2" s="1"/>
  <c r="L549" i="2" a="1"/>
  <c r="L549" i="2" s="1"/>
  <c r="L287" i="2" a="1"/>
  <c r="L287" i="2" s="1"/>
  <c r="L211" i="2" a="1"/>
  <c r="L211" i="2" s="1"/>
  <c r="L128" i="2" a="1"/>
  <c r="L128" i="2" s="1"/>
  <c r="L574" i="2" a="1"/>
  <c r="L574" i="2" s="1"/>
  <c r="L505" i="2" a="1"/>
  <c r="L505" i="2" s="1"/>
  <c r="L595" i="2" a="1"/>
  <c r="L595" i="2" s="1"/>
  <c r="L23" i="2" a="1"/>
  <c r="L23" i="2" s="1"/>
  <c r="L472" i="2" a="1"/>
  <c r="L472" i="2" s="1"/>
  <c r="L609" i="2" a="1"/>
  <c r="L609" i="2" s="1"/>
  <c r="L236" i="2" a="1"/>
  <c r="L236" i="2" s="1"/>
  <c r="L428" i="2" a="1"/>
  <c r="L428" i="2" s="1"/>
  <c r="L383" i="2" a="1"/>
  <c r="L383" i="2" s="1"/>
  <c r="L664" i="2" a="1"/>
  <c r="L664" i="2" s="1"/>
  <c r="L361" i="2" a="1"/>
  <c r="L361" i="2" s="1"/>
  <c r="L510" i="2" a="1"/>
  <c r="L510" i="2" s="1"/>
  <c r="L545" i="2" a="1"/>
  <c r="L545" i="2" s="1"/>
  <c r="L494" i="2" a="1"/>
  <c r="L494" i="2" s="1"/>
  <c r="L49" i="2" a="1"/>
  <c r="L49" i="2" s="1"/>
  <c r="L265" i="2" a="1"/>
  <c r="L265" i="2" s="1"/>
  <c r="L490" i="2" a="1"/>
  <c r="L490" i="2" s="1"/>
  <c r="L200" i="2" a="1"/>
  <c r="L200" i="2" s="1"/>
  <c r="L581" i="2" a="1"/>
  <c r="L581" i="2" s="1"/>
  <c r="L307" i="2" a="1"/>
  <c r="L307" i="2" s="1"/>
  <c r="L495" i="2" a="1"/>
  <c r="L495" i="2" s="1"/>
  <c r="L175" i="2" a="1"/>
  <c r="L175" i="2" s="1"/>
  <c r="L654" i="2" a="1"/>
  <c r="L654" i="2" s="1"/>
  <c r="L621" i="2" a="1"/>
  <c r="L621" i="2" s="1"/>
  <c r="L610" i="2" a="1"/>
  <c r="L610" i="2" s="1"/>
  <c r="L588" i="2" a="1"/>
  <c r="L588" i="2" s="1"/>
  <c r="L518" i="2" a="1"/>
  <c r="L518" i="2" s="1"/>
  <c r="L237" i="2" a="1"/>
  <c r="L237" i="2" s="1"/>
  <c r="L603" i="2" a="1"/>
  <c r="L603" i="2" s="1"/>
  <c r="L479" i="2" a="1"/>
  <c r="L479" i="2" s="1"/>
  <c r="L484" i="2" a="1"/>
  <c r="L484" i="2" s="1"/>
  <c r="L22" i="2" a="1"/>
  <c r="L22" i="2" s="1"/>
  <c r="L625" i="2" a="1"/>
  <c r="L625" i="2" s="1"/>
  <c r="L81" i="2" a="1"/>
  <c r="L81" i="2" s="1"/>
  <c r="L227" i="2" a="1"/>
  <c r="L227" i="2" s="1"/>
  <c r="L259" i="2" a="1"/>
  <c r="L259" i="2" s="1"/>
  <c r="L292" i="2" a="1"/>
  <c r="L292" i="2" s="1"/>
  <c r="L384" i="2" a="1"/>
  <c r="L384" i="2" s="1"/>
  <c r="L164" i="2" a="1"/>
  <c r="L164" i="2" s="1"/>
  <c r="L319" i="2" a="1"/>
  <c r="L319" i="2" s="1"/>
  <c r="L286" i="2" a="1"/>
  <c r="L286" i="2" s="1"/>
  <c r="L153" i="2" a="1"/>
  <c r="L153" i="2" s="1"/>
  <c r="L397" i="2" a="1"/>
  <c r="L397" i="2" s="1"/>
  <c r="L299" i="2" a="1"/>
  <c r="L299" i="2" s="1"/>
  <c r="L238" i="2" a="1"/>
  <c r="L238" i="2" s="1"/>
  <c r="L358" i="2" a="1"/>
  <c r="L358" i="2" s="1"/>
  <c r="L98" i="2" a="1"/>
  <c r="L98" i="2" s="1"/>
  <c r="L25" i="2" a="1"/>
  <c r="L25" i="2" s="1"/>
  <c r="L14" i="2" a="1"/>
  <c r="L14" i="2" s="1"/>
  <c r="L192" i="2" a="1"/>
  <c r="L192" i="2" s="1"/>
  <c r="L305" i="2" a="1"/>
  <c r="L305" i="2" s="1"/>
  <c r="L277" i="2" a="1"/>
  <c r="L277" i="2" s="1"/>
  <c r="L163" i="2" a="1"/>
  <c r="L163" i="2" s="1"/>
  <c r="L516" i="2" a="1"/>
  <c r="L516" i="2" s="1"/>
  <c r="L417" i="2" a="1"/>
  <c r="L417" i="2" s="1"/>
  <c r="L50" i="2" a="1"/>
  <c r="L50" i="2" s="1"/>
  <c r="L315" i="2" a="1"/>
  <c r="L315" i="2" s="1"/>
  <c r="L37" i="2" a="1"/>
  <c r="L37" i="2" s="1"/>
  <c r="L642" i="2" a="1"/>
  <c r="L642" i="2" s="1"/>
  <c r="L418" i="2" a="1"/>
  <c r="L418" i="2" s="1"/>
  <c r="L437" i="2" a="1"/>
  <c r="L437" i="2" s="1"/>
  <c r="L496" i="2" a="1"/>
  <c r="L496" i="2" s="1"/>
  <c r="L438" i="2" a="1"/>
  <c r="L438" i="2" s="1"/>
  <c r="L298" i="2" a="1"/>
  <c r="L298" i="2" s="1"/>
  <c r="L405" i="2" a="1"/>
  <c r="L405" i="2" s="1"/>
  <c r="L473" i="2" a="1"/>
  <c r="L473" i="2" s="1"/>
  <c r="L456" i="2" a="1"/>
  <c r="L456" i="2" s="1"/>
  <c r="L83" i="2" a="1"/>
  <c r="L83" i="2" s="1"/>
  <c r="L311" i="2" a="1"/>
  <c r="L311" i="2" s="1"/>
  <c r="L389" i="2" a="1"/>
  <c r="L389" i="2" s="1"/>
  <c r="L666" i="2" a="1"/>
  <c r="L666" i="2" s="1"/>
  <c r="L458" i="2" a="1"/>
  <c r="L458" i="2" s="1"/>
  <c r="L351" i="2" a="1"/>
  <c r="L351" i="2" s="1"/>
  <c r="L485" i="2" a="1"/>
  <c r="L485" i="2" s="1"/>
  <c r="L486" i="2" a="1"/>
  <c r="L486" i="2" s="1"/>
  <c r="L423" i="2" a="1"/>
  <c r="L423" i="2" s="1"/>
  <c r="L28" i="2" a="1"/>
  <c r="L28" i="2" s="1"/>
  <c r="L415" i="2" a="1"/>
  <c r="L415" i="2" s="1"/>
  <c r="L527" i="2" a="1"/>
  <c r="L527" i="2" s="1"/>
  <c r="L537" i="2" a="1"/>
  <c r="L537" i="2" s="1"/>
  <c r="L555" i="2" a="1"/>
  <c r="L555" i="2" s="1"/>
  <c r="L269" i="2" a="1"/>
  <c r="L269" i="2" s="1"/>
  <c r="L338" i="2" a="1"/>
  <c r="L338" i="2" s="1"/>
  <c r="L669" i="2" a="1"/>
  <c r="L669" i="2" s="1"/>
  <c r="L508" i="2" a="1"/>
  <c r="L508" i="2" s="1"/>
  <c r="L457" i="2" a="1"/>
  <c r="L457" i="2" s="1"/>
  <c r="L168" i="2" a="1"/>
  <c r="L168" i="2" s="1"/>
  <c r="L570" i="2" a="1"/>
  <c r="L570" i="2" s="1"/>
  <c r="L454" i="2" a="1"/>
  <c r="L454" i="2" s="1"/>
  <c r="L435" i="2" a="1"/>
  <c r="L435" i="2" s="1"/>
  <c r="L562" i="2" a="1"/>
  <c r="L562" i="2" s="1"/>
  <c r="L127" i="2" a="1"/>
  <c r="L127" i="2" s="1"/>
  <c r="L31" i="2" a="1"/>
  <c r="L31" i="2" s="1"/>
  <c r="L68" i="2" a="1"/>
  <c r="L68" i="2" s="1"/>
  <c r="L532" i="2" a="1"/>
  <c r="L532" i="2" s="1"/>
  <c r="L206" i="2" a="1"/>
  <c r="L206" i="2" s="1"/>
  <c r="L288" i="2" a="1"/>
  <c r="L288" i="2" s="1"/>
  <c r="L280" i="2" a="1"/>
  <c r="L280" i="2" s="1"/>
  <c r="L24" i="2" a="1"/>
  <c r="L24" i="2" s="1"/>
  <c r="L120" i="2" a="1"/>
  <c r="L120" i="2" s="1"/>
  <c r="L150" i="2" a="1"/>
  <c r="L150" i="2" s="1"/>
  <c r="L360" i="2" a="1"/>
  <c r="L360" i="2" s="1"/>
  <c r="L276" i="2" a="1"/>
  <c r="L276" i="2" s="1"/>
  <c r="L144" i="2" a="1"/>
  <c r="L144" i="2" s="1"/>
  <c r="L182" i="2" a="1"/>
  <c r="L182" i="2" s="1"/>
  <c r="L293" i="2" a="1"/>
  <c r="L293" i="2" s="1"/>
  <c r="L542" i="2" a="1"/>
  <c r="L542" i="2" s="1"/>
  <c r="L404" i="2" a="1"/>
  <c r="L404" i="2" s="1"/>
  <c r="L8" i="2" a="1"/>
  <c r="L8" i="2" s="1"/>
  <c r="L591" i="2" a="1"/>
  <c r="L591" i="2" s="1"/>
  <c r="L538" i="2" a="1"/>
  <c r="L538" i="2" s="1"/>
  <c r="L40" i="2" a="1"/>
  <c r="L40" i="2" s="1"/>
  <c r="L429" i="2" a="1"/>
  <c r="L429" i="2" s="1"/>
  <c r="L544" i="2" a="1"/>
  <c r="L544" i="2" s="1"/>
  <c r="L512" i="2" a="1"/>
  <c r="L512" i="2" s="1"/>
  <c r="L325" i="2" a="1"/>
  <c r="L325" i="2" s="1"/>
  <c r="L639" i="2" a="1"/>
  <c r="L639" i="2" s="1"/>
  <c r="L543" i="2" a="1"/>
  <c r="L543" i="2" s="1"/>
  <c r="L634" i="2" a="1"/>
  <c r="L634" i="2" s="1"/>
  <c r="K12" i="2" a="1"/>
  <c r="K12" i="2" s="1"/>
  <c r="L529" i="2" a="1"/>
  <c r="L529" i="2" s="1"/>
  <c r="L655" i="2" a="1"/>
  <c r="L655" i="2" s="1"/>
  <c r="L480" i="2" a="1"/>
  <c r="L480" i="2" s="1"/>
  <c r="L77" i="2" a="1"/>
  <c r="L77" i="2" s="1"/>
  <c r="L616" i="2" a="1"/>
  <c r="L616" i="2" s="1"/>
  <c r="L399" i="2" a="1"/>
  <c r="L399" i="2" s="1"/>
  <c r="L482" i="2" a="1"/>
  <c r="L482" i="2" s="1"/>
  <c r="L623" i="2" a="1"/>
  <c r="L623" i="2" s="1"/>
  <c r="L533" i="2" a="1"/>
  <c r="L533" i="2" s="1"/>
  <c r="L552" i="2" a="1"/>
  <c r="L552" i="2" s="1"/>
  <c r="L411" i="2" a="1"/>
  <c r="L411" i="2" s="1"/>
  <c r="L500" i="2" a="1"/>
  <c r="L500" i="2" s="1"/>
  <c r="L440" i="2" a="1"/>
  <c r="L440" i="2" s="1"/>
  <c r="L536" i="2" a="1"/>
  <c r="L536" i="2" s="1"/>
  <c r="L260" i="2" a="1"/>
  <c r="L260" i="2" s="1"/>
  <c r="L660" i="2" a="1"/>
  <c r="L660" i="2" s="1"/>
  <c r="L665" i="2" a="1"/>
  <c r="L665" i="2" s="1"/>
  <c r="L208" i="2" a="1"/>
  <c r="L208" i="2" s="1"/>
  <c r="L474" i="2" a="1"/>
  <c r="L474" i="2" s="1"/>
  <c r="L407" i="2" a="1"/>
  <c r="L407" i="2" s="1"/>
  <c r="L39" i="2" a="1"/>
  <c r="L39" i="2" s="1"/>
  <c r="L497" i="2" a="1"/>
  <c r="L497" i="2" s="1"/>
  <c r="L263" i="2" a="1"/>
  <c r="L263" i="2" s="1"/>
  <c r="L560" i="2" a="1"/>
  <c r="L560" i="2" s="1"/>
  <c r="L607" i="2" a="1"/>
  <c r="L607" i="2" s="1"/>
  <c r="L195" i="2" a="1"/>
  <c r="L195" i="2" s="1"/>
  <c r="L489" i="2" a="1"/>
  <c r="L489" i="2" s="1"/>
  <c r="L169" i="2" a="1"/>
  <c r="L169" i="2" s="1"/>
  <c r="L210" i="2" a="1"/>
  <c r="L210" i="2" s="1"/>
  <c r="L312" i="2" a="1"/>
  <c r="L312" i="2" s="1"/>
  <c r="L110" i="2" a="1"/>
  <c r="L110" i="2" s="1"/>
  <c r="L257" i="2" a="1"/>
  <c r="L257" i="2" s="1"/>
  <c r="L42" i="2" a="1"/>
  <c r="L42" i="2" s="1"/>
  <c r="L379" i="2" a="1"/>
  <c r="L379" i="2" s="1"/>
  <c r="L273" i="2" a="1"/>
  <c r="L273" i="2" s="1"/>
  <c r="L349" i="2" a="1"/>
  <c r="L349" i="2" s="1"/>
  <c r="L246" i="2" a="1"/>
  <c r="L246" i="2" s="1"/>
  <c r="L57" i="2" a="1"/>
  <c r="L57" i="2" s="1"/>
  <c r="L258" i="2" a="1"/>
  <c r="L258" i="2" s="1"/>
  <c r="L34" i="2" a="1"/>
  <c r="L34" i="2" s="1"/>
  <c r="L75" i="2" a="1"/>
  <c r="L75" i="2" s="1"/>
  <c r="L477" i="2" a="1"/>
  <c r="L477" i="2" s="1"/>
  <c r="L622" i="2" a="1"/>
  <c r="L622" i="2" s="1"/>
  <c r="L671" i="2" a="1"/>
  <c r="L671" i="2" s="1"/>
  <c r="L461" i="2" a="1"/>
  <c r="L461" i="2" s="1"/>
  <c r="L618" i="2" a="1"/>
  <c r="L618" i="2" s="1"/>
  <c r="L627" i="2" a="1"/>
  <c r="L627" i="2" s="1"/>
  <c r="L82" i="2" a="1"/>
  <c r="L82" i="2" s="1"/>
  <c r="L324" i="2" a="1"/>
  <c r="L324" i="2" s="1"/>
  <c r="L431" i="2" a="1"/>
  <c r="L431" i="2" s="1"/>
  <c r="L115" i="2" a="1"/>
  <c r="L115" i="2" s="1"/>
  <c r="L30" i="2" a="1"/>
  <c r="L30" i="2" s="1"/>
  <c r="L51" i="2" a="1"/>
  <c r="L51" i="2" s="1"/>
  <c r="L612" i="2" a="1"/>
  <c r="L612" i="2" s="1"/>
  <c r="L181" i="2" a="1"/>
  <c r="L181" i="2" s="1"/>
  <c r="L613" i="2" a="1"/>
  <c r="L613" i="2" s="1"/>
  <c r="L226" i="2" a="1"/>
  <c r="L226" i="2" s="1"/>
  <c r="L605" i="2" a="1"/>
  <c r="L605" i="2" s="1"/>
  <c r="L63" i="2" a="1"/>
  <c r="L63" i="2" s="1"/>
  <c r="L302" i="2" a="1"/>
  <c r="L302" i="2" s="1"/>
  <c r="L520" i="2" a="1"/>
  <c r="L520" i="2" s="1"/>
  <c r="L572" i="2" a="1"/>
  <c r="L572" i="2" s="1"/>
  <c r="L432" i="2" a="1"/>
  <c r="L432" i="2" s="1"/>
  <c r="L586" i="2" a="1"/>
  <c r="L586" i="2" s="1"/>
  <c r="L184" i="2" a="1"/>
  <c r="L184" i="2" s="1"/>
  <c r="L66" i="2" a="1"/>
  <c r="L66" i="2" s="1"/>
  <c r="L318" i="2" a="1"/>
  <c r="L318" i="2" s="1"/>
  <c r="L430" i="2" a="1"/>
  <c r="L430" i="2" s="1"/>
  <c r="L637" i="2" a="1"/>
  <c r="L637" i="2" s="1"/>
  <c r="L388" i="2" a="1"/>
  <c r="L388" i="2" s="1"/>
  <c r="L602" i="2" a="1"/>
  <c r="L602" i="2" s="1"/>
  <c r="L250" i="2" a="1"/>
  <c r="L250" i="2" s="1"/>
  <c r="L419" i="2" a="1"/>
  <c r="L419" i="2" s="1"/>
  <c r="L100" i="2" a="1"/>
  <c r="L100" i="2" s="1"/>
  <c r="L230" i="2" a="1"/>
  <c r="L230" i="2" s="1"/>
  <c r="L317" i="2" a="1"/>
  <c r="L317" i="2" s="1"/>
  <c r="L190" i="2" a="1"/>
  <c r="L190" i="2" s="1"/>
  <c r="L568" i="2" a="1"/>
  <c r="L568" i="2" s="1"/>
  <c r="L347" i="2" a="1"/>
  <c r="L347" i="2" s="1"/>
  <c r="L129" i="2" a="1"/>
  <c r="L129" i="2" s="1"/>
  <c r="L198" i="2" a="1"/>
  <c r="L198" i="2" s="1"/>
  <c r="L444" i="2" a="1"/>
  <c r="L444" i="2" s="1"/>
  <c r="L394" i="2" a="1"/>
  <c r="L394" i="2" s="1"/>
  <c r="L534" i="2" a="1"/>
  <c r="L534" i="2" s="1"/>
  <c r="L96" i="2" a="1"/>
  <c r="L96" i="2" s="1"/>
  <c r="L662" i="2" a="1"/>
  <c r="L662" i="2" s="1"/>
  <c r="L290" i="2" a="1"/>
  <c r="L290" i="2" s="1"/>
  <c r="L633" i="2" a="1"/>
  <c r="L633" i="2" s="1"/>
  <c r="L499" i="2" a="1"/>
  <c r="L499" i="2" s="1"/>
  <c r="L589" i="2" a="1"/>
  <c r="L589" i="2" s="1"/>
  <c r="L188" i="2" a="1"/>
  <c r="L188" i="2" s="1"/>
  <c r="L154" i="2" a="1"/>
  <c r="L154" i="2" s="1"/>
  <c r="L539" i="2" a="1"/>
  <c r="L539" i="2" s="1"/>
  <c r="L556" i="2" a="1"/>
  <c r="L556" i="2" s="1"/>
  <c r="L363" i="2" a="1"/>
  <c r="L363" i="2" s="1"/>
  <c r="L606" i="2" a="1"/>
  <c r="L606" i="2" s="1"/>
  <c r="L425" i="2" a="1"/>
  <c r="L425" i="2" s="1"/>
  <c r="L183" i="2" a="1"/>
  <c r="L183" i="2" s="1"/>
  <c r="L517" i="2" a="1"/>
  <c r="L517" i="2" s="1"/>
  <c r="L470" i="2" a="1"/>
  <c r="L470" i="2" s="1"/>
  <c r="L571" i="2" a="1"/>
  <c r="L571" i="2" s="1"/>
  <c r="L493" i="2" a="1"/>
  <c r="L493" i="2" s="1"/>
  <c r="L187" i="2" a="1"/>
  <c r="L187" i="2" s="1"/>
  <c r="L661" i="2" a="1"/>
  <c r="L661" i="2" s="1"/>
  <c r="L224" i="2" a="1"/>
  <c r="L224" i="2" s="1"/>
  <c r="L95" i="2" a="1"/>
  <c r="L95" i="2" s="1"/>
  <c r="L659" i="2" a="1"/>
  <c r="L659" i="2" s="1"/>
  <c r="L513" i="2" a="1"/>
  <c r="L513" i="2" s="1"/>
  <c r="L575" i="2" a="1"/>
  <c r="L575" i="2" s="1"/>
  <c r="L18" i="2" a="1"/>
  <c r="L18" i="2" s="1"/>
  <c r="L249" i="2" a="1"/>
  <c r="L249" i="2" s="1"/>
  <c r="L344" i="2" a="1"/>
  <c r="L344" i="2" s="1"/>
  <c r="L396" i="2" a="1"/>
  <c r="L396" i="2" s="1"/>
  <c r="L199" i="2" a="1"/>
  <c r="L199" i="2" s="1"/>
  <c r="L60" i="2" a="1"/>
  <c r="L60" i="2" s="1"/>
  <c r="L93" i="2" a="1"/>
  <c r="L93" i="2" s="1"/>
  <c r="L268" i="2" a="1"/>
  <c r="L268" i="2" s="1"/>
  <c r="L215" i="2" a="1"/>
  <c r="L215" i="2" s="1"/>
  <c r="L133" i="2" a="1"/>
  <c r="L133" i="2" s="1"/>
  <c r="L16" i="2" a="1"/>
  <c r="L16" i="2" s="1"/>
  <c r="L84" i="2" a="1"/>
  <c r="L84" i="2" s="1"/>
  <c r="L145" i="2" a="1"/>
  <c r="L145" i="2" s="1"/>
  <c r="L221" i="2" a="1"/>
  <c r="L221" i="2" s="1"/>
  <c r="L222" i="2" a="1"/>
  <c r="L222" i="2" s="1"/>
  <c r="L270" i="2" a="1"/>
  <c r="L270" i="2" s="1"/>
  <c r="L300" i="2" a="1"/>
  <c r="L300" i="2" s="1"/>
  <c r="L165" i="2" a="1"/>
  <c r="L165" i="2" s="1"/>
  <c r="L281" i="2" a="1"/>
  <c r="L281" i="2" s="1"/>
  <c r="L283" i="2" a="1"/>
  <c r="L283" i="2" s="1"/>
  <c r="L439" i="2" a="1"/>
  <c r="L439" i="2" s="1"/>
  <c r="L528" i="2" a="1"/>
  <c r="L528" i="2" s="1"/>
  <c r="L524" i="2" a="1"/>
  <c r="L524" i="2" s="1"/>
  <c r="L132" i="2" a="1"/>
  <c r="L132" i="2" s="1"/>
  <c r="L651" i="2" a="1"/>
  <c r="L651" i="2" s="1"/>
  <c r="L502" i="2" a="1"/>
  <c r="L502" i="2" s="1"/>
  <c r="L635" i="2" a="1"/>
  <c r="L635" i="2" s="1"/>
  <c r="L54" i="2" a="1"/>
  <c r="L54" i="2" s="1"/>
  <c r="L481" i="2" a="1"/>
  <c r="L481" i="2" s="1"/>
  <c r="L212" i="2" a="1"/>
  <c r="L212" i="2" s="1"/>
  <c r="L577" i="2" a="1"/>
  <c r="L577" i="2" s="1"/>
  <c r="L366" i="2" a="1"/>
  <c r="L366" i="2" s="1"/>
  <c r="L56" i="2" a="1"/>
  <c r="L56" i="2" s="1"/>
  <c r="L108" i="2" a="1"/>
  <c r="L108" i="2" s="1"/>
  <c r="L141" i="2" a="1"/>
  <c r="L141" i="2" s="1"/>
  <c r="L375" i="2" a="1"/>
  <c r="L375" i="2" s="1"/>
  <c r="L284" i="2" a="1"/>
  <c r="L284" i="2" s="1"/>
  <c r="L254" i="2" a="1"/>
  <c r="L254" i="2" s="1"/>
  <c r="L531" i="2" a="1"/>
  <c r="L531" i="2" s="1"/>
  <c r="L159" i="2" a="1"/>
  <c r="L159" i="2" s="1"/>
  <c r="L466" i="2" a="1"/>
  <c r="L466" i="2" s="1"/>
  <c r="L632" i="2" a="1"/>
  <c r="L632" i="2" s="1"/>
  <c r="L62" i="2" a="1"/>
  <c r="L62" i="2" s="1"/>
  <c r="L111" i="2" a="1"/>
  <c r="L111" i="2" s="1"/>
  <c r="L620" i="2" a="1"/>
  <c r="L620" i="2" s="1"/>
  <c r="L219" i="2" a="1"/>
  <c r="L219" i="2" s="1"/>
  <c r="L124" i="2" a="1"/>
  <c r="L124" i="2" s="1"/>
  <c r="L253" i="2" a="1"/>
  <c r="L253" i="2" s="1"/>
  <c r="L272" i="2" a="1"/>
  <c r="L272" i="2" s="1"/>
  <c r="L615" i="2" a="1"/>
  <c r="L615" i="2" s="1"/>
  <c r="L465" i="2" a="1"/>
  <c r="L465" i="2" s="1"/>
  <c r="L566" i="2" a="1"/>
  <c r="L566" i="2" s="1"/>
  <c r="L398" i="2" a="1"/>
  <c r="L398" i="2" s="1"/>
  <c r="L427" i="2" a="1"/>
  <c r="L427" i="2" s="1"/>
  <c r="L447" i="2" a="1"/>
  <c r="L447" i="2" s="1"/>
  <c r="L668" i="2" a="1"/>
  <c r="L668" i="2" s="1"/>
  <c r="L624" i="2" a="1"/>
  <c r="L624" i="2" s="1"/>
  <c r="L45" i="2" a="1"/>
  <c r="L45" i="2" s="1"/>
  <c r="L139" i="2" a="1"/>
  <c r="L139" i="2" s="1"/>
  <c r="L214" i="2" a="1"/>
  <c r="L214" i="2" s="1"/>
  <c r="L579" i="2" a="1"/>
  <c r="L579" i="2" s="1"/>
  <c r="L670" i="2" a="1"/>
  <c r="L670" i="2" s="1"/>
  <c r="L342" i="2" a="1"/>
  <c r="L342" i="2" s="1"/>
  <c r="L367" i="2" a="1"/>
  <c r="L367" i="2" s="1"/>
  <c r="L320" i="2" a="1"/>
  <c r="L320" i="2" s="1"/>
  <c r="L309" i="2" a="1"/>
  <c r="L309" i="2" s="1"/>
  <c r="L218" i="2" a="1"/>
  <c r="L218" i="2" s="1"/>
  <c r="L373" i="2" a="1"/>
  <c r="L373" i="2" s="1"/>
  <c r="L170" i="2" a="1"/>
  <c r="L170" i="2" s="1"/>
  <c r="L289" i="2" a="1"/>
  <c r="L289" i="2" s="1"/>
  <c r="L70" i="2" a="1"/>
  <c r="L70" i="2" s="1"/>
  <c r="L99" i="2" a="1"/>
  <c r="L99" i="2" s="1"/>
  <c r="L106" i="2" a="1"/>
  <c r="L106" i="2" s="1"/>
  <c r="L223" i="2" a="1"/>
  <c r="L223" i="2" s="1"/>
  <c r="L65" i="2" a="1"/>
  <c r="L65" i="2" s="1"/>
  <c r="L304" i="2" a="1"/>
  <c r="L304" i="2" s="1"/>
  <c r="L453" i="2" a="1"/>
  <c r="L453" i="2" s="1"/>
  <c r="L412" i="2" a="1"/>
  <c r="L412" i="2" s="1"/>
  <c r="K7" i="2" a="1"/>
  <c r="K7" i="2" s="1"/>
  <c r="L247" i="2" a="1"/>
  <c r="L247" i="2" s="1"/>
  <c r="L316" i="2" a="1"/>
  <c r="L316" i="2" s="1"/>
  <c r="L161" i="2" a="1"/>
  <c r="L161" i="2" s="1"/>
  <c r="L180" i="2" a="1"/>
  <c r="L180" i="2" s="1"/>
  <c r="L232" i="2" a="1"/>
  <c r="L232" i="2" s="1"/>
  <c r="L381" i="2" a="1"/>
  <c r="L381" i="2" s="1"/>
  <c r="L79" i="2" a="1"/>
  <c r="L79" i="2" s="1"/>
  <c r="L114" i="2" a="1"/>
  <c r="L114" i="2" s="1"/>
  <c r="L264" i="2" a="1"/>
  <c r="L264" i="2" s="1"/>
  <c r="L561" i="2" a="1"/>
  <c r="L561" i="2" s="1"/>
  <c r="L123" i="2" a="1"/>
  <c r="L123" i="2" s="1"/>
  <c r="L343" i="2" a="1"/>
  <c r="L343" i="2" s="1"/>
  <c r="L521" i="2" a="1"/>
  <c r="L521" i="2" s="1"/>
  <c r="L558" i="2" a="1"/>
  <c r="L558" i="2" s="1"/>
  <c r="L576" i="2" a="1"/>
  <c r="L576" i="2" s="1"/>
  <c r="L189" i="2" a="1"/>
  <c r="L189" i="2" s="1"/>
  <c r="L13" i="2" a="1"/>
  <c r="L13" i="2" s="1"/>
  <c r="L592" i="2" a="1"/>
  <c r="L592" i="2" s="1"/>
  <c r="L657" i="2" a="1"/>
  <c r="L657" i="2" s="1"/>
  <c r="L446" i="2" a="1"/>
  <c r="L446" i="2" s="1"/>
  <c r="L357" i="2" a="1"/>
  <c r="L357" i="2" s="1"/>
  <c r="L140" i="2" a="1"/>
  <c r="L140" i="2" s="1"/>
  <c r="L546" i="2" a="1"/>
  <c r="L546" i="2" s="1"/>
  <c r="L229" i="2" a="1"/>
  <c r="L229" i="2" s="1"/>
  <c r="L130" i="2" a="1"/>
  <c r="L130" i="2" s="1"/>
  <c r="L492" i="2" a="1"/>
  <c r="L492" i="2" s="1"/>
  <c r="G2" i="3" a="1"/>
  <c r="G2" i="3" s="1"/>
  <c r="L4" i="2" a="1"/>
  <c r="L4" i="2" s="1"/>
  <c r="L380" i="2" a="1"/>
  <c r="L380" i="2" s="1"/>
  <c r="L29" i="2" a="1"/>
  <c r="L29" i="2" s="1"/>
  <c r="L636" i="2" a="1"/>
  <c r="L636" i="2" s="1"/>
  <c r="L88" i="2" a="1"/>
  <c r="L88" i="2" s="1"/>
  <c r="L617" i="2" a="1"/>
  <c r="L617" i="2" s="1"/>
  <c r="L323" i="2" a="1"/>
  <c r="L323" i="2" s="1"/>
  <c r="L548" i="2" a="1"/>
  <c r="L548" i="2" s="1"/>
  <c r="L608" i="2" a="1"/>
  <c r="L608" i="2" s="1"/>
  <c r="L112" i="2" a="1"/>
  <c r="L112" i="2" s="1"/>
  <c r="L551" i="2" a="1"/>
  <c r="L551" i="2" s="1"/>
  <c r="L244" i="2" a="1"/>
  <c r="L244" i="2" s="1"/>
  <c r="L97" i="2" a="1"/>
  <c r="L97" i="2" s="1"/>
  <c r="L652" i="2" a="1"/>
  <c r="L652" i="2" s="1"/>
  <c r="L468" i="2" a="1"/>
  <c r="L468" i="2" s="1"/>
  <c r="L149" i="2" a="1"/>
  <c r="L149" i="2" s="1"/>
  <c r="L460" i="2" a="1"/>
  <c r="L460" i="2" s="1"/>
  <c r="L416" i="2" a="1"/>
  <c r="L416" i="2" s="1"/>
  <c r="L582" i="2" a="1"/>
  <c r="L582" i="2" s="1"/>
  <c r="L172" i="2" a="1"/>
  <c r="L172" i="2" s="1"/>
  <c r="L600" i="2" a="1"/>
  <c r="L600" i="2" s="1"/>
  <c r="L475" i="2" a="1"/>
  <c r="L475" i="2" s="1"/>
  <c r="L451" i="2" a="1"/>
  <c r="L451" i="2" s="1"/>
  <c r="L511" i="2" a="1"/>
  <c r="L511" i="2" s="1"/>
  <c r="L196" i="2" a="1"/>
  <c r="L196" i="2" s="1"/>
  <c r="L330" i="2" a="1"/>
  <c r="L330" i="2" s="1"/>
  <c r="L327" i="2" a="1"/>
  <c r="L327" i="2" s="1"/>
  <c r="L251" i="2" a="1"/>
  <c r="L251" i="2" s="1"/>
  <c r="L275" i="2" a="1"/>
  <c r="L275" i="2" s="1"/>
  <c r="L235" i="2" a="1"/>
  <c r="L235" i="2" s="1"/>
  <c r="L178" i="2" a="1"/>
  <c r="L178" i="2" s="1"/>
  <c r="L151" i="2" a="1"/>
  <c r="L151" i="2" s="1"/>
  <c r="L48" i="2" a="1"/>
  <c r="L48" i="2" s="1"/>
  <c r="L308" i="2" a="1"/>
  <c r="L308" i="2" s="1"/>
  <c r="L337" i="2" a="1"/>
  <c r="L337" i="2" s="1"/>
  <c r="L452" i="2" a="1"/>
  <c r="L452" i="2" s="1"/>
  <c r="L385" i="2" a="1"/>
  <c r="L385" i="2" s="1"/>
  <c r="L640" i="2" a="1"/>
  <c r="L640" i="2" s="1"/>
  <c r="L619" i="2" a="1"/>
  <c r="L619" i="2" s="1"/>
  <c r="L119" i="2" a="1"/>
  <c r="L119" i="2" s="1"/>
  <c r="L333" i="2" a="1"/>
  <c r="L333" i="2" s="1"/>
  <c r="L295" i="2" a="1"/>
  <c r="L295" i="2" s="1"/>
  <c r="L519" i="2" a="1"/>
  <c r="L519" i="2" s="1"/>
  <c r="L541" i="2" a="1"/>
  <c r="L541" i="2" s="1"/>
  <c r="L547" i="2" a="1"/>
  <c r="L547" i="2" s="1"/>
  <c r="L135" i="2" a="1"/>
  <c r="L135" i="2" s="1"/>
  <c r="L125" i="2" a="1"/>
  <c r="L125" i="2" s="1"/>
  <c r="L355" i="2" a="1"/>
  <c r="L355" i="2" s="1"/>
  <c r="L653" i="2" a="1"/>
  <c r="L653" i="2" s="1"/>
  <c r="L376" i="2" a="1"/>
  <c r="L376" i="2" s="1"/>
  <c r="L90" i="2" a="1"/>
  <c r="L90" i="2" s="1"/>
  <c r="L329" i="2" a="1"/>
  <c r="L329" i="2" s="1"/>
  <c r="L507" i="2" a="1"/>
  <c r="L507" i="2" s="1"/>
  <c r="L105" i="2" a="1"/>
  <c r="L105" i="2" s="1"/>
  <c r="L216" i="2" a="1"/>
  <c r="L216" i="2" s="1"/>
  <c r="L462" i="2" a="1"/>
  <c r="L462" i="2" s="1"/>
  <c r="L469" i="2" a="1"/>
  <c r="L469" i="2" s="1"/>
  <c r="L667" i="2" a="1"/>
  <c r="L667" i="2" s="1"/>
  <c r="L645" i="2" a="1"/>
  <c r="L645" i="2" s="1"/>
  <c r="L641" i="2" a="1"/>
  <c r="L641" i="2" s="1"/>
  <c r="L471" i="2" a="1"/>
  <c r="L471" i="2" s="1"/>
  <c r="L455" i="2" a="1"/>
  <c r="L455" i="2" s="1"/>
  <c r="L252" i="2" a="1"/>
  <c r="L252" i="2" s="1"/>
  <c r="L400" i="2" a="1"/>
  <c r="L400" i="2" s="1"/>
  <c r="L335" i="2" a="1"/>
  <c r="L335" i="2" s="1"/>
  <c r="L441" i="2" a="1"/>
  <c r="L441" i="2" s="1"/>
  <c r="L559" i="2" a="1"/>
  <c r="L559" i="2" s="1"/>
  <c r="L301" i="2" a="1"/>
  <c r="L301" i="2" s="1"/>
  <c r="L126" i="2" a="1"/>
  <c r="L126" i="2" s="1"/>
  <c r="L580" i="2" a="1"/>
  <c r="L580" i="2" s="1"/>
  <c r="L587" i="2" a="1"/>
  <c r="L587" i="2" s="1"/>
  <c r="L525" i="2" a="1"/>
  <c r="L525" i="2" s="1"/>
  <c r="L449" i="2" a="1"/>
  <c r="L449" i="2" s="1"/>
  <c r="L593" i="2" a="1"/>
  <c r="L593" i="2" s="1"/>
  <c r="L242" i="2" a="1"/>
  <c r="L242" i="2" s="1"/>
  <c r="L626" i="2" a="1"/>
  <c r="L626" i="2" s="1"/>
  <c r="L213" i="2" a="1"/>
  <c r="L213" i="2" s="1"/>
  <c r="L597" i="2" a="1"/>
  <c r="L597" i="2" s="1"/>
  <c r="L426" i="2" a="1"/>
  <c r="L426" i="2" s="1"/>
  <c r="L498" i="2" a="1"/>
  <c r="L498" i="2" s="1"/>
  <c r="L564" i="2" a="1"/>
  <c r="L564" i="2" s="1"/>
  <c r="L173" i="2" a="1"/>
  <c r="L173" i="2" s="1"/>
  <c r="G6" i="3" a="1"/>
  <c r="G6" i="3" s="1"/>
  <c r="L21" i="2" a="1"/>
  <c r="L21" i="2" s="1"/>
  <c r="L448" i="2" a="1"/>
  <c r="L448" i="2" s="1"/>
  <c r="L433" i="2" a="1"/>
  <c r="L433" i="2" s="1"/>
  <c r="L650" i="2" a="1"/>
  <c r="L650" i="2" s="1"/>
  <c r="L503" i="2" a="1"/>
  <c r="L503" i="2" s="1"/>
  <c r="L158" i="2" a="1"/>
  <c r="L158" i="2" s="1"/>
  <c r="L41" i="2" a="1"/>
  <c r="L41" i="2" s="1"/>
  <c r="L185" i="2" a="1"/>
  <c r="L185" i="2" s="1"/>
  <c r="L341" i="2" a="1"/>
  <c r="L341" i="2" s="1"/>
  <c r="L248" i="2" a="1"/>
  <c r="L248" i="2" s="1"/>
  <c r="L271" i="2" a="1"/>
  <c r="L271" i="2" s="1"/>
  <c r="L148" i="2" a="1"/>
  <c r="L148" i="2" s="1"/>
  <c r="L191" i="2" a="1"/>
  <c r="L191" i="2" s="1"/>
  <c r="L160" i="2" a="1"/>
  <c r="L160" i="2" s="1"/>
  <c r="L11" i="2" a="1"/>
  <c r="L11" i="2" s="1"/>
  <c r="L291" i="2" a="1"/>
  <c r="L291" i="2" s="1"/>
  <c r="L94" i="2" a="1"/>
  <c r="L94" i="2" s="1"/>
  <c r="L414" i="2" a="1"/>
  <c r="L414" i="2" s="1"/>
  <c r="L478" i="2" a="1"/>
  <c r="L478" i="2" s="1"/>
  <c r="L152" i="2" a="1"/>
  <c r="L152" i="2" s="1"/>
  <c r="L296" i="2" a="1"/>
  <c r="L296" i="2" s="1"/>
  <c r="L174" i="2" a="1"/>
  <c r="L174" i="2" s="1"/>
  <c r="L464" i="2" a="1"/>
  <c r="L464" i="2" s="1"/>
  <c r="L352" i="2" a="1"/>
  <c r="L352" i="2" s="1"/>
  <c r="L663" i="2" a="1"/>
  <c r="L663" i="2" s="1"/>
  <c r="L583" i="2" a="1"/>
  <c r="L583" i="2" s="1"/>
  <c r="L646" i="2" a="1"/>
  <c r="L646" i="2" s="1"/>
  <c r="L644" i="2" a="1"/>
  <c r="L644" i="2" s="1"/>
  <c r="L225" i="2" a="1"/>
  <c r="L225" i="2" s="1"/>
  <c r="L553" i="2" a="1"/>
  <c r="L553" i="2" s="1"/>
  <c r="L450" i="2" a="1"/>
  <c r="L450" i="2" s="1"/>
  <c r="L350" i="2" a="1"/>
  <c r="L350" i="2" s="1"/>
  <c r="L526" i="2" a="1"/>
  <c r="L526" i="2" s="1"/>
  <c r="L628" i="2" a="1"/>
  <c r="L628" i="2" s="1"/>
  <c r="L483" i="2" a="1"/>
  <c r="L483" i="2" s="1"/>
  <c r="L157" i="2" a="1"/>
  <c r="L157" i="2" s="1"/>
  <c r="L390" i="2" a="1"/>
  <c r="L390" i="2" s="1"/>
  <c r="L369" i="2" a="1"/>
  <c r="L369" i="2" s="1"/>
  <c r="L540" i="2" a="1"/>
  <c r="L540" i="2" s="1"/>
  <c r="L459" i="2" a="1"/>
  <c r="L459" i="2" s="1"/>
  <c r="L321" i="2" a="1"/>
  <c r="L321" i="2" s="1"/>
  <c r="L424" i="2" a="1"/>
  <c r="L424" i="2" s="1"/>
  <c r="L382" i="2" a="1"/>
  <c r="L382" i="2" s="1"/>
  <c r="L203" i="2" a="1"/>
  <c r="L203" i="2" s="1"/>
  <c r="L601" i="2" a="1"/>
  <c r="L601" i="2" s="1"/>
  <c r="L374" i="2" a="1"/>
  <c r="L374" i="2" s="1"/>
  <c r="L643" i="2" a="1"/>
  <c r="L643" i="2" s="1"/>
  <c r="L109" i="2" a="1"/>
  <c r="L109" i="2" s="1"/>
  <c r="L243" i="2" a="1"/>
  <c r="L243" i="2" s="1"/>
  <c r="L328" i="2" a="1"/>
  <c r="L328" i="2" s="1"/>
  <c r="L658" i="2" a="1"/>
  <c r="L658" i="2" s="1"/>
  <c r="L596" i="2" a="1"/>
  <c r="L596" i="2" s="1"/>
  <c r="L113" i="2" a="1"/>
  <c r="L113" i="2" s="1"/>
  <c r="L569" i="2" a="1"/>
  <c r="L569" i="2" s="1"/>
  <c r="L362" i="2" a="1"/>
  <c r="L362" i="2" s="1"/>
  <c r="L179" i="2" a="1"/>
  <c r="L179" i="2" s="1"/>
  <c r="L155" i="2" a="1"/>
  <c r="L155" i="2" s="1"/>
  <c r="L345" i="2" a="1"/>
  <c r="L345" i="2" s="1"/>
  <c r="G14" i="3" a="1"/>
  <c r="G14" i="3" s="1"/>
  <c r="L2" i="2" a="1"/>
  <c r="L2" i="2" s="1"/>
  <c r="L194" i="2" a="1"/>
  <c r="L194" i="2" s="1"/>
  <c r="L371" i="2" a="1"/>
  <c r="L371" i="2" s="1"/>
  <c r="L6" i="2" a="1"/>
  <c r="L6" i="2" s="1"/>
  <c r="L46" i="2" a="1"/>
  <c r="L46" i="2" s="1"/>
  <c r="L36" i="2" a="1"/>
  <c r="L36" i="2" s="1"/>
  <c r="L368" i="2" a="1"/>
  <c r="L368" i="2" s="1"/>
  <c r="L171" i="2" a="1"/>
  <c r="L171" i="2" s="1"/>
  <c r="L118" i="2" a="1"/>
  <c r="L118" i="2" s="1"/>
  <c r="L234" i="2" a="1"/>
  <c r="L234" i="2" s="1"/>
  <c r="L306" i="2" a="1"/>
  <c r="L306" i="2" s="1"/>
  <c r="L523" i="2" a="1"/>
  <c r="L523" i="2" s="1"/>
  <c r="L310" i="2" a="1"/>
  <c r="L310" i="2" s="1"/>
  <c r="L176" i="2" a="1"/>
  <c r="L176" i="2" s="1"/>
  <c r="L515" i="2" a="1"/>
  <c r="L515" i="2" s="1"/>
  <c r="L193" i="2" a="1"/>
  <c r="L193" i="2" s="1"/>
  <c r="L501" i="2" a="1"/>
  <c r="L501" i="2" s="1"/>
  <c r="L401" i="2" a="1"/>
  <c r="L401" i="2" s="1"/>
  <c r="L201" i="2" a="1"/>
  <c r="L201" i="2" s="1"/>
  <c r="L406" i="2" a="1"/>
  <c r="L406" i="2" s="1"/>
  <c r="L467" i="2" a="1"/>
  <c r="L467" i="2" s="1"/>
  <c r="L58" i="2" a="1"/>
  <c r="L58" i="2" s="1"/>
  <c r="L436" i="2" a="1"/>
  <c r="L436" i="2" s="1"/>
  <c r="L604" i="2" a="1"/>
  <c r="L604" i="2" s="1"/>
  <c r="L598" i="2" a="1"/>
  <c r="L598" i="2" s="1"/>
  <c r="L594" i="2" a="1"/>
  <c r="L594" i="2" s="1"/>
  <c r="L573" i="2" a="1"/>
  <c r="L573" i="2" s="1"/>
  <c r="L147" i="2" a="1"/>
  <c r="L147" i="2" s="1"/>
  <c r="K2" i="1" a="1"/>
  <c r="K2" i="1" s="1"/>
  <c r="K3" i="2" a="1"/>
  <c r="K3" i="2" s="1"/>
  <c r="L209" i="2" a="1"/>
  <c r="L209" i="2" s="1"/>
  <c r="L43" i="2" a="1"/>
  <c r="L43" i="2" s="1"/>
  <c r="L421" i="2" a="1"/>
  <c r="L421" i="2" s="1"/>
  <c r="L630" i="2" a="1"/>
  <c r="L630" i="2" s="1"/>
  <c r="L487" i="2" a="1"/>
  <c r="L487" i="2" s="1"/>
  <c r="L585" i="2" a="1"/>
  <c r="L585" i="2" s="1"/>
  <c r="L122" i="2" a="1"/>
  <c r="L122" i="2" s="1"/>
  <c r="L285" i="2" a="1"/>
  <c r="L285" i="2" s="1"/>
  <c r="L638" i="2" a="1"/>
  <c r="L638" i="2" s="1"/>
  <c r="L656" i="2" a="1"/>
  <c r="L656" i="2" s="1"/>
  <c r="L649" i="2" a="1"/>
  <c r="L649" i="2" s="1"/>
  <c r="L386" i="2" a="1"/>
  <c r="L386" i="2" s="1"/>
  <c r="L387" i="2" a="1"/>
  <c r="L387" i="2" s="1"/>
  <c r="L647" i="2" a="1"/>
  <c r="L647" i="2" s="1"/>
  <c r="L89" i="2" a="1"/>
  <c r="L89" i="2" s="1"/>
  <c r="L103" i="2" a="1"/>
  <c r="L103" i="2" s="1"/>
  <c r="L137" i="2" a="1"/>
  <c r="L137" i="2" s="1"/>
  <c r="L332" i="2" a="1"/>
  <c r="L332" i="2" s="1"/>
  <c r="L611" i="2" a="1"/>
  <c r="L611" i="2" s="1"/>
  <c r="K3" i="1" l="1" a="1"/>
  <c r="K3" i="1" s="1"/>
  <c r="K4" i="1" a="1"/>
  <c r="K4" i="1" s="1"/>
  <c r="K5" i="1" a="1"/>
  <c r="K5" i="1" s="1"/>
  <c r="F58" i="9" a="1"/>
  <c r="F58" i="9" s="1"/>
  <c r="K377" i="2" s="1" a="1"/>
  <c r="K377" i="2" s="1"/>
  <c r="L377" i="2" s="1" a="1"/>
  <c r="L377" i="2" s="1"/>
  <c r="F12" i="9" a="1"/>
  <c r="F12" i="9" s="1"/>
  <c r="K162" i="2" s="1" a="1"/>
  <c r="K162" i="2" s="1"/>
  <c r="L162" i="2" s="1" a="1"/>
  <c r="L162" i="2" s="1"/>
  <c r="F5" i="9" a="1"/>
  <c r="F5" i="9" s="1"/>
  <c r="K17" i="2" s="1" a="1"/>
  <c r="K17" i="2" s="1"/>
  <c r="L17" i="2" s="1" a="1"/>
  <c r="L17" i="2" s="1"/>
  <c r="F57" i="9" a="1"/>
  <c r="F57" i="9" s="1"/>
  <c r="K372" i="2" s="1" a="1"/>
  <c r="K372" i="2" s="1"/>
  <c r="L372" i="2" s="1" a="1"/>
  <c r="L372" i="2" s="1"/>
  <c r="F26" i="9" a="1"/>
  <c r="F26" i="9" s="1"/>
  <c r="K245" i="2" s="1" a="1"/>
  <c r="K245" i="2" s="1"/>
  <c r="L245" i="2" s="1" a="1"/>
  <c r="L245" i="2" s="1"/>
  <c r="F45" i="9" a="1"/>
  <c r="F45" i="9" s="1"/>
  <c r="K186" i="2" s="1" a="1"/>
  <c r="K186" i="2" s="1"/>
  <c r="L186" i="2" s="1" a="1"/>
  <c r="L186" i="2" s="1"/>
  <c r="F14" i="9" a="1"/>
  <c r="F14" i="9" s="1"/>
  <c r="K55" i="2" s="1" a="1"/>
  <c r="K55" i="2" s="1"/>
  <c r="L55" i="2" s="1" a="1"/>
  <c r="L55" i="2" s="1"/>
  <c r="F30" i="9" a="1"/>
  <c r="F30" i="9" s="1"/>
  <c r="K53" i="2" s="1" a="1"/>
  <c r="K53" i="2" s="1"/>
  <c r="L53" i="2" s="1" a="1"/>
  <c r="L53" i="2" s="1"/>
  <c r="F59" i="9" a="1"/>
  <c r="F59" i="9" s="1"/>
  <c r="K322" i="2" s="1" a="1"/>
  <c r="K322" i="2" s="1"/>
  <c r="L322" i="2" s="1" a="1"/>
  <c r="L322" i="2" s="1"/>
  <c r="F25" i="9" a="1"/>
  <c r="F25" i="9" s="1"/>
  <c r="K85" i="2" s="1" a="1"/>
  <c r="K85" i="2" s="1"/>
  <c r="L85" i="2" s="1" a="1"/>
  <c r="L85" i="2" s="1"/>
  <c r="F38" i="9" a="1"/>
  <c r="F38" i="9" s="1"/>
  <c r="K207" i="2" s="1" a="1"/>
  <c r="K207" i="2" s="1"/>
  <c r="L207" i="2" s="1" a="1"/>
  <c r="L207" i="2" s="1"/>
  <c r="F46" i="9" a="1"/>
  <c r="F46" i="9" s="1"/>
  <c r="K136" i="2" s="1" a="1"/>
  <c r="K136" i="2" s="1"/>
  <c r="L136" i="2" s="1" a="1"/>
  <c r="L136" i="2" s="1"/>
  <c r="F34" i="9" a="1"/>
  <c r="F34" i="9" s="1"/>
  <c r="K87" i="2" s="1" a="1"/>
  <c r="K87" i="2" s="1"/>
  <c r="L87" i="2" s="1" a="1"/>
  <c r="L87" i="2" s="1"/>
  <c r="E15" i="2" a="1"/>
  <c r="E15" i="2" s="1"/>
  <c r="C25" i="3" s="1" a="1"/>
  <c r="C25" i="3" s="1"/>
  <c r="F55" i="9" a="1"/>
  <c r="F55" i="9" s="1"/>
  <c r="K255" i="2" s="1" a="1"/>
  <c r="K255" i="2" s="1"/>
  <c r="L255" i="2" s="1" a="1"/>
  <c r="L255" i="2" s="1"/>
  <c r="F20" i="9" a="1"/>
  <c r="F20" i="9" s="1"/>
  <c r="K47" i="2" s="1" a="1"/>
  <c r="K47" i="2" s="1"/>
  <c r="L47" i="2" s="1" a="1"/>
  <c r="L47" i="2" s="1"/>
  <c r="F49" i="9" a="1"/>
  <c r="F49" i="9" s="1"/>
  <c r="K509" i="2" s="1" a="1"/>
  <c r="K509" i="2" s="1"/>
  <c r="L509" i="2" s="1" a="1"/>
  <c r="L509" i="2" s="1"/>
  <c r="F7" i="9" a="1"/>
  <c r="F7" i="9" s="1"/>
  <c r="K64" i="2" s="1" a="1"/>
  <c r="K64" i="2" s="1"/>
  <c r="L64" i="2" s="1" a="1"/>
  <c r="L64" i="2" s="1"/>
  <c r="F22" i="9" a="1"/>
  <c r="F22" i="9" s="1"/>
  <c r="K69" i="2" s="1" a="1"/>
  <c r="K69" i="2" s="1"/>
  <c r="F33" i="9" a="1"/>
  <c r="F33" i="9" s="1"/>
  <c r="K91" i="2" s="1" a="1"/>
  <c r="K91" i="2" s="1"/>
  <c r="L91" i="2" s="1" a="1"/>
  <c r="L91" i="2" s="1"/>
  <c r="F11" i="9" a="1"/>
  <c r="F11" i="9" s="1"/>
  <c r="K220" i="2" s="1" a="1"/>
  <c r="K220" i="2" s="1"/>
  <c r="L220" i="2" s="1" a="1"/>
  <c r="L220" i="2" s="1"/>
  <c r="F6" i="9" a="1"/>
  <c r="F6" i="9" s="1"/>
  <c r="K26" i="2" s="1" a="1"/>
  <c r="K26" i="2" s="1"/>
  <c r="L26" i="2" s="1" a="1"/>
  <c r="L26" i="2" s="1"/>
  <c r="F48" i="9" a="1"/>
  <c r="F48" i="9" s="1"/>
  <c r="K354" i="2" s="1" a="1"/>
  <c r="K354" i="2" s="1"/>
  <c r="F4" i="9" a="1"/>
  <c r="F4" i="9" s="1"/>
  <c r="K10" i="2" s="1" a="1"/>
  <c r="K10" i="2" s="1"/>
  <c r="F21" i="9" a="1"/>
  <c r="F21" i="9" s="1"/>
  <c r="K38" i="2" s="1" a="1"/>
  <c r="K38" i="2" s="1"/>
  <c r="L38" i="2" s="1" a="1"/>
  <c r="L38" i="2" s="1"/>
  <c r="F52" i="9" a="1"/>
  <c r="F52" i="9" s="1"/>
  <c r="K228" i="2" s="1" a="1"/>
  <c r="K228" i="2" s="1"/>
  <c r="L228" i="2" s="1" a="1"/>
  <c r="L228" i="2" s="1"/>
  <c r="F37" i="9" a="1"/>
  <c r="F37" i="9" s="1"/>
  <c r="K167" i="2" s="1" a="1"/>
  <c r="K167" i="2" s="1"/>
  <c r="F47" i="9" a="1"/>
  <c r="F47" i="9" s="1"/>
  <c r="K256" i="2" s="1" a="1"/>
  <c r="K256" i="2" s="1"/>
  <c r="L256" i="2" s="1" a="1"/>
  <c r="L256" i="2" s="1"/>
  <c r="F16" i="9" a="1"/>
  <c r="F16" i="9" s="1"/>
  <c r="K177" i="2" s="1" a="1"/>
  <c r="K177" i="2" s="1"/>
  <c r="L177" i="2" s="1" a="1"/>
  <c r="L177" i="2" s="1"/>
  <c r="F10" i="9" a="1"/>
  <c r="F10" i="9" s="1"/>
  <c r="K20" i="2" s="1" a="1"/>
  <c r="K20" i="2" s="1"/>
  <c r="L20" i="2" s="1" a="1"/>
  <c r="L20" i="2" s="1"/>
  <c r="F24" i="9" a="1"/>
  <c r="F24" i="9" s="1"/>
  <c r="K86" i="2" s="1" a="1"/>
  <c r="K86" i="2" s="1"/>
  <c r="L86" i="2" s="1" a="1"/>
  <c r="L86" i="2" s="1"/>
  <c r="F32" i="9" a="1"/>
  <c r="F32" i="9" s="1"/>
  <c r="K282" i="2" s="1" a="1"/>
  <c r="K282" i="2" s="1"/>
  <c r="L282" i="2" s="1" a="1"/>
  <c r="L282" i="2" s="1"/>
  <c r="F41" i="9" a="1"/>
  <c r="F41" i="9" s="1"/>
  <c r="K217" i="2" s="1" a="1"/>
  <c r="K217" i="2" s="1"/>
  <c r="L217" i="2" s="1" a="1"/>
  <c r="L217" i="2" s="1"/>
  <c r="F63" i="9" a="1"/>
  <c r="F63" i="9" s="1"/>
  <c r="K463" i="2" s="1" a="1"/>
  <c r="K463" i="2" s="1"/>
  <c r="L463" i="2" s="1" a="1"/>
  <c r="L463" i="2" s="1"/>
  <c r="F23" i="9" a="1"/>
  <c r="F23" i="9" s="1"/>
  <c r="K117" i="2" s="1" a="1"/>
  <c r="K117" i="2" s="1"/>
  <c r="L117" i="2" s="1" a="1"/>
  <c r="L117" i="2" s="1"/>
  <c r="F18" i="9" a="1"/>
  <c r="F18" i="9" s="1"/>
  <c r="K32" i="2" s="1" a="1"/>
  <c r="K32" i="2" s="1"/>
  <c r="L32" i="2" s="1" a="1"/>
  <c r="L32" i="2" s="1"/>
  <c r="F3" i="9" a="1"/>
  <c r="F3" i="9" s="1"/>
  <c r="F65" i="9" a="1"/>
  <c r="F65" i="9" s="1"/>
  <c r="K445" i="2" s="1" a="1"/>
  <c r="K445" i="2" s="1"/>
  <c r="L445" i="2" s="1" a="1"/>
  <c r="L445" i="2" s="1"/>
  <c r="F54" i="9" a="1"/>
  <c r="F54" i="9" s="1"/>
  <c r="K365" i="2" s="1" a="1"/>
  <c r="K365" i="2" s="1"/>
  <c r="F50" i="9" a="1"/>
  <c r="F50" i="9" s="1"/>
  <c r="K313" i="2" s="1" a="1"/>
  <c r="K313" i="2" s="1"/>
  <c r="L313" i="2" s="1" a="1"/>
  <c r="L313" i="2" s="1"/>
  <c r="F60" i="9" a="1"/>
  <c r="F60" i="9" s="1"/>
  <c r="K514" i="2" s="1" a="1"/>
  <c r="K514" i="2" s="1"/>
  <c r="F53" i="9" a="1"/>
  <c r="F53" i="9" s="1"/>
  <c r="K261" i="2" s="1" a="1"/>
  <c r="K261" i="2" s="1"/>
  <c r="L261" i="2" s="1" a="1"/>
  <c r="L261" i="2" s="1"/>
  <c r="F13" i="9" a="1"/>
  <c r="F13" i="9" s="1"/>
  <c r="K74" i="2" s="1" a="1"/>
  <c r="K74" i="2" s="1"/>
  <c r="L74" i="2" s="1" a="1"/>
  <c r="L74" i="2" s="1"/>
  <c r="F44" i="9" a="1"/>
  <c r="F44" i="9" s="1"/>
  <c r="K233" i="2" s="1" a="1"/>
  <c r="K233" i="2" s="1"/>
  <c r="L233" i="2" s="1" a="1"/>
  <c r="L233" i="2" s="1"/>
  <c r="F62" i="9" a="1"/>
  <c r="F62" i="9" s="1"/>
  <c r="K393" i="2" s="1" a="1"/>
  <c r="K393" i="2" s="1"/>
  <c r="L393" i="2" s="1" a="1"/>
  <c r="L393" i="2" s="1"/>
  <c r="F66" i="9" a="1"/>
  <c r="F66" i="9" s="1"/>
  <c r="K134" i="2" s="1" a="1"/>
  <c r="K134" i="2" s="1"/>
  <c r="L134" i="2" s="1" a="1"/>
  <c r="L134" i="2" s="1"/>
  <c r="F43" i="9" a="1"/>
  <c r="F43" i="9" s="1"/>
  <c r="K326" i="2" s="1" a="1"/>
  <c r="K326" i="2" s="1"/>
  <c r="L326" i="2" s="1" a="1"/>
  <c r="L326" i="2" s="1"/>
  <c r="F35" i="9" a="1"/>
  <c r="F35" i="9" s="1"/>
  <c r="K143" i="2" s="1" a="1"/>
  <c r="K143" i="2" s="1"/>
  <c r="L143" i="2" s="1" a="1"/>
  <c r="L143" i="2" s="1"/>
  <c r="F39" i="9" a="1"/>
  <c r="F39" i="9" s="1"/>
  <c r="K142" i="2" s="1" a="1"/>
  <c r="K142" i="2" s="1"/>
  <c r="F8" i="9" a="1"/>
  <c r="F8" i="9" s="1"/>
  <c r="K27" i="2" s="1" a="1"/>
  <c r="K27" i="2" s="1"/>
  <c r="L27" i="2" s="1" a="1"/>
  <c r="L27" i="2" s="1"/>
  <c r="F64" i="9" a="1"/>
  <c r="F64" i="9" s="1"/>
  <c r="K567" i="2" s="1" a="1"/>
  <c r="K567" i="2" s="1"/>
  <c r="L567" i="2" s="1" a="1"/>
  <c r="L567" i="2" s="1"/>
  <c r="F15" i="9" a="1"/>
  <c r="F15" i="9" s="1"/>
  <c r="K72" i="2" s="1" a="1"/>
  <c r="K72" i="2" s="1"/>
  <c r="L72" i="2" s="1" a="1"/>
  <c r="L72" i="2" s="1"/>
  <c r="F36" i="9" a="1"/>
  <c r="F36" i="9" s="1"/>
  <c r="K121" i="2" s="1" a="1"/>
  <c r="K121" i="2" s="1"/>
  <c r="F51" i="9" a="1"/>
  <c r="F51" i="9" s="1"/>
  <c r="K297" i="2" s="1" a="1"/>
  <c r="K297" i="2" s="1"/>
  <c r="L297" i="2" s="1" a="1"/>
  <c r="L297" i="2" s="1"/>
  <c r="F56" i="9" a="1"/>
  <c r="F56" i="9" s="1"/>
  <c r="K434" i="2" s="1" a="1"/>
  <c r="K434" i="2" s="1"/>
  <c r="L434" i="2" s="1" a="1"/>
  <c r="L434" i="2" s="1"/>
  <c r="F17" i="9" a="1"/>
  <c r="F17" i="9" s="1"/>
  <c r="K61" i="2" s="1" a="1"/>
  <c r="K61" i="2" s="1"/>
  <c r="L61" i="2" s="1" a="1"/>
  <c r="L61" i="2" s="1"/>
  <c r="F28" i="9" a="1"/>
  <c r="F28" i="9" s="1"/>
  <c r="K359" i="2" s="1" a="1"/>
  <c r="K359" i="2" s="1"/>
  <c r="L359" i="2" s="1" a="1"/>
  <c r="L359" i="2" s="1"/>
  <c r="F40" i="9" a="1"/>
  <c r="F40" i="9" s="1"/>
  <c r="K378" i="2" s="1" a="1"/>
  <c r="K378" i="2" s="1"/>
  <c r="L378" i="2" s="1" a="1"/>
  <c r="L378" i="2" s="1"/>
  <c r="F42" i="9" a="1"/>
  <c r="F42" i="9" s="1"/>
  <c r="K403" i="2" s="1" a="1"/>
  <c r="K403" i="2" s="1"/>
  <c r="F61" i="9" a="1"/>
  <c r="F61" i="9" s="1"/>
  <c r="K391" i="2" s="1" a="1"/>
  <c r="K391" i="2" s="1"/>
  <c r="L391" i="2" s="1" a="1"/>
  <c r="L391" i="2" s="1"/>
  <c r="F27" i="9" a="1"/>
  <c r="F27" i="9" s="1"/>
  <c r="K73" i="2" s="1" a="1"/>
  <c r="K73" i="2" s="1"/>
  <c r="F19" i="9" a="1"/>
  <c r="F19" i="9" s="1"/>
  <c r="K102" i="2" s="1" a="1"/>
  <c r="K102" i="2" s="1"/>
  <c r="L102" i="2" s="1" a="1"/>
  <c r="L102" i="2" s="1"/>
  <c r="F29" i="9" a="1"/>
  <c r="F29" i="9" s="1"/>
  <c r="K156" i="2" s="1" a="1"/>
  <c r="K156" i="2" s="1"/>
  <c r="F31" i="9" a="1"/>
  <c r="F31" i="9" s="1"/>
  <c r="K346" i="2" s="1" a="1"/>
  <c r="K346" i="2" s="1"/>
  <c r="L346" i="2" s="1" a="1"/>
  <c r="L346" i="2" s="1"/>
  <c r="F9" i="9" a="1"/>
  <c r="F9" i="9" s="1"/>
  <c r="K92" i="2" s="1" a="1"/>
  <c r="K92" i="2" s="1"/>
  <c r="L92" i="2" s="1" a="1"/>
  <c r="L92" i="2" s="1"/>
  <c r="L7" i="2" a="1"/>
  <c r="L7" i="2" s="1"/>
  <c r="L12" i="2" a="1"/>
  <c r="L12" i="2" s="1"/>
  <c r="G10" i="3" a="1"/>
  <c r="G10" i="3" s="1"/>
  <c r="G22" i="3" s="1" a="1"/>
  <c r="G22" i="3" s="1"/>
  <c r="L9" i="2" a="1"/>
  <c r="L9" i="2" s="1"/>
  <c r="L3" i="2" a="1"/>
  <c r="L3" i="2" s="1"/>
  <c r="L403" i="2" l="1" a="1"/>
  <c r="L403" i="2" s="1"/>
  <c r="L142" i="2" a="1"/>
  <c r="L142" i="2" s="1"/>
  <c r="L73" i="2" a="1"/>
  <c r="L73" i="2" s="1"/>
  <c r="L156" i="2" a="1"/>
  <c r="L156" i="2" s="1"/>
  <c r="L121" i="2" a="1"/>
  <c r="L121" i="2" s="1"/>
  <c r="L514" i="2" a="1"/>
  <c r="L514" i="2" s="1"/>
  <c r="L365" i="2" a="1"/>
  <c r="L365" i="2" s="1"/>
  <c r="L69" i="2" a="1"/>
  <c r="L69" i="2" s="1"/>
  <c r="K6" i="1" a="1"/>
  <c r="K6" i="1" s="1"/>
  <c r="K15" i="2" a="1"/>
  <c r="K15" i="2" s="1"/>
  <c r="A8" i="2" s="1"/>
  <c r="N8" i="2" s="1" a="1"/>
  <c r="N8" i="2" s="1"/>
  <c r="L167" i="2" a="1"/>
  <c r="L167" i="2" s="1"/>
  <c r="L10" i="2" a="1"/>
  <c r="L10" i="2" s="1"/>
  <c r="L354" i="2" a="1"/>
  <c r="L354" i="2" s="1"/>
  <c r="A248" i="2" l="1"/>
  <c r="N248" i="2" s="1" a="1"/>
  <c r="N248" i="2" s="1"/>
  <c r="A229" i="2"/>
  <c r="N229" i="2" s="1" a="1"/>
  <c r="N229" i="2" s="1"/>
  <c r="A452" i="2"/>
  <c r="N452" i="2" s="1" a="1"/>
  <c r="N452" i="2" s="1"/>
  <c r="A173" i="2"/>
  <c r="N173" i="2" s="1" a="1"/>
  <c r="N173" i="2" s="1"/>
  <c r="A388" i="2"/>
  <c r="N388" i="2" s="1" a="1"/>
  <c r="N388" i="2" s="1"/>
  <c r="A122" i="2"/>
  <c r="N122" i="2" s="1" a="1"/>
  <c r="N122" i="2" s="1"/>
  <c r="A519" i="2"/>
  <c r="N519" i="2" s="1" a="1"/>
  <c r="N519" i="2" s="1"/>
  <c r="A96" i="2"/>
  <c r="N96" i="2" s="1" a="1"/>
  <c r="N96" i="2" s="1"/>
  <c r="A615" i="2"/>
  <c r="N615" i="2" s="1" a="1"/>
  <c r="N615" i="2" s="1"/>
  <c r="A421" i="2"/>
  <c r="N421" i="2" s="1" a="1"/>
  <c r="N421" i="2" s="1"/>
  <c r="A303" i="2"/>
  <c r="N303" i="2" s="1" a="1"/>
  <c r="N303" i="2" s="1"/>
  <c r="A205" i="2"/>
  <c r="N205" i="2" s="1" a="1"/>
  <c r="N205" i="2" s="1"/>
  <c r="A391" i="2"/>
  <c r="N391" i="2" s="1" a="1"/>
  <c r="N391" i="2" s="1"/>
  <c r="A621" i="2"/>
  <c r="N621" i="2" s="1" a="1"/>
  <c r="N621" i="2" s="1"/>
  <c r="A219" i="2"/>
  <c r="N219" i="2" s="1" a="1"/>
  <c r="N219" i="2" s="1"/>
  <c r="A496" i="2"/>
  <c r="N496" i="2" s="1" a="1"/>
  <c r="N496" i="2" s="1"/>
  <c r="A531" i="2"/>
  <c r="N531" i="2" s="1" a="1"/>
  <c r="N531" i="2" s="1"/>
  <c r="A150" i="2"/>
  <c r="N150" i="2" s="1" a="1"/>
  <c r="N150" i="2" s="1"/>
  <c r="A637" i="2"/>
  <c r="N637" i="2" s="1" a="1"/>
  <c r="N637" i="2" s="1"/>
  <c r="A56" i="2"/>
  <c r="N56" i="2" s="1" a="1"/>
  <c r="N56" i="2" s="1"/>
  <c r="A31" i="2"/>
  <c r="N31" i="2" s="1" a="1"/>
  <c r="N31" i="2" s="1"/>
  <c r="A32" i="2"/>
  <c r="N32" i="2" s="1" a="1"/>
  <c r="N32" i="2" s="1"/>
  <c r="A573" i="2"/>
  <c r="N573" i="2" s="1" a="1"/>
  <c r="N573" i="2" s="1"/>
  <c r="A115" i="2"/>
  <c r="N115" i="2" s="1" a="1"/>
  <c r="N115" i="2" s="1"/>
  <c r="A578" i="2"/>
  <c r="N578" i="2" s="1" a="1"/>
  <c r="N578" i="2" s="1"/>
  <c r="A47" i="2"/>
  <c r="N47" i="2" s="1" a="1"/>
  <c r="N47" i="2" s="1"/>
  <c r="A504" i="2"/>
  <c r="N504" i="2" s="1" a="1"/>
  <c r="N504" i="2" s="1"/>
  <c r="A238" i="2"/>
  <c r="N238" i="2" s="1" a="1"/>
  <c r="N238" i="2" s="1"/>
  <c r="A130" i="2"/>
  <c r="N130" i="2" s="1" a="1"/>
  <c r="N130" i="2" s="1"/>
  <c r="A81" i="2"/>
  <c r="N81" i="2" s="1" a="1"/>
  <c r="N81" i="2" s="1"/>
  <c r="A500" i="2"/>
  <c r="N500" i="2" s="1" a="1"/>
  <c r="N500" i="2" s="1"/>
  <c r="A562" i="2"/>
  <c r="N562" i="2" s="1" a="1"/>
  <c r="N562" i="2" s="1"/>
  <c r="A304" i="2"/>
  <c r="N304" i="2" s="1" a="1"/>
  <c r="N304" i="2" s="1"/>
  <c r="A181" i="2"/>
  <c r="N181" i="2" s="1" a="1"/>
  <c r="N181" i="2" s="1"/>
  <c r="A305" i="2"/>
  <c r="N305" i="2" s="1" a="1"/>
  <c r="N305" i="2" s="1"/>
  <c r="A270" i="2"/>
  <c r="N270" i="2" s="1" a="1"/>
  <c r="N270" i="2" s="1"/>
  <c r="A80" i="2"/>
  <c r="N80" i="2" s="1" a="1"/>
  <c r="N80" i="2" s="1"/>
  <c r="A549" i="2"/>
  <c r="N549" i="2" s="1" a="1"/>
  <c r="N549" i="2" s="1"/>
  <c r="A322" i="2"/>
  <c r="N322" i="2" s="1" a="1"/>
  <c r="N322" i="2" s="1"/>
  <c r="A195" i="2"/>
  <c r="N195" i="2" s="1" a="1"/>
  <c r="N195" i="2" s="1"/>
  <c r="A50" i="2"/>
  <c r="N50" i="2" s="1" a="1"/>
  <c r="N50" i="2" s="1"/>
  <c r="A141" i="2"/>
  <c r="N141" i="2" s="1" a="1"/>
  <c r="N141" i="2" s="1"/>
  <c r="A351" i="2"/>
  <c r="N351" i="2" s="1" a="1"/>
  <c r="N351" i="2" s="1"/>
  <c r="A630" i="2"/>
  <c r="N630" i="2" s="1" a="1"/>
  <c r="N630" i="2" s="1"/>
  <c r="A26" i="2"/>
  <c r="N26" i="2" s="1" a="1"/>
  <c r="N26" i="2" s="1"/>
  <c r="A498" i="2"/>
  <c r="N498" i="2" s="1" a="1"/>
  <c r="N498" i="2" s="1"/>
  <c r="A246" i="2"/>
  <c r="N246" i="2" s="1" a="1"/>
  <c r="N246" i="2" s="1"/>
  <c r="A661" i="2"/>
  <c r="N661" i="2" s="1" a="1"/>
  <c r="N661" i="2" s="1"/>
  <c r="A616" i="2"/>
  <c r="N616" i="2" s="1" a="1"/>
  <c r="N616" i="2" s="1"/>
  <c r="A614" i="2"/>
  <c r="N614" i="2" s="1" a="1"/>
  <c r="N614" i="2" s="1"/>
  <c r="A484" i="2"/>
  <c r="N484" i="2" s="1" a="1"/>
  <c r="N484" i="2" s="1"/>
  <c r="A308" i="2"/>
  <c r="N308" i="2" s="1" a="1"/>
  <c r="N308" i="2" s="1"/>
  <c r="A52" i="2"/>
  <c r="N52" i="2" s="1" a="1"/>
  <c r="N52" i="2" s="1"/>
  <c r="A273" i="2"/>
  <c r="N273" i="2" s="1" a="1"/>
  <c r="N273" i="2" s="1"/>
  <c r="A659" i="2"/>
  <c r="N659" i="2" s="1" a="1"/>
  <c r="N659" i="2" s="1"/>
  <c r="A5" i="2"/>
  <c r="N5" i="2" s="1" a="1"/>
  <c r="N5" i="2" s="1"/>
  <c r="A642" i="2"/>
  <c r="N642" i="2" s="1" a="1"/>
  <c r="N642" i="2" s="1"/>
  <c r="A62" i="2"/>
  <c r="N62" i="2" s="1" a="1"/>
  <c r="N62" i="2" s="1"/>
  <c r="A453" i="2"/>
  <c r="N453" i="2" s="1" a="1"/>
  <c r="N453" i="2" s="1"/>
  <c r="A178" i="2"/>
  <c r="N178" i="2" s="1" a="1"/>
  <c r="N178" i="2" s="1"/>
  <c r="A444" i="2"/>
  <c r="N444" i="2" s="1" a="1"/>
  <c r="N444" i="2" s="1"/>
  <c r="A82" i="2"/>
  <c r="N82" i="2" s="1" a="1"/>
  <c r="N82" i="2" s="1"/>
  <c r="A646" i="2"/>
  <c r="N646" i="2" s="1" a="1"/>
  <c r="N646" i="2" s="1"/>
  <c r="A423" i="2"/>
  <c r="N423" i="2" s="1" a="1"/>
  <c r="N423" i="2" s="1"/>
  <c r="A199" i="2"/>
  <c r="N199" i="2" s="1" a="1"/>
  <c r="N199" i="2" s="1"/>
  <c r="A28" i="2"/>
  <c r="N28" i="2" s="1" a="1"/>
  <c r="N28" i="2" s="1"/>
  <c r="A462" i="2"/>
  <c r="N462" i="2" s="1" a="1"/>
  <c r="N462" i="2" s="1"/>
  <c r="A564" i="2"/>
  <c r="N564" i="2" s="1" a="1"/>
  <c r="N564" i="2" s="1"/>
  <c r="A353" i="2"/>
  <c r="N353" i="2" s="1" a="1"/>
  <c r="N353" i="2" s="1"/>
  <c r="A390" i="2"/>
  <c r="N390" i="2" s="1" a="1"/>
  <c r="N390" i="2" s="1"/>
  <c r="A352" i="2"/>
  <c r="N352" i="2" s="1" a="1"/>
  <c r="N352" i="2" s="1"/>
  <c r="A172" i="2"/>
  <c r="N172" i="2" s="1" a="1"/>
  <c r="N172" i="2" s="1"/>
  <c r="A23" i="2"/>
  <c r="N23" i="2" s="1" a="1"/>
  <c r="N23" i="2" s="1"/>
  <c r="A313" i="2"/>
  <c r="N313" i="2" s="1" a="1"/>
  <c r="N313" i="2" s="1"/>
  <c r="A666" i="2"/>
  <c r="N666" i="2" s="1" a="1"/>
  <c r="N666" i="2" s="1"/>
  <c r="A548" i="2"/>
  <c r="N548" i="2" s="1" a="1"/>
  <c r="N548" i="2" s="1"/>
  <c r="A464" i="2"/>
  <c r="N464" i="2" s="1" a="1"/>
  <c r="N464" i="2" s="1"/>
  <c r="A42" i="2"/>
  <c r="N42" i="2" s="1" a="1"/>
  <c r="N42" i="2" s="1"/>
  <c r="A206" i="2"/>
  <c r="N206" i="2" s="1" a="1"/>
  <c r="N206" i="2" s="1"/>
  <c r="A38" i="2"/>
  <c r="N38" i="2" s="1" a="1"/>
  <c r="N38" i="2" s="1"/>
  <c r="A606" i="2"/>
  <c r="N606" i="2" s="1" a="1"/>
  <c r="N606" i="2" s="1"/>
  <c r="A585" i="2"/>
  <c r="N585" i="2" s="1" a="1"/>
  <c r="N585" i="2" s="1"/>
  <c r="A477" i="2"/>
  <c r="N477" i="2" s="1" a="1"/>
  <c r="N477" i="2" s="1"/>
  <c r="A49" i="2"/>
  <c r="N49" i="2" s="1" a="1"/>
  <c r="N49" i="2" s="1"/>
  <c r="A162" i="2"/>
  <c r="N162" i="2" s="1" a="1"/>
  <c r="N162" i="2" s="1"/>
  <c r="A174" i="2"/>
  <c r="N174" i="2" s="1" a="1"/>
  <c r="N174" i="2" s="1"/>
  <c r="A598" i="2"/>
  <c r="N598" i="2" s="1" a="1"/>
  <c r="N598" i="2" s="1"/>
  <c r="A227" i="2"/>
  <c r="N227" i="2" s="1" a="1"/>
  <c r="N227" i="2" s="1"/>
  <c r="A511" i="2"/>
  <c r="N511" i="2" s="1" a="1"/>
  <c r="N511" i="2" s="1"/>
  <c r="A250" i="2"/>
  <c r="N250" i="2" s="1" a="1"/>
  <c r="N250" i="2" s="1"/>
  <c r="A553" i="2"/>
  <c r="N553" i="2" s="1" a="1"/>
  <c r="N553" i="2" s="1"/>
  <c r="A191" i="2"/>
  <c r="N191" i="2" s="1" a="1"/>
  <c r="N191" i="2" s="1"/>
  <c r="A128" i="2"/>
  <c r="N128" i="2" s="1" a="1"/>
  <c r="N128" i="2" s="1"/>
  <c r="A418" i="2"/>
  <c r="N418" i="2" s="1" a="1"/>
  <c r="N418" i="2" s="1"/>
  <c r="A397" i="2"/>
  <c r="N397" i="2" s="1" a="1"/>
  <c r="N397" i="2" s="1"/>
  <c r="A218" i="2"/>
  <c r="N218" i="2" s="1" a="1"/>
  <c r="N218" i="2" s="1"/>
  <c r="A176" i="2"/>
  <c r="N176" i="2" s="1" a="1"/>
  <c r="N176" i="2" s="1"/>
  <c r="A123" i="2"/>
  <c r="N123" i="2" s="1" a="1"/>
  <c r="N123" i="2" s="1"/>
  <c r="A456" i="2"/>
  <c r="N456" i="2" s="1" a="1"/>
  <c r="N456" i="2" s="1"/>
  <c r="A590" i="2"/>
  <c r="N590" i="2" s="1" a="1"/>
  <c r="N590" i="2" s="1"/>
  <c r="A602" i="2"/>
  <c r="N602" i="2" s="1" a="1"/>
  <c r="N602" i="2" s="1"/>
  <c r="A41" i="2"/>
  <c r="N41" i="2" s="1" a="1"/>
  <c r="N41" i="2" s="1"/>
  <c r="A443" i="2"/>
  <c r="N443" i="2" s="1" a="1"/>
  <c r="N443" i="2" s="1"/>
  <c r="A175" i="2"/>
  <c r="N175" i="2" s="1" a="1"/>
  <c r="N175" i="2" s="1"/>
  <c r="A51" i="2"/>
  <c r="N51" i="2" s="1" a="1"/>
  <c r="N51" i="2" s="1"/>
  <c r="A208" i="2"/>
  <c r="N208" i="2" s="1" a="1"/>
  <c r="N208" i="2" s="1"/>
  <c r="A426" i="2"/>
  <c r="N426" i="2" s="1" a="1"/>
  <c r="N426" i="2" s="1"/>
  <c r="A179" i="2"/>
  <c r="N179" i="2" s="1" a="1"/>
  <c r="N179" i="2" s="1"/>
  <c r="A148" i="2"/>
  <c r="N148" i="2" s="1" a="1"/>
  <c r="N148" i="2" s="1"/>
  <c r="A156" i="2"/>
  <c r="N156" i="2" s="1" a="1"/>
  <c r="N156" i="2" s="1"/>
  <c r="A378" i="2"/>
  <c r="N378" i="2" s="1" a="1"/>
  <c r="N378" i="2" s="1"/>
  <c r="A362" i="2"/>
  <c r="N362" i="2" s="1" a="1"/>
  <c r="N362" i="2" s="1"/>
  <c r="A558" i="2"/>
  <c r="N558" i="2" s="1" a="1"/>
  <c r="N558" i="2" s="1"/>
  <c r="A667" i="2"/>
  <c r="N667" i="2" s="1" a="1"/>
  <c r="N667" i="2" s="1"/>
  <c r="A574" i="2"/>
  <c r="N574" i="2" s="1" a="1"/>
  <c r="N574" i="2" s="1"/>
  <c r="A653" i="2"/>
  <c r="N653" i="2" s="1" a="1"/>
  <c r="N653" i="2" s="1"/>
  <c r="A594" i="2"/>
  <c r="N594" i="2" s="1" a="1"/>
  <c r="N594" i="2" s="1"/>
  <c r="A603" i="2"/>
  <c r="N603" i="2" s="1" a="1"/>
  <c r="N603" i="2" s="1"/>
  <c r="A641" i="2"/>
  <c r="N641" i="2" s="1" a="1"/>
  <c r="N641" i="2" s="1"/>
  <c r="A16" i="2"/>
  <c r="N16" i="2" s="1" a="1"/>
  <c r="N16" i="2" s="1"/>
  <c r="A451" i="2"/>
  <c r="N451" i="2" s="1" a="1"/>
  <c r="N451" i="2" s="1"/>
  <c r="A380" i="2"/>
  <c r="N380" i="2" s="1" a="1"/>
  <c r="N380" i="2" s="1"/>
  <c r="A502" i="2"/>
  <c r="N502" i="2" s="1" a="1"/>
  <c r="N502" i="2" s="1"/>
  <c r="A328" i="2"/>
  <c r="N328" i="2" s="1" a="1"/>
  <c r="N328" i="2" s="1"/>
  <c r="A226" i="2"/>
  <c r="N226" i="2" s="1" a="1"/>
  <c r="N226" i="2" s="1"/>
  <c r="A145" i="2"/>
  <c r="N145" i="2" s="1" a="1"/>
  <c r="N145" i="2" s="1"/>
  <c r="A284" i="2"/>
  <c r="N284" i="2" s="1" a="1"/>
  <c r="N284" i="2" s="1"/>
  <c r="A318" i="2"/>
  <c r="N318" i="2" s="1" a="1"/>
  <c r="N318" i="2" s="1"/>
  <c r="A255" i="2"/>
  <c r="N255" i="2" s="1" a="1"/>
  <c r="N255" i="2" s="1"/>
  <c r="A596" i="2"/>
  <c r="N596" i="2" s="1" a="1"/>
  <c r="N596" i="2" s="1"/>
  <c r="A410" i="2"/>
  <c r="N410" i="2" s="1" a="1"/>
  <c r="N410" i="2" s="1"/>
  <c r="A286" i="2"/>
  <c r="N286" i="2" s="1" a="1"/>
  <c r="N286" i="2" s="1"/>
  <c r="A476" i="2"/>
  <c r="N476" i="2" s="1" a="1"/>
  <c r="N476" i="2" s="1"/>
  <c r="A67" i="2"/>
  <c r="N67" i="2" s="1" a="1"/>
  <c r="N67" i="2" s="1"/>
  <c r="A254" i="2"/>
  <c r="N254" i="2" s="1" a="1"/>
  <c r="N254" i="2" s="1"/>
  <c r="A589" i="2"/>
  <c r="N589" i="2" s="1" a="1"/>
  <c r="N589" i="2" s="1"/>
  <c r="A139" i="2"/>
  <c r="N139" i="2" s="1" a="1"/>
  <c r="N139" i="2" s="1"/>
  <c r="A473" i="2"/>
  <c r="N473" i="2" s="1" a="1"/>
  <c r="N473" i="2" s="1"/>
  <c r="A272" i="2"/>
  <c r="N272" i="2" s="1" a="1"/>
  <c r="N272" i="2" s="1"/>
  <c r="A27" i="2"/>
  <c r="N27" i="2" s="1" a="1"/>
  <c r="N27" i="2" s="1"/>
  <c r="A445" i="2"/>
  <c r="N445" i="2" s="1" a="1"/>
  <c r="N445" i="2" s="1"/>
  <c r="A506" i="2"/>
  <c r="N506" i="2" s="1" a="1"/>
  <c r="N506" i="2" s="1"/>
  <c r="A283" i="2"/>
  <c r="N283" i="2" s="1" a="1"/>
  <c r="N283" i="2" s="1"/>
  <c r="A44" i="2"/>
  <c r="N44" i="2" s="1" a="1"/>
  <c r="N44" i="2" s="1"/>
  <c r="A419" i="2"/>
  <c r="N419" i="2" s="1" a="1"/>
  <c r="N419" i="2" s="1"/>
  <c r="A99" i="2"/>
  <c r="N99" i="2" s="1" a="1"/>
  <c r="N99" i="2" s="1"/>
  <c r="A584" i="2"/>
  <c r="N584" i="2" s="1" a="1"/>
  <c r="N584" i="2" s="1"/>
  <c r="A345" i="2"/>
  <c r="N345" i="2" s="1" a="1"/>
  <c r="N345" i="2" s="1"/>
  <c r="A263" i="2"/>
  <c r="N263" i="2" s="1" a="1"/>
  <c r="N263" i="2" s="1"/>
  <c r="A291" i="2"/>
  <c r="N291" i="2" s="1" a="1"/>
  <c r="N291" i="2" s="1"/>
  <c r="A374" i="2"/>
  <c r="N374" i="2" s="1" a="1"/>
  <c r="N374" i="2" s="1"/>
  <c r="A471" i="2"/>
  <c r="N471" i="2" s="1" a="1"/>
  <c r="N471" i="2" s="1"/>
  <c r="A266" i="2"/>
  <c r="N266" i="2" s="1" a="1"/>
  <c r="N266" i="2" s="1"/>
  <c r="A425" i="2"/>
  <c r="N425" i="2" s="1" a="1"/>
  <c r="N425" i="2" s="1"/>
  <c r="A587" i="2"/>
  <c r="N587" i="2" s="1" a="1"/>
  <c r="N587" i="2" s="1"/>
  <c r="A386" i="2"/>
  <c r="N386" i="2" s="1" a="1"/>
  <c r="N386" i="2" s="1"/>
  <c r="A474" i="2"/>
  <c r="N474" i="2" s="1" a="1"/>
  <c r="N474" i="2" s="1"/>
  <c r="A4" i="2"/>
  <c r="N4" i="2" s="1" a="1"/>
  <c r="N4" i="2" s="1"/>
  <c r="A22" i="2"/>
  <c r="N22" i="2" s="1" a="1"/>
  <c r="N22" i="2" s="1"/>
  <c r="A279" i="2"/>
  <c r="N279" i="2" s="1" a="1"/>
  <c r="N279" i="2" s="1"/>
  <c r="A73" i="2"/>
  <c r="N73" i="2" s="1" a="1"/>
  <c r="N73" i="2" s="1"/>
  <c r="A523" i="2"/>
  <c r="N523" i="2" s="1" a="1"/>
  <c r="N523" i="2" s="1"/>
  <c r="A552" i="2"/>
  <c r="N552" i="2" s="1" a="1"/>
  <c r="N552" i="2" s="1"/>
  <c r="A34" i="2"/>
  <c r="N34" i="2" s="1" a="1"/>
  <c r="N34" i="2" s="1"/>
  <c r="A541" i="2"/>
  <c r="N541" i="2" s="1" a="1"/>
  <c r="N541" i="2" s="1"/>
  <c r="A455" i="2"/>
  <c r="N455" i="2" s="1" a="1"/>
  <c r="N455" i="2" s="1"/>
  <c r="A431" i="2"/>
  <c r="N431" i="2" s="1" a="1"/>
  <c r="N431" i="2" s="1"/>
  <c r="A302" i="2"/>
  <c r="N302" i="2" s="1" a="1"/>
  <c r="N302" i="2" s="1"/>
  <c r="A69" i="2"/>
  <c r="N69" i="2" s="1" a="1"/>
  <c r="N69" i="2" s="1"/>
  <c r="A354" i="2"/>
  <c r="N354" i="2" s="1" a="1"/>
  <c r="N354" i="2" s="1"/>
  <c r="A591" i="2"/>
  <c r="N591" i="2" s="1" a="1"/>
  <c r="N591" i="2" s="1"/>
  <c r="A259" i="2"/>
  <c r="N259" i="2" s="1" a="1"/>
  <c r="N259" i="2" s="1"/>
  <c r="A89" i="2"/>
  <c r="N89" i="2" s="1" a="1"/>
  <c r="N89" i="2" s="1"/>
  <c r="A522" i="2"/>
  <c r="N522" i="2" s="1" a="1"/>
  <c r="N522" i="2" s="1"/>
  <c r="A570" i="2"/>
  <c r="N570" i="2" s="1" a="1"/>
  <c r="N570" i="2" s="1"/>
  <c r="A609" i="2"/>
  <c r="N609" i="2" s="1" a="1"/>
  <c r="N609" i="2" s="1"/>
  <c r="A546" i="2"/>
  <c r="N546" i="2" s="1" a="1"/>
  <c r="N546" i="2" s="1"/>
  <c r="A230" i="2"/>
  <c r="N230" i="2" s="1" a="1"/>
  <c r="N230" i="2" s="1"/>
  <c r="A149" i="2"/>
  <c r="N149" i="2" s="1" a="1"/>
  <c r="N149" i="2" s="1"/>
  <c r="A638" i="2"/>
  <c r="N638" i="2" s="1" a="1"/>
  <c r="N638" i="2" s="1"/>
  <c r="A21" i="2"/>
  <c r="N21" i="2" s="1" a="1"/>
  <c r="N21" i="2" s="1"/>
  <c r="A37" i="2"/>
  <c r="N37" i="2" s="1" a="1"/>
  <c r="N37" i="2" s="1"/>
  <c r="A242" i="2"/>
  <c r="N242" i="2" s="1" a="1"/>
  <c r="N242" i="2" s="1"/>
  <c r="A111" i="2"/>
  <c r="N111" i="2" s="1" a="1"/>
  <c r="N111" i="2" s="1"/>
  <c r="A550" i="2"/>
  <c r="N550" i="2" s="1" a="1"/>
  <c r="N550" i="2" s="1"/>
  <c r="A493" i="2"/>
  <c r="N493" i="2" s="1" a="1"/>
  <c r="N493" i="2" s="1"/>
  <c r="A109" i="2"/>
  <c r="N109" i="2" s="1" a="1"/>
  <c r="N109" i="2" s="1"/>
  <c r="A35" i="2"/>
  <c r="N35" i="2" s="1" a="1"/>
  <c r="N35" i="2" s="1"/>
  <c r="A306" i="2"/>
  <c r="N306" i="2" s="1" a="1"/>
  <c r="N306" i="2" s="1"/>
  <c r="A422" i="2"/>
  <c r="N422" i="2" s="1" a="1"/>
  <c r="N422" i="2" s="1"/>
  <c r="A647" i="2"/>
  <c r="N647" i="2" s="1" a="1"/>
  <c r="N647" i="2" s="1"/>
  <c r="A112" i="2"/>
  <c r="N112" i="2" s="1" a="1"/>
  <c r="N112" i="2" s="1"/>
  <c r="A555" i="2"/>
  <c r="N555" i="2" s="1" a="1"/>
  <c r="N555" i="2" s="1"/>
  <c r="A10" i="2"/>
  <c r="N10" i="2" s="1" a="1"/>
  <c r="N10" i="2" s="1"/>
  <c r="A529" i="2"/>
  <c r="N529" i="2" s="1" a="1"/>
  <c r="N529" i="2" s="1"/>
  <c r="A119" i="2"/>
  <c r="N119" i="2" s="1" a="1"/>
  <c r="N119" i="2" s="1"/>
  <c r="A17" i="2"/>
  <c r="N17" i="2" s="1" a="1"/>
  <c r="N17" i="2" s="1"/>
  <c r="A125" i="2"/>
  <c r="N125" i="2" s="1" a="1"/>
  <c r="N125" i="2" s="1"/>
  <c r="A458" i="2"/>
  <c r="N458" i="2" s="1" a="1"/>
  <c r="N458" i="2" s="1"/>
  <c r="A88" i="2"/>
  <c r="N88" i="2" s="1" a="1"/>
  <c r="N88" i="2" s="1"/>
  <c r="A417" i="2"/>
  <c r="N417" i="2" s="1" a="1"/>
  <c r="N417" i="2" s="1"/>
  <c r="A71" i="2"/>
  <c r="N71" i="2" s="1" a="1"/>
  <c r="N71" i="2" s="1"/>
  <c r="A335" i="2"/>
  <c r="N335" i="2" s="1" a="1"/>
  <c r="N335" i="2" s="1"/>
  <c r="A225" i="2"/>
  <c r="N225" i="2" s="1" a="1"/>
  <c r="N225" i="2" s="1"/>
  <c r="A7" i="2"/>
  <c r="N7" i="2" s="1" a="1"/>
  <c r="N7" i="2" s="1"/>
  <c r="A662" i="2"/>
  <c r="N662" i="2" s="1" a="1"/>
  <c r="N662" i="2" s="1"/>
  <c r="A77" i="2"/>
  <c r="N77" i="2" s="1" a="1"/>
  <c r="N77" i="2" s="1"/>
  <c r="A137" i="2"/>
  <c r="N137" i="2" s="1" a="1"/>
  <c r="N137" i="2" s="1"/>
  <c r="A134" i="2"/>
  <c r="N134" i="2" s="1" a="1"/>
  <c r="N134" i="2" s="1"/>
  <c r="A560" i="2"/>
  <c r="N560" i="2" s="1" a="1"/>
  <c r="N560" i="2" s="1"/>
  <c r="A365" i="2"/>
  <c r="N365" i="2" s="1" a="1"/>
  <c r="N365" i="2" s="1"/>
  <c r="A258" i="2"/>
  <c r="N258" i="2" s="1" a="1"/>
  <c r="N258" i="2" s="1"/>
  <c r="A491" i="2"/>
  <c r="N491" i="2" s="1" a="1"/>
  <c r="N491" i="2" s="1"/>
  <c r="A620" i="2"/>
  <c r="N620" i="2" s="1" a="1"/>
  <c r="N620" i="2" s="1"/>
  <c r="A310" i="2"/>
  <c r="N310" i="2" s="1" a="1"/>
  <c r="N310" i="2" s="1"/>
  <c r="A311" i="2"/>
  <c r="N311" i="2" s="1" a="1"/>
  <c r="N311" i="2" s="1"/>
  <c r="A400" i="2"/>
  <c r="N400" i="2" s="1" a="1"/>
  <c r="N400" i="2" s="1"/>
  <c r="A135" i="2"/>
  <c r="N135" i="2" s="1" a="1"/>
  <c r="N135" i="2" s="1"/>
  <c r="A326" i="2"/>
  <c r="N326" i="2" s="1" a="1"/>
  <c r="N326" i="2" s="1"/>
  <c r="A142" i="2"/>
  <c r="N142" i="2" s="1" a="1"/>
  <c r="N142" i="2" s="1"/>
  <c r="A24" i="2"/>
  <c r="N24" i="2" s="1" a="1"/>
  <c r="N24" i="2" s="1"/>
  <c r="A396" i="2"/>
  <c r="N396" i="2" s="1" a="1"/>
  <c r="N396" i="2" s="1"/>
  <c r="A217" i="2"/>
  <c r="N217" i="2" s="1" a="1"/>
  <c r="N217" i="2" s="1"/>
  <c r="A74" i="2"/>
  <c r="N74" i="2" s="1" a="1"/>
  <c r="N74" i="2" s="1"/>
  <c r="A207" i="2"/>
  <c r="N207" i="2" s="1" a="1"/>
  <c r="N207" i="2" s="1"/>
  <c r="A530" i="2"/>
  <c r="N530" i="2" s="1" a="1"/>
  <c r="N530" i="2" s="1"/>
  <c r="A256" i="2"/>
  <c r="N256" i="2" s="1" a="1"/>
  <c r="N256" i="2" s="1"/>
  <c r="A167" i="2"/>
  <c r="N167" i="2" s="1" a="1"/>
  <c r="N167" i="2" s="1"/>
  <c r="A514" i="2"/>
  <c r="N514" i="2" s="1" a="1"/>
  <c r="N514" i="2" s="1"/>
  <c r="A403" i="2"/>
  <c r="N403" i="2" s="1" a="1"/>
  <c r="N403" i="2" s="1"/>
  <c r="A401" i="2"/>
  <c r="N401" i="2" s="1" a="1"/>
  <c r="N401" i="2" s="1"/>
  <c r="A19" i="2"/>
  <c r="N19" i="2" s="1" a="1"/>
  <c r="N19" i="2" s="1"/>
  <c r="A133" i="2"/>
  <c r="N133" i="2" s="1" a="1"/>
  <c r="N133" i="2" s="1"/>
  <c r="A203" i="2"/>
  <c r="N203" i="2" s="1" a="1"/>
  <c r="N203" i="2" s="1"/>
  <c r="A221" i="2"/>
  <c r="N221" i="2" s="1" a="1"/>
  <c r="N221" i="2" s="1"/>
  <c r="A235" i="2"/>
  <c r="N235" i="2" s="1" a="1"/>
  <c r="N235" i="2" s="1"/>
  <c r="A194" i="2"/>
  <c r="N194" i="2" s="1" a="1"/>
  <c r="N194" i="2" s="1"/>
  <c r="A214" i="2"/>
  <c r="N214" i="2" s="1" a="1"/>
  <c r="N214" i="2" s="1"/>
  <c r="A118" i="2"/>
  <c r="N118" i="2" s="1" a="1"/>
  <c r="N118" i="2" s="1"/>
  <c r="A15" i="2"/>
  <c r="N15" i="2" s="1" a="1"/>
  <c r="N15" i="2" s="1"/>
  <c r="A437" i="2"/>
  <c r="N437" i="2" s="1" a="1"/>
  <c r="N437" i="2" s="1"/>
  <c r="A224" i="2"/>
  <c r="N224" i="2" s="1" a="1"/>
  <c r="N224" i="2" s="1"/>
  <c r="A189" i="2"/>
  <c r="N189" i="2" s="1" a="1"/>
  <c r="N189" i="2" s="1"/>
  <c r="A285" i="2"/>
  <c r="N285" i="2" s="1" a="1"/>
  <c r="N285" i="2" s="1"/>
  <c r="A277" i="2"/>
  <c r="N277" i="2" s="1" a="1"/>
  <c r="N277" i="2" s="1"/>
  <c r="A116" i="2"/>
  <c r="N116" i="2" s="1" a="1"/>
  <c r="N116" i="2" s="1"/>
  <c r="A13" i="2"/>
  <c r="N13" i="2" s="1" a="1"/>
  <c r="N13" i="2" s="1"/>
  <c r="A348" i="2"/>
  <c r="N348" i="2" s="1" a="1"/>
  <c r="N348" i="2" s="1"/>
  <c r="A98" i="2"/>
  <c r="N98" i="2" s="1" a="1"/>
  <c r="N98" i="2" s="1"/>
  <c r="A92" i="2"/>
  <c r="N92" i="2" s="1" a="1"/>
  <c r="N92" i="2" s="1"/>
  <c r="A54" i="2"/>
  <c r="N54" i="2" s="1" a="1"/>
  <c r="N54" i="2" s="1"/>
  <c r="A90" i="2"/>
  <c r="N90" i="2" s="1" a="1"/>
  <c r="N90" i="2" s="1"/>
  <c r="A43" i="2"/>
  <c r="N43" i="2" s="1" a="1"/>
  <c r="N43" i="2" s="1"/>
  <c r="A106" i="2"/>
  <c r="N106" i="2" s="1" a="1"/>
  <c r="N106" i="2" s="1"/>
  <c r="A347" i="2"/>
  <c r="N347" i="2" s="1" a="1"/>
  <c r="N347" i="2" s="1"/>
  <c r="A657" i="2"/>
  <c r="N657" i="2" s="1" a="1"/>
  <c r="N657" i="2" s="1"/>
  <c r="A414" i="2"/>
  <c r="N414" i="2" s="1" a="1"/>
  <c r="N414" i="2" s="1"/>
  <c r="A428" i="2"/>
  <c r="N428" i="2" s="1" a="1"/>
  <c r="N428" i="2" s="1"/>
  <c r="A586" i="2"/>
  <c r="N586" i="2" s="1" a="1"/>
  <c r="N586" i="2" s="1"/>
  <c r="A532" i="2"/>
  <c r="N532" i="2" s="1" a="1"/>
  <c r="N532" i="2" s="1"/>
  <c r="A588" i="2"/>
  <c r="N588" i="2" s="1" a="1"/>
  <c r="N588" i="2" s="1"/>
  <c r="A395" i="2"/>
  <c r="N395" i="2" s="1" a="1"/>
  <c r="N395" i="2" s="1"/>
  <c r="A415" i="2"/>
  <c r="N415" i="2" s="1" a="1"/>
  <c r="N415" i="2" s="1"/>
  <c r="A480" i="2"/>
  <c r="N480" i="2" s="1" a="1"/>
  <c r="N480" i="2" s="1"/>
  <c r="A556" i="2"/>
  <c r="N556" i="2" s="1" a="1"/>
  <c r="N556" i="2" s="1"/>
  <c r="A357" i="2"/>
  <c r="N357" i="2" s="1" a="1"/>
  <c r="N357" i="2" s="1"/>
  <c r="A222" i="2"/>
  <c r="N222" i="2" s="1" a="1"/>
  <c r="N222" i="2" s="1"/>
  <c r="A48" i="2"/>
  <c r="N48" i="2" s="1" a="1"/>
  <c r="N48" i="2" s="1"/>
  <c r="A368" i="2"/>
  <c r="N368" i="2" s="1" a="1"/>
  <c r="N368" i="2" s="1"/>
  <c r="A393" i="2"/>
  <c r="N393" i="2" s="1" a="1"/>
  <c r="N393" i="2" s="1"/>
  <c r="A370" i="2"/>
  <c r="N370" i="2" s="1" a="1"/>
  <c r="N370" i="2" s="1"/>
  <c r="A53" i="2"/>
  <c r="N53" i="2" s="1" a="1"/>
  <c r="N53" i="2" s="1"/>
  <c r="A237" i="2"/>
  <c r="N237" i="2" s="1" a="1"/>
  <c r="N237" i="2" s="1"/>
  <c r="A171" i="2"/>
  <c r="N171" i="2" s="1" a="1"/>
  <c r="N171" i="2" s="1"/>
  <c r="A633" i="2"/>
  <c r="N633" i="2" s="1" a="1"/>
  <c r="N633" i="2" s="1"/>
  <c r="A268" i="2"/>
  <c r="N268" i="2" s="1" a="1"/>
  <c r="N268" i="2" s="1"/>
  <c r="A114" i="2"/>
  <c r="N114" i="2" s="1" a="1"/>
  <c r="N114" i="2" s="1"/>
  <c r="A155" i="2"/>
  <c r="N155" i="2" s="1" a="1"/>
  <c r="N155" i="2" s="1"/>
  <c r="A233" i="2"/>
  <c r="N233" i="2" s="1" a="1"/>
  <c r="N233" i="2" s="1"/>
  <c r="A282" i="2"/>
  <c r="N282" i="2" s="1" a="1"/>
  <c r="N282" i="2" s="1"/>
  <c r="A264" i="2"/>
  <c r="N264" i="2" s="1" a="1"/>
  <c r="N264" i="2" s="1"/>
  <c r="A170" i="2"/>
  <c r="N170" i="2" s="1" a="1"/>
  <c r="N170" i="2" s="1"/>
  <c r="A91" i="2"/>
  <c r="N91" i="2" s="1" a="1"/>
  <c r="N91" i="2" s="1"/>
  <c r="A557" i="2"/>
  <c r="N557" i="2" s="1" a="1"/>
  <c r="N557" i="2" s="1"/>
  <c r="A412" i="2"/>
  <c r="N412" i="2" s="1" a="1"/>
  <c r="N412" i="2" s="1"/>
  <c r="A289" i="2"/>
  <c r="N289" i="2" s="1" a="1"/>
  <c r="N289" i="2" s="1"/>
  <c r="A346" i="2"/>
  <c r="N346" i="2" s="1" a="1"/>
  <c r="N346" i="2" s="1"/>
  <c r="A449" i="2"/>
  <c r="N449" i="2" s="1" a="1"/>
  <c r="N449" i="2" s="1"/>
  <c r="A247" i="2"/>
  <c r="N247" i="2" s="1" a="1"/>
  <c r="N247" i="2" s="1"/>
  <c r="A70" i="2"/>
  <c r="N70" i="2" s="1" a="1"/>
  <c r="N70" i="2" s="1"/>
  <c r="A299" i="2"/>
  <c r="N299" i="2" s="1" a="1"/>
  <c r="N299" i="2" s="1"/>
  <c r="A593" i="2"/>
  <c r="N593" i="2" s="1" a="1"/>
  <c r="N593" i="2" s="1"/>
  <c r="A316" i="2"/>
  <c r="N316" i="2" s="1" a="1"/>
  <c r="N316" i="2" s="1"/>
  <c r="A438" i="2"/>
  <c r="N438" i="2" s="1" a="1"/>
  <c r="N438" i="2" s="1"/>
  <c r="A499" i="2"/>
  <c r="N499" i="2" s="1" a="1"/>
  <c r="N499" i="2" s="1"/>
  <c r="A60" i="2"/>
  <c r="N60" i="2" s="1" a="1"/>
  <c r="N60" i="2" s="1"/>
  <c r="A501" i="2"/>
  <c r="N501" i="2" s="1" a="1"/>
  <c r="N501" i="2" s="1"/>
  <c r="A2" i="2"/>
  <c r="N2" i="2" s="1" a="1"/>
  <c r="N2" i="2" s="1"/>
  <c r="A631" i="2"/>
  <c r="N631" i="2" s="1" a="1"/>
  <c r="N631" i="2" s="1"/>
  <c r="A579" i="2"/>
  <c r="N579" i="2" s="1" a="1"/>
  <c r="N579" i="2" s="1"/>
  <c r="A385" i="2"/>
  <c r="N385" i="2" s="1" a="1"/>
  <c r="N385" i="2" s="1"/>
  <c r="A293" i="2"/>
  <c r="N293" i="2" s="1" a="1"/>
  <c r="N293" i="2" s="1"/>
  <c r="A188" i="2"/>
  <c r="N188" i="2" s="1" a="1"/>
  <c r="N188" i="2" s="1"/>
  <c r="A392" i="2"/>
  <c r="N392" i="2" s="1" a="1"/>
  <c r="N392" i="2" s="1"/>
  <c r="A201" i="2"/>
  <c r="N201" i="2" s="1" a="1"/>
  <c r="N201" i="2" s="1"/>
  <c r="A440" i="2"/>
  <c r="N440" i="2" s="1" a="1"/>
  <c r="N440" i="2" s="1"/>
  <c r="A433" i="2"/>
  <c r="N433" i="2" s="1" a="1"/>
  <c r="N433" i="2" s="1"/>
  <c r="A169" i="2"/>
  <c r="N169" i="2" s="1" a="1"/>
  <c r="N169" i="2" s="1"/>
  <c r="A309" i="2"/>
  <c r="N309" i="2" s="1" a="1"/>
  <c r="N309" i="2" s="1"/>
  <c r="A287" i="2"/>
  <c r="N287" i="2" s="1" a="1"/>
  <c r="N287" i="2" s="1"/>
  <c r="A432" i="2"/>
  <c r="N432" i="2" s="1" a="1"/>
  <c r="N432" i="2" s="1"/>
  <c r="A447" i="2"/>
  <c r="N447" i="2" s="1" a="1"/>
  <c r="N447" i="2" s="1"/>
  <c r="A665" i="2"/>
  <c r="N665" i="2" s="1" a="1"/>
  <c r="N665" i="2" s="1"/>
  <c r="A611" i="2"/>
  <c r="N611" i="2" s="1" a="1"/>
  <c r="N611" i="2" s="1"/>
  <c r="A14" i="2"/>
  <c r="N14" i="2" s="1" a="1"/>
  <c r="N14" i="2" s="1"/>
  <c r="A30" i="2"/>
  <c r="N30" i="2" s="1" a="1"/>
  <c r="N30" i="2" s="1"/>
  <c r="A159" i="2"/>
  <c r="N159" i="2" s="1" a="1"/>
  <c r="N159" i="2" s="1"/>
  <c r="A507" i="2"/>
  <c r="N507" i="2" s="1" a="1"/>
  <c r="N507" i="2" s="1"/>
  <c r="A232" i="2"/>
  <c r="N232" i="2" s="1" a="1"/>
  <c r="N232" i="2" s="1"/>
  <c r="A192" i="2"/>
  <c r="N192" i="2" s="1" a="1"/>
  <c r="N192" i="2" s="1"/>
  <c r="A358" i="2"/>
  <c r="N358" i="2" s="1" a="1"/>
  <c r="N358" i="2" s="1"/>
  <c r="A57" i="2"/>
  <c r="N57" i="2" s="1" a="1"/>
  <c r="N57" i="2" s="1"/>
  <c r="A518" i="2"/>
  <c r="N518" i="2" s="1" a="1"/>
  <c r="N518" i="2" s="1"/>
  <c r="A488" i="2"/>
  <c r="N488" i="2" s="1" a="1"/>
  <c r="N488" i="2" s="1"/>
  <c r="A527" i="2"/>
  <c r="N527" i="2" s="1" a="1"/>
  <c r="N527" i="2" s="1"/>
  <c r="A314" i="2"/>
  <c r="N314" i="2" s="1" a="1"/>
  <c r="N314" i="2" s="1"/>
  <c r="A294" i="2"/>
  <c r="N294" i="2" s="1" a="1"/>
  <c r="N294" i="2" s="1"/>
  <c r="A612" i="2"/>
  <c r="N612" i="2" s="1" a="1"/>
  <c r="N612" i="2" s="1"/>
  <c r="A366" i="2"/>
  <c r="N366" i="2" s="1" a="1"/>
  <c r="N366" i="2" s="1"/>
  <c r="A66" i="2"/>
  <c r="N66" i="2" s="1" a="1"/>
  <c r="N66" i="2" s="1"/>
  <c r="A275" i="2"/>
  <c r="N275" i="2" s="1" a="1"/>
  <c r="N275" i="2" s="1"/>
  <c r="A510" i="2"/>
  <c r="N510" i="2" s="1" a="1"/>
  <c r="N510" i="2" s="1"/>
  <c r="A634" i="2"/>
  <c r="N634" i="2" s="1" a="1"/>
  <c r="N634" i="2" s="1"/>
  <c r="A479" i="2"/>
  <c r="N479" i="2" s="1" a="1"/>
  <c r="N479" i="2" s="1"/>
  <c r="A545" i="2"/>
  <c r="N545" i="2" s="1" a="1"/>
  <c r="N545" i="2" s="1"/>
  <c r="A240" i="2"/>
  <c r="N240" i="2" s="1" a="1"/>
  <c r="N240" i="2" s="1"/>
  <c r="A465" i="2"/>
  <c r="N465" i="2" s="1" a="1"/>
  <c r="N465" i="2" s="1"/>
  <c r="A494" i="2"/>
  <c r="N494" i="2" s="1" a="1"/>
  <c r="N494" i="2" s="1"/>
  <c r="A538" i="2"/>
  <c r="N538" i="2" s="1" a="1"/>
  <c r="N538" i="2" s="1"/>
  <c r="A566" i="2"/>
  <c r="N566" i="2" s="1" a="1"/>
  <c r="N566" i="2" s="1"/>
  <c r="A619" i="2"/>
  <c r="N619" i="2" s="1" a="1"/>
  <c r="N619" i="2" s="1"/>
  <c r="A147" i="2"/>
  <c r="N147" i="2" s="1" a="1"/>
  <c r="N147" i="2" s="1"/>
  <c r="A40" i="2"/>
  <c r="N40" i="2" s="1" a="1"/>
  <c r="N40" i="2" s="1"/>
  <c r="A398" i="2"/>
  <c r="N398" i="2" s="1" a="1"/>
  <c r="N398" i="2" s="1"/>
  <c r="A317" i="2"/>
  <c r="N317" i="2" s="1" a="1"/>
  <c r="N317" i="2" s="1"/>
  <c r="A209" i="2"/>
  <c r="N209" i="2" s="1" a="1"/>
  <c r="N209" i="2" s="1"/>
  <c r="A371" i="2"/>
  <c r="N371" i="2" s="1" a="1"/>
  <c r="N371" i="2" s="1"/>
  <c r="A568" i="2"/>
  <c r="N568" i="2" s="1" a="1"/>
  <c r="N568" i="2" s="1"/>
  <c r="A592" i="2"/>
  <c r="N592" i="2" s="1" a="1"/>
  <c r="N592" i="2" s="1"/>
  <c r="A521" i="2"/>
  <c r="N521" i="2" s="1" a="1"/>
  <c r="N521" i="2" s="1"/>
  <c r="A434" i="2"/>
  <c r="N434" i="2" s="1" a="1"/>
  <c r="N434" i="2" s="1"/>
  <c r="A356" i="2"/>
  <c r="N356" i="2" s="1" a="1"/>
  <c r="N356" i="2" s="1"/>
  <c r="A68" i="2"/>
  <c r="N68" i="2" s="1" a="1"/>
  <c r="N68" i="2" s="1"/>
  <c r="A190" i="2"/>
  <c r="N190" i="2" s="1" a="1"/>
  <c r="N190" i="2" s="1"/>
  <c r="A180" i="2"/>
  <c r="N180" i="2" s="1" a="1"/>
  <c r="N180" i="2" s="1"/>
  <c r="A298" i="2"/>
  <c r="N298" i="2" s="1" a="1"/>
  <c r="N298" i="2" s="1"/>
  <c r="A470" i="2"/>
  <c r="N470" i="2" s="1" a="1"/>
  <c r="N470" i="2" s="1"/>
  <c r="A97" i="2"/>
  <c r="N97" i="2" s="1" a="1"/>
  <c r="N97" i="2" s="1"/>
  <c r="A526" i="2"/>
  <c r="N526" i="2" s="1" a="1"/>
  <c r="N526" i="2" s="1"/>
  <c r="A193" i="2"/>
  <c r="N193" i="2" s="1" a="1"/>
  <c r="N193" i="2" s="1"/>
  <c r="A405" i="2"/>
  <c r="N405" i="2" s="1" a="1"/>
  <c r="N405" i="2" s="1"/>
  <c r="A671" i="2"/>
  <c r="N671" i="2" s="1" a="1"/>
  <c r="N671" i="2" s="1"/>
  <c r="A85" i="2"/>
  <c r="N85" i="2" s="1" a="1"/>
  <c r="N85" i="2" s="1"/>
  <c r="A249" i="2"/>
  <c r="N249" i="2" s="1" a="1"/>
  <c r="N249" i="2" s="1"/>
  <c r="A408" i="2"/>
  <c r="N408" i="2" s="1" a="1"/>
  <c r="N408" i="2" s="1"/>
  <c r="A475" i="2"/>
  <c r="N475" i="2" s="1" a="1"/>
  <c r="N475" i="2" s="1"/>
  <c r="A468" i="2"/>
  <c r="N468" i="2" s="1" a="1"/>
  <c r="N468" i="2" s="1"/>
  <c r="A497" i="2"/>
  <c r="N497" i="2" s="1" a="1"/>
  <c r="N497" i="2" s="1"/>
  <c r="A65" i="2"/>
  <c r="N65" i="2" s="1" a="1"/>
  <c r="N65" i="2" s="1"/>
  <c r="A632" i="2"/>
  <c r="N632" i="2" s="1" a="1"/>
  <c r="N632" i="2" s="1"/>
  <c r="A186" i="2"/>
  <c r="N186" i="2" s="1" a="1"/>
  <c r="N186" i="2" s="1"/>
  <c r="A231" i="2"/>
  <c r="N231" i="2" s="1" a="1"/>
  <c r="N231" i="2" s="1"/>
  <c r="A623" i="2"/>
  <c r="N623" i="2" s="1" a="1"/>
  <c r="N623" i="2" s="1"/>
  <c r="A280" i="2"/>
  <c r="N280" i="2" s="1" a="1"/>
  <c r="N280" i="2" s="1"/>
  <c r="A157" i="2"/>
  <c r="N157" i="2" s="1" a="1"/>
  <c r="N157" i="2" s="1"/>
  <c r="A337" i="2"/>
  <c r="N337" i="2" s="1" a="1"/>
  <c r="N337" i="2" s="1"/>
  <c r="A63" i="2"/>
  <c r="N63" i="2" s="1" a="1"/>
  <c r="N63" i="2" s="1"/>
  <c r="A281" i="2"/>
  <c r="N281" i="2" s="1" a="1"/>
  <c r="N281" i="2" s="1"/>
  <c r="A469" i="2"/>
  <c r="N469" i="2" s="1" a="1"/>
  <c r="N469" i="2" s="1"/>
  <c r="A654" i="2"/>
  <c r="N654" i="2" s="1" a="1"/>
  <c r="N654" i="2" s="1"/>
  <c r="A430" i="2"/>
  <c r="N430" i="2" s="1" a="1"/>
  <c r="N430" i="2" s="1"/>
  <c r="A120" i="2"/>
  <c r="N120" i="2" s="1" a="1"/>
  <c r="N120" i="2" s="1"/>
  <c r="A355" i="2"/>
  <c r="N355" i="2" s="1" a="1"/>
  <c r="N355" i="2" s="1"/>
  <c r="A239" i="2"/>
  <c r="N239" i="2" s="1" a="1"/>
  <c r="N239" i="2" s="1"/>
  <c r="A520" i="2"/>
  <c r="N520" i="2" s="1" a="1"/>
  <c r="N520" i="2" s="1"/>
  <c r="A127" i="2"/>
  <c r="N127" i="2" s="1" a="1"/>
  <c r="N127" i="2" s="1"/>
  <c r="A645" i="2"/>
  <c r="N645" i="2" s="1" a="1"/>
  <c r="N645" i="2" s="1"/>
  <c r="A610" i="2"/>
  <c r="N610" i="2" s="1" a="1"/>
  <c r="N610" i="2" s="1"/>
  <c r="A409" i="2"/>
  <c r="N409" i="2" s="1" a="1"/>
  <c r="N409" i="2" s="1"/>
  <c r="A626" i="2"/>
  <c r="N626" i="2" s="1" a="1"/>
  <c r="N626" i="2" s="1"/>
  <c r="A524" i="2"/>
  <c r="N524" i="2" s="1" a="1"/>
  <c r="N524" i="2" s="1"/>
  <c r="A601" i="2"/>
  <c r="N601" i="2" s="1" a="1"/>
  <c r="N601" i="2" s="1"/>
  <c r="A595" i="2"/>
  <c r="N595" i="2" s="1" a="1"/>
  <c r="N595" i="2" s="1"/>
  <c r="A251" i="2"/>
  <c r="N251" i="2" s="1" a="1"/>
  <c r="N251" i="2" s="1"/>
  <c r="A132" i="2"/>
  <c r="N132" i="2" s="1" a="1"/>
  <c r="N132" i="2" s="1"/>
  <c r="A334" i="2"/>
  <c r="N334" i="2" s="1" a="1"/>
  <c r="N334" i="2" s="1"/>
  <c r="A599" i="2"/>
  <c r="N599" i="2" s="1" a="1"/>
  <c r="N599" i="2" s="1"/>
  <c r="A86" i="2"/>
  <c r="N86" i="2" s="1" a="1"/>
  <c r="N86" i="2" s="1"/>
  <c r="A651" i="2"/>
  <c r="N651" i="2" s="1" a="1"/>
  <c r="N651" i="2" s="1"/>
  <c r="A369" i="2"/>
  <c r="N369" i="2" s="1" a="1"/>
  <c r="N369" i="2" s="1"/>
  <c r="A278" i="2"/>
  <c r="N278" i="2" s="1" a="1"/>
  <c r="N278" i="2" s="1"/>
  <c r="A373" i="2"/>
  <c r="N373" i="2" s="1" a="1"/>
  <c r="N373" i="2" s="1"/>
  <c r="A439" i="2"/>
  <c r="N439" i="2" s="1" a="1"/>
  <c r="N439" i="2" s="1"/>
  <c r="A540" i="2"/>
  <c r="N540" i="2" s="1" a="1"/>
  <c r="N540" i="2" s="1"/>
  <c r="A131" i="2"/>
  <c r="N131" i="2" s="1" a="1"/>
  <c r="N131" i="2" s="1"/>
  <c r="A78" i="2"/>
  <c r="N78" i="2" s="1" a="1"/>
  <c r="N78" i="2" s="1"/>
  <c r="A509" i="2"/>
  <c r="N509" i="2" s="1" a="1"/>
  <c r="N509" i="2" s="1"/>
  <c r="A241" i="2"/>
  <c r="N241" i="2" s="1" a="1"/>
  <c r="N241" i="2" s="1"/>
  <c r="A117" i="2"/>
  <c r="N117" i="2" s="1" a="1"/>
  <c r="N117" i="2" s="1"/>
  <c r="A429" i="2"/>
  <c r="N429" i="2" s="1" a="1"/>
  <c r="N429" i="2" s="1"/>
  <c r="A154" i="2"/>
  <c r="N154" i="2" s="1" a="1"/>
  <c r="N154" i="2" s="1"/>
  <c r="A331" i="2"/>
  <c r="N331" i="2" s="1" a="1"/>
  <c r="N331" i="2" s="1"/>
  <c r="A656" i="2"/>
  <c r="N656" i="2" s="1" a="1"/>
  <c r="N656" i="2" s="1"/>
  <c r="A25" i="2"/>
  <c r="N25" i="2" s="1" a="1"/>
  <c r="N25" i="2" s="1"/>
  <c r="A146" i="2"/>
  <c r="N146" i="2" s="1" a="1"/>
  <c r="N146" i="2" s="1"/>
  <c r="A481" i="2"/>
  <c r="N481" i="2" s="1" a="1"/>
  <c r="N481" i="2" s="1"/>
  <c r="A329" i="2"/>
  <c r="N329" i="2" s="1" a="1"/>
  <c r="N329" i="2" s="1"/>
  <c r="A467" i="2"/>
  <c r="N467" i="2" s="1" a="1"/>
  <c r="N467" i="2" s="1"/>
  <c r="A158" i="2"/>
  <c r="N158" i="2" s="1" a="1"/>
  <c r="N158" i="2" s="1"/>
  <c r="A292" i="2"/>
  <c r="N292" i="2" s="1" a="1"/>
  <c r="N292" i="2" s="1"/>
  <c r="A576" i="2"/>
  <c r="N576" i="2" s="1" a="1"/>
  <c r="N576" i="2" s="1"/>
  <c r="A243" i="2"/>
  <c r="N243" i="2" s="1" a="1"/>
  <c r="N243" i="2" s="1"/>
  <c r="A581" i="2"/>
  <c r="N581" i="2" s="1" a="1"/>
  <c r="N581" i="2" s="1"/>
  <c r="A660" i="2"/>
  <c r="N660" i="2" s="1" a="1"/>
  <c r="N660" i="2" s="1"/>
  <c r="A64" i="2"/>
  <c r="N64" i="2" s="1" a="1"/>
  <c r="N64" i="2" s="1"/>
  <c r="A466" i="2"/>
  <c r="N466" i="2" s="1" a="1"/>
  <c r="N466" i="2" s="1"/>
  <c r="A105" i="2"/>
  <c r="N105" i="2" s="1" a="1"/>
  <c r="N105" i="2" s="1"/>
  <c r="A381" i="2"/>
  <c r="N381" i="2" s="1" a="1"/>
  <c r="N381" i="2" s="1"/>
  <c r="A315" i="2"/>
  <c r="N315" i="2" s="1" a="1"/>
  <c r="N315" i="2" s="1"/>
  <c r="A216" i="2"/>
  <c r="N216" i="2" s="1" a="1"/>
  <c r="N216" i="2" s="1"/>
  <c r="A604" i="2"/>
  <c r="N604" i="2" s="1" a="1"/>
  <c r="N604" i="2" s="1"/>
  <c r="A618" i="2"/>
  <c r="N618" i="2" s="1" a="1"/>
  <c r="N618" i="2" s="1"/>
  <c r="A101" i="2"/>
  <c r="N101" i="2" s="1" a="1"/>
  <c r="N101" i="2" s="1"/>
  <c r="A300" i="2"/>
  <c r="N300" i="2" s="1" a="1"/>
  <c r="N300" i="2" s="1"/>
  <c r="A185" i="2"/>
  <c r="N185" i="2" s="1" a="1"/>
  <c r="N185" i="2" s="1"/>
  <c r="A627" i="2"/>
  <c r="N627" i="2" s="1" a="1"/>
  <c r="N627" i="2" s="1"/>
  <c r="A460" i="2"/>
  <c r="N460" i="2" s="1" a="1"/>
  <c r="N460" i="2" s="1"/>
  <c r="A165" i="2"/>
  <c r="N165" i="2" s="1" a="1"/>
  <c r="N165" i="2" s="1"/>
  <c r="A341" i="2"/>
  <c r="N341" i="2" s="1" a="1"/>
  <c r="N341" i="2" s="1"/>
  <c r="A228" i="2"/>
  <c r="N228" i="2" s="1" a="1"/>
  <c r="N228" i="2" s="1"/>
  <c r="A416" i="2"/>
  <c r="N416" i="2" s="1" a="1"/>
  <c r="N416" i="2" s="1"/>
  <c r="A561" i="2"/>
  <c r="N561" i="2" s="1" a="1"/>
  <c r="N561" i="2" s="1"/>
  <c r="A269" i="2"/>
  <c r="N269" i="2" s="1" a="1"/>
  <c r="N269" i="2" s="1"/>
  <c r="A582" i="2"/>
  <c r="N582" i="2" s="1" a="1"/>
  <c r="N582" i="2" s="1"/>
  <c r="A320" i="2"/>
  <c r="N320" i="2" s="1" a="1"/>
  <c r="N320" i="2" s="1"/>
  <c r="A338" i="2"/>
  <c r="N338" i="2" s="1" a="1"/>
  <c r="N338" i="2" s="1"/>
  <c r="A102" i="2"/>
  <c r="N102" i="2" s="1" a="1"/>
  <c r="N102" i="2" s="1"/>
  <c r="A551" i="2"/>
  <c r="N551" i="2" s="1" a="1"/>
  <c r="N551" i="2" s="1"/>
  <c r="A84" i="2"/>
  <c r="N84" i="2" s="1" a="1"/>
  <c r="N84" i="2" s="1"/>
  <c r="A486" i="2"/>
  <c r="N486" i="2" s="1" a="1"/>
  <c r="N486" i="2" s="1"/>
  <c r="A563" i="2"/>
  <c r="N563" i="2" s="1" a="1"/>
  <c r="N563" i="2" s="1"/>
  <c r="A276" i="2"/>
  <c r="N276" i="2" s="1" a="1"/>
  <c r="N276" i="2" s="1"/>
  <c r="A93" i="2"/>
  <c r="N93" i="2" s="1" a="1"/>
  <c r="N93" i="2" s="1"/>
  <c r="A161" i="2"/>
  <c r="N161" i="2" s="1" a="1"/>
  <c r="N161" i="2" s="1"/>
  <c r="A59" i="2"/>
  <c r="N59" i="2" s="1" a="1"/>
  <c r="N59" i="2" s="1"/>
  <c r="A517" i="2"/>
  <c r="N517" i="2" s="1" a="1"/>
  <c r="N517" i="2" s="1"/>
  <c r="A196" i="2"/>
  <c r="N196" i="2" s="1" a="1"/>
  <c r="N196" i="2" s="1"/>
  <c r="A643" i="2"/>
  <c r="N643" i="2" s="1" a="1"/>
  <c r="N643" i="2" s="1"/>
  <c r="A377" i="2"/>
  <c r="N377" i="2" s="1" a="1"/>
  <c r="N377" i="2" s="1"/>
  <c r="A512" i="2"/>
  <c r="N512" i="2" s="1" a="1"/>
  <c r="N512" i="2" s="1"/>
  <c r="A364" i="2"/>
  <c r="N364" i="2" s="1" a="1"/>
  <c r="N364" i="2" s="1"/>
  <c r="A636" i="2"/>
  <c r="N636" i="2" s="1" a="1"/>
  <c r="N636" i="2" s="1"/>
  <c r="A478" i="2"/>
  <c r="N478" i="2" s="1" a="1"/>
  <c r="N478" i="2" s="1"/>
  <c r="A87" i="2"/>
  <c r="N87" i="2" s="1" a="1"/>
  <c r="N87" i="2" s="1"/>
  <c r="A384" i="2"/>
  <c r="N384" i="2" s="1" a="1"/>
  <c r="N384" i="2" s="1"/>
  <c r="A110" i="2"/>
  <c r="N110" i="2" s="1" a="1"/>
  <c r="N110" i="2" s="1"/>
  <c r="A382" i="2"/>
  <c r="N382" i="2" s="1" a="1"/>
  <c r="N382" i="2" s="1"/>
  <c r="A487" i="2"/>
  <c r="N487" i="2" s="1" a="1"/>
  <c r="N487" i="2" s="1"/>
  <c r="A482" i="2"/>
  <c r="N482" i="2" s="1" a="1"/>
  <c r="N482" i="2" s="1"/>
  <c r="A508" i="2"/>
  <c r="N508" i="2" s="1" a="1"/>
  <c r="N508" i="2" s="1"/>
  <c r="A495" i="2"/>
  <c r="N495" i="2" s="1" a="1"/>
  <c r="N495" i="2" s="1"/>
  <c r="A363" i="2"/>
  <c r="N363" i="2" s="1" a="1"/>
  <c r="N363" i="2" s="1"/>
  <c r="A413" i="2"/>
  <c r="N413" i="2" s="1" a="1"/>
  <c r="N413" i="2" s="1"/>
  <c r="A404" i="2"/>
  <c r="N404" i="2" s="1" a="1"/>
  <c r="N404" i="2" s="1"/>
  <c r="A3" i="2"/>
  <c r="N3" i="2" s="1" a="1"/>
  <c r="N3" i="2" s="1"/>
  <c r="A457" i="2"/>
  <c r="N457" i="2" s="1" a="1"/>
  <c r="N457" i="2" s="1"/>
  <c r="A379" i="2"/>
  <c r="N379" i="2" s="1" a="1"/>
  <c r="N379" i="2" s="1"/>
  <c r="A153" i="2"/>
  <c r="N153" i="2" s="1" a="1"/>
  <c r="N153" i="2" s="1"/>
  <c r="A197" i="2"/>
  <c r="N197" i="2" s="1" a="1"/>
  <c r="N197" i="2" s="1"/>
  <c r="A271" i="2"/>
  <c r="N271" i="2" s="1" a="1"/>
  <c r="N271" i="2" s="1"/>
  <c r="A454" i="2"/>
  <c r="N454" i="2" s="1" a="1"/>
  <c r="N454" i="2" s="1"/>
  <c r="A183" i="2"/>
  <c r="N183" i="2" s="1" a="1"/>
  <c r="N183" i="2" s="1"/>
  <c r="A459" i="2"/>
  <c r="N459" i="2" s="1" a="1"/>
  <c r="N459" i="2" s="1"/>
  <c r="A6" i="2"/>
  <c r="N6" i="2" s="1" a="1"/>
  <c r="N6" i="2" s="1"/>
  <c r="A29" i="2"/>
  <c r="N29" i="2" s="1" a="1"/>
  <c r="N29" i="2" s="1"/>
  <c r="A670" i="2"/>
  <c r="N670" i="2" s="1" a="1"/>
  <c r="N670" i="2" s="1"/>
  <c r="A182" i="2"/>
  <c r="N182" i="2" s="1" a="1"/>
  <c r="N182" i="2" s="1"/>
  <c r="A202" i="2"/>
  <c r="N202" i="2" s="1" a="1"/>
  <c r="N202" i="2" s="1"/>
  <c r="A184" i="2"/>
  <c r="N184" i="2" s="1" a="1"/>
  <c r="N184" i="2" s="1"/>
  <c r="A126" i="2"/>
  <c r="N126" i="2" s="1" a="1"/>
  <c r="N126" i="2" s="1"/>
  <c r="A274" i="2"/>
  <c r="N274" i="2" s="1" a="1"/>
  <c r="N274" i="2" s="1"/>
  <c r="A535" i="2"/>
  <c r="N535" i="2" s="1" a="1"/>
  <c r="N535" i="2" s="1"/>
  <c r="A253" i="2"/>
  <c r="N253" i="2" s="1" a="1"/>
  <c r="N253" i="2" s="1"/>
  <c r="A543" i="2"/>
  <c r="N543" i="2" s="1" a="1"/>
  <c r="N543" i="2" s="1"/>
  <c r="G25" i="3" a="1"/>
  <c r="G25" i="3" s="1"/>
  <c r="G28" i="3" s="1" a="1"/>
  <c r="G28" i="3" s="1"/>
  <c r="X25" i="3" s="1" a="1"/>
  <c r="X25" i="3" s="1"/>
  <c r="AF2" i="3" s="1" a="1"/>
  <c r="AF2" i="3" s="1"/>
  <c r="A608" i="2"/>
  <c r="N608" i="2" s="1" a="1"/>
  <c r="N608" i="2" s="1"/>
  <c r="A138" i="2"/>
  <c r="N138" i="2" s="1" a="1"/>
  <c r="N138" i="2" s="1"/>
  <c r="A664" i="2"/>
  <c r="N664" i="2" s="1" a="1"/>
  <c r="N664" i="2" s="1"/>
  <c r="A288" i="2"/>
  <c r="N288" i="2" s="1" a="1"/>
  <c r="N288" i="2" s="1"/>
  <c r="L15" i="2" a="1"/>
  <c r="L15" i="2" s="1"/>
  <c r="A644" i="2"/>
  <c r="N644" i="2" s="1" a="1"/>
  <c r="N644" i="2" s="1"/>
  <c r="A525" i="2"/>
  <c r="N525" i="2" s="1" a="1"/>
  <c r="N525" i="2" s="1"/>
  <c r="A324" i="2"/>
  <c r="N324" i="2" s="1" a="1"/>
  <c r="N324" i="2" s="1"/>
  <c r="A389" i="2"/>
  <c r="N389" i="2" s="1" a="1"/>
  <c r="N389" i="2" s="1"/>
  <c r="A343" i="2"/>
  <c r="N343" i="2" s="1" a="1"/>
  <c r="N343" i="2" s="1"/>
  <c r="A95" i="2"/>
  <c r="N95" i="2" s="1" a="1"/>
  <c r="N95" i="2" s="1"/>
  <c r="A513" i="2"/>
  <c r="N513" i="2" s="1" a="1"/>
  <c r="N513" i="2" s="1"/>
  <c r="A544" i="2"/>
  <c r="N544" i="2" s="1" a="1"/>
  <c r="N544" i="2" s="1"/>
  <c r="A559" i="2"/>
  <c r="N559" i="2" s="1" a="1"/>
  <c r="N559" i="2" s="1"/>
  <c r="A160" i="2"/>
  <c r="N160" i="2" s="1" a="1"/>
  <c r="N160" i="2" s="1"/>
  <c r="A212" i="2"/>
  <c r="N212" i="2" s="1" a="1"/>
  <c r="N212" i="2" s="1"/>
  <c r="A407" i="2"/>
  <c r="N407" i="2" s="1" a="1"/>
  <c r="N407" i="2" s="1"/>
  <c r="A223" i="2"/>
  <c r="N223" i="2" s="1" a="1"/>
  <c r="N223" i="2" s="1"/>
  <c r="A387" i="2"/>
  <c r="N387" i="2" s="1" a="1"/>
  <c r="N387" i="2" s="1"/>
  <c r="A94" i="2"/>
  <c r="N94" i="2" s="1" a="1"/>
  <c r="N94" i="2" s="1"/>
  <c r="A215" i="2"/>
  <c r="N215" i="2" s="1" a="1"/>
  <c r="N215" i="2" s="1"/>
  <c r="A367" i="2"/>
  <c r="N367" i="2" s="1" a="1"/>
  <c r="N367" i="2" s="1"/>
  <c r="A607" i="2"/>
  <c r="N607" i="2" s="1" a="1"/>
  <c r="N607" i="2" s="1"/>
  <c r="A625" i="2"/>
  <c r="N625" i="2" s="1" a="1"/>
  <c r="N625" i="2" s="1"/>
  <c r="A113" i="2"/>
  <c r="N113" i="2" s="1" a="1"/>
  <c r="N113" i="2" s="1"/>
  <c r="A554" i="2"/>
  <c r="N554" i="2" s="1" a="1"/>
  <c r="N554" i="2" s="1"/>
  <c r="A394" i="2"/>
  <c r="N394" i="2" s="1" a="1"/>
  <c r="N394" i="2" s="1"/>
  <c r="A450" i="2"/>
  <c r="N450" i="2" s="1" a="1"/>
  <c r="N450" i="2" s="1"/>
  <c r="A204" i="2"/>
  <c r="N204" i="2" s="1" a="1"/>
  <c r="N204" i="2" s="1"/>
  <c r="A295" i="2"/>
  <c r="N295" i="2" s="1" a="1"/>
  <c r="N295" i="2" s="1"/>
  <c r="A260" i="2"/>
  <c r="N260" i="2" s="1" a="1"/>
  <c r="N260" i="2" s="1"/>
  <c r="A312" i="2"/>
  <c r="N312" i="2" s="1" a="1"/>
  <c r="N312" i="2" s="1"/>
  <c r="A58" i="2"/>
  <c r="N58" i="2" s="1" a="1"/>
  <c r="N58" i="2" s="1"/>
  <c r="A571" i="2"/>
  <c r="N571" i="2" s="1" a="1"/>
  <c r="N571" i="2" s="1"/>
  <c r="A143" i="2"/>
  <c r="N143" i="2" s="1" a="1"/>
  <c r="N143" i="2" s="1"/>
  <c r="A359" i="2"/>
  <c r="N359" i="2" s="1" a="1"/>
  <c r="N359" i="2" s="1"/>
  <c r="A79" i="2"/>
  <c r="N79" i="2" s="1" a="1"/>
  <c r="N79" i="2" s="1"/>
  <c r="A528" i="2"/>
  <c r="N528" i="2" s="1" a="1"/>
  <c r="N528" i="2" s="1"/>
  <c r="A648" i="2"/>
  <c r="N648" i="2" s="1" a="1"/>
  <c r="N648" i="2" s="1"/>
  <c r="A537" i="2"/>
  <c r="N537" i="2" s="1" a="1"/>
  <c r="N537" i="2" s="1"/>
  <c r="A463" i="2"/>
  <c r="N463" i="2" s="1" a="1"/>
  <c r="N463" i="2" s="1"/>
  <c r="A262" i="2"/>
  <c r="N262" i="2" s="1" a="1"/>
  <c r="N262" i="2" s="1"/>
  <c r="A375" i="2"/>
  <c r="N375" i="2" s="1" a="1"/>
  <c r="N375" i="2" s="1"/>
  <c r="A613" i="2"/>
  <c r="N613" i="2" s="1" a="1"/>
  <c r="N613" i="2" s="1"/>
  <c r="A265" i="2"/>
  <c r="N265" i="2" s="1" a="1"/>
  <c r="N265" i="2" s="1"/>
  <c r="A427" i="2"/>
  <c r="N427" i="2" s="1" a="1"/>
  <c r="N427" i="2" s="1"/>
  <c r="A332" i="2"/>
  <c r="N332" i="2" s="1" a="1"/>
  <c r="N332" i="2" s="1"/>
  <c r="A104" i="2"/>
  <c r="N104" i="2" s="1" a="1"/>
  <c r="N104" i="2" s="1"/>
  <c r="A321" i="2"/>
  <c r="N321" i="2" s="1" a="1"/>
  <c r="N321" i="2" s="1"/>
  <c r="A46" i="2"/>
  <c r="N46" i="2" s="1" a="1"/>
  <c r="N46" i="2" s="1"/>
  <c r="A446" i="2"/>
  <c r="N446" i="2" s="1" a="1"/>
  <c r="N446" i="2" s="1"/>
  <c r="A151" i="2"/>
  <c r="N151" i="2" s="1" a="1"/>
  <c r="N151" i="2" s="1"/>
  <c r="A339" i="2"/>
  <c r="N339" i="2" s="1" a="1"/>
  <c r="N339" i="2" s="1"/>
  <c r="A628" i="2"/>
  <c r="N628" i="2" s="1" a="1"/>
  <c r="N628" i="2" s="1"/>
  <c r="A336" i="2"/>
  <c r="N336" i="2" s="1" a="1"/>
  <c r="N336" i="2" s="1"/>
  <c r="A361" i="2"/>
  <c r="N361" i="2" s="1" a="1"/>
  <c r="N361" i="2" s="1"/>
  <c r="A257" i="2"/>
  <c r="N257" i="2" s="1" a="1"/>
  <c r="N257" i="2" s="1"/>
  <c r="A20" i="2"/>
  <c r="N20" i="2" s="1" a="1"/>
  <c r="N20" i="2" s="1"/>
  <c r="A75" i="2"/>
  <c r="N75" i="2" s="1" a="1"/>
  <c r="N75" i="2" s="1"/>
  <c r="A234" i="2"/>
  <c r="N234" i="2" s="1" a="1"/>
  <c r="N234" i="2" s="1"/>
  <c r="A330" i="2"/>
  <c r="N330" i="2" s="1" a="1"/>
  <c r="N330" i="2" s="1"/>
  <c r="A168" i="2"/>
  <c r="N168" i="2" s="1" a="1"/>
  <c r="N168" i="2" s="1"/>
  <c r="A349" i="2"/>
  <c r="N349" i="2" s="1" a="1"/>
  <c r="N349" i="2" s="1"/>
  <c r="A448" i="2"/>
  <c r="N448" i="2" s="1" a="1"/>
  <c r="N448" i="2" s="1"/>
  <c r="A236" i="2"/>
  <c r="N236" i="2" s="1" a="1"/>
  <c r="N236" i="2" s="1"/>
  <c r="A220" i="2"/>
  <c r="N220" i="2" s="1" a="1"/>
  <c r="N220" i="2" s="1"/>
  <c r="A406" i="2"/>
  <c r="N406" i="2" s="1" a="1"/>
  <c r="N406" i="2" s="1"/>
  <c r="A650" i="2"/>
  <c r="N650" i="2" s="1" a="1"/>
  <c r="N650" i="2" s="1"/>
  <c r="A575" i="2"/>
  <c r="N575" i="2" s="1" a="1"/>
  <c r="N575" i="2" s="1"/>
  <c r="A655" i="2"/>
  <c r="N655" i="2" s="1" a="1"/>
  <c r="N655" i="2" s="1"/>
  <c r="A301" i="2"/>
  <c r="N301" i="2" s="1" a="1"/>
  <c r="N301" i="2" s="1"/>
  <c r="A383" i="2"/>
  <c r="N383" i="2" s="1" a="1"/>
  <c r="N383" i="2" s="1"/>
  <c r="A198" i="2"/>
  <c r="N198" i="2" s="1" a="1"/>
  <c r="N198" i="2" s="1"/>
  <c r="A72" i="2"/>
  <c r="N72" i="2" s="1" a="1"/>
  <c r="N72" i="2" s="1"/>
  <c r="A420" i="2"/>
  <c r="N420" i="2" s="1" a="1"/>
  <c r="N420" i="2" s="1"/>
  <c r="A600" i="2"/>
  <c r="N600" i="2" s="1" a="1"/>
  <c r="N600" i="2" s="1"/>
  <c r="A245" i="2"/>
  <c r="N245" i="2" s="1" a="1"/>
  <c r="N245" i="2" s="1"/>
  <c r="A505" i="2"/>
  <c r="N505" i="2" s="1" a="1"/>
  <c r="N505" i="2" s="1"/>
  <c r="A629" i="2"/>
  <c r="N629" i="2" s="1" a="1"/>
  <c r="N629" i="2" s="1"/>
  <c r="A533" i="2"/>
  <c r="N533" i="2" s="1" a="1"/>
  <c r="N533" i="2" s="1"/>
  <c r="A76" i="2"/>
  <c r="N76" i="2" s="1" a="1"/>
  <c r="N76" i="2" s="1"/>
  <c r="A136" i="2"/>
  <c r="N136" i="2" s="1" a="1"/>
  <c r="N136" i="2" s="1"/>
  <c r="A492" i="2"/>
  <c r="N492" i="2" s="1" a="1"/>
  <c r="N492" i="2" s="1"/>
  <c r="A360" i="2"/>
  <c r="N360" i="2" s="1" a="1"/>
  <c r="N360" i="2" s="1"/>
  <c r="A669" i="2"/>
  <c r="N669" i="2" s="1" a="1"/>
  <c r="N669" i="2" s="1"/>
  <c r="A442" i="2"/>
  <c r="N442" i="2" s="1" a="1"/>
  <c r="N442" i="2" s="1"/>
  <c r="A490" i="2"/>
  <c r="N490" i="2" s="1" a="1"/>
  <c r="N490" i="2" s="1"/>
  <c r="A534" i="2"/>
  <c r="N534" i="2" s="1" a="1"/>
  <c r="N534" i="2" s="1"/>
  <c r="A350" i="2"/>
  <c r="N350" i="2" s="1" a="1"/>
  <c r="N350" i="2" s="1"/>
  <c r="A166" i="2"/>
  <c r="N166" i="2" s="1" a="1"/>
  <c r="N166" i="2" s="1"/>
  <c r="A100" i="2"/>
  <c r="N100" i="2" s="1" a="1"/>
  <c r="N100" i="2" s="1"/>
  <c r="A213" i="2"/>
  <c r="N213" i="2" s="1" a="1"/>
  <c r="N213" i="2" s="1"/>
  <c r="A124" i="2"/>
  <c r="N124" i="2" s="1" a="1"/>
  <c r="N124" i="2" s="1"/>
  <c r="A152" i="2"/>
  <c r="N152" i="2" s="1" a="1"/>
  <c r="N152" i="2" s="1"/>
  <c r="A542" i="2"/>
  <c r="N542" i="2" s="1" a="1"/>
  <c r="N542" i="2" s="1"/>
  <c r="A297" i="2"/>
  <c r="N297" i="2" s="1" a="1"/>
  <c r="N297" i="2" s="1"/>
  <c r="A140" i="2"/>
  <c r="N140" i="2" s="1" a="1"/>
  <c r="N140" i="2" s="1"/>
  <c r="A12" i="2"/>
  <c r="N12" i="2" s="1" a="1"/>
  <c r="N12" i="2" s="1"/>
  <c r="A617" i="2"/>
  <c r="N617" i="2" s="1" a="1"/>
  <c r="N617" i="2" s="1"/>
  <c r="A319" i="2"/>
  <c r="N319" i="2" s="1" a="1"/>
  <c r="N319" i="2" s="1"/>
  <c r="A402" i="2"/>
  <c r="N402" i="2" s="1" a="1"/>
  <c r="N402" i="2" s="1"/>
  <c r="A103" i="2"/>
  <c r="N103" i="2" s="1" a="1"/>
  <c r="N103" i="2" s="1"/>
  <c r="A45" i="2"/>
  <c r="N45" i="2" s="1" a="1"/>
  <c r="N45" i="2" s="1"/>
  <c r="A635" i="2"/>
  <c r="N635" i="2" s="1" a="1"/>
  <c r="N635" i="2" s="1"/>
  <c r="A163" i="2"/>
  <c r="N163" i="2" s="1" a="1"/>
  <c r="N163" i="2" s="1"/>
  <c r="A597" i="2"/>
  <c r="N597" i="2" s="1" a="1"/>
  <c r="N597" i="2" s="1"/>
  <c r="A372" i="2"/>
  <c r="N372" i="2" s="1" a="1"/>
  <c r="N372" i="2" s="1"/>
  <c r="A539" i="2"/>
  <c r="N539" i="2" s="1" a="1"/>
  <c r="N539" i="2" s="1"/>
  <c r="A649" i="2"/>
  <c r="N649" i="2" s="1" a="1"/>
  <c r="N649" i="2" s="1"/>
  <c r="A622" i="2"/>
  <c r="N622" i="2" s="1" a="1"/>
  <c r="N622" i="2" s="1"/>
  <c r="A640" i="2"/>
  <c r="N640" i="2" s="1" a="1"/>
  <c r="N640" i="2" s="1"/>
  <c r="A11" i="2"/>
  <c r="N11" i="2" s="1" a="1"/>
  <c r="N11" i="2" s="1"/>
  <c r="A624" i="2"/>
  <c r="N624" i="2" s="1" a="1"/>
  <c r="N624" i="2" s="1"/>
  <c r="A583" i="2"/>
  <c r="N583" i="2" s="1" a="1"/>
  <c r="N583" i="2" s="1"/>
  <c r="A639" i="2"/>
  <c r="N639" i="2" s="1" a="1"/>
  <c r="N639" i="2" s="1"/>
  <c r="A461" i="2"/>
  <c r="N461" i="2" s="1" a="1"/>
  <c r="N461" i="2" s="1"/>
  <c r="A580" i="2"/>
  <c r="N580" i="2" s="1" a="1"/>
  <c r="N580" i="2" s="1"/>
  <c r="A9" i="2"/>
  <c r="N9" i="2" s="1" a="1"/>
  <c r="N9" i="2" s="1"/>
  <c r="A61" i="2"/>
  <c r="N61" i="2" s="1" a="1"/>
  <c r="N61" i="2" s="1"/>
  <c r="A107" i="2"/>
  <c r="N107" i="2" s="1" a="1"/>
  <c r="N107" i="2" s="1"/>
  <c r="A658" i="2"/>
  <c r="N658" i="2" s="1" a="1"/>
  <c r="N658" i="2" s="1"/>
  <c r="A261" i="2"/>
  <c r="N261" i="2" s="1" a="1"/>
  <c r="N261" i="2" s="1"/>
  <c r="A340" i="2"/>
  <c r="N340" i="2" s="1" a="1"/>
  <c r="N340" i="2" s="1"/>
  <c r="A33" i="2"/>
  <c r="N33" i="2" s="1" a="1"/>
  <c r="N33" i="2" s="1"/>
  <c r="A572" i="2"/>
  <c r="N572" i="2" s="1" a="1"/>
  <c r="N572" i="2" s="1"/>
  <c r="A435" i="2"/>
  <c r="N435" i="2" s="1" a="1"/>
  <c r="N435" i="2" s="1"/>
  <c r="A516" i="2"/>
  <c r="N516" i="2" s="1" a="1"/>
  <c r="N516" i="2" s="1"/>
  <c r="A244" i="2"/>
  <c r="N244" i="2" s="1" a="1"/>
  <c r="N244" i="2" s="1"/>
  <c r="A200" i="2"/>
  <c r="N200" i="2" s="1" a="1"/>
  <c r="N200" i="2" s="1"/>
  <c r="A129" i="2"/>
  <c r="N129" i="2" s="1" a="1"/>
  <c r="N129" i="2" s="1"/>
  <c r="A18" i="2"/>
  <c r="N18" i="2" s="1" a="1"/>
  <c r="N18" i="2" s="1"/>
  <c r="A36" i="2"/>
  <c r="N36" i="2" s="1" a="1"/>
  <c r="N36" i="2" s="1"/>
  <c r="A652" i="2"/>
  <c r="N652" i="2" s="1" a="1"/>
  <c r="N652" i="2" s="1"/>
  <c r="A436" i="2"/>
  <c r="N436" i="2" s="1" a="1"/>
  <c r="N436" i="2" s="1"/>
  <c r="A483" i="2"/>
  <c r="N483" i="2" s="1" a="1"/>
  <c r="N483" i="2" s="1"/>
  <c r="A164" i="2"/>
  <c r="N164" i="2" s="1" a="1"/>
  <c r="N164" i="2" s="1"/>
  <c r="A547" i="2"/>
  <c r="N547" i="2" s="1" a="1"/>
  <c r="N547" i="2" s="1"/>
  <c r="A252" i="2"/>
  <c r="N252" i="2" s="1" a="1"/>
  <c r="N252" i="2" s="1"/>
  <c r="A108" i="2"/>
  <c r="N108" i="2" s="1" a="1"/>
  <c r="N108" i="2" s="1"/>
  <c r="A565" i="2"/>
  <c r="N565" i="2" s="1" a="1"/>
  <c r="N565" i="2" s="1"/>
  <c r="A485" i="2"/>
  <c r="N485" i="2" s="1" a="1"/>
  <c r="N485" i="2" s="1"/>
  <c r="A210" i="2"/>
  <c r="N210" i="2" s="1" a="1"/>
  <c r="N210" i="2" s="1"/>
  <c r="A567" i="2"/>
  <c r="N567" i="2" s="1" a="1"/>
  <c r="N567" i="2" s="1"/>
  <c r="A489" i="2"/>
  <c r="N489" i="2" s="1" a="1"/>
  <c r="N489" i="2" s="1"/>
  <c r="A515" i="2"/>
  <c r="N515" i="2" s="1" a="1"/>
  <c r="N515" i="2" s="1"/>
  <c r="A39" i="2"/>
  <c r="N39" i="2" s="1" a="1"/>
  <c r="N39" i="2" s="1"/>
  <c r="A376" i="2"/>
  <c r="N376" i="2" s="1" a="1"/>
  <c r="N376" i="2" s="1"/>
  <c r="A211" i="2"/>
  <c r="N211" i="2" s="1" a="1"/>
  <c r="N211" i="2" s="1"/>
  <c r="A307" i="2"/>
  <c r="N307" i="2" s="1" a="1"/>
  <c r="N307" i="2" s="1"/>
  <c r="A177" i="2"/>
  <c r="N177" i="2" s="1" a="1"/>
  <c r="N177" i="2" s="1"/>
  <c r="A503" i="2"/>
  <c r="N503" i="2" s="1" a="1"/>
  <c r="N503" i="2" s="1"/>
  <c r="A55" i="2"/>
  <c r="N55" i="2" s="1" a="1"/>
  <c r="N55" i="2" s="1"/>
  <c r="A323" i="2"/>
  <c r="N323" i="2" s="1" a="1"/>
  <c r="N323" i="2" s="1"/>
  <c r="A569" i="2"/>
  <c r="N569" i="2" s="1" a="1"/>
  <c r="N569" i="2" s="1"/>
  <c r="A668" i="2"/>
  <c r="N668" i="2" s="1" a="1"/>
  <c r="N668" i="2" s="1"/>
  <c r="A342" i="2"/>
  <c r="N342" i="2" s="1" a="1"/>
  <c r="N342" i="2" s="1"/>
  <c r="A187" i="2"/>
  <c r="N187" i="2" s="1" a="1"/>
  <c r="N187" i="2" s="1"/>
  <c r="A441" i="2"/>
  <c r="N441" i="2" s="1" a="1"/>
  <c r="N441" i="2" s="1"/>
  <c r="A424" i="2"/>
  <c r="N424" i="2" s="1" a="1"/>
  <c r="N424" i="2" s="1"/>
  <c r="A267" i="2"/>
  <c r="N267" i="2" s="1" a="1"/>
  <c r="N267" i="2" s="1"/>
  <c r="A333" i="2"/>
  <c r="N333" i="2" s="1" a="1"/>
  <c r="N333" i="2" s="1"/>
  <c r="A83" i="2"/>
  <c r="N83" i="2" s="1" a="1"/>
  <c r="N83" i="2" s="1"/>
  <c r="A663" i="2"/>
  <c r="N663" i="2" s="1" a="1"/>
  <c r="N663" i="2" s="1"/>
  <c r="A290" i="2"/>
  <c r="N290" i="2" s="1" a="1"/>
  <c r="N290" i="2" s="1"/>
  <c r="A472" i="2"/>
  <c r="N472" i="2" s="1" a="1"/>
  <c r="N472" i="2" s="1"/>
  <c r="A327" i="2"/>
  <c r="N327" i="2" s="1" a="1"/>
  <c r="N327" i="2" s="1"/>
  <c r="A399" i="2"/>
  <c r="N399" i="2" s="1" a="1"/>
  <c r="N399" i="2" s="1"/>
  <c r="A344" i="2"/>
  <c r="N344" i="2" s="1" a="1"/>
  <c r="N344" i="2" s="1"/>
  <c r="A411" i="2"/>
  <c r="N411" i="2" s="1" a="1"/>
  <c r="N411" i="2" s="1"/>
  <c r="A536" i="2"/>
  <c r="N536" i="2" s="1" a="1"/>
  <c r="N536" i="2" s="1"/>
  <c r="A325" i="2"/>
  <c r="N325" i="2" s="1" a="1"/>
  <c r="N325" i="2" s="1"/>
  <c r="A605" i="2"/>
  <c r="N605" i="2" s="1" a="1"/>
  <c r="N605" i="2" s="1"/>
  <c r="A296" i="2"/>
  <c r="N296" i="2" s="1" a="1"/>
  <c r="N296" i="2" s="1"/>
  <c r="A144" i="2"/>
  <c r="N144" i="2" s="1" a="1"/>
  <c r="N144" i="2" s="1"/>
  <c r="A577" i="2"/>
  <c r="N577" i="2" s="1" a="1"/>
  <c r="N577" i="2" s="1"/>
  <c r="A121" i="2"/>
  <c r="N121" i="2" s="1" a="1"/>
  <c r="N12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<sst xmlns="http://schemas.openxmlformats.org/spreadsheetml/2006/main" count="8100" uniqueCount="903">
  <si>
    <t>Scoring System</t>
  </si>
  <si>
    <t>Points</t>
  </si>
  <si>
    <t>Categories</t>
  </si>
  <si>
    <t>Pos</t>
  </si>
  <si>
    <t>Players Selected Over Replacement</t>
  </si>
  <si>
    <t>Starting Lineup</t>
  </si>
  <si>
    <t>Position Based</t>
  </si>
  <si>
    <t>Draft Based</t>
  </si>
  <si>
    <t>Replacement Player FP</t>
  </si>
  <si>
    <t>Column</t>
  </si>
  <si>
    <t>Colour Legend</t>
  </si>
  <si>
    <t>Goals</t>
  </si>
  <si>
    <r>
      <rPr>
        <b/>
        <sz val="10"/>
        <color indexed="8"/>
        <rFont val="Helvetica Neue"/>
        <family val="2"/>
      </rPr>
      <t>C</t>
    </r>
  </si>
  <si>
    <t>Team</t>
  </si>
  <si>
    <t>Weak Defensive SOS for Skaters, Offensive SOS for Goalies</t>
  </si>
  <si>
    <t>Assists</t>
  </si>
  <si>
    <r>
      <rPr>
        <b/>
        <sz val="10"/>
        <color indexed="8"/>
        <rFont val="Helvetica Neue"/>
        <family val="2"/>
      </rPr>
      <t>LW</t>
    </r>
  </si>
  <si>
    <t>Strong Defensive SOS for Skaters, Offensive SOS for Goalies</t>
  </si>
  <si>
    <r>
      <rPr>
        <b/>
        <sz val="10"/>
        <color indexed="8"/>
        <rFont val="Helvetica Neue"/>
        <family val="2"/>
      </rPr>
      <t>RW</t>
    </r>
  </si>
  <si>
    <t>Off-day heavy (Sun, Mon, Wed, Fri)</t>
  </si>
  <si>
    <t>Shots</t>
  </si>
  <si>
    <r>
      <rPr>
        <b/>
        <sz val="10"/>
        <color indexed="8"/>
        <rFont val="Helvetica Neue"/>
        <family val="2"/>
      </rPr>
      <t>D</t>
    </r>
  </si>
  <si>
    <t>On-day heavy (Tue, Thu, Sat)</t>
  </si>
  <si>
    <t>Blocks</t>
  </si>
  <si>
    <r>
      <rPr>
        <b/>
        <sz val="10"/>
        <color indexed="8"/>
        <rFont val="Helvetica Neue"/>
        <family val="2"/>
      </rPr>
      <t>G</t>
    </r>
  </si>
  <si>
    <t>Hits</t>
  </si>
  <si>
    <t>Age</t>
  </si>
  <si>
    <t>Pre-Prime, chance to breakout</t>
  </si>
  <si>
    <t>Powerplay Goals</t>
  </si>
  <si>
    <t>Average Draft Position</t>
  </si>
  <si>
    <t>“Yahoo” or “Fantrax” or “Average”</t>
  </si>
  <si>
    <t>Post-Prime, chance to decline</t>
  </si>
  <si>
    <t>Powerplay Points</t>
  </si>
  <si>
    <t>YAHOO</t>
  </si>
  <si>
    <t>Shorthanded Goals</t>
  </si>
  <si>
    <t>Salary</t>
  </si>
  <si>
    <t>Contract Year</t>
  </si>
  <si>
    <t>Shorthanded Points</t>
  </si>
  <si>
    <t>Games Played Projection</t>
  </si>
  <si>
    <t>“Yes” or “No”</t>
  </si>
  <si>
    <t>Time On Ice</t>
  </si>
  <si>
    <t>Yes</t>
  </si>
  <si>
    <t>ADP Diff</t>
  </si>
  <si>
    <t>Steal (&gt;2 RD Difference)</t>
  </si>
  <si>
    <t>Defensemen Points</t>
  </si>
  <si>
    <t>Potential Steal (1-2 RD Difference)</t>
  </si>
  <si>
    <t>Plus-Minus</t>
  </si>
  <si>
    <t>League Type</t>
  </si>
  <si>
    <t>“Points” or “Categories”</t>
  </si>
  <si>
    <t>Potential Reach (1-2 RD Difference)</t>
  </si>
  <si>
    <t>Penalty Minutes</t>
  </si>
  <si>
    <t>Reach (&gt;2 RD Difference)</t>
  </si>
  <si>
    <t>Game-Winning Goals</t>
  </si>
  <si>
    <t>Faceoff Wins</t>
  </si>
  <si>
    <t>Forward Separation</t>
  </si>
  <si>
    <t>“C/LW/RW” or “Forwards”</t>
  </si>
  <si>
    <t>TOI</t>
  </si>
  <si>
    <t>Role Increase (&gt;1 min)</t>
  </si>
  <si>
    <t>Faceoff Losses</t>
  </si>
  <si>
    <t>C/LW/RW</t>
  </si>
  <si>
    <t>Role Decrease (&gt;1 min)</t>
  </si>
  <si>
    <t>Faceoff Percentage</t>
  </si>
  <si>
    <t>Replacement Level</t>
  </si>
  <si>
    <t>“Position” or “Draft” or “Blend”</t>
  </si>
  <si>
    <t>PPG</t>
  </si>
  <si>
    <t>PP1 (&gt;60% of TOI)</t>
  </si>
  <si>
    <t>Wins</t>
  </si>
  <si>
    <t>PPP</t>
  </si>
  <si>
    <t>PP1 (50-60% of TOI)</t>
  </si>
  <si>
    <t>Losses</t>
  </si>
  <si>
    <t>Overtime Losses</t>
  </si>
  <si>
    <t>Number of Teams</t>
  </si>
  <si>
    <t>Shutouts</t>
  </si>
  <si>
    <t xml:space="preserve">Saves </t>
  </si>
  <si>
    <t>Save Percentage</t>
  </si>
  <si>
    <t>Boost or Bust</t>
  </si>
  <si>
    <t>How much a player’s projection moves up or down based on subjective opinion</t>
  </si>
  <si>
    <t>Goals Against</t>
  </si>
  <si>
    <t>ON</t>
  </si>
  <si>
    <t>Goals Against Average</t>
  </si>
  <si>
    <t>+ + +</t>
  </si>
  <si>
    <t>“ON” or “OFF” to toggle subjective boosts/busts from Shayna and Dom</t>
  </si>
  <si>
    <t>Games Played</t>
  </si>
  <si>
    <t>+ +</t>
  </si>
  <si>
    <t>+</t>
  </si>
  <si>
    <t>Skater Stats Affected: G, A, PTS, SOG, PPG, PPP, +/-, GWG                                                    Goalie Stats Affected: W, L, SV, GA, SV%, GAA</t>
  </si>
  <si>
    <t>-</t>
  </si>
  <si>
    <t>- -</t>
  </si>
  <si>
    <t>- - -</t>
  </si>
  <si>
    <t>RK</t>
  </si>
  <si>
    <t>NAME</t>
  </si>
  <si>
    <t>KEEP?</t>
  </si>
  <si>
    <t>POS</t>
  </si>
  <si>
    <t>TEAM</t>
  </si>
  <si>
    <t>AGE</t>
  </si>
  <si>
    <t>SALARY</t>
  </si>
  <si>
    <t>FP</t>
  </si>
  <si>
    <t>/GP</t>
  </si>
  <si>
    <t>VORP</t>
  </si>
  <si>
    <t>/$</t>
  </si>
  <si>
    <t>ADP</t>
  </si>
  <si>
    <t>DIFF.</t>
  </si>
  <si>
    <t>ADJ</t>
  </si>
  <si>
    <t>GP</t>
  </si>
  <si>
    <t>G</t>
  </si>
  <si>
    <t>A</t>
  </si>
  <si>
    <t>PTS</t>
  </si>
  <si>
    <t>SOG</t>
  </si>
  <si>
    <t>SHG</t>
  </si>
  <si>
    <t>SHP</t>
  </si>
  <si>
    <t>BLK</t>
  </si>
  <si>
    <t>HIT</t>
  </si>
  <si>
    <t>+/-</t>
  </si>
  <si>
    <t>PIM</t>
  </si>
  <si>
    <t>GWG</t>
  </si>
  <si>
    <t>FOW</t>
  </si>
  <si>
    <t>FOL</t>
  </si>
  <si>
    <t>FO%</t>
  </si>
  <si>
    <t>W</t>
  </si>
  <si>
    <t>L</t>
  </si>
  <si>
    <t>OTL</t>
  </si>
  <si>
    <t>SO</t>
  </si>
  <si>
    <t>SV</t>
  </si>
  <si>
    <t>GA</t>
  </si>
  <si>
    <t>SV%</t>
  </si>
  <si>
    <t>GAA</t>
  </si>
  <si>
    <t>Nathan MacKinnon</t>
  </si>
  <si>
    <t>Connor McDavid</t>
  </si>
  <si>
    <t>Nikita Kucherov</t>
  </si>
  <si>
    <t>Zach Werenski</t>
  </si>
  <si>
    <t>Cale Makar</t>
  </si>
  <si>
    <t>Quinn Hughes</t>
  </si>
  <si>
    <t>Macklin Celebrini</t>
  </si>
  <si>
    <t>Evan Bouchard</t>
  </si>
  <si>
    <t>David Pastrnak</t>
  </si>
  <si>
    <t>Rasmus Dahlin</t>
  </si>
  <si>
    <t>Leon Draisaitl</t>
  </si>
  <si>
    <t>Jack Eichel</t>
  </si>
  <si>
    <t>Auston Matthews</t>
  </si>
  <si>
    <t>Matthew Schaefer</t>
  </si>
  <si>
    <t>Jack Hughes</t>
  </si>
  <si>
    <t>Matt Boldy</t>
  </si>
  <si>
    <t>Jason Robertson</t>
  </si>
  <si>
    <t>Lane Hutson</t>
  </si>
  <si>
    <t>Moritz Seider</t>
  </si>
  <si>
    <t>N</t>
  </si>
  <si>
    <t>Kirill Kaprizov</t>
  </si>
  <si>
    <t>Nick Suzuki</t>
  </si>
  <si>
    <t>Adam Fox</t>
  </si>
  <si>
    <t>Connor Hellebuyck</t>
  </si>
  <si>
    <t>Jake Sanderson</t>
  </si>
  <si>
    <t>Andrei Vasilevskiy</t>
  </si>
  <si>
    <t>Martin Necas</t>
  </si>
  <si>
    <t>Kyle Connor</t>
  </si>
  <si>
    <t>Wyatt Johnston</t>
  </si>
  <si>
    <t>Roman Josi</t>
  </si>
  <si>
    <t>Darren Raddysh</t>
  </si>
  <si>
    <t>William Nylander</t>
  </si>
  <si>
    <t>Jakob Chychrun</t>
  </si>
  <si>
    <t>Jackson LaCombe</t>
  </si>
  <si>
    <t>Cutter Gauthier</t>
  </si>
  <si>
    <t>Josh Morrissey</t>
  </si>
  <si>
    <t>Mikko Rantanen</t>
  </si>
  <si>
    <t>Leo Carlsson</t>
  </si>
  <si>
    <t>Logan Thompson</t>
  </si>
  <si>
    <t>Brandt Clarke</t>
  </si>
  <si>
    <t>Dylan Guenther</t>
  </si>
  <si>
    <t>Clayton Keller</t>
  </si>
  <si>
    <t>Shea Theodore</t>
  </si>
  <si>
    <t>Tage Thompson</t>
  </si>
  <si>
    <t>Jet Greaves</t>
  </si>
  <si>
    <t>Aleksander Barkov</t>
  </si>
  <si>
    <t>Ilya Sorokin</t>
  </si>
  <si>
    <t>Sidney Crosby</t>
  </si>
  <si>
    <t>Alex DeBrincat</t>
  </si>
  <si>
    <t>Igor Shesterkin</t>
  </si>
  <si>
    <t>Miro Heiskanen</t>
  </si>
  <si>
    <t>Cole Caufield</t>
  </si>
  <si>
    <t>Noah Dobson</t>
  </si>
  <si>
    <t>Mark Scheifele</t>
  </si>
  <si>
    <t>Artemi Panarin</t>
  </si>
  <si>
    <t>John Carlson</t>
  </si>
  <si>
    <t>Matthew Tkachuk</t>
  </si>
  <si>
    <t>Charlie McAvoy</t>
  </si>
  <si>
    <t>Mikhail Sergachev</t>
  </si>
  <si>
    <t>Mitch Marner</t>
  </si>
  <si>
    <t>Erik Karlsson</t>
  </si>
  <si>
    <t>Filip Forsberg</t>
  </si>
  <si>
    <t>Juuse Saros</t>
  </si>
  <si>
    <t>Jake Guentzel</t>
  </si>
  <si>
    <t>Lucas Raymond</t>
  </si>
  <si>
    <t>Jake Oettinger</t>
  </si>
  <si>
    <t>Brandon Hagel</t>
  </si>
  <si>
    <t>Nico Hischier</t>
  </si>
  <si>
    <t>Sebastian Aho</t>
  </si>
  <si>
    <t>Mika Zibanejad</t>
  </si>
  <si>
    <t>Spencer Knight</t>
  </si>
  <si>
    <t>Thomas Harley</t>
  </si>
  <si>
    <t>Sam Reinhart</t>
  </si>
  <si>
    <t>Bowen Byram</t>
  </si>
  <si>
    <t>Dylan Larkin</t>
  </si>
  <si>
    <t>Bo Horvat</t>
  </si>
  <si>
    <t>Dustin Wolf</t>
  </si>
  <si>
    <t>Brock Faber</t>
  </si>
  <si>
    <t>Kirill Marchenko</t>
  </si>
  <si>
    <t>Jeremy Swayman</t>
  </si>
  <si>
    <t>John Gibson</t>
  </si>
  <si>
    <t>Jesper Bratt</t>
  </si>
  <si>
    <t>Tim Stützle</t>
  </si>
  <si>
    <t>Logan Cooley</t>
  </si>
  <si>
    <t>Adrian Kempe</t>
  </si>
  <si>
    <t>Luke Hughes</t>
  </si>
  <si>
    <t>Connor Bedard</t>
  </si>
  <si>
    <t>Adam Fantilli</t>
  </si>
  <si>
    <t>Shayne Gostisbehere</t>
  </si>
  <si>
    <t>Vince Dunn</t>
  </si>
  <si>
    <t>Karel Vejmelka</t>
  </si>
  <si>
    <t>Filip Hronek</t>
  </si>
  <si>
    <t>Dougie Hamilton</t>
  </si>
  <si>
    <t>Robert Thomas</t>
  </si>
  <si>
    <t>Nikolaj Ehlers</t>
  </si>
  <si>
    <t>Will Smith</t>
  </si>
  <si>
    <t>Lukas Dostal</t>
  </si>
  <si>
    <t>Bryan Rust</t>
  </si>
  <si>
    <t>MacKenzie Weegar</t>
  </si>
  <si>
    <t>Brayden Point</t>
  </si>
  <si>
    <t>Brady Tkachuk</t>
  </si>
  <si>
    <t>Roope Hintz</t>
  </si>
  <si>
    <t>Juraj Slafkovsky</t>
  </si>
  <si>
    <t>Owen Power</t>
  </si>
  <si>
    <t>Seth Jones</t>
  </si>
  <si>
    <t>Thomas Chabot</t>
  </si>
  <si>
    <t>Elias Pettersson</t>
  </si>
  <si>
    <t>Jakub Dobes</t>
  </si>
  <si>
    <t>Scott Wedgewood</t>
  </si>
  <si>
    <t>Anton Frondell</t>
  </si>
  <si>
    <t>Beckett Sennecke</t>
  </si>
  <si>
    <t>Pavel Dorofeyev</t>
  </si>
  <si>
    <t>Philip Broberg</t>
  </si>
  <si>
    <t>Cole Hutson</t>
  </si>
  <si>
    <t>Dylan Holloway</t>
  </si>
  <si>
    <t>Brandon Montour</t>
  </si>
  <si>
    <t>Sergei Bobrovsky</t>
  </si>
  <si>
    <t>Nick Schmaltz</t>
  </si>
  <si>
    <t>Rasmus Andersson</t>
  </si>
  <si>
    <t>Joel Eriksson Ek</t>
  </si>
  <si>
    <t>Alexis Lafrenière</t>
  </si>
  <si>
    <t>Dmitry Orlov</t>
  </si>
  <si>
    <t>Dylan Strome</t>
  </si>
  <si>
    <t>Alex Tuch</t>
  </si>
  <si>
    <t>Mathew Barzal</t>
  </si>
  <si>
    <t>Ryan O'Reilly</t>
  </si>
  <si>
    <t>Noah Hanifin</t>
  </si>
  <si>
    <t>Simon Nemec</t>
  </si>
  <si>
    <t>Ivan Demidov</t>
  </si>
  <si>
    <t>J.T. Miller</t>
  </si>
  <si>
    <t>Darnell Nurse</t>
  </si>
  <si>
    <t>Mark Stone</t>
  </si>
  <si>
    <t>Andrei Svechnikov</t>
  </si>
  <si>
    <t>Quinton Byfield</t>
  </si>
  <si>
    <t>Jesper Wallstedt</t>
  </si>
  <si>
    <t>Linus Ullmark</t>
  </si>
  <si>
    <t>Travis Konecny</t>
  </si>
  <si>
    <t>Steven Stamkos</t>
  </si>
  <si>
    <t>Rickard Rakell</t>
  </si>
  <si>
    <t>Zeev Buium</t>
  </si>
  <si>
    <t>John Tavares</t>
  </si>
  <si>
    <t>Justin Faulk</t>
  </si>
  <si>
    <t>Zach Hyman</t>
  </si>
  <si>
    <t>Victor Hedman</t>
  </si>
  <si>
    <t>Pavel Mintyukov</t>
  </si>
  <si>
    <t>Jacob Markstrom</t>
  </si>
  <si>
    <t>Jimmy Snuggerud</t>
  </si>
  <si>
    <t>Jordan Kyrou</t>
  </si>
  <si>
    <t>Timo Meier</t>
  </si>
  <si>
    <t>Morgan Geekie</t>
  </si>
  <si>
    <t>Evgeni Malkin</t>
  </si>
  <si>
    <t>Matthew Knies</t>
  </si>
  <si>
    <t>Joel Hofer</t>
  </si>
  <si>
    <t>Drake Batherson</t>
  </si>
  <si>
    <t>Tomas Hertl</t>
  </si>
  <si>
    <t>Zach Benson</t>
  </si>
  <si>
    <t>Mattias Ekholm</t>
  </si>
  <si>
    <t>Brock Nelson</t>
  </si>
  <si>
    <t>Jamie Drysdale</t>
  </si>
  <si>
    <t>Michael Misa</t>
  </si>
  <si>
    <t>Travis Sanheim</t>
  </si>
  <si>
    <t>Simon Edvinsson</t>
  </si>
  <si>
    <t>Alex Nikishin</t>
  </si>
  <si>
    <t>Ivan Provorov</t>
  </si>
  <si>
    <t>Dylan Cozens</t>
  </si>
  <si>
    <t>Tom Wilson</t>
  </si>
  <si>
    <t>Porter Martone</t>
  </si>
  <si>
    <t>William Eklund</t>
  </si>
  <si>
    <t>K'Andre Miller</t>
  </si>
  <si>
    <t>Anton Forsberg</t>
  </si>
  <si>
    <t>JJ Peterka</t>
  </si>
  <si>
    <t>Gavin McKenna</t>
  </si>
  <si>
    <t>Nazem Kadri</t>
  </si>
  <si>
    <t>Jacob Trouba</t>
  </si>
  <si>
    <t>Gustav Forsling</t>
  </si>
  <si>
    <t>Gabriel Vilardi</t>
  </si>
  <si>
    <t>Morgan Rielly</t>
  </si>
  <si>
    <t>Cam York</t>
  </si>
  <si>
    <t>Brady Skjei</t>
  </si>
  <si>
    <t>Jake Allen</t>
  </si>
  <si>
    <t>Ryan Hartman</t>
  </si>
  <si>
    <t>Devon Toews</t>
  </si>
  <si>
    <t>Joey Daccord</t>
  </si>
  <si>
    <t>Mattias Samuelsson</t>
  </si>
  <si>
    <t>Marco Rossi</t>
  </si>
  <si>
    <t>Kris Letang</t>
  </si>
  <si>
    <t>Kevin Fiala</t>
  </si>
  <si>
    <t>Brock Boeser</t>
  </si>
  <si>
    <t>Mike Matheson</t>
  </si>
  <si>
    <t>Dan Vladar</t>
  </si>
  <si>
    <t>Seth Jarvis</t>
  </si>
  <si>
    <t>Matty Beniers</t>
  </si>
  <si>
    <t>Jared McCann</t>
  </si>
  <si>
    <t>Jake DeBrusk</t>
  </si>
  <si>
    <t>Colton Parayko</t>
  </si>
  <si>
    <t>Jake Walman</t>
  </si>
  <si>
    <t>Denton Mateychuk</t>
  </si>
  <si>
    <t>Artyom Levshunov</t>
  </si>
  <si>
    <t>Thatcher Demko</t>
  </si>
  <si>
    <t>Luke Evangelista</t>
  </si>
  <si>
    <t>Sean Walker</t>
  </si>
  <si>
    <t>Trevor Zegras</t>
  </si>
  <si>
    <t>Esa Lindell</t>
  </si>
  <si>
    <t>Jackson Blake</t>
  </si>
  <si>
    <t>Patrick Kane</t>
  </si>
  <si>
    <t>Mason McTavish</t>
  </si>
  <si>
    <t>Brad Marchand</t>
  </si>
  <si>
    <t>Matvei Michkov</t>
  </si>
  <si>
    <t>Luca Cagnoni</t>
  </si>
  <si>
    <t>Matt Coronato</t>
  </si>
  <si>
    <t>Jaccob Slavin</t>
  </si>
  <si>
    <t>Ukko-Pekka Luukkonen</t>
  </si>
  <si>
    <t>Ryan Nugent-Hopkins</t>
  </si>
  <si>
    <t>Carter Hart</t>
  </si>
  <si>
    <t>Sam Dickinson</t>
  </si>
  <si>
    <t>Vladislav Gavrikov</t>
  </si>
  <si>
    <t>Sam Bennett</t>
  </si>
  <si>
    <t>Sean Durzi</t>
  </si>
  <si>
    <t>Owen Tippett</t>
  </si>
  <si>
    <t>Sam Malinski</t>
  </si>
  <si>
    <t>Neal Pionk</t>
  </si>
  <si>
    <t>Matvei Gridin</t>
  </si>
  <si>
    <t>Jake McCabe</t>
  </si>
  <si>
    <t>Olen Zellweger</t>
  </si>
  <si>
    <t>Dylan Samberg</t>
  </si>
  <si>
    <t>Martin Fehervary</t>
  </si>
  <si>
    <t>Aaron Ekblad</t>
  </si>
  <si>
    <t>Logan Stankoven</t>
  </si>
  <si>
    <t>Tyler Bertuzzi</t>
  </si>
  <si>
    <t>Brent Burns</t>
  </si>
  <si>
    <t>Alex Ovechkin</t>
  </si>
  <si>
    <t>Matt Roy</t>
  </si>
  <si>
    <t>Jordan Spence</t>
  </si>
  <si>
    <t>Josh Manson</t>
  </si>
  <si>
    <t>Anton Lundell</t>
  </si>
  <si>
    <t>Damon Severson</t>
  </si>
  <si>
    <t>Cole Perfetti</t>
  </si>
  <si>
    <t>Valeri Nichushkin</t>
  </si>
  <si>
    <t>Anthony Cirelli</t>
  </si>
  <si>
    <t>Brayden McNabb</t>
  </si>
  <si>
    <t>Pavel Zacha</t>
  </si>
  <si>
    <t>Alex Vlasic</t>
  </si>
  <si>
    <t>Janis Moser</t>
  </si>
  <si>
    <t>Aliaksei Protas</t>
  </si>
  <si>
    <t>Josh Doan</t>
  </si>
  <si>
    <t>Shane Pinto</t>
  </si>
  <si>
    <t>Mikael Granlund</t>
  </si>
  <si>
    <t>Adam Larsson</t>
  </si>
  <si>
    <t>Hampus Lindholm</t>
  </si>
  <si>
    <t>Cam Fowler</t>
  </si>
  <si>
    <t>Tom Willander</t>
  </si>
  <si>
    <t>Viktor Arvidsson</t>
  </si>
  <si>
    <t>Oliver Ekman-Larsson</t>
  </si>
  <si>
    <t>Ryan Pulock</t>
  </si>
  <si>
    <t>Drew Doughty</t>
  </si>
  <si>
    <t>Ryan McDonagh</t>
  </si>
  <si>
    <t>Jonas Brodin</t>
  </si>
  <si>
    <t>Carter Verhaeghe</t>
  </si>
  <si>
    <t>Marcus Pettersson</t>
  </si>
  <si>
    <t>Yaroslav Askarov</t>
  </si>
  <si>
    <t>Vincent Trocheck</t>
  </si>
  <si>
    <t>Rasmus Sandin</t>
  </si>
  <si>
    <t>Ryan Leonard</t>
  </si>
  <si>
    <t>Alex Romanov</t>
  </si>
  <si>
    <t>Arturs Silovs</t>
  </si>
  <si>
    <t>Braden Schneider</t>
  </si>
  <si>
    <t>Frank Nazar</t>
  </si>
  <si>
    <t>Artem Zub</t>
  </si>
  <si>
    <t>Alex Carrier</t>
  </si>
  <si>
    <t>Tony DeAngelo</t>
  </si>
  <si>
    <t>Pyotr Kochetkov</t>
  </si>
  <si>
    <t>Sam Rinzel</t>
  </si>
  <si>
    <t>Jordan Eberle</t>
  </si>
  <si>
    <t>Mikey Anderson</t>
  </si>
  <si>
    <t>Charle-Edouard D'Astous</t>
  </si>
  <si>
    <t>Jack Quinn</t>
  </si>
  <si>
    <t>Michael Kesselring</t>
  </si>
  <si>
    <t>Will Cuylle</t>
  </si>
  <si>
    <t>Mason Lohrei</t>
  </si>
  <si>
    <t>Pavel Buchnevich</t>
  </si>
  <si>
    <t>Jacob Middleton</t>
  </si>
  <si>
    <t>Kevin Bahl</t>
  </si>
  <si>
    <t>Adam Pelech</t>
  </si>
  <si>
    <t>Kyle Palmieri</t>
  </si>
  <si>
    <t>Chandler Stephenson</t>
  </si>
  <si>
    <t>Jamie Oleksiak</t>
  </si>
  <si>
    <t>Alex Laferriere</t>
  </si>
  <si>
    <t>Nikita Zadorov</t>
  </si>
  <si>
    <t>MacKenzie Blackwood</t>
  </si>
  <si>
    <t>Mats Zuccarello</t>
  </si>
  <si>
    <t>Morgan Frost</t>
  </si>
  <si>
    <t>William Borgen</t>
  </si>
  <si>
    <t>Ivar Stenberg</t>
  </si>
  <si>
    <t>Alex Wennberg</t>
  </si>
  <si>
    <t>Ben Kindel</t>
  </si>
  <si>
    <t>Zayne Parekh</t>
  </si>
  <si>
    <t>John Marino</t>
  </si>
  <si>
    <t>Brett Pesce</t>
  </si>
  <si>
    <t>Filip Gustavsson</t>
  </si>
  <si>
    <t>Elias Lindholm</t>
  </si>
  <si>
    <t>James Hagens</t>
  </si>
  <si>
    <t>Kaiden Guhle</t>
  </si>
  <si>
    <t>Brandon Bussi</t>
  </si>
  <si>
    <t>Tyler Kleven</t>
  </si>
  <si>
    <t>Jonathan Huberdeau</t>
  </si>
  <si>
    <t>Darcy Kuemper</t>
  </si>
  <si>
    <t>Jared Spurgeon</t>
  </si>
  <si>
    <t>Nick Perbix</t>
  </si>
  <si>
    <t>Drew Helleson</t>
  </si>
  <si>
    <t>Bobby McMann</t>
  </si>
  <si>
    <t>Nick Seeler</t>
  </si>
  <si>
    <t>Zach Whitecloud</t>
  </si>
  <si>
    <t>Chris Kreider</t>
  </si>
  <si>
    <t>Dante Fabbro</t>
  </si>
  <si>
    <t>Ryan McLeod</t>
  </si>
  <si>
    <t>Connor McMichael</t>
  </si>
  <si>
    <t>Charlie Coyle</t>
  </si>
  <si>
    <t>Tyson Foerster</t>
  </si>
  <si>
    <t>Ben Chiarot</t>
  </si>
  <si>
    <t>Mario Ferraro</t>
  </si>
  <si>
    <t>Blake Coleman</t>
  </si>
  <si>
    <t>Tyler Myers</t>
  </si>
  <si>
    <t>Matt Duchene</t>
  </si>
  <si>
    <t>Alex Lyon</t>
  </si>
  <si>
    <t>Pierre-Luc Dubois</t>
  </si>
  <si>
    <t>Mason Marchment</t>
  </si>
  <si>
    <t>Calum Ritchie</t>
  </si>
  <si>
    <t>Connor Murphy</t>
  </si>
  <si>
    <t>Rasmus Ristolainen</t>
  </si>
  <si>
    <t>Ivan Barbashev</t>
  </si>
  <si>
    <t>Brett Kulak</t>
  </si>
  <si>
    <t>Louis Crevier</t>
  </si>
  <si>
    <t>Joseph Woll</t>
  </si>
  <si>
    <t>Kaedan Korczak</t>
  </si>
  <si>
    <t>Simon Holmstrom</t>
  </si>
  <si>
    <t>Matthew Robertson</t>
  </si>
  <si>
    <t>Artturi Lehkonen</t>
  </si>
  <si>
    <t>Jalen Chatfield</t>
  </si>
  <si>
    <t>Dylan Demelo</t>
  </si>
  <si>
    <t>Ian Moore</t>
  </si>
  <si>
    <t>Ty Emberson</t>
  </si>
  <si>
    <t>Samuel Girard</t>
  </si>
  <si>
    <t>Dmitri Voronkov</t>
  </si>
  <si>
    <t>Dawson Mercer</t>
  </si>
  <si>
    <t>Joel Farabee</t>
  </si>
  <si>
    <t>Nate Schmidt</t>
  </si>
  <si>
    <t>Kiefer Sherwood</t>
  </si>
  <si>
    <t>Christian Dvorak</t>
  </si>
  <si>
    <t>Jonas Siegenthaler</t>
  </si>
  <si>
    <t>Mikael Backlund</t>
  </si>
  <si>
    <t>Ryker Evans</t>
  </si>
  <si>
    <t>Niko Mikkola</t>
  </si>
  <si>
    <t>Wyatt Kaiser</t>
  </si>
  <si>
    <t>Theo Lindstein</t>
  </si>
  <si>
    <t>Alex Nedeljkovic</t>
  </si>
  <si>
    <t>Tristan Luneau</t>
  </si>
  <si>
    <t>Mavrik Bourque</t>
  </si>
  <si>
    <t>Cody Ceci</t>
  </si>
  <si>
    <t>Erik Cernak</t>
  </si>
  <si>
    <t>Anders Lee</t>
  </si>
  <si>
    <t>Joel Edmundson</t>
  </si>
  <si>
    <t>Ryan Lindgren</t>
  </si>
  <si>
    <t>Timothy Liljegren</t>
  </si>
  <si>
    <t>Shane Wright</t>
  </si>
  <si>
    <t>Matt Savoie</t>
  </si>
  <si>
    <t>Nicolas Hague</t>
  </si>
  <si>
    <t>Radko Gudas</t>
  </si>
  <si>
    <t>Nico Daws</t>
  </si>
  <si>
    <t>Jonathan Marchessault</t>
  </si>
  <si>
    <t>Conor Garland</t>
  </si>
  <si>
    <t>Tyler Toffoli</t>
  </si>
  <si>
    <t>Yegor Chinakhov</t>
  </si>
  <si>
    <t>Andrew Copp</t>
  </si>
  <si>
    <t>Igor Chernyshov</t>
  </si>
  <si>
    <t>Adam Wilsby</t>
  </si>
  <si>
    <t>Conor Timmins</t>
  </si>
  <si>
    <t>Philipp Grubauer</t>
  </si>
  <si>
    <t>Sean Monahan</t>
  </si>
  <si>
    <t>Sergei Murashov</t>
  </si>
  <si>
    <t>Elias Pettersson (D)</t>
  </si>
  <si>
    <t>Tristan Jarry</t>
  </si>
  <si>
    <t>Brian Dumoulin</t>
  </si>
  <si>
    <t>Gabe Perreault</t>
  </si>
  <si>
    <t>Ian Cole</t>
  </si>
  <si>
    <t>Frederik Andersen</t>
  </si>
  <si>
    <t>Taylor Hall</t>
  </si>
  <si>
    <t>Nick Jensen</t>
  </si>
  <si>
    <t>Maveric Lamoureux</t>
  </si>
  <si>
    <t>Adin Hill</t>
  </si>
  <si>
    <t>Johnathan Kovacevic</t>
  </si>
  <si>
    <t>Josh Norris</t>
  </si>
  <si>
    <t>Brandon Carlo</t>
  </si>
  <si>
    <t>Claude Giroux</t>
  </si>
  <si>
    <t>Anthony Mantha</t>
  </si>
  <si>
    <t>Chris Tanev</t>
  </si>
  <si>
    <t>Yegor Sharangovich</t>
  </si>
  <si>
    <t>Jonathan Aspirot</t>
  </si>
  <si>
    <t>Ryan Shea</t>
  </si>
  <si>
    <t>Lawson Crouse</t>
  </si>
  <si>
    <t>Nils Lundkvist</t>
  </si>
  <si>
    <t>Trevor van Riemsdyk</t>
  </si>
  <si>
    <t>Kaapo Kakko</t>
  </si>
  <si>
    <t>Jake Neighbours</t>
  </si>
  <si>
    <t>Mackie Samoskevich</t>
  </si>
  <si>
    <t>Anthony Stolarz</t>
  </si>
  <si>
    <t>Roman Kantserov</t>
  </si>
  <si>
    <t>Ryan Poehling</t>
  </si>
  <si>
    <t>Troy Terry</t>
  </si>
  <si>
    <t>Parker Wotherspoon</t>
  </si>
  <si>
    <t>Jordan Binnington</t>
  </si>
  <si>
    <t>Josh Mahura</t>
  </si>
  <si>
    <t>Ross Colton</t>
  </si>
  <si>
    <t>Noah Cates</t>
  </si>
  <si>
    <t>Marco Kasper</t>
  </si>
  <si>
    <t>Easton Cowan</t>
  </si>
  <si>
    <t>Thomas Novak</t>
  </si>
  <si>
    <t>Trevor Moore</t>
  </si>
  <si>
    <t>Jeremy Lauzon</t>
  </si>
  <si>
    <t>Olli Maatta</t>
  </si>
  <si>
    <t>Jiri Kulich</t>
  </si>
  <si>
    <t>Elias Salomonsson</t>
  </si>
  <si>
    <t>Arseny Gritsyuk</t>
  </si>
  <si>
    <t>Hunter Brzustewicz</t>
  </si>
  <si>
    <t>Dmitry Kulikov</t>
  </si>
  <si>
    <t>Henri Jokiharju</t>
  </si>
  <si>
    <t>Jack Roslovic</t>
  </si>
  <si>
    <t>Kevin Lankinen</t>
  </si>
  <si>
    <t>Ridly Greig</t>
  </si>
  <si>
    <t>Logan Mailloux</t>
  </si>
  <si>
    <t>Noah Ostlund</t>
  </si>
  <si>
    <t>Albert Johansson</t>
  </si>
  <si>
    <t>Emil Martinsen Lilleberg</t>
  </si>
  <si>
    <t>Jacob Fowler</t>
  </si>
  <si>
    <t>Oliver Kapanen</t>
  </si>
  <si>
    <t>Shakir Mukhamadullin</t>
  </si>
  <si>
    <t>Emil Andrae</t>
  </si>
  <si>
    <t>Justin Barron</t>
  </si>
  <si>
    <t>Jordan Staal</t>
  </si>
  <si>
    <t>Frank Vatrano</t>
  </si>
  <si>
    <t>Simon Benoit</t>
  </si>
  <si>
    <t>Brayden Schenn</t>
  </si>
  <si>
    <t>Emil Heineman</t>
  </si>
  <si>
    <t>Oliver Bjorkstrand</t>
  </si>
  <si>
    <t>Alex Iafallo</t>
  </si>
  <si>
    <t>Casey Mittelstadt</t>
  </si>
  <si>
    <t>Zachary Bolduc</t>
  </si>
  <si>
    <t>Jacob Bernard-Docker</t>
  </si>
  <si>
    <t>Cole Sillinger</t>
  </si>
  <si>
    <t>William Karlsson</t>
  </si>
  <si>
    <t>Bobby Brink</t>
  </si>
  <si>
    <t>Jason Zucker</t>
  </si>
  <si>
    <t>Uvis Balinskis</t>
  </si>
  <si>
    <t>Vasily Podkolzin</t>
  </si>
  <si>
    <t>Emmitt Finnie</t>
  </si>
  <si>
    <t>Barrett Hayton</t>
  </si>
  <si>
    <t>Lian Bichsel</t>
  </si>
  <si>
    <t>Jamie Benn</t>
  </si>
  <si>
    <t>Tyler Tucker</t>
  </si>
  <si>
    <t>Nicholas Robertson</t>
  </si>
  <si>
    <t>Teuvo Teravainen</t>
  </si>
  <si>
    <t>Declan Chisholm</t>
  </si>
  <si>
    <t>Matthew Wood</t>
  </si>
  <si>
    <t>Konsta Helenius</t>
  </si>
  <si>
    <t>Matias Maccelli</t>
  </si>
  <si>
    <t>Scott Mayfield</t>
  </si>
  <si>
    <t>Erik Haula</t>
  </si>
  <si>
    <t>Vincent Desharnais</t>
  </si>
  <si>
    <t>Tyler Seguin</t>
  </si>
  <si>
    <t>Fraser Minten</t>
  </si>
  <si>
    <t>Jean-Gabriel Pageau</t>
  </si>
  <si>
    <t>Gabriel Landeskog</t>
  </si>
  <si>
    <t>Connor Brown</t>
  </si>
  <si>
    <t>Drew O'Connor</t>
  </si>
  <si>
    <t>Ryan Graves</t>
  </si>
  <si>
    <t>Collin Graf</t>
  </si>
  <si>
    <t>Alex Killorn</t>
  </si>
  <si>
    <t>Jack Drury</t>
  </si>
  <si>
    <t>Fabian Zetterlund</t>
  </si>
  <si>
    <t>Sebastian Cossa</t>
  </si>
  <si>
    <t>Jayden Struble</t>
  </si>
  <si>
    <t>Connor Zary</t>
  </si>
  <si>
    <t>Dmitri Simashev</t>
  </si>
  <si>
    <t>Ilya Protas</t>
  </si>
  <si>
    <t>Kent Johnson</t>
  </si>
  <si>
    <t>Casey DeSmith</t>
  </si>
  <si>
    <t>Spencer Stastney</t>
  </si>
  <si>
    <t>Boone Jenner</t>
  </si>
  <si>
    <t>Sean Couturier</t>
  </si>
  <si>
    <t>Akira Schmid</t>
  </si>
  <si>
    <t>Michael DiPietro</t>
  </si>
  <si>
    <t>Evan Rodrigues</t>
  </si>
  <si>
    <t>Ryan Greene</t>
  </si>
  <si>
    <t>Linus Karlsson</t>
  </si>
  <si>
    <t>Zach Bogosian</t>
  </si>
  <si>
    <t>Nikolas Matinpalo</t>
  </si>
  <si>
    <t>Michael Amadio</t>
  </si>
  <si>
    <t>Ryan Donato</t>
  </si>
  <si>
    <t>Vincent Iorio</t>
  </si>
  <si>
    <t>Dalibor Dvorsky</t>
  </si>
  <si>
    <t>Filip Chytil</t>
  </si>
  <si>
    <t>Brett Howden</t>
  </si>
  <si>
    <t>Warren Foegele</t>
  </si>
  <si>
    <t>Jake Evans</t>
  </si>
  <si>
    <t>Adam Boqvist</t>
  </si>
  <si>
    <t>Joel Hanley</t>
  </si>
  <si>
    <t>Noah Laba</t>
  </si>
  <si>
    <t>Dennis Hildeby</t>
  </si>
  <si>
    <t>Yanni Gourde</t>
  </si>
  <si>
    <t>Jordan Martinook</t>
  </si>
  <si>
    <t>Devin Cooley</t>
  </si>
  <si>
    <t>Eetu Luostarinen</t>
  </si>
  <si>
    <t>Pius Suter</t>
  </si>
  <si>
    <t>Adam Lowry</t>
  </si>
  <si>
    <t>J.T. Compher</t>
  </si>
  <si>
    <t>Alex Newhook</t>
  </si>
  <si>
    <t>Jaden Schwartz</t>
  </si>
  <si>
    <t>Danila Yurov</t>
  </si>
  <si>
    <t>Mathieu Olivier</t>
  </si>
  <si>
    <t>Nick Paul</t>
  </si>
  <si>
    <t>Victor Olofsson</t>
  </si>
  <si>
    <t>Parker Kelly</t>
  </si>
  <si>
    <t>Berkly Catton</t>
  </si>
  <si>
    <t>Joonas Korpisalo</t>
  </si>
  <si>
    <t>Ilya Mikheyev</t>
  </si>
  <si>
    <t>Charlie Lindgren</t>
  </si>
  <si>
    <t>Samuel Ersson</t>
  </si>
  <si>
    <t>Ville Husso</t>
  </si>
  <si>
    <t>Teddy Blueger</t>
  </si>
  <si>
    <t>Justin Brazeau</t>
  </si>
  <si>
    <t>Daniil Tarasov (G)</t>
  </si>
  <si>
    <t>Nate Danielson</t>
  </si>
  <si>
    <t>Scott Laughton</t>
  </si>
  <si>
    <t>Ryan Strome</t>
  </si>
  <si>
    <t>Elvis Merzlikins</t>
  </si>
  <si>
    <t>Vitek Vanecek</t>
  </si>
  <si>
    <t>Phillip Danault</t>
  </si>
  <si>
    <t>Arvid Soderblom</t>
  </si>
  <si>
    <t>Justin Hryckowian</t>
  </si>
  <si>
    <t>Nicolas Roy</t>
  </si>
  <si>
    <t>Gage Goncalves</t>
  </si>
  <si>
    <t>Cody Glass</t>
  </si>
  <si>
    <t>Jake Christiansen</t>
  </si>
  <si>
    <t>Michael Eyssimont</t>
  </si>
  <si>
    <t>Morgan Barron</t>
  </si>
  <si>
    <t>Max Domi</t>
  </si>
  <si>
    <t>Alex Texier</t>
  </si>
  <si>
    <t>Kirby Dach</t>
  </si>
  <si>
    <t>Michael McCarron</t>
  </si>
  <si>
    <t>Justin Sourdif</t>
  </si>
  <si>
    <t>Braeden Bowman</t>
  </si>
  <si>
    <t>Marat Khusnutdinov</t>
  </si>
  <si>
    <t>Connor Dewar</t>
  </si>
  <si>
    <t>Frederick Gaudreau</t>
  </si>
  <si>
    <t>Jonathan Drouin</t>
  </si>
  <si>
    <t>Nino Niederreiter</t>
  </si>
  <si>
    <t>Jack McBain</t>
  </si>
  <si>
    <t>Peyton Krebs</t>
  </si>
  <si>
    <t>Sam Steel</t>
  </si>
  <si>
    <t>Ethen Frank</t>
  </si>
  <si>
    <t>Liam Ohgren</t>
  </si>
  <si>
    <t>Josh Anderson</t>
  </si>
  <si>
    <t>Noel Acciari</t>
  </si>
  <si>
    <t>Jason Dickinson</t>
  </si>
  <si>
    <t>Michael Carcone</t>
  </si>
  <si>
    <t>Mark Kastelic</t>
  </si>
  <si>
    <t>Alex Bump</t>
  </si>
  <si>
    <t>Max Shabanov</t>
  </si>
  <si>
    <t>Alex Kerfoot</t>
  </si>
  <si>
    <t>Blake Lizotte</t>
  </si>
  <si>
    <t>Vladislav Namestnikov</t>
  </si>
  <si>
    <t>Pontus Holmberg</t>
  </si>
  <si>
    <t>Michael Rasmussen</t>
  </si>
  <si>
    <t>Nick Lardis</t>
  </si>
  <si>
    <t>Dominic James</t>
  </si>
  <si>
    <t>Anthony Beauvillier</t>
  </si>
  <si>
    <t>Justus Annunen</t>
  </si>
  <si>
    <t>Denver Barkey</t>
  </si>
  <si>
    <t>Oliver Moore</t>
  </si>
  <si>
    <t>Brad Lambert</t>
  </si>
  <si>
    <t>Stuart Skinner</t>
  </si>
  <si>
    <t>Nils Hoglander</t>
  </si>
  <si>
    <t>Corey Perry</t>
  </si>
  <si>
    <t>Arttu Hyry</t>
  </si>
  <si>
    <t>Yakov Trenin</t>
  </si>
  <si>
    <t>Sean Kuraly</t>
  </si>
  <si>
    <t>Joel Armia</t>
  </si>
  <si>
    <t>Alexei Toropchenko</t>
  </si>
  <si>
    <t>Adam Klapka</t>
  </si>
  <si>
    <t>Tye Kartye</t>
  </si>
  <si>
    <t>Isak Rosen</t>
  </si>
  <si>
    <t>Colton Sissons</t>
  </si>
  <si>
    <t>Keegan Kolesar</t>
  </si>
  <si>
    <t>Andre Burakovsky</t>
  </si>
  <si>
    <t>Adam Gaudette</t>
  </si>
  <si>
    <t>Nic Dowd</t>
  </si>
  <si>
    <t>Nick Bjugstad</t>
  </si>
  <si>
    <t>Tanner Jeannot</t>
  </si>
  <si>
    <t>Steven Lorentz</t>
  </si>
  <si>
    <t>Mark Jankowski</t>
  </si>
  <si>
    <t>Sam Carrick</t>
  </si>
  <si>
    <t>Andrew Mangiapane</t>
  </si>
  <si>
    <t>Kasperi Kapanen</t>
  </si>
  <si>
    <t>Marcus Foligno</t>
  </si>
  <si>
    <t>Taylor Raddysh</t>
  </si>
  <si>
    <t>Daniil But</t>
  </si>
  <si>
    <t>Eric Robinson</t>
  </si>
  <si>
    <t>Radek Faksa</t>
  </si>
  <si>
    <t>Mason Appleton</t>
  </si>
  <si>
    <t>Zemgus Girgensons</t>
  </si>
  <si>
    <t>Ondrej Palat</t>
  </si>
  <si>
    <t>Martin Pospisil</t>
  </si>
  <si>
    <t>Fedor Svechkov</t>
  </si>
  <si>
    <t>Max Sasson</t>
  </si>
  <si>
    <t>Hendrix Lapierre</t>
  </si>
  <si>
    <t>Zachary L'Heureux</t>
  </si>
  <si>
    <t>Anthony Duclair</t>
  </si>
  <si>
    <t>Otto Stenberg</t>
  </si>
  <si>
    <t>Cole Koepke</t>
  </si>
  <si>
    <t>Alex Turcotte</t>
  </si>
  <si>
    <t>Stefan Noesen</t>
  </si>
  <si>
    <t>Jonathan Lekkerimaki</t>
  </si>
  <si>
    <t>Aatu Raty</t>
  </si>
  <si>
    <t>Miles Wood</t>
  </si>
  <si>
    <t>Dakota Joshua</t>
  </si>
  <si>
    <t>Colton Dach</t>
  </si>
  <si>
    <t>Nick Cousins</t>
  </si>
  <si>
    <t>Trent Frederic</t>
  </si>
  <si>
    <t>Jonatan Berggren</t>
  </si>
  <si>
    <t>Conor Geekie</t>
  </si>
  <si>
    <t>Casey Cizikas</t>
  </si>
  <si>
    <t>Lenni Hameenaho</t>
  </si>
  <si>
    <t>Isac Lundestrom</t>
  </si>
  <si>
    <t>Nick Foligno</t>
  </si>
  <si>
    <t>Elmer Soderblom</t>
  </si>
  <si>
    <t>Lars Eller</t>
  </si>
  <si>
    <t>Alex Holtz</t>
  </si>
  <si>
    <t>Brandon Duhaime</t>
  </si>
  <si>
    <t>Maxim Tsyplakov</t>
  </si>
  <si>
    <t>Josh Samanski</t>
  </si>
  <si>
    <t>Filip Hallander</t>
  </si>
  <si>
    <t>Alex Steeves</t>
  </si>
  <si>
    <t>William Carrier</t>
  </si>
  <si>
    <t>Isaac Howard</t>
  </si>
  <si>
    <t>Colin Blackwell</t>
  </si>
  <si>
    <t>Paul Cotter</t>
  </si>
  <si>
    <t>Nico Sturm</t>
  </si>
  <si>
    <t>Logan O'Connor</t>
  </si>
  <si>
    <t>Joe Veleno</t>
  </si>
  <si>
    <t>Adam Edstrom</t>
  </si>
  <si>
    <t>Samuel Helenius</t>
  </si>
  <si>
    <t>Oskar Back</t>
  </si>
  <si>
    <t>Nikita Grebenkin</t>
  </si>
  <si>
    <t>Tim Washe</t>
  </si>
  <si>
    <t>Ben Meyers</t>
  </si>
  <si>
    <t>Ryan Winterton</t>
  </si>
  <si>
    <t>Reid Schaefer</t>
  </si>
  <si>
    <t>Brandon Tanev</t>
  </si>
  <si>
    <t>Jeffrey Viel</t>
  </si>
  <si>
    <t>Garnet Hathaway</t>
  </si>
  <si>
    <t>Jesper Boqvist</t>
  </si>
  <si>
    <t>Ozzy Wiesblatt</t>
  </si>
  <si>
    <t>Landon Slaggert</t>
  </si>
  <si>
    <t>Zack Ostapchuk</t>
  </si>
  <si>
    <t>Jaroslav Chmelar</t>
  </si>
  <si>
    <t>Jonas Rondbjerg</t>
  </si>
  <si>
    <t>Jacob Quillan</t>
  </si>
  <si>
    <t>Jeff Malott</t>
  </si>
  <si>
    <t>Justin Kirkland</t>
  </si>
  <si>
    <t>Liam O'Brien</t>
  </si>
  <si>
    <t>Matt Rempe</t>
  </si>
  <si>
    <t>Jonah Gadjovich</t>
  </si>
  <si>
    <t>TEAM 1</t>
  </si>
  <si>
    <t>TEAMS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</si>
  <si>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</si>
  <si>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</si>
  <si>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</si>
  <si>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</si>
  <si>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</si>
  <si>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</si>
  <si>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</si>
  <si>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</si>
  <si>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</si>
  <si>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TEAM 11</t>
  </si>
  <si>
    <t>TEAM 12</t>
  </si>
  <si>
    <t>TEAM 13</t>
  </si>
  <si>
    <t>TEAM 14</t>
  </si>
  <si>
    <t>TEAM 15</t>
  </si>
  <si>
    <t>TEAM 16</t>
  </si>
  <si>
    <t>TOTAL FP</t>
  </si>
  <si>
    <t>TOTAL VORP</t>
  </si>
  <si>
    <t>Name</t>
  </si>
  <si>
    <t>F</t>
  </si>
  <si>
    <t>Fantasy Points</t>
  </si>
  <si>
    <t>Standard Deviation</t>
  </si>
  <si>
    <t>C</t>
  </si>
  <si>
    <t>LW</t>
  </si>
  <si>
    <t>RW</t>
  </si>
  <si>
    <t>D</t>
  </si>
  <si>
    <t>YAHOO ADP</t>
  </si>
  <si>
    <t>FANTRAX ADP</t>
  </si>
  <si>
    <t>AVG     ADP</t>
  </si>
  <si>
    <t>BOOST</t>
  </si>
  <si>
    <t>—</t>
  </si>
  <si>
    <t>PLAYER STATS</t>
  </si>
  <si>
    <t>GOALIE STATS</t>
  </si>
  <si>
    <t>Player</t>
  </si>
  <si>
    <t>EDM</t>
  </si>
  <si>
    <t>T.B</t>
  </si>
  <si>
    <t>COL</t>
  </si>
  <si>
    <t>C,LW</t>
  </si>
  <si>
    <t>S.J</t>
  </si>
  <si>
    <t>BOS</t>
  </si>
  <si>
    <t>N.J</t>
  </si>
  <si>
    <t>VGK</t>
  </si>
  <si>
    <t>MIN</t>
  </si>
  <si>
    <t>TOR</t>
  </si>
  <si>
    <t>C,RW</t>
  </si>
  <si>
    <t>DAL</t>
  </si>
  <si>
    <t>LW,RW</t>
  </si>
  <si>
    <t>L.A</t>
  </si>
  <si>
    <t>MTL</t>
  </si>
  <si>
    <t>WPG</t>
  </si>
  <si>
    <t>C,LW,RW</t>
  </si>
  <si>
    <t>FLA</t>
  </si>
  <si>
    <t>CHI</t>
  </si>
  <si>
    <t>PIT</t>
  </si>
  <si>
    <t>UTA</t>
  </si>
  <si>
    <t>CBJ</t>
  </si>
  <si>
    <t>STL</t>
  </si>
  <si>
    <t>ANA</t>
  </si>
  <si>
    <t>CAR</t>
  </si>
  <si>
    <t>DET</t>
  </si>
  <si>
    <t>BUF</t>
  </si>
  <si>
    <t>OTT</t>
  </si>
  <si>
    <t>NYR</t>
  </si>
  <si>
    <t>NSH</t>
  </si>
  <si>
    <t>NYI</t>
  </si>
  <si>
    <t>PHI</t>
  </si>
  <si>
    <t>VAN</t>
  </si>
  <si>
    <t>WSH</t>
  </si>
  <si>
    <t>SEA</t>
  </si>
  <si>
    <t>CGY</t>
  </si>
  <si>
    <t>292.9</t>
  </si>
  <si>
    <t>293.0</t>
  </si>
  <si>
    <t>293.1</t>
  </si>
  <si>
    <t>293.2</t>
  </si>
  <si>
    <t>293.3</t>
  </si>
  <si>
    <t>293.4</t>
  </si>
  <si>
    <t>293.5</t>
  </si>
  <si>
    <t>293.6</t>
  </si>
  <si>
    <t>293.7</t>
  </si>
  <si>
    <t>293.8</t>
  </si>
  <si>
    <t>293.9</t>
  </si>
  <si>
    <t>294.0</t>
  </si>
  <si>
    <t>294.1</t>
  </si>
  <si>
    <t>294.2</t>
  </si>
  <si>
    <t>294.3</t>
  </si>
  <si>
    <t>294.4</t>
  </si>
  <si>
    <t>294.5</t>
  </si>
  <si>
    <t>294.7</t>
  </si>
  <si>
    <t>294.8</t>
  </si>
  <si>
    <t>132.8</t>
  </si>
  <si>
    <t>140.6</t>
  </si>
  <si>
    <t>140.4</t>
  </si>
  <si>
    <t>134.2</t>
  </si>
  <si>
    <t>130.7</t>
  </si>
  <si>
    <t>133.1</t>
  </si>
  <si>
    <t>138.2</t>
  </si>
  <si>
    <t>137.2</t>
  </si>
  <si>
    <t>129.3</t>
  </si>
  <si>
    <t>135.8</t>
  </si>
  <si>
    <t>132.9</t>
  </si>
  <si>
    <t>130.6</t>
  </si>
  <si>
    <t>133.9</t>
  </si>
  <si>
    <t>133.6</t>
  </si>
  <si>
    <t>142.1</t>
  </si>
  <si>
    <t>Blend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</si>
</sst>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"/>
    <numFmt numFmtId="165" formatCode="#,##0.0"/>
    <numFmt numFmtId="166" formatCode="#,##0%"/>
    <numFmt numFmtId="167" formatCode="#,##0.000"/>
    <numFmt numFmtId="168" formatCode="0.0"/>
    <numFmt numFmtId="169" formatCode="&quot;$&quot;#,##0"/>
  </numFmts>
  <fonts count="33" x14ac:knownFonts="1">
    <font>
      <sz val="10"/>
      <color indexed="8"/>
      <name val="Helvetica"/>
    </font>
    <font>
      <sz val="10"/>
      <color indexed="8"/>
      <name val="Verdana"/>
      <family val="2"/>
    </font>
    <font>
      <b/>
      <sz val="10"/>
      <color indexed="8"/>
      <name val="Helvetica Neue"/>
      <family val="2"/>
    </font>
    <font>
      <b/>
      <sz val="8"/>
      <color indexed="8"/>
      <name val="Helvetica Neue"/>
      <family val="2"/>
    </font>
    <font>
      <sz val="10"/>
      <color indexed="8"/>
      <name val="Helvetica Neue Light"/>
    </font>
    <font>
      <sz val="10"/>
      <color indexed="11"/>
      <name val="Helvetica Neue Light"/>
    </font>
    <font>
      <sz val="10"/>
      <color indexed="13"/>
      <name val="Helvetica Neue Light"/>
    </font>
    <font>
      <i/>
      <sz val="10"/>
      <color indexed="8"/>
      <name val="Helvetica Neue"/>
      <family val="2"/>
    </font>
    <font>
      <b/>
      <sz val="10"/>
      <color indexed="17"/>
      <name val="Helvetica Neue"/>
      <family val="2"/>
    </font>
    <font>
      <b/>
      <i/>
      <sz val="8"/>
      <color indexed="8"/>
      <name val="Helvetica Neue"/>
      <family val="2"/>
    </font>
    <font>
      <i/>
      <sz val="8"/>
      <color indexed="8"/>
      <name val="Helvetica Neue"/>
      <family val="2"/>
    </font>
    <font>
      <b/>
      <sz val="10"/>
      <color indexed="18"/>
      <name val="Helvetica Neue"/>
      <family val="2"/>
    </font>
    <font>
      <b/>
      <sz val="10"/>
      <color indexed="11"/>
      <name val="Helvetica Neue"/>
      <family val="2"/>
    </font>
    <font>
      <b/>
      <sz val="10"/>
      <color indexed="13"/>
      <name val="Helvetica Neue"/>
      <family val="2"/>
    </font>
    <font>
      <b/>
      <sz val="12"/>
      <color indexed="8"/>
      <name val="Helvetica Neue"/>
      <family val="2"/>
    </font>
    <font>
      <sz val="10"/>
      <color indexed="19"/>
      <name val="Helvetica Neue Medium"/>
    </font>
    <font>
      <sz val="10"/>
      <color indexed="8"/>
      <name val="Helvetica Neue Medium"/>
    </font>
    <font>
      <b/>
      <sz val="10"/>
      <color indexed="24"/>
      <name val="Helvetica Neue"/>
      <family val="2"/>
    </font>
    <font>
      <b/>
      <sz val="11"/>
      <color indexed="8"/>
      <name val="Helvetica Neue"/>
      <family val="2"/>
    </font>
    <font>
      <sz val="11"/>
      <color indexed="8"/>
      <name val="Helvetica Neue Light"/>
    </font>
    <font>
      <b/>
      <sz val="10"/>
      <color indexed="29"/>
      <name val="Helvetica Neue"/>
      <family val="2"/>
    </font>
    <font>
      <sz val="10"/>
      <color indexed="24"/>
      <name val="Helvetica Neue Light"/>
    </font>
    <font>
      <b/>
      <sz val="10"/>
      <color indexed="31"/>
      <name val="Helvetica Neue"/>
      <family val="2"/>
    </font>
    <font>
      <i/>
      <sz val="10"/>
      <color indexed="26"/>
      <name val="Helvetica Neue"/>
      <family val="2"/>
    </font>
    <font>
      <i/>
      <sz val="10"/>
      <color indexed="24"/>
      <name val="Helvetica Neue"/>
      <family val="2"/>
    </font>
    <font>
      <sz val="10"/>
      <color indexed="26"/>
      <name val="Helvetica Neue Light"/>
    </font>
    <font>
      <b/>
      <sz val="10"/>
      <color indexed="26"/>
      <name val="Helvetica Neue"/>
      <family val="2"/>
    </font>
    <font>
      <sz val="10"/>
      <color indexed="21"/>
      <name val="Helvetica Neue Light"/>
    </font>
    <font>
      <sz val="16"/>
      <color indexed="8"/>
      <name val="Helvetica Neue Light"/>
    </font>
    <font>
      <b/>
      <sz val="10"/>
      <color indexed="21"/>
      <name val="Helvetica Neue"/>
      <family val="2"/>
    </font>
    <font>
      <sz val="8"/>
      <color indexed="8"/>
      <name val="Helvetica Neue Light"/>
    </font>
    <font>
      <sz val="8"/>
      <color indexed="21"/>
      <name val="Helvetica Neue Light"/>
    </font>
    <font>
      <sz val="10"/>
      <color indexed="21"/>
      <name val="Helvetica Neue Medium"/>
    </font>
  </fonts>
  <fills count="2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  <fill>
      <patternFill patternType="solid">
        <fgColor indexed="34"/>
        <bgColor auto="1"/>
      </patternFill>
    </fill>
    <fill>
      <patternFill patternType="solid">
        <fgColor indexed="35"/>
        <bgColor auto="1"/>
      </patternFill>
    </fill>
    <fill>
      <patternFill patternType="solid">
        <fgColor indexed="36"/>
        <bgColor auto="1"/>
      </patternFill>
    </fill>
    <fill>
      <patternFill patternType="solid">
        <fgColor indexed="37"/>
        <bgColor auto="1"/>
      </patternFill>
    </fill>
    <fill>
      <patternFill patternType="solid">
        <fgColor indexed="38"/>
        <bgColor auto="1"/>
      </patternFill>
    </fill>
    <fill>
      <patternFill patternType="solid">
        <fgColor indexed="39"/>
        <bgColor auto="1"/>
      </patternFill>
    </fill>
    <fill>
      <patternFill patternType="solid">
        <fgColor indexed="40"/>
        <bgColor auto="1"/>
      </patternFill>
    </fill>
    <fill>
      <patternFill patternType="solid">
        <fgColor indexed="41"/>
        <bgColor auto="1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/>
      <top style="thin">
        <color indexed="9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9">
    <xf numFmtId="0" fontId="0" fillId="0" borderId="0" xfId="0">
      <alignment vertical="top" wrapText="1"/>
    </xf>
    <xf numFmtId="0" fontId="1" fillId="0" borderId="0" xfId="0" applyNumberFormat="1" applyFont="1" applyAlignment="1"/>
    <xf numFmtId="49" fontId="2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 wrapText="1"/>
    </xf>
    <xf numFmtId="49" fontId="2" fillId="2" borderId="2" xfId="0" applyNumberFormat="1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left" wrapText="1"/>
    </xf>
    <xf numFmtId="49" fontId="4" fillId="0" borderId="3" xfId="0" applyNumberFormat="1" applyFont="1" applyBorder="1" applyAlignment="1">
      <alignment horizontal="left" vertic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5" fillId="0" borderId="3" xfId="0" applyNumberFormat="1" applyFont="1" applyBorder="1" applyAlignment="1">
      <alignment horizontal="left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left" vertical="center"/>
    </xf>
    <xf numFmtId="49" fontId="2" fillId="7" borderId="2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49" fontId="12" fillId="0" borderId="3" xfId="0" applyNumberFormat="1" applyFont="1" applyBorder="1" applyAlignment="1">
      <alignment horizontal="left" vertical="center"/>
    </xf>
    <xf numFmtId="49" fontId="13" fillId="0" borderId="3" xfId="0" applyNumberFormat="1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9" fontId="4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49" fontId="14" fillId="2" borderId="2" xfId="0" applyNumberFormat="1" applyFont="1" applyFill="1" applyBorder="1" applyAlignment="1">
      <alignment horizontal="left" vertical="center"/>
    </xf>
    <xf numFmtId="49" fontId="14" fillId="2" borderId="1" xfId="0" applyNumberFormat="1" applyFont="1" applyFill="1" applyBorder="1" applyAlignment="1">
      <alignment horizontal="left" vertical="center"/>
    </xf>
    <xf numFmtId="49" fontId="14" fillId="2" borderId="1" xfId="0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right" vertical="center"/>
    </xf>
    <xf numFmtId="49" fontId="15" fillId="0" borderId="3" xfId="0" applyNumberFormat="1" applyFont="1" applyBorder="1" applyAlignment="1">
      <alignment horizontal="center" vertical="center"/>
    </xf>
    <xf numFmtId="0" fontId="16" fillId="8" borderId="3" xfId="0" applyFont="1" applyFill="1" applyBorder="1" applyAlignment="1">
      <alignment horizontal="right" vertical="center"/>
    </xf>
    <xf numFmtId="3" fontId="16" fillId="8" borderId="3" xfId="0" applyNumberFormat="1" applyFont="1" applyFill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right" vertical="center"/>
    </xf>
    <xf numFmtId="165" fontId="19" fillId="0" borderId="3" xfId="0" applyNumberFormat="1" applyFont="1" applyBorder="1" applyAlignment="1">
      <alignment horizontal="center" vertical="center"/>
    </xf>
    <xf numFmtId="165" fontId="19" fillId="0" borderId="3" xfId="0" applyNumberFormat="1" applyFont="1" applyBorder="1" applyAlignment="1">
      <alignment horizontal="right" vertical="center"/>
    </xf>
    <xf numFmtId="165" fontId="4" fillId="0" borderId="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right" vertical="center"/>
    </xf>
    <xf numFmtId="3" fontId="20" fillId="0" borderId="3" xfId="0" applyNumberFormat="1" applyFont="1" applyBorder="1" applyAlignment="1">
      <alignment horizontal="right" vertical="center"/>
    </xf>
    <xf numFmtId="166" fontId="4" fillId="0" borderId="3" xfId="0" applyNumberFormat="1" applyFont="1" applyBorder="1" applyAlignment="1">
      <alignment horizontal="right" vertical="center"/>
    </xf>
    <xf numFmtId="167" fontId="4" fillId="0" borderId="3" xfId="0" applyNumberFormat="1" applyFont="1" applyBorder="1" applyAlignment="1">
      <alignment horizontal="right" vertical="center"/>
    </xf>
    <xf numFmtId="4" fontId="4" fillId="0" borderId="3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left" vertical="center"/>
    </xf>
    <xf numFmtId="0" fontId="21" fillId="0" borderId="3" xfId="0" applyFont="1" applyBorder="1" applyAlignment="1">
      <alignment horizontal="center" vertical="center"/>
    </xf>
    <xf numFmtId="3" fontId="16" fillId="9" borderId="3" xfId="0" applyNumberFormat="1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22" fillId="0" borderId="3" xfId="0" applyNumberFormat="1" applyFont="1" applyBorder="1" applyAlignment="1">
      <alignment horizontal="center" vertical="center"/>
    </xf>
    <xf numFmtId="164" fontId="21" fillId="0" borderId="3" xfId="0" applyNumberFormat="1" applyFont="1" applyBorder="1" applyAlignment="1">
      <alignment horizontal="center" vertical="center"/>
    </xf>
    <xf numFmtId="3" fontId="16" fillId="10" borderId="3" xfId="0" applyNumberFormat="1" applyFont="1" applyFill="1" applyBorder="1" applyAlignment="1">
      <alignment horizontal="left" vertical="center"/>
    </xf>
    <xf numFmtId="0" fontId="23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0" fillId="0" borderId="3" xfId="0" applyNumberFormat="1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3" fontId="16" fillId="11" borderId="3" xfId="0" applyNumberFormat="1" applyFont="1" applyFill="1" applyBorder="1" applyAlignment="1">
      <alignment horizontal="left" vertical="center"/>
    </xf>
    <xf numFmtId="3" fontId="16" fillId="12" borderId="3" xfId="0" applyNumberFormat="1" applyFont="1" applyFill="1" applyBorder="1" applyAlignment="1">
      <alignment horizontal="left" vertical="center"/>
    </xf>
    <xf numFmtId="3" fontId="16" fillId="13" borderId="3" xfId="0" applyNumberFormat="1" applyFont="1" applyFill="1" applyBorder="1" applyAlignment="1">
      <alignment horizontal="left" vertical="center"/>
    </xf>
    <xf numFmtId="1" fontId="4" fillId="0" borderId="3" xfId="0" applyNumberFormat="1" applyFont="1" applyBorder="1" applyAlignment="1">
      <alignment horizontal="right" vertical="center"/>
    </xf>
    <xf numFmtId="3" fontId="21" fillId="0" borderId="3" xfId="0" applyNumberFormat="1" applyFont="1" applyBorder="1" applyAlignment="1">
      <alignment horizontal="right" vertical="center"/>
    </xf>
    <xf numFmtId="0" fontId="19" fillId="0" borderId="3" xfId="0" applyFont="1" applyBorder="1" applyAlignment="1">
      <alignment horizontal="right" vertical="center"/>
    </xf>
    <xf numFmtId="165" fontId="4" fillId="0" borderId="4" xfId="0" applyNumberFormat="1" applyFont="1" applyBorder="1" applyAlignment="1">
      <alignment horizontal="right" vertical="center"/>
    </xf>
    <xf numFmtId="165" fontId="20" fillId="0" borderId="3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5" fontId="22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16" fillId="14" borderId="3" xfId="0" applyFont="1" applyFill="1" applyBorder="1" applyAlignment="1">
      <alignment horizontal="right" vertical="center"/>
    </xf>
    <xf numFmtId="3" fontId="16" fillId="14" borderId="3" xfId="0" applyNumberFormat="1" applyFont="1" applyFill="1" applyBorder="1" applyAlignment="1">
      <alignment horizontal="left" vertical="center"/>
    </xf>
    <xf numFmtId="3" fontId="4" fillId="0" borderId="3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right" vertical="center"/>
    </xf>
    <xf numFmtId="0" fontId="16" fillId="14" borderId="3" xfId="0" applyFont="1" applyFill="1" applyBorder="1" applyAlignment="1">
      <alignment horizontal="left" vertical="center"/>
    </xf>
    <xf numFmtId="0" fontId="18" fillId="0" borderId="3" xfId="0" applyFont="1" applyBorder="1" applyAlignment="1">
      <alignment horizontal="right" vertical="center"/>
    </xf>
    <xf numFmtId="0" fontId="16" fillId="15" borderId="3" xfId="0" applyFont="1" applyFill="1" applyBorder="1" applyAlignment="1">
      <alignment horizontal="right" vertical="center"/>
    </xf>
    <xf numFmtId="3" fontId="16" fillId="15" borderId="3" xfId="0" applyNumberFormat="1" applyFont="1" applyFill="1" applyBorder="1" applyAlignment="1">
      <alignment horizontal="left" vertical="center"/>
    </xf>
    <xf numFmtId="0" fontId="16" fillId="15" borderId="3" xfId="0" applyFont="1" applyFill="1" applyBorder="1" applyAlignment="1">
      <alignment horizontal="left" vertical="center"/>
    </xf>
    <xf numFmtId="0" fontId="16" fillId="16" borderId="3" xfId="0" applyFont="1" applyFill="1" applyBorder="1" applyAlignment="1">
      <alignment horizontal="right" vertical="center"/>
    </xf>
    <xf numFmtId="3" fontId="16" fillId="16" borderId="3" xfId="0" applyNumberFormat="1" applyFont="1" applyFill="1" applyBorder="1" applyAlignment="1">
      <alignment horizontal="left" vertical="center"/>
    </xf>
    <xf numFmtId="0" fontId="16" fillId="16" borderId="3" xfId="0" applyFont="1" applyFill="1" applyBorder="1" applyAlignment="1">
      <alignment horizontal="left" vertical="center"/>
    </xf>
    <xf numFmtId="0" fontId="16" fillId="17" borderId="3" xfId="0" applyFont="1" applyFill="1" applyBorder="1" applyAlignment="1">
      <alignment horizontal="right" vertical="center"/>
    </xf>
    <xf numFmtId="3" fontId="16" fillId="17" borderId="3" xfId="0" applyNumberFormat="1" applyFont="1" applyFill="1" applyBorder="1" applyAlignment="1">
      <alignment horizontal="left" vertical="center"/>
    </xf>
    <xf numFmtId="0" fontId="16" fillId="17" borderId="3" xfId="0" applyFont="1" applyFill="1" applyBorder="1" applyAlignment="1">
      <alignment horizontal="left" vertical="center"/>
    </xf>
    <xf numFmtId="166" fontId="4" fillId="0" borderId="4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0" fontId="16" fillId="17" borderId="5" xfId="0" applyFont="1" applyFill="1" applyBorder="1" applyAlignment="1">
      <alignment horizontal="right" vertical="center"/>
    </xf>
    <xf numFmtId="0" fontId="16" fillId="17" borderId="5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right" vertical="center"/>
    </xf>
    <xf numFmtId="165" fontId="4" fillId="0" borderId="5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16" fillId="0" borderId="6" xfId="0" applyFont="1" applyBorder="1" applyAlignment="1">
      <alignment horizontal="right" vertical="center"/>
    </xf>
    <xf numFmtId="0" fontId="16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168" fontId="4" fillId="0" borderId="6" xfId="0" applyNumberFormat="1" applyFont="1" applyBorder="1" applyAlignment="1">
      <alignment horizontal="center" vertical="center"/>
    </xf>
    <xf numFmtId="165" fontId="18" fillId="0" borderId="6" xfId="0" applyNumberFormat="1" applyFont="1" applyBorder="1" applyAlignment="1">
      <alignment horizontal="right" vertical="center"/>
    </xf>
    <xf numFmtId="165" fontId="2" fillId="0" borderId="6" xfId="0" applyNumberFormat="1" applyFont="1" applyBorder="1" applyAlignment="1">
      <alignment horizontal="right" vertical="center"/>
    </xf>
    <xf numFmtId="3" fontId="2" fillId="0" borderId="6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16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right" vertical="center"/>
    </xf>
    <xf numFmtId="165" fontId="18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49" fontId="14" fillId="2" borderId="2" xfId="0" applyNumberFormat="1" applyFont="1" applyFill="1" applyBorder="1" applyAlignment="1">
      <alignment horizontal="center" vertical="center"/>
    </xf>
    <xf numFmtId="49" fontId="14" fillId="2" borderId="2" xfId="0" applyNumberFormat="1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right" vertical="center"/>
    </xf>
    <xf numFmtId="49" fontId="2" fillId="2" borderId="2" xfId="0" applyNumberFormat="1" applyFont="1" applyFill="1" applyBorder="1" applyAlignment="1">
      <alignment horizontal="right" vertical="center"/>
    </xf>
    <xf numFmtId="49" fontId="4" fillId="0" borderId="1" xfId="0" applyNumberFormat="1" applyFont="1" applyBorder="1" applyAlignment="1">
      <alignment horizontal="left" vertical="center"/>
    </xf>
    <xf numFmtId="0" fontId="16" fillId="7" borderId="1" xfId="0" applyFont="1" applyFill="1" applyBorder="1" applyAlignment="1">
      <alignment horizontal="right" vertical="center"/>
    </xf>
    <xf numFmtId="3" fontId="16" fillId="18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27" fillId="0" borderId="2" xfId="0" applyFont="1" applyBorder="1" applyAlignment="1">
      <alignment horizontal="right" vertical="center"/>
    </xf>
    <xf numFmtId="0" fontId="16" fillId="7" borderId="3" xfId="0" applyFont="1" applyFill="1" applyBorder="1" applyAlignment="1">
      <alignment horizontal="right" vertical="center"/>
    </xf>
    <xf numFmtId="0" fontId="16" fillId="18" borderId="3" xfId="0" applyFont="1" applyFill="1" applyBorder="1" applyAlignment="1">
      <alignment horizontal="left" vertical="center"/>
    </xf>
    <xf numFmtId="0" fontId="16" fillId="7" borderId="5" xfId="0" applyFont="1" applyFill="1" applyBorder="1" applyAlignment="1">
      <alignment horizontal="right" vertical="center"/>
    </xf>
    <xf numFmtId="0" fontId="16" fillId="18" borderId="5" xfId="0" applyFont="1" applyFill="1" applyBorder="1" applyAlignment="1">
      <alignment horizontal="left" vertical="center"/>
    </xf>
    <xf numFmtId="167" fontId="2" fillId="0" borderId="6" xfId="0" applyNumberFormat="1" applyFont="1" applyBorder="1" applyAlignment="1">
      <alignment horizontal="right" vertical="center"/>
    </xf>
    <xf numFmtId="4" fontId="2" fillId="0" borderId="6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16" fillId="18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49" fontId="2" fillId="2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right"/>
    </xf>
    <xf numFmtId="0" fontId="29" fillId="2" borderId="2" xfId="0" applyFont="1" applyFill="1" applyBorder="1" applyAlignment="1">
      <alignment horizontal="center"/>
    </xf>
    <xf numFmtId="49" fontId="29" fillId="2" borderId="2" xfId="0" applyNumberFormat="1" applyFont="1" applyFill="1" applyBorder="1" applyAlignment="1">
      <alignment horizontal="right" wrapText="1"/>
    </xf>
    <xf numFmtId="49" fontId="29" fillId="2" borderId="2" xfId="0" applyNumberFormat="1" applyFont="1" applyFill="1" applyBorder="1" applyAlignment="1">
      <alignment horizontal="right"/>
    </xf>
    <xf numFmtId="49" fontId="30" fillId="2" borderId="1" xfId="0" applyNumberFormat="1" applyFont="1" applyFill="1" applyBorder="1" applyAlignment="1">
      <alignment horizontal="left" vertical="top"/>
    </xf>
    <xf numFmtId="0" fontId="30" fillId="2" borderId="1" xfId="0" applyNumberFormat="1" applyFont="1" applyFill="1" applyBorder="1" applyAlignment="1">
      <alignment horizontal="right" vertical="top"/>
    </xf>
    <xf numFmtId="0" fontId="30" fillId="2" borderId="1" xfId="0" applyFont="1" applyFill="1" applyBorder="1" applyAlignment="1">
      <alignment horizontal="left" vertical="top"/>
    </xf>
    <xf numFmtId="0" fontId="30" fillId="2" borderId="1" xfId="0" applyFont="1" applyFill="1" applyBorder="1" applyAlignment="1">
      <alignment horizontal="center" vertical="top"/>
    </xf>
    <xf numFmtId="0" fontId="30" fillId="2" borderId="1" xfId="0" applyFont="1" applyFill="1" applyBorder="1" applyAlignment="1">
      <alignment horizontal="right" vertical="top"/>
    </xf>
    <xf numFmtId="0" fontId="31" fillId="2" borderId="1" xfId="0" applyFont="1" applyFill="1" applyBorder="1" applyAlignment="1">
      <alignment horizontal="center" vertical="top"/>
    </xf>
    <xf numFmtId="0" fontId="31" fillId="2" borderId="1" xfId="0" applyFont="1" applyFill="1" applyBorder="1" applyAlignment="1">
      <alignment horizontal="right" vertical="top"/>
    </xf>
    <xf numFmtId="0" fontId="16" fillId="11" borderId="3" xfId="0" applyFont="1" applyFill="1" applyBorder="1" applyAlignment="1">
      <alignment horizontal="right" vertical="center"/>
    </xf>
    <xf numFmtId="3" fontId="32" fillId="19" borderId="3" xfId="0" applyNumberFormat="1" applyFont="1" applyFill="1" applyBorder="1" applyAlignment="1">
      <alignment horizontal="center" vertical="center"/>
    </xf>
    <xf numFmtId="165" fontId="27" fillId="0" borderId="3" xfId="0" applyNumberFormat="1" applyFont="1" applyBorder="1" applyAlignment="1">
      <alignment horizontal="right" vertical="center"/>
    </xf>
    <xf numFmtId="0" fontId="31" fillId="2" borderId="2" xfId="0" applyFont="1" applyFill="1" applyBorder="1" applyAlignment="1">
      <alignment horizontal="center" vertical="top"/>
    </xf>
    <xf numFmtId="0" fontId="31" fillId="2" borderId="2" xfId="0" applyFont="1" applyFill="1" applyBorder="1" applyAlignment="1">
      <alignment horizontal="right" vertical="top"/>
    </xf>
    <xf numFmtId="3" fontId="32" fillId="19" borderId="1" xfId="0" applyNumberFormat="1" applyFont="1" applyFill="1" applyBorder="1" applyAlignment="1">
      <alignment horizontal="center" vertical="center"/>
    </xf>
    <xf numFmtId="165" fontId="27" fillId="0" borderId="1" xfId="0" applyNumberFormat="1" applyFont="1" applyBorder="1" applyAlignment="1">
      <alignment horizontal="right" vertical="center"/>
    </xf>
    <xf numFmtId="0" fontId="16" fillId="6" borderId="3" xfId="0" applyFont="1" applyFill="1" applyBorder="1" applyAlignment="1">
      <alignment horizontal="right" vertical="center"/>
    </xf>
    <xf numFmtId="3" fontId="16" fillId="6" borderId="3" xfId="0" applyNumberFormat="1" applyFont="1" applyFill="1" applyBorder="1" applyAlignment="1">
      <alignment horizontal="left" vertical="center"/>
    </xf>
    <xf numFmtId="3" fontId="16" fillId="7" borderId="3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168" fontId="4" fillId="0" borderId="3" xfId="0" applyNumberFormat="1" applyFont="1" applyBorder="1" applyAlignment="1">
      <alignment horizontal="right" vertical="center"/>
    </xf>
    <xf numFmtId="169" fontId="4" fillId="0" borderId="3" xfId="0" applyNumberFormat="1" applyFont="1" applyBorder="1" applyAlignment="1">
      <alignment horizontal="right" vertical="center"/>
    </xf>
    <xf numFmtId="49" fontId="4" fillId="0" borderId="3" xfId="0" applyNumberFormat="1" applyFont="1" applyBorder="1" applyAlignment="1">
      <alignment horizontal="right" vertical="center"/>
    </xf>
    <xf numFmtId="0" fontId="14" fillId="2" borderId="2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center"/>
    </xf>
    <xf numFmtId="1" fontId="14" fillId="2" borderId="7" xfId="0" applyNumberFormat="1" applyFont="1" applyFill="1" applyBorder="1" applyAlignment="1">
      <alignment horizontal="center"/>
    </xf>
    <xf numFmtId="49" fontId="2" fillId="2" borderId="8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16" fillId="19" borderId="3" xfId="0" applyNumberFormat="1" applyFont="1" applyFill="1" applyBorder="1" applyAlignment="1">
      <alignment horizontal="center" vertical="center"/>
    </xf>
    <xf numFmtId="1" fontId="16" fillId="19" borderId="3" xfId="0" applyNumberFormat="1" applyFon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167" fontId="4" fillId="0" borderId="3" xfId="0" applyNumberFormat="1" applyFont="1" applyBorder="1" applyAlignment="1">
      <alignment horizontal="center" vertical="center"/>
    </xf>
    <xf numFmtId="0" fontId="16" fillId="19" borderId="3" xfId="0" applyFont="1" applyFill="1" applyBorder="1" applyAlignment="1">
      <alignment horizontal="center" vertical="center"/>
    </xf>
    <xf numFmtId="4" fontId="16" fillId="19" borderId="3" xfId="0" applyNumberFormat="1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/>
    <xf numFmtId="49" fontId="2" fillId="2" borderId="2" xfId="0" applyNumberFormat="1" applyFont="1" applyFill="1" applyBorder="1" applyAlignment="1">
      <alignment horizontal="center"/>
    </xf>
    <xf numFmtId="49" fontId="10" fillId="0" borderId="2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/>
    <xf numFmtId="49" fontId="4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/>
    <xf numFmtId="49" fontId="14" fillId="2" borderId="1" xfId="0" applyNumberFormat="1" applyFont="1" applyFill="1" applyBorder="1" applyAlignment="1">
      <alignment horizontal="center" vertical="center"/>
    </xf>
    <xf numFmtId="49" fontId="14" fillId="2" borderId="2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right" vertical="center"/>
    </xf>
    <xf numFmtId="165" fontId="28" fillId="0" borderId="2" xfId="0" applyNumberFormat="1" applyFont="1" applyBorder="1" applyAlignment="1">
      <alignment horizontal="center" vertical="center"/>
    </xf>
    <xf numFmtId="49" fontId="14" fillId="2" borderId="7" xfId="0" applyNumberFormat="1" applyFont="1" applyFill="1" applyBorder="1" applyAlignment="1">
      <alignment horizontal="center"/>
    </xf>
    <xf numFmtId="0" fontId="1" fillId="0" borderId="7" xfId="0" applyFont="1" applyBorder="1" applyAlignment="1"/>
  </cellXfs>
  <cellStyles count="1">
    <cellStyle name="Normal" xfId="0" builtinId="0"/>
  </cellStyles>
  <dxfs count="59">
    <dxf>
      <font>
        <color rgb="FF000000"/>
      </font>
      <fill>
        <patternFill patternType="solid">
          <fgColor indexed="21"/>
          <bgColor indexed="27"/>
        </patternFill>
      </fill>
    </dxf>
    <dxf>
      <font>
        <color rgb="FF000000"/>
      </font>
      <fill>
        <patternFill patternType="solid">
          <fgColor indexed="21"/>
          <bgColor indexed="26"/>
        </patternFill>
      </fill>
    </dxf>
    <dxf>
      <font>
        <color rgb="FF000000"/>
      </font>
      <fill>
        <patternFill patternType="solid">
          <fgColor indexed="21"/>
          <bgColor indexed="25"/>
        </patternFill>
      </fill>
    </dxf>
    <dxf>
      <font>
        <color rgb="FF000000"/>
      </font>
      <fill>
        <patternFill patternType="solid">
          <fgColor indexed="21"/>
          <bgColor indexed="24"/>
        </patternFill>
      </fill>
    </dxf>
    <dxf>
      <font>
        <color rgb="FF000000"/>
      </font>
      <fill>
        <patternFill patternType="solid">
          <fgColor indexed="21"/>
          <bgColor indexed="23"/>
        </patternFill>
      </fill>
    </dxf>
    <dxf>
      <font>
        <color rgb="FF000000"/>
      </font>
      <fill>
        <patternFill patternType="solid">
          <fgColor indexed="21"/>
          <bgColor indexed="22"/>
        </patternFill>
      </fill>
    </dxf>
    <dxf>
      <font>
        <color rgb="FF000000"/>
      </font>
      <fill>
        <patternFill patternType="solid">
          <fgColor indexed="21"/>
          <bgColor indexed="27"/>
        </patternFill>
      </fill>
    </dxf>
    <dxf>
      <font>
        <color rgb="FF000000"/>
      </font>
      <fill>
        <patternFill patternType="solid">
          <fgColor indexed="21"/>
          <bgColor indexed="26"/>
        </patternFill>
      </fill>
    </dxf>
    <dxf>
      <font>
        <color rgb="FF000000"/>
      </font>
      <fill>
        <patternFill patternType="solid">
          <fgColor indexed="21"/>
          <bgColor indexed="25"/>
        </patternFill>
      </fill>
    </dxf>
    <dxf>
      <font>
        <color rgb="FF000000"/>
      </font>
      <fill>
        <patternFill patternType="solid">
          <fgColor indexed="21"/>
          <bgColor indexed="24"/>
        </patternFill>
      </fill>
    </dxf>
    <dxf>
      <font>
        <color rgb="FF000000"/>
      </font>
      <fill>
        <patternFill patternType="solid">
          <fgColor indexed="21"/>
          <bgColor indexed="23"/>
        </patternFill>
      </fill>
    </dxf>
    <dxf>
      <font>
        <color rgb="FF000000"/>
      </font>
      <fill>
        <patternFill patternType="solid">
          <fgColor indexed="21"/>
          <bgColor indexed="22"/>
        </patternFill>
      </fill>
    </dxf>
    <dxf>
      <font>
        <color rgb="FF000000"/>
      </font>
      <fill>
        <patternFill patternType="solid">
          <fgColor indexed="21"/>
          <bgColor indexed="27"/>
        </patternFill>
      </fill>
    </dxf>
    <dxf>
      <font>
        <color rgb="FF000000"/>
      </font>
      <fill>
        <patternFill patternType="solid">
          <fgColor indexed="21"/>
          <bgColor indexed="26"/>
        </patternFill>
      </fill>
    </dxf>
    <dxf>
      <font>
        <color rgb="FF000000"/>
      </font>
      <fill>
        <patternFill patternType="solid">
          <fgColor indexed="21"/>
          <bgColor indexed="25"/>
        </patternFill>
      </fill>
    </dxf>
    <dxf>
      <font>
        <color rgb="FF000000"/>
      </font>
      <fill>
        <patternFill patternType="solid">
          <fgColor indexed="21"/>
          <bgColor indexed="24"/>
        </patternFill>
      </fill>
    </dxf>
    <dxf>
      <font>
        <color rgb="FF000000"/>
      </font>
      <fill>
        <patternFill patternType="solid">
          <fgColor indexed="21"/>
          <bgColor indexed="23"/>
        </patternFill>
      </fill>
    </dxf>
    <dxf>
      <font>
        <color rgb="FF000000"/>
      </font>
      <fill>
        <patternFill patternType="solid">
          <fgColor indexed="21"/>
          <bgColor indexed="22"/>
        </patternFill>
      </fill>
    </dxf>
    <dxf>
      <font>
        <color rgb="FF000000"/>
      </font>
      <fill>
        <patternFill patternType="solid">
          <fgColor indexed="21"/>
          <bgColor indexed="27"/>
        </patternFill>
      </fill>
    </dxf>
    <dxf>
      <font>
        <color rgb="FF000000"/>
      </font>
      <fill>
        <patternFill patternType="solid">
          <fgColor indexed="21"/>
          <bgColor indexed="26"/>
        </patternFill>
      </fill>
    </dxf>
    <dxf>
      <font>
        <color rgb="FF000000"/>
      </font>
      <fill>
        <patternFill patternType="solid">
          <fgColor indexed="21"/>
          <bgColor indexed="25"/>
        </patternFill>
      </fill>
    </dxf>
    <dxf>
      <font>
        <color rgb="FF000000"/>
      </font>
      <fill>
        <patternFill patternType="solid">
          <fgColor indexed="21"/>
          <bgColor indexed="24"/>
        </patternFill>
      </fill>
    </dxf>
    <dxf>
      <font>
        <color rgb="FF000000"/>
      </font>
      <fill>
        <patternFill patternType="solid">
          <fgColor indexed="21"/>
          <bgColor indexed="23"/>
        </patternFill>
      </fill>
    </dxf>
    <dxf>
      <font>
        <color rgb="FF000000"/>
      </font>
      <fill>
        <patternFill patternType="solid">
          <fgColor indexed="21"/>
          <bgColor indexed="22"/>
        </patternFill>
      </fill>
    </dxf>
    <dxf>
      <font>
        <color rgb="FF000000"/>
      </font>
      <fill>
        <patternFill patternType="solid">
          <fgColor indexed="21"/>
          <bgColor indexed="27"/>
        </patternFill>
      </fill>
    </dxf>
    <dxf>
      <font>
        <color rgb="FF000000"/>
      </font>
      <fill>
        <patternFill patternType="solid">
          <fgColor indexed="21"/>
          <bgColor indexed="26"/>
        </patternFill>
      </fill>
    </dxf>
    <dxf>
      <font>
        <color rgb="FF000000"/>
      </font>
      <fill>
        <patternFill patternType="solid">
          <fgColor indexed="21"/>
          <bgColor indexed="25"/>
        </patternFill>
      </fill>
    </dxf>
    <dxf>
      <font>
        <color rgb="FF000000"/>
      </font>
      <fill>
        <patternFill patternType="solid">
          <fgColor indexed="21"/>
          <bgColor indexed="24"/>
        </patternFill>
      </fill>
    </dxf>
    <dxf>
      <font>
        <color rgb="FF000000"/>
      </font>
      <fill>
        <patternFill patternType="solid">
          <fgColor indexed="21"/>
          <bgColor indexed="23"/>
        </patternFill>
      </fill>
    </dxf>
    <dxf>
      <font>
        <color rgb="FF000000"/>
      </font>
      <fill>
        <patternFill patternType="solid">
          <fgColor indexed="21"/>
          <bgColor indexed="22"/>
        </patternFill>
      </fill>
    </dxf>
    <dxf>
      <font>
        <color rgb="FF000000"/>
      </font>
      <fill>
        <patternFill patternType="solid">
          <fgColor indexed="21"/>
          <bgColor indexed="27"/>
        </patternFill>
      </fill>
    </dxf>
    <dxf>
      <font>
        <color rgb="FF000000"/>
      </font>
      <fill>
        <patternFill patternType="solid">
          <fgColor indexed="21"/>
          <bgColor indexed="26"/>
        </patternFill>
      </fill>
    </dxf>
    <dxf>
      <font>
        <color rgb="FF000000"/>
      </font>
      <fill>
        <patternFill patternType="solid">
          <fgColor indexed="21"/>
          <bgColor indexed="25"/>
        </patternFill>
      </fill>
    </dxf>
    <dxf>
      <font>
        <color rgb="FF000000"/>
      </font>
      <fill>
        <patternFill patternType="solid">
          <fgColor indexed="21"/>
          <bgColor indexed="24"/>
        </patternFill>
      </fill>
    </dxf>
    <dxf>
      <font>
        <color rgb="FF000000"/>
      </font>
      <fill>
        <patternFill patternType="solid">
          <fgColor indexed="21"/>
          <bgColor indexed="23"/>
        </patternFill>
      </fill>
    </dxf>
    <dxf>
      <font>
        <color rgb="FF000000"/>
      </font>
      <fill>
        <patternFill patternType="solid">
          <fgColor indexed="21"/>
          <bgColor indexed="22"/>
        </patternFill>
      </fill>
    </dxf>
    <dxf>
      <font>
        <color rgb="FF000000"/>
      </font>
      <fill>
        <patternFill patternType="solid">
          <fgColor indexed="21"/>
          <bgColor indexed="27"/>
        </patternFill>
      </fill>
    </dxf>
    <dxf>
      <font>
        <color rgb="FF000000"/>
      </font>
      <fill>
        <patternFill patternType="solid">
          <fgColor indexed="21"/>
          <bgColor indexed="26"/>
        </patternFill>
      </fill>
    </dxf>
    <dxf>
      <font>
        <color rgb="FF000000"/>
      </font>
      <fill>
        <patternFill patternType="solid">
          <fgColor indexed="21"/>
          <bgColor indexed="25"/>
        </patternFill>
      </fill>
    </dxf>
    <dxf>
      <font>
        <color rgb="FF000000"/>
      </font>
      <fill>
        <patternFill patternType="solid">
          <fgColor indexed="21"/>
          <bgColor indexed="24"/>
        </patternFill>
      </fill>
    </dxf>
    <dxf>
      <font>
        <color rgb="FF000000"/>
      </font>
      <fill>
        <patternFill patternType="solid">
          <fgColor indexed="21"/>
          <bgColor indexed="23"/>
        </patternFill>
      </fill>
    </dxf>
    <dxf>
      <font>
        <color rgb="FF000000"/>
      </font>
      <fill>
        <patternFill patternType="solid">
          <fgColor indexed="21"/>
          <bgColor indexed="22"/>
        </patternFill>
      </fill>
    </dxf>
    <dxf>
      <font>
        <color rgb="FFD5D5D5"/>
      </font>
    </dxf>
    <dxf>
      <font>
        <b/>
        <color rgb="FFAD1915"/>
      </font>
    </dxf>
    <dxf>
      <font>
        <b/>
        <color rgb="FF165778"/>
      </font>
    </dxf>
    <dxf>
      <font>
        <color rgb="FFAD1915"/>
      </font>
    </dxf>
    <dxf>
      <font>
        <color rgb="FF165778"/>
      </font>
    </dxf>
    <dxf>
      <font>
        <color rgb="FF000000"/>
      </font>
      <fill>
        <patternFill patternType="solid">
          <fgColor indexed="21"/>
          <bgColor indexed="27"/>
        </patternFill>
      </fill>
    </dxf>
    <dxf>
      <font>
        <color rgb="FF000000"/>
      </font>
      <fill>
        <patternFill patternType="solid">
          <fgColor indexed="21"/>
          <bgColor indexed="26"/>
        </patternFill>
      </fill>
    </dxf>
    <dxf>
      <font>
        <color rgb="FF000000"/>
      </font>
      <fill>
        <patternFill patternType="solid">
          <fgColor indexed="21"/>
          <bgColor indexed="25"/>
        </patternFill>
      </fill>
    </dxf>
    <dxf>
      <font>
        <color rgb="FF000000"/>
      </font>
      <fill>
        <patternFill patternType="solid">
          <fgColor indexed="21"/>
          <bgColor indexed="24"/>
        </patternFill>
      </fill>
    </dxf>
    <dxf>
      <font>
        <color rgb="FF000000"/>
      </font>
      <fill>
        <patternFill patternType="solid">
          <fgColor indexed="21"/>
          <bgColor indexed="23"/>
        </patternFill>
      </fill>
    </dxf>
    <dxf>
      <font>
        <color rgb="FF000000"/>
      </font>
      <fill>
        <patternFill patternType="solid">
          <fgColor indexed="21"/>
          <bgColor indexed="22"/>
        </patternFill>
      </fill>
    </dxf>
    <dxf>
      <font>
        <color rgb="FF000000"/>
      </font>
      <fill>
        <patternFill patternType="solid">
          <fgColor indexed="21"/>
          <bgColor indexed="27"/>
        </patternFill>
      </fill>
    </dxf>
    <dxf>
      <font>
        <color rgb="FF000000"/>
      </font>
      <fill>
        <patternFill patternType="solid">
          <fgColor indexed="21"/>
          <bgColor indexed="26"/>
        </patternFill>
      </fill>
    </dxf>
    <dxf>
      <font>
        <color rgb="FF000000"/>
      </font>
      <fill>
        <patternFill patternType="solid">
          <fgColor indexed="21"/>
          <bgColor indexed="25"/>
        </patternFill>
      </fill>
    </dxf>
    <dxf>
      <font>
        <color rgb="FF000000"/>
      </font>
      <fill>
        <patternFill patternType="solid">
          <fgColor indexed="21"/>
          <bgColor indexed="24"/>
        </patternFill>
      </fill>
    </dxf>
    <dxf>
      <font>
        <color rgb="FF000000"/>
      </font>
      <fill>
        <patternFill patternType="solid">
          <fgColor indexed="21"/>
          <bgColor indexed="23"/>
        </patternFill>
      </fill>
    </dxf>
    <dxf>
      <font>
        <color rgb="FF000000"/>
      </font>
      <fill>
        <patternFill patternType="solid">
          <fgColor indexed="21"/>
          <bgColor indexed="22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AEAEA"/>
      <rgbColor rgb="FF94D06F"/>
      <rgbColor rgb="FF165778"/>
      <rgbColor rgb="FFF5DD6B"/>
      <rgbColor rgb="FFAD1915"/>
      <rgbColor rgb="FFFF6861"/>
      <rgbColor rgb="FF7BB4D7"/>
      <rgbColor rgb="FFB778CA"/>
      <rgbColor rgb="FF2B5674"/>
      <rgbColor rgb="FFA02A21"/>
      <rgbColor rgb="FFBFBFBF"/>
      <rgbColor rgb="FF92D069"/>
      <rgbColor rgb="00000000"/>
      <rgbColor rgb="FFFFA93A"/>
      <rgbColor rgb="FF6DC037"/>
      <rgbColor rgb="FF489BC9"/>
      <rgbColor rgb="FFF1D030"/>
      <rgbColor rgb="FFFF2C21"/>
      <rgbColor rgb="FF9D44B8"/>
      <rgbColor rgb="FFD5D5D5"/>
      <rgbColor rgb="FF357CA2"/>
      <rgbColor rgb="FFFF6158"/>
      <rgbColor rgb="FFCE222B"/>
      <rgbColor rgb="FF76B4D6"/>
      <rgbColor rgb="FFFFBE6B"/>
      <rgbColor rgb="FFF4DC64"/>
      <rgbColor rgb="FFB573C9"/>
      <rgbColor rgb="FFA1CE7A"/>
      <rgbColor rgb="FFF1DD7C"/>
      <rgbColor rgb="FFED7266"/>
      <rgbColor rgb="FF87B2D4"/>
      <rgbColor rgb="FFAE7BC6"/>
      <rgbColor rgb="FFFEFFFE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3"/>
  <sheetViews>
    <sheetView showGridLines="0" tabSelected="1" workbookViewId="0">
      <pane ySplit="1" topLeftCell="A2" activePane="bottomLeft" state="frozen"/>
      <selection pane="bottomLeft" activeCell="E21" sqref="E21:F21"/>
    </sheetView>
  </sheetViews>
  <sheetFormatPr baseColWidth="10" defaultColWidth="8" defaultRowHeight="16.25" customHeight="1" x14ac:dyDescent="0.15"/>
  <cols>
    <col min="1" max="1" width="18.83203125" style="1" customWidth="1"/>
    <col min="2" max="3" width="9.5" style="1" customWidth="1"/>
    <col min="4" max="4" width="4.6640625" style="1" customWidth="1"/>
    <col min="5" max="5" width="9.5" style="1" customWidth="1"/>
    <col min="6" max="6" width="18.83203125" style="1" customWidth="1"/>
    <col min="7" max="7" width="4.6640625" style="1" customWidth="1"/>
    <col min="8" max="11" width="9.5" style="1" customWidth="1"/>
    <col min="12" max="12" width="4.6640625" style="1" customWidth="1"/>
    <col min="13" max="13" width="18.83203125" style="1" customWidth="1"/>
    <col min="14" max="14" width="47.33203125" style="1" customWidth="1"/>
    <col min="15" max="15" width="8" style="1" customWidth="1"/>
    <col min="16" max="16384" width="8" style="1"/>
  </cols>
  <sheetData>
    <row r="1" spans="1:14" ht="42.5" customHeight="1" x14ac:dyDescent="0.15">
      <c r="A1" s="2" t="s">
        <v>0</v>
      </c>
      <c r="B1" s="3" t="s">
        <v>1</v>
      </c>
      <c r="C1" s="4" t="s">
        <v>2</v>
      </c>
      <c r="D1" s="5"/>
      <c r="E1" s="4" t="s">
        <v>3</v>
      </c>
      <c r="F1" s="6" t="s">
        <v>4</v>
      </c>
      <c r="G1" s="5"/>
      <c r="H1" s="7" t="s">
        <v>5</v>
      </c>
      <c r="I1" s="7" t="s">
        <v>6</v>
      </c>
      <c r="J1" s="7" t="s">
        <v>7</v>
      </c>
      <c r="K1" s="8" t="s">
        <v>8</v>
      </c>
      <c r="L1" s="5"/>
      <c r="M1" s="9" t="s">
        <v>9</v>
      </c>
      <c r="N1" s="9" t="s">
        <v>10</v>
      </c>
    </row>
    <row r="2" spans="1:14" ht="21.25" customHeight="1" x14ac:dyDescent="0.15">
      <c r="A2" s="10" t="s">
        <v>11</v>
      </c>
      <c r="B2" s="11">
        <v>6</v>
      </c>
      <c r="C2" s="12">
        <v>1</v>
      </c>
      <c r="D2" s="13"/>
      <c r="E2" s="14" t="s">
        <v>12</v>
      </c>
      <c r="F2" s="11" cm="1">
        <f t="array" ref="F2">ROUND(IF(E$21="Position",I2,IF(E$21="Draft",ROUND(J2*(H2/2)*($E$24/12),0),AVERAGE(I2,ROUND(J2*(H2/2)*($E$24/12),0)))),0)</f>
        <v>23</v>
      </c>
      <c r="G2" s="5"/>
      <c r="H2" s="12">
        <v>2</v>
      </c>
      <c r="I2" s="12" cm="1">
        <f t="array" ref="I2">H2*E$24</f>
        <v>24</v>
      </c>
      <c r="J2" s="12">
        <v>21</v>
      </c>
      <c r="K2" s="12" cm="1">
        <f t="array" ref="K2">_xlfn.XLOOKUP(0,'C'!F3:F210,'C'!E3:E210)</f>
        <v>6.3600095576150641</v>
      </c>
      <c r="L2" s="5"/>
      <c r="M2" s="10" t="s">
        <v>13</v>
      </c>
      <c r="N2" s="15" t="s">
        <v>14</v>
      </c>
    </row>
    <row r="3" spans="1:14" ht="21.25" customHeight="1" x14ac:dyDescent="0.15">
      <c r="A3" s="10" t="s">
        <v>15</v>
      </c>
      <c r="B3" s="11">
        <v>4</v>
      </c>
      <c r="C3" s="11">
        <v>1</v>
      </c>
      <c r="D3" s="13"/>
      <c r="E3" s="16" t="s">
        <v>16</v>
      </c>
      <c r="F3" s="11" cm="1">
        <f t="array" ref="F3">ROUND(IF(E$21="Position",I3,IF(E$21="Draft",ROUND(J3*(H3/2)*($E$24/12),0),AVERAGE(I3,ROUND(J3*(H3/2)*($E$24/12),0)))),0)</f>
        <v>21</v>
      </c>
      <c r="G3" s="5"/>
      <c r="H3" s="11">
        <v>2</v>
      </c>
      <c r="I3" s="11" cm="1">
        <f t="array" ref="I3">H3*E$24</f>
        <v>24</v>
      </c>
      <c r="J3" s="11">
        <v>17</v>
      </c>
      <c r="K3" s="11" cm="1">
        <f t="array" ref="K3">_xlfn.XLOOKUP(0,LW!F3:F210,LW!E3:E210)</f>
        <v>6.8943856443898097</v>
      </c>
      <c r="L3" s="5"/>
      <c r="M3" s="10" t="s">
        <v>13</v>
      </c>
      <c r="N3" s="17" t="s">
        <v>17</v>
      </c>
    </row>
    <row r="4" spans="1:14" ht="21.25" customHeight="1" x14ac:dyDescent="0.15">
      <c r="A4" s="10" t="s">
        <v>1</v>
      </c>
      <c r="B4" s="18"/>
      <c r="C4" s="18"/>
      <c r="D4" s="13"/>
      <c r="E4" s="19" t="s">
        <v>18</v>
      </c>
      <c r="F4" s="11" cm="1">
        <f t="array" ref="F4">ROUND(IF(E$21="Position",I4,IF(E$21="Draft",ROUND(J4*(H4/2)*($E$24/12),0),AVERAGE(I4,ROUND(J4*(H4/2)*($E$24/12),0)))),0)</f>
        <v>22</v>
      </c>
      <c r="G4" s="5"/>
      <c r="H4" s="11">
        <v>2</v>
      </c>
      <c r="I4" s="11" cm="1">
        <f t="array" ref="I4">H4*E$24</f>
        <v>24</v>
      </c>
      <c r="J4" s="11">
        <v>20</v>
      </c>
      <c r="K4" s="11" cm="1">
        <f t="array" ref="K4">_xlfn.XLOOKUP(0,RW!F3:F210,RW!E3:E210)</f>
        <v>6.8872346018090775</v>
      </c>
      <c r="L4" s="5"/>
      <c r="M4" s="10" t="s">
        <v>13</v>
      </c>
      <c r="N4" s="20" t="s">
        <v>19</v>
      </c>
    </row>
    <row r="5" spans="1:14" ht="21.25" customHeight="1" x14ac:dyDescent="0.15">
      <c r="A5" s="10" t="s">
        <v>20</v>
      </c>
      <c r="B5" s="11">
        <v>0.9</v>
      </c>
      <c r="C5" s="11">
        <v>1</v>
      </c>
      <c r="D5" s="13"/>
      <c r="E5" s="21" t="s">
        <v>21</v>
      </c>
      <c r="F5" s="11" cm="1">
        <f t="array" ref="F5">ROUND(IF(E$21="Position",I5,IF(E$21="Draft",ROUND(J5*(H5/4)*($E$24/12),0),AVERAGE(I5,ROUND(J5*(H5/4)*($E$24/12),0)))),0)</f>
        <v>37</v>
      </c>
      <c r="G5" s="5"/>
      <c r="H5" s="11">
        <v>4</v>
      </c>
      <c r="I5" s="11" cm="1">
        <f t="array" ref="I5">H5*E$24</f>
        <v>48</v>
      </c>
      <c r="J5" s="11">
        <v>25</v>
      </c>
      <c r="K5" s="11" cm="1">
        <f t="array" ref="K5">_xlfn.XLOOKUP(0,D!F3:F204,D!E3:E204)</f>
        <v>0.56685091451755443</v>
      </c>
      <c r="L5" s="5"/>
      <c r="M5" s="10" t="s">
        <v>13</v>
      </c>
      <c r="N5" s="22" t="s">
        <v>22</v>
      </c>
    </row>
    <row r="6" spans="1:14" ht="21.25" customHeight="1" x14ac:dyDescent="0.15">
      <c r="A6" s="10" t="s">
        <v>23</v>
      </c>
      <c r="B6" s="11">
        <v>1</v>
      </c>
      <c r="C6" s="11"/>
      <c r="D6" s="13"/>
      <c r="E6" s="23" t="s">
        <v>24</v>
      </c>
      <c r="F6" s="11" cm="1">
        <f t="array" ref="F6">ROUND(IF(E$21="Position",I6,IF(E$21="Draft",ROUND(J6*(H6/2)*($E$24/12),0),AVERAGE(I6,ROUND(J6*(H6/2)*($E$24/12),0)))),0)</f>
        <v>21</v>
      </c>
      <c r="G6" s="5"/>
      <c r="H6" s="11">
        <v>2</v>
      </c>
      <c r="I6" s="11" cm="1">
        <f t="array" ref="I6">H6*E$24</f>
        <v>24</v>
      </c>
      <c r="J6" s="11">
        <v>18</v>
      </c>
      <c r="K6" s="11" cm="1">
        <f t="array" ref="K6">_xlfn.XLOOKUP(0,G!F3:F66,G!E3:E66)</f>
        <v>2.0381852591236749</v>
      </c>
      <c r="L6" s="5"/>
      <c r="M6" s="24"/>
      <c r="N6" s="18"/>
    </row>
    <row r="7" spans="1:14" ht="21.25" customHeight="1" x14ac:dyDescent="0.15">
      <c r="A7" s="10" t="s">
        <v>25</v>
      </c>
      <c r="B7" s="18"/>
      <c r="C7" s="18">
        <v>1</v>
      </c>
      <c r="D7" s="13"/>
      <c r="E7" s="13"/>
      <c r="F7" s="25"/>
      <c r="G7" s="5"/>
      <c r="H7" s="25"/>
      <c r="I7" s="25"/>
      <c r="J7" s="25"/>
      <c r="K7" s="25"/>
      <c r="L7" s="5"/>
      <c r="M7" s="10" t="s">
        <v>26</v>
      </c>
      <c r="N7" s="26" t="s">
        <v>27</v>
      </c>
    </row>
    <row r="8" spans="1:14" ht="21.25" customHeight="1" x14ac:dyDescent="0.15">
      <c r="A8" s="10" t="s">
        <v>28</v>
      </c>
      <c r="B8" s="18"/>
      <c r="C8" s="18"/>
      <c r="D8" s="13"/>
      <c r="E8" s="195" t="s">
        <v>29</v>
      </c>
      <c r="F8" s="194"/>
      <c r="G8" s="27"/>
      <c r="H8" s="196" t="s">
        <v>30</v>
      </c>
      <c r="I8" s="194"/>
      <c r="J8" s="194"/>
      <c r="K8" s="28"/>
      <c r="L8" s="27"/>
      <c r="M8" s="10" t="s">
        <v>26</v>
      </c>
      <c r="N8" s="29" t="s">
        <v>31</v>
      </c>
    </row>
    <row r="9" spans="1:14" ht="21.25" customHeight="1" x14ac:dyDescent="0.15">
      <c r="A9" s="10" t="s">
        <v>32</v>
      </c>
      <c r="B9" s="11">
        <v>2</v>
      </c>
      <c r="C9" s="11">
        <v>1</v>
      </c>
      <c r="D9" s="13"/>
      <c r="E9" s="193" t="s">
        <v>33</v>
      </c>
      <c r="F9" s="194"/>
      <c r="G9" s="27"/>
      <c r="H9" s="28"/>
      <c r="I9" s="28"/>
      <c r="J9" s="28"/>
      <c r="K9" s="28"/>
      <c r="L9" s="27"/>
      <c r="M9" s="24"/>
      <c r="N9" s="31"/>
    </row>
    <row r="10" spans="1:14" ht="21.25" customHeight="1" x14ac:dyDescent="0.15">
      <c r="A10" s="10" t="s">
        <v>34</v>
      </c>
      <c r="B10" s="18"/>
      <c r="C10" s="18"/>
      <c r="D10" s="13"/>
      <c r="E10" s="13"/>
      <c r="F10" s="13"/>
      <c r="G10" s="27"/>
      <c r="H10" s="28"/>
      <c r="I10" s="28"/>
      <c r="J10" s="28"/>
      <c r="K10" s="28"/>
      <c r="L10" s="27"/>
      <c r="M10" s="10" t="s">
        <v>35</v>
      </c>
      <c r="N10" s="32" t="s">
        <v>36</v>
      </c>
    </row>
    <row r="11" spans="1:14" ht="21.25" customHeight="1" x14ac:dyDescent="0.15">
      <c r="A11" s="10" t="s">
        <v>37</v>
      </c>
      <c r="B11" s="11">
        <v>2</v>
      </c>
      <c r="C11" s="18"/>
      <c r="D11" s="13"/>
      <c r="E11" s="195" t="s">
        <v>38</v>
      </c>
      <c r="F11" s="194"/>
      <c r="G11" s="27"/>
      <c r="H11" s="196" t="s">
        <v>39</v>
      </c>
      <c r="I11" s="194"/>
      <c r="J11" s="194"/>
      <c r="K11" s="28"/>
      <c r="L11" s="27"/>
      <c r="M11" s="24"/>
      <c r="N11" s="18"/>
    </row>
    <row r="12" spans="1:14" ht="21.25" customHeight="1" x14ac:dyDescent="0.15">
      <c r="A12" s="10" t="s">
        <v>40</v>
      </c>
      <c r="B12" s="18"/>
      <c r="C12" s="18"/>
      <c r="D12" s="13"/>
      <c r="E12" s="193" t="s">
        <v>41</v>
      </c>
      <c r="F12" s="194"/>
      <c r="G12" s="27"/>
      <c r="H12" s="28"/>
      <c r="I12" s="28"/>
      <c r="J12" s="28"/>
      <c r="K12" s="28"/>
      <c r="L12" s="27"/>
      <c r="M12" s="10" t="s">
        <v>42</v>
      </c>
      <c r="N12" s="32" t="s">
        <v>43</v>
      </c>
    </row>
    <row r="13" spans="1:14" ht="21.25" customHeight="1" x14ac:dyDescent="0.15">
      <c r="A13" s="10" t="s">
        <v>44</v>
      </c>
      <c r="B13" s="18"/>
      <c r="C13" s="18"/>
      <c r="D13" s="13"/>
      <c r="E13" s="13"/>
      <c r="F13" s="13"/>
      <c r="G13" s="27"/>
      <c r="H13" s="28"/>
      <c r="I13" s="28"/>
      <c r="J13" s="28"/>
      <c r="K13" s="28"/>
      <c r="L13" s="27"/>
      <c r="M13" s="10" t="s">
        <v>42</v>
      </c>
      <c r="N13" s="15" t="s">
        <v>45</v>
      </c>
    </row>
    <row r="14" spans="1:14" ht="21.25" customHeight="1" x14ac:dyDescent="0.15">
      <c r="A14" s="10" t="s">
        <v>46</v>
      </c>
      <c r="B14" s="18"/>
      <c r="C14" s="11">
        <v>1</v>
      </c>
      <c r="D14" s="13"/>
      <c r="E14" s="195" t="s">
        <v>47</v>
      </c>
      <c r="F14" s="194"/>
      <c r="G14" s="27"/>
      <c r="H14" s="196" t="s">
        <v>48</v>
      </c>
      <c r="I14" s="194"/>
      <c r="J14" s="194"/>
      <c r="K14" s="28"/>
      <c r="L14" s="27"/>
      <c r="M14" s="10" t="s">
        <v>42</v>
      </c>
      <c r="N14" s="17" t="s">
        <v>49</v>
      </c>
    </row>
    <row r="15" spans="1:14" ht="21.25" customHeight="1" x14ac:dyDescent="0.15">
      <c r="A15" s="10" t="s">
        <v>50</v>
      </c>
      <c r="B15" s="18"/>
      <c r="C15" s="11"/>
      <c r="D15" s="13"/>
      <c r="E15" s="193" t="s">
        <v>2</v>
      </c>
      <c r="F15" s="194"/>
      <c r="G15" s="27"/>
      <c r="H15" s="28"/>
      <c r="I15" s="28"/>
      <c r="J15" s="28"/>
      <c r="K15" s="28"/>
      <c r="L15" s="27"/>
      <c r="M15" s="10" t="s">
        <v>42</v>
      </c>
      <c r="N15" s="33" t="s">
        <v>51</v>
      </c>
    </row>
    <row r="16" spans="1:14" ht="21.25" customHeight="1" x14ac:dyDescent="0.15">
      <c r="A16" s="10" t="s">
        <v>52</v>
      </c>
      <c r="B16" s="18"/>
      <c r="C16" s="18"/>
      <c r="D16" s="13"/>
      <c r="E16" s="13"/>
      <c r="F16" s="13"/>
      <c r="G16" s="28"/>
      <c r="H16" s="28"/>
      <c r="I16" s="28"/>
      <c r="J16" s="28"/>
      <c r="K16" s="28"/>
      <c r="L16" s="28"/>
      <c r="M16" s="24"/>
      <c r="N16" s="34"/>
    </row>
    <row r="17" spans="1:14" ht="21.25" customHeight="1" x14ac:dyDescent="0.15">
      <c r="A17" s="10" t="s">
        <v>53</v>
      </c>
      <c r="B17" s="18"/>
      <c r="C17" s="18"/>
      <c r="D17" s="13"/>
      <c r="E17" s="195" t="s">
        <v>54</v>
      </c>
      <c r="F17" s="194"/>
      <c r="G17" s="28"/>
      <c r="H17" s="196" t="s">
        <v>55</v>
      </c>
      <c r="I17" s="194"/>
      <c r="J17" s="194"/>
      <c r="K17" s="28"/>
      <c r="L17" s="28"/>
      <c r="M17" s="10" t="s">
        <v>56</v>
      </c>
      <c r="N17" s="32" t="s">
        <v>57</v>
      </c>
    </row>
    <row r="18" spans="1:14" ht="21.25" customHeight="1" x14ac:dyDescent="0.15">
      <c r="A18" s="10" t="s">
        <v>58</v>
      </c>
      <c r="B18" s="18"/>
      <c r="C18" s="18"/>
      <c r="D18" s="13"/>
      <c r="E18" s="193" t="s">
        <v>59</v>
      </c>
      <c r="F18" s="194"/>
      <c r="G18" s="28"/>
      <c r="H18" s="28"/>
      <c r="I18" s="28"/>
      <c r="J18" s="28"/>
      <c r="K18" s="28"/>
      <c r="L18" s="28"/>
      <c r="M18" s="10" t="s">
        <v>56</v>
      </c>
      <c r="N18" s="33" t="s">
        <v>60</v>
      </c>
    </row>
    <row r="19" spans="1:14" ht="21.25" customHeight="1" x14ac:dyDescent="0.15">
      <c r="A19" s="10" t="s">
        <v>61</v>
      </c>
      <c r="B19" s="18"/>
      <c r="C19" s="18"/>
      <c r="D19" s="13"/>
      <c r="E19" s="13"/>
      <c r="F19" s="13"/>
      <c r="G19" s="28"/>
      <c r="H19" s="28"/>
      <c r="I19" s="28"/>
      <c r="J19" s="28"/>
      <c r="K19" s="28"/>
      <c r="L19" s="28"/>
      <c r="M19" s="24"/>
      <c r="N19" s="34"/>
    </row>
    <row r="20" spans="1:14" ht="21.25" customHeight="1" x14ac:dyDescent="0.15">
      <c r="A20" s="10"/>
      <c r="B20" s="18"/>
      <c r="C20" s="18"/>
      <c r="D20" s="13"/>
      <c r="E20" s="195" t="s">
        <v>62</v>
      </c>
      <c r="F20" s="194"/>
      <c r="G20" s="28"/>
      <c r="H20" s="196" t="s">
        <v>63</v>
      </c>
      <c r="I20" s="194"/>
      <c r="J20" s="194"/>
      <c r="K20" s="28"/>
      <c r="L20" s="28"/>
      <c r="M20" s="10" t="s">
        <v>64</v>
      </c>
      <c r="N20" s="32" t="s">
        <v>65</v>
      </c>
    </row>
    <row r="21" spans="1:14" ht="21.25" customHeight="1" x14ac:dyDescent="0.15">
      <c r="A21" s="10" t="s">
        <v>66</v>
      </c>
      <c r="B21" s="11">
        <v>3</v>
      </c>
      <c r="C21" s="11">
        <v>1</v>
      </c>
      <c r="D21" s="13"/>
      <c r="E21" s="193" t="s">
        <v>902</v>
      </c>
      <c r="F21" s="194"/>
      <c r="G21" s="28"/>
      <c r="H21" s="28"/>
      <c r="I21" s="28"/>
      <c r="J21" s="28"/>
      <c r="K21" s="28"/>
      <c r="L21" s="28"/>
      <c r="M21" s="35" t="s">
        <v>67</v>
      </c>
      <c r="N21" s="36" t="s">
        <v>68</v>
      </c>
    </row>
    <row r="22" spans="1:14" ht="21.25" customHeight="1" x14ac:dyDescent="0.15">
      <c r="A22" s="10" t="s">
        <v>69</v>
      </c>
      <c r="B22" s="18"/>
      <c r="C22" s="18"/>
      <c r="D22" s="13"/>
      <c r="E22" s="13"/>
      <c r="F22" s="13"/>
      <c r="G22" s="28"/>
      <c r="H22" s="28"/>
      <c r="I22" s="28"/>
      <c r="J22" s="28"/>
      <c r="K22" s="28"/>
      <c r="L22" s="28"/>
      <c r="M22" s="37"/>
      <c r="N22" s="13"/>
    </row>
    <row r="23" spans="1:14" ht="21.25" customHeight="1" x14ac:dyDescent="0.15">
      <c r="A23" s="10" t="s">
        <v>70</v>
      </c>
      <c r="B23" s="18"/>
      <c r="C23" s="18"/>
      <c r="D23" s="13"/>
      <c r="E23" s="195" t="s">
        <v>71</v>
      </c>
      <c r="F23" s="194"/>
      <c r="G23" s="13"/>
      <c r="H23" s="13"/>
      <c r="I23" s="13"/>
      <c r="J23" s="13"/>
      <c r="K23" s="13"/>
      <c r="L23" s="13"/>
      <c r="M23" s="37"/>
      <c r="N23" s="13"/>
    </row>
    <row r="24" spans="1:14" ht="21.25" customHeight="1" x14ac:dyDescent="0.15">
      <c r="A24" s="10" t="s">
        <v>72</v>
      </c>
      <c r="B24" s="11">
        <v>1</v>
      </c>
      <c r="C24" s="18">
        <v>1</v>
      </c>
      <c r="D24" s="13"/>
      <c r="E24" s="197">
        <v>12</v>
      </c>
      <c r="F24" s="194"/>
      <c r="G24" s="13"/>
      <c r="H24" s="13"/>
      <c r="I24" s="13"/>
      <c r="J24" s="13"/>
      <c r="K24" s="13"/>
      <c r="L24" s="13"/>
      <c r="M24" s="37"/>
      <c r="N24" s="13"/>
    </row>
    <row r="25" spans="1:14" ht="21.25" customHeight="1" x14ac:dyDescent="0.15">
      <c r="A25" s="10" t="s">
        <v>73</v>
      </c>
      <c r="B25" s="11">
        <v>0.5</v>
      </c>
      <c r="C25" s="18"/>
      <c r="D25" s="13"/>
      <c r="E25" s="13"/>
      <c r="F25" s="13"/>
      <c r="G25" s="13"/>
      <c r="H25" s="13"/>
      <c r="I25" s="13"/>
      <c r="J25" s="13"/>
      <c r="K25" s="13"/>
      <c r="L25" s="13"/>
      <c r="M25" s="37"/>
      <c r="N25" s="13"/>
    </row>
    <row r="26" spans="1:14" ht="21.25" customHeight="1" x14ac:dyDescent="0.15">
      <c r="A26" s="10" t="s">
        <v>74</v>
      </c>
      <c r="B26" s="18"/>
      <c r="C26" s="11">
        <v>1</v>
      </c>
      <c r="D26" s="13"/>
      <c r="E26" s="199" t="s">
        <v>75</v>
      </c>
      <c r="F26" s="200"/>
      <c r="G26" s="13"/>
      <c r="H26" s="196" t="s">
        <v>76</v>
      </c>
      <c r="I26" s="194"/>
      <c r="J26" s="194"/>
      <c r="K26" s="28"/>
      <c r="L26" s="13"/>
      <c r="M26" s="198"/>
      <c r="N26" s="194"/>
    </row>
    <row r="27" spans="1:14" ht="21.25" customHeight="1" x14ac:dyDescent="0.15">
      <c r="A27" s="10" t="s">
        <v>77</v>
      </c>
      <c r="B27" s="11">
        <v>-3</v>
      </c>
      <c r="C27" s="18"/>
      <c r="D27" s="13"/>
      <c r="E27" s="201" t="s">
        <v>78</v>
      </c>
      <c r="F27" s="202"/>
      <c r="G27" s="13"/>
      <c r="H27" s="194"/>
      <c r="I27" s="194"/>
      <c r="J27" s="194"/>
      <c r="K27" s="28"/>
      <c r="L27" s="13"/>
      <c r="M27" s="194"/>
      <c r="N27" s="194"/>
    </row>
    <row r="28" spans="1:14" ht="21.25" customHeight="1" x14ac:dyDescent="0.15">
      <c r="A28" s="10" t="s">
        <v>79</v>
      </c>
      <c r="B28" s="18"/>
      <c r="C28" s="11">
        <v>1</v>
      </c>
      <c r="D28" s="13"/>
      <c r="E28" s="30" t="s">
        <v>80</v>
      </c>
      <c r="F28" s="38">
        <v>0.2</v>
      </c>
      <c r="G28" s="13"/>
      <c r="H28" s="196" t="s">
        <v>81</v>
      </c>
      <c r="I28" s="194"/>
      <c r="J28" s="194"/>
      <c r="K28" s="28"/>
      <c r="L28" s="13"/>
      <c r="M28" s="198"/>
      <c r="N28" s="194"/>
    </row>
    <row r="29" spans="1:14" ht="21.25" customHeight="1" x14ac:dyDescent="0.15">
      <c r="A29" s="10" t="s">
        <v>82</v>
      </c>
      <c r="B29" s="18"/>
      <c r="C29" s="18"/>
      <c r="D29" s="13"/>
      <c r="E29" s="30" t="s">
        <v>83</v>
      </c>
      <c r="F29" s="38">
        <v>0.1</v>
      </c>
      <c r="G29" s="13"/>
      <c r="H29" s="194"/>
      <c r="I29" s="194"/>
      <c r="J29" s="194"/>
      <c r="K29" s="28"/>
      <c r="L29" s="13"/>
      <c r="M29" s="194"/>
      <c r="N29" s="194"/>
    </row>
    <row r="30" spans="1:14" ht="21.25" customHeight="1" x14ac:dyDescent="0.15">
      <c r="A30" s="24"/>
      <c r="B30" s="18"/>
      <c r="C30" s="18"/>
      <c r="D30" s="13"/>
      <c r="E30" s="30" t="s">
        <v>84</v>
      </c>
      <c r="F30" s="38">
        <v>0.05</v>
      </c>
      <c r="G30" s="13"/>
      <c r="H30" s="196" t="s">
        <v>85</v>
      </c>
      <c r="I30" s="194"/>
      <c r="J30" s="194"/>
      <c r="K30" s="28"/>
      <c r="L30" s="13"/>
      <c r="M30" s="198"/>
      <c r="N30" s="194"/>
    </row>
    <row r="31" spans="1:14" ht="21.25" customHeight="1" x14ac:dyDescent="0.15">
      <c r="A31" s="24"/>
      <c r="B31" s="18"/>
      <c r="C31" s="18"/>
      <c r="D31" s="13"/>
      <c r="E31" s="30" t="s">
        <v>86</v>
      </c>
      <c r="F31" s="38">
        <v>-0.05</v>
      </c>
      <c r="G31" s="13"/>
      <c r="H31" s="194"/>
      <c r="I31" s="194"/>
      <c r="J31" s="194"/>
      <c r="K31" s="28"/>
      <c r="L31" s="13"/>
      <c r="M31" s="194"/>
      <c r="N31" s="194"/>
    </row>
    <row r="32" spans="1:14" ht="21.25" customHeight="1" x14ac:dyDescent="0.15">
      <c r="A32" s="24"/>
      <c r="B32" s="18"/>
      <c r="C32" s="18"/>
      <c r="D32" s="13"/>
      <c r="E32" s="30" t="s">
        <v>87</v>
      </c>
      <c r="F32" s="38">
        <v>-0.1</v>
      </c>
      <c r="G32" s="13"/>
      <c r="H32" s="194"/>
      <c r="I32" s="194"/>
      <c r="J32" s="194"/>
      <c r="K32" s="28"/>
      <c r="L32" s="13"/>
      <c r="M32" s="194"/>
      <c r="N32" s="194"/>
    </row>
    <row r="33" spans="1:14" ht="21.25" customHeight="1" x14ac:dyDescent="0.15">
      <c r="A33" s="24"/>
      <c r="B33" s="18"/>
      <c r="C33" s="18"/>
      <c r="D33" s="13"/>
      <c r="E33" s="30" t="s">
        <v>88</v>
      </c>
      <c r="F33" s="38">
        <v>-0.2</v>
      </c>
      <c r="G33" s="13"/>
      <c r="H33" s="28"/>
      <c r="I33" s="28"/>
      <c r="J33" s="28"/>
      <c r="K33" s="28"/>
      <c r="L33" s="13"/>
      <c r="M33" s="39"/>
      <c r="N33" s="28"/>
    </row>
  </sheetData>
  <mergeCells count="25">
    <mergeCell ref="M26:N27"/>
    <mergeCell ref="M28:N29"/>
    <mergeCell ref="M30:N32"/>
    <mergeCell ref="E26:F26"/>
    <mergeCell ref="H26:J27"/>
    <mergeCell ref="H28:J29"/>
    <mergeCell ref="H30:J32"/>
    <mergeCell ref="E27:F27"/>
    <mergeCell ref="E23:F23"/>
    <mergeCell ref="E24:F24"/>
    <mergeCell ref="E20:F20"/>
    <mergeCell ref="E21:F21"/>
    <mergeCell ref="H20:J20"/>
    <mergeCell ref="E15:F15"/>
    <mergeCell ref="E17:F17"/>
    <mergeCell ref="E18:F18"/>
    <mergeCell ref="H8:J8"/>
    <mergeCell ref="H11:J11"/>
    <mergeCell ref="H14:J14"/>
    <mergeCell ref="H17:J17"/>
    <mergeCell ref="E8:F8"/>
    <mergeCell ref="E9:F9"/>
    <mergeCell ref="E11:F11"/>
    <mergeCell ref="E12:F12"/>
    <mergeCell ref="E14:F14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S67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N3" sqref="N3"/>
    </sheetView>
  </sheetViews>
  <sheetFormatPr baseColWidth="10" defaultColWidth="8" defaultRowHeight="16.25" customHeight="1" x14ac:dyDescent="0.15"/>
  <cols>
    <col min="1" max="1" width="4.6640625" style="1" customWidth="1"/>
    <col min="2" max="2" width="28.33203125" style="1" customWidth="1"/>
    <col min="3" max="4" width="7.1640625" style="1" customWidth="1"/>
    <col min="5" max="5" width="6" style="1" customWidth="1"/>
    <col min="6" max="14" width="8.33203125" style="1" customWidth="1"/>
    <col min="15" max="15" width="3.5" style="1" customWidth="1"/>
    <col min="16" max="34" width="7.1640625" style="1" customWidth="1"/>
    <col min="35" max="35" width="2.33203125" style="1" customWidth="1"/>
    <col min="36" max="44" width="7.1640625" style="1" customWidth="1"/>
    <col min="45" max="45" width="2.33203125" style="1" customWidth="1"/>
    <col min="46" max="46" width="8" style="1" customWidth="1"/>
    <col min="47" max="16384" width="8" style="1"/>
  </cols>
  <sheetData>
    <row r="1" spans="1:45" ht="49" customHeight="1" x14ac:dyDescent="0.15">
      <c r="A1" s="40" t="s">
        <v>89</v>
      </c>
      <c r="B1" s="41" t="s">
        <v>90</v>
      </c>
      <c r="C1" s="42" t="s">
        <v>91</v>
      </c>
      <c r="D1" s="203" t="s">
        <v>92</v>
      </c>
      <c r="E1" s="200"/>
      <c r="F1" s="42" t="s">
        <v>93</v>
      </c>
      <c r="G1" s="42" t="s">
        <v>94</v>
      </c>
      <c r="H1" s="42" t="s">
        <v>95</v>
      </c>
      <c r="I1" s="43" t="s">
        <v>96</v>
      </c>
      <c r="J1" s="42" t="s">
        <v>97</v>
      </c>
      <c r="K1" s="43" t="s">
        <v>98</v>
      </c>
      <c r="L1" s="43" t="s">
        <v>99</v>
      </c>
      <c r="M1" s="43" t="s">
        <v>100</v>
      </c>
      <c r="N1" s="43" t="s">
        <v>101</v>
      </c>
      <c r="O1" s="44"/>
      <c r="P1" s="45" t="s">
        <v>102</v>
      </c>
      <c r="Q1" s="46" t="s">
        <v>103</v>
      </c>
      <c r="R1" s="46" t="s">
        <v>56</v>
      </c>
      <c r="S1" s="46" t="s">
        <v>104</v>
      </c>
      <c r="T1" s="46" t="s">
        <v>105</v>
      </c>
      <c r="U1" s="46" t="s">
        <v>106</v>
      </c>
      <c r="V1" s="46" t="s">
        <v>107</v>
      </c>
      <c r="W1" s="46" t="s">
        <v>64</v>
      </c>
      <c r="X1" s="46" t="s">
        <v>67</v>
      </c>
      <c r="Y1" s="46" t="s">
        <v>108</v>
      </c>
      <c r="Z1" s="46" t="s">
        <v>109</v>
      </c>
      <c r="AA1" s="46" t="s">
        <v>110</v>
      </c>
      <c r="AB1" s="46" t="s">
        <v>111</v>
      </c>
      <c r="AC1" s="46" t="s">
        <v>112</v>
      </c>
      <c r="AD1" s="46" t="s">
        <v>113</v>
      </c>
      <c r="AE1" s="46" t="s">
        <v>114</v>
      </c>
      <c r="AF1" s="46" t="s">
        <v>115</v>
      </c>
      <c r="AG1" s="46" t="s">
        <v>116</v>
      </c>
      <c r="AH1" s="46" t="s">
        <v>117</v>
      </c>
      <c r="AI1" s="44"/>
      <c r="AJ1" s="46" t="s">
        <v>103</v>
      </c>
      <c r="AK1" s="46" t="s">
        <v>118</v>
      </c>
      <c r="AL1" s="46" t="s">
        <v>119</v>
      </c>
      <c r="AM1" s="46" t="s">
        <v>120</v>
      </c>
      <c r="AN1" s="46" t="s">
        <v>121</v>
      </c>
      <c r="AO1" s="46" t="s">
        <v>122</v>
      </c>
      <c r="AP1" s="46" t="s">
        <v>123</v>
      </c>
      <c r="AQ1" s="46" t="s">
        <v>124</v>
      </c>
      <c r="AR1" s="46" t="s">
        <v>125</v>
      </c>
      <c r="AS1" s="44"/>
    </row>
    <row r="2" spans="1:45" ht="21.25" customHeight="1" x14ac:dyDescent="0.15">
      <c r="A2" s="62">
        <f>RANK(K2,K$2:K$671)</f>
        <v>3</v>
      </c>
      <c r="B2" s="10" t="s">
        <v>130</v>
      </c>
      <c r="C2" s="47" t="s">
        <v>145</v>
      </c>
      <c r="D2" s="48" t="str" cm="1">
        <f t="array" ref="D2">VLOOKUP(B2,'Player Data'!A1:D673,4,FALSE)</f>
        <v>D</v>
      </c>
      <c r="E2" s="68" cm="1">
        <f t="array" ref="E2">VLOOKUP(B2,D!A1:C204,3,FALSE)</f>
        <v>1</v>
      </c>
      <c r="F2" s="50" t="str" cm="1">
        <f t="array" ref="F2">VLOOKUP(B2,'Player Data'!A1:B673,2,FALSE)</f>
        <v>COL</v>
      </c>
      <c r="G2" s="11" cm="1">
        <f t="array" ref="G2">VLOOKUP(B2,'Player Data'!A1:D673,3,FALSE)</f>
        <v>27</v>
      </c>
      <c r="H2" s="67" cm="1">
        <f t="array" ref="H2">IFERROR(VLOOKUP(B2,ADP!A1:F671,6,FALSE)/1000000,VLOOKUP(B2,ADP!A1:F671,6,FALSE))</f>
        <v>9</v>
      </c>
      <c r="I2" s="52">
        <f>IF(Settings!$E$15="POINTS",((R2*Q2)*Settings!$B$12)+(S2*Settings!$B$2)+(T2*Settings!$B$3)+(U2*Settings!$B$4)+(V2*Settings!$B$5)+(X2*Settings!$B$9)+(AA2*Settings!$B$6)+(W2*Settings!$B$8)+(AB2*Settings!$B$7)+(AC2*Settings!$B$14)+(AD2*Settings!$B$15)+(AE2*Settings!$B$16)+(AF2*Settings!$B$17)+(AG2*Settings!$B$18)+(U2*Settings!$B$13)+(Y2*Settings!$B$10)+(Z2*Settings!$B$11),VLOOKUP(B2,'Standard Deviations'!A$1:C$672,3,FALSE))</f>
        <v>9.2791339731796594</v>
      </c>
      <c r="J2" s="53" cm="1">
        <f t="array" ref="J2">IF(D2="G",I2/AJ2,I2/Q2)</f>
        <v>0.11316017040462999</v>
      </c>
      <c r="K2" s="52" cm="1">
        <f t="array" ref="K2">VLOOKUP(B2,D!A1:F204,6,FALSE)</f>
        <v>8.7122830586621056</v>
      </c>
      <c r="L2" s="54" cm="1">
        <f t="array" ref="L2">IFERROR(K2/H2,"N/A")</f>
        <v>0.96803145096245613</v>
      </c>
      <c r="M2" s="55">
        <v>7.3</v>
      </c>
      <c r="N2" s="55" cm="1">
        <f t="array" ref="N2">IFERROR(M2-A2,"N/A")</f>
        <v>4.3</v>
      </c>
      <c r="O2" s="55"/>
      <c r="P2" s="56" cm="1">
        <f t="array" ref="P2">_xlfn.XLOOKUP($B2,ADP!A2:A671,ADP!G2:G671)</f>
        <v>0</v>
      </c>
      <c r="Q2" s="57" cm="1">
        <f t="array" ref="Q2">IF(Settings!$E$12="YES",VLOOKUP(B2,'Player Data'!A1:E673,5,FALSE),84)</f>
        <v>82</v>
      </c>
      <c r="R2" s="55" cm="1">
        <f t="array" ref="R2">VLOOKUP(B2,'Player Data'!$A1:$AE673,6,FALSE)</f>
        <v>25.3</v>
      </c>
      <c r="S2" s="57" cm="1">
        <f t="array" ref="S2">VLOOKUP(B2,'Player Data'!$A1:$AE673,7,FALSE)*$Q2*IFERROR((VLOOKUP(P2,Settings!$E$28:$F$33,2,FALSE)+1),1)</f>
        <v>22.14</v>
      </c>
      <c r="T2" s="57" cm="1">
        <f t="array" ref="T2">VLOOKUP(B2,'Player Data'!$A1:$AE673,8,FALSE)*$Q2*IFERROR((VLOOKUP(P2,Settings!$E$28:$F$33,2,FALSE)+1),1)</f>
        <v>63.96</v>
      </c>
      <c r="U2" s="57" cm="1">
        <f t="array" ref="U2">SUM(S2:T2)</f>
        <v>86.1</v>
      </c>
      <c r="V2" s="57" cm="1">
        <f t="array" ref="V2">VLOOKUP(B2,'Player Data'!$A1:$AE673,10,FALSE)*$Q2*IFERROR(((VLOOKUP(P2,Settings!$E$28:$F$33,2,FALSE)/2)+1),1)</f>
        <v>225.5</v>
      </c>
      <c r="W2" s="58" cm="1">
        <f t="array" ref="W2">VLOOKUP(B2,'Player Data'!$A1:$AE673,11,FALSE)*$Q2*IFERROR((VLOOKUP(P2,Settings!$E$28:$F$33,2,FALSE)+1),1)</f>
        <v>6.5600000000000005</v>
      </c>
      <c r="X2" s="57" cm="1">
        <f t="array" ref="X2">VLOOKUP(B2,'Player Data'!$A1:$AE673,12,FALSE)*$Q2*IFERROR((VLOOKUP(P2,Settings!$E$28:$F$33,2,FALSE)+1),1)</f>
        <v>33.619999999999997</v>
      </c>
      <c r="Y2" s="57" cm="1">
        <f t="array" ref="Y2">VLOOKUP(B2,'Player Data'!$A1:$AE673,13,FALSE)*$Q2</f>
        <v>0.82000000000000006</v>
      </c>
      <c r="Z2" s="57" cm="1">
        <f t="array" ref="Z2">VLOOKUP(B2,'Player Data'!$A1:$AE673,14,FALSE)*$Q2</f>
        <v>1.6400000000000001</v>
      </c>
      <c r="AA2" s="57" cm="1">
        <f t="array" ref="AA2">VLOOKUP(B2,'Player Data'!$A1:$AE673,15,FALSE)*$Q2</f>
        <v>132.84</v>
      </c>
      <c r="AB2" s="57" cm="1">
        <f t="array" ref="AB2">VLOOKUP(B2,'Player Data'!$A1:$AE673,16,FALSE)*$Q2</f>
        <v>51.660000000000004</v>
      </c>
      <c r="AC2" s="57" cm="1">
        <f t="array" ref="AC2">VLOOKUP(B2,'Player Data'!$A1:$AE673,17,FALSE)*$Q2*IFERROR((VLOOKUP(P2,Settings!$E$28:$F$33,2,FALSE)+1),1)</f>
        <v>9.84</v>
      </c>
      <c r="AD2" s="57" cm="1">
        <f t="array" ref="AD2">VLOOKUP(B2,'Player Data'!$A1:$AE673,18,FALSE)*$Q2</f>
        <v>24.599999999999998</v>
      </c>
      <c r="AE2" s="57" cm="1">
        <f t="array" ref="AE2">VLOOKUP(B2,'Player Data'!$A1:$AE673,19,FALSE)*$Q2*IFERROR((VLOOKUP(P2,Settings!$E$28:$F$33,2,FALSE)+1),1)</f>
        <v>4.1000000000000005</v>
      </c>
      <c r="AF2" s="57" cm="1">
        <f t="array" ref="AF2">VLOOKUP(B2,'Player Data'!$A1:$AE673,20,FALSE)*$Q2</f>
        <v>0</v>
      </c>
      <c r="AG2" s="57" cm="1">
        <f t="array" ref="AG2">VLOOKUP(B2,'Player Data'!$A1:$AE673,21,FALSE)*$Q2</f>
        <v>0</v>
      </c>
      <c r="AH2" s="59" cm="1">
        <f t="array" ref="AH2">VLOOKUP(B2,'Player Data'!$A1:$AE673,22,FALSE)</f>
        <v>0</v>
      </c>
      <c r="AI2" s="55"/>
      <c r="AJ2" s="57"/>
      <c r="AK2" s="57"/>
      <c r="AL2" s="57"/>
      <c r="AM2" s="57"/>
      <c r="AN2" s="57"/>
      <c r="AO2" s="57"/>
      <c r="AP2" s="57"/>
      <c r="AQ2" s="60"/>
      <c r="AR2" s="61"/>
      <c r="AS2" s="55"/>
    </row>
    <row r="3" spans="1:45" ht="21.25" customHeight="1" x14ac:dyDescent="0.15">
      <c r="A3" s="62">
        <f>RANK(K3,K$2:K$671)</f>
        <v>1</v>
      </c>
      <c r="B3" s="10" t="s">
        <v>126</v>
      </c>
      <c r="C3" s="47" t="s">
        <v>145</v>
      </c>
      <c r="D3" s="48" t="str" cm="1">
        <f t="array" ref="D3">VLOOKUP(B3,'Player Data'!A1:D673,4,FALSE)</f>
        <v>C</v>
      </c>
      <c r="E3" s="49" cm="1">
        <f t="array" ref="E3">VLOOKUP(B3,'C'!A1:C210,3,FALSE)</f>
        <v>1</v>
      </c>
      <c r="F3" s="50" t="str" cm="1">
        <f t="array" ref="F3">VLOOKUP(B3,'Player Data'!A1:B673,2,FALSE)</f>
        <v>COL</v>
      </c>
      <c r="G3" s="11" cm="1">
        <f t="array" ref="G3">VLOOKUP(B3,'Player Data'!A1:D673,3,FALSE)</f>
        <v>31</v>
      </c>
      <c r="H3" s="51" cm="1">
        <f t="array" ref="H3">IFERROR(VLOOKUP(B3,ADP!A1:F671,6,FALSE)/1000000,VLOOKUP(B3,ADP!A1:F671,6,FALSE))</f>
        <v>12.6</v>
      </c>
      <c r="I3" s="52">
        <f>IF(Settings!$E$15="POINTS",((R3*Q3)*Settings!$B$12)+(S3*Settings!$B$2)+(T3*Settings!$B$3)+(U3*Settings!$B$4)+(V3*Settings!$B$5)+(X3*Settings!$B$9)+(AA3*Settings!$B$6)+(W3*Settings!$B$8)+(AB3*Settings!$B$7)+(AC3*Settings!$B$14)+(AD3*Settings!$B$15)+(AE3*Settings!$B$16)+(AF3*Settings!$B$17)+(AG3*Settings!$B$18)+(Y3*Settings!$B$10)+(Z3*Settings!$B$11),VLOOKUP(B3,'Standard Deviations'!A$1:C$672,3,FALSE))</f>
        <v>15.810473107741965</v>
      </c>
      <c r="J3" s="53" cm="1">
        <f t="array" ref="J3">IF(D3="G",I3/AJ3,I3/Q3)</f>
        <v>0.19048762780412007</v>
      </c>
      <c r="K3" s="52" cm="1">
        <f t="array" ref="K3">IF(Settings!$E$18="C/LW/RW",VLOOKUP(B3,'C'!A1:F210,6,FALSE),VLOOKUP(B3,F!A1:F407,6,FALSE))</f>
        <v>9.4504635501269014</v>
      </c>
      <c r="L3" s="54" cm="1">
        <f t="array" ref="L3">IFERROR(K3/H3,"N/A")</f>
        <v>0.75003678969261123</v>
      </c>
      <c r="M3" s="55">
        <v>2.4</v>
      </c>
      <c r="N3" s="55" cm="1">
        <f t="array" ref="N3">IFERROR(M3-A3,"N/A")</f>
        <v>1.4</v>
      </c>
      <c r="O3" s="55"/>
      <c r="P3" s="56" cm="1">
        <f t="array" ref="P3">_xlfn.XLOOKUP($B3,ADP!A2:A671,ADP!G2:G671)</f>
        <v>0</v>
      </c>
      <c r="Q3" s="57" cm="1">
        <f t="array" ref="Q3">IF(Settings!$E$12="YES",VLOOKUP(B3,'Player Data'!A1:E673,5,FALSE),84)</f>
        <v>83</v>
      </c>
      <c r="R3" s="55" cm="1">
        <f t="array" ref="R3">VLOOKUP(B3,'Player Data'!$A1:$AE673,6,FALSE)</f>
        <v>22</v>
      </c>
      <c r="S3" s="57" cm="1">
        <f t="array" ref="S3">VLOOKUP(B3,'Player Data'!$A1:$AE673,7,FALSE)*$Q3*IFERROR((VLOOKUP(P3,Settings!$E$28:$F$33,2,FALSE)+1),1)</f>
        <v>45.650000000000006</v>
      </c>
      <c r="T3" s="57" cm="1">
        <f t="array" ref="T3">VLOOKUP(B3,'Player Data'!$A1:$AE673,8,FALSE)*$Q3*IFERROR((VLOOKUP(P3,Settings!$E$28:$F$33,2,FALSE)+1),1)</f>
        <v>77.19</v>
      </c>
      <c r="U3" s="57" cm="1">
        <f t="array" ref="U3">SUM(S3:T3)</f>
        <v>122.84</v>
      </c>
      <c r="V3" s="57" cm="1">
        <f t="array" ref="V3">VLOOKUP(B3,'Player Data'!$A1:$AE673,10,FALSE)*$Q3*IFERROR(((VLOOKUP(P3,Settings!$E$28:$F$33,2,FALSE)/2)+1),1)</f>
        <v>350.26</v>
      </c>
      <c r="W3" s="58" cm="1">
        <f t="array" ref="W3">VLOOKUP(B3,'Player Data'!$A1:$AE673,11,FALSE)*$Q3*IFERROR((VLOOKUP(P3,Settings!$E$28:$F$33,2,FALSE)+1),1)</f>
        <v>9.9599999999999991</v>
      </c>
      <c r="X3" s="57" cm="1">
        <f t="array" ref="X3">VLOOKUP(B3,'Player Data'!$A1:$AE673,12,FALSE)*$Q3*IFERROR((VLOOKUP(P3,Settings!$E$28:$F$33,2,FALSE)+1),1)</f>
        <v>34.03</v>
      </c>
      <c r="Y3" s="57" cm="1">
        <f t="array" ref="Y3">VLOOKUP(B3,'Player Data'!$A1:$AE673,13,FALSE)*$Q3</f>
        <v>0</v>
      </c>
      <c r="Z3" s="57" cm="1">
        <f t="array" ref="Z3">VLOOKUP(B3,'Player Data'!$A1:$AE673,14,FALSE)*$Q3</f>
        <v>0</v>
      </c>
      <c r="AA3" s="57" cm="1">
        <f t="array" ref="AA3">VLOOKUP(B3,'Player Data'!$A1:$AE673,15,FALSE)*$Q3</f>
        <v>44.82</v>
      </c>
      <c r="AB3" s="57" cm="1">
        <f t="array" ref="AB3">VLOOKUP(B3,'Player Data'!$A1:$AE673,16,FALSE)*$Q3</f>
        <v>58.099999999999994</v>
      </c>
      <c r="AC3" s="57" cm="1">
        <f t="array" ref="AC3">VLOOKUP(B3,'Player Data'!$A1:$AE673,17,FALSE)*$Q3*IFERROR((VLOOKUP(P3,Settings!$E$28:$F$33,2,FALSE)+1),1)</f>
        <v>14.110000000000001</v>
      </c>
      <c r="AD3" s="57" cm="1">
        <f t="array" ref="AD3">VLOOKUP(B3,'Player Data'!$A1:$AE673,18,FALSE)*$Q3</f>
        <v>34.03</v>
      </c>
      <c r="AE3" s="57" cm="1">
        <f t="array" ref="AE3">VLOOKUP(B3,'Player Data'!$A1:$AE673,19,FALSE)*$Q3*IFERROR((VLOOKUP(P3,Settings!$E$28:$F$33,2,FALSE)+1),1)</f>
        <v>8.3000000000000007</v>
      </c>
      <c r="AF3" s="57" cm="1">
        <f t="array" ref="AF3">VLOOKUP(B3,'Player Data'!$A1:$AE673,20,FALSE)*$Q3</f>
        <v>681.43000000000006</v>
      </c>
      <c r="AG3" s="57" cm="1">
        <f t="array" ref="AG3">VLOOKUP(B3,'Player Data'!$A1:$AE673,21,FALSE)*$Q3</f>
        <v>697.2</v>
      </c>
      <c r="AH3" s="59" cm="1">
        <f t="array" ref="AH3">VLOOKUP(B3,'Player Data'!$A1:$AE673,22,FALSE)</f>
        <v>0.49</v>
      </c>
      <c r="AI3" s="55"/>
      <c r="AJ3" s="57"/>
      <c r="AK3" s="57"/>
      <c r="AL3" s="57"/>
      <c r="AM3" s="57"/>
      <c r="AN3" s="57"/>
      <c r="AO3" s="57"/>
      <c r="AP3" s="57"/>
      <c r="AQ3" s="60"/>
      <c r="AR3" s="61"/>
      <c r="AS3" s="55"/>
    </row>
    <row r="4" spans="1:45" ht="21.25" customHeight="1" x14ac:dyDescent="0.15">
      <c r="A4" s="62">
        <f>RANK(K4,K$2:K$671)</f>
        <v>2</v>
      </c>
      <c r="B4" s="10" t="s">
        <v>127</v>
      </c>
      <c r="C4" s="47" t="s">
        <v>145</v>
      </c>
      <c r="D4" s="48" t="str" cm="1">
        <f t="array" ref="D4">VLOOKUP(B4,'Player Data'!A1:D673,4,FALSE)</f>
        <v>C</v>
      </c>
      <c r="E4" s="49" cm="1">
        <f t="array" ref="E4">VLOOKUP(B4,'C'!A1:C210,3,FALSE)</f>
        <v>2</v>
      </c>
      <c r="F4" s="63" t="str" cm="1">
        <f t="array" ref="F4">VLOOKUP(B4,'Player Data'!A1:B673,2,FALSE)</f>
        <v>EDM</v>
      </c>
      <c r="G4" s="11" cm="1">
        <f t="array" ref="G4">VLOOKUP(B4,'Player Data'!A1:D673,3,FALSE)</f>
        <v>29</v>
      </c>
      <c r="H4" s="51" cm="1">
        <f t="array" ref="H4">IFERROR(VLOOKUP(B4,ADP!A1:F671,6,FALSE)/1000000,VLOOKUP(B4,ADP!A1:F671,6,FALSE))</f>
        <v>12.5</v>
      </c>
      <c r="I4" s="52">
        <f>IF(Settings!$E$15="POINTS",((R4*Q4)*Settings!$B$12)+(S4*Settings!$B$2)+(T4*Settings!$B$3)+(U4*Settings!$B$4)+(V4*Settings!$B$5)+(X4*Settings!$B$9)+(AA4*Settings!$B$6)+(W4*Settings!$B$8)+(AB4*Settings!$B$7)+(AC4*Settings!$B$14)+(AD4*Settings!$B$15)+(AE4*Settings!$B$16)+(AF4*Settings!$B$17)+(AG4*Settings!$B$18)+(Y4*Settings!$B$10)+(Z4*Settings!$B$11),VLOOKUP(B4,'Standard Deviations'!A$1:C$672,3,FALSE))</f>
        <v>15.623746502828114</v>
      </c>
      <c r="J4" s="53" cm="1">
        <f t="array" ref="J4">IF(D4="G",I4/AJ4,I4/Q4)</f>
        <v>0.19288575929417426</v>
      </c>
      <c r="K4" s="52" cm="1">
        <f t="array" ref="K4">IF(Settings!$E$18="C/LW/RW",VLOOKUP(B4,'C'!A1:F210,6,FALSE),VLOOKUP(B4,F!A1:F407,6,FALSE))</f>
        <v>9.2637369452130507</v>
      </c>
      <c r="L4" s="54" cm="1">
        <f t="array" ref="L4">IFERROR(K4/H4,"N/A")</f>
        <v>0.74109895561704409</v>
      </c>
      <c r="M4" s="55">
        <v>1.5</v>
      </c>
      <c r="N4" s="55" cm="1">
        <f t="array" ref="N4">IFERROR(M4-A4,"N/A")</f>
        <v>-0.5</v>
      </c>
      <c r="O4" s="55"/>
      <c r="P4" s="56" cm="1">
        <f t="array" ref="P4">_xlfn.XLOOKUP($B4,ADP!A2:A671,ADP!G2:G671)</f>
        <v>0</v>
      </c>
      <c r="Q4" s="57" cm="1">
        <f t="array" ref="Q4">IF(Settings!$E$12="YES",VLOOKUP(B4,'Player Data'!A1:E673,5,FALSE),84)</f>
        <v>81</v>
      </c>
      <c r="R4" s="55" cm="1">
        <f t="array" ref="R4">VLOOKUP(B4,'Player Data'!$A1:$AE673,6,FALSE)</f>
        <v>22</v>
      </c>
      <c r="S4" s="57" cm="1">
        <f t="array" ref="S4">VLOOKUP(B4,'Player Data'!$A1:$AE673,7,FALSE)*$Q4*IFERROR((VLOOKUP(P4,Settings!$E$28:$F$33,2,FALSE)+1),1)</f>
        <v>39.69</v>
      </c>
      <c r="T4" s="57" cm="1">
        <f t="array" ref="T4">VLOOKUP(B4,'Player Data'!$A1:$AE673,8,FALSE)*$Q4*IFERROR((VLOOKUP(P4,Settings!$E$28:$F$33,2,FALSE)+1),1)</f>
        <v>90.720000000000013</v>
      </c>
      <c r="U4" s="57" cm="1">
        <f t="array" ref="U4">SUM(S4:T4)</f>
        <v>130.41000000000003</v>
      </c>
      <c r="V4" s="57" cm="1">
        <f t="array" ref="V4">VLOOKUP(B4,'Player Data'!$A1:$AE673,10,FALSE)*$Q4*IFERROR(((VLOOKUP(P4,Settings!$E$28:$F$33,2,FALSE)/2)+1),1)</f>
        <v>281.88</v>
      </c>
      <c r="W4" s="58" cm="1">
        <f t="array" ref="W4">VLOOKUP(B4,'Player Data'!$A1:$AE673,11,FALSE)*$Q4*IFERROR((VLOOKUP(P4,Settings!$E$28:$F$33,2,FALSE)+1),1)</f>
        <v>12.15</v>
      </c>
      <c r="X4" s="57" cm="1">
        <f t="array" ref="X4">VLOOKUP(B4,'Player Data'!$A1:$AE673,12,FALSE)*$Q4*IFERROR((VLOOKUP(P4,Settings!$E$28:$F$33,2,FALSE)+1),1)</f>
        <v>50.22</v>
      </c>
      <c r="Y4" s="57" cm="1">
        <f t="array" ref="Y4">VLOOKUP(B4,'Player Data'!$A1:$AE673,13,FALSE)*$Q4</f>
        <v>0</v>
      </c>
      <c r="Z4" s="57" cm="1">
        <f t="array" ref="Z4">VLOOKUP(B4,'Player Data'!$A1:$AE673,14,FALSE)*$Q4</f>
        <v>0</v>
      </c>
      <c r="AA4" s="57" cm="1">
        <f t="array" ref="AA4">VLOOKUP(B4,'Player Data'!$A1:$AE673,15,FALSE)*$Q4</f>
        <v>29.16</v>
      </c>
      <c r="AB4" s="57" cm="1">
        <f t="array" ref="AB4">VLOOKUP(B4,'Player Data'!$A1:$AE673,16,FALSE)*$Q4</f>
        <v>47.79</v>
      </c>
      <c r="AC4" s="57" cm="1">
        <f t="array" ref="AC4">VLOOKUP(B4,'Player Data'!$A1:$AE673,17,FALSE)*$Q4*IFERROR((VLOOKUP(P4,Settings!$E$28:$F$33,2,FALSE)+1),1)</f>
        <v>10.530000000000001</v>
      </c>
      <c r="AD4" s="57" cm="1">
        <f t="array" ref="AD4">VLOOKUP(B4,'Player Data'!$A1:$AE673,18,FALSE)*$Q4</f>
        <v>38.07</v>
      </c>
      <c r="AE4" s="57" cm="1">
        <f t="array" ref="AE4">VLOOKUP(B4,'Player Data'!$A1:$AE673,19,FALSE)*$Q4*IFERROR((VLOOKUP(P4,Settings!$E$28:$F$33,2,FALSE)+1),1)</f>
        <v>6.48</v>
      </c>
      <c r="AF4" s="57" cm="1">
        <f t="array" ref="AF4">VLOOKUP(B4,'Player Data'!$A1:$AE673,20,FALSE)*$Q4</f>
        <v>437.40000000000003</v>
      </c>
      <c r="AG4" s="57" cm="1">
        <f t="array" ref="AG4">VLOOKUP(B4,'Player Data'!$A1:$AE673,21,FALSE)*$Q4</f>
        <v>450.35999999999996</v>
      </c>
      <c r="AH4" s="59" cm="1">
        <f t="array" ref="AH4">VLOOKUP(B4,'Player Data'!$A1:$AE673,22,FALSE)</f>
        <v>0.49</v>
      </c>
      <c r="AI4" s="55"/>
      <c r="AJ4" s="57"/>
      <c r="AK4" s="57"/>
      <c r="AL4" s="57"/>
      <c r="AM4" s="57"/>
      <c r="AN4" s="57"/>
      <c r="AO4" s="57"/>
      <c r="AP4" s="57"/>
      <c r="AQ4" s="60"/>
      <c r="AR4" s="61"/>
      <c r="AS4" s="55"/>
    </row>
    <row r="5" spans="1:45" ht="21.25" customHeight="1" x14ac:dyDescent="0.15">
      <c r="A5" s="62">
        <f>RANK(K5,K$2:K$671)</f>
        <v>4</v>
      </c>
      <c r="B5" s="10" t="s">
        <v>133</v>
      </c>
      <c r="C5" s="47" t="s">
        <v>145</v>
      </c>
      <c r="D5" s="48" t="str" cm="1">
        <f t="array" ref="D5">VLOOKUP(B5,'Player Data'!A1:D673,4,FALSE)</f>
        <v>D</v>
      </c>
      <c r="E5" s="68" cm="1">
        <f t="array" ref="E5">VLOOKUP(B5,D!A1:C204,3,FALSE)</f>
        <v>2</v>
      </c>
      <c r="F5" s="63" t="str" cm="1">
        <f t="array" ref="F5">VLOOKUP(B5,'Player Data'!A1:B673,2,FALSE)</f>
        <v>EDM</v>
      </c>
      <c r="G5" s="11" cm="1">
        <f t="array" ref="G5">VLOOKUP(B5,'Player Data'!A1:D673,3,FALSE)</f>
        <v>26</v>
      </c>
      <c r="H5" s="51" cm="1">
        <f t="array" ref="H5">IFERROR(VLOOKUP(B5,ADP!A1:F671,6,FALSE)/1000000,VLOOKUP(B5,ADP!A1:F671,6,FALSE))</f>
        <v>10.5</v>
      </c>
      <c r="I5" s="52">
        <f>IF(Settings!$E$15="POINTS",((R5*Q5)*Settings!$B$12)+(S5*Settings!$B$2)+(T5*Settings!$B$3)+(U5*Settings!$B$4)+(V5*Settings!$B$5)+(X5*Settings!$B$9)+(AA5*Settings!$B$6)+(W5*Settings!$B$8)+(AB5*Settings!$B$7)+(AC5*Settings!$B$14)+(AD5*Settings!$B$15)+(AE5*Settings!$B$16)+(AF5*Settings!$B$17)+(AG5*Settings!$B$18)+(U5*Settings!$B$13)+(Y5*Settings!$B$10)+(Z5*Settings!$B$11),VLOOKUP(B5,'Standard Deviations'!A$1:C$672,3,FALSE))</f>
        <v>8.8388074941457138</v>
      </c>
      <c r="J5" s="53" cm="1">
        <f t="array" ref="J5">IF(D5="G",I5/AJ5,I5/Q5)</f>
        <v>0.10522389873982993</v>
      </c>
      <c r="K5" s="52" cm="1">
        <f t="array" ref="K5">VLOOKUP(B5,D!A1:F204,6,FALSE)</f>
        <v>8.27195657962816</v>
      </c>
      <c r="L5" s="54" cm="1">
        <f t="array" ref="L5">IFERROR(K5/H5,"N/A")</f>
        <v>0.78780538853601523</v>
      </c>
      <c r="M5" s="55">
        <v>18.899999999999999</v>
      </c>
      <c r="N5" s="55" cm="1">
        <f t="array" ref="N5">IFERROR(M5-A5,"N/A")</f>
        <v>14.899999999999999</v>
      </c>
      <c r="O5" s="55"/>
      <c r="P5" s="56" cm="1">
        <f t="array" ref="P5">_xlfn.XLOOKUP($B5,ADP!A2:A671,ADP!G2:G671)</f>
        <v>0</v>
      </c>
      <c r="Q5" s="57" cm="1">
        <f t="array" ref="Q5">IF(Settings!$E$12="YES",VLOOKUP(B5,'Player Data'!A1:E673,5,FALSE),84)</f>
        <v>84</v>
      </c>
      <c r="R5" s="55" cm="1">
        <f t="array" ref="R5">VLOOKUP(B5,'Player Data'!$A1:$AE673,6,FALSE)</f>
        <v>24.9</v>
      </c>
      <c r="S5" s="57" cm="1">
        <f t="array" ref="S5">VLOOKUP(B5,'Player Data'!$A1:$AE673,7,FALSE)*$Q5*IFERROR((VLOOKUP(P5,Settings!$E$28:$F$33,2,FALSE)+1),1)</f>
        <v>17.64</v>
      </c>
      <c r="T5" s="57" cm="1">
        <f t="array" ref="T5">VLOOKUP(B5,'Player Data'!$A1:$AE673,8,FALSE)*$Q5*IFERROR((VLOOKUP(P5,Settings!$E$28:$F$33,2,FALSE)+1),1)</f>
        <v>66.36</v>
      </c>
      <c r="U5" s="57" cm="1">
        <f t="array" ref="U5">SUM(S5:T5)</f>
        <v>84</v>
      </c>
      <c r="V5" s="57" cm="1">
        <f t="array" ref="V5">VLOOKUP(B5,'Player Data'!$A1:$AE673,10,FALSE)*$Q5*IFERROR(((VLOOKUP(P5,Settings!$E$28:$F$33,2,FALSE)/2)+1),1)</f>
        <v>228.48000000000002</v>
      </c>
      <c r="W5" s="58" cm="1">
        <f t="array" ref="W5">VLOOKUP(B5,'Player Data'!$A1:$AE673,11,FALSE)*$Q5*IFERROR((VLOOKUP(P5,Settings!$E$28:$F$33,2,FALSE)+1),1)</f>
        <v>5.8800000000000008</v>
      </c>
      <c r="X5" s="57" cm="1">
        <f t="array" ref="X5">VLOOKUP(B5,'Player Data'!$A1:$AE673,12,FALSE)*$Q5*IFERROR((VLOOKUP(P5,Settings!$E$28:$F$33,2,FALSE)+1),1)</f>
        <v>34.44</v>
      </c>
      <c r="Y5" s="57" cm="1">
        <f t="array" ref="Y5">VLOOKUP(B5,'Player Data'!$A1:$AE673,13,FALSE)*$Q5</f>
        <v>0</v>
      </c>
      <c r="Z5" s="57" cm="1">
        <f t="array" ref="Z5">VLOOKUP(B5,'Player Data'!$A1:$AE673,14,FALSE)*$Q5</f>
        <v>1.68</v>
      </c>
      <c r="AA5" s="57" cm="1">
        <f t="array" ref="AA5">VLOOKUP(B5,'Player Data'!$A1:$AE673,15,FALSE)*$Q5</f>
        <v>115.08000000000001</v>
      </c>
      <c r="AB5" s="57" cm="1">
        <f t="array" ref="AB5">VLOOKUP(B5,'Player Data'!$A1:$AE673,16,FALSE)*$Q5</f>
        <v>43.68</v>
      </c>
      <c r="AC5" s="57" cm="1">
        <f t="array" ref="AC5">VLOOKUP(B5,'Player Data'!$A1:$AE673,17,FALSE)*$Q5*IFERROR((VLOOKUP(P5,Settings!$E$28:$F$33,2,FALSE)+1),1)</f>
        <v>9.24</v>
      </c>
      <c r="AD5" s="57" cm="1">
        <f t="array" ref="AD5">VLOOKUP(B5,'Player Data'!$A1:$AE673,18,FALSE)*$Q5</f>
        <v>36.119999999999997</v>
      </c>
      <c r="AE5" s="57" cm="1">
        <f t="array" ref="AE5">VLOOKUP(B5,'Player Data'!$A1:$AE673,19,FALSE)*$Q5*IFERROR((VLOOKUP(P5,Settings!$E$28:$F$33,2,FALSE)+1),1)</f>
        <v>3.36</v>
      </c>
      <c r="AF5" s="57" cm="1">
        <f t="array" ref="AF5">VLOOKUP(B5,'Player Data'!$A1:$AE673,20,FALSE)*$Q5</f>
        <v>0</v>
      </c>
      <c r="AG5" s="57" cm="1">
        <f t="array" ref="AG5">VLOOKUP(B5,'Player Data'!$A1:$AE673,21,FALSE)*$Q5</f>
        <v>0</v>
      </c>
      <c r="AH5" s="59" cm="1">
        <f t="array" ref="AH5">VLOOKUP(B5,'Player Data'!$A1:$AE673,22,FALSE)</f>
        <v>0</v>
      </c>
      <c r="AI5" s="55"/>
      <c r="AJ5" s="57"/>
      <c r="AK5" s="57"/>
      <c r="AL5" s="57"/>
      <c r="AM5" s="57"/>
      <c r="AN5" s="57"/>
      <c r="AO5" s="57"/>
      <c r="AP5" s="57"/>
      <c r="AQ5" s="60"/>
      <c r="AR5" s="61"/>
      <c r="AS5" s="55"/>
    </row>
    <row r="6" spans="1:45" ht="21.25" customHeight="1" x14ac:dyDescent="0.15">
      <c r="A6" s="62">
        <f>RANK(K6,K$2:K$671)</f>
        <v>5</v>
      </c>
      <c r="B6" s="10" t="s">
        <v>131</v>
      </c>
      <c r="C6" s="47" t="s">
        <v>145</v>
      </c>
      <c r="D6" s="48" t="str" cm="1">
        <f t="array" ref="D6">VLOOKUP(B6,'Player Data'!A1:D673,4,FALSE)</f>
        <v>D</v>
      </c>
      <c r="E6" s="68" cm="1">
        <f t="array" ref="E6">VLOOKUP(B6,D!A1:C204,3,FALSE)</f>
        <v>3</v>
      </c>
      <c r="F6" s="70" t="str" cm="1">
        <f t="array" ref="F6">VLOOKUP(B6,'Player Data'!A1:B673,2,FALSE)</f>
        <v>MIN</v>
      </c>
      <c r="G6" s="11" cm="1">
        <f t="array" ref="G6">VLOOKUP(B6,'Player Data'!A1:D673,3,FALSE)</f>
        <v>26</v>
      </c>
      <c r="H6" s="67" cm="1">
        <f t="array" ref="H6">IFERROR(VLOOKUP(B6,ADP!A1:F671,6,FALSE)/1000000,VLOOKUP(B6,ADP!A1:F671,6,FALSE))</f>
        <v>7.85</v>
      </c>
      <c r="I6" s="52">
        <f>IF(Settings!$E$15="POINTS",((R6*Q6)*Settings!$B$12)+(S6*Settings!$B$2)+(T6*Settings!$B$3)+(U6*Settings!$B$4)+(V6*Settings!$B$5)+(X6*Settings!$B$9)+(AA6*Settings!$B$6)+(W6*Settings!$B$8)+(AB6*Settings!$B$7)+(AC6*Settings!$B$14)+(AD6*Settings!$B$15)+(AE6*Settings!$B$16)+(AF6*Settings!$B$17)+(AG6*Settings!$B$18)+(U6*Settings!$B$13)+(Y6*Settings!$B$10)+(Z6*Settings!$B$11),VLOOKUP(B6,'Standard Deviations'!A$1:C$672,3,FALSE))</f>
        <v>8.3682050026701251</v>
      </c>
      <c r="J6" s="53" cm="1">
        <f t="array" ref="J6">IF(D6="G",I6/AJ6,I6/Q6)</f>
        <v>0.10331117287247069</v>
      </c>
      <c r="K6" s="52" cm="1">
        <f t="array" ref="K6">VLOOKUP(B6,D!A1:F204,6,FALSE)</f>
        <v>7.8013540881525705</v>
      </c>
      <c r="L6" s="54" cm="1">
        <f t="array" ref="L6">IFERROR(K6/H6,"N/A")</f>
        <v>0.99380306855446765</v>
      </c>
      <c r="M6" s="55">
        <v>14.1</v>
      </c>
      <c r="N6" s="55" cm="1">
        <f t="array" ref="N6">IFERROR(M6-A6,"N/A")</f>
        <v>9.1</v>
      </c>
      <c r="O6" s="55"/>
      <c r="P6" s="56" cm="1">
        <f t="array" ref="P6">_xlfn.XLOOKUP($B6,ADP!A2:A671,ADP!G2:G671)</f>
        <v>0</v>
      </c>
      <c r="Q6" s="57" cm="1">
        <f t="array" ref="Q6">IF(Settings!$E$12="YES",VLOOKUP(B6,'Player Data'!A1:E673,5,FALSE),84)</f>
        <v>81</v>
      </c>
      <c r="R6" s="55" cm="1">
        <f t="array" ref="R6">VLOOKUP(B6,'Player Data'!$A1:$AE673,6,FALSE)</f>
        <v>27.7</v>
      </c>
      <c r="S6" s="57" cm="1">
        <f t="array" ref="S6">VLOOKUP(B6,'Player Data'!$A1:$AE673,7,FALSE)*$Q6*IFERROR((VLOOKUP(P6,Settings!$E$28:$F$33,2,FALSE)+1),1)</f>
        <v>15.39</v>
      </c>
      <c r="T6" s="57" cm="1">
        <f t="array" ref="T6">VLOOKUP(B6,'Player Data'!$A1:$AE673,8,FALSE)*$Q6*IFERROR((VLOOKUP(P6,Settings!$E$28:$F$33,2,FALSE)+1),1)</f>
        <v>76.95</v>
      </c>
      <c r="U6" s="57" cm="1">
        <f t="array" ref="U6">SUM(S6:T6)</f>
        <v>92.34</v>
      </c>
      <c r="V6" s="57" cm="1">
        <f t="array" ref="V6">VLOOKUP(B6,'Player Data'!$A1:$AE673,10,FALSE)*$Q6*IFERROR(((VLOOKUP(P6,Settings!$E$28:$F$33,2,FALSE)/2)+1),1)</f>
        <v>216.26999999999998</v>
      </c>
      <c r="W6" s="58" cm="1">
        <f t="array" ref="W6">VLOOKUP(B6,'Player Data'!$A1:$AE673,11,FALSE)*$Q6*IFERROR((VLOOKUP(P6,Settings!$E$28:$F$33,2,FALSE)+1),1)</f>
        <v>4.05</v>
      </c>
      <c r="X6" s="57" cm="1">
        <f t="array" ref="X6">VLOOKUP(B6,'Player Data'!$A1:$AE673,12,FALSE)*$Q6*IFERROR((VLOOKUP(P6,Settings!$E$28:$F$33,2,FALSE)+1),1)</f>
        <v>37.260000000000005</v>
      </c>
      <c r="Y6" s="57" cm="1">
        <f t="array" ref="Y6">VLOOKUP(B6,'Player Data'!$A1:$AE673,13,FALSE)*$Q6</f>
        <v>0</v>
      </c>
      <c r="Z6" s="57" cm="1">
        <f t="array" ref="Z6">VLOOKUP(B6,'Player Data'!$A1:$AE673,14,FALSE)*$Q6</f>
        <v>0</v>
      </c>
      <c r="AA6" s="57" cm="1">
        <f t="array" ref="AA6">VLOOKUP(B6,'Player Data'!$A1:$AE673,15,FALSE)*$Q6</f>
        <v>98.009999999999991</v>
      </c>
      <c r="AB6" s="57" cm="1">
        <f t="array" ref="AB6">VLOOKUP(B6,'Player Data'!$A1:$AE673,16,FALSE)*$Q6</f>
        <v>21.060000000000002</v>
      </c>
      <c r="AC6" s="57" cm="1">
        <f t="array" ref="AC6">VLOOKUP(B6,'Player Data'!$A1:$AE673,17,FALSE)*$Q6*IFERROR((VLOOKUP(P6,Settings!$E$28:$F$33,2,FALSE)+1),1)</f>
        <v>6.48</v>
      </c>
      <c r="AD6" s="57" cm="1">
        <f t="array" ref="AD6">VLOOKUP(B6,'Player Data'!$A1:$AE673,18,FALSE)*$Q6</f>
        <v>37.260000000000005</v>
      </c>
      <c r="AE6" s="57" cm="1">
        <f t="array" ref="AE6">VLOOKUP(B6,'Player Data'!$A1:$AE673,19,FALSE)*$Q6*IFERROR((VLOOKUP(P6,Settings!$E$28:$F$33,2,FALSE)+1),1)</f>
        <v>2.4299999999999997</v>
      </c>
      <c r="AF6" s="57" cm="1">
        <f t="array" ref="AF6">VLOOKUP(B6,'Player Data'!$A1:$AE673,20,FALSE)*$Q6</f>
        <v>0</v>
      </c>
      <c r="AG6" s="57" cm="1">
        <f t="array" ref="AG6">VLOOKUP(B6,'Player Data'!$A1:$AE673,21,FALSE)*$Q6</f>
        <v>0</v>
      </c>
      <c r="AH6" s="59" cm="1">
        <f t="array" ref="AH6">VLOOKUP(B6,'Player Data'!$A1:$AE673,22,FALSE)</f>
        <v>0</v>
      </c>
      <c r="AI6" s="55"/>
      <c r="AJ6" s="57"/>
      <c r="AK6" s="57"/>
      <c r="AL6" s="57"/>
      <c r="AM6" s="57"/>
      <c r="AN6" s="57"/>
      <c r="AO6" s="57"/>
      <c r="AP6" s="57"/>
      <c r="AQ6" s="60"/>
      <c r="AR6" s="61"/>
      <c r="AS6" s="55"/>
    </row>
    <row r="7" spans="1:45" ht="21.25" customHeight="1" x14ac:dyDescent="0.15">
      <c r="A7" s="62">
        <f>RANK(K7,K$2:K$671)</f>
        <v>7</v>
      </c>
      <c r="B7" s="10" t="s">
        <v>129</v>
      </c>
      <c r="C7" s="47" t="s">
        <v>145</v>
      </c>
      <c r="D7" s="48" t="str" cm="1">
        <f t="array" ref="D7">VLOOKUP(B7,'Player Data'!A1:D673,4,FALSE)</f>
        <v>D</v>
      </c>
      <c r="E7" s="68" cm="1">
        <f t="array" ref="E7">VLOOKUP(B7,D!A1:C204,3,FALSE)</f>
        <v>4</v>
      </c>
      <c r="F7" s="69" t="str" cm="1">
        <f t="array" ref="F7">VLOOKUP(B7,'Player Data'!A1:B673,2,FALSE)</f>
        <v>CBJ</v>
      </c>
      <c r="G7" s="11" cm="1">
        <f t="array" ref="G7">VLOOKUP(B7,'Player Data'!A1:D673,3,FALSE)</f>
        <v>29</v>
      </c>
      <c r="H7" s="51" cm="1">
        <f t="array" ref="H7">IFERROR(VLOOKUP(B7,ADP!A1:F671,6,FALSE)/1000000,VLOOKUP(B7,ADP!A1:F671,6,FALSE))</f>
        <v>9.5830000000000002</v>
      </c>
      <c r="I7" s="52">
        <f>IF(Settings!$E$15="POINTS",((R7*Q7)*Settings!$B$12)+(S7*Settings!$B$2)+(T7*Settings!$B$3)+(U7*Settings!$B$4)+(V7*Settings!$B$5)+(X7*Settings!$B$9)+(AA7*Settings!$B$6)+(W7*Settings!$B$8)+(AB7*Settings!$B$7)+(AC7*Settings!$B$14)+(AD7*Settings!$B$15)+(AE7*Settings!$B$16)+(AF7*Settings!$B$17)+(AG7*Settings!$B$18)+(U7*Settings!$B$13)+(Y7*Settings!$B$10)+(Z7*Settings!$B$11),VLOOKUP(B7,'Standard Deviations'!A$1:C$672,3,FALSE))</f>
        <v>7.5895482954025129</v>
      </c>
      <c r="J7" s="53" cm="1">
        <f t="array" ref="J7">IF(D7="G",I7/AJ7,I7/Q7)</f>
        <v>9.3698127103734721E-2</v>
      </c>
      <c r="K7" s="52" cm="1">
        <f t="array" ref="K7">VLOOKUP(B7,D!A1:F204,6,FALSE)</f>
        <v>7.0226973808849582</v>
      </c>
      <c r="L7" s="54" cm="1">
        <f t="array" ref="L7">IFERROR(K7/H7,"N/A")</f>
        <v>0.73282869465563583</v>
      </c>
      <c r="M7" s="55">
        <v>17.100000000000001</v>
      </c>
      <c r="N7" s="55" cm="1">
        <f t="array" ref="N7">IFERROR(M7-A7,"N/A")</f>
        <v>10.100000000000001</v>
      </c>
      <c r="O7" s="55"/>
      <c r="P7" s="56" cm="1">
        <f t="array" ref="P7">_xlfn.XLOOKUP($B7,ADP!A2:A671,ADP!G2:G671)</f>
        <v>0</v>
      </c>
      <c r="Q7" s="57" cm="1">
        <f t="array" ref="Q7">IF(Settings!$E$12="YES",VLOOKUP(B7,'Player Data'!A1:E673,5,FALSE),84)</f>
        <v>81</v>
      </c>
      <c r="R7" s="55" cm="1">
        <f t="array" ref="R7">VLOOKUP(B7,'Player Data'!$A1:$AE673,6,FALSE)</f>
        <v>27.1</v>
      </c>
      <c r="S7" s="57" cm="1">
        <f t="array" ref="S7">VLOOKUP(B7,'Player Data'!$A1:$AE673,7,FALSE)*$Q7*IFERROR((VLOOKUP(P7,Settings!$E$28:$F$33,2,FALSE)+1),1)</f>
        <v>20.25</v>
      </c>
      <c r="T7" s="57" cm="1">
        <f t="array" ref="T7">VLOOKUP(B7,'Player Data'!$A1:$AE673,8,FALSE)*$Q7*IFERROR((VLOOKUP(P7,Settings!$E$28:$F$33,2,FALSE)+1),1)</f>
        <v>61.56</v>
      </c>
      <c r="U7" s="57" cm="1">
        <f t="array" ref="U7">SUM(S7:T7)</f>
        <v>81.81</v>
      </c>
      <c r="V7" s="57" cm="1">
        <f t="array" ref="V7">VLOOKUP(B7,'Player Data'!$A1:$AE673,10,FALSE)*$Q7*IFERROR(((VLOOKUP(P7,Settings!$E$28:$F$33,2,FALSE)/2)+1),1)</f>
        <v>279.45</v>
      </c>
      <c r="W7" s="58" cm="1">
        <f t="array" ref="W7">VLOOKUP(B7,'Player Data'!$A1:$AE673,11,FALSE)*$Q7*IFERROR((VLOOKUP(P7,Settings!$E$28:$F$33,2,FALSE)+1),1)</f>
        <v>4.8599999999999994</v>
      </c>
      <c r="X7" s="57" cm="1">
        <f t="array" ref="X7">VLOOKUP(B7,'Player Data'!$A1:$AE673,12,FALSE)*$Q7*IFERROR((VLOOKUP(P7,Settings!$E$28:$F$33,2,FALSE)+1),1)</f>
        <v>25.11</v>
      </c>
      <c r="Y7" s="57" cm="1">
        <f t="array" ref="Y7">VLOOKUP(B7,'Player Data'!$A1:$AE673,13,FALSE)*$Q7</f>
        <v>0</v>
      </c>
      <c r="Z7" s="57" cm="1">
        <f t="array" ref="Z7">VLOOKUP(B7,'Player Data'!$A1:$AE673,14,FALSE)*$Q7</f>
        <v>1.62</v>
      </c>
      <c r="AA7" s="57" cm="1">
        <f t="array" ref="AA7">VLOOKUP(B7,'Player Data'!$A1:$AE673,15,FALSE)*$Q7</f>
        <v>117.45</v>
      </c>
      <c r="AB7" s="57" cm="1">
        <f t="array" ref="AB7">VLOOKUP(B7,'Player Data'!$A1:$AE673,16,FALSE)*$Q7</f>
        <v>35.64</v>
      </c>
      <c r="AC7" s="57" cm="1">
        <f t="array" ref="AC7">VLOOKUP(B7,'Player Data'!$A1:$AE673,17,FALSE)*$Q7*IFERROR((VLOOKUP(P7,Settings!$E$28:$F$33,2,FALSE)+1),1)</f>
        <v>4.8599999999999994</v>
      </c>
      <c r="AD7" s="57" cm="1">
        <f t="array" ref="AD7">VLOOKUP(B7,'Player Data'!$A1:$AE673,18,FALSE)*$Q7</f>
        <v>29.16</v>
      </c>
      <c r="AE7" s="57" cm="1">
        <f t="array" ref="AE7">VLOOKUP(B7,'Player Data'!$A1:$AE673,19,FALSE)*$Q7*IFERROR((VLOOKUP(P7,Settings!$E$28:$F$33,2,FALSE)+1),1)</f>
        <v>3.24</v>
      </c>
      <c r="AF7" s="57" cm="1">
        <f t="array" ref="AF7">VLOOKUP(B7,'Player Data'!$A1:$AE673,20,FALSE)*$Q7</f>
        <v>0</v>
      </c>
      <c r="AG7" s="57" cm="1">
        <f t="array" ref="AG7">VLOOKUP(B7,'Player Data'!$A1:$AE673,21,FALSE)*$Q7</f>
        <v>0</v>
      </c>
      <c r="AH7" s="59" cm="1">
        <f t="array" ref="AH7">VLOOKUP(B7,'Player Data'!$A1:$AE673,22,FALSE)</f>
        <v>0</v>
      </c>
      <c r="AI7" s="55"/>
      <c r="AJ7" s="57"/>
      <c r="AK7" s="57"/>
      <c r="AL7" s="57"/>
      <c r="AM7" s="57"/>
      <c r="AN7" s="57"/>
      <c r="AO7" s="57"/>
      <c r="AP7" s="57"/>
      <c r="AQ7" s="60"/>
      <c r="AR7" s="61"/>
      <c r="AS7" s="55"/>
    </row>
    <row r="8" spans="1:45" ht="21.25" customHeight="1" x14ac:dyDescent="0.15">
      <c r="A8" s="62">
        <f>RANK(K8,K$2:K$671)</f>
        <v>8</v>
      </c>
      <c r="B8" s="10" t="s">
        <v>135</v>
      </c>
      <c r="C8" s="47" t="s">
        <v>145</v>
      </c>
      <c r="D8" s="48" t="str" cm="1">
        <f t="array" ref="D8">VLOOKUP(B8,'Player Data'!A1:D673,4,FALSE)</f>
        <v>D</v>
      </c>
      <c r="E8" s="68" cm="1">
        <f t="array" ref="E8">VLOOKUP(B8,D!A1:C204,3,FALSE)</f>
        <v>5</v>
      </c>
      <c r="F8" s="73" t="str" cm="1">
        <f t="array" ref="F8">VLOOKUP(B8,'Player Data'!A1:B673,2,FALSE)</f>
        <v>BUF</v>
      </c>
      <c r="G8" s="11" cm="1">
        <f t="array" ref="G8">VLOOKUP(B8,'Player Data'!A1:D673,3,FALSE)</f>
        <v>26</v>
      </c>
      <c r="H8" s="51" cm="1">
        <f t="array" ref="H8">IFERROR(VLOOKUP(B8,ADP!A1:F671,6,FALSE)/1000000,VLOOKUP(B8,ADP!A1:F671,6,FALSE))</f>
        <v>11</v>
      </c>
      <c r="I8" s="52">
        <f>IF(Settings!$E$15="POINTS",((R8*Q8)*Settings!$B$12)+(S8*Settings!$B$2)+(T8*Settings!$B$3)+(U8*Settings!$B$4)+(V8*Settings!$B$5)+(X8*Settings!$B$9)+(AA8*Settings!$B$6)+(W8*Settings!$B$8)+(AB8*Settings!$B$7)+(AC8*Settings!$B$14)+(AD8*Settings!$B$15)+(AE8*Settings!$B$16)+(AF8*Settings!$B$17)+(AG8*Settings!$B$18)+(U8*Settings!$B$13)+(Y8*Settings!$B$10)+(Z8*Settings!$B$11),VLOOKUP(B8,'Standard Deviations'!A$1:C$672,3,FALSE))</f>
        <v>7.3550860221683489</v>
      </c>
      <c r="J8" s="53" cm="1">
        <f t="array" ref="J8">IF(D8="G",I8/AJ8,I8/Q8)</f>
        <v>9.0803531137880852E-2</v>
      </c>
      <c r="K8" s="52" cm="1">
        <f t="array" ref="K8">VLOOKUP(B8,D!A1:F204,6,FALSE)</f>
        <v>6.7882351076507943</v>
      </c>
      <c r="L8" s="54" cm="1">
        <f t="array" ref="L8">IFERROR(K8/H8,"N/A")</f>
        <v>0.61711228251370853</v>
      </c>
      <c r="M8" s="55">
        <v>35.799999999999997</v>
      </c>
      <c r="N8" s="55" cm="1">
        <f t="array" ref="N8">IFERROR(M8-A8,"N/A")</f>
        <v>27.799999999999997</v>
      </c>
      <c r="O8" s="55"/>
      <c r="P8" s="56" t="str" cm="1">
        <f t="array" ref="P8">_xlfn.XLOOKUP($B8,ADP!A2:A671,ADP!G2:G671)</f>
        <v>+ +</v>
      </c>
      <c r="Q8" s="57" cm="1">
        <f t="array" ref="Q8">IF(Settings!$E$12="YES",VLOOKUP(B8,'Player Data'!A1:E673,5,FALSE),84)</f>
        <v>81</v>
      </c>
      <c r="R8" s="55" cm="1">
        <f t="array" ref="R8">VLOOKUP(B8,'Player Data'!$A1:$AE673,6,FALSE)</f>
        <v>24.2</v>
      </c>
      <c r="S8" s="57" cm="1">
        <f t="array" ref="S8">VLOOKUP(B8,'Player Data'!$A1:$AE673,7,FALSE)*$Q8*IFERROR((VLOOKUP(P8,Settings!$E$28:$F$33,2,FALSE)+1),1)</f>
        <v>21.384</v>
      </c>
      <c r="T8" s="57" cm="1">
        <f t="array" ref="T8">VLOOKUP(B8,'Player Data'!$A1:$AE673,8,FALSE)*$Q8*IFERROR((VLOOKUP(P8,Settings!$E$28:$F$33,2,FALSE)+1),1)</f>
        <v>56.133000000000003</v>
      </c>
      <c r="U8" s="57" cm="1">
        <f t="array" ref="U8">SUM(S8:T8)</f>
        <v>77.516999999999996</v>
      </c>
      <c r="V8" s="57" cm="1">
        <f t="array" ref="V8">VLOOKUP(B8,'Player Data'!$A1:$AE673,10,FALSE)*$Q8*IFERROR(((VLOOKUP(P8,Settings!$E$28:$F$33,2,FALSE)/2)+1),1)</f>
        <v>218.57849999999999</v>
      </c>
      <c r="W8" s="58" cm="1">
        <f t="array" ref="W8">VLOOKUP(B8,'Player Data'!$A1:$AE673,11,FALSE)*$Q8*IFERROR((VLOOKUP(P8,Settings!$E$28:$F$33,2,FALSE)+1),1)</f>
        <v>7.128000000000001</v>
      </c>
      <c r="X8" s="57" cm="1">
        <f t="array" ref="X8">VLOOKUP(B8,'Player Data'!$A1:$AE673,12,FALSE)*$Q8*IFERROR((VLOOKUP(P8,Settings!$E$28:$F$33,2,FALSE)+1),1)</f>
        <v>24.948000000000004</v>
      </c>
      <c r="Y8" s="57" cm="1">
        <f t="array" ref="Y8">VLOOKUP(B8,'Player Data'!$A1:$AE673,13,FALSE)*$Q8</f>
        <v>0</v>
      </c>
      <c r="Z8" s="57" cm="1">
        <f t="array" ref="Z8">VLOOKUP(B8,'Player Data'!$A1:$AE673,14,FALSE)*$Q8</f>
        <v>0</v>
      </c>
      <c r="AA8" s="57" cm="1">
        <f t="array" ref="AA8">VLOOKUP(B8,'Player Data'!$A1:$AE673,15,FALSE)*$Q8</f>
        <v>100.44</v>
      </c>
      <c r="AB8" s="57" cm="1">
        <f t="array" ref="AB8">VLOOKUP(B8,'Player Data'!$A1:$AE673,16,FALSE)*$Q8</f>
        <v>84.240000000000009</v>
      </c>
      <c r="AC8" s="57" cm="1">
        <f t="array" ref="AC8">VLOOKUP(B8,'Player Data'!$A1:$AE673,17,FALSE)*$Q8*IFERROR((VLOOKUP(P8,Settings!$E$28:$F$33,2,FALSE)+1),1)</f>
        <v>5.3460000000000001</v>
      </c>
      <c r="AD8" s="57" cm="1">
        <f t="array" ref="AD8">VLOOKUP(B8,'Player Data'!$A1:$AE673,18,FALSE)*$Q8</f>
        <v>60.75</v>
      </c>
      <c r="AE8" s="57" cm="1">
        <f t="array" ref="AE8">VLOOKUP(B8,'Player Data'!$A1:$AE673,19,FALSE)*$Q8*IFERROR((VLOOKUP(P8,Settings!$E$28:$F$33,2,FALSE)+1),1)</f>
        <v>3.5640000000000005</v>
      </c>
      <c r="AF8" s="57" cm="1">
        <f t="array" ref="AF8">VLOOKUP(B8,'Player Data'!$A1:$AE673,20,FALSE)*$Q8</f>
        <v>0</v>
      </c>
      <c r="AG8" s="57" cm="1">
        <f t="array" ref="AG8">VLOOKUP(B8,'Player Data'!$A1:$AE673,21,FALSE)*$Q8</f>
        <v>0</v>
      </c>
      <c r="AH8" s="59" cm="1">
        <f t="array" ref="AH8">VLOOKUP(B8,'Player Data'!$A1:$AE673,22,FALSE)</f>
        <v>0</v>
      </c>
      <c r="AI8" s="55"/>
      <c r="AJ8" s="57"/>
      <c r="AK8" s="57"/>
      <c r="AL8" s="57"/>
      <c r="AM8" s="57"/>
      <c r="AN8" s="57"/>
      <c r="AO8" s="57"/>
      <c r="AP8" s="57"/>
      <c r="AQ8" s="60"/>
      <c r="AR8" s="61"/>
      <c r="AS8" s="55"/>
    </row>
    <row r="9" spans="1:45" ht="21.25" customHeight="1" x14ac:dyDescent="0.15">
      <c r="A9" s="62">
        <f>RANK(K9,K$2:K$671)</f>
        <v>6</v>
      </c>
      <c r="B9" s="10" t="s">
        <v>128</v>
      </c>
      <c r="C9" s="47" t="s">
        <v>145</v>
      </c>
      <c r="D9" s="48" t="str" cm="1">
        <f t="array" ref="D9">VLOOKUP(B9,'Player Data'!A1:D673,4,FALSE)</f>
        <v>RW</v>
      </c>
      <c r="E9" s="64" cm="1">
        <f t="array" ref="E9">VLOOKUP(B9,RW!A1:F210,3,FALSE)</f>
        <v>1</v>
      </c>
      <c r="F9" s="65" t="str" cm="1">
        <f t="array" ref="F9">VLOOKUP(B9,'Player Data'!A1:B673,2,FALSE)</f>
        <v>T.B</v>
      </c>
      <c r="G9" s="66" cm="1">
        <f t="array" ref="G9">VLOOKUP(B9,'Player Data'!A1:D673,3,FALSE)</f>
        <v>33</v>
      </c>
      <c r="H9" s="67" cm="1">
        <f t="array" ref="H9">IFERROR(VLOOKUP(B9,ADP!A1:F671,6,FALSE)/1000000,VLOOKUP(B9,ADP!A1:F671,6,FALSE))</f>
        <v>9.5</v>
      </c>
      <c r="I9" s="52">
        <f>IF(Settings!$E$15="POINTS",((R9*Q9)*Settings!$B$12)+(S9*Settings!$B$2)+(T9*Settings!$B$3)+(U9*Settings!$B$4)+(V9*Settings!$B$5)+(X9*Settings!$B$9)+(AA9*Settings!$B$6)+(W9*Settings!$B$8)+(AB9*Settings!$B$7)+(AC9*Settings!$B$14)+(AD9*Settings!$B$15)+(AE9*Settings!$B$16)+(AF9*Settings!$B$17)+(AG9*Settings!$B$18)+(Y9*Settings!$B$10)+(Z9*Settings!$B$11),VLOOKUP(B9,'Standard Deviations'!A$1:C$672,3,FALSE))</f>
        <v>14.596009367605971</v>
      </c>
      <c r="J9" s="53" cm="1">
        <f t="array" ref="J9">IF(D9="G",I9/AJ9,I9/Q9)</f>
        <v>0.1780001142390972</v>
      </c>
      <c r="K9" s="52" cm="1">
        <f t="array" ref="K9">IF(Settings!$E$18="C/LW/RW",VLOOKUP(B9,RW!A1:F210,6,FALSE),VLOOKUP(B9,F!A1:F407,6,FALSE))</f>
        <v>7.7087747657968935</v>
      </c>
      <c r="L9" s="54" cm="1">
        <f t="array" ref="L9">IFERROR(K9/H9,"N/A")</f>
        <v>0.81144997534704144</v>
      </c>
      <c r="M9" s="55">
        <v>4.0999999999999996</v>
      </c>
      <c r="N9" s="55" cm="1">
        <f t="array" ref="N9">IFERROR(M9-A9,"N/A")</f>
        <v>-1.9000000000000004</v>
      </c>
      <c r="O9" s="55"/>
      <c r="P9" s="56" cm="1">
        <f t="array" ref="P9">_xlfn.XLOOKUP($B9,ADP!A2:A671,ADP!G2:G671)</f>
        <v>0</v>
      </c>
      <c r="Q9" s="57" cm="1">
        <f t="array" ref="Q9">IF(Settings!$E$12="YES",VLOOKUP(B9,'Player Data'!A1:E673,5,FALSE),84)</f>
        <v>82</v>
      </c>
      <c r="R9" s="55" cm="1">
        <f t="array" ref="R9">VLOOKUP(B9,'Player Data'!$A1:$AE673,6,FALSE)</f>
        <v>20.3</v>
      </c>
      <c r="S9" s="57" cm="1">
        <f t="array" ref="S9">VLOOKUP(B9,'Player Data'!$A1:$AE673,7,FALSE)*$Q9*IFERROR((VLOOKUP(P9,Settings!$E$28:$F$33,2,FALSE)+1),1)</f>
        <v>41</v>
      </c>
      <c r="T9" s="57" cm="1">
        <f t="array" ref="T9">VLOOKUP(B9,'Player Data'!$A1:$AE673,8,FALSE)*$Q9*IFERROR((VLOOKUP(P9,Settings!$E$28:$F$33,2,FALSE)+1),1)</f>
        <v>85.28</v>
      </c>
      <c r="U9" s="57" cm="1">
        <f t="array" ref="U9">SUM(S9:T9)</f>
        <v>126.28</v>
      </c>
      <c r="V9" s="57" cm="1">
        <f t="array" ref="V9">VLOOKUP(B9,'Player Data'!$A1:$AE673,10,FALSE)*$Q9*IFERROR(((VLOOKUP(P9,Settings!$E$28:$F$33,2,FALSE)/2)+1),1)</f>
        <v>256.65999999999997</v>
      </c>
      <c r="W9" s="58" cm="1">
        <f t="array" ref="W9">VLOOKUP(B9,'Player Data'!$A1:$AE673,11,FALSE)*$Q9*IFERROR((VLOOKUP(P9,Settings!$E$28:$F$33,2,FALSE)+1),1)</f>
        <v>9.02</v>
      </c>
      <c r="X9" s="57" cm="1">
        <f t="array" ref="X9">VLOOKUP(B9,'Player Data'!$A1:$AE673,12,FALSE)*$Q9*IFERROR((VLOOKUP(P9,Settings!$E$28:$F$33,2,FALSE)+1),1)</f>
        <v>43.46</v>
      </c>
      <c r="Y9" s="57" cm="1">
        <f t="array" ref="Y9">VLOOKUP(B9,'Player Data'!$A1:$AE673,13,FALSE)*$Q9</f>
        <v>0</v>
      </c>
      <c r="Z9" s="57" cm="1">
        <f t="array" ref="Z9">VLOOKUP(B9,'Player Data'!$A1:$AE673,14,FALSE)*$Q9</f>
        <v>0</v>
      </c>
      <c r="AA9" s="57" cm="1">
        <f t="array" ref="AA9">VLOOKUP(B9,'Player Data'!$A1:$AE673,15,FALSE)*$Q9</f>
        <v>33.619999999999997</v>
      </c>
      <c r="AB9" s="57" cm="1">
        <f t="array" ref="AB9">VLOOKUP(B9,'Player Data'!$A1:$AE673,16,FALSE)*$Q9</f>
        <v>36.9</v>
      </c>
      <c r="AC9" s="57" cm="1">
        <f t="array" ref="AC9">VLOOKUP(B9,'Player Data'!$A1:$AE673,17,FALSE)*$Q9*IFERROR((VLOOKUP(P9,Settings!$E$28:$F$33,2,FALSE)+1),1)</f>
        <v>13.120000000000001</v>
      </c>
      <c r="AD9" s="57" cm="1">
        <f t="array" ref="AD9">VLOOKUP(B9,'Player Data'!$A1:$AE673,18,FALSE)*$Q9</f>
        <v>35.26</v>
      </c>
      <c r="AE9" s="57" cm="1">
        <f t="array" ref="AE9">VLOOKUP(B9,'Player Data'!$A1:$AE673,19,FALSE)*$Q9*IFERROR((VLOOKUP(P9,Settings!$E$28:$F$33,2,FALSE)+1),1)</f>
        <v>7.38</v>
      </c>
      <c r="AF9" s="57" cm="1">
        <f t="array" ref="AF9">VLOOKUP(B9,'Player Data'!$A1:$AE673,20,FALSE)*$Q9</f>
        <v>0.82000000000000006</v>
      </c>
      <c r="AG9" s="57" cm="1">
        <f t="array" ref="AG9">VLOOKUP(B9,'Player Data'!$A1:$AE673,21,FALSE)*$Q9</f>
        <v>1.6400000000000001</v>
      </c>
      <c r="AH9" s="59" cm="1">
        <f t="array" ref="AH9">VLOOKUP(B9,'Player Data'!$A1:$AE673,22,FALSE)</f>
        <v>0.3</v>
      </c>
      <c r="AI9" s="55"/>
      <c r="AJ9" s="57"/>
      <c r="AK9" s="57"/>
      <c r="AL9" s="57"/>
      <c r="AM9" s="57"/>
      <c r="AN9" s="57"/>
      <c r="AO9" s="57"/>
      <c r="AP9" s="57"/>
      <c r="AQ9" s="60"/>
      <c r="AR9" s="61"/>
      <c r="AS9" s="55"/>
    </row>
    <row r="10" spans="1:45" ht="21.25" customHeight="1" x14ac:dyDescent="0.15">
      <c r="A10" s="62">
        <f>RANK(K10,K$2:K$671)</f>
        <v>10</v>
      </c>
      <c r="B10" s="10" t="s">
        <v>151</v>
      </c>
      <c r="C10" s="47" t="s">
        <v>145</v>
      </c>
      <c r="D10" s="48" t="str" cm="1">
        <f t="array" ref="D10">VLOOKUP(B10,'Player Data'!A1:D673,4,FALSE)</f>
        <v>G</v>
      </c>
      <c r="E10" s="76" cm="1">
        <f t="array" ref="E10">VLOOKUP(B10,G!A1:D66,3,FALSE)</f>
        <v>1</v>
      </c>
      <c r="F10" s="65" t="str" cm="1">
        <f t="array" ref="F10">VLOOKUP(B10,'Player Data'!A1:B673,2,FALSE)</f>
        <v>T.B</v>
      </c>
      <c r="G10" s="66" cm="1">
        <f t="array" ref="G10">VLOOKUP(B10,'Player Data'!A1:D673,3,FALSE)</f>
        <v>32</v>
      </c>
      <c r="H10" s="51" cm="1">
        <f t="array" ref="H10">IFERROR(VLOOKUP(B10,ADP!A1:F671,6,FALSE)/1000000,VLOOKUP(B10,ADP!A1:F671,6,FALSE))</f>
        <v>9.5</v>
      </c>
      <c r="I10" s="52">
        <f>IF(Settings!$E$15="POINTS",(AJ10*Settings!$B$29)+(AK10*Settings!$B$21)+(AL10*Settings!$B$22)+(AN10*Settings!$B$24)+(AO10*Settings!$B$25)+(AP10*Settings!$B$27)+(AM10*Settings!$B$23),VLOOKUP(B10,'Standard Deviations'!A$1:C$672,3,FALSE))</f>
        <v>7.7477345822871779</v>
      </c>
      <c r="J10" s="53" cm="1">
        <f t="array" ref="J10">IF(D10="G",I10/AJ10,I10/Q10)</f>
        <v>0.14086790149613052</v>
      </c>
      <c r="K10" s="52" cm="1">
        <f t="array" ref="K10">VLOOKUP(B10,G!A1:F66,6,FALSE)</f>
        <v>5.7095493231635031</v>
      </c>
      <c r="L10" s="54" cm="1">
        <f t="array" ref="L10">IFERROR(K10/H10,"N/A")</f>
        <v>0.60100519191194768</v>
      </c>
      <c r="M10" s="55">
        <v>11.9</v>
      </c>
      <c r="N10" s="55" cm="1">
        <f t="array" ref="N10">IFERROR(M10-A10,"N/A")</f>
        <v>1.9000000000000004</v>
      </c>
      <c r="O10" s="55"/>
      <c r="P10" s="56" cm="1">
        <f t="array" ref="P10">_xlfn.XLOOKUP($B10,ADP!A2:A671,ADP!G2:G671)</f>
        <v>0</v>
      </c>
      <c r="Q10" s="57"/>
      <c r="R10" s="55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9"/>
      <c r="AI10" s="55"/>
      <c r="AJ10" s="77" cm="1">
        <f t="array" ref="AJ10">VLOOKUP(B10,'Player Data'!$A1:$AE673,24,FALSE)</f>
        <v>55</v>
      </c>
      <c r="AK10" s="57" cm="1">
        <f t="array" ref="AK10">VLOOKUP(B10,'Player Data'!$A1:$AE673,25,FALSE)*$AJ10*IFERROR((VLOOKUP(P10,Settings!$E$28:$F$33,2,FALSE)+1),1)</f>
        <v>33.549999999999997</v>
      </c>
      <c r="AL10" s="57" cm="1">
        <f t="array" ref="AL10">AJ10-AK10-AM10</f>
        <v>15.950000000000003</v>
      </c>
      <c r="AM10" s="57" cm="1">
        <f t="array" ref="AM10">VLOOKUP(B10,'Player Data'!$A1:$AE673,27,FALSE)*$AJ10</f>
        <v>5.5</v>
      </c>
      <c r="AN10" s="57" cm="1">
        <f t="array" ref="AN10">VLOOKUP(B10,'Player Data'!$A1:$AE673,28,FALSE)*AJ10</f>
        <v>3.8500000000000005</v>
      </c>
      <c r="AO10" s="57" cm="1">
        <f t="array" ref="AO10">VLOOKUP(B10,'Player Data'!$A1:$AE673,29,FALSE)*$AJ10*IFERROR((VLOOKUP(P10,Settings!$E$28:$F$33,2,FALSE)/4)+1,1)</f>
        <v>1468.5</v>
      </c>
      <c r="AP10" s="57" cm="1">
        <f t="array" ref="AP10">VLOOKUP(B10,'Player Data'!$A1:$AE673,31,FALSE)*$AJ10*(IFERROR(1-(VLOOKUP(P10,Settings!$E$28:$F$33,2,FALSE)/4),1))</f>
        <v>142.44999999999999</v>
      </c>
      <c r="AQ10" s="60" cm="1">
        <f t="array" ref="AQ10">1-(AP10/(AO10+AP10))</f>
        <v>0.91157391601229087</v>
      </c>
      <c r="AR10" s="61" cm="1">
        <f t="array" ref="AR10">AP10/AJ10</f>
        <v>2.59</v>
      </c>
      <c r="AS10" s="55"/>
    </row>
    <row r="11" spans="1:45" ht="21.25" customHeight="1" x14ac:dyDescent="0.15">
      <c r="A11" s="62">
        <f>RANK(K11,K$2:K$671)</f>
        <v>11</v>
      </c>
      <c r="B11" s="10" t="s">
        <v>144</v>
      </c>
      <c r="C11" s="47" t="s">
        <v>145</v>
      </c>
      <c r="D11" s="48" t="str" cm="1">
        <f t="array" ref="D11">VLOOKUP(B11,'Player Data'!A1:D673,4,FALSE)</f>
        <v>D</v>
      </c>
      <c r="E11" s="68" cm="1">
        <f t="array" ref="E11">VLOOKUP(B11,D!A1:C204,3,FALSE)</f>
        <v>6</v>
      </c>
      <c r="F11" s="72" t="str" cm="1">
        <f t="array" ref="F11">VLOOKUP(B11,'Player Data'!A1:B673,2,FALSE)</f>
        <v>DET</v>
      </c>
      <c r="G11" s="11" cm="1">
        <f t="array" ref="G11">VLOOKUP(B11,'Player Data'!A1:D673,3,FALSE)</f>
        <v>25</v>
      </c>
      <c r="H11" s="51" cm="1">
        <f t="array" ref="H11">IFERROR(VLOOKUP(B11,ADP!A1:F671,6,FALSE)/1000000,VLOOKUP(B11,ADP!A1:F671,6,FALSE))</f>
        <v>8.5500000000000007</v>
      </c>
      <c r="I11" s="52">
        <f>IF(Settings!$E$15="POINTS",((R11*Q11)*Settings!$B$12)+(S11*Settings!$B$2)+(T11*Settings!$B$3)+(U11*Settings!$B$4)+(V11*Settings!$B$5)+(X11*Settings!$B$9)+(AA11*Settings!$B$6)+(W11*Settings!$B$8)+(AB11*Settings!$B$7)+(AC11*Settings!$B$14)+(AD11*Settings!$B$15)+(AE11*Settings!$B$16)+(AF11*Settings!$B$17)+(AG11*Settings!$B$18)+(U11*Settings!$B$13)+(Y11*Settings!$B$10)+(Z11*Settings!$B$11),VLOOKUP(B11,'Standard Deviations'!A$1:C$672,3,FALSE))</f>
        <v>6.0618593867747883</v>
      </c>
      <c r="J11" s="53" cm="1">
        <f t="array" ref="J11">IF(D11="G",I11/AJ11,I11/Q11)</f>
        <v>7.2164992699699865E-2</v>
      </c>
      <c r="K11" s="52" cm="1">
        <f t="array" ref="K11">VLOOKUP(B11,D!A1:F204,6,FALSE)</f>
        <v>5.4950084722572337</v>
      </c>
      <c r="L11" s="54" cm="1">
        <f t="array" ref="L11">IFERROR(K11/H11,"N/A")</f>
        <v>0.64269104938681088</v>
      </c>
      <c r="M11" s="55">
        <v>55.9</v>
      </c>
      <c r="N11" s="55" cm="1">
        <f t="array" ref="N11">IFERROR(M11-A11,"N/A")</f>
        <v>44.9</v>
      </c>
      <c r="O11" s="55"/>
      <c r="P11" s="56" cm="1">
        <f t="array" ref="P11">_xlfn.XLOOKUP($B11,ADP!A2:A671,ADP!G2:G671)</f>
        <v>0</v>
      </c>
      <c r="Q11" s="57" cm="1">
        <f t="array" ref="Q11">IF(Settings!$E$12="YES",VLOOKUP(B11,'Player Data'!A1:E673,5,FALSE),84)</f>
        <v>84</v>
      </c>
      <c r="R11" s="55" cm="1">
        <f t="array" ref="R11">VLOOKUP(B11,'Player Data'!$A1:$AE673,6,FALSE)</f>
        <v>25.9</v>
      </c>
      <c r="S11" s="57" cm="1">
        <f t="array" ref="S11">VLOOKUP(B11,'Player Data'!$A1:$AE673,7,FALSE)*$Q11*IFERROR((VLOOKUP(P11,Settings!$E$28:$F$33,2,FALSE)+1),1)</f>
        <v>10.92</v>
      </c>
      <c r="T11" s="57" cm="1">
        <f t="array" ref="T11">VLOOKUP(B11,'Player Data'!$A1:$AE673,8,FALSE)*$Q11*IFERROR((VLOOKUP(P11,Settings!$E$28:$F$33,2,FALSE)+1),1)</f>
        <v>47.879999999999995</v>
      </c>
      <c r="U11" s="57" cm="1">
        <f t="array" ref="U11">SUM(S11:T11)</f>
        <v>58.8</v>
      </c>
      <c r="V11" s="57" cm="1">
        <f t="array" ref="V11">VLOOKUP(B11,'Player Data'!$A1:$AE673,10,FALSE)*$Q11*IFERROR(((VLOOKUP(P11,Settings!$E$28:$F$33,2,FALSE)/2)+1),1)</f>
        <v>185.64</v>
      </c>
      <c r="W11" s="58" cm="1">
        <f t="array" ref="W11">VLOOKUP(B11,'Player Data'!$A1:$AE673,11,FALSE)*$Q11*IFERROR((VLOOKUP(P11,Settings!$E$28:$F$33,2,FALSE)+1),1)</f>
        <v>4.2</v>
      </c>
      <c r="X11" s="57" cm="1">
        <f t="array" ref="X11">VLOOKUP(B11,'Player Data'!$A1:$AE673,12,FALSE)*$Q11*IFERROR((VLOOKUP(P11,Settings!$E$28:$F$33,2,FALSE)+1),1)</f>
        <v>27.720000000000002</v>
      </c>
      <c r="Y11" s="57" cm="1">
        <f t="array" ref="Y11">VLOOKUP(B11,'Player Data'!$A1:$AE673,13,FALSE)*$Q11</f>
        <v>0</v>
      </c>
      <c r="Z11" s="57" cm="1">
        <f t="array" ref="Z11">VLOOKUP(B11,'Player Data'!$A1:$AE673,14,FALSE)*$Q11</f>
        <v>0</v>
      </c>
      <c r="AA11" s="57" cm="1">
        <f t="array" ref="AA11">VLOOKUP(B11,'Player Data'!$A1:$AE673,15,FALSE)*$Q11</f>
        <v>180.6</v>
      </c>
      <c r="AB11" s="57" cm="1">
        <f t="array" ref="AB11">VLOOKUP(B11,'Player Data'!$A1:$AE673,16,FALSE)*$Q11</f>
        <v>144.47999999999999</v>
      </c>
      <c r="AC11" s="57" cm="1">
        <f t="array" ref="AC11">VLOOKUP(B11,'Player Data'!$A1:$AE673,17,FALSE)*$Q11*IFERROR((VLOOKUP(P11,Settings!$E$28:$F$33,2,FALSE)+1),1)</f>
        <v>2.52</v>
      </c>
      <c r="AD11" s="57" cm="1">
        <f t="array" ref="AD11">VLOOKUP(B11,'Player Data'!$A1:$AE673,18,FALSE)*$Q11</f>
        <v>53.76</v>
      </c>
      <c r="AE11" s="57" cm="1">
        <f t="array" ref="AE11">VLOOKUP(B11,'Player Data'!$A1:$AE673,19,FALSE)*$Q11*IFERROR((VLOOKUP(P11,Settings!$E$28:$F$33,2,FALSE)+1),1)</f>
        <v>1.68</v>
      </c>
      <c r="AF11" s="57" cm="1">
        <f t="array" ref="AF11">VLOOKUP(B11,'Player Data'!$A1:$AE673,20,FALSE)*$Q11</f>
        <v>0</v>
      </c>
      <c r="AG11" s="57" cm="1">
        <f t="array" ref="AG11">VLOOKUP(B11,'Player Data'!$A1:$AE673,21,FALSE)*$Q11</f>
        <v>0</v>
      </c>
      <c r="AH11" s="59" cm="1">
        <f t="array" ref="AH11">VLOOKUP(B11,'Player Data'!$A1:$AE673,22,FALSE)</f>
        <v>0</v>
      </c>
      <c r="AI11" s="55"/>
      <c r="AJ11" s="57"/>
      <c r="AK11" s="57"/>
      <c r="AL11" s="57"/>
      <c r="AM11" s="57"/>
      <c r="AN11" s="57"/>
      <c r="AO11" s="57"/>
      <c r="AP11" s="57"/>
      <c r="AQ11" s="60"/>
      <c r="AR11" s="61"/>
      <c r="AS11" s="55"/>
    </row>
    <row r="12" spans="1:45" ht="21.25" customHeight="1" x14ac:dyDescent="0.15">
      <c r="A12" s="62">
        <f>RANK(K12,K$2:K$671)</f>
        <v>9</v>
      </c>
      <c r="B12" s="10" t="s">
        <v>136</v>
      </c>
      <c r="C12" s="47" t="s">
        <v>145</v>
      </c>
      <c r="D12" s="48" t="str" cm="1">
        <f t="array" ref="D12">VLOOKUP(B12,'Player Data'!A1:D673,4,FALSE)</f>
        <v>C,LW</v>
      </c>
      <c r="E12" s="74" cm="1">
        <f t="array" ref="E12">VLOOKUP(B12,LW!A1:C210,3,FALSE)</f>
        <v>1</v>
      </c>
      <c r="F12" s="63" t="str" cm="1">
        <f t="array" ref="F12">VLOOKUP(B12,'Player Data'!A1:B673,2,FALSE)</f>
        <v>EDM</v>
      </c>
      <c r="G12" s="11" cm="1">
        <f t="array" ref="G12">VLOOKUP(B12,'Player Data'!A1:D673,3,FALSE)</f>
        <v>30</v>
      </c>
      <c r="H12" s="51" cm="1">
        <f t="array" ref="H12">IFERROR(VLOOKUP(B12,ADP!A1:F671,6,FALSE)/1000000,VLOOKUP(B12,ADP!A1:F671,6,FALSE))</f>
        <v>14</v>
      </c>
      <c r="I12" s="52">
        <f>IF(Settings!$E$15="POINTS",((R12*Q12)*Settings!$B$12)+(S12*Settings!$B$2)+(T12*Settings!$B$3)+(U12*Settings!$B$4)+(V12*Settings!$B$5)+(X12*Settings!$B$9)+(AA12*Settings!$B$6)+(W12*Settings!$B$8)+(AB12*Settings!$B$7)+(AC12*Settings!$B$14)+(AD12*Settings!$B$15)+(AE12*Settings!$B$16)+(AF12*Settings!$B$17)+(AG12*Settings!$B$18)+(Y12*Settings!$B$10)+(Z12*Settings!$B$11),VLOOKUP(B12,'Standard Deviations'!A$1:C$672,3,FALSE))</f>
        <v>12.747492940258208</v>
      </c>
      <c r="J12" s="53" cm="1">
        <f t="array" ref="J12">IF(D12="G",I12/AJ12,I12/Q12)</f>
        <v>0.16136067012985075</v>
      </c>
      <c r="K12" s="52" cm="1">
        <f t="array" ref="K12">IF(Settings!$E$18="C/LW/RW",VLOOKUP(B12,LW!A1:F210,6,FALSE),VLOOKUP(B12,F!A1:F407,6,FALSE))</f>
        <v>5.8531072958683987</v>
      </c>
      <c r="L12" s="54" cm="1">
        <f t="array" ref="L12">IFERROR(K12/H12,"N/A")</f>
        <v>0.41807909256202846</v>
      </c>
      <c r="M12" s="55">
        <v>6.6</v>
      </c>
      <c r="N12" s="55" cm="1">
        <f t="array" ref="N12">IFERROR(M12-A12,"N/A")</f>
        <v>-2.4000000000000004</v>
      </c>
      <c r="O12" s="55"/>
      <c r="P12" s="56" cm="1">
        <f t="array" ref="P12">_xlfn.XLOOKUP($B12,ADP!A2:A671,ADP!G2:G671)</f>
        <v>0</v>
      </c>
      <c r="Q12" s="57" cm="1">
        <f t="array" ref="Q12">IF(Settings!$E$12="YES",VLOOKUP(B12,'Player Data'!A1:E673,5,FALSE),84)</f>
        <v>79</v>
      </c>
      <c r="R12" s="55" cm="1">
        <f t="array" ref="R12">VLOOKUP(B12,'Player Data'!$A1:$AE673,6,FALSE)</f>
        <v>21.1</v>
      </c>
      <c r="S12" s="57" cm="1">
        <f t="array" ref="S12">VLOOKUP(B12,'Player Data'!$A1:$AE673,7,FALSE)*$Q12*IFERROR((VLOOKUP(P12,Settings!$E$28:$F$33,2,FALSE)+1),1)</f>
        <v>45.029999999999994</v>
      </c>
      <c r="T12" s="57" cm="1">
        <f t="array" ref="T12">VLOOKUP(B12,'Player Data'!$A1:$AE673,8,FALSE)*$Q12*IFERROR((VLOOKUP(P12,Settings!$E$28:$F$33,2,FALSE)+1),1)</f>
        <v>66.36</v>
      </c>
      <c r="U12" s="57" cm="1">
        <f t="array" ref="U12">SUM(S12:T12)</f>
        <v>111.38999999999999</v>
      </c>
      <c r="V12" s="57" cm="1">
        <f t="array" ref="V12">VLOOKUP(B12,'Player Data'!$A1:$AE673,10,FALSE)*$Q12*IFERROR(((VLOOKUP(P12,Settings!$E$28:$F$33,2,FALSE)/2)+1),1)</f>
        <v>232.26</v>
      </c>
      <c r="W12" s="58" cm="1">
        <f t="array" ref="W12">VLOOKUP(B12,'Player Data'!$A1:$AE673,11,FALSE)*$Q12*IFERROR((VLOOKUP(P12,Settings!$E$28:$F$33,2,FALSE)+1),1)</f>
        <v>19.75</v>
      </c>
      <c r="X12" s="57" cm="1">
        <f t="array" ref="X12">VLOOKUP(B12,'Player Data'!$A1:$AE673,12,FALSE)*$Q12*IFERROR((VLOOKUP(P12,Settings!$E$28:$F$33,2,FALSE)+1),1)</f>
        <v>45.82</v>
      </c>
      <c r="Y12" s="57" cm="1">
        <f t="array" ref="Y12">VLOOKUP(B12,'Player Data'!$A1:$AE673,13,FALSE)*$Q12</f>
        <v>0</v>
      </c>
      <c r="Z12" s="57" cm="1">
        <f t="array" ref="Z12">VLOOKUP(B12,'Player Data'!$A1:$AE673,14,FALSE)*$Q12</f>
        <v>0</v>
      </c>
      <c r="AA12" s="57" cm="1">
        <f t="array" ref="AA12">VLOOKUP(B12,'Player Data'!$A1:$AE673,15,FALSE)*$Q12</f>
        <v>23.7</v>
      </c>
      <c r="AB12" s="57" cm="1">
        <f t="array" ref="AB12">VLOOKUP(B12,'Player Data'!$A1:$AE673,16,FALSE)*$Q12</f>
        <v>39.5</v>
      </c>
      <c r="AC12" s="57" cm="1">
        <f t="array" ref="AC12">VLOOKUP(B12,'Player Data'!$A1:$AE673,17,FALSE)*$Q12*IFERROR((VLOOKUP(P12,Settings!$E$28:$F$33,2,FALSE)+1),1)</f>
        <v>9.48</v>
      </c>
      <c r="AD12" s="57" cm="1">
        <f t="array" ref="AD12">VLOOKUP(B12,'Player Data'!$A1:$AE673,18,FALSE)*$Q12</f>
        <v>39.5</v>
      </c>
      <c r="AE12" s="57" cm="1">
        <f t="array" ref="AE12">VLOOKUP(B12,'Player Data'!$A1:$AE673,19,FALSE)*$Q12*IFERROR((VLOOKUP(P12,Settings!$E$28:$F$33,2,FALSE)+1),1)</f>
        <v>7.9</v>
      </c>
      <c r="AF12" s="57" cm="1">
        <f t="array" ref="AF12">VLOOKUP(B12,'Player Data'!$A1:$AE673,20,FALSE)*$Q12</f>
        <v>746.55</v>
      </c>
      <c r="AG12" s="57" cm="1">
        <f t="array" ref="AG12">VLOOKUP(B12,'Player Data'!$A1:$AE673,21,FALSE)*$Q12</f>
        <v>584.6</v>
      </c>
      <c r="AH12" s="59" cm="1">
        <f t="array" ref="AH12">VLOOKUP(B12,'Player Data'!$A1:$AE673,22,FALSE)</f>
        <v>0.56000000000000005</v>
      </c>
      <c r="AI12" s="55"/>
      <c r="AJ12" s="57"/>
      <c r="AK12" s="57"/>
      <c r="AL12" s="57"/>
      <c r="AM12" s="57"/>
      <c r="AN12" s="57"/>
      <c r="AO12" s="57"/>
      <c r="AP12" s="57"/>
      <c r="AQ12" s="60"/>
      <c r="AR12" s="61"/>
      <c r="AS12" s="55"/>
    </row>
    <row r="13" spans="1:45" ht="21.25" customHeight="1" x14ac:dyDescent="0.15">
      <c r="A13" s="62">
        <f>RANK(K13,K$2:K$671)</f>
        <v>12</v>
      </c>
      <c r="B13" s="10" t="s">
        <v>143</v>
      </c>
      <c r="C13" s="47" t="s">
        <v>145</v>
      </c>
      <c r="D13" s="48" t="str" cm="1">
        <f t="array" ref="D13">VLOOKUP(B13,'Player Data'!A1:D673,4,FALSE)</f>
        <v>D</v>
      </c>
      <c r="E13" s="68" cm="1">
        <f t="array" ref="E13">VLOOKUP(B13,D!A1:C204,3,FALSE)</f>
        <v>7</v>
      </c>
      <c r="F13" s="69" t="str" cm="1">
        <f t="array" ref="F13">VLOOKUP(B13,'Player Data'!A1:B673,2,FALSE)</f>
        <v>MTL</v>
      </c>
      <c r="G13" s="71" cm="1">
        <f t="array" ref="G13">VLOOKUP(B13,'Player Data'!A1:D673,3,FALSE)</f>
        <v>22</v>
      </c>
      <c r="H13" s="51" cm="1">
        <f t="array" ref="H13">IFERROR(VLOOKUP(B13,ADP!A1:F671,6,FALSE)/1000000,VLOOKUP(B13,ADP!A1:F671,6,FALSE))</f>
        <v>8.85</v>
      </c>
      <c r="I13" s="52">
        <f>IF(Settings!$E$15="POINTS",((R13*Q13)*Settings!$B$12)+(S13*Settings!$B$2)+(T13*Settings!$B$3)+(U13*Settings!$B$4)+(V13*Settings!$B$5)+(X13*Settings!$B$9)+(AA13*Settings!$B$6)+(W13*Settings!$B$8)+(AB13*Settings!$B$7)+(AC13*Settings!$B$14)+(AD13*Settings!$B$15)+(AE13*Settings!$B$16)+(AF13*Settings!$B$17)+(AG13*Settings!$B$18)+(U13*Settings!$B$13)+(Y13*Settings!$B$10)+(Z13*Settings!$B$11),VLOOKUP(B13,'Standard Deviations'!A$1:C$672,3,FALSE))</f>
        <v>5.4796290389987927</v>
      </c>
      <c r="J13" s="53" cm="1">
        <f t="array" ref="J13">IF(D13="G",I13/AJ13,I13/Q13)</f>
        <v>6.5233679035699918E-2</v>
      </c>
      <c r="K13" s="52" cm="1">
        <f t="array" ref="K13">VLOOKUP(B13,D!A1:F204,6,FALSE)</f>
        <v>4.9127781244812381</v>
      </c>
      <c r="L13" s="54" cm="1">
        <f t="array" ref="L13">IFERROR(K13/H13,"N/A")</f>
        <v>0.55511617225776699</v>
      </c>
      <c r="M13" s="55">
        <v>20</v>
      </c>
      <c r="N13" s="55" cm="1">
        <f t="array" ref="N13">IFERROR(M13-A13,"N/A")</f>
        <v>8</v>
      </c>
      <c r="O13" s="55"/>
      <c r="P13" s="56" cm="1">
        <f t="array" ref="P13">_xlfn.XLOOKUP($B13,ADP!A2:A671,ADP!G2:G671)</f>
        <v>0</v>
      </c>
      <c r="Q13" s="57" cm="1">
        <f t="array" ref="Q13">IF(Settings!$E$12="YES",VLOOKUP(B13,'Player Data'!A1:E673,5,FALSE),84)</f>
        <v>84</v>
      </c>
      <c r="R13" s="55" cm="1">
        <f t="array" ref="R13">VLOOKUP(B13,'Player Data'!$A1:$AE673,6,FALSE)</f>
        <v>23.7</v>
      </c>
      <c r="S13" s="57" cm="1">
        <f t="array" ref="S13">VLOOKUP(B13,'Player Data'!$A1:$AE673,7,FALSE)*$Q13*IFERROR((VLOOKUP(P13,Settings!$E$28:$F$33,2,FALSE)+1),1)</f>
        <v>11.760000000000002</v>
      </c>
      <c r="T13" s="57" cm="1">
        <f t="array" ref="T13">VLOOKUP(B13,'Player Data'!$A1:$AE673,8,FALSE)*$Q13*IFERROR((VLOOKUP(P13,Settings!$E$28:$F$33,2,FALSE)+1),1)</f>
        <v>66.36</v>
      </c>
      <c r="U13" s="57" cm="1">
        <f t="array" ref="U13">SUM(S13:T13)</f>
        <v>78.12</v>
      </c>
      <c r="V13" s="57" cm="1">
        <f t="array" ref="V13">VLOOKUP(B13,'Player Data'!$A1:$AE673,10,FALSE)*$Q13*IFERROR(((VLOOKUP(P13,Settings!$E$28:$F$33,2,FALSE)/2)+1),1)</f>
        <v>128.52000000000001</v>
      </c>
      <c r="W13" s="58" cm="1">
        <f t="array" ref="W13">VLOOKUP(B13,'Player Data'!$A1:$AE673,11,FALSE)*$Q13*IFERROR((VLOOKUP(P13,Settings!$E$28:$F$33,2,FALSE)+1),1)</f>
        <v>2.52</v>
      </c>
      <c r="X13" s="57" cm="1">
        <f t="array" ref="X13">VLOOKUP(B13,'Player Data'!$A1:$AE673,12,FALSE)*$Q13*IFERROR((VLOOKUP(P13,Settings!$E$28:$F$33,2,FALSE)+1),1)</f>
        <v>26.88</v>
      </c>
      <c r="Y13" s="57" cm="1">
        <f t="array" ref="Y13">VLOOKUP(B13,'Player Data'!$A1:$AE673,13,FALSE)*$Q13</f>
        <v>0</v>
      </c>
      <c r="Z13" s="57" cm="1">
        <f t="array" ref="Z13">VLOOKUP(B13,'Player Data'!$A1:$AE673,14,FALSE)*$Q13</f>
        <v>0</v>
      </c>
      <c r="AA13" s="57" cm="1">
        <f t="array" ref="AA13">VLOOKUP(B13,'Player Data'!$A1:$AE673,15,FALSE)*$Q13</f>
        <v>131.88</v>
      </c>
      <c r="AB13" s="57" cm="1">
        <f t="array" ref="AB13">VLOOKUP(B13,'Player Data'!$A1:$AE673,16,FALSE)*$Q13</f>
        <v>38.64</v>
      </c>
      <c r="AC13" s="57" cm="1">
        <f t="array" ref="AC13">VLOOKUP(B13,'Player Data'!$A1:$AE673,17,FALSE)*$Q13*IFERROR((VLOOKUP(P13,Settings!$E$28:$F$33,2,FALSE)+1),1)</f>
        <v>8.4</v>
      </c>
      <c r="AD13" s="57" cm="1">
        <f t="array" ref="AD13">VLOOKUP(B13,'Player Data'!$A1:$AE673,18,FALSE)*$Q13</f>
        <v>37.800000000000004</v>
      </c>
      <c r="AE13" s="57" cm="1">
        <f t="array" ref="AE13">VLOOKUP(B13,'Player Data'!$A1:$AE673,19,FALSE)*$Q13*IFERROR((VLOOKUP(P13,Settings!$E$28:$F$33,2,FALSE)+1),1)</f>
        <v>1.68</v>
      </c>
      <c r="AF13" s="57" cm="1">
        <f t="array" ref="AF13">VLOOKUP(B13,'Player Data'!$A1:$AE673,20,FALSE)*$Q13</f>
        <v>0</v>
      </c>
      <c r="AG13" s="57" cm="1">
        <f t="array" ref="AG13">VLOOKUP(B13,'Player Data'!$A1:$AE673,21,FALSE)*$Q13</f>
        <v>0</v>
      </c>
      <c r="AH13" s="59" cm="1">
        <f t="array" ref="AH13">VLOOKUP(B13,'Player Data'!$A1:$AE673,22,FALSE)</f>
        <v>0</v>
      </c>
      <c r="AI13" s="55"/>
      <c r="AJ13" s="57"/>
      <c r="AK13" s="57"/>
      <c r="AL13" s="57"/>
      <c r="AM13" s="57"/>
      <c r="AN13" s="57"/>
      <c r="AO13" s="57"/>
      <c r="AP13" s="57"/>
      <c r="AQ13" s="60"/>
      <c r="AR13" s="61"/>
      <c r="AS13" s="55"/>
    </row>
    <row r="14" spans="1:45" ht="21.25" customHeight="1" x14ac:dyDescent="0.15">
      <c r="A14" s="62">
        <f>RANK(K14,K$2:K$671)</f>
        <v>16</v>
      </c>
      <c r="B14" s="10" t="s">
        <v>158</v>
      </c>
      <c r="C14" s="47" t="s">
        <v>145</v>
      </c>
      <c r="D14" s="48" t="str" cm="1">
        <f t="array" ref="D14">VLOOKUP(B14,'Player Data'!A1:D673,4,FALSE)</f>
        <v>D</v>
      </c>
      <c r="E14" s="68" cm="1">
        <f t="array" ref="E14">VLOOKUP(B14,D!A1:C204,3,FALSE)</f>
        <v>8</v>
      </c>
      <c r="F14" s="56" t="str" cm="1">
        <f t="array" ref="F14">VLOOKUP(B14,'Player Data'!A1:B673,2,FALSE)</f>
        <v>WSH</v>
      </c>
      <c r="G14" s="11" cm="1">
        <f t="array" ref="G14">VLOOKUP(B14,'Player Data'!A1:D673,3,FALSE)</f>
        <v>28</v>
      </c>
      <c r="H14" s="51" cm="1">
        <f t="array" ref="H14">IFERROR(VLOOKUP(B14,ADP!A1:F671,6,FALSE)/1000000,VLOOKUP(B14,ADP!A1:F671,6,FALSE))</f>
        <v>9</v>
      </c>
      <c r="I14" s="52">
        <f>IF(Settings!$E$15="POINTS",((R14*Q14)*Settings!$B$12)+(S14*Settings!$B$2)+(T14*Settings!$B$3)+(U14*Settings!$B$4)+(V14*Settings!$B$5)+(X14*Settings!$B$9)+(AA14*Settings!$B$6)+(W14*Settings!$B$8)+(AB14*Settings!$B$7)+(AC14*Settings!$B$14)+(AD14*Settings!$B$15)+(AE14*Settings!$B$16)+(AF14*Settings!$B$17)+(AG14*Settings!$B$18)+(U14*Settings!$B$13)+(Y14*Settings!$B$10)+(Z14*Settings!$B$11),VLOOKUP(B14,'Standard Deviations'!A$1:C$672,3,FALSE))</f>
        <v>5.0308180720151761</v>
      </c>
      <c r="J14" s="53" cm="1">
        <f t="array" ref="J14">IF(D14="G",I14/AJ14,I14/Q14)</f>
        <v>6.0612265927893684E-2</v>
      </c>
      <c r="K14" s="52" cm="1">
        <f t="array" ref="K14">VLOOKUP(B14,D!A1:F204,6,FALSE)</f>
        <v>4.4639671574976214</v>
      </c>
      <c r="L14" s="54" cm="1">
        <f t="array" ref="L14">IFERROR(K14/H14,"N/A")</f>
        <v>0.49599635083306903</v>
      </c>
      <c r="M14" s="55">
        <v>54.7</v>
      </c>
      <c r="N14" s="55" cm="1">
        <f t="array" ref="N14">IFERROR(M14-A14,"N/A")</f>
        <v>38.700000000000003</v>
      </c>
      <c r="O14" s="55"/>
      <c r="P14" s="56" cm="1">
        <f t="array" ref="P14">_xlfn.XLOOKUP($B14,ADP!A2:A671,ADP!G2:G671)</f>
        <v>0</v>
      </c>
      <c r="Q14" s="57" cm="1">
        <f t="array" ref="Q14">IF(Settings!$E$12="YES",VLOOKUP(B14,'Player Data'!A1:E673,5,FALSE),84)</f>
        <v>83</v>
      </c>
      <c r="R14" s="55" cm="1">
        <f t="array" ref="R14">VLOOKUP(B14,'Player Data'!$A1:$AE673,6,FALSE)</f>
        <v>23.2</v>
      </c>
      <c r="S14" s="57" cm="1">
        <f t="array" ref="S14">VLOOKUP(B14,'Player Data'!$A1:$AE673,7,FALSE)*$Q14*IFERROR((VLOOKUP(P14,Settings!$E$28:$F$33,2,FALSE)+1),1)</f>
        <v>21.580000000000002</v>
      </c>
      <c r="T14" s="57" cm="1">
        <f t="array" ref="T14">VLOOKUP(B14,'Player Data'!$A1:$AE673,8,FALSE)*$Q14*IFERROR((VLOOKUP(P14,Settings!$E$28:$F$33,2,FALSE)+1),1)</f>
        <v>33.200000000000003</v>
      </c>
      <c r="U14" s="57" cm="1">
        <f t="array" ref="U14">SUM(S14:T14)</f>
        <v>54.78</v>
      </c>
      <c r="V14" s="57" cm="1">
        <f t="array" ref="V14">VLOOKUP(B14,'Player Data'!$A1:$AE673,10,FALSE)*$Q14*IFERROR(((VLOOKUP(P14,Settings!$E$28:$F$33,2,FALSE)/2)+1),1)</f>
        <v>219.12</v>
      </c>
      <c r="W14" s="57" cm="1">
        <f t="array" ref="W14">VLOOKUP(B14,'Player Data'!$A1:$AE673,11,FALSE)*$Q14*IFERROR((VLOOKUP(P14,Settings!$E$28:$F$33,2,FALSE)+1),1)</f>
        <v>7.47</v>
      </c>
      <c r="X14" s="78" cm="1">
        <f t="array" ref="X14">VLOOKUP(B14,'Player Data'!$A1:$AE673,12,FALSE)*$Q14*IFERROR((VLOOKUP(P14,Settings!$E$28:$F$33,2,FALSE)+1),1)</f>
        <v>19.09</v>
      </c>
      <c r="Y14" s="57" cm="1">
        <f t="array" ref="Y14">VLOOKUP(B14,'Player Data'!$A1:$AE673,13,FALSE)*$Q14</f>
        <v>0</v>
      </c>
      <c r="Z14" s="57" cm="1">
        <f t="array" ref="Z14">VLOOKUP(B14,'Player Data'!$A1:$AE673,14,FALSE)*$Q14</f>
        <v>0</v>
      </c>
      <c r="AA14" s="57" cm="1">
        <f t="array" ref="AA14">VLOOKUP(B14,'Player Data'!$A1:$AE673,15,FALSE)*$Q14</f>
        <v>118.69</v>
      </c>
      <c r="AB14" s="57" cm="1">
        <f t="array" ref="AB14">VLOOKUP(B14,'Player Data'!$A1:$AE673,16,FALSE)*$Q14</f>
        <v>63.08</v>
      </c>
      <c r="AC14" s="57" cm="1">
        <f t="array" ref="AC14">VLOOKUP(B14,'Player Data'!$A1:$AE673,17,FALSE)*$Q14*IFERROR((VLOOKUP(P14,Settings!$E$28:$F$33,2,FALSE)+1),1)</f>
        <v>6.6400000000000006</v>
      </c>
      <c r="AD14" s="57" cm="1">
        <f t="array" ref="AD14">VLOOKUP(B14,'Player Data'!$A1:$AE673,18,FALSE)*$Q14</f>
        <v>58.93</v>
      </c>
      <c r="AE14" s="57" cm="1">
        <f t="array" ref="AE14">VLOOKUP(B14,'Player Data'!$A1:$AE673,19,FALSE)*$Q14*IFERROR((VLOOKUP(P14,Settings!$E$28:$F$33,2,FALSE)+1),1)</f>
        <v>3.3200000000000003</v>
      </c>
      <c r="AF14" s="57" cm="1">
        <f t="array" ref="AF14">VLOOKUP(B14,'Player Data'!$A1:$AE673,20,FALSE)*$Q14</f>
        <v>0</v>
      </c>
      <c r="AG14" s="57" cm="1">
        <f t="array" ref="AG14">VLOOKUP(B14,'Player Data'!$A1:$AE673,21,FALSE)*$Q14</f>
        <v>0</v>
      </c>
      <c r="AH14" s="59" cm="1">
        <f t="array" ref="AH14">VLOOKUP(B14,'Player Data'!$A1:$AE673,22,FALSE)</f>
        <v>0</v>
      </c>
      <c r="AI14" s="55"/>
      <c r="AJ14" s="57"/>
      <c r="AK14" s="57"/>
      <c r="AL14" s="57"/>
      <c r="AM14" s="57"/>
      <c r="AN14" s="57"/>
      <c r="AO14" s="57"/>
      <c r="AP14" s="57"/>
      <c r="AQ14" s="60"/>
      <c r="AR14" s="61"/>
      <c r="AS14" s="55"/>
    </row>
    <row r="15" spans="1:45" ht="21.25" customHeight="1" x14ac:dyDescent="0.15">
      <c r="A15" s="62">
        <f>RANK(K15,K$2:K$671)</f>
        <v>14</v>
      </c>
      <c r="B15" s="10" t="s">
        <v>149</v>
      </c>
      <c r="C15" s="47" t="s">
        <v>145</v>
      </c>
      <c r="D15" s="48" t="str" cm="1">
        <f t="array" ref="D15">VLOOKUP(B15,'Player Data'!A1:D673,4,FALSE)</f>
        <v>G</v>
      </c>
      <c r="E15" s="76" cm="1">
        <f t="array" ref="E15">VLOOKUP(B15,G!A1:D66,3,FALSE)</f>
        <v>2</v>
      </c>
      <c r="F15" s="18" t="str" cm="1">
        <f t="array" ref="F15">VLOOKUP(B15,'Player Data'!A1:B673,2,FALSE)</f>
        <v>WPG</v>
      </c>
      <c r="G15" s="66" cm="1">
        <f t="array" ref="G15">VLOOKUP(B15,'Player Data'!A1:D673,3,FALSE)</f>
        <v>33</v>
      </c>
      <c r="H15" s="51" cm="1">
        <f t="array" ref="H15">IFERROR(VLOOKUP(B15,ADP!A1:F671,6,FALSE)/1000000,VLOOKUP(B15,ADP!A1:F671,6,FALSE))</f>
        <v>8.5</v>
      </c>
      <c r="I15" s="52">
        <f>IF(Settings!$E$15="POINTS",(AJ15*Settings!$B$29)+(AK15*Settings!$B$21)+(AL15*Settings!$B$22)+(AN15*Settings!$B$24)+(AO15*Settings!$B$25)+(AP15*Settings!$B$27)+(AM15*Settings!$B$23),VLOOKUP(B15,'Standard Deviations'!A$1:C$672,3,FALSE))</f>
        <v>6.6333593514752183</v>
      </c>
      <c r="J15" s="53" cm="1">
        <f t="array" ref="J15">IF(D15="G",I15/AJ15,I15/Q15)</f>
        <v>0.12060653366318579</v>
      </c>
      <c r="K15" s="52" cm="1">
        <f t="array" ref="K15">VLOOKUP(B15,G!A1:F66,6,FALSE)</f>
        <v>4.5951740923515434</v>
      </c>
      <c r="L15" s="54" cm="1">
        <f t="array" ref="L15">IFERROR(K15/H15,"N/A")</f>
        <v>0.54060871674724043</v>
      </c>
      <c r="M15" s="55">
        <v>26.6</v>
      </c>
      <c r="N15" s="55" cm="1">
        <f t="array" ref="N15">IFERROR(M15-A15,"N/A")</f>
        <v>12.600000000000001</v>
      </c>
      <c r="O15" s="55"/>
      <c r="P15" s="56" cm="1">
        <f t="array" ref="P15">_xlfn.XLOOKUP($B15,ADP!A2:A671,ADP!G2:G671)</f>
        <v>0</v>
      </c>
      <c r="Q15" s="57"/>
      <c r="R15" s="55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9"/>
      <c r="AI15" s="55"/>
      <c r="AJ15" s="77" cm="1">
        <f t="array" ref="AJ15">VLOOKUP(B15,'Player Data'!$A1:$AE673,24,FALSE)</f>
        <v>55</v>
      </c>
      <c r="AK15" s="57" cm="1">
        <f t="array" ref="AK15">VLOOKUP(B15,'Player Data'!$A1:$AE673,25,FALSE)*$AJ15*IFERROR((VLOOKUP(P15,Settings!$E$28:$F$33,2,FALSE)+1),1)</f>
        <v>29.150000000000002</v>
      </c>
      <c r="AL15" s="57" cm="1">
        <f t="array" ref="AL15">AJ15-AK15-AM15</f>
        <v>19.25</v>
      </c>
      <c r="AM15" s="57" cm="1">
        <f t="array" ref="AM15">VLOOKUP(B15,'Player Data'!$A1:$AE673,27,FALSE)*$AJ15</f>
        <v>6.6</v>
      </c>
      <c r="AN15" s="57" cm="1">
        <f t="array" ref="AN15">VLOOKUP(B15,'Player Data'!$A1:$AE673,28,FALSE)*AJ15</f>
        <v>3.8500000000000005</v>
      </c>
      <c r="AO15" s="57" cm="1">
        <f t="array" ref="AO15">VLOOKUP(B15,'Player Data'!$A1:$AE673,29,FALSE)*$AJ15*IFERROR((VLOOKUP(P15,Settings!$E$28:$F$33,2,FALSE)/4)+1,1)</f>
        <v>1446.5</v>
      </c>
      <c r="AP15" s="57" cm="1">
        <f t="array" ref="AP15">VLOOKUP(B15,'Player Data'!$A1:$AE673,31,FALSE)*$AJ15*(IFERROR(1-(VLOOKUP(P15,Settings!$E$28:$F$33,2,FALSE)/4),1))</f>
        <v>143.54999999999998</v>
      </c>
      <c r="AQ15" s="60" cm="1">
        <f t="array" ref="AQ15">1-(AP15/(AO15+AP15))</f>
        <v>0.90971982013144237</v>
      </c>
      <c r="AR15" s="61" cm="1">
        <f t="array" ref="AR15">AP15/AJ15</f>
        <v>2.61</v>
      </c>
      <c r="AS15" s="55"/>
    </row>
    <row r="16" spans="1:45" ht="21.25" customHeight="1" x14ac:dyDescent="0.15">
      <c r="A16" s="62">
        <f>RANK(K16,K$2:K$671)</f>
        <v>18</v>
      </c>
      <c r="B16" s="10" t="s">
        <v>139</v>
      </c>
      <c r="C16" s="47" t="s">
        <v>145</v>
      </c>
      <c r="D16" s="48" t="str" cm="1">
        <f t="array" ref="D16">VLOOKUP(B16,'Player Data'!A1:D673,4,FALSE)</f>
        <v>D</v>
      </c>
      <c r="E16" s="68" cm="1">
        <f t="array" ref="E16">VLOOKUP(B16,D!A1:C204,3,FALSE)</f>
        <v>9</v>
      </c>
      <c r="F16" s="72" t="str" cm="1">
        <f t="array" ref="F16">VLOOKUP(B16,'Player Data'!A1:B673,2,FALSE)</f>
        <v>NYI</v>
      </c>
      <c r="G16" s="71" cm="1">
        <f t="array" ref="G16">VLOOKUP(B16,'Player Data'!A1:D673,3,FALSE)</f>
        <v>19</v>
      </c>
      <c r="H16" s="51" cm="1">
        <f t="array" ref="H16">IFERROR(VLOOKUP(B16,ADP!A1:F671,6,FALSE)/1000000,VLOOKUP(B16,ADP!A1:F671,6,FALSE))</f>
        <v>0.97499999999999998</v>
      </c>
      <c r="I16" s="52">
        <f>IF(Settings!$E$15="POINTS",((R16*Q16)*Settings!$B$12)+(S16*Settings!$B$2)+(T16*Settings!$B$3)+(U16*Settings!$B$4)+(V16*Settings!$B$5)+(X16*Settings!$B$9)+(AA16*Settings!$B$6)+(W16*Settings!$B$8)+(AB16*Settings!$B$7)+(AC16*Settings!$B$14)+(AD16*Settings!$B$15)+(AE16*Settings!$B$16)+(AF16*Settings!$B$17)+(AG16*Settings!$B$18)+(U16*Settings!$B$13)+(Y16*Settings!$B$10)+(Z16*Settings!$B$11),VLOOKUP(B16,'Standard Deviations'!A$1:C$672,3,FALSE))</f>
        <v>4.9499453948269387</v>
      </c>
      <c r="J16" s="53" cm="1">
        <f t="array" ref="J16">IF(D16="G",I16/AJ16,I16/Q16)</f>
        <v>5.963789632321613E-2</v>
      </c>
      <c r="K16" s="52" cm="1">
        <f t="array" ref="K16">VLOOKUP(B16,D!A1:F204,6,FALSE)</f>
        <v>4.3830944803093841</v>
      </c>
      <c r="L16" s="54" cm="1">
        <f t="array" ref="L16">IFERROR(K16/H16,"N/A")</f>
        <v>4.4954815182660353</v>
      </c>
      <c r="M16" s="55">
        <v>34.200000000000003</v>
      </c>
      <c r="N16" s="55" cm="1">
        <f t="array" ref="N16">IFERROR(M16-A16,"N/A")</f>
        <v>16.200000000000003</v>
      </c>
      <c r="O16" s="55"/>
      <c r="P16" s="56" t="str" cm="1">
        <f t="array" ref="P16">_xlfn.XLOOKUP($B16,ADP!A2:A671,ADP!G2:G671)</f>
        <v>+</v>
      </c>
      <c r="Q16" s="57" cm="1">
        <f t="array" ref="Q16">IF(Settings!$E$12="YES",VLOOKUP(B16,'Player Data'!A1:E673,5,FALSE),84)</f>
        <v>83</v>
      </c>
      <c r="R16" s="55" cm="1">
        <f t="array" ref="R16">VLOOKUP(B16,'Player Data'!$A1:$AE673,6,FALSE)</f>
        <v>24.8</v>
      </c>
      <c r="S16" s="57" cm="1">
        <f t="array" ref="S16">VLOOKUP(B16,'Player Data'!$A1:$AE673,7,FALSE)*$Q16*IFERROR((VLOOKUP(P16,Settings!$E$28:$F$33,2,FALSE)+1),1)</f>
        <v>26.145</v>
      </c>
      <c r="T16" s="57" cm="1">
        <f t="array" ref="T16">VLOOKUP(B16,'Player Data'!$A1:$AE673,8,FALSE)*$Q16*IFERROR((VLOOKUP(P16,Settings!$E$28:$F$33,2,FALSE)+1),1)</f>
        <v>44.4465</v>
      </c>
      <c r="U16" s="57" cm="1">
        <f t="array" ref="U16">SUM(S16:T16)</f>
        <v>70.591499999999996</v>
      </c>
      <c r="V16" s="57" cm="1">
        <f t="array" ref="V16">VLOOKUP(B16,'Player Data'!$A1:$AE673,10,FALSE)*$Q16*IFERROR(((VLOOKUP(P16,Settings!$E$28:$F$33,2,FALSE)/2)+1),1)</f>
        <v>230.55324999999999</v>
      </c>
      <c r="W16" s="58" cm="1">
        <f t="array" ref="W16">VLOOKUP(B16,'Player Data'!$A1:$AE673,11,FALSE)*$Q16*IFERROR((VLOOKUP(P16,Settings!$E$28:$F$33,2,FALSE)+1),1)</f>
        <v>9.5865000000000009</v>
      </c>
      <c r="X16" s="57" cm="1">
        <f t="array" ref="X16">VLOOKUP(B16,'Player Data'!$A1:$AE673,12,FALSE)*$Q16*IFERROR((VLOOKUP(P16,Settings!$E$28:$F$33,2,FALSE)+1),1)</f>
        <v>23.5305</v>
      </c>
      <c r="Y16" s="57" cm="1">
        <f t="array" ref="Y16">VLOOKUP(B16,'Player Data'!$A1:$AE673,13,FALSE)*$Q16</f>
        <v>0</v>
      </c>
      <c r="Z16" s="57" cm="1">
        <f t="array" ref="Z16">VLOOKUP(B16,'Player Data'!$A1:$AE673,14,FALSE)*$Q16</f>
        <v>0</v>
      </c>
      <c r="AA16" s="57" cm="1">
        <f t="array" ref="AA16">VLOOKUP(B16,'Player Data'!$A1:$AE673,15,FALSE)*$Q16</f>
        <v>113.71000000000001</v>
      </c>
      <c r="AB16" s="57" cm="1">
        <f t="array" ref="AB16">VLOOKUP(B16,'Player Data'!$A1:$AE673,16,FALSE)*$Q16</f>
        <v>46.480000000000004</v>
      </c>
      <c r="AC16" s="57" cm="1">
        <f t="array" ref="AC16">VLOOKUP(B16,'Player Data'!$A1:$AE673,17,FALSE)*$Q16*IFERROR((VLOOKUP(P16,Settings!$E$28:$F$33,2,FALSE)+1),1)</f>
        <v>-0.87150000000000016</v>
      </c>
      <c r="AD16" s="57" cm="1">
        <f t="array" ref="AD16">VLOOKUP(B16,'Player Data'!$A1:$AE673,18,FALSE)*$Q16</f>
        <v>43.160000000000004</v>
      </c>
      <c r="AE16" s="57" cm="1">
        <f t="array" ref="AE16">VLOOKUP(B16,'Player Data'!$A1:$AE673,19,FALSE)*$Q16*IFERROR((VLOOKUP(P16,Settings!$E$28:$F$33,2,FALSE)+1),1)</f>
        <v>3.4860000000000007</v>
      </c>
      <c r="AF16" s="57" cm="1">
        <f t="array" ref="AF16">VLOOKUP(B16,'Player Data'!$A1:$AE673,20,FALSE)*$Q16</f>
        <v>0</v>
      </c>
      <c r="AG16" s="57" cm="1">
        <f t="array" ref="AG16">VLOOKUP(B16,'Player Data'!$A1:$AE673,21,FALSE)*$Q16</f>
        <v>0</v>
      </c>
      <c r="AH16" s="59" cm="1">
        <f t="array" ref="AH16">VLOOKUP(B16,'Player Data'!$A1:$AE673,22,FALSE)</f>
        <v>0</v>
      </c>
      <c r="AI16" s="55"/>
      <c r="AJ16" s="57"/>
      <c r="AK16" s="57"/>
      <c r="AL16" s="57"/>
      <c r="AM16" s="57"/>
      <c r="AN16" s="57"/>
      <c r="AO16" s="57"/>
      <c r="AP16" s="57"/>
      <c r="AQ16" s="60"/>
      <c r="AR16" s="61"/>
      <c r="AS16" s="55"/>
    </row>
    <row r="17" spans="1:45" ht="21.25" customHeight="1" x14ac:dyDescent="0.15">
      <c r="A17" s="62">
        <f>RANK(K17,K$2:K$671)</f>
        <v>15</v>
      </c>
      <c r="B17" s="10" t="s">
        <v>164</v>
      </c>
      <c r="C17" s="47" t="s">
        <v>145</v>
      </c>
      <c r="D17" s="48" t="str" cm="1">
        <f t="array" ref="D17">VLOOKUP(B17,'Player Data'!A1:D673,4,FALSE)</f>
        <v>G</v>
      </c>
      <c r="E17" s="76" cm="1">
        <f t="array" ref="E17">VLOOKUP(B17,G!A1:D66,3,FALSE)</f>
        <v>3</v>
      </c>
      <c r="F17" s="56" t="str" cm="1">
        <f t="array" ref="F17">VLOOKUP(B17,'Player Data'!A1:B673,2,FALSE)</f>
        <v>WSH</v>
      </c>
      <c r="G17" s="11" cm="1">
        <f t="array" ref="G17">VLOOKUP(B17,'Player Data'!A1:D673,3,FALSE)</f>
        <v>29</v>
      </c>
      <c r="H17" s="51" cm="1">
        <f t="array" ref="H17">IFERROR(VLOOKUP(B17,ADP!A1:F671,6,FALSE)/1000000,VLOOKUP(B17,ADP!A1:F671,6,FALSE))</f>
        <v>5.85</v>
      </c>
      <c r="I17" s="52">
        <f>IF(Settings!$E$15="POINTS",(AJ17*Settings!$B$29)+(AK17*Settings!$B$21)+(AL17*Settings!$B$22)+(AN17*Settings!$B$24)+(AO17*Settings!$B$25)+(AP17*Settings!$B$27)+(AM17*Settings!$B$23),VLOOKUP(B17,'Standard Deviations'!A$1:C$672,3,FALSE))</f>
        <v>6.5965759774192874</v>
      </c>
      <c r="J17" s="53" cm="1">
        <f t="array" ref="J17">IF(D17="G",I17/AJ17,I17/Q17)</f>
        <v>0.11993774504398705</v>
      </c>
      <c r="K17" s="52" cm="1">
        <f t="array" ref="K17">VLOOKUP(B17,G!A1:F66,6,FALSE)</f>
        <v>4.5583907182956125</v>
      </c>
      <c r="L17" s="54" cm="1">
        <f t="array" ref="L17">IFERROR(K17/H17,"N/A")</f>
        <v>0.77921208859754065</v>
      </c>
      <c r="M17" s="55">
        <v>28.6</v>
      </c>
      <c r="N17" s="55" cm="1">
        <f t="array" ref="N17">IFERROR(M17-A17,"N/A")</f>
        <v>13.600000000000001</v>
      </c>
      <c r="O17" s="55"/>
      <c r="P17" s="56" cm="1">
        <f t="array" ref="P17">_xlfn.XLOOKUP($B17,ADP!A2:A671,ADP!G2:G671)</f>
        <v>0</v>
      </c>
      <c r="Q17" s="57"/>
      <c r="R17" s="55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9"/>
      <c r="AI17" s="55"/>
      <c r="AJ17" s="77" cm="1">
        <f t="array" ref="AJ17">VLOOKUP(B17,'Player Data'!$A1:$AE673,24,FALSE)</f>
        <v>55</v>
      </c>
      <c r="AK17" s="57" cm="1">
        <f t="array" ref="AK17">VLOOKUP(B17,'Player Data'!$A1:$AE673,25,FALSE)*$AJ17*IFERROR((VLOOKUP(P17,Settings!$E$28:$F$33,2,FALSE)+1),1)</f>
        <v>31.9</v>
      </c>
      <c r="AL17" s="57" cm="1">
        <f t="array" ref="AL17">AJ17-AK17-AM17</f>
        <v>17.05</v>
      </c>
      <c r="AM17" s="57" cm="1">
        <f t="array" ref="AM17">VLOOKUP(B17,'Player Data'!$A1:$AE673,27,FALSE)*$AJ17</f>
        <v>6.05</v>
      </c>
      <c r="AN17" s="57" cm="1">
        <f t="array" ref="AN17">VLOOKUP(B17,'Player Data'!$A1:$AE673,28,FALSE)*AJ17</f>
        <v>3.8500000000000005</v>
      </c>
      <c r="AO17" s="57" cm="1">
        <f t="array" ref="AO17">VLOOKUP(B17,'Player Data'!$A1:$AE673,29,FALSE)*$AJ17*IFERROR((VLOOKUP(P17,Settings!$E$28:$F$33,2,FALSE)/4)+1,1)</f>
        <v>1457.5</v>
      </c>
      <c r="AP17" s="57" cm="1">
        <f t="array" ref="AP17">VLOOKUP(B17,'Player Data'!$A1:$AE673,31,FALSE)*$AJ17*(IFERROR(1-(VLOOKUP(P17,Settings!$E$28:$F$33,2,FALSE)/4),1))</f>
        <v>146.30000000000001</v>
      </c>
      <c r="AQ17" s="60" cm="1">
        <f t="array" ref="AQ17">1-(AP17/(AO17+AP17))</f>
        <v>0.90877914951989025</v>
      </c>
      <c r="AR17" s="61" cm="1">
        <f t="array" ref="AR17">AP17/AJ17</f>
        <v>2.66</v>
      </c>
      <c r="AS17" s="55"/>
    </row>
    <row r="18" spans="1:45" ht="21.25" customHeight="1" x14ac:dyDescent="0.15">
      <c r="A18" s="62">
        <f>RANK(K18,K$2:K$671)</f>
        <v>20</v>
      </c>
      <c r="B18" s="10" t="s">
        <v>156</v>
      </c>
      <c r="C18" s="47" t="s">
        <v>145</v>
      </c>
      <c r="D18" s="48" t="str" cm="1">
        <f t="array" ref="D18">VLOOKUP(B18,'Player Data'!A1:D673,4,FALSE)</f>
        <v>D</v>
      </c>
      <c r="E18" s="68" cm="1">
        <f t="array" ref="E18">VLOOKUP(B18,D!A1:C204,3,FALSE)</f>
        <v>10</v>
      </c>
      <c r="F18" s="69" t="str" cm="1">
        <f t="array" ref="F18">VLOOKUP(B18,'Player Data'!A1:B673,2,FALSE)</f>
        <v>TOR</v>
      </c>
      <c r="G18" s="11" cm="1">
        <f t="array" ref="G18">VLOOKUP(B18,'Player Data'!A1:D673,3,FALSE)</f>
        <v>30</v>
      </c>
      <c r="H18" s="51" cm="1">
        <f t="array" ref="H18">IFERROR(VLOOKUP(B18,ADP!A1:F671,6,FALSE)/1000000,VLOOKUP(B18,ADP!A1:F671,6,FALSE))</f>
        <v>8.5</v>
      </c>
      <c r="I18" s="52">
        <f>IF(Settings!$E$15="POINTS",((R18*Q18)*Settings!$B$12)+(S18*Settings!$B$2)+(T18*Settings!$B$3)+(U18*Settings!$B$4)+(V18*Settings!$B$5)+(X18*Settings!$B$9)+(AA18*Settings!$B$6)+(W18*Settings!$B$8)+(AB18*Settings!$B$7)+(AC18*Settings!$B$14)+(AD18*Settings!$B$15)+(AE18*Settings!$B$16)+(AF18*Settings!$B$17)+(AG18*Settings!$B$18)+(U18*Settings!$B$13)+(Y18*Settings!$B$10)+(Z18*Settings!$B$11),VLOOKUP(B18,'Standard Deviations'!A$1:C$672,3,FALSE))</f>
        <v>4.8016307418862887</v>
      </c>
      <c r="J18" s="53" cm="1">
        <f t="array" ref="J18">IF(D18="G",I18/AJ18,I18/Q18)</f>
        <v>5.9279391875139364E-2</v>
      </c>
      <c r="K18" s="52" cm="1">
        <f t="array" ref="K18">VLOOKUP(B18,D!A1:F204,6,FALSE)</f>
        <v>4.234779827368734</v>
      </c>
      <c r="L18" s="54" cm="1">
        <f t="array" ref="L18">IFERROR(K18/H18,"N/A")</f>
        <v>0.4982093914551452</v>
      </c>
      <c r="M18" s="55">
        <v>50.4</v>
      </c>
      <c r="N18" s="55" cm="1">
        <f t="array" ref="N18">IFERROR(M18-A18,"N/A")</f>
        <v>30.4</v>
      </c>
      <c r="O18" s="55"/>
      <c r="P18" s="56" cm="1">
        <f t="array" ref="P18">_xlfn.XLOOKUP($B18,ADP!A2:A671,ADP!G2:G671)</f>
        <v>0</v>
      </c>
      <c r="Q18" s="57" cm="1">
        <f t="array" ref="Q18">IF(Settings!$E$12="YES",VLOOKUP(B18,'Player Data'!A1:E673,5,FALSE),84)</f>
        <v>81</v>
      </c>
      <c r="R18" s="55" cm="1">
        <f t="array" ref="R18">VLOOKUP(B18,'Player Data'!$A1:$AE673,6,FALSE)</f>
        <v>23.3</v>
      </c>
      <c r="S18" s="57" cm="1">
        <f t="array" ref="S18">VLOOKUP(B18,'Player Data'!$A1:$AE673,7,FALSE)*$Q18*IFERROR((VLOOKUP(P18,Settings!$E$28:$F$33,2,FALSE)+1),1)</f>
        <v>14.58</v>
      </c>
      <c r="T18" s="57" cm="1">
        <f t="array" ref="T18">VLOOKUP(B18,'Player Data'!$A1:$AE673,8,FALSE)*$Q18*IFERROR((VLOOKUP(P18,Settings!$E$28:$F$33,2,FALSE)+1),1)</f>
        <v>45.360000000000007</v>
      </c>
      <c r="U18" s="57" cm="1">
        <f t="array" ref="U18">SUM(S18:T18)</f>
        <v>59.940000000000005</v>
      </c>
      <c r="V18" s="57" cm="1">
        <f t="array" ref="V18">VLOOKUP(B18,'Player Data'!$A1:$AE673,10,FALSE)*$Q18*IFERROR(((VLOOKUP(P18,Settings!$E$28:$F$33,2,FALSE)/2)+1),1)</f>
        <v>198.45000000000002</v>
      </c>
      <c r="W18" s="58" cm="1">
        <f t="array" ref="W18">VLOOKUP(B18,'Player Data'!$A1:$AE673,11,FALSE)*$Q18*IFERROR((VLOOKUP(P18,Settings!$E$28:$F$33,2,FALSE)+1),1)</f>
        <v>7.29</v>
      </c>
      <c r="X18" s="57" cm="1">
        <f t="array" ref="X18">VLOOKUP(B18,'Player Data'!$A1:$AE673,12,FALSE)*$Q18*IFERROR((VLOOKUP(P18,Settings!$E$28:$F$33,2,FALSE)+1),1)</f>
        <v>23.49</v>
      </c>
      <c r="Y18" s="57" cm="1">
        <f t="array" ref="Y18">VLOOKUP(B18,'Player Data'!$A1:$AE673,13,FALSE)*$Q18</f>
        <v>0</v>
      </c>
      <c r="Z18" s="57" cm="1">
        <f t="array" ref="Z18">VLOOKUP(B18,'Player Data'!$A1:$AE673,14,FALSE)*$Q18</f>
        <v>0</v>
      </c>
      <c r="AA18" s="57" cm="1">
        <f t="array" ref="AA18">VLOOKUP(B18,'Player Data'!$A1:$AE673,15,FALSE)*$Q18</f>
        <v>95.58</v>
      </c>
      <c r="AB18" s="57" cm="1">
        <f t="array" ref="AB18">VLOOKUP(B18,'Player Data'!$A1:$AE673,16,FALSE)*$Q18</f>
        <v>76.14</v>
      </c>
      <c r="AC18" s="57" cm="1">
        <f t="array" ref="AC18">VLOOKUP(B18,'Player Data'!$A1:$AE673,17,FALSE)*$Q18*IFERROR((VLOOKUP(P18,Settings!$E$28:$F$33,2,FALSE)+1),1)</f>
        <v>3.24</v>
      </c>
      <c r="AD18" s="57" cm="1">
        <f t="array" ref="AD18">VLOOKUP(B18,'Player Data'!$A1:$AE673,18,FALSE)*$Q18</f>
        <v>41.31</v>
      </c>
      <c r="AE18" s="57" cm="1">
        <f t="array" ref="AE18">VLOOKUP(B18,'Player Data'!$A1:$AE673,19,FALSE)*$Q18*IFERROR((VLOOKUP(P18,Settings!$E$28:$F$33,2,FALSE)+1),1)</f>
        <v>1.62</v>
      </c>
      <c r="AF18" s="57" cm="1">
        <f t="array" ref="AF18">VLOOKUP(B18,'Player Data'!$A1:$AE673,20,FALSE)*$Q18</f>
        <v>0</v>
      </c>
      <c r="AG18" s="57" cm="1">
        <f t="array" ref="AG18">VLOOKUP(B18,'Player Data'!$A1:$AE673,21,FALSE)*$Q18</f>
        <v>0</v>
      </c>
      <c r="AH18" s="59" cm="1">
        <f t="array" ref="AH18">VLOOKUP(B18,'Player Data'!$A1:$AE673,22,FALSE)</f>
        <v>0</v>
      </c>
      <c r="AI18" s="55"/>
      <c r="AJ18" s="57"/>
      <c r="AK18" s="57"/>
      <c r="AL18" s="57"/>
      <c r="AM18" s="57"/>
      <c r="AN18" s="57"/>
      <c r="AO18" s="57"/>
      <c r="AP18" s="57"/>
      <c r="AQ18" s="60"/>
      <c r="AR18" s="61"/>
      <c r="AS18" s="55"/>
    </row>
    <row r="19" spans="1:45" ht="21.25" customHeight="1" x14ac:dyDescent="0.15">
      <c r="A19" s="62">
        <f>RANK(K19,K$2:K$671)</f>
        <v>21</v>
      </c>
      <c r="B19" s="10" t="s">
        <v>148</v>
      </c>
      <c r="C19" s="47" t="s">
        <v>145</v>
      </c>
      <c r="D19" s="48" t="str" cm="1">
        <f t="array" ref="D19">VLOOKUP(B19,'Player Data'!A1:D673,4,FALSE)</f>
        <v>D</v>
      </c>
      <c r="E19" s="68" cm="1">
        <f t="array" ref="E19">VLOOKUP(B19,D!A1:C204,3,FALSE)</f>
        <v>11</v>
      </c>
      <c r="F19" s="56" t="str" cm="1">
        <f t="array" ref="F19">VLOOKUP(B19,'Player Data'!A1:B673,2,FALSE)</f>
        <v>NYR</v>
      </c>
      <c r="G19" s="11" cm="1">
        <f t="array" ref="G19">VLOOKUP(B19,'Player Data'!A1:D673,3,FALSE)</f>
        <v>28</v>
      </c>
      <c r="H19" s="51" cm="1">
        <f t="array" ref="H19">IFERROR(VLOOKUP(B19,ADP!A1:F671,6,FALSE)/1000000,VLOOKUP(B19,ADP!A1:F671,6,FALSE))</f>
        <v>9.5</v>
      </c>
      <c r="I19" s="52">
        <f>IF(Settings!$E$15="POINTS",((R19*Q19)*Settings!$B$12)+(S19*Settings!$B$2)+(T19*Settings!$B$3)+(U19*Settings!$B$4)+(V19*Settings!$B$5)+(X19*Settings!$B$9)+(AA19*Settings!$B$6)+(W19*Settings!$B$8)+(AB19*Settings!$B$7)+(AC19*Settings!$B$14)+(AD19*Settings!$B$15)+(AE19*Settings!$B$16)+(AF19*Settings!$B$17)+(AG19*Settings!$B$18)+(U19*Settings!$B$13)+(Y19*Settings!$B$10)+(Z19*Settings!$B$11),VLOOKUP(B19,'Standard Deviations'!A$1:C$672,3,FALSE))</f>
        <v>4.6954541293942746</v>
      </c>
      <c r="J19" s="53" cm="1">
        <f t="array" ref="J19">IF(D19="G",I19/AJ19,I19/Q19)</f>
        <v>6.0979923758367201E-2</v>
      </c>
      <c r="K19" s="52" cm="1">
        <f t="array" ref="K19">VLOOKUP(B19,D!A1:F204,6,FALSE)</f>
        <v>4.12860321487672</v>
      </c>
      <c r="L19" s="54" cm="1">
        <f t="array" ref="L19">IFERROR(K19/H19,"N/A")</f>
        <v>0.43458981209228631</v>
      </c>
      <c r="M19" s="55">
        <v>58</v>
      </c>
      <c r="N19" s="55" cm="1">
        <f t="array" ref="N19">IFERROR(M19-A19,"N/A")</f>
        <v>37</v>
      </c>
      <c r="O19" s="55"/>
      <c r="P19" s="56" cm="1">
        <f t="array" ref="P19">_xlfn.XLOOKUP($B19,ADP!A2:A671,ADP!G2:G671)</f>
        <v>0</v>
      </c>
      <c r="Q19" s="57" cm="1">
        <f t="array" ref="Q19">IF(Settings!$E$12="YES",VLOOKUP(B19,'Player Data'!A1:E673,5,FALSE),84)</f>
        <v>77</v>
      </c>
      <c r="R19" s="55" cm="1">
        <f t="array" ref="R19">VLOOKUP(B19,'Player Data'!$A1:$AE673,6,FALSE)</f>
        <v>23.8</v>
      </c>
      <c r="S19" s="57" cm="1">
        <f t="array" ref="S19">VLOOKUP(B19,'Player Data'!$A1:$AE673,7,FALSE)*$Q19*IFERROR((VLOOKUP(P19,Settings!$E$28:$F$33,2,FALSE)+1),1)</f>
        <v>13.090000000000002</v>
      </c>
      <c r="T19" s="57" cm="1">
        <f t="array" ref="T19">VLOOKUP(B19,'Player Data'!$A1:$AE673,8,FALSE)*$Q19*IFERROR((VLOOKUP(P19,Settings!$E$28:$F$33,2,FALSE)+1),1)</f>
        <v>58.52</v>
      </c>
      <c r="U19" s="57" cm="1">
        <f t="array" ref="U19">SUM(S19:T19)</f>
        <v>71.61</v>
      </c>
      <c r="V19" s="57" cm="1">
        <f t="array" ref="V19">VLOOKUP(B19,'Player Data'!$A1:$AE673,10,FALSE)*$Q19*IFERROR(((VLOOKUP(P19,Settings!$E$28:$F$33,2,FALSE)/2)+1),1)</f>
        <v>136.29</v>
      </c>
      <c r="W19" s="58" cm="1">
        <f t="array" ref="W19">VLOOKUP(B19,'Player Data'!$A1:$AE673,11,FALSE)*$Q19*IFERROR((VLOOKUP(P19,Settings!$E$28:$F$33,2,FALSE)+1),1)</f>
        <v>4.62</v>
      </c>
      <c r="X19" s="57" cm="1">
        <f t="array" ref="X19">VLOOKUP(B19,'Player Data'!$A1:$AE673,12,FALSE)*$Q19*IFERROR((VLOOKUP(P19,Settings!$E$28:$F$33,2,FALSE)+1),1)</f>
        <v>30.03</v>
      </c>
      <c r="Y19" s="57" cm="1">
        <f t="array" ref="Y19">VLOOKUP(B19,'Player Data'!$A1:$AE673,13,FALSE)*$Q19</f>
        <v>0</v>
      </c>
      <c r="Z19" s="57" cm="1">
        <f t="array" ref="Z19">VLOOKUP(B19,'Player Data'!$A1:$AE673,14,FALSE)*$Q19</f>
        <v>0.77</v>
      </c>
      <c r="AA19" s="57" cm="1">
        <f t="array" ref="AA19">VLOOKUP(B19,'Player Data'!$A1:$AE673,15,FALSE)*$Q19</f>
        <v>110.11</v>
      </c>
      <c r="AB19" s="57" cm="1">
        <f t="array" ref="AB19">VLOOKUP(B19,'Player Data'!$A1:$AE673,16,FALSE)*$Q19</f>
        <v>46.97</v>
      </c>
      <c r="AC19" s="57" cm="1">
        <f t="array" ref="AC19">VLOOKUP(B19,'Player Data'!$A1:$AE673,17,FALSE)*$Q19*IFERROR((VLOOKUP(P19,Settings!$E$28:$F$33,2,FALSE)+1),1)</f>
        <v>3.85</v>
      </c>
      <c r="AD19" s="57" cm="1">
        <f t="array" ref="AD19">VLOOKUP(B19,'Player Data'!$A1:$AE673,18,FALSE)*$Q19</f>
        <v>36.19</v>
      </c>
      <c r="AE19" s="57" cm="1">
        <f t="array" ref="AE19">VLOOKUP(B19,'Player Data'!$A1:$AE673,19,FALSE)*$Q19*IFERROR((VLOOKUP(P19,Settings!$E$28:$F$33,2,FALSE)+1),1)</f>
        <v>2.31</v>
      </c>
      <c r="AF19" s="57" cm="1">
        <f t="array" ref="AF19">VLOOKUP(B19,'Player Data'!$A1:$AE673,20,FALSE)*$Q19</f>
        <v>0</v>
      </c>
      <c r="AG19" s="57" cm="1">
        <f t="array" ref="AG19">VLOOKUP(B19,'Player Data'!$A1:$AE673,21,FALSE)*$Q19</f>
        <v>0</v>
      </c>
      <c r="AH19" s="59" cm="1">
        <f t="array" ref="AH19">VLOOKUP(B19,'Player Data'!$A1:$AE673,22,FALSE)</f>
        <v>0</v>
      </c>
      <c r="AI19" s="55"/>
      <c r="AJ19" s="57"/>
      <c r="AK19" s="57"/>
      <c r="AL19" s="57"/>
      <c r="AM19" s="57"/>
      <c r="AN19" s="57"/>
      <c r="AO19" s="57"/>
      <c r="AP19" s="57"/>
      <c r="AQ19" s="60"/>
      <c r="AR19" s="61"/>
      <c r="AS19" s="55"/>
    </row>
    <row r="20" spans="1:45" ht="21.25" customHeight="1" x14ac:dyDescent="0.15">
      <c r="A20" s="62">
        <f>RANK(K20,K$2:K$671)</f>
        <v>22</v>
      </c>
      <c r="B20" s="10" t="s">
        <v>191</v>
      </c>
      <c r="C20" s="47" t="s">
        <v>145</v>
      </c>
      <c r="D20" s="48" t="str" cm="1">
        <f t="array" ref="D20">VLOOKUP(B20,'Player Data'!A1:D673,4,FALSE)</f>
        <v>G</v>
      </c>
      <c r="E20" s="76" cm="1">
        <f t="array" ref="E20">VLOOKUP(B20,G!A1:D66,3,FALSE)</f>
        <v>4</v>
      </c>
      <c r="F20" s="63" t="str" cm="1">
        <f t="array" ref="F20">VLOOKUP(B20,'Player Data'!A1:B673,2,FALSE)</f>
        <v>DAL</v>
      </c>
      <c r="G20" s="11" cm="1">
        <f t="array" ref="G20">VLOOKUP(B20,'Player Data'!A1:D673,3,FALSE)</f>
        <v>27</v>
      </c>
      <c r="H20" s="51" cm="1">
        <f t="array" ref="H20">IFERROR(VLOOKUP(B20,ADP!A1:F671,6,FALSE)/1000000,VLOOKUP(B20,ADP!A1:F671,6,FALSE))</f>
        <v>8.25</v>
      </c>
      <c r="I20" s="52">
        <f>IF(Settings!$E$15="POINTS",(AJ20*Settings!$B$29)+(AK20*Settings!$B$21)+(AL20*Settings!$B$22)+(AN20*Settings!$B$24)+(AO20*Settings!$B$25)+(AP20*Settings!$B$27)+(AM20*Settings!$B$23),VLOOKUP(B20,'Standard Deviations'!A$1:C$672,3,FALSE))</f>
        <v>6.161597223886222</v>
      </c>
      <c r="J20" s="53" cm="1">
        <f t="array" ref="J20">IF(D20="G",I20/AJ20,I20/Q20)</f>
        <v>0.11202904043429494</v>
      </c>
      <c r="K20" s="52" cm="1">
        <f t="array" ref="K20">VLOOKUP(B20,G!A1:F66,6,FALSE)</f>
        <v>4.1234119647625471</v>
      </c>
      <c r="L20" s="54" cm="1">
        <f t="array" ref="L20">IFERROR(K20/H20,"N/A")</f>
        <v>0.49980751088030873</v>
      </c>
      <c r="M20" s="55">
        <v>24.6</v>
      </c>
      <c r="N20" s="55" cm="1">
        <f t="array" ref="N20">IFERROR(M20-A20,"N/A")</f>
        <v>2.6000000000000014</v>
      </c>
      <c r="O20" s="55"/>
      <c r="P20" s="56" cm="1">
        <f t="array" ref="P20">_xlfn.XLOOKUP($B20,ADP!A2:A671,ADP!G2:G671)</f>
        <v>0</v>
      </c>
      <c r="Q20" s="57"/>
      <c r="R20" s="55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9"/>
      <c r="AI20" s="55"/>
      <c r="AJ20" s="77" cm="1">
        <f t="array" ref="AJ20">VLOOKUP(B20,'Player Data'!$A1:$AE673,24,FALSE)</f>
        <v>55</v>
      </c>
      <c r="AK20" s="57" cm="1">
        <f t="array" ref="AK20">VLOOKUP(B20,'Player Data'!$A1:$AE673,25,FALSE)*$AJ20*IFERROR((VLOOKUP(P20,Settings!$E$28:$F$33,2,FALSE)+1),1)</f>
        <v>32.449999999999996</v>
      </c>
      <c r="AL20" s="57" cm="1">
        <f t="array" ref="AL20">AJ20-AK20-AM20</f>
        <v>17.050000000000004</v>
      </c>
      <c r="AM20" s="57" cm="1">
        <f t="array" ref="AM20">VLOOKUP(B20,'Player Data'!$A1:$AE673,27,FALSE)*$AJ20</f>
        <v>5.5</v>
      </c>
      <c r="AN20" s="57" cm="1">
        <f t="array" ref="AN20">VLOOKUP(B20,'Player Data'!$A1:$AE673,28,FALSE)*AJ20</f>
        <v>3.8500000000000005</v>
      </c>
      <c r="AO20" s="57" cm="1">
        <f t="array" ref="AO20">VLOOKUP(B20,'Player Data'!$A1:$AE673,29,FALSE)*$AJ20*IFERROR((VLOOKUP(P20,Settings!$E$28:$F$33,2,FALSE)/4)+1,1)</f>
        <v>1397</v>
      </c>
      <c r="AP20" s="57" cm="1">
        <f t="array" ref="AP20">VLOOKUP(B20,'Player Data'!$A1:$AE673,31,FALSE)*$AJ20*(IFERROR(1-(VLOOKUP(P20,Settings!$E$28:$F$33,2,FALSE)/4),1))</f>
        <v>145.75</v>
      </c>
      <c r="AQ20" s="60" cm="1">
        <f t="array" ref="AQ20">1-(AP20/(AO20+AP20))</f>
        <v>0.90552584670231728</v>
      </c>
      <c r="AR20" s="61" cm="1">
        <f t="array" ref="AR20">AP20/AJ20</f>
        <v>2.65</v>
      </c>
      <c r="AS20" s="55"/>
    </row>
    <row r="21" spans="1:45" ht="21.25" customHeight="1" x14ac:dyDescent="0.15">
      <c r="A21" s="62">
        <f>RANK(K21,K$2:K$671)</f>
        <v>13</v>
      </c>
      <c r="B21" s="10" t="s">
        <v>142</v>
      </c>
      <c r="C21" s="47" t="s">
        <v>145</v>
      </c>
      <c r="D21" s="48" t="str" cm="1">
        <f t="array" ref="D21">VLOOKUP(B21,'Player Data'!A1:D673,4,FALSE)</f>
        <v>LW,RW</v>
      </c>
      <c r="E21" s="74" cm="1">
        <f t="array" ref="E21">VLOOKUP(B21,RW!A1:F210,3,FALSE)</f>
        <v>2</v>
      </c>
      <c r="F21" s="63" t="str" cm="1">
        <f t="array" ref="F21">VLOOKUP(B21,'Player Data'!A1:B673,2,FALSE)</f>
        <v>DAL</v>
      </c>
      <c r="G21" s="11" cm="1">
        <f t="array" ref="G21">VLOOKUP(B21,'Player Data'!A1:D673,3,FALSE)</f>
        <v>27</v>
      </c>
      <c r="H21" s="67" cm="1">
        <f t="array" ref="H21">IFERROR(VLOOKUP(B21,ADP!A1:F671,6,FALSE)/1000000,VLOOKUP(B21,ADP!A1:F671,6,FALSE))</f>
        <v>12</v>
      </c>
      <c r="I21" s="52">
        <f>IF(Settings!$E$15="POINTS",((R21*Q21)*Settings!$B$12)+(S21*Settings!$B$2)+(T21*Settings!$B$3)+(U21*Settings!$B$4)+(V21*Settings!$B$5)+(X21*Settings!$B$9)+(AA21*Settings!$B$6)+(W21*Settings!$B$8)+(AB21*Settings!$B$7)+(AC21*Settings!$B$14)+(AD21*Settings!$B$15)+(AE21*Settings!$B$16)+(AF21*Settings!$B$17)+(AG21*Settings!$B$18)+(Y21*Settings!$B$10)+(Z21*Settings!$B$11),VLOOKUP(B21,'Standard Deviations'!A$1:C$672,3,FALSE))</f>
        <v>11.586552088191054</v>
      </c>
      <c r="J21" s="53" cm="1">
        <f t="array" ref="J21">IF(D21="G",I21/AJ21,I21/Q21)</f>
        <v>0.13793514390703634</v>
      </c>
      <c r="K21" s="52" cm="1">
        <f t="array" ref="K21">IF(Settings!$E$18="C/LW/RW",VLOOKUP(B21,RW!A1:F210,6,FALSE),VLOOKUP(B21,F!A1:F407,6,FALSE))</f>
        <v>4.6993174863819762</v>
      </c>
      <c r="L21" s="54" cm="1">
        <f t="array" ref="L21">IFERROR(K21/H21,"N/A")</f>
        <v>0.39160979053183137</v>
      </c>
      <c r="M21" s="55">
        <v>13.3</v>
      </c>
      <c r="N21" s="55" cm="1">
        <f t="array" ref="N21">IFERROR(M21-A21,"N/A")</f>
        <v>0.30000000000000071</v>
      </c>
      <c r="O21" s="55"/>
      <c r="P21" s="56" cm="1">
        <f t="array" ref="P21">_xlfn.XLOOKUP($B21,ADP!A2:A671,ADP!G2:G671)</f>
        <v>0</v>
      </c>
      <c r="Q21" s="57" cm="1">
        <f t="array" ref="Q21">IF(Settings!$E$12="YES",VLOOKUP(B21,'Player Data'!A1:E673,5,FALSE),84)</f>
        <v>84</v>
      </c>
      <c r="R21" s="55" cm="1">
        <f t="array" ref="R21">VLOOKUP(B21,'Player Data'!$A1:$AE673,6,FALSE)</f>
        <v>20.2</v>
      </c>
      <c r="S21" s="57" cm="1">
        <f t="array" ref="S21">VLOOKUP(B21,'Player Data'!$A1:$AE673,7,FALSE)*$Q21*IFERROR((VLOOKUP(P21,Settings!$E$28:$F$33,2,FALSE)+1),1)</f>
        <v>41.16</v>
      </c>
      <c r="T21" s="57" cm="1">
        <f t="array" ref="T21">VLOOKUP(B21,'Player Data'!$A1:$AE673,8,FALSE)*$Q21*IFERROR((VLOOKUP(P21,Settings!$E$28:$F$33,2,FALSE)+1),1)</f>
        <v>53.76</v>
      </c>
      <c r="U21" s="57" cm="1">
        <f t="array" ref="U21">SUM(S21:T21)</f>
        <v>94.919999999999987</v>
      </c>
      <c r="V21" s="57" cm="1">
        <f t="array" ref="V21">VLOOKUP(B21,'Player Data'!$A1:$AE673,10,FALSE)*$Q21*IFERROR(((VLOOKUP(P21,Settings!$E$28:$F$33,2,FALSE)/2)+1),1)</f>
        <v>283.08</v>
      </c>
      <c r="W21" s="58" cm="1">
        <f t="array" ref="W21">VLOOKUP(B21,'Player Data'!$A1:$AE673,11,FALSE)*$Q21*IFERROR((VLOOKUP(P21,Settings!$E$28:$F$33,2,FALSE)+1),1)</f>
        <v>13.44</v>
      </c>
      <c r="X21" s="57" cm="1">
        <f t="array" ref="X21">VLOOKUP(B21,'Player Data'!$A1:$AE673,12,FALSE)*$Q21*IFERROR((VLOOKUP(P21,Settings!$E$28:$F$33,2,FALSE)+1),1)</f>
        <v>35.28</v>
      </c>
      <c r="Y21" s="57" cm="1">
        <f t="array" ref="Y21">VLOOKUP(B21,'Player Data'!$A1:$AE673,13,FALSE)*$Q21</f>
        <v>0</v>
      </c>
      <c r="Z21" s="57" cm="1">
        <f t="array" ref="Z21">VLOOKUP(B21,'Player Data'!$A1:$AE673,14,FALSE)*$Q21</f>
        <v>0</v>
      </c>
      <c r="AA21" s="57" cm="1">
        <f t="array" ref="AA21">VLOOKUP(B21,'Player Data'!$A1:$AE673,15,FALSE)*$Q21</f>
        <v>39.479999999999997</v>
      </c>
      <c r="AB21" s="57" cm="1">
        <f t="array" ref="AB21">VLOOKUP(B21,'Player Data'!$A1:$AE673,16,FALSE)*$Q21</f>
        <v>56.28</v>
      </c>
      <c r="AC21" s="57" cm="1">
        <f t="array" ref="AC21">VLOOKUP(B21,'Player Data'!$A1:$AE673,17,FALSE)*$Q21*IFERROR((VLOOKUP(P21,Settings!$E$28:$F$33,2,FALSE)+1),1)</f>
        <v>9.24</v>
      </c>
      <c r="AD21" s="57" cm="1">
        <f t="array" ref="AD21">VLOOKUP(B21,'Player Data'!$A1:$AE673,18,FALSE)*$Q21</f>
        <v>29.4</v>
      </c>
      <c r="AE21" s="57" cm="1">
        <f t="array" ref="AE21">VLOOKUP(B21,'Player Data'!$A1:$AE673,19,FALSE)*$Q21*IFERROR((VLOOKUP(P21,Settings!$E$28:$F$33,2,FALSE)+1),1)</f>
        <v>6.72</v>
      </c>
      <c r="AF21" s="57" cm="1">
        <f t="array" ref="AF21">VLOOKUP(B21,'Player Data'!$A1:$AE673,20,FALSE)*$Q21</f>
        <v>1.68</v>
      </c>
      <c r="AG21" s="57" cm="1">
        <f t="array" ref="AG21">VLOOKUP(B21,'Player Data'!$A1:$AE673,21,FALSE)*$Q21</f>
        <v>4.2</v>
      </c>
      <c r="AH21" s="59" cm="1">
        <f t="array" ref="AH21">VLOOKUP(B21,'Player Data'!$A1:$AE673,22,FALSE)</f>
        <v>0.27</v>
      </c>
      <c r="AI21" s="55"/>
      <c r="AJ21" s="57"/>
      <c r="AK21" s="57"/>
      <c r="AL21" s="57"/>
      <c r="AM21" s="57"/>
      <c r="AN21" s="57"/>
      <c r="AO21" s="57"/>
      <c r="AP21" s="57"/>
      <c r="AQ21" s="60"/>
      <c r="AR21" s="61"/>
      <c r="AS21" s="55"/>
    </row>
    <row r="22" spans="1:45" ht="21.25" customHeight="1" x14ac:dyDescent="0.15">
      <c r="A22" s="62">
        <f>RANK(K22,K$2:K$671)</f>
        <v>17</v>
      </c>
      <c r="B22" s="10" t="s">
        <v>132</v>
      </c>
      <c r="C22" s="47" t="s">
        <v>145</v>
      </c>
      <c r="D22" s="48" t="str" cm="1">
        <f t="array" ref="D22">VLOOKUP(B22,'Player Data'!A1:D673,4,FALSE)</f>
        <v>C</v>
      </c>
      <c r="E22" s="49" cm="1">
        <f t="array" ref="E22">VLOOKUP(B22,'C'!A1:C210,3,FALSE)</f>
        <v>4</v>
      </c>
      <c r="F22" s="56" t="str" cm="1">
        <f t="array" ref="F22">VLOOKUP(B22,'Player Data'!A1:B673,2,FALSE)</f>
        <v>S.J</v>
      </c>
      <c r="G22" s="71" cm="1">
        <f t="array" ref="G22">VLOOKUP(B22,'Player Data'!A1:D673,3,FALSE)</f>
        <v>20</v>
      </c>
      <c r="H22" s="51" cm="1">
        <f t="array" ref="H22">IFERROR(VLOOKUP(B22,ADP!A1:F671,6,FALSE)/1000000,VLOOKUP(B22,ADP!A1:F671,6,FALSE))</f>
        <v>0.97499999999999998</v>
      </c>
      <c r="I22" s="52">
        <f>IF(Settings!$E$15="POINTS",((R22*Q22)*Settings!$B$12)+(S22*Settings!$B$2)+(T22*Settings!$B$3)+(U22*Settings!$B$4)+(V22*Settings!$B$5)+(X22*Settings!$B$9)+(AA22*Settings!$B$6)+(W22*Settings!$B$8)+(AB22*Settings!$B$7)+(AC22*Settings!$B$14)+(AD22*Settings!$B$15)+(AE22*Settings!$B$16)+(AF22*Settings!$B$17)+(AG22*Settings!$B$18)+(Y22*Settings!$B$10)+(Z22*Settings!$B$11),VLOOKUP(B22,'Standard Deviations'!A$1:C$672,3,FALSE))</f>
        <v>10.746074224773066</v>
      </c>
      <c r="J22" s="53" cm="1">
        <f t="array" ref="J22">IF(D22="G",I22/AJ22,I22/Q22)</f>
        <v>0.13104968566796421</v>
      </c>
      <c r="K22" s="52" cm="1">
        <f t="array" ref="K22">IF(Settings!$E$18="C/LW/RW",VLOOKUP(B22,'C'!A1:F210,6,FALSE),VLOOKUP(B22,F!A1:F407,6,FALSE))</f>
        <v>4.3860646671580019</v>
      </c>
      <c r="L22" s="54" cm="1">
        <f t="array" ref="L22">IFERROR(K22/H22,"N/A")</f>
        <v>4.4985278637517974</v>
      </c>
      <c r="M22" s="55">
        <v>7.4</v>
      </c>
      <c r="N22" s="55" cm="1">
        <f t="array" ref="N22">IFERROR(M22-A22,"N/A")</f>
        <v>-9.6</v>
      </c>
      <c r="O22" s="55"/>
      <c r="P22" s="56" t="str" cm="1">
        <f t="array" ref="P22">_xlfn.XLOOKUP($B22,ADP!A2:A671,ADP!G2:G671)</f>
        <v>+</v>
      </c>
      <c r="Q22" s="57" cm="1">
        <f t="array" ref="Q22">IF(Settings!$E$12="YES",VLOOKUP(B22,'Player Data'!A1:E673,5,FALSE),84)</f>
        <v>82</v>
      </c>
      <c r="R22" s="55" cm="1">
        <f t="array" ref="R22">VLOOKUP(B22,'Player Data'!$A1:$AE673,6,FALSE)</f>
        <v>21.4</v>
      </c>
      <c r="S22" s="57" cm="1">
        <f t="array" ref="S22">VLOOKUP(B22,'Player Data'!$A1:$AE673,7,FALSE)*$Q22*IFERROR((VLOOKUP(P22,Settings!$E$28:$F$33,2,FALSE)+1),1)</f>
        <v>43.911000000000001</v>
      </c>
      <c r="T22" s="57" cm="1">
        <f t="array" ref="T22">VLOOKUP(B22,'Player Data'!$A1:$AE673,8,FALSE)*$Q22*IFERROR((VLOOKUP(P22,Settings!$E$28:$F$33,2,FALSE)+1),1)</f>
        <v>68.019000000000005</v>
      </c>
      <c r="U22" s="57" cm="1">
        <f t="array" ref="U22">SUM(S22:T22)</f>
        <v>111.93</v>
      </c>
      <c r="V22" s="57" cm="1">
        <f t="array" ref="V22">VLOOKUP(B22,'Player Data'!$A1:$AE673,10,FALSE)*$Q22*IFERROR(((VLOOKUP(P22,Settings!$E$28:$F$33,2,FALSE)/2)+1),1)</f>
        <v>295.85599999999994</v>
      </c>
      <c r="W22" s="58" cm="1">
        <f t="array" ref="W22">VLOOKUP(B22,'Player Data'!$A1:$AE673,11,FALSE)*$Q22*IFERROR((VLOOKUP(P22,Settings!$E$28:$F$33,2,FALSE)+1),1)</f>
        <v>10.332000000000001</v>
      </c>
      <c r="X22" s="57" cm="1">
        <f t="array" ref="X22">VLOOKUP(B22,'Player Data'!$A1:$AE673,12,FALSE)*$Q22*IFERROR((VLOOKUP(P22,Settings!$E$28:$F$33,2,FALSE)+1),1)</f>
        <v>34.440000000000005</v>
      </c>
      <c r="Y22" s="57" cm="1">
        <f t="array" ref="Y22">VLOOKUP(B22,'Player Data'!$A1:$AE673,13,FALSE)*$Q22</f>
        <v>0</v>
      </c>
      <c r="Z22" s="57" cm="1">
        <f t="array" ref="Z22">VLOOKUP(B22,'Player Data'!$A1:$AE673,14,FALSE)*$Q22</f>
        <v>0</v>
      </c>
      <c r="AA22" s="57" cm="1">
        <f t="array" ref="AA22">VLOOKUP(B22,'Player Data'!$A1:$AE673,15,FALSE)*$Q22</f>
        <v>55.760000000000005</v>
      </c>
      <c r="AB22" s="57" cm="1">
        <f t="array" ref="AB22">VLOOKUP(B22,'Player Data'!$A1:$AE673,16,FALSE)*$Q22</f>
        <v>53.300000000000004</v>
      </c>
      <c r="AC22" s="57" cm="1">
        <f t="array" ref="AC22">VLOOKUP(B22,'Player Data'!$A1:$AE673,17,FALSE)*$Q22*IFERROR((VLOOKUP(P22,Settings!$E$28:$F$33,2,FALSE)+1),1)</f>
        <v>-0.8610000000000001</v>
      </c>
      <c r="AD22" s="57" cm="1">
        <f t="array" ref="AD22">VLOOKUP(B22,'Player Data'!$A1:$AE673,18,FALSE)*$Q22</f>
        <v>41.82</v>
      </c>
      <c r="AE22" s="57" cm="1">
        <f t="array" ref="AE22">VLOOKUP(B22,'Player Data'!$A1:$AE673,19,FALSE)*$Q22*IFERROR((VLOOKUP(P22,Settings!$E$28:$F$33,2,FALSE)+1),1)</f>
        <v>6.0270000000000001</v>
      </c>
      <c r="AF22" s="57" cm="1">
        <f t="array" ref="AF22">VLOOKUP(B22,'Player Data'!$A1:$AE673,20,FALSE)*$Q22</f>
        <v>628.93999999999994</v>
      </c>
      <c r="AG22" s="57" cm="1">
        <f t="array" ref="AG22">VLOOKUP(B22,'Player Data'!$A1:$AE673,21,FALSE)*$Q22</f>
        <v>669.12</v>
      </c>
      <c r="AH22" s="59" cm="1">
        <f t="array" ref="AH22">VLOOKUP(B22,'Player Data'!$A1:$AE673,22,FALSE)</f>
        <v>0.48</v>
      </c>
      <c r="AI22" s="55"/>
      <c r="AJ22" s="57"/>
      <c r="AK22" s="57"/>
      <c r="AL22" s="57"/>
      <c r="AM22" s="57"/>
      <c r="AN22" s="57"/>
      <c r="AO22" s="57"/>
      <c r="AP22" s="57"/>
      <c r="AQ22" s="60"/>
      <c r="AR22" s="61"/>
      <c r="AS22" s="55"/>
    </row>
    <row r="23" spans="1:45" ht="21.25" customHeight="1" x14ac:dyDescent="0.15">
      <c r="A23" s="62">
        <f>RANK(K23,K$2:K$671)</f>
        <v>19</v>
      </c>
      <c r="B23" s="10" t="s">
        <v>137</v>
      </c>
      <c r="C23" s="47" t="s">
        <v>145</v>
      </c>
      <c r="D23" s="48" t="str" cm="1">
        <f t="array" ref="D23">VLOOKUP(B23,'Player Data'!A1:D673,4,FALSE)</f>
        <v>C</v>
      </c>
      <c r="E23" s="49" cm="1">
        <f t="array" ref="E23">VLOOKUP(B23,'C'!A1:C210,3,FALSE)</f>
        <v>5</v>
      </c>
      <c r="F23" s="63" t="str" cm="1">
        <f t="array" ref="F23">VLOOKUP(B23,'Player Data'!A1:B673,2,FALSE)</f>
        <v>VGK</v>
      </c>
      <c r="G23" s="11" cm="1">
        <f t="array" ref="G23">VLOOKUP(B23,'Player Data'!A1:D673,3,FALSE)</f>
        <v>29</v>
      </c>
      <c r="H23" s="51" cm="1">
        <f t="array" ref="H23">IFERROR(VLOOKUP(B23,ADP!A1:F671,6,FALSE)/1000000,VLOOKUP(B23,ADP!A1:F671,6,FALSE))</f>
        <v>13.5</v>
      </c>
      <c r="I23" s="52">
        <f>IF(Settings!$E$15="POINTS",((R23*Q23)*Settings!$B$12)+(S23*Settings!$B$2)+(T23*Settings!$B$3)+(U23*Settings!$B$4)+(V23*Settings!$B$5)+(X23*Settings!$B$9)+(AA23*Settings!$B$6)+(W23*Settings!$B$8)+(AB23*Settings!$B$7)+(AC23*Settings!$B$14)+(AD23*Settings!$B$15)+(AE23*Settings!$B$16)+(AF23*Settings!$B$17)+(AG23*Settings!$B$18)+(Y23*Settings!$B$10)+(Z23*Settings!$B$11),VLOOKUP(B23,'Standard Deviations'!A$1:C$672,3,FALSE))</f>
        <v>10.711307408813042</v>
      </c>
      <c r="J23" s="53" cm="1">
        <f t="array" ref="J23">IF(D23="G",I23/AJ23,I23/Q23)</f>
        <v>0.13389134261016303</v>
      </c>
      <c r="K23" s="52" cm="1">
        <f t="array" ref="K23">IF(Settings!$E$18="C/LW/RW",VLOOKUP(B23,'C'!A1:F210,6,FALSE),VLOOKUP(B23,F!A1:F407,6,FALSE))</f>
        <v>4.3512978511979776</v>
      </c>
      <c r="L23" s="54" cm="1">
        <f t="array" ref="L23">IFERROR(K23/H23,"N/A")</f>
        <v>0.32231835934799835</v>
      </c>
      <c r="M23" s="55">
        <v>23</v>
      </c>
      <c r="N23" s="55" cm="1">
        <f t="array" ref="N23">IFERROR(M23-A23,"N/A")</f>
        <v>4</v>
      </c>
      <c r="O23" s="55"/>
      <c r="P23" s="56" cm="1">
        <f t="array" ref="P23">_xlfn.XLOOKUP($B23,ADP!A2:A671,ADP!G2:G671)</f>
        <v>0</v>
      </c>
      <c r="Q23" s="57" cm="1">
        <f t="array" ref="Q23">IF(Settings!$E$12="YES",VLOOKUP(B23,'Player Data'!A1:E673,5,FALSE),84)</f>
        <v>80</v>
      </c>
      <c r="R23" s="55" cm="1">
        <f t="array" ref="R23">VLOOKUP(B23,'Player Data'!$A1:$AE673,6,FALSE)</f>
        <v>21.4</v>
      </c>
      <c r="S23" s="57" cm="1">
        <f t="array" ref="S23">VLOOKUP(B23,'Player Data'!$A1:$AE673,7,FALSE)*$Q23*IFERROR((VLOOKUP(P23,Settings!$E$28:$F$33,2,FALSE)+1),1)</f>
        <v>31.200000000000003</v>
      </c>
      <c r="T23" s="57" cm="1">
        <f t="array" ref="T23">VLOOKUP(B23,'Player Data'!$A1:$AE673,8,FALSE)*$Q23*IFERROR((VLOOKUP(P23,Settings!$E$28:$F$33,2,FALSE)+1),1)</f>
        <v>65.599999999999994</v>
      </c>
      <c r="U23" s="57" cm="1">
        <f t="array" ref="U23">SUM(S23:T23)</f>
        <v>96.8</v>
      </c>
      <c r="V23" s="57" cm="1">
        <f t="array" ref="V23">VLOOKUP(B23,'Player Data'!$A1:$AE673,10,FALSE)*$Q23*IFERROR(((VLOOKUP(P23,Settings!$E$28:$F$33,2,FALSE)/2)+1),1)</f>
        <v>285.59999999999997</v>
      </c>
      <c r="W23" s="58" cm="1">
        <f t="array" ref="W23">VLOOKUP(B23,'Player Data'!$A1:$AE673,11,FALSE)*$Q23*IFERROR((VLOOKUP(P23,Settings!$E$28:$F$33,2,FALSE)+1),1)</f>
        <v>5.6000000000000005</v>
      </c>
      <c r="X23" s="57" cm="1">
        <f t="array" ref="X23">VLOOKUP(B23,'Player Data'!$A1:$AE673,12,FALSE)*$Q23*IFERROR((VLOOKUP(P23,Settings!$E$28:$F$33,2,FALSE)+1),1)</f>
        <v>34.4</v>
      </c>
      <c r="Y23" s="57" cm="1">
        <f t="array" ref="Y23">VLOOKUP(B23,'Player Data'!$A1:$AE673,13,FALSE)*$Q23</f>
        <v>0.8</v>
      </c>
      <c r="Z23" s="57" cm="1">
        <f t="array" ref="Z23">VLOOKUP(B23,'Player Data'!$A1:$AE673,14,FALSE)*$Q23</f>
        <v>2.4</v>
      </c>
      <c r="AA23" s="57" cm="1">
        <f t="array" ref="AA23">VLOOKUP(B23,'Player Data'!$A1:$AE673,15,FALSE)*$Q23</f>
        <v>48.8</v>
      </c>
      <c r="AB23" s="57" cm="1">
        <f t="array" ref="AB23">VLOOKUP(B23,'Player Data'!$A1:$AE673,16,FALSE)*$Q23</f>
        <v>36.800000000000004</v>
      </c>
      <c r="AC23" s="57" cm="1">
        <f t="array" ref="AC23">VLOOKUP(B23,'Player Data'!$A1:$AE673,17,FALSE)*$Q23*IFERROR((VLOOKUP(P23,Settings!$E$28:$F$33,2,FALSE)+1),1)</f>
        <v>8</v>
      </c>
      <c r="AD23" s="57" cm="1">
        <f t="array" ref="AD23">VLOOKUP(B23,'Player Data'!$A1:$AE673,18,FALSE)*$Q23</f>
        <v>20.8</v>
      </c>
      <c r="AE23" s="57" cm="1">
        <f t="array" ref="AE23">VLOOKUP(B23,'Player Data'!$A1:$AE673,19,FALSE)*$Q23*IFERROR((VLOOKUP(P23,Settings!$E$28:$F$33,2,FALSE)+1),1)</f>
        <v>6.4</v>
      </c>
      <c r="AF23" s="57" cm="1">
        <f t="array" ref="AF23">VLOOKUP(B23,'Player Data'!$A1:$AE673,20,FALSE)*$Q23</f>
        <v>595.20000000000005</v>
      </c>
      <c r="AG23" s="57" cm="1">
        <f t="array" ref="AG23">VLOOKUP(B23,'Player Data'!$A1:$AE673,21,FALSE)*$Q23</f>
        <v>684.80000000000007</v>
      </c>
      <c r="AH23" s="59" cm="1">
        <f t="array" ref="AH23">VLOOKUP(B23,'Player Data'!$A1:$AE673,22,FALSE)</f>
        <v>0.46</v>
      </c>
      <c r="AI23" s="55"/>
      <c r="AJ23" s="57"/>
      <c r="AK23" s="57"/>
      <c r="AL23" s="57"/>
      <c r="AM23" s="57"/>
      <c r="AN23" s="57"/>
      <c r="AO23" s="57"/>
      <c r="AP23" s="57"/>
      <c r="AQ23" s="60"/>
      <c r="AR23" s="61"/>
      <c r="AS23" s="55"/>
    </row>
    <row r="24" spans="1:45" ht="21.25" customHeight="1" x14ac:dyDescent="0.15">
      <c r="A24" s="62">
        <f>RANK(K24,K$2:K$671)</f>
        <v>30</v>
      </c>
      <c r="B24" s="10" t="s">
        <v>181</v>
      </c>
      <c r="C24" s="47" t="s">
        <v>145</v>
      </c>
      <c r="D24" s="48" t="str" cm="1">
        <f t="array" ref="D24">VLOOKUP(B24,'Player Data'!A1:D673,4,FALSE)</f>
        <v>D</v>
      </c>
      <c r="E24" s="68" cm="1">
        <f t="array" ref="E24">VLOOKUP(B24,D!A1:C204,3,FALSE)</f>
        <v>12</v>
      </c>
      <c r="F24" s="65" t="str" cm="1">
        <f t="array" ref="F24">VLOOKUP(B24,'Player Data'!A1:B673,2,FALSE)</f>
        <v>T.B</v>
      </c>
      <c r="G24" s="66" cm="1">
        <f t="array" ref="G24">VLOOKUP(B24,'Player Data'!A1:D673,3,FALSE)</f>
        <v>36</v>
      </c>
      <c r="H24" s="51" cm="1">
        <f t="array" ref="H24">IFERROR(VLOOKUP(B24,ADP!A1:F671,6,FALSE)/1000000,VLOOKUP(B24,ADP!A1:F671,6,FALSE))</f>
        <v>8.5</v>
      </c>
      <c r="I24" s="52">
        <f>IF(Settings!$E$15="POINTS",((R24*Q24)*Settings!$B$12)+(S24*Settings!$B$2)+(T24*Settings!$B$3)+(U24*Settings!$B$4)+(V24*Settings!$B$5)+(X24*Settings!$B$9)+(AA24*Settings!$B$6)+(W24*Settings!$B$8)+(AB24*Settings!$B$7)+(AC24*Settings!$B$14)+(AD24*Settings!$B$15)+(AE24*Settings!$B$16)+(AF24*Settings!$B$17)+(AG24*Settings!$B$18)+(U24*Settings!$B$13)+(Y24*Settings!$B$10)+(Z24*Settings!$B$11),VLOOKUP(B24,'Standard Deviations'!A$1:C$672,3,FALSE))</f>
        <v>3.684563414301167</v>
      </c>
      <c r="J24" s="53" cm="1">
        <f t="array" ref="J24">IF(D24="G",I24/AJ24,I24/Q24)</f>
        <v>4.4933700174404477E-2</v>
      </c>
      <c r="K24" s="52" cm="1">
        <f t="array" ref="K24">VLOOKUP(B24,D!A1:F204,6,FALSE)</f>
        <v>3.1177124997836128</v>
      </c>
      <c r="L24" s="54" cm="1">
        <f t="array" ref="L24">IFERROR(K24/H24,"N/A")</f>
        <v>0.36678970585689563</v>
      </c>
      <c r="M24" s="55">
        <v>85.1</v>
      </c>
      <c r="N24" s="55" cm="1">
        <f t="array" ref="N24">IFERROR(M24-A24,"N/A")</f>
        <v>55.099999999999994</v>
      </c>
      <c r="O24" s="55"/>
      <c r="P24" s="56" t="str" cm="1">
        <f t="array" ref="P24">_xlfn.XLOOKUP($B24,ADP!A2:A671,ADP!G2:G671)</f>
        <v>+</v>
      </c>
      <c r="Q24" s="57" cm="1">
        <f t="array" ref="Q24">IF(Settings!$E$12="YES",VLOOKUP(B24,'Player Data'!A1:E673,5,FALSE),84)</f>
        <v>82</v>
      </c>
      <c r="R24" s="55" cm="1">
        <f t="array" ref="R24">VLOOKUP(B24,'Player Data'!$A1:$AE673,6,FALSE)</f>
        <v>22.2</v>
      </c>
      <c r="S24" s="57" cm="1">
        <f t="array" ref="S24">VLOOKUP(B24,'Player Data'!$A1:$AE673,7,FALSE)*$Q24*IFERROR((VLOOKUP(P24,Settings!$E$28:$F$33,2,FALSE)+1),1)</f>
        <v>7.7490000000000006</v>
      </c>
      <c r="T24" s="57" cm="1">
        <f t="array" ref="T24">VLOOKUP(B24,'Player Data'!$A1:$AE673,8,FALSE)*$Q24*IFERROR((VLOOKUP(P24,Settings!$E$28:$F$33,2,FALSE)+1),1)</f>
        <v>46.494</v>
      </c>
      <c r="U24" s="57" cm="1">
        <f t="array" ref="U24">SUM(S24:T24)</f>
        <v>54.243000000000002</v>
      </c>
      <c r="V24" s="57" cm="1">
        <f t="array" ref="V24">VLOOKUP(B24,'Player Data'!$A1:$AE673,10,FALSE)*$Q24*IFERROR(((VLOOKUP(P24,Settings!$E$28:$F$33,2,FALSE)/2)+1),1)</f>
        <v>165.57849999999999</v>
      </c>
      <c r="W24" s="58" cm="1">
        <f t="array" ref="W24">VLOOKUP(B24,'Player Data'!$A1:$AE673,11,FALSE)*$Q24*IFERROR((VLOOKUP(P24,Settings!$E$28:$F$33,2,FALSE)+1),1)</f>
        <v>2.5830000000000002</v>
      </c>
      <c r="X24" s="57" cm="1">
        <f t="array" ref="X24">VLOOKUP(B24,'Player Data'!$A1:$AE673,12,FALSE)*$Q24*IFERROR((VLOOKUP(P24,Settings!$E$28:$F$33,2,FALSE)+1),1)</f>
        <v>18.081</v>
      </c>
      <c r="Y24" s="57" cm="1">
        <f t="array" ref="Y24">VLOOKUP(B24,'Player Data'!$A1:$AE673,13,FALSE)*$Q24</f>
        <v>0</v>
      </c>
      <c r="Z24" s="57" cm="1">
        <f t="array" ref="Z24">VLOOKUP(B24,'Player Data'!$A1:$AE673,14,FALSE)*$Q24</f>
        <v>0</v>
      </c>
      <c r="AA24" s="57" cm="1">
        <f t="array" ref="AA24">VLOOKUP(B24,'Player Data'!$A1:$AE673,15,FALSE)*$Q24</f>
        <v>116.44</v>
      </c>
      <c r="AB24" s="57" cm="1">
        <f t="array" ref="AB24">VLOOKUP(B24,'Player Data'!$A1:$AE673,16,FALSE)*$Q24</f>
        <v>48.379999999999995</v>
      </c>
      <c r="AC24" s="57" cm="1">
        <f t="array" ref="AC24">VLOOKUP(B24,'Player Data'!$A1:$AE673,17,FALSE)*$Q24*IFERROR((VLOOKUP(P24,Settings!$E$28:$F$33,2,FALSE)+1),1)</f>
        <v>8.6100000000000012</v>
      </c>
      <c r="AD24" s="57" cm="1">
        <f t="array" ref="AD24">VLOOKUP(B24,'Player Data'!$A1:$AE673,18,FALSE)*$Q24</f>
        <v>31.98</v>
      </c>
      <c r="AE24" s="57" cm="1">
        <f t="array" ref="AE24">VLOOKUP(B24,'Player Data'!$A1:$AE673,19,FALSE)*$Q24*IFERROR((VLOOKUP(P24,Settings!$E$28:$F$33,2,FALSE)+1),1)</f>
        <v>1.7220000000000002</v>
      </c>
      <c r="AF24" s="57" cm="1">
        <f t="array" ref="AF24">VLOOKUP(B24,'Player Data'!$A1:$AE673,20,FALSE)*$Q24</f>
        <v>0</v>
      </c>
      <c r="AG24" s="57" cm="1">
        <f t="array" ref="AG24">VLOOKUP(B24,'Player Data'!$A1:$AE673,21,FALSE)*$Q24</f>
        <v>0.82000000000000006</v>
      </c>
      <c r="AH24" s="59" cm="1">
        <f t="array" ref="AH24">VLOOKUP(B24,'Player Data'!$A1:$AE673,22,FALSE)</f>
        <v>0</v>
      </c>
      <c r="AI24" s="55"/>
      <c r="AJ24" s="57"/>
      <c r="AK24" s="57"/>
      <c r="AL24" s="57"/>
      <c r="AM24" s="57"/>
      <c r="AN24" s="57"/>
      <c r="AO24" s="57"/>
      <c r="AP24" s="57"/>
      <c r="AQ24" s="60"/>
      <c r="AR24" s="61"/>
      <c r="AS24" s="55"/>
    </row>
    <row r="25" spans="1:45" ht="21.25" customHeight="1" x14ac:dyDescent="0.15">
      <c r="A25" s="62">
        <f>RANK(K25,K$2:K$671)</f>
        <v>32</v>
      </c>
      <c r="B25" s="10" t="s">
        <v>150</v>
      </c>
      <c r="C25" s="47" t="s">
        <v>145</v>
      </c>
      <c r="D25" s="48" t="str" cm="1">
        <f t="array" ref="D25">VLOOKUP(B25,'Player Data'!A1:D673,4,FALSE)</f>
        <v>D</v>
      </c>
      <c r="E25" s="68" cm="1">
        <f t="array" ref="E25">VLOOKUP(B25,D!A1:C204,3,FALSE)</f>
        <v>13</v>
      </c>
      <c r="F25" s="18" t="str" cm="1">
        <f t="array" ref="F25">VLOOKUP(B25,'Player Data'!A1:B673,2,FALSE)</f>
        <v>OTT</v>
      </c>
      <c r="G25" s="71" cm="1">
        <f t="array" ref="G25">VLOOKUP(B25,'Player Data'!A1:D673,3,FALSE)</f>
        <v>24</v>
      </c>
      <c r="H25" s="51" cm="1">
        <f t="array" ref="H25">IFERROR(VLOOKUP(B25,ADP!A1:F671,6,FALSE)/1000000,VLOOKUP(B25,ADP!A1:F671,6,FALSE))</f>
        <v>8.0500000000000007</v>
      </c>
      <c r="I25" s="52">
        <f>IF(Settings!$E$15="POINTS",((R25*Q25)*Settings!$B$12)+(S25*Settings!$B$2)+(T25*Settings!$B$3)+(U25*Settings!$B$4)+(V25*Settings!$B$5)+(X25*Settings!$B$9)+(AA25*Settings!$B$6)+(W25*Settings!$B$8)+(AB25*Settings!$B$7)+(AC25*Settings!$B$14)+(AD25*Settings!$B$15)+(AE25*Settings!$B$16)+(AF25*Settings!$B$17)+(AG25*Settings!$B$18)+(U25*Settings!$B$13)+(Y25*Settings!$B$10)+(Z25*Settings!$B$11),VLOOKUP(B25,'Standard Deviations'!A$1:C$672,3,FALSE))</f>
        <v>3.6417534459348682</v>
      </c>
      <c r="J25" s="53" cm="1">
        <f t="array" ref="J25">IF(D25="G",I25/AJ25,I25/Q25)</f>
        <v>4.4959919085615654E-2</v>
      </c>
      <c r="K25" s="52" cm="1">
        <f t="array" ref="K25">VLOOKUP(B25,D!A1:F204,6,FALSE)</f>
        <v>3.0749025314173135</v>
      </c>
      <c r="L25" s="54" cm="1">
        <f t="array" ref="L25">IFERROR(K25/H25,"N/A")</f>
        <v>0.38197546974128116</v>
      </c>
      <c r="M25" s="55">
        <v>63.7</v>
      </c>
      <c r="N25" s="55" cm="1">
        <f t="array" ref="N25">IFERROR(M25-A25,"N/A")</f>
        <v>31.700000000000003</v>
      </c>
      <c r="O25" s="55"/>
      <c r="P25" s="56" cm="1">
        <f t="array" ref="P25">_xlfn.XLOOKUP($B25,ADP!A2:A671,ADP!G2:G671)</f>
        <v>0</v>
      </c>
      <c r="Q25" s="57" cm="1">
        <f t="array" ref="Q25">IF(Settings!$E$12="YES",VLOOKUP(B25,'Player Data'!A1:E673,5,FALSE),84)</f>
        <v>81</v>
      </c>
      <c r="R25" s="55" cm="1">
        <f t="array" ref="R25">VLOOKUP(B25,'Player Data'!$A1:$AE673,6,FALSE)</f>
        <v>24.6</v>
      </c>
      <c r="S25" s="57" cm="1">
        <f t="array" ref="S25">VLOOKUP(B25,'Player Data'!$A1:$AE673,7,FALSE)*$Q25*IFERROR((VLOOKUP(P25,Settings!$E$28:$F$33,2,FALSE)+1),1)</f>
        <v>13.770000000000001</v>
      </c>
      <c r="T25" s="57" cm="1">
        <f t="array" ref="T25">VLOOKUP(B25,'Player Data'!$A1:$AE673,8,FALSE)*$Q25*IFERROR((VLOOKUP(P25,Settings!$E$28:$F$33,2,FALSE)+1),1)</f>
        <v>43.74</v>
      </c>
      <c r="U25" s="57" cm="1">
        <f t="array" ref="U25">SUM(S25:T25)</f>
        <v>57.510000000000005</v>
      </c>
      <c r="V25" s="57" cm="1">
        <f t="array" ref="V25">VLOOKUP(B25,'Player Data'!$A1:$AE673,10,FALSE)*$Q25*IFERROR(((VLOOKUP(P25,Settings!$E$28:$F$33,2,FALSE)/2)+1),1)</f>
        <v>179.01</v>
      </c>
      <c r="W25" s="58" cm="1">
        <f t="array" ref="W25">VLOOKUP(B25,'Player Data'!$A1:$AE673,11,FALSE)*$Q25*IFERROR((VLOOKUP(P25,Settings!$E$28:$F$33,2,FALSE)+1),1)</f>
        <v>4.8599999999999994</v>
      </c>
      <c r="X25" s="57" cm="1">
        <f t="array" ref="X25">VLOOKUP(B25,'Player Data'!$A1:$AE673,12,FALSE)*$Q25*IFERROR((VLOOKUP(P25,Settings!$E$28:$F$33,2,FALSE)+1),1)</f>
        <v>22.680000000000003</v>
      </c>
      <c r="Y25" s="57" cm="1">
        <f t="array" ref="Y25">VLOOKUP(B25,'Player Data'!$A1:$AE673,13,FALSE)*$Q25</f>
        <v>0</v>
      </c>
      <c r="Z25" s="57" cm="1">
        <f t="array" ref="Z25">VLOOKUP(B25,'Player Data'!$A1:$AE673,14,FALSE)*$Q25</f>
        <v>1.62</v>
      </c>
      <c r="AA25" s="57" cm="1">
        <f t="array" ref="AA25">VLOOKUP(B25,'Player Data'!$A1:$AE673,15,FALSE)*$Q25</f>
        <v>154.70999999999998</v>
      </c>
      <c r="AB25" s="57" cm="1">
        <f t="array" ref="AB25">VLOOKUP(B25,'Player Data'!$A1:$AE673,16,FALSE)*$Q25</f>
        <v>49.41</v>
      </c>
      <c r="AC25" s="57" cm="1">
        <f t="array" ref="AC25">VLOOKUP(B25,'Player Data'!$A1:$AE673,17,FALSE)*$Q25*IFERROR((VLOOKUP(P25,Settings!$E$28:$F$33,2,FALSE)+1),1)</f>
        <v>3.24</v>
      </c>
      <c r="AD25" s="57" cm="1">
        <f t="array" ref="AD25">VLOOKUP(B25,'Player Data'!$A1:$AE673,18,FALSE)*$Q25</f>
        <v>20.25</v>
      </c>
      <c r="AE25" s="57" cm="1">
        <f t="array" ref="AE25">VLOOKUP(B25,'Player Data'!$A1:$AE673,19,FALSE)*$Q25*IFERROR((VLOOKUP(P25,Settings!$E$28:$F$33,2,FALSE)+1),1)</f>
        <v>2.4299999999999997</v>
      </c>
      <c r="AF25" s="57" cm="1">
        <f t="array" ref="AF25">VLOOKUP(B25,'Player Data'!$A1:$AE673,20,FALSE)*$Q25</f>
        <v>0</v>
      </c>
      <c r="AG25" s="57" cm="1">
        <f t="array" ref="AG25">VLOOKUP(B25,'Player Data'!$A1:$AE673,21,FALSE)*$Q25</f>
        <v>0</v>
      </c>
      <c r="AH25" s="59" cm="1">
        <f t="array" ref="AH25">VLOOKUP(B25,'Player Data'!$A1:$AE673,22,FALSE)</f>
        <v>0.25</v>
      </c>
      <c r="AI25" s="55"/>
      <c r="AJ25" s="57"/>
      <c r="AK25" s="57"/>
      <c r="AL25" s="57"/>
      <c r="AM25" s="57"/>
      <c r="AN25" s="57"/>
      <c r="AO25" s="57"/>
      <c r="AP25" s="57"/>
      <c r="AQ25" s="60"/>
      <c r="AR25" s="61"/>
      <c r="AS25" s="55"/>
    </row>
    <row r="26" spans="1:45" ht="21.25" customHeight="1" x14ac:dyDescent="0.15">
      <c r="A26" s="62">
        <f>RANK(K26,K$2:K$671)</f>
        <v>28</v>
      </c>
      <c r="B26" s="10" t="s">
        <v>170</v>
      </c>
      <c r="C26" s="47" t="s">
        <v>145</v>
      </c>
      <c r="D26" s="48" t="str" cm="1">
        <f t="array" ref="D26">VLOOKUP(B26,'Player Data'!A1:D673,4,FALSE)</f>
        <v>G</v>
      </c>
      <c r="E26" s="76" cm="1">
        <f t="array" ref="E26">VLOOKUP(B26,G!A1:D66,3,FALSE)</f>
        <v>5</v>
      </c>
      <c r="F26" s="69" t="str" cm="1">
        <f t="array" ref="F26">VLOOKUP(B26,'Player Data'!A1:B673,2,FALSE)</f>
        <v>CBJ</v>
      </c>
      <c r="G26" s="11" cm="1">
        <f t="array" ref="G26">VLOOKUP(B26,'Player Data'!A1:D673,3,FALSE)</f>
        <v>25</v>
      </c>
      <c r="H26" s="51" cm="1">
        <f t="array" ref="H26">IFERROR(VLOOKUP(B26,ADP!A1:F671,6,FALSE)/1000000,VLOOKUP(B26,ADP!A1:F671,6,FALSE))</f>
        <v>5</v>
      </c>
      <c r="I26" s="52">
        <f>IF(Settings!$E$15="POINTS",(AJ26*Settings!$B$29)+(AK26*Settings!$B$21)+(AL26*Settings!$B$22)+(AN26*Settings!$B$24)+(AO26*Settings!$B$25)+(AP26*Settings!$B$27)+(AM26*Settings!$B$23),VLOOKUP(B26,'Standard Deviations'!A$1:C$672,3,FALSE))</f>
        <v>5.288217767424471</v>
      </c>
      <c r="J26" s="53" cm="1">
        <f t="array" ref="J26">IF(D26="G",I26/AJ26,I26/Q26)</f>
        <v>9.6149413953172197E-2</v>
      </c>
      <c r="K26" s="52" cm="1">
        <f t="array" ref="K26">VLOOKUP(B26,G!A1:F66,6,FALSE)</f>
        <v>3.2500325083007962</v>
      </c>
      <c r="L26" s="54" cm="1">
        <f t="array" ref="L26">IFERROR(K26/H26,"N/A")</f>
        <v>0.65000650166015927</v>
      </c>
      <c r="M26" s="55">
        <v>123.9</v>
      </c>
      <c r="N26" s="55" cm="1">
        <f t="array" ref="N26">IFERROR(M26-A26,"N/A")</f>
        <v>95.9</v>
      </c>
      <c r="O26" s="55"/>
      <c r="P26" s="56" cm="1">
        <f t="array" ref="P26">_xlfn.XLOOKUP($B26,ADP!A2:A671,ADP!G2:G671)</f>
        <v>0</v>
      </c>
      <c r="Q26" s="57"/>
      <c r="R26" s="55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9"/>
      <c r="AI26" s="55"/>
      <c r="AJ26" s="77" cm="1">
        <f t="array" ref="AJ26">VLOOKUP(B26,'Player Data'!$A1:$AE673,24,FALSE)</f>
        <v>55</v>
      </c>
      <c r="AK26" s="57" cm="1">
        <f t="array" ref="AK26">VLOOKUP(B26,'Player Data'!$A1:$AE673,25,FALSE)*$AJ26*IFERROR((VLOOKUP(P26,Settings!$E$28:$F$33,2,FALSE)+1),1)</f>
        <v>29.150000000000002</v>
      </c>
      <c r="AL26" s="57" cm="1">
        <f t="array" ref="AL26">AJ26-AK26-AM26</f>
        <v>19.25</v>
      </c>
      <c r="AM26" s="57" cm="1">
        <f t="array" ref="AM26">VLOOKUP(B26,'Player Data'!$A1:$AE673,27,FALSE)*$AJ26</f>
        <v>6.6</v>
      </c>
      <c r="AN26" s="57" cm="1">
        <f t="array" ref="AN26">VLOOKUP(B26,'Player Data'!$A1:$AE673,28,FALSE)*AJ26</f>
        <v>3.3</v>
      </c>
      <c r="AO26" s="57" cm="1">
        <f t="array" ref="AO26">VLOOKUP(B26,'Player Data'!$A1:$AE673,29,FALSE)*$AJ26*IFERROR((VLOOKUP(P26,Settings!$E$28:$F$33,2,FALSE)/4)+1,1)</f>
        <v>1474</v>
      </c>
      <c r="AP26" s="57" cm="1">
        <f t="array" ref="AP26">VLOOKUP(B26,'Player Data'!$A1:$AE673,31,FALSE)*$AJ26*(IFERROR(1-(VLOOKUP(P26,Settings!$E$28:$F$33,2,FALSE)/4),1))</f>
        <v>148.5</v>
      </c>
      <c r="AQ26" s="60" cm="1">
        <f t="array" ref="AQ26">1-(AP26/(AO26+AP26))</f>
        <v>0.90847457627118644</v>
      </c>
      <c r="AR26" s="61" cm="1">
        <f t="array" ref="AR26">AP26/AJ26</f>
        <v>2.7</v>
      </c>
      <c r="AS26" s="55"/>
    </row>
    <row r="27" spans="1:45" ht="21.25" customHeight="1" x14ac:dyDescent="0.15">
      <c r="A27" s="62">
        <f>RANK(K27,K$2:K$671)</f>
        <v>31</v>
      </c>
      <c r="B27" s="10" t="s">
        <v>175</v>
      </c>
      <c r="C27" s="47" t="s">
        <v>145</v>
      </c>
      <c r="D27" s="48" t="str" cm="1">
        <f t="array" ref="D27">VLOOKUP(B27,'Player Data'!A1:D673,4,FALSE)</f>
        <v>G</v>
      </c>
      <c r="E27" s="76" cm="1">
        <f t="array" ref="E27">VLOOKUP(B27,G!A1:D66,3,FALSE)</f>
        <v>6</v>
      </c>
      <c r="F27" s="73" t="str" cm="1">
        <f t="array" ref="F27">VLOOKUP(B27,'Player Data'!A1:B673,2,FALSE)</f>
        <v>NYR</v>
      </c>
      <c r="G27" s="11" cm="1">
        <f t="array" ref="G27">VLOOKUP(B27,'Player Data'!A1:D673,3,FALSE)</f>
        <v>30</v>
      </c>
      <c r="H27" s="51" cm="1">
        <f t="array" ref="H27">IFERROR(VLOOKUP(B27,ADP!A1:F671,6,FALSE)/1000000,VLOOKUP(B27,ADP!A1:F671,6,FALSE))</f>
        <v>11.503</v>
      </c>
      <c r="I27" s="52">
        <f>IF(Settings!$E$15="POINTS",(AJ27*Settings!$B$29)+(AK27*Settings!$B$21)+(AL27*Settings!$B$22)+(AN27*Settings!$B$24)+(AO27*Settings!$B$25)+(AP27*Settings!$B$27)+(AM27*Settings!$B$23),VLOOKUP(B27,'Standard Deviations'!A$1:C$672,3,FALSE))</f>
        <v>5.120665215540658</v>
      </c>
      <c r="J27" s="53" cm="1">
        <f t="array" ref="J27">IF(D27="G",I27/AJ27,I27/Q27)</f>
        <v>9.3103003918921054E-2</v>
      </c>
      <c r="K27" s="52" cm="1">
        <f t="array" ref="K27">VLOOKUP(B27,G!A1:F66,6,FALSE)</f>
        <v>3.0824799564169831</v>
      </c>
      <c r="L27" s="54" cm="1">
        <f t="array" ref="L27">IFERROR(K27/H27,"N/A")</f>
        <v>0.26797182964591698</v>
      </c>
      <c r="M27" s="55">
        <v>39.6</v>
      </c>
      <c r="N27" s="55" cm="1">
        <f t="array" ref="N27">IFERROR(M27-A27,"N/A")</f>
        <v>8.6000000000000014</v>
      </c>
      <c r="O27" s="55"/>
      <c r="P27" s="56" cm="1">
        <f t="array" ref="P27">_xlfn.XLOOKUP($B27,ADP!A2:A671,ADP!G2:G671)</f>
        <v>0</v>
      </c>
      <c r="Q27" s="57"/>
      <c r="R27" s="55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9"/>
      <c r="AI27" s="55"/>
      <c r="AJ27" s="77" cm="1">
        <f t="array" ref="AJ27">VLOOKUP(B27,'Player Data'!$A1:$AE673,24,FALSE)</f>
        <v>55</v>
      </c>
      <c r="AK27" s="57" cm="1">
        <f t="array" ref="AK27">VLOOKUP(B27,'Player Data'!$A1:$AE673,25,FALSE)*$AJ27*IFERROR((VLOOKUP(P27,Settings!$E$28:$F$33,2,FALSE)+1),1)</f>
        <v>28.05</v>
      </c>
      <c r="AL27" s="57" cm="1">
        <f t="array" ref="AL27">AJ27-AK27-AM27</f>
        <v>20.350000000000001</v>
      </c>
      <c r="AM27" s="57" cm="1">
        <f t="array" ref="AM27">VLOOKUP(B27,'Player Data'!$A1:$AE673,27,FALSE)*$AJ27</f>
        <v>6.6</v>
      </c>
      <c r="AN27" s="57" cm="1">
        <f t="array" ref="AN27">VLOOKUP(B27,'Player Data'!$A1:$AE673,28,FALSE)*AJ27</f>
        <v>3.3</v>
      </c>
      <c r="AO27" s="57" cm="1">
        <f t="array" ref="AO27">VLOOKUP(B27,'Player Data'!$A1:$AE673,29,FALSE)*$AJ27*IFERROR((VLOOKUP(P27,Settings!$E$28:$F$33,2,FALSE)/4)+1,1)</f>
        <v>1474</v>
      </c>
      <c r="AP27" s="57" cm="1">
        <f t="array" ref="AP27">VLOOKUP(B27,'Player Data'!$A1:$AE673,31,FALSE)*$AJ27*(IFERROR(1-(VLOOKUP(P27,Settings!$E$28:$F$33,2,FALSE)/4),1))</f>
        <v>148.5</v>
      </c>
      <c r="AQ27" s="60" cm="1">
        <f t="array" ref="AQ27">1-(AP27/(AO27+AP27))</f>
        <v>0.90847457627118644</v>
      </c>
      <c r="AR27" s="61" cm="1">
        <f t="array" ref="AR27">AP27/AJ27</f>
        <v>2.7</v>
      </c>
      <c r="AS27" s="55"/>
    </row>
    <row r="28" spans="1:45" ht="21.25" customHeight="1" x14ac:dyDescent="0.15">
      <c r="A28" s="62">
        <f>RANK(K28,K$2:K$671)</f>
        <v>23</v>
      </c>
      <c r="B28" s="10" t="s">
        <v>134</v>
      </c>
      <c r="C28" s="47" t="s">
        <v>145</v>
      </c>
      <c r="D28" s="48" t="str" cm="1">
        <f t="array" ref="D28">VLOOKUP(B28,'Player Data'!A1:D673,4,FALSE)</f>
        <v>RW</v>
      </c>
      <c r="E28" s="64" cm="1">
        <f t="array" ref="E28">VLOOKUP(B28,RW!A1:F210,3,FALSE)</f>
        <v>3</v>
      </c>
      <c r="F28" s="72" t="str" cm="1">
        <f t="array" ref="F28">VLOOKUP(B28,'Player Data'!A1:B673,2,FALSE)</f>
        <v>BOS</v>
      </c>
      <c r="G28" s="11" cm="1">
        <f t="array" ref="G28">VLOOKUP(B28,'Player Data'!A1:D673,3,FALSE)</f>
        <v>30</v>
      </c>
      <c r="H28" s="51" cm="1">
        <f t="array" ref="H28">IFERROR(VLOOKUP(B28,ADP!A1:F671,6,FALSE)/1000000,VLOOKUP(B28,ADP!A1:F671,6,FALSE))</f>
        <v>11.25</v>
      </c>
      <c r="I28" s="52">
        <f>IF(Settings!$E$15="POINTS",((R28*Q28)*Settings!$B$12)+(S28*Settings!$B$2)+(T28*Settings!$B$3)+(U28*Settings!$B$4)+(V28*Settings!$B$5)+(X28*Settings!$B$9)+(AA28*Settings!$B$6)+(W28*Settings!$B$8)+(AB28*Settings!$B$7)+(AC28*Settings!$B$14)+(AD28*Settings!$B$15)+(AE28*Settings!$B$16)+(AF28*Settings!$B$17)+(AG28*Settings!$B$18)+(Y28*Settings!$B$10)+(Z28*Settings!$B$11),VLOOKUP(B28,'Standard Deviations'!A$1:C$672,3,FALSE))</f>
        <v>10.639311884464874</v>
      </c>
      <c r="J28" s="53" cm="1">
        <f t="array" ref="J28">IF(D28="G",I28/AJ28,I28/Q28)</f>
        <v>0.12818448053572137</v>
      </c>
      <c r="K28" s="52" cm="1">
        <f t="array" ref="K28">IF(Settings!$E$18="C/LW/RW",VLOOKUP(B28,RW!A1:F210,6,FALSE),VLOOKUP(B28,F!A1:F407,6,FALSE))</f>
        <v>3.7520772826557964</v>
      </c>
      <c r="L28" s="54" cm="1">
        <f t="array" ref="L28">IFERROR(K28/H28,"N/A")</f>
        <v>0.33351798068051525</v>
      </c>
      <c r="M28" s="55">
        <v>9.5</v>
      </c>
      <c r="N28" s="55" cm="1">
        <f t="array" ref="N28">IFERROR(M28-A28,"N/A")</f>
        <v>-13.5</v>
      </c>
      <c r="O28" s="55"/>
      <c r="P28" s="56" cm="1">
        <f t="array" ref="P28">_xlfn.XLOOKUP($B28,ADP!A2:A671,ADP!G2:G671)</f>
        <v>0</v>
      </c>
      <c r="Q28" s="57" cm="1">
        <f t="array" ref="Q28">IF(Settings!$E$12="YES",VLOOKUP(B28,'Player Data'!A1:E673,5,FALSE),84)</f>
        <v>83</v>
      </c>
      <c r="R28" s="55" cm="1">
        <f t="array" ref="R28">VLOOKUP(B28,'Player Data'!$A1:$AE673,6,FALSE)</f>
        <v>20.6</v>
      </c>
      <c r="S28" s="57" cm="1">
        <f t="array" ref="S28">VLOOKUP(B28,'Player Data'!$A1:$AE673,7,FALSE)*$Q28*IFERROR((VLOOKUP(P28,Settings!$E$28:$F$33,2,FALSE)+1),1)</f>
        <v>37.35</v>
      </c>
      <c r="T28" s="57" cm="1">
        <f t="array" ref="T28">VLOOKUP(B28,'Player Data'!$A1:$AE673,8,FALSE)*$Q28*IFERROR((VLOOKUP(P28,Settings!$E$28:$F$33,2,FALSE)+1),1)</f>
        <v>67.23</v>
      </c>
      <c r="U28" s="57" cm="1">
        <f t="array" ref="U28">SUM(S28:T28)</f>
        <v>104.58000000000001</v>
      </c>
      <c r="V28" s="57" cm="1">
        <f t="array" ref="V28">VLOOKUP(B28,'Player Data'!$A1:$AE673,10,FALSE)*$Q28*IFERROR(((VLOOKUP(P28,Settings!$E$28:$F$33,2,FALSE)/2)+1),1)</f>
        <v>303.78000000000003</v>
      </c>
      <c r="W28" s="58" cm="1">
        <f t="array" ref="W28">VLOOKUP(B28,'Player Data'!$A1:$AE673,11,FALSE)*$Q28*IFERROR((VLOOKUP(P28,Settings!$E$28:$F$33,2,FALSE)+1),1)</f>
        <v>9.9599999999999991</v>
      </c>
      <c r="X28" s="57" cm="1">
        <f t="array" ref="X28">VLOOKUP(B28,'Player Data'!$A1:$AE673,12,FALSE)*$Q28*IFERROR((VLOOKUP(P28,Settings!$E$28:$F$33,2,FALSE)+1),1)</f>
        <v>29.88</v>
      </c>
      <c r="Y28" s="57" cm="1">
        <f t="array" ref="Y28">VLOOKUP(B28,'Player Data'!$A1:$AE673,13,FALSE)*$Q28</f>
        <v>0</v>
      </c>
      <c r="Z28" s="57" cm="1">
        <f t="array" ref="Z28">VLOOKUP(B28,'Player Data'!$A1:$AE673,14,FALSE)*$Q28</f>
        <v>0</v>
      </c>
      <c r="AA28" s="57" cm="1">
        <f t="array" ref="AA28">VLOOKUP(B28,'Player Data'!$A1:$AE673,15,FALSE)*$Q28</f>
        <v>32.370000000000005</v>
      </c>
      <c r="AB28" s="57" cm="1">
        <f t="array" ref="AB28">VLOOKUP(B28,'Player Data'!$A1:$AE673,16,FALSE)*$Q28</f>
        <v>80.509999999999991</v>
      </c>
      <c r="AC28" s="57" cm="1">
        <f t="array" ref="AC28">VLOOKUP(B28,'Player Data'!$A1:$AE673,17,FALSE)*$Q28*IFERROR((VLOOKUP(P28,Settings!$E$28:$F$33,2,FALSE)+1),1)</f>
        <v>0.83000000000000007</v>
      </c>
      <c r="AD28" s="57" cm="1">
        <f t="array" ref="AD28">VLOOKUP(B28,'Player Data'!$A1:$AE673,18,FALSE)*$Q28</f>
        <v>46.480000000000004</v>
      </c>
      <c r="AE28" s="57" cm="1">
        <f t="array" ref="AE28">VLOOKUP(B28,'Player Data'!$A1:$AE673,19,FALSE)*$Q28*IFERROR((VLOOKUP(P28,Settings!$E$28:$F$33,2,FALSE)+1),1)</f>
        <v>4.9799999999999995</v>
      </c>
      <c r="AF28" s="57" cm="1">
        <f t="array" ref="AF28">VLOOKUP(B28,'Player Data'!$A1:$AE673,20,FALSE)*$Q28</f>
        <v>3.3200000000000003</v>
      </c>
      <c r="AG28" s="57" cm="1">
        <f t="array" ref="AG28">VLOOKUP(B28,'Player Data'!$A1:$AE673,21,FALSE)*$Q28</f>
        <v>8.3000000000000007</v>
      </c>
      <c r="AH28" s="59" cm="1">
        <f t="array" ref="AH28">VLOOKUP(B28,'Player Data'!$A1:$AE673,22,FALSE)</f>
        <v>0.3</v>
      </c>
      <c r="AI28" s="55"/>
      <c r="AJ28" s="57"/>
      <c r="AK28" s="57"/>
      <c r="AL28" s="57"/>
      <c r="AM28" s="57"/>
      <c r="AN28" s="57"/>
      <c r="AO28" s="57"/>
      <c r="AP28" s="57"/>
      <c r="AQ28" s="60"/>
      <c r="AR28" s="61"/>
      <c r="AS28" s="55"/>
    </row>
    <row r="29" spans="1:45" ht="21.25" customHeight="1" x14ac:dyDescent="0.15">
      <c r="A29" s="62">
        <f>RANK(K29,K$2:K$671)</f>
        <v>24</v>
      </c>
      <c r="B29" s="10" t="s">
        <v>226</v>
      </c>
      <c r="C29" s="47" t="s">
        <v>145</v>
      </c>
      <c r="D29" s="48" t="str" cm="1">
        <f t="array" ref="D29">VLOOKUP(B29,'Player Data'!A1:D673,4,FALSE)</f>
        <v>C,LW</v>
      </c>
      <c r="E29" s="74" cm="1">
        <f t="array" ref="E29">VLOOKUP(B29,LW!A1:C210,3,FALSE)</f>
        <v>3</v>
      </c>
      <c r="F29" s="72" t="str" cm="1">
        <f t="array" ref="F29">VLOOKUP(B29,'Player Data'!A1:B673,2,FALSE)</f>
        <v>FLA</v>
      </c>
      <c r="G29" s="11" cm="1">
        <f t="array" ref="G29">VLOOKUP(B29,'Player Data'!A1:D673,3,FALSE)</f>
        <v>27</v>
      </c>
      <c r="H29" s="51" cm="1">
        <f t="array" ref="H29">IFERROR(VLOOKUP(B29,ADP!A1:F671,6,FALSE)/1000000,VLOOKUP(B29,ADP!A1:F671,6,FALSE))</f>
        <v>8.2050000000000001</v>
      </c>
      <c r="I29" s="52">
        <f>IF(Settings!$E$15="POINTS",((R29*Q29)*Settings!$B$12)+(S29*Settings!$B$2)+(T29*Settings!$B$3)+(U29*Settings!$B$4)+(V29*Settings!$B$5)+(X29*Settings!$B$9)+(AA29*Settings!$B$6)+(W29*Settings!$B$8)+(AB29*Settings!$B$7)+(AC29*Settings!$B$14)+(AD29*Settings!$B$15)+(AE29*Settings!$B$16)+(AF29*Settings!$B$17)+(AG29*Settings!$B$18)+(Y29*Settings!$B$10)+(Z29*Settings!$B$11),VLOOKUP(B29,'Standard Deviations'!A$1:C$672,3,FALSE))</f>
        <v>10.567812064490829</v>
      </c>
      <c r="J29" s="53" cm="1">
        <f t="array" ref="J29">IF(D29="G",I29/AJ29,I29/Q29)</f>
        <v>0.13376977296823833</v>
      </c>
      <c r="K29" s="52" cm="1">
        <f t="array" ref="K29">IF(Settings!$E$18="C/LW/RW",VLOOKUP(B29,LW!A1:F210,6,FALSE),VLOOKUP(B29,F!A1:F407,6,FALSE))</f>
        <v>3.6734264201010189</v>
      </c>
      <c r="L29" s="54" cm="1">
        <f t="array" ref="L29">IFERROR(K29/H29,"N/A")</f>
        <v>0.4477058403535672</v>
      </c>
      <c r="M29" s="55">
        <v>24</v>
      </c>
      <c r="N29" s="55" cm="1">
        <f t="array" ref="N29">IFERROR(M29-A29,"N/A")</f>
        <v>0</v>
      </c>
      <c r="O29" s="55"/>
      <c r="P29" s="56" cm="1">
        <f t="array" ref="P29">_xlfn.XLOOKUP($B29,ADP!A2:A671,ADP!G2:G671)</f>
        <v>0</v>
      </c>
      <c r="Q29" s="57" cm="1">
        <f t="array" ref="Q29">IF(Settings!$E$12="YES",VLOOKUP(B29,'Player Data'!A1:E673,5,FALSE),84)</f>
        <v>79</v>
      </c>
      <c r="R29" s="55" cm="1">
        <f t="array" ref="R29">VLOOKUP(B29,'Player Data'!$A1:$AE673,6,FALSE)</f>
        <v>17.5</v>
      </c>
      <c r="S29" s="57" cm="1">
        <f t="array" ref="S29">VLOOKUP(B29,'Player Data'!$A1:$AE673,7,FALSE)*$Q29*IFERROR((VLOOKUP(P29,Settings!$E$28:$F$33,2,FALSE)+1),1)</f>
        <v>29.23</v>
      </c>
      <c r="T29" s="57" cm="1">
        <f t="array" ref="T29">VLOOKUP(B29,'Player Data'!$A1:$AE673,8,FALSE)*$Q29*IFERROR((VLOOKUP(P29,Settings!$E$28:$F$33,2,FALSE)+1),1)</f>
        <v>37.129999999999995</v>
      </c>
      <c r="U29" s="57" cm="1">
        <f t="array" ref="U29">SUM(S29:T29)</f>
        <v>66.36</v>
      </c>
      <c r="V29" s="57" cm="1">
        <f t="array" ref="V29">VLOOKUP(B29,'Player Data'!$A1:$AE673,10,FALSE)*$Q29*IFERROR(((VLOOKUP(P29,Settings!$E$28:$F$33,2,FALSE)/2)+1),1)</f>
        <v>293.88</v>
      </c>
      <c r="W29" s="57" cm="1">
        <f t="array" ref="W29">VLOOKUP(B29,'Player Data'!$A1:$AE673,11,FALSE)*$Q29*IFERROR((VLOOKUP(P29,Settings!$E$28:$F$33,2,FALSE)+1),1)</f>
        <v>7.9</v>
      </c>
      <c r="X29" s="57" cm="1">
        <f t="array" ref="X29">VLOOKUP(B29,'Player Data'!$A1:$AE673,12,FALSE)*$Q29*IFERROR((VLOOKUP(P29,Settings!$E$28:$F$33,2,FALSE)+1),1)</f>
        <v>19.75</v>
      </c>
      <c r="Y29" s="57" cm="1">
        <f t="array" ref="Y29">VLOOKUP(B29,'Player Data'!$A1:$AE673,13,FALSE)*$Q29</f>
        <v>0</v>
      </c>
      <c r="Z29" s="57" cm="1">
        <f t="array" ref="Z29">VLOOKUP(B29,'Player Data'!$A1:$AE673,14,FALSE)*$Q29</f>
        <v>0</v>
      </c>
      <c r="AA29" s="57" cm="1">
        <f t="array" ref="AA29">VLOOKUP(B29,'Player Data'!$A1:$AE673,15,FALSE)*$Q29</f>
        <v>32.39</v>
      </c>
      <c r="AB29" s="57" cm="1">
        <f t="array" ref="AB29">VLOOKUP(B29,'Player Data'!$A1:$AE673,16,FALSE)*$Q29</f>
        <v>219.61999999999998</v>
      </c>
      <c r="AC29" s="57" cm="1">
        <f t="array" ref="AC29">VLOOKUP(B29,'Player Data'!$A1:$AE673,17,FALSE)*$Q29*IFERROR((VLOOKUP(P29,Settings!$E$28:$F$33,2,FALSE)+1),1)</f>
        <v>6.32</v>
      </c>
      <c r="AD29" s="57" cm="1">
        <f t="array" ref="AD29">VLOOKUP(B29,'Player Data'!$A1:$AE673,18,FALSE)*$Q29</f>
        <v>74.259999999999991</v>
      </c>
      <c r="AE29" s="57" cm="1">
        <f t="array" ref="AE29">VLOOKUP(B29,'Player Data'!$A1:$AE673,19,FALSE)*$Q29*IFERROR((VLOOKUP(P29,Settings!$E$28:$F$33,2,FALSE)+1),1)</f>
        <v>4.74</v>
      </c>
      <c r="AF29" s="57" cm="1">
        <f t="array" ref="AF29">VLOOKUP(B29,'Player Data'!$A1:$AE673,20,FALSE)*$Q29</f>
        <v>209.35</v>
      </c>
      <c r="AG29" s="57" cm="1">
        <f t="array" ref="AG29">VLOOKUP(B29,'Player Data'!$A1:$AE673,21,FALSE)*$Q29</f>
        <v>180.11999999999998</v>
      </c>
      <c r="AH29" s="59" cm="1">
        <f t="array" ref="AH29">VLOOKUP(B29,'Player Data'!$A1:$AE673,22,FALSE)</f>
        <v>0.54</v>
      </c>
      <c r="AI29" s="55"/>
      <c r="AJ29" s="57"/>
      <c r="AK29" s="57"/>
      <c r="AL29" s="57"/>
      <c r="AM29" s="57"/>
      <c r="AN29" s="57"/>
      <c r="AO29" s="57"/>
      <c r="AP29" s="57"/>
      <c r="AQ29" s="60"/>
      <c r="AR29" s="61"/>
      <c r="AS29" s="55"/>
    </row>
    <row r="30" spans="1:45" ht="21.25" customHeight="1" x14ac:dyDescent="0.15">
      <c r="A30" s="62">
        <f>RANK(K30,K$2:K$671)</f>
        <v>25</v>
      </c>
      <c r="B30" s="10" t="s">
        <v>146</v>
      </c>
      <c r="C30" s="47" t="s">
        <v>145</v>
      </c>
      <c r="D30" s="48" t="str" cm="1">
        <f t="array" ref="D30">VLOOKUP(B30,'Player Data'!A1:D673,4,FALSE)</f>
        <v>LW</v>
      </c>
      <c r="E30" s="75" cm="1">
        <f t="array" ref="E30">VLOOKUP(B30,LW!A1:C210,3,FALSE)</f>
        <v>4</v>
      </c>
      <c r="F30" s="70" t="str" cm="1">
        <f t="array" ref="F30">VLOOKUP(B30,'Player Data'!A1:B673,2,FALSE)</f>
        <v>MIN</v>
      </c>
      <c r="G30" s="11" cm="1">
        <f t="array" ref="G30">VLOOKUP(B30,'Player Data'!A1:D673,3,FALSE)</f>
        <v>29</v>
      </c>
      <c r="H30" s="51" cm="1">
        <f t="array" ref="H30">IFERROR(VLOOKUP(B30,ADP!A1:F671,6,FALSE)/1000000,VLOOKUP(B30,ADP!A1:F671,6,FALSE))</f>
        <v>17</v>
      </c>
      <c r="I30" s="52">
        <f>IF(Settings!$E$15="POINTS",((R30*Q30)*Settings!$B$12)+(S30*Settings!$B$2)+(T30*Settings!$B$3)+(U30*Settings!$B$4)+(V30*Settings!$B$5)+(X30*Settings!$B$9)+(AA30*Settings!$B$6)+(W30*Settings!$B$8)+(AB30*Settings!$B$7)+(AC30*Settings!$B$14)+(AD30*Settings!$B$15)+(AE30*Settings!$B$16)+(AF30*Settings!$B$17)+(AG30*Settings!$B$18)+(Y30*Settings!$B$10)+(Z30*Settings!$B$11),VLOOKUP(B30,'Standard Deviations'!A$1:C$672,3,FALSE))</f>
        <v>10.558311446143982</v>
      </c>
      <c r="J30" s="53" cm="1">
        <f t="array" ref="J30">IF(D30="G",I30/AJ30,I30/Q30)</f>
        <v>0.13712092787199975</v>
      </c>
      <c r="K30" s="52" cm="1">
        <f t="array" ref="K30">IF(Settings!$E$18="C/LW/RW",VLOOKUP(B30,LW!A1:F210,6,FALSE),VLOOKUP(B30,F!A1:F407,6,FALSE))</f>
        <v>3.6639258017541723</v>
      </c>
      <c r="L30" s="54" cm="1">
        <f t="array" ref="L30">IFERROR(K30/H30,"N/A")</f>
        <v>0.21552504716201012</v>
      </c>
      <c r="M30" s="55">
        <v>10.9</v>
      </c>
      <c r="N30" s="55" cm="1">
        <f t="array" ref="N30">IFERROR(M30-A30,"N/A")</f>
        <v>-14.1</v>
      </c>
      <c r="O30" s="55"/>
      <c r="P30" s="56" t="str" cm="1">
        <f t="array" ref="P30">_xlfn.XLOOKUP($B30,ADP!A2:A671,ADP!G2:G671)</f>
        <v>+</v>
      </c>
      <c r="Q30" s="57" cm="1">
        <f t="array" ref="Q30">IF(Settings!$E$12="YES",VLOOKUP(B30,'Player Data'!A1:E673,5,FALSE),84)</f>
        <v>77</v>
      </c>
      <c r="R30" s="55" cm="1">
        <f t="array" ref="R30">VLOOKUP(B30,'Player Data'!$A1:$AE673,6,FALSE)</f>
        <v>22.1</v>
      </c>
      <c r="S30" s="57" cm="1">
        <f t="array" ref="S30">VLOOKUP(B30,'Player Data'!$A1:$AE673,7,FALSE)*$Q30*IFERROR((VLOOKUP(P30,Settings!$E$28:$F$33,2,FALSE)+1),1)</f>
        <v>46.084499999999998</v>
      </c>
      <c r="T30" s="57" cm="1">
        <f t="array" ref="T30">VLOOKUP(B30,'Player Data'!$A1:$AE673,8,FALSE)*$Q30*IFERROR((VLOOKUP(P30,Settings!$E$28:$F$33,2,FALSE)+1),1)</f>
        <v>50.935499999999998</v>
      </c>
      <c r="U30" s="57" cm="1">
        <f t="array" ref="U30">SUM(S30:T30)</f>
        <v>97.02</v>
      </c>
      <c r="V30" s="57" cm="1">
        <f t="array" ref="V30">VLOOKUP(B30,'Player Data'!$A1:$AE673,10,FALSE)*$Q30*IFERROR(((VLOOKUP(P30,Settings!$E$28:$F$33,2,FALSE)/2)+1),1)</f>
        <v>272.29124999999999</v>
      </c>
      <c r="W30" s="58" cm="1">
        <f t="array" ref="W30">VLOOKUP(B30,'Player Data'!$A1:$AE673,11,FALSE)*$Q30*IFERROR((VLOOKUP(P30,Settings!$E$28:$F$33,2,FALSE)+1),1)</f>
        <v>16.9785</v>
      </c>
      <c r="X30" s="57" cm="1">
        <f t="array" ref="X30">VLOOKUP(B30,'Player Data'!$A1:$AE673,12,FALSE)*$Q30*IFERROR((VLOOKUP(P30,Settings!$E$28:$F$33,2,FALSE)+1),1)</f>
        <v>33.148499999999999</v>
      </c>
      <c r="Y30" s="57" cm="1">
        <f t="array" ref="Y30">VLOOKUP(B30,'Player Data'!$A1:$AE673,13,FALSE)*$Q30</f>
        <v>0</v>
      </c>
      <c r="Z30" s="57" cm="1">
        <f t="array" ref="Z30">VLOOKUP(B30,'Player Data'!$A1:$AE673,14,FALSE)*$Q30</f>
        <v>0</v>
      </c>
      <c r="AA30" s="57" cm="1">
        <f t="array" ref="AA30">VLOOKUP(B30,'Player Data'!$A1:$AE673,15,FALSE)*$Q30</f>
        <v>30.03</v>
      </c>
      <c r="AB30" s="57" cm="1">
        <f t="array" ref="AB30">VLOOKUP(B30,'Player Data'!$A1:$AE673,16,FALSE)*$Q30</f>
        <v>49.28</v>
      </c>
      <c r="AC30" s="57" cm="1">
        <f t="array" ref="AC30">VLOOKUP(B30,'Player Data'!$A1:$AE673,17,FALSE)*$Q30*IFERROR((VLOOKUP(P30,Settings!$E$28:$F$33,2,FALSE)+1),1)</f>
        <v>5.6595000000000004</v>
      </c>
      <c r="AD30" s="57" cm="1">
        <f t="array" ref="AD30">VLOOKUP(B30,'Player Data'!$A1:$AE673,18,FALSE)*$Q30</f>
        <v>32.339999999999996</v>
      </c>
      <c r="AE30" s="57" cm="1">
        <f t="array" ref="AE30">VLOOKUP(B30,'Player Data'!$A1:$AE673,19,FALSE)*$Q30*IFERROR((VLOOKUP(P30,Settings!$E$28:$F$33,2,FALSE)+1),1)</f>
        <v>7.2765000000000004</v>
      </c>
      <c r="AF30" s="57" cm="1">
        <f t="array" ref="AF30">VLOOKUP(B30,'Player Data'!$A1:$AE673,20,FALSE)*$Q30</f>
        <v>0</v>
      </c>
      <c r="AG30" s="57" cm="1">
        <f t="array" ref="AG30">VLOOKUP(B30,'Player Data'!$A1:$AE673,21,FALSE)*$Q30</f>
        <v>2.31</v>
      </c>
      <c r="AH30" s="59" cm="1">
        <f t="array" ref="AH30">VLOOKUP(B30,'Player Data'!$A1:$AE673,22,FALSE)</f>
        <v>0</v>
      </c>
      <c r="AI30" s="55"/>
      <c r="AJ30" s="57"/>
      <c r="AK30" s="57"/>
      <c r="AL30" s="57"/>
      <c r="AM30" s="57"/>
      <c r="AN30" s="57"/>
      <c r="AO30" s="57"/>
      <c r="AP30" s="57"/>
      <c r="AQ30" s="60"/>
      <c r="AR30" s="61"/>
      <c r="AS30" s="55"/>
    </row>
    <row r="31" spans="1:45" ht="21.25" customHeight="1" x14ac:dyDescent="0.15">
      <c r="A31" s="62">
        <f>RANK(K31,K$2:K$671)</f>
        <v>35</v>
      </c>
      <c r="B31" s="10" t="s">
        <v>161</v>
      </c>
      <c r="C31" s="47" t="s">
        <v>145</v>
      </c>
      <c r="D31" s="48" t="str" cm="1">
        <f t="array" ref="D31">VLOOKUP(B31,'Player Data'!A1:D673,4,FALSE)</f>
        <v>D</v>
      </c>
      <c r="E31" s="68" cm="1">
        <f t="array" ref="E31">VLOOKUP(B31,D!A1:C204,3,FALSE)</f>
        <v>14</v>
      </c>
      <c r="F31" s="63" t="str" cm="1">
        <f t="array" ref="F31">VLOOKUP(B31,'Player Data'!A1:B673,2,FALSE)</f>
        <v>WPG</v>
      </c>
      <c r="G31" s="66" cm="1">
        <f t="array" ref="G31">VLOOKUP(B31,'Player Data'!A1:D673,3,FALSE)</f>
        <v>31</v>
      </c>
      <c r="H31" s="51" cm="1">
        <f t="array" ref="H31">IFERROR(VLOOKUP(B31,ADP!A1:F671,6,FALSE)/1000000,VLOOKUP(B31,ADP!A1:F671,6,FALSE))</f>
        <v>6.25</v>
      </c>
      <c r="I31" s="52">
        <f>IF(Settings!$E$15="POINTS",((R31*Q31)*Settings!$B$12)+(S31*Settings!$B$2)+(T31*Settings!$B$3)+(U31*Settings!$B$4)+(V31*Settings!$B$5)+(X31*Settings!$B$9)+(AA31*Settings!$B$6)+(W31*Settings!$B$8)+(AB31*Settings!$B$7)+(AC31*Settings!$B$14)+(AD31*Settings!$B$15)+(AE31*Settings!$B$16)+(AF31*Settings!$B$17)+(AG31*Settings!$B$18)+(U31*Settings!$B$13)+(Y31*Settings!$B$10)+(Z31*Settings!$B$11),VLOOKUP(B31,'Standard Deviations'!A$1:C$672,3,FALSE))</f>
        <v>3.3393330785311801</v>
      </c>
      <c r="J31" s="53" cm="1">
        <f t="array" ref="J31">IF(D31="G",I31/AJ31,I31/Q31)</f>
        <v>4.0232928657002169E-2</v>
      </c>
      <c r="K31" s="52" cm="1">
        <f t="array" ref="K31">VLOOKUP(B31,D!A1:F204,6,FALSE)</f>
        <v>2.7724821640136259</v>
      </c>
      <c r="L31" s="54" cm="1">
        <f t="array" ref="L31">IFERROR(K31/H31,"N/A")</f>
        <v>0.44359714624218016</v>
      </c>
      <c r="M31" s="55">
        <v>86.6</v>
      </c>
      <c r="N31" s="55" cm="1">
        <f t="array" ref="N31">IFERROR(M31-A31,"N/A")</f>
        <v>51.599999999999994</v>
      </c>
      <c r="O31" s="55"/>
      <c r="P31" s="56" cm="1">
        <f t="array" ref="P31">_xlfn.XLOOKUP($B31,ADP!A2:A671,ADP!G2:G671)</f>
        <v>0</v>
      </c>
      <c r="Q31" s="57" cm="1">
        <f t="array" ref="Q31">IF(Settings!$E$12="YES",VLOOKUP(B31,'Player Data'!A1:E673,5,FALSE),84)</f>
        <v>83</v>
      </c>
      <c r="R31" s="55" cm="1">
        <f t="array" ref="R31">VLOOKUP(B31,'Player Data'!$A1:$AE673,6,FALSE)</f>
        <v>24.6</v>
      </c>
      <c r="S31" s="57" cm="1">
        <f t="array" ref="S31">VLOOKUP(B31,'Player Data'!$A1:$AE673,7,FALSE)*$Q31*IFERROR((VLOOKUP(P31,Settings!$E$28:$F$33,2,FALSE)+1),1)</f>
        <v>11.620000000000001</v>
      </c>
      <c r="T31" s="57" cm="1">
        <f t="array" ref="T31">VLOOKUP(B31,'Player Data'!$A1:$AE673,8,FALSE)*$Q31*IFERROR((VLOOKUP(P31,Settings!$E$28:$F$33,2,FALSE)+1),1)</f>
        <v>48.139999999999993</v>
      </c>
      <c r="U31" s="57" cm="1">
        <f t="array" ref="U31">SUM(S31:T31)</f>
        <v>59.759999999999991</v>
      </c>
      <c r="V31" s="57" cm="1">
        <f t="array" ref="V31">VLOOKUP(B31,'Player Data'!$A1:$AE673,10,FALSE)*$Q31*IFERROR(((VLOOKUP(P31,Settings!$E$28:$F$33,2,FALSE)/2)+1),1)</f>
        <v>166</v>
      </c>
      <c r="W31" s="58" cm="1">
        <f t="array" ref="W31">VLOOKUP(B31,'Player Data'!$A1:$AE673,11,FALSE)*$Q31*IFERROR((VLOOKUP(P31,Settings!$E$28:$F$33,2,FALSE)+1),1)</f>
        <v>2.4899999999999998</v>
      </c>
      <c r="X31" s="57" cm="1">
        <f t="array" ref="X31">VLOOKUP(B31,'Player Data'!$A1:$AE673,12,FALSE)*$Q31*IFERROR((VLOOKUP(P31,Settings!$E$28:$F$33,2,FALSE)+1),1)</f>
        <v>19.09</v>
      </c>
      <c r="Y31" s="57" cm="1">
        <f t="array" ref="Y31">VLOOKUP(B31,'Player Data'!$A1:$AE673,13,FALSE)*$Q31</f>
        <v>0</v>
      </c>
      <c r="Z31" s="57" cm="1">
        <f t="array" ref="Z31">VLOOKUP(B31,'Player Data'!$A1:$AE673,14,FALSE)*$Q31</f>
        <v>0</v>
      </c>
      <c r="AA31" s="57" cm="1">
        <f t="array" ref="AA31">VLOOKUP(B31,'Player Data'!$A1:$AE673,15,FALSE)*$Q31</f>
        <v>122.84</v>
      </c>
      <c r="AB31" s="57" cm="1">
        <f t="array" ref="AB31">VLOOKUP(B31,'Player Data'!$A1:$AE673,16,FALSE)*$Q31</f>
        <v>48.97</v>
      </c>
      <c r="AC31" s="57" cm="1">
        <f t="array" ref="AC31">VLOOKUP(B31,'Player Data'!$A1:$AE673,17,FALSE)*$Q31*IFERROR((VLOOKUP(P31,Settings!$E$28:$F$33,2,FALSE)+1),1)</f>
        <v>4.1500000000000004</v>
      </c>
      <c r="AD31" s="57" cm="1">
        <f t="array" ref="AD31">VLOOKUP(B31,'Player Data'!$A1:$AE673,18,FALSE)*$Q31</f>
        <v>34.86</v>
      </c>
      <c r="AE31" s="57" cm="1">
        <f t="array" ref="AE31">VLOOKUP(B31,'Player Data'!$A1:$AE673,19,FALSE)*$Q31*IFERROR((VLOOKUP(P31,Settings!$E$28:$F$33,2,FALSE)+1),1)</f>
        <v>1.6600000000000001</v>
      </c>
      <c r="AF31" s="57" cm="1">
        <f t="array" ref="AF31">VLOOKUP(B31,'Player Data'!$A1:$AE673,20,FALSE)*$Q31</f>
        <v>0</v>
      </c>
      <c r="AG31" s="57" cm="1">
        <f t="array" ref="AG31">VLOOKUP(B31,'Player Data'!$A1:$AE673,21,FALSE)*$Q31</f>
        <v>0</v>
      </c>
      <c r="AH31" s="59" cm="1">
        <f t="array" ref="AH31">VLOOKUP(B31,'Player Data'!$A1:$AE673,22,FALSE)</f>
        <v>0</v>
      </c>
      <c r="AI31" s="55"/>
      <c r="AJ31" s="57"/>
      <c r="AK31" s="57"/>
      <c r="AL31" s="57"/>
      <c r="AM31" s="57"/>
      <c r="AN31" s="57"/>
      <c r="AO31" s="57"/>
      <c r="AP31" s="57"/>
      <c r="AQ31" s="60"/>
      <c r="AR31" s="61"/>
      <c r="AS31" s="55"/>
    </row>
    <row r="32" spans="1:45" ht="21.25" customHeight="1" x14ac:dyDescent="0.15">
      <c r="A32" s="62">
        <f>RANK(K32,K$2:K$671)</f>
        <v>34</v>
      </c>
      <c r="B32" s="10" t="s">
        <v>234</v>
      </c>
      <c r="C32" s="47" t="s">
        <v>145</v>
      </c>
      <c r="D32" s="48" t="str" cm="1">
        <f t="array" ref="D32">VLOOKUP(B32,'Player Data'!A1:D673,4,FALSE)</f>
        <v>G</v>
      </c>
      <c r="E32" s="76" cm="1">
        <f t="array" ref="E32">VLOOKUP(B32,G!A1:D66,3,FALSE)</f>
        <v>7</v>
      </c>
      <c r="F32" s="50" t="str" cm="1">
        <f t="array" ref="F32">VLOOKUP(B32,'Player Data'!A1:B673,2,FALSE)</f>
        <v>COL</v>
      </c>
      <c r="G32" s="66" cm="1">
        <f t="array" ref="G32">VLOOKUP(B32,'Player Data'!A1:D673,3,FALSE)</f>
        <v>34</v>
      </c>
      <c r="H32" s="67" cm="1">
        <f t="array" ref="H32">IFERROR(VLOOKUP(B32,ADP!A1:F671,6,FALSE)/1000000,VLOOKUP(B32,ADP!A1:F671,6,FALSE))</f>
        <v>2.5</v>
      </c>
      <c r="I32" s="52">
        <f>IF(Settings!$E$15="POINTS",(AJ32*Settings!$B$29)+(AK32*Settings!$B$21)+(AL32*Settings!$B$22)+(AN32*Settings!$B$24)+(AO32*Settings!$B$25)+(AP32*Settings!$B$27)+(AM32*Settings!$B$23),VLOOKUP(B32,'Standard Deviations'!A$1:C$672,3,FALSE))</f>
        <v>4.9694108017542602</v>
      </c>
      <c r="J32" s="53" cm="1">
        <f t="array" ref="J32">IF(D32="G",I32/AJ32,I32/Q32)</f>
        <v>0.11043135115009467</v>
      </c>
      <c r="K32" s="52" cm="1">
        <f t="array" ref="K32">VLOOKUP(B32,G!A1:F66,6,FALSE)</f>
        <v>2.9312255426305853</v>
      </c>
      <c r="L32" s="54" cm="1">
        <f t="array" ref="L32">IFERROR(K32/H32,"N/A")</f>
        <v>1.1724902170522342</v>
      </c>
      <c r="M32" s="55">
        <v>52.4</v>
      </c>
      <c r="N32" s="55" cm="1">
        <f t="array" ref="N32">IFERROR(M32-A32,"N/A")</f>
        <v>18.399999999999999</v>
      </c>
      <c r="O32" s="55"/>
      <c r="P32" s="56" cm="1">
        <f t="array" ref="P32">_xlfn.XLOOKUP($B32,ADP!A2:A671,ADP!G2:G671)</f>
        <v>0</v>
      </c>
      <c r="Q32" s="57"/>
      <c r="R32" s="55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9"/>
      <c r="AI32" s="55"/>
      <c r="AJ32" s="77" cm="1">
        <f t="array" ref="AJ32">VLOOKUP(B32,'Player Data'!$A1:$AE673,24,FALSE)</f>
        <v>45</v>
      </c>
      <c r="AK32" s="57" cm="1">
        <f t="array" ref="AK32">VLOOKUP(B32,'Player Data'!$A1:$AE673,25,FALSE)*$AJ32*IFERROR((VLOOKUP(P32,Settings!$E$28:$F$33,2,FALSE)+1),1)</f>
        <v>27</v>
      </c>
      <c r="AL32" s="57" cm="1">
        <f t="array" ref="AL32">AJ32-AK32-AM32</f>
        <v>13.5</v>
      </c>
      <c r="AM32" s="57" cm="1">
        <f t="array" ref="AM32">VLOOKUP(B32,'Player Data'!$A1:$AE673,27,FALSE)*$AJ32</f>
        <v>4.5</v>
      </c>
      <c r="AN32" s="57" cm="1">
        <f t="array" ref="AN32">VLOOKUP(B32,'Player Data'!$A1:$AE673,28,FALSE)*AJ32</f>
        <v>3.1500000000000004</v>
      </c>
      <c r="AO32" s="57" cm="1">
        <f t="array" ref="AO32">VLOOKUP(B32,'Player Data'!$A1:$AE673,29,FALSE)*$AJ32*IFERROR((VLOOKUP(P32,Settings!$E$28:$F$33,2,FALSE)/4)+1,1)</f>
        <v>1183.5</v>
      </c>
      <c r="AP32" s="57" cm="1">
        <f t="array" ref="AP32">VLOOKUP(B32,'Player Data'!$A1:$AE673,31,FALSE)*$AJ32*(IFERROR(1-(VLOOKUP(P32,Settings!$E$28:$F$33,2,FALSE)/4),1))</f>
        <v>119.7</v>
      </c>
      <c r="AQ32" s="60" cm="1">
        <f t="array" ref="AQ32">1-(AP32/(AO32+AP32))</f>
        <v>0.90814917127071826</v>
      </c>
      <c r="AR32" s="61" cm="1">
        <f t="array" ref="AR32">AP32/AJ32</f>
        <v>2.66</v>
      </c>
      <c r="AS32" s="55"/>
    </row>
    <row r="33" spans="1:45" ht="21.25" customHeight="1" x14ac:dyDescent="0.15">
      <c r="A33" s="62">
        <f>RANK(K33,K$2:K$671)</f>
        <v>26</v>
      </c>
      <c r="B33" s="10" t="s">
        <v>152</v>
      </c>
      <c r="C33" s="47" t="s">
        <v>145</v>
      </c>
      <c r="D33" s="48" t="str" cm="1">
        <f t="array" ref="D33">VLOOKUP(B33,'Player Data'!A1:D673,4,FALSE)</f>
        <v>RW</v>
      </c>
      <c r="E33" s="64" cm="1">
        <f t="array" ref="E33">VLOOKUP(B33,RW!A1:F210,3,FALSE)</f>
        <v>4</v>
      </c>
      <c r="F33" s="50" t="str" cm="1">
        <f t="array" ref="F33">VLOOKUP(B33,'Player Data'!A1:B673,2,FALSE)</f>
        <v>COL</v>
      </c>
      <c r="G33" s="11" cm="1">
        <f t="array" ref="G33">VLOOKUP(B33,'Player Data'!A1:D673,3,FALSE)</f>
        <v>27</v>
      </c>
      <c r="H33" s="51" cm="1">
        <f t="array" ref="H33">IFERROR(VLOOKUP(B33,ADP!A1:F671,6,FALSE)/1000000,VLOOKUP(B33,ADP!A1:F671,6,FALSE))</f>
        <v>11.5</v>
      </c>
      <c r="I33" s="52">
        <f>IF(Settings!$E$15="POINTS",((R33*Q33)*Settings!$B$12)+(S33*Settings!$B$2)+(T33*Settings!$B$3)+(U33*Settings!$B$4)+(V33*Settings!$B$5)+(X33*Settings!$B$9)+(AA33*Settings!$B$6)+(W33*Settings!$B$8)+(AB33*Settings!$B$7)+(AC33*Settings!$B$14)+(AD33*Settings!$B$15)+(AE33*Settings!$B$16)+(AF33*Settings!$B$17)+(AG33*Settings!$B$18)+(Y33*Settings!$B$10)+(Z33*Settings!$B$11),VLOOKUP(B33,'Standard Deviations'!A$1:C$672,3,FALSE))</f>
        <v>10.531693048144161</v>
      </c>
      <c r="J33" s="53" cm="1">
        <f t="array" ref="J33">IF(D33="G",I33/AJ33,I33/Q33)</f>
        <v>0.1284352810749288</v>
      </c>
      <c r="K33" s="52" cm="1">
        <f t="array" ref="K33">IF(Settings!$E$18="C/LW/RW",VLOOKUP(B33,RW!A1:F210,6,FALSE),VLOOKUP(B33,F!A1:F407,6,FALSE))</f>
        <v>3.6444584463350838</v>
      </c>
      <c r="L33" s="54" cm="1">
        <f t="array" ref="L33">IFERROR(K33/H33,"N/A")</f>
        <v>0.31690943011609424</v>
      </c>
      <c r="M33" s="55">
        <v>14.8</v>
      </c>
      <c r="N33" s="55" cm="1">
        <f t="array" ref="N33">IFERROR(M33-A33,"N/A")</f>
        <v>-11.2</v>
      </c>
      <c r="O33" s="55"/>
      <c r="P33" s="56" cm="1">
        <f t="array" ref="P33">_xlfn.XLOOKUP($B33,ADP!A2:A671,ADP!G2:G671)</f>
        <v>0</v>
      </c>
      <c r="Q33" s="57" cm="1">
        <f t="array" ref="Q33">IF(Settings!$E$12="YES",VLOOKUP(B33,'Player Data'!A1:E673,5,FALSE),84)</f>
        <v>82</v>
      </c>
      <c r="R33" s="55" cm="1">
        <f t="array" ref="R33">VLOOKUP(B33,'Player Data'!$A1:$AE673,6,FALSE)</f>
        <v>21.2</v>
      </c>
      <c r="S33" s="57" cm="1">
        <f t="array" ref="S33">VLOOKUP(B33,'Player Data'!$A1:$AE673,7,FALSE)*$Q33*IFERROR((VLOOKUP(P33,Settings!$E$28:$F$33,2,FALSE)+1),1)</f>
        <v>36.08</v>
      </c>
      <c r="T33" s="57" cm="1">
        <f t="array" ref="T33">VLOOKUP(B33,'Player Data'!$A1:$AE673,8,FALSE)*$Q33*IFERROR((VLOOKUP(P33,Settings!$E$28:$F$33,2,FALSE)+1),1)</f>
        <v>59.86</v>
      </c>
      <c r="U33" s="57" cm="1">
        <f t="array" ref="U33">SUM(S33:T33)</f>
        <v>95.94</v>
      </c>
      <c r="V33" s="57" cm="1">
        <f t="array" ref="V33">VLOOKUP(B33,'Player Data'!$A1:$AE673,10,FALSE)*$Q33*IFERROR(((VLOOKUP(P33,Settings!$E$28:$F$33,2,FALSE)/2)+1),1)</f>
        <v>229.6</v>
      </c>
      <c r="W33" s="58" cm="1">
        <f t="array" ref="W33">VLOOKUP(B33,'Player Data'!$A1:$AE673,11,FALSE)*$Q33*IFERROR((VLOOKUP(P33,Settings!$E$28:$F$33,2,FALSE)+1),1)</f>
        <v>10.66</v>
      </c>
      <c r="X33" s="57" cm="1">
        <f t="array" ref="X33">VLOOKUP(B33,'Player Data'!$A1:$AE673,12,FALSE)*$Q33*IFERROR((VLOOKUP(P33,Settings!$E$28:$F$33,2,FALSE)+1),1)</f>
        <v>27.880000000000003</v>
      </c>
      <c r="Y33" s="57" cm="1">
        <f t="array" ref="Y33">VLOOKUP(B33,'Player Data'!$A1:$AE673,13,FALSE)*$Q33</f>
        <v>0</v>
      </c>
      <c r="Z33" s="57" cm="1">
        <f t="array" ref="Z33">VLOOKUP(B33,'Player Data'!$A1:$AE673,14,FALSE)*$Q33</f>
        <v>0</v>
      </c>
      <c r="AA33" s="57" cm="1">
        <f t="array" ref="AA33">VLOOKUP(B33,'Player Data'!$A1:$AE673,15,FALSE)*$Q33</f>
        <v>29.52</v>
      </c>
      <c r="AB33" s="57" cm="1">
        <f t="array" ref="AB33">VLOOKUP(B33,'Player Data'!$A1:$AE673,16,FALSE)*$Q33</f>
        <v>83.64</v>
      </c>
      <c r="AC33" s="57" cm="1">
        <f t="array" ref="AC33">VLOOKUP(B33,'Player Data'!$A1:$AE673,17,FALSE)*$Q33*IFERROR((VLOOKUP(P33,Settings!$E$28:$F$33,2,FALSE)+1),1)</f>
        <v>9.84</v>
      </c>
      <c r="AD33" s="57" cm="1">
        <f t="array" ref="AD33">VLOOKUP(B33,'Player Data'!$A1:$AE673,18,FALSE)*$Q33</f>
        <v>34.44</v>
      </c>
      <c r="AE33" s="57" cm="1">
        <f t="array" ref="AE33">VLOOKUP(B33,'Player Data'!$A1:$AE673,19,FALSE)*$Q33*IFERROR((VLOOKUP(P33,Settings!$E$28:$F$33,2,FALSE)+1),1)</f>
        <v>6.5600000000000005</v>
      </c>
      <c r="AF33" s="57" cm="1">
        <f t="array" ref="AF33">VLOOKUP(B33,'Player Data'!$A1:$AE673,20,FALSE)*$Q33</f>
        <v>22.96</v>
      </c>
      <c r="AG33" s="57" cm="1">
        <f t="array" ref="AG33">VLOOKUP(B33,'Player Data'!$A1:$AE673,21,FALSE)*$Q33</f>
        <v>36.08</v>
      </c>
      <c r="AH33" s="59" cm="1">
        <f t="array" ref="AH33">VLOOKUP(B33,'Player Data'!$A1:$AE673,22,FALSE)</f>
        <v>0.39</v>
      </c>
      <c r="AI33" s="55"/>
      <c r="AJ33" s="57"/>
      <c r="AK33" s="57"/>
      <c r="AL33" s="57"/>
      <c r="AM33" s="57"/>
      <c r="AN33" s="57"/>
      <c r="AO33" s="57"/>
      <c r="AP33" s="57"/>
      <c r="AQ33" s="60"/>
      <c r="AR33" s="61"/>
      <c r="AS33" s="55"/>
    </row>
    <row r="34" spans="1:45" ht="21.25" customHeight="1" x14ac:dyDescent="0.15">
      <c r="A34" s="62">
        <f>RANK(K34,K$2:K$671)</f>
        <v>36</v>
      </c>
      <c r="B34" s="10" t="s">
        <v>168</v>
      </c>
      <c r="C34" s="47" t="s">
        <v>145</v>
      </c>
      <c r="D34" s="48" t="str" cm="1">
        <f t="array" ref="D34">VLOOKUP(B34,'Player Data'!A1:D673,4,FALSE)</f>
        <v>D</v>
      </c>
      <c r="E34" s="68" cm="1">
        <f t="array" ref="E34">VLOOKUP(B34,D!A1:C204,3,FALSE)</f>
        <v>15</v>
      </c>
      <c r="F34" s="63" t="str" cm="1">
        <f t="array" ref="F34">VLOOKUP(B34,'Player Data'!A1:B673,2,FALSE)</f>
        <v>VGK</v>
      </c>
      <c r="G34" s="66" cm="1">
        <f t="array" ref="G34">VLOOKUP(B34,'Player Data'!A1:D673,3,FALSE)</f>
        <v>31</v>
      </c>
      <c r="H34" s="51" cm="1">
        <f t="array" ref="H34">IFERROR(VLOOKUP(B34,ADP!A1:F671,6,FALSE)/1000000,VLOOKUP(B34,ADP!A1:F671,6,FALSE))</f>
        <v>7.4249999999999998</v>
      </c>
      <c r="I34" s="52">
        <f>IF(Settings!$E$15="POINTS",((R34*Q34)*Settings!$B$12)+(S34*Settings!$B$2)+(T34*Settings!$B$3)+(U34*Settings!$B$4)+(V34*Settings!$B$5)+(X34*Settings!$B$9)+(AA34*Settings!$B$6)+(W34*Settings!$B$8)+(AB34*Settings!$B$7)+(AC34*Settings!$B$14)+(AD34*Settings!$B$15)+(AE34*Settings!$B$16)+(AF34*Settings!$B$17)+(AG34*Settings!$B$18)+(U34*Settings!$B$13)+(Y34*Settings!$B$10)+(Z34*Settings!$B$11),VLOOKUP(B34,'Standard Deviations'!A$1:C$672,3,FALSE))</f>
        <v>3.2197982786705515</v>
      </c>
      <c r="J34" s="53" cm="1">
        <f t="array" ref="J34">IF(D34="G",I34/AJ34,I34/Q34)</f>
        <v>4.2365766824612516E-2</v>
      </c>
      <c r="K34" s="52" cm="1">
        <f t="array" ref="K34">VLOOKUP(B34,D!A1:F204,6,FALSE)</f>
        <v>2.6529473641529968</v>
      </c>
      <c r="L34" s="54" cm="1">
        <f t="array" ref="L34">IFERROR(K34/H34,"N/A")</f>
        <v>0.35729930830343393</v>
      </c>
      <c r="M34" s="55">
        <v>100.7</v>
      </c>
      <c r="N34" s="55" cm="1">
        <f t="array" ref="N34">IFERROR(M34-A34,"N/A")</f>
        <v>64.7</v>
      </c>
      <c r="O34" s="55"/>
      <c r="P34" s="56" cm="1">
        <f t="array" ref="P34">_xlfn.XLOOKUP($B34,ADP!A2:A671,ADP!G2:G671)</f>
        <v>0</v>
      </c>
      <c r="Q34" s="57" cm="1">
        <f t="array" ref="Q34">IF(Settings!$E$12="YES",VLOOKUP(B34,'Player Data'!A1:E673,5,FALSE),84)</f>
        <v>76</v>
      </c>
      <c r="R34" s="81" cm="1">
        <f t="array" ref="R34">VLOOKUP(B34,'Player Data'!$A1:$AE673,6,FALSE)</f>
        <v>24.6</v>
      </c>
      <c r="S34" s="57" cm="1">
        <f t="array" ref="S34">VLOOKUP(B34,'Player Data'!$A1:$AE673,7,FALSE)*$Q34*IFERROR((VLOOKUP(P34,Settings!$E$28:$F$33,2,FALSE)+1),1)</f>
        <v>9.1199999999999992</v>
      </c>
      <c r="T34" s="57" cm="1">
        <f t="array" ref="T34">VLOOKUP(B34,'Player Data'!$A1:$AE673,8,FALSE)*$Q34*IFERROR((VLOOKUP(P34,Settings!$E$28:$F$33,2,FALSE)+1),1)</f>
        <v>50.160000000000004</v>
      </c>
      <c r="U34" s="57" cm="1">
        <f t="array" ref="U34">SUM(S34:T34)</f>
        <v>59.28</v>
      </c>
      <c r="V34" s="57" cm="1">
        <f t="array" ref="V34">VLOOKUP(B34,'Player Data'!$A1:$AE673,10,FALSE)*$Q34*IFERROR(((VLOOKUP(P34,Settings!$E$28:$F$33,2,FALSE)/2)+1),1)</f>
        <v>153.52000000000001</v>
      </c>
      <c r="W34" s="58" cm="1">
        <f t="array" ref="W34">VLOOKUP(B34,'Player Data'!$A1:$AE673,11,FALSE)*$Q34*IFERROR((VLOOKUP(P34,Settings!$E$28:$F$33,2,FALSE)+1),1)</f>
        <v>3.04</v>
      </c>
      <c r="X34" s="57" cm="1">
        <f t="array" ref="X34">VLOOKUP(B34,'Player Data'!$A1:$AE673,12,FALSE)*$Q34*IFERROR((VLOOKUP(P34,Settings!$E$28:$F$33,2,FALSE)+1),1)</f>
        <v>22.04</v>
      </c>
      <c r="Y34" s="57" cm="1">
        <f t="array" ref="Y34">VLOOKUP(B34,'Player Data'!$A1:$AE673,13,FALSE)*$Q34</f>
        <v>0</v>
      </c>
      <c r="Z34" s="57" cm="1">
        <f t="array" ref="Z34">VLOOKUP(B34,'Player Data'!$A1:$AE673,14,FALSE)*$Q34</f>
        <v>0</v>
      </c>
      <c r="AA34" s="57" cm="1">
        <f t="array" ref="AA34">VLOOKUP(B34,'Player Data'!$A1:$AE673,15,FALSE)*$Q34</f>
        <v>100.32000000000001</v>
      </c>
      <c r="AB34" s="57" cm="1">
        <f t="array" ref="AB34">VLOOKUP(B34,'Player Data'!$A1:$AE673,16,FALSE)*$Q34</f>
        <v>15.959999999999999</v>
      </c>
      <c r="AC34" s="57" cm="1">
        <f t="array" ref="AC34">VLOOKUP(B34,'Player Data'!$A1:$AE673,17,FALSE)*$Q34*IFERROR((VLOOKUP(P34,Settings!$E$28:$F$33,2,FALSE)+1),1)</f>
        <v>6.84</v>
      </c>
      <c r="AD34" s="57" cm="1">
        <f t="array" ref="AD34">VLOOKUP(B34,'Player Data'!$A1:$AE673,18,FALSE)*$Q34</f>
        <v>29.64</v>
      </c>
      <c r="AE34" s="57" cm="1">
        <f t="array" ref="AE34">VLOOKUP(B34,'Player Data'!$A1:$AE673,19,FALSE)*$Q34*IFERROR((VLOOKUP(P34,Settings!$E$28:$F$33,2,FALSE)+1),1)</f>
        <v>1.52</v>
      </c>
      <c r="AF34" s="57" cm="1">
        <f t="array" ref="AF34">VLOOKUP(B34,'Player Data'!$A1:$AE673,20,FALSE)*$Q34</f>
        <v>0</v>
      </c>
      <c r="AG34" s="57" cm="1">
        <f t="array" ref="AG34">VLOOKUP(B34,'Player Data'!$A1:$AE673,21,FALSE)*$Q34</f>
        <v>0</v>
      </c>
      <c r="AH34" s="59" cm="1">
        <f t="array" ref="AH34">VLOOKUP(B34,'Player Data'!$A1:$AE673,22,FALSE)</f>
        <v>0</v>
      </c>
      <c r="AI34" s="55"/>
      <c r="AJ34" s="57"/>
      <c r="AK34" s="57"/>
      <c r="AL34" s="57"/>
      <c r="AM34" s="57"/>
      <c r="AN34" s="57"/>
      <c r="AO34" s="57"/>
      <c r="AP34" s="57"/>
      <c r="AQ34" s="60"/>
      <c r="AR34" s="61"/>
      <c r="AS34" s="55"/>
    </row>
    <row r="35" spans="1:45" ht="21.25" customHeight="1" x14ac:dyDescent="0.15">
      <c r="A35" s="62">
        <f>RANK(K35,K$2:K$671)</f>
        <v>38</v>
      </c>
      <c r="B35" s="10" t="s">
        <v>214</v>
      </c>
      <c r="C35" s="47" t="s">
        <v>145</v>
      </c>
      <c r="D35" s="48" t="str" cm="1">
        <f t="array" ref="D35">VLOOKUP(B35,'Player Data'!A1:D673,4,FALSE)</f>
        <v>D</v>
      </c>
      <c r="E35" s="68" cm="1">
        <f t="array" ref="E35">VLOOKUP(B35,D!A1:C204,3,FALSE)</f>
        <v>16</v>
      </c>
      <c r="F35" s="65" t="str" cm="1">
        <f t="array" ref="F35">VLOOKUP(B35,'Player Data'!A1:B673,2,FALSE)</f>
        <v>CAR</v>
      </c>
      <c r="G35" s="66" cm="1">
        <f t="array" ref="G35">VLOOKUP(B35,'Player Data'!A1:D673,3,FALSE)</f>
        <v>33</v>
      </c>
      <c r="H35" s="67" cm="1">
        <f t="array" ref="H35">IFERROR(VLOOKUP(B35,ADP!A1:F671,6,FALSE)/1000000,VLOOKUP(B35,ADP!A1:F671,6,FALSE))</f>
        <v>3.2</v>
      </c>
      <c r="I35" s="52">
        <f>IF(Settings!$E$15="POINTS",((R35*Q35)*Settings!$B$12)+(S35*Settings!$B$2)+(T35*Settings!$B$3)+(U35*Settings!$B$4)+(V35*Settings!$B$5)+(X35*Settings!$B$9)+(AA35*Settings!$B$6)+(W35*Settings!$B$8)+(AB35*Settings!$B$7)+(AC35*Settings!$B$14)+(AD35*Settings!$B$15)+(AE35*Settings!$B$16)+(AF35*Settings!$B$17)+(AG35*Settings!$B$18)+(U35*Settings!$B$13)+(Y35*Settings!$B$10)+(Z35*Settings!$B$11),VLOOKUP(B35,'Standard Deviations'!A$1:C$672,3,FALSE))</f>
        <v>3.1050120330451199</v>
      </c>
      <c r="J35" s="53" cm="1">
        <f t="array" ref="J35">IF(D35="G",I35/AJ35,I35/Q35)</f>
        <v>4.0324831597988567E-2</v>
      </c>
      <c r="K35" s="52" cm="1">
        <f t="array" ref="K35">VLOOKUP(B35,D!A1:F204,6,FALSE)</f>
        <v>2.5381611185275652</v>
      </c>
      <c r="L35" s="54" cm="1">
        <f t="array" ref="L35">IFERROR(K35/H35,"N/A")</f>
        <v>0.79317534953986413</v>
      </c>
      <c r="M35" s="55">
        <v>97.2</v>
      </c>
      <c r="N35" s="55" cm="1">
        <f t="array" ref="N35">IFERROR(M35-A35,"N/A")</f>
        <v>59.2</v>
      </c>
      <c r="O35" s="80"/>
      <c r="P35" s="56" cm="1">
        <f t="array" ref="P35">_xlfn.XLOOKUP($B35,ADP!A2:A671,ADP!G2:G671)</f>
        <v>0</v>
      </c>
      <c r="Q35" s="57" cm="1">
        <f t="array" ref="Q35">IF(Settings!$E$12="YES",VLOOKUP(B35,'Player Data'!A1:E673,5,FALSE),84)</f>
        <v>77</v>
      </c>
      <c r="R35" s="55" cm="1">
        <f t="array" ref="R35">VLOOKUP(B35,'Player Data'!$A1:$AE673,6,FALSE)</f>
        <v>19.2</v>
      </c>
      <c r="S35" s="57" cm="1">
        <f t="array" ref="S35">VLOOKUP(B35,'Player Data'!$A1:$AE673,7,FALSE)*$Q35*IFERROR((VLOOKUP(P35,Settings!$E$28:$F$33,2,FALSE)+1),1)</f>
        <v>9.24</v>
      </c>
      <c r="T35" s="57" cm="1">
        <f t="array" ref="T35">VLOOKUP(B35,'Player Data'!$A1:$AE673,8,FALSE)*$Q35*IFERROR((VLOOKUP(P35,Settings!$E$28:$F$33,2,FALSE)+1),1)</f>
        <v>40.04</v>
      </c>
      <c r="U35" s="57" cm="1">
        <f t="array" ref="U35">SUM(S35:T35)</f>
        <v>49.28</v>
      </c>
      <c r="V35" s="57" cm="1">
        <f t="array" ref="V35">VLOOKUP(B35,'Player Data'!$A1:$AE673,10,FALSE)*$Q35*IFERROR(((VLOOKUP(P35,Settings!$E$28:$F$33,2,FALSE)/2)+1),1)</f>
        <v>138.6</v>
      </c>
      <c r="W35" s="58" cm="1">
        <f t="array" ref="W35">VLOOKUP(B35,'Player Data'!$A1:$AE673,11,FALSE)*$Q35*IFERROR((VLOOKUP(P35,Settings!$E$28:$F$33,2,FALSE)+1),1)</f>
        <v>3.85</v>
      </c>
      <c r="X35" s="57" cm="1">
        <f t="array" ref="X35">VLOOKUP(B35,'Player Data'!$A1:$AE673,12,FALSE)*$Q35*IFERROR((VLOOKUP(P35,Settings!$E$28:$F$33,2,FALSE)+1),1)</f>
        <v>22.33</v>
      </c>
      <c r="Y35" s="57" cm="1">
        <f t="array" ref="Y35">VLOOKUP(B35,'Player Data'!$A1:$AE673,13,FALSE)*$Q35</f>
        <v>0</v>
      </c>
      <c r="Z35" s="57" cm="1">
        <f t="array" ref="Z35">VLOOKUP(B35,'Player Data'!$A1:$AE673,14,FALSE)*$Q35</f>
        <v>0</v>
      </c>
      <c r="AA35" s="57" cm="1">
        <f t="array" ref="AA35">VLOOKUP(B35,'Player Data'!$A1:$AE673,15,FALSE)*$Q35</f>
        <v>87.779999999999987</v>
      </c>
      <c r="AB35" s="57" cm="1">
        <f t="array" ref="AB35">VLOOKUP(B35,'Player Data'!$A1:$AE673,16,FALSE)*$Q35</f>
        <v>54.669999999999995</v>
      </c>
      <c r="AC35" s="57" cm="1">
        <f t="array" ref="AC35">VLOOKUP(B35,'Player Data'!$A1:$AE673,17,FALSE)*$Q35*IFERROR((VLOOKUP(P35,Settings!$E$28:$F$33,2,FALSE)+1),1)</f>
        <v>6.93</v>
      </c>
      <c r="AD35" s="57" cm="1">
        <f t="array" ref="AD35">VLOOKUP(B35,'Player Data'!$A1:$AE673,18,FALSE)*$Q35</f>
        <v>28.49</v>
      </c>
      <c r="AE35" s="57" cm="1">
        <f t="array" ref="AE35">VLOOKUP(B35,'Player Data'!$A1:$AE673,19,FALSE)*$Q35*IFERROR((VLOOKUP(P35,Settings!$E$28:$F$33,2,FALSE)+1),1)</f>
        <v>1.54</v>
      </c>
      <c r="AF35" s="57" cm="1">
        <f t="array" ref="AF35">VLOOKUP(B35,'Player Data'!$A1:$AE673,20,FALSE)*$Q35</f>
        <v>0</v>
      </c>
      <c r="AG35" s="57" cm="1">
        <f t="array" ref="AG35">VLOOKUP(B35,'Player Data'!$A1:$AE673,21,FALSE)*$Q35</f>
        <v>0</v>
      </c>
      <c r="AH35" s="59" cm="1">
        <f t="array" ref="AH35">VLOOKUP(B35,'Player Data'!$A1:$AE673,22,FALSE)</f>
        <v>0</v>
      </c>
      <c r="AI35" s="55"/>
      <c r="AJ35" s="57"/>
      <c r="AK35" s="57"/>
      <c r="AL35" s="57"/>
      <c r="AM35" s="57"/>
      <c r="AN35" s="57"/>
      <c r="AO35" s="57"/>
      <c r="AP35" s="57"/>
      <c r="AQ35" s="60"/>
      <c r="AR35" s="61"/>
      <c r="AS35" s="55"/>
    </row>
    <row r="36" spans="1:45" ht="21.25" customHeight="1" x14ac:dyDescent="0.15">
      <c r="A36" s="62">
        <f>RANK(K36,K$2:K$671)</f>
        <v>40</v>
      </c>
      <c r="B36" s="10" t="s">
        <v>176</v>
      </c>
      <c r="C36" s="47" t="s">
        <v>145</v>
      </c>
      <c r="D36" s="48" t="str" cm="1">
        <f t="array" ref="D36">VLOOKUP(B36,'Player Data'!A1:D673,4,FALSE)</f>
        <v>D</v>
      </c>
      <c r="E36" s="68" cm="1">
        <f t="array" ref="E36">VLOOKUP(B36,D!A1:C204,3,FALSE)</f>
        <v>17</v>
      </c>
      <c r="F36" s="63" t="str" cm="1">
        <f t="array" ref="F36">VLOOKUP(B36,'Player Data'!A1:B673,2,FALSE)</f>
        <v>DAL</v>
      </c>
      <c r="G36" s="11" cm="1">
        <f t="array" ref="G36">VLOOKUP(B36,'Player Data'!A1:D673,3,FALSE)</f>
        <v>27</v>
      </c>
      <c r="H36" s="51" cm="1">
        <f t="array" ref="H36">IFERROR(VLOOKUP(B36,ADP!A1:F671,6,FALSE)/1000000,VLOOKUP(B36,ADP!A1:F671,6,FALSE))</f>
        <v>8.4499999999999993</v>
      </c>
      <c r="I36" s="52">
        <f>IF(Settings!$E$15="POINTS",((R36*Q36)*Settings!$B$12)+(S36*Settings!$B$2)+(T36*Settings!$B$3)+(U36*Settings!$B$4)+(V36*Settings!$B$5)+(X36*Settings!$B$9)+(AA36*Settings!$B$6)+(W36*Settings!$B$8)+(AB36*Settings!$B$7)+(AC36*Settings!$B$14)+(AD36*Settings!$B$15)+(AE36*Settings!$B$16)+(AF36*Settings!$B$17)+(AG36*Settings!$B$18)+(U36*Settings!$B$13)+(Y36*Settings!$B$10)+(Z36*Settings!$B$11),VLOOKUP(B36,'Standard Deviations'!A$1:C$672,3,FALSE))</f>
        <v>2.9948208332653392</v>
      </c>
      <c r="J36" s="53" cm="1">
        <f t="array" ref="J36">IF(D36="G",I36/AJ36,I36/Q36)</f>
        <v>3.8395138888017169E-2</v>
      </c>
      <c r="K36" s="52" cm="1">
        <f t="array" ref="K36">VLOOKUP(B36,D!A1:F204,6,FALSE)</f>
        <v>2.4279699187477846</v>
      </c>
      <c r="L36" s="54" cm="1">
        <f t="array" ref="L36">IFERROR(K36/H36,"N/A")</f>
        <v>0.28733371819500414</v>
      </c>
      <c r="M36" s="55">
        <v>72.599999999999994</v>
      </c>
      <c r="N36" s="55" cm="1">
        <f t="array" ref="N36">IFERROR(M36-A36,"N/A")</f>
        <v>32.599999999999994</v>
      </c>
      <c r="O36" s="82"/>
      <c r="P36" s="56" cm="1">
        <f t="array" ref="P36">_xlfn.XLOOKUP($B36,ADP!A2:A671,ADP!G2:G671)</f>
        <v>0</v>
      </c>
      <c r="Q36" s="57" cm="1">
        <f t="array" ref="Q36">IF(Settings!$E$12="YES",VLOOKUP(B36,'Player Data'!A1:E673,5,FALSE),84)</f>
        <v>78</v>
      </c>
      <c r="R36" s="55" cm="1">
        <f t="array" ref="R36">VLOOKUP(B36,'Player Data'!$A1:$AE673,6,FALSE)</f>
        <v>25.2</v>
      </c>
      <c r="S36" s="57" cm="1">
        <f t="array" ref="S36">VLOOKUP(B36,'Player Data'!$A1:$AE673,7,FALSE)*$Q36*IFERROR((VLOOKUP(P36,Settings!$E$28:$F$33,2,FALSE)+1),1)</f>
        <v>9.36</v>
      </c>
      <c r="T36" s="57" cm="1">
        <f t="array" ref="T36">VLOOKUP(B36,'Player Data'!$A1:$AE673,8,FALSE)*$Q36*IFERROR((VLOOKUP(P36,Settings!$E$28:$F$33,2,FALSE)+1),1)</f>
        <v>44.459999999999994</v>
      </c>
      <c r="U36" s="57" cm="1">
        <f t="array" ref="U36">SUM(S36:T36)</f>
        <v>53.819999999999993</v>
      </c>
      <c r="V36" s="57" cm="1">
        <f t="array" ref="V36">VLOOKUP(B36,'Player Data'!$A1:$AE673,10,FALSE)*$Q36*IFERROR(((VLOOKUP(P36,Settings!$E$28:$F$33,2,FALSE)/2)+1),1)</f>
        <v>153.66</v>
      </c>
      <c r="W36" s="58" cm="1">
        <f t="array" ref="W36">VLOOKUP(B36,'Player Data'!$A1:$AE673,11,FALSE)*$Q36*IFERROR((VLOOKUP(P36,Settings!$E$28:$F$33,2,FALSE)+1),1)</f>
        <v>1.56</v>
      </c>
      <c r="X36" s="57" cm="1">
        <f t="array" ref="X36">VLOOKUP(B36,'Player Data'!$A1:$AE673,12,FALSE)*$Q36*IFERROR((VLOOKUP(P36,Settings!$E$28:$F$33,2,FALSE)+1),1)</f>
        <v>20.28</v>
      </c>
      <c r="Y36" s="57" cm="1">
        <f t="array" ref="Y36">VLOOKUP(B36,'Player Data'!$A1:$AE673,13,FALSE)*$Q36</f>
        <v>0.78</v>
      </c>
      <c r="Z36" s="57" cm="1">
        <f t="array" ref="Z36">VLOOKUP(B36,'Player Data'!$A1:$AE673,14,FALSE)*$Q36</f>
        <v>0.78</v>
      </c>
      <c r="AA36" s="57" cm="1">
        <f t="array" ref="AA36">VLOOKUP(B36,'Player Data'!$A1:$AE673,15,FALSE)*$Q36</f>
        <v>133.38</v>
      </c>
      <c r="AB36" s="57" cm="1">
        <f t="array" ref="AB36">VLOOKUP(B36,'Player Data'!$A1:$AE673,16,FALSE)*$Q36</f>
        <v>38.22</v>
      </c>
      <c r="AC36" s="57" cm="1">
        <f t="array" ref="AC36">VLOOKUP(B36,'Player Data'!$A1:$AE673,17,FALSE)*$Q36*IFERROR((VLOOKUP(P36,Settings!$E$28:$F$33,2,FALSE)+1),1)</f>
        <v>6.24</v>
      </c>
      <c r="AD36" s="57" cm="1">
        <f t="array" ref="AD36">VLOOKUP(B36,'Player Data'!$A1:$AE673,18,FALSE)*$Q36</f>
        <v>29.64</v>
      </c>
      <c r="AE36" s="57" cm="1">
        <f t="array" ref="AE36">VLOOKUP(B36,'Player Data'!$A1:$AE673,19,FALSE)*$Q36*IFERROR((VLOOKUP(P36,Settings!$E$28:$F$33,2,FALSE)+1),1)</f>
        <v>1.56</v>
      </c>
      <c r="AF36" s="57" cm="1">
        <f t="array" ref="AF36">VLOOKUP(B36,'Player Data'!$A1:$AE673,20,FALSE)*$Q36</f>
        <v>0</v>
      </c>
      <c r="AG36" s="57" cm="1">
        <f t="array" ref="AG36">VLOOKUP(B36,'Player Data'!$A1:$AE673,21,FALSE)*$Q36</f>
        <v>0</v>
      </c>
      <c r="AH36" s="59" cm="1">
        <f t="array" ref="AH36">VLOOKUP(B36,'Player Data'!$A1:$AE673,22,FALSE)</f>
        <v>0</v>
      </c>
      <c r="AI36" s="55"/>
      <c r="AJ36" s="57"/>
      <c r="AK36" s="57"/>
      <c r="AL36" s="57"/>
      <c r="AM36" s="57"/>
      <c r="AN36" s="57"/>
      <c r="AO36" s="57"/>
      <c r="AP36" s="57"/>
      <c r="AQ36" s="60"/>
      <c r="AR36" s="61"/>
      <c r="AS36" s="55"/>
    </row>
    <row r="37" spans="1:45" ht="21.25" customHeight="1" x14ac:dyDescent="0.15">
      <c r="A37" s="62">
        <f>RANK(K37,K$2:K$671)</f>
        <v>27</v>
      </c>
      <c r="B37" s="10" t="s">
        <v>138</v>
      </c>
      <c r="C37" s="47" t="s">
        <v>145</v>
      </c>
      <c r="D37" s="48" t="str" cm="1">
        <f t="array" ref="D37">VLOOKUP(B37,'Player Data'!A1:D673,4,FALSE)</f>
        <v>C</v>
      </c>
      <c r="E37" s="49" cm="1">
        <f t="array" ref="E37">VLOOKUP(B37,'C'!A1:C210,3,FALSE)</f>
        <v>7</v>
      </c>
      <c r="F37" s="69" t="str" cm="1">
        <f t="array" ref="F37">VLOOKUP(B37,'Player Data'!A1:B673,2,FALSE)</f>
        <v>TOR</v>
      </c>
      <c r="G37" s="11" cm="1">
        <f t="array" ref="G37">VLOOKUP(B37,'Player Data'!A1:D673,3,FALSE)</f>
        <v>29</v>
      </c>
      <c r="H37" s="51" cm="1">
        <f t="array" ref="H37">IFERROR(VLOOKUP(B37,ADP!A1:F671,6,FALSE)/1000000,VLOOKUP(B37,ADP!A1:F671,6,FALSE))</f>
        <v>13.25</v>
      </c>
      <c r="I37" s="52">
        <f>IF(Settings!$E$15="POINTS",((R37*Q37)*Settings!$B$12)+(S37*Settings!$B$2)+(T37*Settings!$B$3)+(U37*Settings!$B$4)+(V37*Settings!$B$5)+(X37*Settings!$B$9)+(AA37*Settings!$B$6)+(W37*Settings!$B$8)+(AB37*Settings!$B$7)+(AC37*Settings!$B$14)+(AD37*Settings!$B$15)+(AE37*Settings!$B$16)+(AF37*Settings!$B$17)+(AG37*Settings!$B$18)+(Y37*Settings!$B$10)+(Z37*Settings!$B$11),VLOOKUP(B37,'Standard Deviations'!A$1:C$672,3,FALSE))</f>
        <v>9.6959346747623361</v>
      </c>
      <c r="J37" s="53" cm="1">
        <f t="array" ref="J37">IF(D37="G",I37/AJ37,I37/Q37)</f>
        <v>0.12430685480464533</v>
      </c>
      <c r="K37" s="52" cm="1">
        <f t="array" ref="K37">IF(Settings!$E$18="C/LW/RW",VLOOKUP(B37,'C'!A1:F210,6,FALSE),VLOOKUP(B37,F!A1:F407,6,FALSE))</f>
        <v>3.3359251171472719</v>
      </c>
      <c r="L37" s="54" cm="1">
        <f t="array" ref="L37">IFERROR(K37/H37,"N/A")</f>
        <v>0.2517679333696054</v>
      </c>
      <c r="M37" s="55">
        <v>17.100000000000001</v>
      </c>
      <c r="N37" s="55" cm="1">
        <f t="array" ref="N37">IFERROR(M37-A37,"N/A")</f>
        <v>-9.8999999999999986</v>
      </c>
      <c r="O37" s="55"/>
      <c r="P37" s="56" t="str" cm="1">
        <f t="array" ref="P37">_xlfn.XLOOKUP($B37,ADP!A2:A671,ADP!G2:G671)</f>
        <v>+</v>
      </c>
      <c r="Q37" s="57" cm="1">
        <f t="array" ref="Q37">IF(Settings!$E$12="YES",VLOOKUP(B37,'Player Data'!A1:E673,5,FALSE),84)</f>
        <v>78</v>
      </c>
      <c r="R37" s="55" cm="1">
        <f t="array" ref="R37">VLOOKUP(B37,'Player Data'!$A1:$AE673,6,FALSE)</f>
        <v>20.6</v>
      </c>
      <c r="S37" s="57" cm="1">
        <f t="array" ref="S37">VLOOKUP(B37,'Player Data'!$A1:$AE673,7,FALSE)*$Q37*IFERROR((VLOOKUP(P37,Settings!$E$28:$F$33,2,FALSE)+1),1)</f>
        <v>44.226000000000006</v>
      </c>
      <c r="T37" s="57" cm="1">
        <f t="array" ref="T37">VLOOKUP(B37,'Player Data'!$A1:$AE673,8,FALSE)*$Q37*IFERROR((VLOOKUP(P37,Settings!$E$28:$F$33,2,FALSE)+1),1)</f>
        <v>45.045000000000009</v>
      </c>
      <c r="U37" s="57" cm="1">
        <f t="array" ref="U37">SUM(S37:T37)</f>
        <v>89.271000000000015</v>
      </c>
      <c r="V37" s="57" cm="1">
        <f t="array" ref="V37">VLOOKUP(B37,'Player Data'!$A1:$AE673,10,FALSE)*$Q37*IFERROR(((VLOOKUP(P37,Settings!$E$28:$F$33,2,FALSE)/2)+1),1)</f>
        <v>312.60449999999997</v>
      </c>
      <c r="W37" s="58" cm="1">
        <f t="array" ref="W37">VLOOKUP(B37,'Player Data'!$A1:$AE673,11,FALSE)*$Q37*IFERROR((VLOOKUP(P37,Settings!$E$28:$F$33,2,FALSE)+1),1)</f>
        <v>12.285</v>
      </c>
      <c r="X37" s="57" cm="1">
        <f t="array" ref="X37">VLOOKUP(B37,'Player Data'!$A1:$AE673,12,FALSE)*$Q37*IFERROR((VLOOKUP(P37,Settings!$E$28:$F$33,2,FALSE)+1),1)</f>
        <v>27.027000000000005</v>
      </c>
      <c r="Y37" s="57" cm="1">
        <f t="array" ref="Y37">VLOOKUP(B37,'Player Data'!$A1:$AE673,13,FALSE)*$Q37</f>
        <v>0</v>
      </c>
      <c r="Z37" s="57" cm="1">
        <f t="array" ref="Z37">VLOOKUP(B37,'Player Data'!$A1:$AE673,14,FALSE)*$Q37</f>
        <v>0</v>
      </c>
      <c r="AA37" s="57" cm="1">
        <f t="array" ref="AA37">VLOOKUP(B37,'Player Data'!$A1:$AE673,15,FALSE)*$Q37</f>
        <v>88.139999999999986</v>
      </c>
      <c r="AB37" s="57" cm="1">
        <f t="array" ref="AB37">VLOOKUP(B37,'Player Data'!$A1:$AE673,16,FALSE)*$Q37</f>
        <v>57.72</v>
      </c>
      <c r="AC37" s="57" cm="1">
        <f t="array" ref="AC37">VLOOKUP(B37,'Player Data'!$A1:$AE673,17,FALSE)*$Q37*IFERROR((VLOOKUP(P37,Settings!$E$28:$F$33,2,FALSE)+1),1)</f>
        <v>3.2760000000000002</v>
      </c>
      <c r="AD37" s="57" cm="1">
        <f t="array" ref="AD37">VLOOKUP(B37,'Player Data'!$A1:$AE673,18,FALSE)*$Q37</f>
        <v>22.619999999999997</v>
      </c>
      <c r="AE37" s="57" cm="1">
        <f t="array" ref="AE37">VLOOKUP(B37,'Player Data'!$A1:$AE673,19,FALSE)*$Q37*IFERROR((VLOOKUP(P37,Settings!$E$28:$F$33,2,FALSE)+1),1)</f>
        <v>5.7330000000000014</v>
      </c>
      <c r="AF37" s="57" cm="1">
        <f t="array" ref="AF37">VLOOKUP(B37,'Player Data'!$A1:$AE673,20,FALSE)*$Q37</f>
        <v>726.18000000000006</v>
      </c>
      <c r="AG37" s="57" cm="1">
        <f t="array" ref="AG37">VLOOKUP(B37,'Player Data'!$A1:$AE673,21,FALSE)*$Q37</f>
        <v>549.9</v>
      </c>
      <c r="AH37" s="59" cm="1">
        <f t="array" ref="AH37">VLOOKUP(B37,'Player Data'!$A1:$AE673,22,FALSE)</f>
        <v>0.56999999999999995</v>
      </c>
      <c r="AI37" s="55"/>
      <c r="AJ37" s="57"/>
      <c r="AK37" s="57"/>
      <c r="AL37" s="57"/>
      <c r="AM37" s="57"/>
      <c r="AN37" s="57"/>
      <c r="AO37" s="57"/>
      <c r="AP37" s="57"/>
      <c r="AQ37" s="60"/>
      <c r="AR37" s="61"/>
      <c r="AS37" s="55"/>
    </row>
    <row r="38" spans="1:45" ht="21.25" customHeight="1" x14ac:dyDescent="0.15">
      <c r="A38" s="62">
        <f>RANK(K38,K$2:K$671)</f>
        <v>37</v>
      </c>
      <c r="B38" s="10" t="s">
        <v>261</v>
      </c>
      <c r="C38" s="47" t="s">
        <v>145</v>
      </c>
      <c r="D38" s="48" t="str" cm="1">
        <f t="array" ref="D38">VLOOKUP(B38,'Player Data'!A1:D673,4,FALSE)</f>
        <v>G</v>
      </c>
      <c r="E38" s="76" cm="1">
        <f t="array" ref="E38">VLOOKUP(B38,G!A1:D66,3,FALSE)</f>
        <v>8</v>
      </c>
      <c r="F38" s="72" t="str" cm="1">
        <f t="array" ref="F38">VLOOKUP(B38,'Player Data'!A1:B673,2,FALSE)</f>
        <v>OTT</v>
      </c>
      <c r="G38" s="66" cm="1">
        <f t="array" ref="G38">VLOOKUP(B38,'Player Data'!A1:D673,3,FALSE)</f>
        <v>33</v>
      </c>
      <c r="H38" s="51" cm="1">
        <f t="array" ref="H38">IFERROR(VLOOKUP(B38,ADP!A1:F671,6,FALSE)/1000000,VLOOKUP(B38,ADP!A1:F671,6,FALSE))</f>
        <v>8.25</v>
      </c>
      <c r="I38" s="52">
        <f>IF(Settings!$E$15="POINTS",(AJ38*Settings!$B$29)+(AK38*Settings!$B$21)+(AL38*Settings!$B$22)+(AN38*Settings!$B$24)+(AO38*Settings!$B$25)+(AP38*Settings!$B$27)+(AM38*Settings!$B$23),VLOOKUP(B38,'Standard Deviations'!A$1:C$672,3,FALSE))</f>
        <v>4.6379503309491881</v>
      </c>
      <c r="J38" s="53" cm="1">
        <f t="array" ref="J38">IF(D38="G",I38/AJ38,I38/Q38)</f>
        <v>9.2759006618983758E-2</v>
      </c>
      <c r="K38" s="52" cm="1">
        <f t="array" ref="K38">VLOOKUP(B38,G!A1:F66,6,FALSE)</f>
        <v>2.5997650718255132</v>
      </c>
      <c r="L38" s="54" cm="1">
        <f t="array" ref="L38">IFERROR(K38/H38,"N/A")</f>
        <v>0.31512303900915312</v>
      </c>
      <c r="M38" s="55">
        <v>132.5</v>
      </c>
      <c r="N38" s="55" cm="1">
        <f t="array" ref="N38">IFERROR(M38-A38,"N/A")</f>
        <v>95.5</v>
      </c>
      <c r="O38" s="55"/>
      <c r="P38" s="56" cm="1">
        <f t="array" ref="P38">_xlfn.XLOOKUP($B38,ADP!A2:A671,ADP!G2:G671)</f>
        <v>0</v>
      </c>
      <c r="Q38" s="57"/>
      <c r="R38" s="55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9"/>
      <c r="AI38" s="55"/>
      <c r="AJ38" s="77" cm="1">
        <f t="array" ref="AJ38">VLOOKUP(B38,'Player Data'!$A1:$AE673,24,FALSE)</f>
        <v>50</v>
      </c>
      <c r="AK38" s="57" cm="1">
        <f t="array" ref="AK38">VLOOKUP(B38,'Player Data'!$A1:$AE673,25,FALSE)*$AJ38*IFERROR((VLOOKUP(P38,Settings!$E$28:$F$33,2,FALSE)+1),1)</f>
        <v>27.500000000000004</v>
      </c>
      <c r="AL38" s="57" cm="1">
        <f t="array" ref="AL38">AJ38-AK38-AM38</f>
        <v>16.999999999999996</v>
      </c>
      <c r="AM38" s="57" cm="1">
        <f t="array" ref="AM38">VLOOKUP(B38,'Player Data'!$A1:$AE673,27,FALSE)*$AJ38</f>
        <v>5.5</v>
      </c>
      <c r="AN38" s="57" cm="1">
        <f t="array" ref="AN38">VLOOKUP(B38,'Player Data'!$A1:$AE673,28,FALSE)*AJ38</f>
        <v>3.5000000000000004</v>
      </c>
      <c r="AO38" s="57" cm="1">
        <f t="array" ref="AO38">VLOOKUP(B38,'Player Data'!$A1:$AE673,29,FALSE)*$AJ38*IFERROR((VLOOKUP(P38,Settings!$E$28:$F$33,2,FALSE)/4)+1,1)</f>
        <v>1220</v>
      </c>
      <c r="AP38" s="57" cm="1">
        <f t="array" ref="AP38">VLOOKUP(B38,'Player Data'!$A1:$AE673,31,FALSE)*$AJ38*(IFERROR(1-(VLOOKUP(P38,Settings!$E$28:$F$33,2,FALSE)/4),1))</f>
        <v>131.5</v>
      </c>
      <c r="AQ38" s="60" cm="1">
        <f t="array" ref="AQ38">1-(AP38/(AO38+AP38))</f>
        <v>0.90270070292267857</v>
      </c>
      <c r="AR38" s="61" cm="1">
        <f t="array" ref="AR38">AP38/AJ38</f>
        <v>2.63</v>
      </c>
      <c r="AS38" s="55"/>
    </row>
    <row r="39" spans="1:45" ht="21.25" customHeight="1" x14ac:dyDescent="0.15">
      <c r="A39" s="62">
        <f>RANK(K39,K$2:K$671)</f>
        <v>29</v>
      </c>
      <c r="B39" s="10" t="s">
        <v>141</v>
      </c>
      <c r="C39" s="47" t="s">
        <v>145</v>
      </c>
      <c r="D39" s="48" t="str" cm="1">
        <f t="array" ref="D39">VLOOKUP(B39,'Player Data'!A1:D673,4,FALSE)</f>
        <v>LW,RW</v>
      </c>
      <c r="E39" s="74" cm="1">
        <f t="array" ref="E39">VLOOKUP(B39,RW!A1:F210,3,FALSE)</f>
        <v>5</v>
      </c>
      <c r="F39" s="70" t="str" cm="1">
        <f t="array" ref="F39">VLOOKUP(B39,'Player Data'!A1:B673,2,FALSE)</f>
        <v>MIN</v>
      </c>
      <c r="G39" s="11" cm="1">
        <f t="array" ref="G39">VLOOKUP(B39,'Player Data'!A1:D673,3,FALSE)</f>
        <v>25</v>
      </c>
      <c r="H39" s="51" cm="1">
        <f t="array" ref="H39">IFERROR(VLOOKUP(B39,ADP!A1:F671,6,FALSE)/1000000,VLOOKUP(B39,ADP!A1:F671,6,FALSE))</f>
        <v>7</v>
      </c>
      <c r="I39" s="52">
        <f>IF(Settings!$E$15="POINTS",((R39*Q39)*Settings!$B$12)+(S39*Settings!$B$2)+(T39*Settings!$B$3)+(U39*Settings!$B$4)+(V39*Settings!$B$5)+(X39*Settings!$B$9)+(AA39*Settings!$B$6)+(W39*Settings!$B$8)+(AB39*Settings!$B$7)+(AC39*Settings!$B$14)+(AD39*Settings!$B$15)+(AE39*Settings!$B$16)+(AF39*Settings!$B$17)+(AG39*Settings!$B$18)+(Y39*Settings!$B$10)+(Z39*Settings!$B$11),VLOOKUP(B39,'Standard Deviations'!A$1:C$672,3,FALSE))</f>
        <v>10.069150958221819</v>
      </c>
      <c r="J39" s="53" cm="1">
        <f t="array" ref="J39">IF(D39="G",I39/AJ39,I39/Q39)</f>
        <v>0.12279452388075389</v>
      </c>
      <c r="K39" s="52" cm="1">
        <f t="array" ref="K39">IF(Settings!$E$18="C/LW/RW",VLOOKUP(B39,RW!A1:F210,6,FALSE),VLOOKUP(B39,F!A1:F407,6,FALSE))</f>
        <v>3.1819163564127413</v>
      </c>
      <c r="L39" s="54" cm="1">
        <f t="array" ref="L39">IFERROR(K39/H39,"N/A")</f>
        <v>0.45455947948753445</v>
      </c>
      <c r="M39" s="55">
        <v>20.9</v>
      </c>
      <c r="N39" s="55" cm="1">
        <f t="array" ref="N39">IFERROR(M39-A39,"N/A")</f>
        <v>-8.1000000000000014</v>
      </c>
      <c r="O39" s="55"/>
      <c r="P39" s="56" t="str" cm="1">
        <f t="array" ref="P39">_xlfn.XLOOKUP($B39,ADP!A2:A671,ADP!G2:G671)</f>
        <v>+</v>
      </c>
      <c r="Q39" s="57" cm="1">
        <f t="array" ref="Q39">IF(Settings!$E$12="YES",VLOOKUP(B39,'Player Data'!A1:E673,5,FALSE),84)</f>
        <v>82</v>
      </c>
      <c r="R39" s="55" cm="1">
        <f t="array" ref="R39">VLOOKUP(B39,'Player Data'!$A1:$AE673,6,FALSE)</f>
        <v>21.5</v>
      </c>
      <c r="S39" s="57" cm="1">
        <f t="array" ref="S39">VLOOKUP(B39,'Player Data'!$A1:$AE673,7,FALSE)*$Q39*IFERROR((VLOOKUP(P39,Settings!$E$28:$F$33,2,FALSE)+1),1)</f>
        <v>40.466999999999999</v>
      </c>
      <c r="T39" s="57" cm="1">
        <f t="array" ref="T39">VLOOKUP(B39,'Player Data'!$A1:$AE673,8,FALSE)*$Q39*IFERROR((VLOOKUP(P39,Settings!$E$28:$F$33,2,FALSE)+1),1)</f>
        <v>51.66</v>
      </c>
      <c r="U39" s="57" cm="1">
        <f t="array" ref="U39">SUM(S39:T39)</f>
        <v>92.126999999999995</v>
      </c>
      <c r="V39" s="57" cm="1">
        <f t="array" ref="V39">VLOOKUP(B39,'Player Data'!$A1:$AE673,10,FALSE)*$Q39*IFERROR(((VLOOKUP(P39,Settings!$E$28:$F$33,2,FALSE)/2)+1),1)</f>
        <v>285.77</v>
      </c>
      <c r="W39" s="58" cm="1">
        <f t="array" ref="W39">VLOOKUP(B39,'Player Data'!$A1:$AE673,11,FALSE)*$Q39*IFERROR((VLOOKUP(P39,Settings!$E$28:$F$33,2,FALSE)+1),1)</f>
        <v>10.332000000000001</v>
      </c>
      <c r="X39" s="57" cm="1">
        <f t="array" ref="X39">VLOOKUP(B39,'Player Data'!$A1:$AE673,12,FALSE)*$Q39*IFERROR((VLOOKUP(P39,Settings!$E$28:$F$33,2,FALSE)+1),1)</f>
        <v>29.274000000000004</v>
      </c>
      <c r="Y39" s="57" cm="1">
        <f t="array" ref="Y39">VLOOKUP(B39,'Player Data'!$A1:$AE673,13,FALSE)*$Q39</f>
        <v>1.6400000000000001</v>
      </c>
      <c r="Z39" s="57" cm="1">
        <f t="array" ref="Z39">VLOOKUP(B39,'Player Data'!$A1:$AE673,14,FALSE)*$Q39</f>
        <v>2.46</v>
      </c>
      <c r="AA39" s="57" cm="1">
        <f t="array" ref="AA39">VLOOKUP(B39,'Player Data'!$A1:$AE673,15,FALSE)*$Q39</f>
        <v>64.78</v>
      </c>
      <c r="AB39" s="57" cm="1">
        <f t="array" ref="AB39">VLOOKUP(B39,'Player Data'!$A1:$AE673,16,FALSE)*$Q39</f>
        <v>63.14</v>
      </c>
      <c r="AC39" s="57" cm="1">
        <f t="array" ref="AC39">VLOOKUP(B39,'Player Data'!$A1:$AE673,17,FALSE)*$Q39*IFERROR((VLOOKUP(P39,Settings!$E$28:$F$33,2,FALSE)+1),1)</f>
        <v>5.1660000000000004</v>
      </c>
      <c r="AD39" s="57" cm="1">
        <f t="array" ref="AD39">VLOOKUP(B39,'Player Data'!$A1:$AE673,18,FALSE)*$Q39</f>
        <v>45.92</v>
      </c>
      <c r="AE39" s="57" cm="1">
        <f t="array" ref="AE39">VLOOKUP(B39,'Player Data'!$A1:$AE673,19,FALSE)*$Q39*IFERROR((VLOOKUP(P39,Settings!$E$28:$F$33,2,FALSE)+1),1)</f>
        <v>6.8880000000000008</v>
      </c>
      <c r="AF39" s="57" cm="1">
        <f t="array" ref="AF39">VLOOKUP(B39,'Player Data'!$A1:$AE673,20,FALSE)*$Q39</f>
        <v>59.86</v>
      </c>
      <c r="AG39" s="57" cm="1">
        <f t="array" ref="AG39">VLOOKUP(B39,'Player Data'!$A1:$AE673,21,FALSE)*$Q39</f>
        <v>74.62</v>
      </c>
      <c r="AH39" s="59" cm="1">
        <f t="array" ref="AH39">VLOOKUP(B39,'Player Data'!$A1:$AE673,22,FALSE)</f>
        <v>0.45</v>
      </c>
      <c r="AI39" s="55"/>
      <c r="AJ39" s="57"/>
      <c r="AK39" s="57"/>
      <c r="AL39" s="57"/>
      <c r="AM39" s="57"/>
      <c r="AN39" s="57"/>
      <c r="AO39" s="57"/>
      <c r="AP39" s="57"/>
      <c r="AQ39" s="60"/>
      <c r="AR39" s="61"/>
      <c r="AS39" s="55"/>
    </row>
    <row r="40" spans="1:45" ht="21.25" customHeight="1" x14ac:dyDescent="0.15">
      <c r="A40" s="62">
        <f>RANK(K40,K$2:K$671)</f>
        <v>33</v>
      </c>
      <c r="B40" s="10" t="s">
        <v>147</v>
      </c>
      <c r="C40" s="47" t="s">
        <v>145</v>
      </c>
      <c r="D40" s="48" t="str" cm="1">
        <f t="array" ref="D40">VLOOKUP(B40,'Player Data'!A1:D673,4,FALSE)</f>
        <v>C</v>
      </c>
      <c r="E40" s="49" cm="1">
        <f t="array" ref="E40">VLOOKUP(B40,'C'!A1:C210,3,FALSE)</f>
        <v>8</v>
      </c>
      <c r="F40" s="69" t="str" cm="1">
        <f t="array" ref="F40">VLOOKUP(B40,'Player Data'!A1:B673,2,FALSE)</f>
        <v>MTL</v>
      </c>
      <c r="G40" s="11" cm="1">
        <f t="array" ref="G40">VLOOKUP(B40,'Player Data'!A1:D673,3,FALSE)</f>
        <v>27</v>
      </c>
      <c r="H40" s="51" cm="1">
        <f t="array" ref="H40">IFERROR(VLOOKUP(B40,ADP!A1:F671,6,FALSE)/1000000,VLOOKUP(B40,ADP!A1:F671,6,FALSE))</f>
        <v>7.875</v>
      </c>
      <c r="I40" s="52">
        <f>IF(Settings!$E$15="POINTS",((R40*Q40)*Settings!$B$12)+(S40*Settings!$B$2)+(T40*Settings!$B$3)+(U40*Settings!$B$4)+(V40*Settings!$B$5)+(X40*Settings!$B$9)+(AA40*Settings!$B$6)+(W40*Settings!$B$8)+(AB40*Settings!$B$7)+(AC40*Settings!$B$14)+(AD40*Settings!$B$15)+(AE40*Settings!$B$16)+(AF40*Settings!$B$17)+(AG40*Settings!$B$18)+(Y40*Settings!$B$10)+(Z40*Settings!$B$11),VLOOKUP(B40,'Standard Deviations'!A$1:C$672,3,FALSE))</f>
        <v>9.3877295099022167</v>
      </c>
      <c r="J40" s="53" cm="1">
        <f t="array" ref="J40">IF(D40="G",I40/AJ40,I40/Q40)</f>
        <v>0.11175868464169306</v>
      </c>
      <c r="K40" s="52" cm="1">
        <f t="array" ref="K40">IF(Settings!$E$18="C/LW/RW",VLOOKUP(B40,'C'!A1:F210,6,FALSE),VLOOKUP(B40,F!A1:F407,6,FALSE))</f>
        <v>3.0277199522871525</v>
      </c>
      <c r="L40" s="54" cm="1">
        <f t="array" ref="L40">IFERROR(K40/H40,"N/A")</f>
        <v>0.38447237489360669</v>
      </c>
      <c r="M40" s="55">
        <v>12.1</v>
      </c>
      <c r="N40" s="55" cm="1">
        <f t="array" ref="N40">IFERROR(M40-A40,"N/A")</f>
        <v>-20.9</v>
      </c>
      <c r="O40" s="55"/>
      <c r="P40" s="56" cm="1">
        <f t="array" ref="P40">_xlfn.XLOOKUP($B40,ADP!A2:A671,ADP!G2:G671)</f>
        <v>0</v>
      </c>
      <c r="Q40" s="57" cm="1">
        <f t="array" ref="Q40">IF(Settings!$E$12="YES",VLOOKUP(B40,'Player Data'!A1:E673,5,FALSE),84)</f>
        <v>84</v>
      </c>
      <c r="R40" s="55" cm="1">
        <f t="array" ref="R40">VLOOKUP(B40,'Player Data'!$A1:$AE673,6,FALSE)</f>
        <v>20.8</v>
      </c>
      <c r="S40" s="57" cm="1">
        <f t="array" ref="S40">VLOOKUP(B40,'Player Data'!$A1:$AE673,7,FALSE)*$Q40*IFERROR((VLOOKUP(P40,Settings!$E$28:$F$33,2,FALSE)+1),1)</f>
        <v>31.08</v>
      </c>
      <c r="T40" s="57" cm="1">
        <f t="array" ref="T40">VLOOKUP(B40,'Player Data'!$A1:$AE673,8,FALSE)*$Q40*IFERROR((VLOOKUP(P40,Settings!$E$28:$F$33,2,FALSE)+1),1)</f>
        <v>63.84</v>
      </c>
      <c r="U40" s="57" cm="1">
        <f t="array" ref="U40">SUM(S40:T40)</f>
        <v>94.92</v>
      </c>
      <c r="V40" s="57" cm="1">
        <f t="array" ref="V40">VLOOKUP(B40,'Player Data'!$A1:$AE673,10,FALSE)*$Q40*IFERROR(((VLOOKUP(P40,Settings!$E$28:$F$33,2,FALSE)/2)+1),1)</f>
        <v>189.83999999999997</v>
      </c>
      <c r="W40" s="58" cm="1">
        <f t="array" ref="W40">VLOOKUP(B40,'Player Data'!$A1:$AE673,11,FALSE)*$Q40*IFERROR((VLOOKUP(P40,Settings!$E$28:$F$33,2,FALSE)+1),1)</f>
        <v>9.24</v>
      </c>
      <c r="X40" s="57" cm="1">
        <f t="array" ref="X40">VLOOKUP(B40,'Player Data'!$A1:$AE673,12,FALSE)*$Q40*IFERROR((VLOOKUP(P40,Settings!$E$28:$F$33,2,FALSE)+1),1)</f>
        <v>36.119999999999997</v>
      </c>
      <c r="Y40" s="57" cm="1">
        <f t="array" ref="Y40">VLOOKUP(B40,'Player Data'!$A1:$AE673,13,FALSE)*$Q40</f>
        <v>0.84</v>
      </c>
      <c r="Z40" s="57" cm="1">
        <f t="array" ref="Z40">VLOOKUP(B40,'Player Data'!$A1:$AE673,14,FALSE)*$Q40</f>
        <v>0.84</v>
      </c>
      <c r="AA40" s="57" cm="1">
        <f t="array" ref="AA40">VLOOKUP(B40,'Player Data'!$A1:$AE673,15,FALSE)*$Q40</f>
        <v>63</v>
      </c>
      <c r="AB40" s="57" cm="1">
        <f t="array" ref="AB40">VLOOKUP(B40,'Player Data'!$A1:$AE673,16,FALSE)*$Q40</f>
        <v>64.680000000000007</v>
      </c>
      <c r="AC40" s="57" cm="1">
        <f t="array" ref="AC40">VLOOKUP(B40,'Player Data'!$A1:$AE673,17,FALSE)*$Q40*IFERROR((VLOOKUP(P40,Settings!$E$28:$F$33,2,FALSE)+1),1)</f>
        <v>6.72</v>
      </c>
      <c r="AD40" s="57" cm="1">
        <f t="array" ref="AD40">VLOOKUP(B40,'Player Data'!$A1:$AE673,18,FALSE)*$Q40</f>
        <v>24.36</v>
      </c>
      <c r="AE40" s="57" cm="1">
        <f t="array" ref="AE40">VLOOKUP(B40,'Player Data'!$A1:$AE673,19,FALSE)*$Q40*IFERROR((VLOOKUP(P40,Settings!$E$28:$F$33,2,FALSE)+1),1)</f>
        <v>5.04</v>
      </c>
      <c r="AF40" s="57" cm="1">
        <f t="array" ref="AF40">VLOOKUP(B40,'Player Data'!$A1:$AE673,20,FALSE)*$Q40</f>
        <v>741.72</v>
      </c>
      <c r="AG40" s="57" cm="1">
        <f t="array" ref="AG40">VLOOKUP(B40,'Player Data'!$A1:$AE673,21,FALSE)*$Q40</f>
        <v>703.07999999999993</v>
      </c>
      <c r="AH40" s="59" cm="1">
        <f t="array" ref="AH40">VLOOKUP(B40,'Player Data'!$A1:$AE673,22,FALSE)</f>
        <v>0.51</v>
      </c>
      <c r="AI40" s="55"/>
      <c r="AJ40" s="57"/>
      <c r="AK40" s="57"/>
      <c r="AL40" s="57"/>
      <c r="AM40" s="57"/>
      <c r="AN40" s="57"/>
      <c r="AO40" s="57"/>
      <c r="AP40" s="57"/>
      <c r="AQ40" s="60"/>
      <c r="AR40" s="61"/>
      <c r="AS40" s="55"/>
    </row>
    <row r="41" spans="1:45" ht="21.25" customHeight="1" x14ac:dyDescent="0.15">
      <c r="A41" s="62">
        <f>RANK(K41,K$2:K$671)</f>
        <v>45</v>
      </c>
      <c r="B41" s="10" t="s">
        <v>155</v>
      </c>
      <c r="C41" s="47" t="s">
        <v>145</v>
      </c>
      <c r="D41" s="48" t="str" cm="1">
        <f t="array" ref="D41">VLOOKUP(B41,'Player Data'!A1:D673,4,FALSE)</f>
        <v>D</v>
      </c>
      <c r="E41" s="68" cm="1">
        <f t="array" ref="E41">VLOOKUP(B41,D!A1:C204,3,FALSE)</f>
        <v>18</v>
      </c>
      <c r="F41" s="65" t="str" cm="1">
        <f t="array" ref="F41">VLOOKUP(B41,'Player Data'!A1:B673,2,FALSE)</f>
        <v>NSH</v>
      </c>
      <c r="G41" s="66" cm="1">
        <f t="array" ref="G41">VLOOKUP(B41,'Player Data'!A1:D673,3,FALSE)</f>
        <v>36</v>
      </c>
      <c r="H41" s="51" cm="1">
        <f t="array" ref="H41">IFERROR(VLOOKUP(B41,ADP!A1:F671,6,FALSE)/1000000,VLOOKUP(B41,ADP!A1:F671,6,FALSE))</f>
        <v>9.0589999999999993</v>
      </c>
      <c r="I41" s="52">
        <f>IF(Settings!$E$15="POINTS",((R41*Q41)*Settings!$B$12)+(S41*Settings!$B$2)+(T41*Settings!$B$3)+(U41*Settings!$B$4)+(V41*Settings!$B$5)+(X41*Settings!$B$9)+(AA41*Settings!$B$6)+(W41*Settings!$B$8)+(AB41*Settings!$B$7)+(AC41*Settings!$B$14)+(AD41*Settings!$B$15)+(AE41*Settings!$B$16)+(AF41*Settings!$B$17)+(AG41*Settings!$B$18)+(U41*Settings!$B$13)+(Y41*Settings!$B$10)+(Z41*Settings!$B$11),VLOOKUP(B41,'Standard Deviations'!A$1:C$672,3,FALSE))</f>
        <v>2.6190831124297138</v>
      </c>
      <c r="J41" s="53" cm="1">
        <f t="array" ref="J41">IF(D41="G",I41/AJ41,I41/Q41)</f>
        <v>3.357798862089377E-2</v>
      </c>
      <c r="K41" s="52" cm="1">
        <f t="array" ref="K41">VLOOKUP(B41,D!A1:F204,6,FALSE)</f>
        <v>2.0522321979121596</v>
      </c>
      <c r="L41" s="54" cm="1">
        <f t="array" ref="L41">IFERROR(K41/H41,"N/A")</f>
        <v>0.22654069962602491</v>
      </c>
      <c r="M41" s="55">
        <v>79.900000000000006</v>
      </c>
      <c r="N41" s="55" cm="1">
        <f t="array" ref="N41">IFERROR(M41-A41,"N/A")</f>
        <v>34.900000000000006</v>
      </c>
      <c r="O41" s="55"/>
      <c r="P41" s="56" cm="1">
        <f t="array" ref="P41">_xlfn.XLOOKUP($B41,ADP!A2:A671,ADP!G2:G671)</f>
        <v>0</v>
      </c>
      <c r="Q41" s="57" cm="1">
        <f t="array" ref="Q41">IF(Settings!$E$12="YES",VLOOKUP(B41,'Player Data'!A1:E673,5,FALSE),84)</f>
        <v>78</v>
      </c>
      <c r="R41" s="55" cm="1">
        <f t="array" ref="R41">VLOOKUP(B41,'Player Data'!$A1:$AE673,6,FALSE)</f>
        <v>24.9</v>
      </c>
      <c r="S41" s="57" cm="1">
        <f t="array" ref="S41">VLOOKUP(B41,'Player Data'!$A1:$AE673,7,FALSE)*$Q41*IFERROR((VLOOKUP(P41,Settings!$E$28:$F$33,2,FALSE)+1),1)</f>
        <v>12.48</v>
      </c>
      <c r="T41" s="57" cm="1">
        <f t="array" ref="T41">VLOOKUP(B41,'Player Data'!$A1:$AE673,8,FALSE)*$Q41*IFERROR((VLOOKUP(P41,Settings!$E$28:$F$33,2,FALSE)+1),1)</f>
        <v>44.459999999999994</v>
      </c>
      <c r="U41" s="57" cm="1">
        <f t="array" ref="U41">SUM(S41:T41)</f>
        <v>56.94</v>
      </c>
      <c r="V41" s="57" cm="1">
        <f t="array" ref="V41">VLOOKUP(B41,'Player Data'!$A1:$AE673,10,FALSE)*$Q41*IFERROR(((VLOOKUP(P41,Settings!$E$28:$F$33,2,FALSE)/2)+1),1)</f>
        <v>204.36</v>
      </c>
      <c r="W41" s="58" cm="1">
        <f t="array" ref="W41">VLOOKUP(B41,'Player Data'!$A1:$AE673,11,FALSE)*$Q41*IFERROR((VLOOKUP(P41,Settings!$E$28:$F$33,2,FALSE)+1),1)</f>
        <v>3.9000000000000004</v>
      </c>
      <c r="X41" s="57" cm="1">
        <f t="array" ref="X41">VLOOKUP(B41,'Player Data'!$A1:$AE673,12,FALSE)*$Q41*IFERROR((VLOOKUP(P41,Settings!$E$28:$F$33,2,FALSE)+1),1)</f>
        <v>22.619999999999997</v>
      </c>
      <c r="Y41" s="57" cm="1">
        <f t="array" ref="Y41">VLOOKUP(B41,'Player Data'!$A1:$AE673,13,FALSE)*$Q41</f>
        <v>0</v>
      </c>
      <c r="Z41" s="57" cm="1">
        <f t="array" ref="Z41">VLOOKUP(B41,'Player Data'!$A1:$AE673,14,FALSE)*$Q41</f>
        <v>0</v>
      </c>
      <c r="AA41" s="57" cm="1">
        <f t="array" ref="AA41">VLOOKUP(B41,'Player Data'!$A1:$AE673,15,FALSE)*$Q41</f>
        <v>122.46000000000001</v>
      </c>
      <c r="AB41" s="57" cm="1">
        <f t="array" ref="AB41">VLOOKUP(B41,'Player Data'!$A1:$AE673,16,FALSE)*$Q41</f>
        <v>41.34</v>
      </c>
      <c r="AC41" s="57" cm="1">
        <f t="array" ref="AC41">VLOOKUP(B41,'Player Data'!$A1:$AE673,17,FALSE)*$Q41*IFERROR((VLOOKUP(P41,Settings!$E$28:$F$33,2,FALSE)+1),1)</f>
        <v>-2.34</v>
      </c>
      <c r="AD41" s="57" cm="1">
        <f t="array" ref="AD41">VLOOKUP(B41,'Player Data'!$A1:$AE673,18,FALSE)*$Q41</f>
        <v>36.659999999999997</v>
      </c>
      <c r="AE41" s="57" cm="1">
        <f t="array" ref="AE41">VLOOKUP(B41,'Player Data'!$A1:$AE673,19,FALSE)*$Q41*IFERROR((VLOOKUP(P41,Settings!$E$28:$F$33,2,FALSE)+1),1)</f>
        <v>1.56</v>
      </c>
      <c r="AF41" s="57" cm="1">
        <f t="array" ref="AF41">VLOOKUP(B41,'Player Data'!$A1:$AE673,20,FALSE)*$Q41</f>
        <v>0</v>
      </c>
      <c r="AG41" s="57" cm="1">
        <f t="array" ref="AG41">VLOOKUP(B41,'Player Data'!$A1:$AE673,21,FALSE)*$Q41</f>
        <v>0</v>
      </c>
      <c r="AH41" s="59" cm="1">
        <f t="array" ref="AH41">VLOOKUP(B41,'Player Data'!$A1:$AE673,22,FALSE)</f>
        <v>0</v>
      </c>
      <c r="AI41" s="55"/>
      <c r="AJ41" s="57"/>
      <c r="AK41" s="57"/>
      <c r="AL41" s="57"/>
      <c r="AM41" s="57"/>
      <c r="AN41" s="57"/>
      <c r="AO41" s="57"/>
      <c r="AP41" s="57"/>
      <c r="AQ41" s="60"/>
      <c r="AR41" s="61"/>
      <c r="AS41" s="55"/>
    </row>
    <row r="42" spans="1:45" ht="21.25" customHeight="1" x14ac:dyDescent="0.15">
      <c r="A42" s="62">
        <f>RANK(K42,K$2:K$671)</f>
        <v>47</v>
      </c>
      <c r="B42" s="10" t="s">
        <v>186</v>
      </c>
      <c r="C42" s="47" t="s">
        <v>145</v>
      </c>
      <c r="D42" s="48" t="str" cm="1">
        <f t="array" ref="D42">VLOOKUP(B42,'Player Data'!A1:D673,4,FALSE)</f>
        <v>D</v>
      </c>
      <c r="E42" s="68" cm="1">
        <f t="array" ref="E42">VLOOKUP(B42,D!A1:C204,3,FALSE)</f>
        <v>19</v>
      </c>
      <c r="F42" s="72" t="str" cm="1">
        <f t="array" ref="F42">VLOOKUP(B42,'Player Data'!A1:B673,2,FALSE)</f>
        <v>PIT</v>
      </c>
      <c r="G42" s="66" cm="1">
        <f t="array" ref="G42">VLOOKUP(B42,'Player Data'!A1:D673,3,FALSE)</f>
        <v>36</v>
      </c>
      <c r="H42" s="67" cm="1">
        <f t="array" ref="H42">IFERROR(VLOOKUP(B42,ADP!A1:F671,6,FALSE)/1000000,VLOOKUP(B42,ADP!A1:F671,6,FALSE))</f>
        <v>10</v>
      </c>
      <c r="I42" s="52">
        <f>IF(Settings!$E$15="POINTS",((R42*Q42)*Settings!$B$12)+(S42*Settings!$B$2)+(T42*Settings!$B$3)+(U42*Settings!$B$4)+(V42*Settings!$B$5)+(X42*Settings!$B$9)+(AA42*Settings!$B$6)+(W42*Settings!$B$8)+(AB42*Settings!$B$7)+(AC42*Settings!$B$14)+(AD42*Settings!$B$15)+(AE42*Settings!$B$16)+(AF42*Settings!$B$17)+(AG42*Settings!$B$18)+(U42*Settings!$B$13)+(Y42*Settings!$B$10)+(Z42*Settings!$B$11),VLOOKUP(B42,'Standard Deviations'!A$1:C$672,3,FALSE))</f>
        <v>2.5208805963562608</v>
      </c>
      <c r="J42" s="53" cm="1">
        <f t="array" ref="J42">IF(D42="G",I42/AJ42,I42/Q42)</f>
        <v>3.0372055377786276E-2</v>
      </c>
      <c r="K42" s="52" cm="1">
        <f t="array" ref="K42">VLOOKUP(B42,D!A1:F204,6,FALSE)</f>
        <v>1.9540296818387064</v>
      </c>
      <c r="L42" s="54" cm="1">
        <f t="array" ref="L42">IFERROR(K42/H42,"N/A")</f>
        <v>0.19540296818387065</v>
      </c>
      <c r="M42" s="55">
        <v>75.099999999999994</v>
      </c>
      <c r="N42" s="55" cm="1">
        <f t="array" ref="N42">IFERROR(M42-A42,"N/A")</f>
        <v>28.099999999999994</v>
      </c>
      <c r="O42" s="55"/>
      <c r="P42" s="56" cm="1">
        <f t="array" ref="P42">_xlfn.XLOOKUP($B42,ADP!A2:A671,ADP!G2:G671)</f>
        <v>0</v>
      </c>
      <c r="Q42" s="57" cm="1">
        <f t="array" ref="Q42">IF(Settings!$E$12="YES",VLOOKUP(B42,'Player Data'!A1:E673,5,FALSE),84)</f>
        <v>83</v>
      </c>
      <c r="R42" s="55" cm="1">
        <f t="array" ref="R42">VLOOKUP(B42,'Player Data'!$A1:$AE673,6,FALSE)</f>
        <v>23.9</v>
      </c>
      <c r="S42" s="57" cm="1">
        <f t="array" ref="S42">VLOOKUP(B42,'Player Data'!$A1:$AE673,7,FALSE)*$Q42*IFERROR((VLOOKUP(P42,Settings!$E$28:$F$33,2,FALSE)+1),1)</f>
        <v>9.1300000000000008</v>
      </c>
      <c r="T42" s="57" cm="1">
        <f t="array" ref="T42">VLOOKUP(B42,'Player Data'!$A1:$AE673,8,FALSE)*$Q42*IFERROR((VLOOKUP(P42,Settings!$E$28:$F$33,2,FALSE)+1),1)</f>
        <v>44.82</v>
      </c>
      <c r="U42" s="57" cm="1">
        <f t="array" ref="U42">SUM(S42:T42)</f>
        <v>53.95</v>
      </c>
      <c r="V42" s="57" cm="1">
        <f t="array" ref="V42">VLOOKUP(B42,'Player Data'!$A1:$AE673,10,FALSE)*$Q42*IFERROR(((VLOOKUP(P42,Settings!$E$28:$F$33,2,FALSE)/2)+1),1)</f>
        <v>180.94000000000003</v>
      </c>
      <c r="W42" s="58" cm="1">
        <f t="array" ref="W42">VLOOKUP(B42,'Player Data'!$A1:$AE673,11,FALSE)*$Q42*IFERROR((VLOOKUP(P42,Settings!$E$28:$F$33,2,FALSE)+1),1)</f>
        <v>2.4899999999999998</v>
      </c>
      <c r="X42" s="57" cm="1">
        <f t="array" ref="X42">VLOOKUP(B42,'Player Data'!$A1:$AE673,12,FALSE)*$Q42*IFERROR((VLOOKUP(P42,Settings!$E$28:$F$33,2,FALSE)+1),1)</f>
        <v>20.75</v>
      </c>
      <c r="Y42" s="57" cm="1">
        <f t="array" ref="Y42">VLOOKUP(B42,'Player Data'!$A1:$AE673,13,FALSE)*$Q42</f>
        <v>0</v>
      </c>
      <c r="Z42" s="57" cm="1">
        <f t="array" ref="Z42">VLOOKUP(B42,'Player Data'!$A1:$AE673,14,FALSE)*$Q42</f>
        <v>0</v>
      </c>
      <c r="AA42" s="57" cm="1">
        <f t="array" ref="AA42">VLOOKUP(B42,'Player Data'!$A1:$AE673,15,FALSE)*$Q42</f>
        <v>92.13000000000001</v>
      </c>
      <c r="AB42" s="57" cm="1">
        <f t="array" ref="AB42">VLOOKUP(B42,'Player Data'!$A1:$AE673,16,FALSE)*$Q42</f>
        <v>38.18</v>
      </c>
      <c r="AC42" s="57" cm="1">
        <f t="array" ref="AC42">VLOOKUP(B42,'Player Data'!$A1:$AE673,17,FALSE)*$Q42*IFERROR((VLOOKUP(P42,Settings!$E$28:$F$33,2,FALSE)+1),1)</f>
        <v>1.6600000000000001</v>
      </c>
      <c r="AD42" s="57" cm="1">
        <f t="array" ref="AD42">VLOOKUP(B42,'Player Data'!$A1:$AE673,18,FALSE)*$Q42</f>
        <v>32.370000000000005</v>
      </c>
      <c r="AE42" s="57" cm="1">
        <f t="array" ref="AE42">VLOOKUP(B42,'Player Data'!$A1:$AE673,19,FALSE)*$Q42*IFERROR((VLOOKUP(P42,Settings!$E$28:$F$33,2,FALSE)+1),1)</f>
        <v>1.6600000000000001</v>
      </c>
      <c r="AF42" s="57" cm="1">
        <f t="array" ref="AF42">VLOOKUP(B42,'Player Data'!$A1:$AE673,20,FALSE)*$Q42</f>
        <v>0</v>
      </c>
      <c r="AG42" s="57" cm="1">
        <f t="array" ref="AG42">VLOOKUP(B42,'Player Data'!$A1:$AE673,21,FALSE)*$Q42</f>
        <v>0</v>
      </c>
      <c r="AH42" s="59" cm="1">
        <f t="array" ref="AH42">VLOOKUP(B42,'Player Data'!$A1:$AE673,22,FALSE)</f>
        <v>0</v>
      </c>
      <c r="AI42" s="55"/>
      <c r="AJ42" s="57"/>
      <c r="AK42" s="57"/>
      <c r="AL42" s="57"/>
      <c r="AM42" s="57"/>
      <c r="AN42" s="57"/>
      <c r="AO42" s="57"/>
      <c r="AP42" s="57"/>
      <c r="AQ42" s="60"/>
      <c r="AR42" s="61"/>
      <c r="AS42" s="55"/>
    </row>
    <row r="43" spans="1:45" ht="21.25" customHeight="1" x14ac:dyDescent="0.15">
      <c r="A43" s="62">
        <f>RANK(K43,K$2:K$671)</f>
        <v>48</v>
      </c>
      <c r="B43" s="10" t="s">
        <v>211</v>
      </c>
      <c r="C43" s="47" t="s">
        <v>145</v>
      </c>
      <c r="D43" s="48" t="str" cm="1">
        <f t="array" ref="D43">VLOOKUP(B43,'Player Data'!A1:D673,4,FALSE)</f>
        <v>D</v>
      </c>
      <c r="E43" s="68" cm="1">
        <f t="array" ref="E43">VLOOKUP(B43,D!A1:C204,3,FALSE)</f>
        <v>20</v>
      </c>
      <c r="F43" s="69" t="str" cm="1">
        <f t="array" ref="F43">VLOOKUP(B43,'Player Data'!A1:B673,2,FALSE)</f>
        <v>N.J</v>
      </c>
      <c r="G43" s="71" cm="1">
        <f t="array" ref="G43">VLOOKUP(B43,'Player Data'!A1:D673,3,FALSE)</f>
        <v>23</v>
      </c>
      <c r="H43" s="51" cm="1">
        <f t="array" ref="H43">IFERROR(VLOOKUP(B43,ADP!A1:F671,6,FALSE)/1000000,VLOOKUP(B43,ADP!A1:F671,6,FALSE))</f>
        <v>9</v>
      </c>
      <c r="I43" s="52">
        <f>IF(Settings!$E$15="POINTS",((R43*Q43)*Settings!$B$12)+(S43*Settings!$B$2)+(T43*Settings!$B$3)+(U43*Settings!$B$4)+(V43*Settings!$B$5)+(X43*Settings!$B$9)+(AA43*Settings!$B$6)+(W43*Settings!$B$8)+(AB43*Settings!$B$7)+(AC43*Settings!$B$14)+(AD43*Settings!$B$15)+(AE43*Settings!$B$16)+(AF43*Settings!$B$17)+(AG43*Settings!$B$18)+(U43*Settings!$B$13)+(Y43*Settings!$B$10)+(Z43*Settings!$B$11),VLOOKUP(B43,'Standard Deviations'!A$1:C$672,3,FALSE))</f>
        <v>2.406050345948743</v>
      </c>
      <c r="J43" s="53" cm="1">
        <f t="array" ref="J43">IF(D43="G",I43/AJ43,I43/Q43)</f>
        <v>3.0075629324359289E-2</v>
      </c>
      <c r="K43" s="52" cm="1">
        <f t="array" ref="K43">VLOOKUP(B43,D!A1:F204,6,FALSE)</f>
        <v>1.8391994314311886</v>
      </c>
      <c r="L43" s="54" cm="1">
        <f t="array" ref="L43">IFERROR(K43/H43,"N/A")</f>
        <v>0.20435549238124318</v>
      </c>
      <c r="M43" s="55">
        <v>135.19999999999999</v>
      </c>
      <c r="N43" s="55" cm="1">
        <f t="array" ref="N43">IFERROR(M43-A43,"N/A")</f>
        <v>87.199999999999989</v>
      </c>
      <c r="O43" s="55"/>
      <c r="P43" s="56" t="str" cm="1">
        <f t="array" ref="P43">_xlfn.XLOOKUP($B43,ADP!A2:A671,ADP!G2:G671)</f>
        <v>+ +</v>
      </c>
      <c r="Q43" s="57" cm="1">
        <f t="array" ref="Q43">IF(Settings!$E$12="YES",VLOOKUP(B43,'Player Data'!A1:E673,5,FALSE),84)</f>
        <v>80</v>
      </c>
      <c r="R43" s="55" cm="1">
        <f t="array" ref="R43">VLOOKUP(B43,'Player Data'!$A1:$AE673,6,FALSE)</f>
        <v>23.2</v>
      </c>
      <c r="S43" s="57" cm="1">
        <f t="array" ref="S43">VLOOKUP(B43,'Player Data'!$A1:$AE673,7,FALSE)*$Q43*IFERROR((VLOOKUP(P43,Settings!$E$28:$F$33,2,FALSE)+1),1)</f>
        <v>9.6800000000000015</v>
      </c>
      <c r="T43" s="57" cm="1">
        <f t="array" ref="T43">VLOOKUP(B43,'Player Data'!$A1:$AE673,8,FALSE)*$Q43*IFERROR((VLOOKUP(P43,Settings!$E$28:$F$33,2,FALSE)+1),1)</f>
        <v>45.760000000000005</v>
      </c>
      <c r="U43" s="57" cm="1">
        <f t="array" ref="U43">SUM(S43:T43)</f>
        <v>55.440000000000005</v>
      </c>
      <c r="V43" s="57" cm="1">
        <f t="array" ref="V43">VLOOKUP(B43,'Player Data'!$A1:$AE673,10,FALSE)*$Q43*IFERROR(((VLOOKUP(P43,Settings!$E$28:$F$33,2,FALSE)/2)+1),1)</f>
        <v>178.92</v>
      </c>
      <c r="W43" s="57" cm="1">
        <f t="array" ref="W43">VLOOKUP(B43,'Player Data'!$A1:$AE673,11,FALSE)*$Q43*IFERROR((VLOOKUP(P43,Settings!$E$28:$F$33,2,FALSE)+1),1)</f>
        <v>2.64</v>
      </c>
      <c r="X43" s="57" cm="1">
        <f t="array" ref="X43">VLOOKUP(B43,'Player Data'!$A1:$AE673,12,FALSE)*$Q43*IFERROR((VLOOKUP(P43,Settings!$E$28:$F$33,2,FALSE)+1),1)</f>
        <v>23.760000000000005</v>
      </c>
      <c r="Y43" s="57" cm="1">
        <f t="array" ref="Y43">VLOOKUP(B43,'Player Data'!$A1:$AE673,13,FALSE)*$Q43</f>
        <v>0</v>
      </c>
      <c r="Z43" s="57" cm="1">
        <f t="array" ref="Z43">VLOOKUP(B43,'Player Data'!$A1:$AE673,14,FALSE)*$Q43</f>
        <v>0</v>
      </c>
      <c r="AA43" s="57" cm="1">
        <f t="array" ref="AA43">VLOOKUP(B43,'Player Data'!$A1:$AE673,15,FALSE)*$Q43</f>
        <v>78.400000000000006</v>
      </c>
      <c r="AB43" s="57" cm="1">
        <f t="array" ref="AB43">VLOOKUP(B43,'Player Data'!$A1:$AE673,16,FALSE)*$Q43</f>
        <v>31.200000000000003</v>
      </c>
      <c r="AC43" s="57" cm="1">
        <f t="array" ref="AC43">VLOOKUP(B43,'Player Data'!$A1:$AE673,17,FALSE)*$Q43*IFERROR((VLOOKUP(P43,Settings!$E$28:$F$33,2,FALSE)+1),1)</f>
        <v>0</v>
      </c>
      <c r="AD43" s="57" cm="1">
        <f t="array" ref="AD43">VLOOKUP(B43,'Player Data'!$A1:$AE673,18,FALSE)*$Q43</f>
        <v>32.799999999999997</v>
      </c>
      <c r="AE43" s="57" cm="1">
        <f t="array" ref="AE43">VLOOKUP(B43,'Player Data'!$A1:$AE673,19,FALSE)*$Q43*IFERROR((VLOOKUP(P43,Settings!$E$28:$F$33,2,FALSE)+1),1)</f>
        <v>1.7600000000000002</v>
      </c>
      <c r="AF43" s="57" cm="1">
        <f t="array" ref="AF43">VLOOKUP(B43,'Player Data'!$A1:$AE673,20,FALSE)*$Q43</f>
        <v>0</v>
      </c>
      <c r="AG43" s="57" cm="1">
        <f t="array" ref="AG43">VLOOKUP(B43,'Player Data'!$A1:$AE673,21,FALSE)*$Q43</f>
        <v>0</v>
      </c>
      <c r="AH43" s="59" cm="1">
        <f t="array" ref="AH43">VLOOKUP(B43,'Player Data'!$A1:$AE673,22,FALSE)</f>
        <v>0</v>
      </c>
      <c r="AI43" s="55"/>
      <c r="AJ43" s="57"/>
      <c r="AK43" s="57"/>
      <c r="AL43" s="57"/>
      <c r="AM43" s="57"/>
      <c r="AN43" s="57"/>
      <c r="AO43" s="57"/>
      <c r="AP43" s="57"/>
      <c r="AQ43" s="60"/>
      <c r="AR43" s="61"/>
      <c r="AS43" s="55"/>
    </row>
    <row r="44" spans="1:45" ht="21.25" customHeight="1" x14ac:dyDescent="0.15">
      <c r="A44" s="62">
        <f>RANK(K44,K$2:K$671)</f>
        <v>50</v>
      </c>
      <c r="B44" s="10" t="s">
        <v>184</v>
      </c>
      <c r="C44" s="47" t="s">
        <v>145</v>
      </c>
      <c r="D44" s="48" t="str" cm="1">
        <f t="array" ref="D44">VLOOKUP(B44,'Player Data'!A1:D673,4,FALSE)</f>
        <v>D</v>
      </c>
      <c r="E44" s="68" cm="1">
        <f t="array" ref="E44">VLOOKUP(B44,D!A1:C204,3,FALSE)</f>
        <v>21</v>
      </c>
      <c r="F44" s="56" t="str" cm="1">
        <f t="array" ref="F44">VLOOKUP(B44,'Player Data'!A1:B673,2,FALSE)</f>
        <v>UTA</v>
      </c>
      <c r="G44" s="11" cm="1">
        <f t="array" ref="G44">VLOOKUP(B44,'Player Data'!A1:D673,3,FALSE)</f>
        <v>28</v>
      </c>
      <c r="H44" s="51" cm="1">
        <f t="array" ref="H44">IFERROR(VLOOKUP(B44,ADP!A1:F671,6,FALSE)/1000000,VLOOKUP(B44,ADP!A1:F671,6,FALSE))</f>
        <v>8.5</v>
      </c>
      <c r="I44" s="52">
        <f>IF(Settings!$E$15="POINTS",((R44*Q44)*Settings!$B$12)+(S44*Settings!$B$2)+(T44*Settings!$B$3)+(U44*Settings!$B$4)+(V44*Settings!$B$5)+(X44*Settings!$B$9)+(AA44*Settings!$B$6)+(W44*Settings!$B$8)+(AB44*Settings!$B$7)+(AC44*Settings!$B$14)+(AD44*Settings!$B$15)+(AE44*Settings!$B$16)+(AF44*Settings!$B$17)+(AG44*Settings!$B$18)+(U44*Settings!$B$13)+(Y44*Settings!$B$10)+(Z44*Settings!$B$11),VLOOKUP(B44,'Standard Deviations'!A$1:C$672,3,FALSE))</f>
        <v>2.2769917339511161</v>
      </c>
      <c r="J44" s="53" cm="1">
        <f t="array" ref="J44">IF(D44="G",I44/AJ44,I44/Q44)</f>
        <v>2.9192201717322001E-2</v>
      </c>
      <c r="K44" s="52" cm="1">
        <f t="array" ref="K44">VLOOKUP(B44,D!A1:F204,6,FALSE)</f>
        <v>1.7101408194335617</v>
      </c>
      <c r="L44" s="54" cm="1">
        <f t="array" ref="L44">IFERROR(K44/H44,"N/A")</f>
        <v>0.20119303758041901</v>
      </c>
      <c r="M44" s="55">
        <v>93</v>
      </c>
      <c r="N44" s="55" cm="1">
        <f t="array" ref="N44">IFERROR(M44-A44,"N/A")</f>
        <v>43</v>
      </c>
      <c r="O44" s="55"/>
      <c r="P44" s="56" cm="1">
        <f t="array" ref="P44">_xlfn.XLOOKUP($B44,ADP!A2:A671,ADP!G2:G671)</f>
        <v>0</v>
      </c>
      <c r="Q44" s="57" cm="1">
        <f t="array" ref="Q44">IF(Settings!$E$12="YES",VLOOKUP(B44,'Player Data'!A1:E673,5,FALSE),84)</f>
        <v>78</v>
      </c>
      <c r="R44" s="55" cm="1">
        <f t="array" ref="R44">VLOOKUP(B44,'Player Data'!$A1:$AE673,6,FALSE)</f>
        <v>24.1</v>
      </c>
      <c r="S44" s="57" cm="1">
        <f t="array" ref="S44">VLOOKUP(B44,'Player Data'!$A1:$AE673,7,FALSE)*$Q44*IFERROR((VLOOKUP(P44,Settings!$E$28:$F$33,2,FALSE)+1),1)</f>
        <v>10.920000000000002</v>
      </c>
      <c r="T44" s="57" cm="1">
        <f t="array" ref="T44">VLOOKUP(B44,'Player Data'!$A1:$AE673,8,FALSE)*$Q44*IFERROR((VLOOKUP(P44,Settings!$E$28:$F$33,2,FALSE)+1),1)</f>
        <v>42.900000000000006</v>
      </c>
      <c r="U44" s="57" cm="1">
        <f t="array" ref="U44">SUM(S44:T44)</f>
        <v>53.820000000000007</v>
      </c>
      <c r="V44" s="57" cm="1">
        <f t="array" ref="V44">VLOOKUP(B44,'Player Data'!$A1:$AE673,10,FALSE)*$Q44*IFERROR(((VLOOKUP(P44,Settings!$E$28:$F$33,2,FALSE)/2)+1),1)</f>
        <v>146.63999999999999</v>
      </c>
      <c r="W44" s="58" cm="1">
        <f t="array" ref="W44">VLOOKUP(B44,'Player Data'!$A1:$AE673,11,FALSE)*$Q44*IFERROR((VLOOKUP(P44,Settings!$E$28:$F$33,2,FALSE)+1),1)</f>
        <v>3.9000000000000004</v>
      </c>
      <c r="X44" s="57" cm="1">
        <f t="array" ref="X44">VLOOKUP(B44,'Player Data'!$A1:$AE673,12,FALSE)*$Q44*IFERROR((VLOOKUP(P44,Settings!$E$28:$F$33,2,FALSE)+1),1)</f>
        <v>24.18</v>
      </c>
      <c r="Y44" s="57" cm="1">
        <f t="array" ref="Y44">VLOOKUP(B44,'Player Data'!$A1:$AE673,13,FALSE)*$Q44</f>
        <v>0</v>
      </c>
      <c r="Z44" s="57" cm="1">
        <f t="array" ref="Z44">VLOOKUP(B44,'Player Data'!$A1:$AE673,14,FALSE)*$Q44</f>
        <v>0.78</v>
      </c>
      <c r="AA44" s="57" cm="1">
        <f t="array" ref="AA44">VLOOKUP(B44,'Player Data'!$A1:$AE673,15,FALSE)*$Q44</f>
        <v>129.47999999999999</v>
      </c>
      <c r="AB44" s="57" cm="1">
        <f t="array" ref="AB44">VLOOKUP(B44,'Player Data'!$A1:$AE673,16,FALSE)*$Q44</f>
        <v>53.819999999999993</v>
      </c>
      <c r="AC44" s="57" cm="1">
        <f t="array" ref="AC44">VLOOKUP(B44,'Player Data'!$A1:$AE673,17,FALSE)*$Q44*IFERROR((VLOOKUP(P44,Settings!$E$28:$F$33,2,FALSE)+1),1)</f>
        <v>0</v>
      </c>
      <c r="AD44" s="57" cm="1">
        <f t="array" ref="AD44">VLOOKUP(B44,'Player Data'!$A1:$AE673,18,FALSE)*$Q44</f>
        <v>40.56</v>
      </c>
      <c r="AE44" s="57" cm="1">
        <f t="array" ref="AE44">VLOOKUP(B44,'Player Data'!$A1:$AE673,19,FALSE)*$Q44*IFERROR((VLOOKUP(P44,Settings!$E$28:$F$33,2,FALSE)+1),1)</f>
        <v>1.56</v>
      </c>
      <c r="AF44" s="57" cm="1">
        <f t="array" ref="AF44">VLOOKUP(B44,'Player Data'!$A1:$AE673,20,FALSE)*$Q44</f>
        <v>0</v>
      </c>
      <c r="AG44" s="57" cm="1">
        <f t="array" ref="AG44">VLOOKUP(B44,'Player Data'!$A1:$AE673,21,FALSE)*$Q44</f>
        <v>0</v>
      </c>
      <c r="AH44" s="59" cm="1">
        <f t="array" ref="AH44">VLOOKUP(B44,'Player Data'!$A1:$AE673,22,FALSE)</f>
        <v>0</v>
      </c>
      <c r="AI44" s="55"/>
      <c r="AJ44" s="57"/>
      <c r="AK44" s="57"/>
      <c r="AL44" s="57"/>
      <c r="AM44" s="57"/>
      <c r="AN44" s="57"/>
      <c r="AO44" s="57"/>
      <c r="AP44" s="57"/>
      <c r="AQ44" s="60"/>
      <c r="AR44" s="61"/>
      <c r="AS44" s="55"/>
    </row>
    <row r="45" spans="1:45" ht="21.25" customHeight="1" x14ac:dyDescent="0.15">
      <c r="A45" s="62">
        <f>RANK(K45,K$2:K$671)</f>
        <v>51</v>
      </c>
      <c r="B45" s="10" t="s">
        <v>165</v>
      </c>
      <c r="C45" s="47" t="s">
        <v>145</v>
      </c>
      <c r="D45" s="48" t="str" cm="1">
        <f t="array" ref="D45">VLOOKUP(B45,'Player Data'!A1:D673,4,FALSE)</f>
        <v>D</v>
      </c>
      <c r="E45" s="68" cm="1">
        <f t="array" ref="E45">VLOOKUP(B45,D!A1:C204,3,FALSE)</f>
        <v>22</v>
      </c>
      <c r="F45" s="70" t="str" cm="1">
        <f t="array" ref="F45">VLOOKUP(B45,'Player Data'!A1:B673,2,FALSE)</f>
        <v>L.A</v>
      </c>
      <c r="G45" s="71" cm="1">
        <f t="array" ref="G45">VLOOKUP(B45,'Player Data'!A1:D673,3,FALSE)</f>
        <v>23</v>
      </c>
      <c r="H45" s="51" cm="1">
        <f t="array" ref="H45">IFERROR(VLOOKUP(B45,ADP!A1:F671,6,FALSE)/1000000,VLOOKUP(B45,ADP!A1:F671,6,FALSE))</f>
        <v>7.4</v>
      </c>
      <c r="I45" s="52">
        <f>IF(Settings!$E$15="POINTS",((R45*Q45)*Settings!$B$12)+(S45*Settings!$B$2)+(T45*Settings!$B$3)+(U45*Settings!$B$4)+(V45*Settings!$B$5)+(X45*Settings!$B$9)+(AA45*Settings!$B$6)+(W45*Settings!$B$8)+(AB45*Settings!$B$7)+(AC45*Settings!$B$14)+(AD45*Settings!$B$15)+(AE45*Settings!$B$16)+(AF45*Settings!$B$17)+(AG45*Settings!$B$18)+(U45*Settings!$B$13)+(Y45*Settings!$B$10)+(Z45*Settings!$B$11),VLOOKUP(B45,'Standard Deviations'!A$1:C$672,3,FALSE))</f>
        <v>2.2702082891641147</v>
      </c>
      <c r="J45" s="53" cm="1">
        <f t="array" ref="J45">IF(D45="G",I45/AJ45,I45/Q45)</f>
        <v>2.7685466941025787E-2</v>
      </c>
      <c r="K45" s="52" cm="1">
        <f t="array" ref="K45">VLOOKUP(B45,D!A1:F204,6,FALSE)</f>
        <v>1.7033573746465602</v>
      </c>
      <c r="L45" s="54" cm="1">
        <f t="array" ref="L45">IFERROR(K45/H45,"N/A")</f>
        <v>0.23018342900629191</v>
      </c>
      <c r="M45" s="55">
        <v>104.6</v>
      </c>
      <c r="N45" s="55" cm="1">
        <f t="array" ref="N45">IFERROR(M45-A45,"N/A")</f>
        <v>53.599999999999994</v>
      </c>
      <c r="O45" s="55"/>
      <c r="P45" s="56" t="str" cm="1">
        <f t="array" ref="P45">_xlfn.XLOOKUP($B45,ADP!A2:A671,ADP!G2:G671)</f>
        <v>+</v>
      </c>
      <c r="Q45" s="57" cm="1">
        <f t="array" ref="Q45">IF(Settings!$E$12="YES",VLOOKUP(B45,'Player Data'!A1:E673,5,FALSE),84)</f>
        <v>82</v>
      </c>
      <c r="R45" s="81" cm="1">
        <f t="array" ref="R45">VLOOKUP(B45,'Player Data'!$A1:$AE673,6,FALSE)</f>
        <v>21.1</v>
      </c>
      <c r="S45" s="57" cm="1">
        <f t="array" ref="S45">VLOOKUP(B45,'Player Data'!$A1:$AE673,7,FALSE)*$Q45*IFERROR((VLOOKUP(P45,Settings!$E$28:$F$33,2,FALSE)+1),1)</f>
        <v>10.332000000000001</v>
      </c>
      <c r="T45" s="57" cm="1">
        <f t="array" ref="T45">VLOOKUP(B45,'Player Data'!$A1:$AE673,8,FALSE)*$Q45*IFERROR((VLOOKUP(P45,Settings!$E$28:$F$33,2,FALSE)+1),1)</f>
        <v>40.466999999999999</v>
      </c>
      <c r="U45" s="57" cm="1">
        <f t="array" ref="U45">SUM(S45:T45)</f>
        <v>50.798999999999999</v>
      </c>
      <c r="V45" s="57" cm="1">
        <f t="array" ref="V45">VLOOKUP(B45,'Player Data'!$A1:$AE673,10,FALSE)*$Q45*IFERROR(((VLOOKUP(P45,Settings!$E$28:$F$33,2,FALSE)/2)+1),1)</f>
        <v>179.86699999999999</v>
      </c>
      <c r="W45" s="57" cm="1">
        <f t="array" ref="W45">VLOOKUP(B45,'Player Data'!$A1:$AE673,11,FALSE)*$Q45*IFERROR((VLOOKUP(P45,Settings!$E$28:$F$33,2,FALSE)+1),1)</f>
        <v>2.5830000000000002</v>
      </c>
      <c r="X45" s="78" cm="1">
        <f t="array" ref="X45">VLOOKUP(B45,'Player Data'!$A1:$AE673,12,FALSE)*$Q45*IFERROR((VLOOKUP(P45,Settings!$E$28:$F$33,2,FALSE)+1),1)</f>
        <v>17.220000000000002</v>
      </c>
      <c r="Y45" s="57" cm="1">
        <f t="array" ref="Y45">VLOOKUP(B45,'Player Data'!$A1:$AE673,13,FALSE)*$Q45</f>
        <v>0</v>
      </c>
      <c r="Z45" s="57" cm="1">
        <f t="array" ref="Z45">VLOOKUP(B45,'Player Data'!$A1:$AE673,14,FALSE)*$Q45</f>
        <v>0</v>
      </c>
      <c r="AA45" s="57" cm="1">
        <f t="array" ref="AA45">VLOOKUP(B45,'Player Data'!$A1:$AE673,15,FALSE)*$Q45</f>
        <v>172.20000000000002</v>
      </c>
      <c r="AB45" s="57" cm="1">
        <f t="array" ref="AB45">VLOOKUP(B45,'Player Data'!$A1:$AE673,16,FALSE)*$Q45</f>
        <v>43.46</v>
      </c>
      <c r="AC45" s="57" cm="1">
        <f t="array" ref="AC45">VLOOKUP(B45,'Player Data'!$A1:$AE673,17,FALSE)*$Q45*IFERROR((VLOOKUP(P45,Settings!$E$28:$F$33,2,FALSE)+1),1)</f>
        <v>2.5830000000000002</v>
      </c>
      <c r="AD45" s="57" cm="1">
        <f t="array" ref="AD45">VLOOKUP(B45,'Player Data'!$A1:$AE673,18,FALSE)*$Q45</f>
        <v>56.58</v>
      </c>
      <c r="AE45" s="57" cm="1">
        <f t="array" ref="AE45">VLOOKUP(B45,'Player Data'!$A1:$AE673,19,FALSE)*$Q45*IFERROR((VLOOKUP(P45,Settings!$E$28:$F$33,2,FALSE)+1),1)</f>
        <v>1.7220000000000002</v>
      </c>
      <c r="AF45" s="57" cm="1">
        <f t="array" ref="AF45">VLOOKUP(B45,'Player Data'!$A1:$AE673,20,FALSE)*$Q45</f>
        <v>0</v>
      </c>
      <c r="AG45" s="57" cm="1">
        <f t="array" ref="AG45">VLOOKUP(B45,'Player Data'!$A1:$AE673,21,FALSE)*$Q45</f>
        <v>0</v>
      </c>
      <c r="AH45" s="59" cm="1">
        <f t="array" ref="AH45">VLOOKUP(B45,'Player Data'!$A1:$AE673,22,FALSE)</f>
        <v>0</v>
      </c>
      <c r="AI45" s="55"/>
      <c r="AJ45" s="57"/>
      <c r="AK45" s="57"/>
      <c r="AL45" s="57"/>
      <c r="AM45" s="57"/>
      <c r="AN45" s="57"/>
      <c r="AO45" s="57"/>
      <c r="AP45" s="57"/>
      <c r="AQ45" s="60"/>
      <c r="AR45" s="61"/>
      <c r="AS45" s="55"/>
    </row>
    <row r="46" spans="1:45" ht="21.25" customHeight="1" x14ac:dyDescent="0.15">
      <c r="A46" s="62">
        <f>RANK(K46,K$2:K$671)</f>
        <v>54</v>
      </c>
      <c r="B46" s="10" t="s">
        <v>159</v>
      </c>
      <c r="C46" s="47" t="s">
        <v>145</v>
      </c>
      <c r="D46" s="48" t="str" cm="1">
        <f t="array" ref="D46">VLOOKUP(B46,'Player Data'!A1:D673,4,FALSE)</f>
        <v>D</v>
      </c>
      <c r="E46" s="68" cm="1">
        <f t="array" ref="E46">VLOOKUP(B46,D!A1:C204,3,FALSE)</f>
        <v>23</v>
      </c>
      <c r="F46" s="50" t="str" cm="1">
        <f t="array" ref="F46">VLOOKUP(B46,'Player Data'!A1:B673,2,FALSE)</f>
        <v>ANA</v>
      </c>
      <c r="G46" s="11" cm="1">
        <f t="array" ref="G46">VLOOKUP(B46,'Player Data'!A1:D673,3,FALSE)</f>
        <v>25</v>
      </c>
      <c r="H46" s="51" cm="1">
        <f t="array" ref="H46">IFERROR(VLOOKUP(B46,ADP!A1:F671,6,FALSE)/1000000,VLOOKUP(B46,ADP!A1:F671,6,FALSE))</f>
        <v>9</v>
      </c>
      <c r="I46" s="52">
        <f>IF(Settings!$E$15="POINTS",((R46*Q46)*Settings!$B$12)+(S46*Settings!$B$2)+(T46*Settings!$B$3)+(U46*Settings!$B$4)+(V46*Settings!$B$5)+(X46*Settings!$B$9)+(AA46*Settings!$B$6)+(W46*Settings!$B$8)+(AB46*Settings!$B$7)+(AC46*Settings!$B$14)+(AD46*Settings!$B$15)+(AE46*Settings!$B$16)+(AF46*Settings!$B$17)+(AG46*Settings!$B$18)+(U46*Settings!$B$13)+(Y46*Settings!$B$10)+(Z46*Settings!$B$11),VLOOKUP(B46,'Standard Deviations'!A$1:C$672,3,FALSE))</f>
        <v>2.1998400803385554</v>
      </c>
      <c r="J46" s="53" cm="1">
        <f t="array" ref="J46">IF(D46="G",I46/AJ46,I46/Q46)</f>
        <v>2.6827318052909211E-2</v>
      </c>
      <c r="K46" s="52" cm="1">
        <f t="array" ref="K46">VLOOKUP(B46,D!A1:F204,6,FALSE)</f>
        <v>1.632989165821001</v>
      </c>
      <c r="L46" s="54" cm="1">
        <f t="array" ref="L46">IFERROR(K46/H46,"N/A")</f>
        <v>0.18144324064677789</v>
      </c>
      <c r="M46" s="55">
        <v>79.5</v>
      </c>
      <c r="N46" s="55" cm="1">
        <f t="array" ref="N46">IFERROR(M46-A46,"N/A")</f>
        <v>25.5</v>
      </c>
      <c r="O46" s="55"/>
      <c r="P46" s="56" t="str" cm="1">
        <f t="array" ref="P46">_xlfn.XLOOKUP($B46,ADP!A2:A671,ADP!G2:G671)</f>
        <v>+</v>
      </c>
      <c r="Q46" s="57" cm="1">
        <f t="array" ref="Q46">IF(Settings!$E$12="YES",VLOOKUP(B46,'Player Data'!A1:E673,5,FALSE),84)</f>
        <v>82</v>
      </c>
      <c r="R46" s="55" cm="1">
        <f t="array" ref="R46">VLOOKUP(B46,'Player Data'!$A1:$AE673,6,FALSE)</f>
        <v>24.9</v>
      </c>
      <c r="S46" s="57" cm="1">
        <f t="array" ref="S46">VLOOKUP(B46,'Player Data'!$A1:$AE673,7,FALSE)*$Q46*IFERROR((VLOOKUP(P46,Settings!$E$28:$F$33,2,FALSE)+1),1)</f>
        <v>12.914999999999999</v>
      </c>
      <c r="T46" s="57" cm="1">
        <f t="array" ref="T46">VLOOKUP(B46,'Player Data'!$A1:$AE673,8,FALSE)*$Q46*IFERROR((VLOOKUP(P46,Settings!$E$28:$F$33,2,FALSE)+1),1)</f>
        <v>44.772000000000006</v>
      </c>
      <c r="U46" s="57" cm="1">
        <f t="array" ref="U46">SUM(S46:T46)</f>
        <v>57.687000000000005</v>
      </c>
      <c r="V46" s="57" cm="1">
        <f t="array" ref="V46">VLOOKUP(B46,'Player Data'!$A1:$AE673,10,FALSE)*$Q46*IFERROR(((VLOOKUP(P46,Settings!$E$28:$F$33,2,FALSE)/2)+1),1)</f>
        <v>162.21649999999997</v>
      </c>
      <c r="W46" s="58" cm="1">
        <f t="array" ref="W46">VLOOKUP(B46,'Player Data'!$A1:$AE673,11,FALSE)*$Q46*IFERROR((VLOOKUP(P46,Settings!$E$28:$F$33,2,FALSE)+1),1)</f>
        <v>3.4440000000000004</v>
      </c>
      <c r="X46" s="57" cm="1">
        <f t="array" ref="X46">VLOOKUP(B46,'Player Data'!$A1:$AE673,12,FALSE)*$Q46*IFERROR((VLOOKUP(P46,Settings!$E$28:$F$33,2,FALSE)+1),1)</f>
        <v>19.803000000000001</v>
      </c>
      <c r="Y46" s="57" cm="1">
        <f t="array" ref="Y46">VLOOKUP(B46,'Player Data'!$A1:$AE673,13,FALSE)*$Q46</f>
        <v>0.82000000000000006</v>
      </c>
      <c r="Z46" s="57" cm="1">
        <f t="array" ref="Z46">VLOOKUP(B46,'Player Data'!$A1:$AE673,14,FALSE)*$Q46</f>
        <v>1.6400000000000001</v>
      </c>
      <c r="AA46" s="57" cm="1">
        <f t="array" ref="AA46">VLOOKUP(B46,'Player Data'!$A1:$AE673,15,FALSE)*$Q46</f>
        <v>137.76</v>
      </c>
      <c r="AB46" s="57" cm="1">
        <f t="array" ref="AB46">VLOOKUP(B46,'Player Data'!$A1:$AE673,16,FALSE)*$Q46</f>
        <v>78.72</v>
      </c>
      <c r="AC46" s="57" cm="1">
        <f t="array" ref="AC46">VLOOKUP(B46,'Player Data'!$A1:$AE673,17,FALSE)*$Q46*IFERROR((VLOOKUP(P46,Settings!$E$28:$F$33,2,FALSE)+1),1)</f>
        <v>-3.4440000000000004</v>
      </c>
      <c r="AD46" s="57" cm="1">
        <f t="array" ref="AD46">VLOOKUP(B46,'Player Data'!$A1:$AE673,18,FALSE)*$Q46</f>
        <v>31.16</v>
      </c>
      <c r="AE46" s="57" cm="1">
        <f t="array" ref="AE46">VLOOKUP(B46,'Player Data'!$A1:$AE673,19,FALSE)*$Q46*IFERROR((VLOOKUP(P46,Settings!$E$28:$F$33,2,FALSE)+1),1)</f>
        <v>1.7220000000000002</v>
      </c>
      <c r="AF46" s="57" cm="1">
        <f t="array" ref="AF46">VLOOKUP(B46,'Player Data'!$A1:$AE673,20,FALSE)*$Q46</f>
        <v>0</v>
      </c>
      <c r="AG46" s="57" cm="1">
        <f t="array" ref="AG46">VLOOKUP(B46,'Player Data'!$A1:$AE673,21,FALSE)*$Q46</f>
        <v>0</v>
      </c>
      <c r="AH46" s="59" cm="1">
        <f t="array" ref="AH46">VLOOKUP(B46,'Player Data'!$A1:$AE673,22,FALSE)</f>
        <v>0</v>
      </c>
      <c r="AI46" s="55"/>
      <c r="AJ46" s="57"/>
      <c r="AK46" s="57"/>
      <c r="AL46" s="57"/>
      <c r="AM46" s="57"/>
      <c r="AN46" s="57"/>
      <c r="AO46" s="57"/>
      <c r="AP46" s="57"/>
      <c r="AQ46" s="60"/>
      <c r="AR46" s="61"/>
      <c r="AS46" s="55"/>
    </row>
    <row r="47" spans="1:45" ht="21.25" customHeight="1" x14ac:dyDescent="0.15">
      <c r="A47" s="62">
        <f>RANK(K47,K$2:K$671)</f>
        <v>49</v>
      </c>
      <c r="B47" s="10" t="s">
        <v>260</v>
      </c>
      <c r="C47" s="47" t="s">
        <v>145</v>
      </c>
      <c r="D47" s="48" t="str" cm="1">
        <f t="array" ref="D47">VLOOKUP(B47,'Player Data'!A1:D673,4,FALSE)</f>
        <v>G</v>
      </c>
      <c r="E47" s="76" cm="1">
        <f t="array" ref="E47">VLOOKUP(B47,G!A1:D66,3,FALSE)</f>
        <v>9</v>
      </c>
      <c r="F47" s="70" t="str" cm="1">
        <f t="array" ref="F47">VLOOKUP(B47,'Player Data'!A1:B673,2,FALSE)</f>
        <v>MIN</v>
      </c>
      <c r="G47" s="71" cm="1">
        <f t="array" ref="G47">VLOOKUP(B47,'Player Data'!A1:D673,3,FALSE)</f>
        <v>23</v>
      </c>
      <c r="H47" s="67" cm="1">
        <f t="array" ref="H47">IFERROR(VLOOKUP(B47,ADP!A1:F671,6,FALSE)/1000000,VLOOKUP(B47,ADP!A1:F671,6,FALSE))</f>
        <v>2.2000000000000002</v>
      </c>
      <c r="I47" s="52">
        <f>IF(Settings!$E$15="POINTS",(AJ47*Settings!$B$29)+(AK47*Settings!$B$21)+(AL47*Settings!$B$22)+(AN47*Settings!$B$24)+(AO47*Settings!$B$25)+(AP47*Settings!$B$27)+(AM47*Settings!$B$23),VLOOKUP(B47,'Standard Deviations'!A$1:C$672,3,FALSE))</f>
        <v>3.8485118976405497</v>
      </c>
      <c r="J47" s="53" cm="1">
        <f t="array" ref="J47">IF(D47="G",I47/AJ47,I47/Q47)</f>
        <v>8.5522486614234436E-2</v>
      </c>
      <c r="K47" s="52" cm="1">
        <f t="array" ref="K47">VLOOKUP(B47,G!A1:F66,6,FALSE)</f>
        <v>1.8103266385168748</v>
      </c>
      <c r="L47" s="54" cm="1">
        <f t="array" ref="L47">IFERROR(K47/H47,"N/A")</f>
        <v>0.8228757447803976</v>
      </c>
      <c r="M47" s="55">
        <v>58.3</v>
      </c>
      <c r="N47" s="55" cm="1">
        <f t="array" ref="N47">IFERROR(M47-A47,"N/A")</f>
        <v>9.2999999999999972</v>
      </c>
      <c r="O47" s="55"/>
      <c r="P47" s="56" t="str" cm="1">
        <f t="array" ref="P47">_xlfn.XLOOKUP($B47,ADP!A2:A671,ADP!G2:G671)</f>
        <v>+</v>
      </c>
      <c r="Q47" s="57"/>
      <c r="R47" s="55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9"/>
      <c r="AI47" s="55"/>
      <c r="AJ47" s="77" cm="1">
        <f t="array" ref="AJ47">VLOOKUP(B47,'Player Data'!$A1:$AE673,24,FALSE)</f>
        <v>45</v>
      </c>
      <c r="AK47" s="57" cm="1">
        <f t="array" ref="AK47">VLOOKUP(B47,'Player Data'!$A1:$AE673,25,FALSE)*$AJ47*IFERROR((VLOOKUP(P47,Settings!$E$28:$F$33,2,FALSE)+1),1)</f>
        <v>25.515000000000001</v>
      </c>
      <c r="AL47" s="57" cm="1">
        <f t="array" ref="AL47">AJ47-AK47-AM47</f>
        <v>14.535</v>
      </c>
      <c r="AM47" s="57" cm="1">
        <f t="array" ref="AM47">VLOOKUP(B47,'Player Data'!$A1:$AE673,27,FALSE)*$AJ47</f>
        <v>4.95</v>
      </c>
      <c r="AN47" s="57" cm="1">
        <f t="array" ref="AN47">VLOOKUP(B47,'Player Data'!$A1:$AE673,28,FALSE)*AJ47</f>
        <v>2.6999999999999997</v>
      </c>
      <c r="AO47" s="57" cm="1">
        <f t="array" ref="AO47">VLOOKUP(B47,'Player Data'!$A1:$AE673,29,FALSE)*$AJ47*IFERROR((VLOOKUP(P47,Settings!$E$28:$F$33,2,FALSE)/4)+1,1)</f>
        <v>1166.3999999999999</v>
      </c>
      <c r="AP47" s="57" cm="1">
        <f t="array" ref="AP47">VLOOKUP(B47,'Player Data'!$A1:$AE673,31,FALSE)*$AJ47*(IFERROR(1-(VLOOKUP(P47,Settings!$E$28:$F$33,2,FALSE)/4),1))</f>
        <v>120.42562500000001</v>
      </c>
      <c r="AQ47" s="60" cm="1">
        <f t="array" ref="AQ47">1-(AP47/(AO47+AP47))</f>
        <v>0.90641651622378905</v>
      </c>
      <c r="AR47" s="61" cm="1">
        <f t="array" ref="AR47">AP47/AJ47</f>
        <v>2.6761250000000003</v>
      </c>
      <c r="AS47" s="55"/>
    </row>
    <row r="48" spans="1:45" ht="21.25" customHeight="1" x14ac:dyDescent="0.15">
      <c r="A48" s="62">
        <f>RANK(K48,K$2:K$671)</f>
        <v>55</v>
      </c>
      <c r="B48" s="10" t="s">
        <v>239</v>
      </c>
      <c r="C48" s="47" t="s">
        <v>145</v>
      </c>
      <c r="D48" s="48" t="str" cm="1">
        <f t="array" ref="D48">VLOOKUP(B48,'Player Data'!A1:D673,4,FALSE)</f>
        <v>D</v>
      </c>
      <c r="E48" s="68" cm="1">
        <f t="array" ref="E48">VLOOKUP(B48,D!A1:C204,3,FALSE)</f>
        <v>24</v>
      </c>
      <c r="F48" s="56" t="str" cm="1">
        <f t="array" ref="F48">VLOOKUP(B48,'Player Data'!A1:B673,2,FALSE)</f>
        <v>WSH</v>
      </c>
      <c r="G48" s="71" cm="1">
        <f t="array" ref="G48">VLOOKUP(B48,'Player Data'!A1:D673,3,FALSE)</f>
        <v>20</v>
      </c>
      <c r="H48" s="51" cm="1">
        <f t="array" ref="H48">IFERROR(VLOOKUP(B48,ADP!A1:F671,6,FALSE)/1000000,VLOOKUP(B48,ADP!A1:F671,6,FALSE))</f>
        <v>0.94083300000000003</v>
      </c>
      <c r="I48" s="52">
        <f>IF(Settings!$E$15="POINTS",((R48*Q48)*Settings!$B$12)+(S48*Settings!$B$2)+(T48*Settings!$B$3)+(U48*Settings!$B$4)+(V48*Settings!$B$5)+(X48*Settings!$B$9)+(AA48*Settings!$B$6)+(W48*Settings!$B$8)+(AB48*Settings!$B$7)+(AC48*Settings!$B$14)+(AD48*Settings!$B$15)+(AE48*Settings!$B$16)+(AF48*Settings!$B$17)+(AG48*Settings!$B$18)+(U48*Settings!$B$13)+(Y48*Settings!$B$10)+(Z48*Settings!$B$11),VLOOKUP(B48,'Standard Deviations'!A$1:C$672,3,FALSE))</f>
        <v>2.1858213341746513</v>
      </c>
      <c r="J48" s="53" cm="1">
        <f t="array" ref="J48">IF(D48="G",I48/AJ48,I48/Q48)</f>
        <v>2.9538126137495287E-2</v>
      </c>
      <c r="K48" s="52" cm="1">
        <f t="array" ref="K48">VLOOKUP(B48,D!A1:F204,6,FALSE)</f>
        <v>1.6189704196570969</v>
      </c>
      <c r="L48" s="54" cm="1">
        <f t="array" ref="L48">IFERROR(K48/H48,"N/A")</f>
        <v>1.7207840495147351</v>
      </c>
      <c r="M48" s="55">
        <v>90</v>
      </c>
      <c r="N48" s="55" cm="1">
        <f t="array" ref="N48">IFERROR(M48-A48,"N/A")</f>
        <v>35</v>
      </c>
      <c r="O48" s="55"/>
      <c r="P48" s="56" cm="1">
        <f t="array" ref="P48">_xlfn.XLOOKUP($B48,ADP!A2:A671,ADP!G2:G671)</f>
        <v>0</v>
      </c>
      <c r="Q48" s="57" cm="1">
        <f t="array" ref="Q48">IF(Settings!$E$12="YES",VLOOKUP(B48,'Player Data'!A1:E673,5,FALSE),84)</f>
        <v>74</v>
      </c>
      <c r="R48" s="81" cm="1">
        <f t="array" ref="R48">VLOOKUP(B48,'Player Data'!$A1:$AE673,6,FALSE)</f>
        <v>19.100000000000001</v>
      </c>
      <c r="S48" s="57" cm="1">
        <f t="array" ref="S48">VLOOKUP(B48,'Player Data'!$A1:$AE673,7,FALSE)*$Q48*IFERROR((VLOOKUP(P48,Settings!$E$28:$F$33,2,FALSE)+1),1)</f>
        <v>11.1</v>
      </c>
      <c r="T48" s="57" cm="1">
        <f t="array" ref="T48">VLOOKUP(B48,'Player Data'!$A1:$AE673,8,FALSE)*$Q48*IFERROR((VLOOKUP(P48,Settings!$E$28:$F$33,2,FALSE)+1),1)</f>
        <v>34.04</v>
      </c>
      <c r="U48" s="57" cm="1">
        <f t="array" ref="U48">SUM(S48:T48)</f>
        <v>45.14</v>
      </c>
      <c r="V48" s="57" cm="1">
        <f t="array" ref="V48">VLOOKUP(B48,'Player Data'!$A1:$AE673,10,FALSE)*$Q48*IFERROR(((VLOOKUP(P48,Settings!$E$28:$F$33,2,FALSE)/2)+1),1)</f>
        <v>111.74</v>
      </c>
      <c r="W48" s="57" cm="1">
        <f t="array" ref="W48">VLOOKUP(B48,'Player Data'!$A1:$AE673,11,FALSE)*$Q48*IFERROR((VLOOKUP(P48,Settings!$E$28:$F$33,2,FALSE)+1),1)</f>
        <v>1.48</v>
      </c>
      <c r="X48" s="78" cm="1">
        <f t="array" ref="X48">VLOOKUP(B48,'Player Data'!$A1:$AE673,12,FALSE)*$Q48*IFERROR((VLOOKUP(P48,Settings!$E$28:$F$33,2,FALSE)+1),1)</f>
        <v>21.459999999999997</v>
      </c>
      <c r="Y48" s="57" cm="1">
        <f t="array" ref="Y48">VLOOKUP(B48,'Player Data'!$A1:$AE673,13,FALSE)*$Q48</f>
        <v>0</v>
      </c>
      <c r="Z48" s="57" cm="1">
        <f t="array" ref="Z48">VLOOKUP(B48,'Player Data'!$A1:$AE673,14,FALSE)*$Q48</f>
        <v>0</v>
      </c>
      <c r="AA48" s="57" cm="1">
        <f t="array" ref="AA48">VLOOKUP(B48,'Player Data'!$A1:$AE673,15,FALSE)*$Q48</f>
        <v>75.48</v>
      </c>
      <c r="AB48" s="57" cm="1">
        <f t="array" ref="AB48">VLOOKUP(B48,'Player Data'!$A1:$AE673,16,FALSE)*$Q48</f>
        <v>90.28</v>
      </c>
      <c r="AC48" s="57" cm="1">
        <f t="array" ref="AC48">VLOOKUP(B48,'Player Data'!$A1:$AE673,17,FALSE)*$Q48*IFERROR((VLOOKUP(P48,Settings!$E$28:$F$33,2,FALSE)+1),1)</f>
        <v>2.96</v>
      </c>
      <c r="AD48" s="57" cm="1">
        <f t="array" ref="AD48">VLOOKUP(B48,'Player Data'!$A1:$AE673,18,FALSE)*$Q48</f>
        <v>37.74</v>
      </c>
      <c r="AE48" s="57" cm="1">
        <f t="array" ref="AE48">VLOOKUP(B48,'Player Data'!$A1:$AE673,19,FALSE)*$Q48*IFERROR((VLOOKUP(P48,Settings!$E$28:$F$33,2,FALSE)+1),1)</f>
        <v>1.48</v>
      </c>
      <c r="AF48" s="57" cm="1">
        <f t="array" ref="AF48">VLOOKUP(B48,'Player Data'!$A1:$AE673,20,FALSE)*$Q48</f>
        <v>0</v>
      </c>
      <c r="AG48" s="57" cm="1">
        <f t="array" ref="AG48">VLOOKUP(B48,'Player Data'!$A1:$AE673,21,FALSE)*$Q48</f>
        <v>0</v>
      </c>
      <c r="AH48" s="59" cm="1">
        <f t="array" ref="AH48">VLOOKUP(B48,'Player Data'!$A1:$AE673,22,FALSE)</f>
        <v>0</v>
      </c>
      <c r="AI48" s="55"/>
      <c r="AJ48" s="57"/>
      <c r="AK48" s="57"/>
      <c r="AL48" s="57"/>
      <c r="AM48" s="57"/>
      <c r="AN48" s="57"/>
      <c r="AO48" s="57"/>
      <c r="AP48" s="57"/>
      <c r="AQ48" s="60"/>
      <c r="AR48" s="61"/>
      <c r="AS48" s="55"/>
    </row>
    <row r="49" spans="1:45" ht="21.25" customHeight="1" x14ac:dyDescent="0.15">
      <c r="A49" s="62">
        <f>RANK(K49,K$2:K$671)</f>
        <v>39</v>
      </c>
      <c r="B49" s="10" t="s">
        <v>154</v>
      </c>
      <c r="C49" s="47" t="s">
        <v>145</v>
      </c>
      <c r="D49" s="48" t="str" cm="1">
        <f t="array" ref="D49">VLOOKUP(B49,'Player Data'!A1:D673,4,FALSE)</f>
        <v>C,RW</v>
      </c>
      <c r="E49" s="74" cm="1">
        <f t="array" ref="E49">VLOOKUP(B49,RW!A1:F210,3,FALSE)</f>
        <v>6</v>
      </c>
      <c r="F49" s="63" t="str" cm="1">
        <f t="array" ref="F49">VLOOKUP(B49,'Player Data'!A1:B673,2,FALSE)</f>
        <v>DAL</v>
      </c>
      <c r="G49" s="71" cm="1">
        <f t="array" ref="G49">VLOOKUP(B49,'Player Data'!A1:D673,3,FALSE)</f>
        <v>23</v>
      </c>
      <c r="H49" s="51" cm="1">
        <f t="array" ref="H49">IFERROR(VLOOKUP(B49,ADP!A1:F671,6,FALSE)/1000000,VLOOKUP(B49,ADP!A1:F671,6,FALSE))</f>
        <v>8.4</v>
      </c>
      <c r="I49" s="52">
        <f>IF(Settings!$E$15="POINTS",((R49*Q49)*Settings!$B$12)+(S49*Settings!$B$2)+(T49*Settings!$B$3)+(U49*Settings!$B$4)+(V49*Settings!$B$5)+(X49*Settings!$B$9)+(AA49*Settings!$B$6)+(W49*Settings!$B$8)+(AB49*Settings!$B$7)+(AC49*Settings!$B$14)+(AD49*Settings!$B$15)+(AE49*Settings!$B$16)+(AF49*Settings!$B$17)+(AG49*Settings!$B$18)+(Y49*Settings!$B$10)+(Z49*Settings!$B$11),VLOOKUP(B49,'Standard Deviations'!A$1:C$672,3,FALSE))</f>
        <v>9.3644110030371781</v>
      </c>
      <c r="J49" s="53" cm="1">
        <f t="array" ref="J49">IF(D49="G",I49/AJ49,I49/Q49)</f>
        <v>0.11148108336949021</v>
      </c>
      <c r="K49" s="52" cm="1">
        <f t="array" ref="K49">IF(Settings!$E$18="C/LW/RW",VLOOKUP(B49,RW!A1:F210,6,FALSE),VLOOKUP(B49,F!A1:F407,6,FALSE))</f>
        <v>2.4771764012281006</v>
      </c>
      <c r="L49" s="54" cm="1">
        <f t="array" ref="L49">IFERROR(K49/H49,"N/A")</f>
        <v>0.29490195252715484</v>
      </c>
      <c r="M49" s="55">
        <v>18.600000000000001</v>
      </c>
      <c r="N49" s="55" cm="1">
        <f t="array" ref="N49">IFERROR(M49-A49,"N/A")</f>
        <v>-20.399999999999999</v>
      </c>
      <c r="O49" s="55"/>
      <c r="P49" s="56" cm="1">
        <f t="array" ref="P49">_xlfn.XLOOKUP($B49,ADP!A2:A671,ADP!G2:G671)</f>
        <v>0</v>
      </c>
      <c r="Q49" s="57" cm="1">
        <f t="array" ref="Q49">IF(Settings!$E$12="YES",VLOOKUP(B49,'Player Data'!A1:E673,5,FALSE),84)</f>
        <v>84</v>
      </c>
      <c r="R49" s="55" cm="1">
        <f t="array" ref="R49">VLOOKUP(B49,'Player Data'!$A1:$AE673,6,FALSE)</f>
        <v>19.899999999999999</v>
      </c>
      <c r="S49" s="57" cm="1">
        <f t="array" ref="S49">VLOOKUP(B49,'Player Data'!$A1:$AE673,7,FALSE)*$Q49*IFERROR((VLOOKUP(P49,Settings!$E$28:$F$33,2,FALSE)+1),1)</f>
        <v>42.84</v>
      </c>
      <c r="T49" s="57" cm="1">
        <f t="array" ref="T49">VLOOKUP(B49,'Player Data'!$A1:$AE673,8,FALSE)*$Q49*IFERROR((VLOOKUP(P49,Settings!$E$28:$F$33,2,FALSE)+1),1)</f>
        <v>45.36</v>
      </c>
      <c r="U49" s="57" cm="1">
        <f t="array" ref="U49">SUM(S49:T49)</f>
        <v>88.2</v>
      </c>
      <c r="V49" s="57" cm="1">
        <f t="array" ref="V49">VLOOKUP(B49,'Player Data'!$A1:$AE673,10,FALSE)*$Q49*IFERROR(((VLOOKUP(P49,Settings!$E$28:$F$33,2,FALSE)/2)+1),1)</f>
        <v>226.8</v>
      </c>
      <c r="W49" s="58" cm="1">
        <f t="array" ref="W49">VLOOKUP(B49,'Player Data'!$A1:$AE673,11,FALSE)*$Q49*IFERROR((VLOOKUP(P49,Settings!$E$28:$F$33,2,FALSE)+1),1)</f>
        <v>19.32</v>
      </c>
      <c r="X49" s="57" cm="1">
        <f t="array" ref="X49">VLOOKUP(B49,'Player Data'!$A1:$AE673,12,FALSE)*$Q49*IFERROR((VLOOKUP(P49,Settings!$E$28:$F$33,2,FALSE)+1),1)</f>
        <v>36.119999999999997</v>
      </c>
      <c r="Y49" s="57" cm="1">
        <f t="array" ref="Y49">VLOOKUP(B49,'Player Data'!$A1:$AE673,13,FALSE)*$Q49</f>
        <v>0</v>
      </c>
      <c r="Z49" s="57" cm="1">
        <f t="array" ref="Z49">VLOOKUP(B49,'Player Data'!$A1:$AE673,14,FALSE)*$Q49</f>
        <v>0</v>
      </c>
      <c r="AA49" s="57" cm="1">
        <f t="array" ref="AA49">VLOOKUP(B49,'Player Data'!$A1:$AE673,15,FALSE)*$Q49</f>
        <v>53.76</v>
      </c>
      <c r="AB49" s="57" cm="1">
        <f t="array" ref="AB49">VLOOKUP(B49,'Player Data'!$A1:$AE673,16,FALSE)*$Q49</f>
        <v>56.28</v>
      </c>
      <c r="AC49" s="57" cm="1">
        <f t="array" ref="AC49">VLOOKUP(B49,'Player Data'!$A1:$AE673,17,FALSE)*$Q49*IFERROR((VLOOKUP(P49,Settings!$E$28:$F$33,2,FALSE)+1),1)</f>
        <v>5.04</v>
      </c>
      <c r="AD49" s="57" cm="1">
        <f t="array" ref="AD49">VLOOKUP(B49,'Player Data'!$A1:$AE673,18,FALSE)*$Q49</f>
        <v>31.92</v>
      </c>
      <c r="AE49" s="57" cm="1">
        <f t="array" ref="AE49">VLOOKUP(B49,'Player Data'!$A1:$AE673,19,FALSE)*$Q49*IFERROR((VLOOKUP(P49,Settings!$E$28:$F$33,2,FALSE)+1),1)</f>
        <v>7.56</v>
      </c>
      <c r="AF49" s="57" cm="1">
        <f t="array" ref="AF49">VLOOKUP(B49,'Player Data'!$A1:$AE673,20,FALSE)*$Q49</f>
        <v>425.03999999999996</v>
      </c>
      <c r="AG49" s="57" cm="1">
        <f t="array" ref="AG49">VLOOKUP(B49,'Player Data'!$A1:$AE673,21,FALSE)*$Q49</f>
        <v>435.96000000000004</v>
      </c>
      <c r="AH49" s="59" cm="1">
        <f t="array" ref="AH49">VLOOKUP(B49,'Player Data'!$A1:$AE673,22,FALSE)</f>
        <v>0.49</v>
      </c>
      <c r="AI49" s="55"/>
      <c r="AJ49" s="57"/>
      <c r="AK49" s="57"/>
      <c r="AL49" s="57"/>
      <c r="AM49" s="57"/>
      <c r="AN49" s="57"/>
      <c r="AO49" s="57"/>
      <c r="AP49" s="57"/>
      <c r="AQ49" s="60"/>
      <c r="AR49" s="61"/>
      <c r="AS49" s="55"/>
    </row>
    <row r="50" spans="1:45" ht="21.25" customHeight="1" x14ac:dyDescent="0.15">
      <c r="A50" s="62">
        <f>RANK(K50,K$2:K$671)</f>
        <v>58</v>
      </c>
      <c r="B50" s="10" t="s">
        <v>197</v>
      </c>
      <c r="C50" s="47" t="s">
        <v>145</v>
      </c>
      <c r="D50" s="48" t="str" cm="1">
        <f t="array" ref="D50">VLOOKUP(B50,'Player Data'!A1:D673,4,FALSE)</f>
        <v>D</v>
      </c>
      <c r="E50" s="68" cm="1">
        <f t="array" ref="E50">VLOOKUP(B50,D!A1:C204,3,FALSE)</f>
        <v>25</v>
      </c>
      <c r="F50" s="63" t="str" cm="1">
        <f t="array" ref="F50">VLOOKUP(B50,'Player Data'!A1:B673,2,FALSE)</f>
        <v>DAL</v>
      </c>
      <c r="G50" s="11" cm="1">
        <f t="array" ref="G50">VLOOKUP(B50,'Player Data'!A1:D673,3,FALSE)</f>
        <v>25</v>
      </c>
      <c r="H50" s="51" cm="1">
        <f t="array" ref="H50">IFERROR(VLOOKUP(B50,ADP!A1:F671,6,FALSE)/1000000,VLOOKUP(B50,ADP!A1:F671,6,FALSE))</f>
        <v>10.856999999999999</v>
      </c>
      <c r="I50" s="52">
        <f>IF(Settings!$E$15="POINTS",((R50*Q50)*Settings!$B$12)+(S50*Settings!$B$2)+(T50*Settings!$B$3)+(U50*Settings!$B$4)+(V50*Settings!$B$5)+(X50*Settings!$B$9)+(AA50*Settings!$B$6)+(W50*Settings!$B$8)+(AB50*Settings!$B$7)+(AC50*Settings!$B$14)+(AD50*Settings!$B$15)+(AE50*Settings!$B$16)+(AF50*Settings!$B$17)+(AG50*Settings!$B$18)+(U50*Settings!$B$13)+(Y50*Settings!$B$10)+(Z50*Settings!$B$11),VLOOKUP(B50,'Standard Deviations'!A$1:C$672,3,FALSE))</f>
        <v>2.0393318062471257</v>
      </c>
      <c r="J50" s="53" cm="1">
        <f t="array" ref="J50">IF(D50="G",I50/AJ50,I50/Q50)</f>
        <v>2.5176935879594145E-2</v>
      </c>
      <c r="K50" s="52" cm="1">
        <f t="array" ref="K50">VLOOKUP(B50,D!A1:F204,6,FALSE)</f>
        <v>1.4724808917295713</v>
      </c>
      <c r="L50" s="54" cm="1">
        <f t="array" ref="L50">IFERROR(K50/H50,"N/A")</f>
        <v>0.13562502456752062</v>
      </c>
      <c r="M50" s="55">
        <v>115</v>
      </c>
      <c r="N50" s="55" cm="1">
        <f t="array" ref="N50">IFERROR(M50-A50,"N/A")</f>
        <v>57</v>
      </c>
      <c r="O50" s="55"/>
      <c r="P50" s="56" t="str" cm="1">
        <f t="array" ref="P50">_xlfn.XLOOKUP($B50,ADP!A2:A671,ADP!G2:G671)</f>
        <v>+</v>
      </c>
      <c r="Q50" s="57" cm="1">
        <f t="array" ref="Q50">IF(Settings!$E$12="YES",VLOOKUP(B50,'Player Data'!A1:E673,5,FALSE),84)</f>
        <v>81</v>
      </c>
      <c r="R50" s="55" cm="1">
        <f t="array" ref="R50">VLOOKUP(B50,'Player Data'!$A1:$AE673,6,FALSE)</f>
        <v>22.7</v>
      </c>
      <c r="S50" s="57" cm="1">
        <f t="array" ref="S50">VLOOKUP(B50,'Player Data'!$A1:$AE673,7,FALSE)*$Q50*IFERROR((VLOOKUP(P50,Settings!$E$28:$F$33,2,FALSE)+1),1)</f>
        <v>12.7575</v>
      </c>
      <c r="T50" s="57" cm="1">
        <f t="array" ref="T50">VLOOKUP(B50,'Player Data'!$A1:$AE673,8,FALSE)*$Q50*IFERROR((VLOOKUP(P50,Settings!$E$28:$F$33,2,FALSE)+1),1)</f>
        <v>36.5715</v>
      </c>
      <c r="U50" s="57" cm="1">
        <f t="array" ref="U50">SUM(S50:T50)</f>
        <v>49.329000000000001</v>
      </c>
      <c r="V50" s="57" cm="1">
        <f t="array" ref="V50">VLOOKUP(B50,'Player Data'!$A1:$AE673,10,FALSE)*$Q50*IFERROR(((VLOOKUP(P50,Settings!$E$28:$F$33,2,FALSE)/2)+1),1)</f>
        <v>151.93575000000001</v>
      </c>
      <c r="W50" s="57" cm="1">
        <f t="array" ref="W50">VLOOKUP(B50,'Player Data'!$A1:$AE673,11,FALSE)*$Q50*IFERROR((VLOOKUP(P50,Settings!$E$28:$F$33,2,FALSE)+1),1)</f>
        <v>0.85050000000000014</v>
      </c>
      <c r="X50" s="57" cm="1">
        <f t="array" ref="X50">VLOOKUP(B50,'Player Data'!$A1:$AE673,12,FALSE)*$Q50*IFERROR((VLOOKUP(P50,Settings!$E$28:$F$33,2,FALSE)+1),1)</f>
        <v>10.206</v>
      </c>
      <c r="Y50" s="57" cm="1">
        <f t="array" ref="Y50">VLOOKUP(B50,'Player Data'!$A1:$AE673,13,FALSE)*$Q50</f>
        <v>0</v>
      </c>
      <c r="Z50" s="57" cm="1">
        <f t="array" ref="Z50">VLOOKUP(B50,'Player Data'!$A1:$AE673,14,FALSE)*$Q50</f>
        <v>0</v>
      </c>
      <c r="AA50" s="57" cm="1">
        <f t="array" ref="AA50">VLOOKUP(B50,'Player Data'!$A1:$AE673,15,FALSE)*$Q50</f>
        <v>142.56</v>
      </c>
      <c r="AB50" s="57" cm="1">
        <f t="array" ref="AB50">VLOOKUP(B50,'Player Data'!$A1:$AE673,16,FALSE)*$Q50</f>
        <v>46.98</v>
      </c>
      <c r="AC50" s="57" cm="1">
        <f t="array" ref="AC50">VLOOKUP(B50,'Player Data'!$A1:$AE673,17,FALSE)*$Q50*IFERROR((VLOOKUP(P50,Settings!$E$28:$F$33,2,FALSE)+1),1)</f>
        <v>6.8040000000000012</v>
      </c>
      <c r="AD50" s="57" cm="1">
        <f t="array" ref="AD50">VLOOKUP(B50,'Player Data'!$A1:$AE673,18,FALSE)*$Q50</f>
        <v>25.92</v>
      </c>
      <c r="AE50" s="57" cm="1">
        <f t="array" ref="AE50">VLOOKUP(B50,'Player Data'!$A1:$AE673,19,FALSE)*$Q50*IFERROR((VLOOKUP(P50,Settings!$E$28:$F$33,2,FALSE)+1),1)</f>
        <v>2.5514999999999999</v>
      </c>
      <c r="AF50" s="57" cm="1">
        <f t="array" ref="AF50">VLOOKUP(B50,'Player Data'!$A1:$AE673,20,FALSE)*$Q50</f>
        <v>0</v>
      </c>
      <c r="AG50" s="57" cm="1">
        <f t="array" ref="AG50">VLOOKUP(B50,'Player Data'!$A1:$AE673,21,FALSE)*$Q50</f>
        <v>0</v>
      </c>
      <c r="AH50" s="59" cm="1">
        <f t="array" ref="AH50">VLOOKUP(B50,'Player Data'!$A1:$AE673,22,FALSE)</f>
        <v>0</v>
      </c>
      <c r="AI50" s="55"/>
      <c r="AJ50" s="57"/>
      <c r="AK50" s="57"/>
      <c r="AL50" s="57"/>
      <c r="AM50" s="57"/>
      <c r="AN50" s="57"/>
      <c r="AO50" s="57"/>
      <c r="AP50" s="57"/>
      <c r="AQ50" s="60"/>
      <c r="AR50" s="61"/>
      <c r="AS50" s="55"/>
    </row>
    <row r="51" spans="1:45" ht="21.25" customHeight="1" x14ac:dyDescent="0.15">
      <c r="A51" s="62">
        <f>RANK(K51,K$2:K$671)</f>
        <v>41</v>
      </c>
      <c r="B51" s="10" t="s">
        <v>140</v>
      </c>
      <c r="C51" s="47" t="s">
        <v>145</v>
      </c>
      <c r="D51" s="48" t="str" cm="1">
        <f t="array" ref="D51">VLOOKUP(B51,'Player Data'!A1:D673,4,FALSE)</f>
        <v>C,LW</v>
      </c>
      <c r="E51" s="74" cm="1">
        <f t="array" ref="E51">VLOOKUP(B51,LW!A1:C210,3,FALSE)</f>
        <v>6</v>
      </c>
      <c r="F51" s="69" t="str" cm="1">
        <f t="array" ref="F51">VLOOKUP(B51,'Player Data'!A1:B673,2,FALSE)</f>
        <v>N.J</v>
      </c>
      <c r="G51" s="11" cm="1">
        <f t="array" ref="G51">VLOOKUP(B51,'Player Data'!A1:D673,3,FALSE)</f>
        <v>25</v>
      </c>
      <c r="H51" s="51" cm="1">
        <f t="array" ref="H51">IFERROR(VLOOKUP(B51,ADP!A1:F671,6,FALSE)/1000000,VLOOKUP(B51,ADP!A1:F671,6,FALSE))</f>
        <v>8</v>
      </c>
      <c r="I51" s="52">
        <f>IF(Settings!$E$15="POINTS",((R51*Q51)*Settings!$B$12)+(S51*Settings!$B$2)+(T51*Settings!$B$3)+(U51*Settings!$B$4)+(V51*Settings!$B$5)+(X51*Settings!$B$9)+(AA51*Settings!$B$6)+(W51*Settings!$B$8)+(AB51*Settings!$B$7)+(AC51*Settings!$B$14)+(AD51*Settings!$B$15)+(AE51*Settings!$B$16)+(AF51*Settings!$B$17)+(AG51*Settings!$B$18)+(Y51*Settings!$B$10)+(Z51*Settings!$B$11),VLOOKUP(B51,'Standard Deviations'!A$1:C$672,3,FALSE))</f>
        <v>9.2474854787857712</v>
      </c>
      <c r="J51" s="53" cm="1">
        <f t="array" ref="J51">IF(D51="G",I51/AJ51,I51/Q51)</f>
        <v>0.12167744051033909</v>
      </c>
      <c r="K51" s="52" cm="1">
        <f t="array" ref="K51">IF(Settings!$E$18="C/LW/RW",VLOOKUP(B51,LW!A1:F210,6,FALSE),VLOOKUP(B51,F!A1:F407,6,FALSE))</f>
        <v>2.3530998343959615</v>
      </c>
      <c r="L51" s="54" cm="1">
        <f t="array" ref="L51">IFERROR(K51/H51,"N/A")</f>
        <v>0.29413747929949519</v>
      </c>
      <c r="M51" s="55">
        <v>18.8</v>
      </c>
      <c r="N51" s="55" cm="1">
        <f t="array" ref="N51">IFERROR(M51-A51,"N/A")</f>
        <v>-22.2</v>
      </c>
      <c r="O51" s="55"/>
      <c r="P51" s="56" t="str" cm="1">
        <f t="array" ref="P51">_xlfn.XLOOKUP($B51,ADP!A2:A671,ADP!G2:G671)</f>
        <v>+</v>
      </c>
      <c r="Q51" s="57" cm="1">
        <f t="array" ref="Q51">IF(Settings!$E$12="YES",VLOOKUP(B51,'Player Data'!A1:E673,5,FALSE),84)</f>
        <v>76</v>
      </c>
      <c r="R51" s="55" cm="1">
        <f t="array" ref="R51">VLOOKUP(B51,'Player Data'!$A1:$AE673,6,FALSE)</f>
        <v>21.7</v>
      </c>
      <c r="S51" s="57" cm="1">
        <f t="array" ref="S51">VLOOKUP(B51,'Player Data'!$A1:$AE673,7,FALSE)*$Q51*IFERROR((VLOOKUP(P51,Settings!$E$28:$F$33,2,FALSE)+1),1)</f>
        <v>35.910000000000004</v>
      </c>
      <c r="T51" s="57" cm="1">
        <f t="array" ref="T51">VLOOKUP(B51,'Player Data'!$A1:$AE673,8,FALSE)*$Q51*IFERROR((VLOOKUP(P51,Settings!$E$28:$F$33,2,FALSE)+1),1)</f>
        <v>61.446000000000005</v>
      </c>
      <c r="U51" s="57" cm="1">
        <f t="array" ref="U51">SUM(S51:T51)</f>
        <v>97.356000000000009</v>
      </c>
      <c r="V51" s="57" cm="1">
        <f t="array" ref="V51">VLOOKUP(B51,'Player Data'!$A1:$AE673,10,FALSE)*$Q51*IFERROR(((VLOOKUP(P51,Settings!$E$28:$F$33,2,FALSE)/2)+1),1)</f>
        <v>294.46199999999993</v>
      </c>
      <c r="W51" s="58" cm="1">
        <f t="array" ref="W51">VLOOKUP(B51,'Player Data'!$A1:$AE673,11,FALSE)*$Q51*IFERROR((VLOOKUP(P51,Settings!$E$28:$F$33,2,FALSE)+1),1)</f>
        <v>7.9800000000000013</v>
      </c>
      <c r="X51" s="57" cm="1">
        <f t="array" ref="X51">VLOOKUP(B51,'Player Data'!$A1:$AE673,12,FALSE)*$Q51*IFERROR((VLOOKUP(P51,Settings!$E$28:$F$33,2,FALSE)+1),1)</f>
        <v>33.515999999999998</v>
      </c>
      <c r="Y51" s="57" cm="1">
        <f t="array" ref="Y51">VLOOKUP(B51,'Player Data'!$A1:$AE673,13,FALSE)*$Q51</f>
        <v>0.76</v>
      </c>
      <c r="Z51" s="57" cm="1">
        <f t="array" ref="Z51">VLOOKUP(B51,'Player Data'!$A1:$AE673,14,FALSE)*$Q51</f>
        <v>0.76</v>
      </c>
      <c r="AA51" s="57" cm="1">
        <f t="array" ref="AA51">VLOOKUP(B51,'Player Data'!$A1:$AE673,15,FALSE)*$Q51</f>
        <v>37.24</v>
      </c>
      <c r="AB51" s="57" cm="1">
        <f t="array" ref="AB51">VLOOKUP(B51,'Player Data'!$A1:$AE673,16,FALSE)*$Q51</f>
        <v>12.920000000000002</v>
      </c>
      <c r="AC51" s="57" cm="1">
        <f t="array" ref="AC51">VLOOKUP(B51,'Player Data'!$A1:$AE673,17,FALSE)*$Q51*IFERROR((VLOOKUP(P51,Settings!$E$28:$F$33,2,FALSE)+1),1)</f>
        <v>2.3939999999999997</v>
      </c>
      <c r="AD51" s="57" cm="1">
        <f t="array" ref="AD51">VLOOKUP(B51,'Player Data'!$A1:$AE673,18,FALSE)*$Q51</f>
        <v>21.28</v>
      </c>
      <c r="AE51" s="57" cm="1">
        <f t="array" ref="AE51">VLOOKUP(B51,'Player Data'!$A1:$AE673,19,FALSE)*$Q51*IFERROR((VLOOKUP(P51,Settings!$E$28:$F$33,2,FALSE)+1),1)</f>
        <v>5.5860000000000003</v>
      </c>
      <c r="AF51" s="57" cm="1">
        <f t="array" ref="AF51">VLOOKUP(B51,'Player Data'!$A1:$AE673,20,FALSE)*$Q51</f>
        <v>203.68</v>
      </c>
      <c r="AG51" s="57" cm="1">
        <f t="array" ref="AG51">VLOOKUP(B51,'Player Data'!$A1:$AE673,21,FALSE)*$Q51</f>
        <v>353.40000000000003</v>
      </c>
      <c r="AH51" s="59" cm="1">
        <f t="array" ref="AH51">VLOOKUP(B51,'Player Data'!$A1:$AE673,22,FALSE)</f>
        <v>0.37</v>
      </c>
      <c r="AI51" s="55"/>
      <c r="AJ51" s="57"/>
      <c r="AK51" s="57"/>
      <c r="AL51" s="57"/>
      <c r="AM51" s="57"/>
      <c r="AN51" s="57"/>
      <c r="AO51" s="57"/>
      <c r="AP51" s="57"/>
      <c r="AQ51" s="60"/>
      <c r="AR51" s="61"/>
      <c r="AS51" s="55"/>
    </row>
    <row r="52" spans="1:45" ht="21.25" customHeight="1" x14ac:dyDescent="0.15">
      <c r="A52" s="62">
        <f>RANK(K52,K$2:K$671)</f>
        <v>42</v>
      </c>
      <c r="B52" s="10" t="s">
        <v>162</v>
      </c>
      <c r="C52" s="47" t="s">
        <v>145</v>
      </c>
      <c r="D52" s="48" t="str" cm="1">
        <f t="array" ref="D52">VLOOKUP(B52,'Player Data'!A1:D673,4,FALSE)</f>
        <v>LW,RW</v>
      </c>
      <c r="E52" s="74" cm="1">
        <f t="array" ref="E52">VLOOKUP(B52,RW!A1:F210,3,FALSE)</f>
        <v>7</v>
      </c>
      <c r="F52" s="63" t="str" cm="1">
        <f t="array" ref="F52">VLOOKUP(B52,'Player Data'!A1:B673,2,FALSE)</f>
        <v>DAL</v>
      </c>
      <c r="G52" s="11" cm="1">
        <f t="array" ref="G52">VLOOKUP(B52,'Player Data'!A1:D673,3,FALSE)</f>
        <v>29</v>
      </c>
      <c r="H52" s="51" cm="1">
        <f t="array" ref="H52">IFERROR(VLOOKUP(B52,ADP!A1:F671,6,FALSE)/1000000,VLOOKUP(B52,ADP!A1:F671,6,FALSE))</f>
        <v>12</v>
      </c>
      <c r="I52" s="52">
        <f>IF(Settings!$E$15="POINTS",((R52*Q52)*Settings!$B$12)+(S52*Settings!$B$2)+(T52*Settings!$B$3)+(U52*Settings!$B$4)+(V52*Settings!$B$5)+(X52*Settings!$B$9)+(AA52*Settings!$B$6)+(W52*Settings!$B$8)+(AB52*Settings!$B$7)+(AC52*Settings!$B$14)+(AD52*Settings!$B$15)+(AE52*Settings!$B$16)+(AF52*Settings!$B$17)+(AG52*Settings!$B$18)+(Y52*Settings!$B$10)+(Z52*Settings!$B$11),VLOOKUP(B52,'Standard Deviations'!A$1:C$672,3,FALSE))</f>
        <v>9.1685176421004204</v>
      </c>
      <c r="J52" s="53" cm="1">
        <f t="array" ref="J52">IF(D52="G",I52/AJ52,I52/Q52)</f>
        <v>0.11319157582840025</v>
      </c>
      <c r="K52" s="52" cm="1">
        <f t="array" ref="K52">IF(Settings!$E$18="C/LW/RW",VLOOKUP(B52,RW!A1:F210,6,FALSE),VLOOKUP(B52,F!A1:F407,6,FALSE))</f>
        <v>2.2812830402913429</v>
      </c>
      <c r="L52" s="54" cm="1">
        <f t="array" ref="L52">IFERROR(K52/H52,"N/A")</f>
        <v>0.19010692002427856</v>
      </c>
      <c r="M52" s="55">
        <v>24.9</v>
      </c>
      <c r="N52" s="55" cm="1">
        <f t="array" ref="N52">IFERROR(M52-A52,"N/A")</f>
        <v>-17.100000000000001</v>
      </c>
      <c r="O52" s="55"/>
      <c r="P52" s="56" cm="1">
        <f t="array" ref="P52">_xlfn.XLOOKUP($B52,ADP!A2:A671,ADP!G2:G671)</f>
        <v>0</v>
      </c>
      <c r="Q52" s="57" cm="1">
        <f t="array" ref="Q52">IF(Settings!$E$12="YES",VLOOKUP(B52,'Player Data'!A1:E673,5,FALSE),84)</f>
        <v>81</v>
      </c>
      <c r="R52" s="55" cm="1">
        <f t="array" ref="R52">VLOOKUP(B52,'Player Data'!$A1:$AE673,6,FALSE)</f>
        <v>20.3</v>
      </c>
      <c r="S52" s="57" cm="1">
        <f t="array" ref="S52">VLOOKUP(B52,'Player Data'!$A1:$AE673,7,FALSE)*$Q52*IFERROR((VLOOKUP(P52,Settings!$E$28:$F$33,2,FALSE)+1),1)</f>
        <v>31.59</v>
      </c>
      <c r="T52" s="57" cm="1">
        <f t="array" ref="T52">VLOOKUP(B52,'Player Data'!$A1:$AE673,8,FALSE)*$Q52*IFERROR((VLOOKUP(P52,Settings!$E$28:$F$33,2,FALSE)+1),1)</f>
        <v>60.75</v>
      </c>
      <c r="U52" s="57" cm="1">
        <f t="array" ref="U52">SUM(S52:T52)</f>
        <v>92.34</v>
      </c>
      <c r="V52" s="57" cm="1">
        <f t="array" ref="V52">VLOOKUP(B52,'Player Data'!$A1:$AE673,10,FALSE)*$Q52*IFERROR(((VLOOKUP(P52,Settings!$E$28:$F$33,2,FALSE)/2)+1),1)</f>
        <v>199.26</v>
      </c>
      <c r="W52" s="58" cm="1">
        <f t="array" ref="W52">VLOOKUP(B52,'Player Data'!$A1:$AE673,11,FALSE)*$Q52*IFERROR((VLOOKUP(P52,Settings!$E$28:$F$33,2,FALSE)+1),1)</f>
        <v>10.530000000000001</v>
      </c>
      <c r="X52" s="57" cm="1">
        <f t="array" ref="X52">VLOOKUP(B52,'Player Data'!$A1:$AE673,12,FALSE)*$Q52*IFERROR((VLOOKUP(P52,Settings!$E$28:$F$33,2,FALSE)+1),1)</f>
        <v>36.450000000000003</v>
      </c>
      <c r="Y52" s="57" cm="1">
        <f t="array" ref="Y52">VLOOKUP(B52,'Player Data'!$A1:$AE673,13,FALSE)*$Q52</f>
        <v>0</v>
      </c>
      <c r="Z52" s="57" cm="1">
        <f t="array" ref="Z52">VLOOKUP(B52,'Player Data'!$A1:$AE673,14,FALSE)*$Q52</f>
        <v>0</v>
      </c>
      <c r="AA52" s="57" cm="1">
        <f t="array" ref="AA52">VLOOKUP(B52,'Player Data'!$A1:$AE673,15,FALSE)*$Q52</f>
        <v>39.69</v>
      </c>
      <c r="AB52" s="57" cm="1">
        <f t="array" ref="AB52">VLOOKUP(B52,'Player Data'!$A1:$AE673,16,FALSE)*$Q52</f>
        <v>55.080000000000005</v>
      </c>
      <c r="AC52" s="57" cm="1">
        <f t="array" ref="AC52">VLOOKUP(B52,'Player Data'!$A1:$AE673,17,FALSE)*$Q52*IFERROR((VLOOKUP(P52,Settings!$E$28:$F$33,2,FALSE)+1),1)</f>
        <v>6.48</v>
      </c>
      <c r="AD52" s="57" cm="1">
        <f t="array" ref="AD52">VLOOKUP(B52,'Player Data'!$A1:$AE673,18,FALSE)*$Q52</f>
        <v>58.32</v>
      </c>
      <c r="AE52" s="57" cm="1">
        <f t="array" ref="AE52">VLOOKUP(B52,'Player Data'!$A1:$AE673,19,FALSE)*$Q52*IFERROR((VLOOKUP(P52,Settings!$E$28:$F$33,2,FALSE)+1),1)</f>
        <v>5.6700000000000008</v>
      </c>
      <c r="AF52" s="57" cm="1">
        <f t="array" ref="AF52">VLOOKUP(B52,'Player Data'!$A1:$AE673,20,FALSE)*$Q52</f>
        <v>98.009999999999991</v>
      </c>
      <c r="AG52" s="57" cm="1">
        <f t="array" ref="AG52">VLOOKUP(B52,'Player Data'!$A1:$AE673,21,FALSE)*$Q52</f>
        <v>98.009999999999991</v>
      </c>
      <c r="AH52" s="59" cm="1">
        <f t="array" ref="AH52">VLOOKUP(B52,'Player Data'!$A1:$AE673,22,FALSE)</f>
        <v>0.5</v>
      </c>
      <c r="AI52" s="55"/>
      <c r="AJ52" s="57"/>
      <c r="AK52" s="57"/>
      <c r="AL52" s="57"/>
      <c r="AM52" s="57"/>
      <c r="AN52" s="57"/>
      <c r="AO52" s="57"/>
      <c r="AP52" s="57"/>
      <c r="AQ52" s="60"/>
      <c r="AR52" s="61"/>
      <c r="AS52" s="55"/>
    </row>
    <row r="53" spans="1:45" ht="21.25" customHeight="1" x14ac:dyDescent="0.15">
      <c r="A53" s="62">
        <f>RANK(K53,K$2:K$671)</f>
        <v>57</v>
      </c>
      <c r="B53" s="10" t="s">
        <v>339</v>
      </c>
      <c r="C53" s="47" t="s">
        <v>145</v>
      </c>
      <c r="D53" s="48" t="str" cm="1">
        <f t="array" ref="D53">VLOOKUP(B53,'Player Data'!A1:D673,4,FALSE)</f>
        <v>G</v>
      </c>
      <c r="E53" s="76" cm="1">
        <f t="array" ref="E53">VLOOKUP(B53,G!A1:D66,3,FALSE)</f>
        <v>10</v>
      </c>
      <c r="F53" s="63" t="str" cm="1">
        <f t="array" ref="F53">VLOOKUP(B53,'Player Data'!A1:B673,2,FALSE)</f>
        <v>VGK</v>
      </c>
      <c r="G53" s="11" cm="1">
        <f t="array" ref="G53">VLOOKUP(B53,'Player Data'!A1:D673,3,FALSE)</f>
        <v>28</v>
      </c>
      <c r="H53" s="67" cm="1">
        <f t="array" ref="H53">IFERROR(VLOOKUP(B53,ADP!A1:F671,6,FALSE)/1000000,VLOOKUP(B53,ADP!A1:F671,6,FALSE))</f>
        <v>2</v>
      </c>
      <c r="I53" s="52">
        <f>IF(Settings!$E$15="POINTS",(AJ53*Settings!$B$29)+(AK53*Settings!$B$21)+(AL53*Settings!$B$22)+(AN53*Settings!$B$24)+(AO53*Settings!$B$25)+(AP53*Settings!$B$27)+(AM53*Settings!$B$23),VLOOKUP(B53,'Standard Deviations'!A$1:C$672,3,FALSE))</f>
        <v>3.5147572368911106</v>
      </c>
      <c r="J53" s="53" cm="1">
        <f t="array" ref="J53">IF(D53="G",I53/AJ53,I53/Q53)</f>
        <v>7.8105716375358014E-2</v>
      </c>
      <c r="K53" s="52" cm="1">
        <f t="array" ref="K53">VLOOKUP(B53,G!A1:F66,6,FALSE)</f>
        <v>1.4765719777674358</v>
      </c>
      <c r="L53" s="54" cm="1">
        <f t="array" ref="L53">IFERROR(K53/H53,"N/A")</f>
        <v>0.73828598888371788</v>
      </c>
      <c r="M53" s="55">
        <v>131.5</v>
      </c>
      <c r="N53" s="55" cm="1">
        <f t="array" ref="N53">IFERROR(M53-A53,"N/A")</f>
        <v>74.5</v>
      </c>
      <c r="O53" s="55"/>
      <c r="P53" s="56" cm="1">
        <f t="array" ref="P53">_xlfn.XLOOKUP($B53,ADP!A2:A671,ADP!G2:G671)</f>
        <v>0</v>
      </c>
      <c r="Q53" s="57"/>
      <c r="R53" s="55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9"/>
      <c r="AI53" s="55"/>
      <c r="AJ53" s="77" cm="1">
        <f t="array" ref="AJ53">VLOOKUP(B53,'Player Data'!$A1:$AE673,24,FALSE)</f>
        <v>45</v>
      </c>
      <c r="AK53" s="57" cm="1">
        <f t="array" ref="AK53">VLOOKUP(B53,'Player Data'!$A1:$AE673,25,FALSE)*$AJ53*IFERROR((VLOOKUP(P53,Settings!$E$28:$F$33,2,FALSE)+1),1)</f>
        <v>26.549999999999997</v>
      </c>
      <c r="AL53" s="57" cm="1">
        <f t="array" ref="AL53">AJ53-AK53-AM53</f>
        <v>13.950000000000003</v>
      </c>
      <c r="AM53" s="57" cm="1">
        <f t="array" ref="AM53">VLOOKUP(B53,'Player Data'!$A1:$AE673,27,FALSE)*$AJ53</f>
        <v>4.5</v>
      </c>
      <c r="AN53" s="57" cm="1">
        <f t="array" ref="AN53">VLOOKUP(B53,'Player Data'!$A1:$AE673,28,FALSE)*AJ53</f>
        <v>3.1500000000000004</v>
      </c>
      <c r="AO53" s="57" cm="1">
        <f t="array" ref="AO53">VLOOKUP(B53,'Player Data'!$A1:$AE673,29,FALSE)*$AJ53*IFERROR((VLOOKUP(P53,Settings!$E$28:$F$33,2,FALSE)/4)+1,1)</f>
        <v>1057.5</v>
      </c>
      <c r="AP53" s="57" cm="1">
        <f t="array" ref="AP53">VLOOKUP(B53,'Player Data'!$A1:$AE673,31,FALSE)*$AJ53*(IFERROR(1-(VLOOKUP(P53,Settings!$E$28:$F$33,2,FALSE)/4),1))</f>
        <v>118.35</v>
      </c>
      <c r="AQ53" s="60" cm="1">
        <f t="array" ref="AQ53">1-(AP53/(AO53+AP53))</f>
        <v>0.89934940681209341</v>
      </c>
      <c r="AR53" s="61" cm="1">
        <f t="array" ref="AR53">AP53/AJ53</f>
        <v>2.63</v>
      </c>
      <c r="AS53" s="55"/>
    </row>
    <row r="54" spans="1:45" ht="21.25" customHeight="1" x14ac:dyDescent="0.15">
      <c r="A54" s="62">
        <f>RANK(K54,K$2:K$671)</f>
        <v>43</v>
      </c>
      <c r="B54" s="10" t="s">
        <v>182</v>
      </c>
      <c r="C54" s="47" t="s">
        <v>145</v>
      </c>
      <c r="D54" s="48" t="str" cm="1">
        <f t="array" ref="D54">VLOOKUP(B54,'Player Data'!A1:D673,4,FALSE)</f>
        <v>LW,RW</v>
      </c>
      <c r="E54" s="74" cm="1">
        <f t="array" ref="E54">VLOOKUP(B54,RW!A1:F210,3,FALSE)</f>
        <v>8</v>
      </c>
      <c r="F54" s="72" t="str" cm="1">
        <f t="array" ref="F54">VLOOKUP(B54,'Player Data'!A1:B673,2,FALSE)</f>
        <v>FLA</v>
      </c>
      <c r="G54" s="11" cm="1">
        <f t="array" ref="G54">VLOOKUP(B54,'Player Data'!A1:D673,3,FALSE)</f>
        <v>28</v>
      </c>
      <c r="H54" s="51" cm="1">
        <f t="array" ref="H54">IFERROR(VLOOKUP(B54,ADP!A1:F671,6,FALSE)/1000000,VLOOKUP(B54,ADP!A1:F671,6,FALSE))</f>
        <v>9.5</v>
      </c>
      <c r="I54" s="52">
        <f>IF(Settings!$E$15="POINTS",((R54*Q54)*Settings!$B$12)+(S54*Settings!$B$2)+(T54*Settings!$B$3)+(U54*Settings!$B$4)+(V54*Settings!$B$5)+(X54*Settings!$B$9)+(AA54*Settings!$B$6)+(W54*Settings!$B$8)+(AB54*Settings!$B$7)+(AC54*Settings!$B$14)+(AD54*Settings!$B$15)+(AE54*Settings!$B$16)+(AF54*Settings!$B$17)+(AG54*Settings!$B$18)+(Y54*Settings!$B$10)+(Z54*Settings!$B$11),VLOOKUP(B54,'Standard Deviations'!A$1:C$672,3,FALSE))</f>
        <v>9.0948975523192228</v>
      </c>
      <c r="J54" s="53" cm="1">
        <f t="array" ref="J54">IF(D54="G",I54/AJ54,I54/Q54)</f>
        <v>0.11811555262752238</v>
      </c>
      <c r="K54" s="52" cm="1">
        <f t="array" ref="K54">IF(Settings!$E$18="C/LW/RW",VLOOKUP(B54,RW!A1:F210,6,FALSE),VLOOKUP(B54,F!A1:F407,6,FALSE))</f>
        <v>2.2076629505101453</v>
      </c>
      <c r="L54" s="54" cm="1">
        <f t="array" ref="L54">IFERROR(K54/H54,"N/A")</f>
        <v>0.23238557373791002</v>
      </c>
      <c r="M54" s="55">
        <v>33.299999999999997</v>
      </c>
      <c r="N54" s="55" cm="1">
        <f t="array" ref="N54">IFERROR(M54-A54,"N/A")</f>
        <v>-9.7000000000000028</v>
      </c>
      <c r="O54" s="55"/>
      <c r="P54" s="56" cm="1">
        <f t="array" ref="P54">_xlfn.XLOOKUP($B54,ADP!A2:A671,ADP!G2:G671)</f>
        <v>0</v>
      </c>
      <c r="Q54" s="57" cm="1">
        <f t="array" ref="Q54">IF(Settings!$E$12="YES",VLOOKUP(B54,'Player Data'!A1:E673,5,FALSE),84)</f>
        <v>77</v>
      </c>
      <c r="R54" s="55" cm="1">
        <f t="array" ref="R54">VLOOKUP(B54,'Player Data'!$A1:$AE673,6,FALSE)</f>
        <v>18.8</v>
      </c>
      <c r="S54" s="57" cm="1">
        <f t="array" ref="S54">VLOOKUP(B54,'Player Data'!$A1:$AE673,7,FALSE)*$Q54*IFERROR((VLOOKUP(P54,Settings!$E$28:$F$33,2,FALSE)+1),1)</f>
        <v>29.26</v>
      </c>
      <c r="T54" s="57" cm="1">
        <f t="array" ref="T54">VLOOKUP(B54,'Player Data'!$A1:$AE673,8,FALSE)*$Q54*IFERROR((VLOOKUP(P54,Settings!$E$28:$F$33,2,FALSE)+1),1)</f>
        <v>53.129999999999995</v>
      </c>
      <c r="U54" s="57" cm="1">
        <f t="array" ref="U54">SUM(S54:T54)</f>
        <v>82.39</v>
      </c>
      <c r="V54" s="57" cm="1">
        <f t="array" ref="V54">VLOOKUP(B54,'Player Data'!$A1:$AE673,10,FALSE)*$Q54*IFERROR(((VLOOKUP(P54,Settings!$E$28:$F$33,2,FALSE)/2)+1),1)</f>
        <v>237.16</v>
      </c>
      <c r="W54" s="58" cm="1">
        <f t="array" ref="W54">VLOOKUP(B54,'Player Data'!$A1:$AE673,11,FALSE)*$Q54*IFERROR((VLOOKUP(P54,Settings!$E$28:$F$33,2,FALSE)+1),1)</f>
        <v>10.01</v>
      </c>
      <c r="X54" s="57" cm="1">
        <f t="array" ref="X54">VLOOKUP(B54,'Player Data'!$A1:$AE673,12,FALSE)*$Q54*IFERROR((VLOOKUP(P54,Settings!$E$28:$F$33,2,FALSE)+1),1)</f>
        <v>30.8</v>
      </c>
      <c r="Y54" s="57" cm="1">
        <f t="array" ref="Y54">VLOOKUP(B54,'Player Data'!$A1:$AE673,13,FALSE)*$Q54</f>
        <v>0</v>
      </c>
      <c r="Z54" s="57" cm="1">
        <f t="array" ref="Z54">VLOOKUP(B54,'Player Data'!$A1:$AE673,14,FALSE)*$Q54</f>
        <v>0</v>
      </c>
      <c r="AA54" s="57" cm="1">
        <f t="array" ref="AA54">VLOOKUP(B54,'Player Data'!$A1:$AE673,15,FALSE)*$Q54</f>
        <v>23.099999999999998</v>
      </c>
      <c r="AB54" s="57" cm="1">
        <f t="array" ref="AB54">VLOOKUP(B54,'Player Data'!$A1:$AE673,16,FALSE)*$Q54</f>
        <v>96.25</v>
      </c>
      <c r="AC54" s="57" cm="1">
        <f t="array" ref="AC54">VLOOKUP(B54,'Player Data'!$A1:$AE673,17,FALSE)*$Q54*IFERROR((VLOOKUP(P54,Settings!$E$28:$F$33,2,FALSE)+1),1)</f>
        <v>5.3900000000000006</v>
      </c>
      <c r="AD54" s="57" cm="1">
        <f t="array" ref="AD54">VLOOKUP(B54,'Player Data'!$A1:$AE673,18,FALSE)*$Q54</f>
        <v>63.91</v>
      </c>
      <c r="AE54" s="57" cm="1">
        <f t="array" ref="AE54">VLOOKUP(B54,'Player Data'!$A1:$AE673,19,FALSE)*$Q54*IFERROR((VLOOKUP(P54,Settings!$E$28:$F$33,2,FALSE)+1),1)</f>
        <v>4.62</v>
      </c>
      <c r="AF54" s="57" cm="1">
        <f t="array" ref="AF54">VLOOKUP(B54,'Player Data'!$A1:$AE673,20,FALSE)*$Q54</f>
        <v>5.3900000000000006</v>
      </c>
      <c r="AG54" s="57" cm="1">
        <f t="array" ref="AG54">VLOOKUP(B54,'Player Data'!$A1:$AE673,21,FALSE)*$Q54</f>
        <v>14.63</v>
      </c>
      <c r="AH54" s="59" cm="1">
        <f t="array" ref="AH54">VLOOKUP(B54,'Player Data'!$A1:$AE673,22,FALSE)</f>
        <v>0.28999999999999998</v>
      </c>
      <c r="AI54" s="55"/>
      <c r="AJ54" s="57"/>
      <c r="AK54" s="57"/>
      <c r="AL54" s="57"/>
      <c r="AM54" s="57"/>
      <c r="AN54" s="57"/>
      <c r="AO54" s="57"/>
      <c r="AP54" s="57"/>
      <c r="AQ54" s="60"/>
      <c r="AR54" s="61"/>
      <c r="AS54" s="55"/>
    </row>
    <row r="55" spans="1:45" ht="21.25" customHeight="1" x14ac:dyDescent="0.15">
      <c r="A55" s="62">
        <f>RANK(K55,K$2:K$671)</f>
        <v>59</v>
      </c>
      <c r="B55" s="10" t="s">
        <v>206</v>
      </c>
      <c r="C55" s="47" t="s">
        <v>145</v>
      </c>
      <c r="D55" s="48" t="str" cm="1">
        <f t="array" ref="D55">VLOOKUP(B55,'Player Data'!A1:D673,4,FALSE)</f>
        <v>G</v>
      </c>
      <c r="E55" s="76" cm="1">
        <f t="array" ref="E55">VLOOKUP(B55,G!A1:D66,3,FALSE)</f>
        <v>11</v>
      </c>
      <c r="F55" s="72" t="str" cm="1">
        <f t="array" ref="F55">VLOOKUP(B55,'Player Data'!A1:B673,2,FALSE)</f>
        <v>DET</v>
      </c>
      <c r="G55" s="66" cm="1">
        <f t="array" ref="G55">VLOOKUP(B55,'Player Data'!A1:D673,3,FALSE)</f>
        <v>33</v>
      </c>
      <c r="H55" s="67" cm="1">
        <f t="array" ref="H55">IFERROR(VLOOKUP(B55,ADP!A1:F671,6,FALSE)/1000000,VLOOKUP(B55,ADP!A1:F671,6,FALSE))</f>
        <v>6.4</v>
      </c>
      <c r="I55" s="52">
        <f>IF(Settings!$E$15="POINTS",(AJ55*Settings!$B$29)+(AK55*Settings!$B$21)+(AL55*Settings!$B$22)+(AN55*Settings!$B$24)+(AO55*Settings!$B$25)+(AP55*Settings!$B$27)+(AM55*Settings!$B$23),VLOOKUP(B55,'Standard Deviations'!A$1:C$672,3,FALSE))</f>
        <v>3.4088749988588063</v>
      </c>
      <c r="J55" s="53" cm="1">
        <f t="array" ref="J55">IF(D55="G",I55/AJ55,I55/Q55)</f>
        <v>6.1979545433796475E-2</v>
      </c>
      <c r="K55" s="52" cm="1">
        <f t="array" ref="K55">VLOOKUP(B55,G!A1:F66,6,FALSE)</f>
        <v>1.3706897397351314</v>
      </c>
      <c r="L55" s="54" cm="1">
        <f t="array" ref="L55">IFERROR(K55/H55,"N/A")</f>
        <v>0.21417027183361428</v>
      </c>
      <c r="M55" s="55">
        <v>138.30000000000001</v>
      </c>
      <c r="N55" s="55" cm="1">
        <f t="array" ref="N55">IFERROR(M55-A55,"N/A")</f>
        <v>79.300000000000011</v>
      </c>
      <c r="O55" s="55"/>
      <c r="P55" s="56" cm="1">
        <f t="array" ref="P55">_xlfn.XLOOKUP($B55,ADP!A2:A671,ADP!G2:G671)</f>
        <v>0</v>
      </c>
      <c r="Q55" s="57"/>
      <c r="R55" s="55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9"/>
      <c r="AI55" s="55"/>
      <c r="AJ55" s="77" cm="1">
        <f t="array" ref="AJ55">VLOOKUP(B55,'Player Data'!$A1:$AE673,24,FALSE)</f>
        <v>55</v>
      </c>
      <c r="AK55" s="57" cm="1">
        <f t="array" ref="AK55">VLOOKUP(B55,'Player Data'!$A1:$AE673,25,FALSE)*$AJ55*IFERROR((VLOOKUP(P55,Settings!$E$28:$F$33,2,FALSE)+1),1)</f>
        <v>26.4</v>
      </c>
      <c r="AL55" s="57" cm="1">
        <f t="array" ref="AL55">AJ55-AK55-AM55</f>
        <v>21.450000000000003</v>
      </c>
      <c r="AM55" s="57" cm="1">
        <f t="array" ref="AM55">VLOOKUP(B55,'Player Data'!$A1:$AE673,27,FALSE)*$AJ55</f>
        <v>7.15</v>
      </c>
      <c r="AN55" s="57" cm="1">
        <f t="array" ref="AN55">VLOOKUP(B55,'Player Data'!$A1:$AE673,28,FALSE)*AJ55</f>
        <v>3.3</v>
      </c>
      <c r="AO55" s="57" cm="1">
        <f t="array" ref="AO55">VLOOKUP(B55,'Player Data'!$A1:$AE673,29,FALSE)*$AJ55*IFERROR((VLOOKUP(P55,Settings!$E$28:$F$33,2,FALSE)/4)+1,1)</f>
        <v>1463</v>
      </c>
      <c r="AP55" s="57" cm="1">
        <f t="array" ref="AP55">VLOOKUP(B55,'Player Data'!$A1:$AE673,31,FALSE)*$AJ55*(IFERROR(1-(VLOOKUP(P55,Settings!$E$28:$F$33,2,FALSE)/4),1))</f>
        <v>155.1</v>
      </c>
      <c r="AQ55" s="60" cm="1">
        <f t="array" ref="AQ55">1-(AP55/(AO55+AP55))</f>
        <v>0.90414683888511216</v>
      </c>
      <c r="AR55" s="61" cm="1">
        <f t="array" ref="AR55">AP55/AJ55</f>
        <v>2.82</v>
      </c>
      <c r="AS55" s="55"/>
    </row>
    <row r="56" spans="1:45" ht="21.25" customHeight="1" x14ac:dyDescent="0.15">
      <c r="A56" s="62">
        <f>RANK(K56,K$2:K$671)</f>
        <v>44</v>
      </c>
      <c r="B56" s="10" t="s">
        <v>171</v>
      </c>
      <c r="C56" s="47" t="s">
        <v>145</v>
      </c>
      <c r="D56" s="48" t="str" cm="1">
        <f t="array" ref="D56">VLOOKUP(B56,'Player Data'!A1:D673,4,FALSE)</f>
        <v>C</v>
      </c>
      <c r="E56" s="49" cm="1">
        <f t="array" ref="E56">VLOOKUP(B56,'C'!A1:C210,3,FALSE)</f>
        <v>11</v>
      </c>
      <c r="F56" s="72" t="str" cm="1">
        <f t="array" ref="F56">VLOOKUP(B56,'Player Data'!A1:B673,2,FALSE)</f>
        <v>FLA</v>
      </c>
      <c r="G56" s="11" cm="1">
        <f t="array" ref="G56">VLOOKUP(B56,'Player Data'!A1:D673,3,FALSE)</f>
        <v>31</v>
      </c>
      <c r="H56" s="51" cm="1">
        <f t="array" ref="H56">IFERROR(VLOOKUP(B56,ADP!A1:F671,6,FALSE)/1000000,VLOOKUP(B56,ADP!A1:F671,6,FALSE))</f>
        <v>10</v>
      </c>
      <c r="I56" s="52">
        <f>IF(Settings!$E$15="POINTS",((R56*Q56)*Settings!$B$12)+(S56*Settings!$B$2)+(T56*Settings!$B$3)+(U56*Settings!$B$4)+(V56*Settings!$B$5)+(X56*Settings!$B$9)+(AA56*Settings!$B$6)+(W56*Settings!$B$8)+(AB56*Settings!$B$7)+(AC56*Settings!$B$14)+(AD56*Settings!$B$15)+(AE56*Settings!$B$16)+(AF56*Settings!$B$17)+(AG56*Settings!$B$18)+(Y56*Settings!$B$10)+(Z56*Settings!$B$11),VLOOKUP(B56,'Standard Deviations'!A$1:C$672,3,FALSE))</f>
        <v>8.4487396570364766</v>
      </c>
      <c r="J56" s="53" cm="1">
        <f t="array" ref="J56">IF(D56="G",I56/AJ56,I56/Q56)</f>
        <v>0.10694607160805666</v>
      </c>
      <c r="K56" s="52" cm="1">
        <f t="array" ref="K56">IF(Settings!$E$18="C/LW/RW",VLOOKUP(B56,'C'!A1:F210,6,FALSE),VLOOKUP(B56,F!A1:F407,6,FALSE))</f>
        <v>2.0887300994214124</v>
      </c>
      <c r="L56" s="54" cm="1">
        <f t="array" ref="L56">IFERROR(K56/H56,"N/A")</f>
        <v>0.20887300994214125</v>
      </c>
      <c r="M56" s="55">
        <v>52.4</v>
      </c>
      <c r="N56" s="55" cm="1">
        <f t="array" ref="N56">IFERROR(M56-A56,"N/A")</f>
        <v>8.3999999999999986</v>
      </c>
      <c r="O56" s="55"/>
      <c r="P56" s="56" cm="1">
        <f t="array" ref="P56">_xlfn.XLOOKUP($B56,ADP!A2:A671,ADP!G2:G671)</f>
        <v>0</v>
      </c>
      <c r="Q56" s="57" cm="1">
        <f t="array" ref="Q56">IF(Settings!$E$12="YES",VLOOKUP(B56,'Player Data'!A1:E673,5,FALSE),84)</f>
        <v>79</v>
      </c>
      <c r="R56" s="55" cm="1">
        <f t="array" ref="R56">VLOOKUP(B56,'Player Data'!$A1:$AE673,6,FALSE)</f>
        <v>20.5</v>
      </c>
      <c r="S56" s="57" cm="1">
        <f t="array" ref="S56">VLOOKUP(B56,'Player Data'!$A1:$AE673,7,FALSE)*$Q56*IFERROR((VLOOKUP(P56,Settings!$E$28:$F$33,2,FALSE)+1),1)</f>
        <v>24.49</v>
      </c>
      <c r="T56" s="57" cm="1">
        <f t="array" ref="T56">VLOOKUP(B56,'Player Data'!$A1:$AE673,8,FALSE)*$Q56*IFERROR((VLOOKUP(P56,Settings!$E$28:$F$33,2,FALSE)+1),1)</f>
        <v>56.879999999999995</v>
      </c>
      <c r="U56" s="57" cm="1">
        <f t="array" ref="U56">SUM(S56:T56)</f>
        <v>81.36999999999999</v>
      </c>
      <c r="V56" s="57" cm="1">
        <f t="array" ref="V56">VLOOKUP(B56,'Player Data'!$A1:$AE673,10,FALSE)*$Q56*IFERROR(((VLOOKUP(P56,Settings!$E$28:$F$33,2,FALSE)/2)+1),1)</f>
        <v>198.29</v>
      </c>
      <c r="W56" s="58" cm="1">
        <f t="array" ref="W56">VLOOKUP(B56,'Player Data'!$A1:$AE673,11,FALSE)*$Q56*IFERROR((VLOOKUP(P56,Settings!$E$28:$F$33,2,FALSE)+1),1)</f>
        <v>7.9</v>
      </c>
      <c r="X56" s="57" cm="1">
        <f t="array" ref="X56">VLOOKUP(B56,'Player Data'!$A1:$AE673,12,FALSE)*$Q56*IFERROR((VLOOKUP(P56,Settings!$E$28:$F$33,2,FALSE)+1),1)</f>
        <v>30.810000000000002</v>
      </c>
      <c r="Y56" s="57" cm="1">
        <f t="array" ref="Y56">VLOOKUP(B56,'Player Data'!$A1:$AE673,13,FALSE)*$Q56</f>
        <v>0.79</v>
      </c>
      <c r="Z56" s="57" cm="1">
        <f t="array" ref="Z56">VLOOKUP(B56,'Player Data'!$A1:$AE673,14,FALSE)*$Q56</f>
        <v>3.16</v>
      </c>
      <c r="AA56" s="57" cm="1">
        <f t="array" ref="AA56">VLOOKUP(B56,'Player Data'!$A1:$AE673,15,FALSE)*$Q56</f>
        <v>57.67</v>
      </c>
      <c r="AB56" s="57" cm="1">
        <f t="array" ref="AB56">VLOOKUP(B56,'Player Data'!$A1:$AE673,16,FALSE)*$Q56</f>
        <v>97.96</v>
      </c>
      <c r="AC56" s="57" cm="1">
        <f t="array" ref="AC56">VLOOKUP(B56,'Player Data'!$A1:$AE673,17,FALSE)*$Q56*IFERROR((VLOOKUP(P56,Settings!$E$28:$F$33,2,FALSE)+1),1)</f>
        <v>6.32</v>
      </c>
      <c r="AD56" s="57" cm="1">
        <f t="array" ref="AD56">VLOOKUP(B56,'Player Data'!$A1:$AE673,18,FALSE)*$Q56</f>
        <v>27.65</v>
      </c>
      <c r="AE56" s="57" cm="1">
        <f t="array" ref="AE56">VLOOKUP(B56,'Player Data'!$A1:$AE673,19,FALSE)*$Q56*IFERROR((VLOOKUP(P56,Settings!$E$28:$F$33,2,FALSE)+1),1)</f>
        <v>3.95</v>
      </c>
      <c r="AF56" s="57" cm="1">
        <f t="array" ref="AF56">VLOOKUP(B56,'Player Data'!$A1:$AE673,20,FALSE)*$Q56</f>
        <v>699.93999999999994</v>
      </c>
      <c r="AG56" s="57" cm="1">
        <f t="array" ref="AG56">VLOOKUP(B56,'Player Data'!$A1:$AE673,21,FALSE)*$Q56</f>
        <v>530.88</v>
      </c>
      <c r="AH56" s="59" cm="1">
        <f t="array" ref="AH56">VLOOKUP(B56,'Player Data'!$A1:$AE673,22,FALSE)</f>
        <v>0.56999999999999995</v>
      </c>
      <c r="AI56" s="55"/>
      <c r="AJ56" s="57"/>
      <c r="AK56" s="57"/>
      <c r="AL56" s="57"/>
      <c r="AM56" s="57"/>
      <c r="AN56" s="57"/>
      <c r="AO56" s="57"/>
      <c r="AP56" s="57"/>
      <c r="AQ56" s="60"/>
      <c r="AR56" s="61"/>
      <c r="AS56" s="55"/>
    </row>
    <row r="57" spans="1:45" ht="21.25" customHeight="1" x14ac:dyDescent="0.15">
      <c r="A57" s="62">
        <f>RANK(K57,K$2:K$671)</f>
        <v>62</v>
      </c>
      <c r="B57" s="10" t="s">
        <v>183</v>
      </c>
      <c r="C57" s="47" t="s">
        <v>145</v>
      </c>
      <c r="D57" s="48" t="str" cm="1">
        <f t="array" ref="D57">VLOOKUP(B57,'Player Data'!A1:D673,4,FALSE)</f>
        <v>D</v>
      </c>
      <c r="E57" s="68" cm="1">
        <f t="array" ref="E57">VLOOKUP(B57,D!A1:C204,3,FALSE)</f>
        <v>27</v>
      </c>
      <c r="F57" s="72" t="str" cm="1">
        <f t="array" ref="F57">VLOOKUP(B57,'Player Data'!A1:B673,2,FALSE)</f>
        <v>BOS</v>
      </c>
      <c r="G57" s="11" cm="1">
        <f t="array" ref="G57">VLOOKUP(B57,'Player Data'!A1:D673,3,FALSE)</f>
        <v>28</v>
      </c>
      <c r="H57" s="51" cm="1">
        <f t="array" ref="H57">IFERROR(VLOOKUP(B57,ADP!A1:F671,6,FALSE)/1000000,VLOOKUP(B57,ADP!A1:F671,6,FALSE))</f>
        <v>9.5</v>
      </c>
      <c r="I57" s="52">
        <f>IF(Settings!$E$15="POINTS",((R57*Q57)*Settings!$B$12)+(S57*Settings!$B$2)+(T57*Settings!$B$3)+(U57*Settings!$B$4)+(V57*Settings!$B$5)+(X57*Settings!$B$9)+(AA57*Settings!$B$6)+(W57*Settings!$B$8)+(AB57*Settings!$B$7)+(AC57*Settings!$B$14)+(AD57*Settings!$B$15)+(AE57*Settings!$B$16)+(AF57*Settings!$B$17)+(AG57*Settings!$B$18)+(U57*Settings!$B$13)+(Y57*Settings!$B$10)+(Z57*Settings!$B$11),VLOOKUP(B57,'Standard Deviations'!A$1:C$672,3,FALSE))</f>
        <v>1.7255668026968056</v>
      </c>
      <c r="J57" s="53" cm="1">
        <f t="array" ref="J57">IF(D57="G",I57/AJ57,I57/Q57)</f>
        <v>2.3637901406805557E-2</v>
      </c>
      <c r="K57" s="52" cm="1">
        <f t="array" ref="K57">VLOOKUP(B57,D!A1:F204,6,FALSE)</f>
        <v>1.1587158881792512</v>
      </c>
      <c r="L57" s="54" cm="1">
        <f t="array" ref="L57">IFERROR(K57/H57,"N/A")</f>
        <v>0.12197009349255276</v>
      </c>
      <c r="M57" s="55">
        <v>99.6</v>
      </c>
      <c r="N57" s="55" cm="1">
        <f t="array" ref="N57">IFERROR(M57-A57,"N/A")</f>
        <v>37.599999999999994</v>
      </c>
      <c r="O57" s="55"/>
      <c r="P57" s="56" cm="1">
        <f t="array" ref="P57">_xlfn.XLOOKUP($B57,ADP!A2:A671,ADP!G2:G671)</f>
        <v>0</v>
      </c>
      <c r="Q57" s="57" cm="1">
        <f t="array" ref="Q57">IF(Settings!$E$12="YES",VLOOKUP(B57,'Player Data'!A1:E673,5,FALSE),84)</f>
        <v>73</v>
      </c>
      <c r="R57" s="81" cm="1">
        <f t="array" ref="R57">VLOOKUP(B57,'Player Data'!$A1:$AE673,6,FALSE)</f>
        <v>25.7</v>
      </c>
      <c r="S57" s="57" cm="1">
        <f t="array" ref="S57">VLOOKUP(B57,'Player Data'!$A1:$AE673,7,FALSE)*$Q57*IFERROR((VLOOKUP(P57,Settings!$E$28:$F$33,2,FALSE)+1),1)</f>
        <v>10.220000000000001</v>
      </c>
      <c r="T57" s="57" cm="1">
        <f t="array" ref="T57">VLOOKUP(B57,'Player Data'!$A1:$AE673,8,FALSE)*$Q57*IFERROR((VLOOKUP(P57,Settings!$E$28:$F$33,2,FALSE)+1),1)</f>
        <v>40.880000000000003</v>
      </c>
      <c r="U57" s="57" cm="1">
        <f t="array" ref="U57">SUM(S57:T57)</f>
        <v>51.1</v>
      </c>
      <c r="V57" s="57" cm="1">
        <f t="array" ref="V57">VLOOKUP(B57,'Player Data'!$A1:$AE673,10,FALSE)*$Q57*IFERROR(((VLOOKUP(P57,Settings!$E$28:$F$33,2,FALSE)/2)+1),1)</f>
        <v>132.13</v>
      </c>
      <c r="W57" s="58" cm="1">
        <f t="array" ref="W57">VLOOKUP(B57,'Player Data'!$A1:$AE673,11,FALSE)*$Q57*IFERROR((VLOOKUP(P57,Settings!$E$28:$F$33,2,FALSE)+1),1)</f>
        <v>2.19</v>
      </c>
      <c r="X57" s="57" cm="1">
        <f t="array" ref="X57">VLOOKUP(B57,'Player Data'!$A1:$AE673,12,FALSE)*$Q57*IFERROR((VLOOKUP(P57,Settings!$E$28:$F$33,2,FALSE)+1),1)</f>
        <v>16.79</v>
      </c>
      <c r="Y57" s="57" cm="1">
        <f t="array" ref="Y57">VLOOKUP(B57,'Player Data'!$A1:$AE673,13,FALSE)*$Q57</f>
        <v>0</v>
      </c>
      <c r="Z57" s="57" cm="1">
        <f t="array" ref="Z57">VLOOKUP(B57,'Player Data'!$A1:$AE673,14,FALSE)*$Q57</f>
        <v>0.73</v>
      </c>
      <c r="AA57" s="57" cm="1">
        <f t="array" ref="AA57">VLOOKUP(B57,'Player Data'!$A1:$AE673,15,FALSE)*$Q57</f>
        <v>136.51000000000002</v>
      </c>
      <c r="AB57" s="57" cm="1">
        <f t="array" ref="AB57">VLOOKUP(B57,'Player Data'!$A1:$AE673,16,FALSE)*$Q57</f>
        <v>93.44</v>
      </c>
      <c r="AC57" s="57" cm="1">
        <f t="array" ref="AC57">VLOOKUP(B57,'Player Data'!$A1:$AE673,17,FALSE)*$Q57*IFERROR((VLOOKUP(P57,Settings!$E$28:$F$33,2,FALSE)+1),1)</f>
        <v>-0.73</v>
      </c>
      <c r="AD57" s="57" cm="1">
        <f t="array" ref="AD57">VLOOKUP(B57,'Player Data'!$A1:$AE673,18,FALSE)*$Q57</f>
        <v>65.7</v>
      </c>
      <c r="AE57" s="57" cm="1">
        <f t="array" ref="AE57">VLOOKUP(B57,'Player Data'!$A1:$AE673,19,FALSE)*$Q57*IFERROR((VLOOKUP(P57,Settings!$E$28:$F$33,2,FALSE)+1),1)</f>
        <v>1.46</v>
      </c>
      <c r="AF57" s="57" cm="1">
        <f t="array" ref="AF57">VLOOKUP(B57,'Player Data'!$A1:$AE673,20,FALSE)*$Q57</f>
        <v>0</v>
      </c>
      <c r="AG57" s="57" cm="1">
        <f t="array" ref="AG57">VLOOKUP(B57,'Player Data'!$A1:$AE673,21,FALSE)*$Q57</f>
        <v>0</v>
      </c>
      <c r="AH57" s="59" cm="1">
        <f t="array" ref="AH57">VLOOKUP(B57,'Player Data'!$A1:$AE673,22,FALSE)</f>
        <v>0</v>
      </c>
      <c r="AI57" s="55"/>
      <c r="AJ57" s="57"/>
      <c r="AK57" s="57"/>
      <c r="AL57" s="57"/>
      <c r="AM57" s="57"/>
      <c r="AN57" s="57"/>
      <c r="AO57" s="57"/>
      <c r="AP57" s="57"/>
      <c r="AQ57" s="60"/>
      <c r="AR57" s="61"/>
      <c r="AS57" s="55"/>
    </row>
    <row r="58" spans="1:45" ht="21.25" customHeight="1" x14ac:dyDescent="0.15">
      <c r="A58" s="62">
        <f>RANK(K58,K$2:K$671)</f>
        <v>46</v>
      </c>
      <c r="B58" s="10" t="s">
        <v>177</v>
      </c>
      <c r="C58" s="47" t="s">
        <v>145</v>
      </c>
      <c r="D58" s="48" t="str" cm="1">
        <f t="array" ref="D58">VLOOKUP(B58,'Player Data'!A1:D673,4,FALSE)</f>
        <v>LW,RW</v>
      </c>
      <c r="E58" s="74" cm="1">
        <f t="array" ref="E58">VLOOKUP(B58,RW!A1:F210,3,FALSE)</f>
        <v>9</v>
      </c>
      <c r="F58" s="69" t="str" cm="1">
        <f t="array" ref="F58">VLOOKUP(B58,'Player Data'!A1:B673,2,FALSE)</f>
        <v>MTL</v>
      </c>
      <c r="G58" s="11" cm="1">
        <f t="array" ref="G58">VLOOKUP(B58,'Player Data'!A1:D673,3,FALSE)</f>
        <v>25</v>
      </c>
      <c r="H58" s="51" cm="1">
        <f t="array" ref="H58">IFERROR(VLOOKUP(B58,ADP!A1:F671,6,FALSE)/1000000,VLOOKUP(B58,ADP!A1:F671,6,FALSE))</f>
        <v>7.85</v>
      </c>
      <c r="I58" s="52">
        <f>IF(Settings!$E$15="POINTS",((R58*Q58)*Settings!$B$12)+(S58*Settings!$B$2)+(T58*Settings!$B$3)+(U58*Settings!$B$4)+(V58*Settings!$B$5)+(X58*Settings!$B$9)+(AA58*Settings!$B$6)+(W58*Settings!$B$8)+(AB58*Settings!$B$7)+(AC58*Settings!$B$14)+(AD58*Settings!$B$15)+(AE58*Settings!$B$16)+(AF58*Settings!$B$17)+(AG58*Settings!$B$18)+(Y58*Settings!$B$10)+(Z58*Settings!$B$11),VLOOKUP(B58,'Standard Deviations'!A$1:C$672,3,FALSE))</f>
        <v>8.89104643795757</v>
      </c>
      <c r="J58" s="53" cm="1">
        <f t="array" ref="J58">IF(D58="G",I58/AJ58,I58/Q58)</f>
        <v>0.10584579092806631</v>
      </c>
      <c r="K58" s="52" cm="1">
        <f t="array" ref="K58">IF(Settings!$E$18="C/LW/RW",VLOOKUP(B58,RW!A1:F210,6,FALSE),VLOOKUP(B58,F!A1:F407,6,FALSE))</f>
        <v>2.0038118361484925</v>
      </c>
      <c r="L58" s="54" cm="1">
        <f t="array" ref="L58">IFERROR(K58/H58,"N/A")</f>
        <v>0.25526265428643219</v>
      </c>
      <c r="M58" s="55">
        <v>18.600000000000001</v>
      </c>
      <c r="N58" s="55" cm="1">
        <f t="array" ref="N58">IFERROR(M58-A58,"N/A")</f>
        <v>-27.4</v>
      </c>
      <c r="O58" s="55"/>
      <c r="P58" s="56" cm="1">
        <f t="array" ref="P58">_xlfn.XLOOKUP($B58,ADP!A2:A671,ADP!G2:G671)</f>
        <v>0</v>
      </c>
      <c r="Q58" s="57" cm="1">
        <f t="array" ref="Q58">IF(Settings!$E$12="YES",VLOOKUP(B58,'Player Data'!A1:E673,5,FALSE),84)</f>
        <v>84</v>
      </c>
      <c r="R58" s="55" cm="1">
        <f t="array" ref="R58">VLOOKUP(B58,'Player Data'!$A1:$AE673,6,FALSE)</f>
        <v>18.2</v>
      </c>
      <c r="S58" s="57" cm="1">
        <f t="array" ref="S58">VLOOKUP(B58,'Player Data'!$A1:$AE673,7,FALSE)*$Q58*IFERROR((VLOOKUP(P58,Settings!$E$28:$F$33,2,FALSE)+1),1)</f>
        <v>42</v>
      </c>
      <c r="T58" s="57" cm="1">
        <f t="array" ref="T58">VLOOKUP(B58,'Player Data'!$A1:$AE673,8,FALSE)*$Q58*IFERROR((VLOOKUP(P58,Settings!$E$28:$F$33,2,FALSE)+1),1)</f>
        <v>38.64</v>
      </c>
      <c r="U58" s="57" cm="1">
        <f t="array" ref="U58">SUM(S58:T58)</f>
        <v>80.64</v>
      </c>
      <c r="V58" s="57" cm="1">
        <f t="array" ref="V58">VLOOKUP(B58,'Player Data'!$A1:$AE673,10,FALSE)*$Q58*IFERROR(((VLOOKUP(P58,Settings!$E$28:$F$33,2,FALSE)/2)+1),1)</f>
        <v>267.12</v>
      </c>
      <c r="W58" s="58" cm="1">
        <f t="array" ref="W58">VLOOKUP(B58,'Player Data'!$A1:$AE673,11,FALSE)*$Q58*IFERROR((VLOOKUP(P58,Settings!$E$28:$F$33,2,FALSE)+1),1)</f>
        <v>10.92</v>
      </c>
      <c r="X58" s="57" cm="1">
        <f t="array" ref="X58">VLOOKUP(B58,'Player Data'!$A1:$AE673,12,FALSE)*$Q58*IFERROR((VLOOKUP(P58,Settings!$E$28:$F$33,2,FALSE)+1),1)</f>
        <v>26.04</v>
      </c>
      <c r="Y58" s="57" cm="1">
        <f t="array" ref="Y58">VLOOKUP(B58,'Player Data'!$A1:$AE673,13,FALSE)*$Q58</f>
        <v>0</v>
      </c>
      <c r="Z58" s="57" cm="1">
        <f t="array" ref="Z58">VLOOKUP(B58,'Player Data'!$A1:$AE673,14,FALSE)*$Q58</f>
        <v>0</v>
      </c>
      <c r="AA58" s="57" cm="1">
        <f t="array" ref="AA58">VLOOKUP(B58,'Player Data'!$A1:$AE673,15,FALSE)*$Q58</f>
        <v>26.04</v>
      </c>
      <c r="AB58" s="57" cm="1">
        <f t="array" ref="AB58">VLOOKUP(B58,'Player Data'!$A1:$AE673,16,FALSE)*$Q58</f>
        <v>57.959999999999994</v>
      </c>
      <c r="AC58" s="57" cm="1">
        <f t="array" ref="AC58">VLOOKUP(B58,'Player Data'!$A1:$AE673,17,FALSE)*$Q58*IFERROR((VLOOKUP(P58,Settings!$E$28:$F$33,2,FALSE)+1),1)</f>
        <v>6.72</v>
      </c>
      <c r="AD58" s="57" cm="1">
        <f t="array" ref="AD58">VLOOKUP(B58,'Player Data'!$A1:$AE673,18,FALSE)*$Q58</f>
        <v>18.48</v>
      </c>
      <c r="AE58" s="57" cm="1">
        <f t="array" ref="AE58">VLOOKUP(B58,'Player Data'!$A1:$AE673,19,FALSE)*$Q58*IFERROR((VLOOKUP(P58,Settings!$E$28:$F$33,2,FALSE)+1),1)</f>
        <v>6.72</v>
      </c>
      <c r="AF58" s="57" cm="1">
        <f t="array" ref="AF58">VLOOKUP(B58,'Player Data'!$A1:$AE673,20,FALSE)*$Q58</f>
        <v>6.72</v>
      </c>
      <c r="AG58" s="57" cm="1">
        <f t="array" ref="AG58">VLOOKUP(B58,'Player Data'!$A1:$AE673,21,FALSE)*$Q58</f>
        <v>10.92</v>
      </c>
      <c r="AH58" s="59" cm="1">
        <f t="array" ref="AH58">VLOOKUP(B58,'Player Data'!$A1:$AE673,22,FALSE)</f>
        <v>0.38</v>
      </c>
      <c r="AI58" s="55"/>
      <c r="AJ58" s="57"/>
      <c r="AK58" s="57"/>
      <c r="AL58" s="57"/>
      <c r="AM58" s="57"/>
      <c r="AN58" s="57"/>
      <c r="AO58" s="57"/>
      <c r="AP58" s="57"/>
      <c r="AQ58" s="60"/>
      <c r="AR58" s="61"/>
      <c r="AS58" s="55"/>
    </row>
    <row r="59" spans="1:45" ht="21.25" customHeight="1" x14ac:dyDescent="0.15">
      <c r="A59" s="62">
        <f>RANK(K59,K$2:K$671)</f>
        <v>69</v>
      </c>
      <c r="B59" s="10" t="s">
        <v>288</v>
      </c>
      <c r="C59" s="47" t="s">
        <v>145</v>
      </c>
      <c r="D59" s="48" t="str" cm="1">
        <f t="array" ref="D59">VLOOKUP(B59,'Player Data'!A1:D673,4,FALSE)</f>
        <v>D</v>
      </c>
      <c r="E59" s="68" cm="1">
        <f t="array" ref="E59">VLOOKUP(B59,D!A1:C204,3,FALSE)</f>
        <v>28</v>
      </c>
      <c r="F59" s="65" t="str" cm="1">
        <f t="array" ref="F59">VLOOKUP(B59,'Player Data'!A1:B673,2,FALSE)</f>
        <v>CAR</v>
      </c>
      <c r="G59" s="71" cm="1">
        <f t="array" ref="G59">VLOOKUP(B59,'Player Data'!A1:D673,3,FALSE)</f>
        <v>24</v>
      </c>
      <c r="H59" s="51" cm="1">
        <f t="array" ref="H59">IFERROR(VLOOKUP(B59,ADP!A1:F671,6,FALSE)/1000000,VLOOKUP(B59,ADP!A1:F671,6,FALSE))</f>
        <v>0</v>
      </c>
      <c r="I59" s="52">
        <f>IF(Settings!$E$15="POINTS",((R59*Q59)*Settings!$B$12)+(S59*Settings!$B$2)+(T59*Settings!$B$3)+(U59*Settings!$B$4)+(V59*Settings!$B$5)+(X59*Settings!$B$9)+(AA59*Settings!$B$6)+(W59*Settings!$B$8)+(AB59*Settings!$B$7)+(AC59*Settings!$B$14)+(AD59*Settings!$B$15)+(AE59*Settings!$B$16)+(AF59*Settings!$B$17)+(AG59*Settings!$B$18)+(U59*Settings!$B$13)+(Y59*Settings!$B$10)+(Z59*Settings!$B$11),VLOOKUP(B59,'Standard Deviations'!A$1:C$672,3,FALSE))</f>
        <v>1.4542807860696725</v>
      </c>
      <c r="J59" s="53" cm="1">
        <f t="array" ref="J59">IF(D59="G",I59/AJ59,I59/Q59)</f>
        <v>1.7521455253851476E-2</v>
      </c>
      <c r="K59" s="52" cm="1">
        <f t="array" ref="K59">VLOOKUP(B59,D!A1:F204,6,FALSE)</f>
        <v>0.88742987155211805</v>
      </c>
      <c r="L59" s="79" t="str" cm="1">
        <f t="array" ref="L59">IFERROR(K59/H59,"N/A")</f>
        <v>N/A</v>
      </c>
      <c r="M59" s="84" t="s">
        <v>828</v>
      </c>
      <c r="N59" s="84" t="str" cm="1">
        <f t="array" ref="N59">IFERROR(M59-A59,"N/A")</f>
        <v>N/A</v>
      </c>
      <c r="O59" s="55"/>
      <c r="P59" s="56" cm="1">
        <f t="array" ref="P59">_xlfn.XLOOKUP($B59,ADP!A2:A671,ADP!G2:G671)</f>
        <v>0</v>
      </c>
      <c r="Q59" s="57" cm="1">
        <f t="array" ref="Q59">IF(Settings!$E$12="YES",VLOOKUP(B59,'Player Data'!A1:E673,5,FALSE),84)</f>
        <v>83</v>
      </c>
      <c r="R59" s="81" cm="1">
        <f t="array" ref="R59">VLOOKUP(B59,'Player Data'!$A1:$AE673,6,FALSE)</f>
        <v>19.2</v>
      </c>
      <c r="S59" s="57" cm="1">
        <f t="array" ref="S59">VLOOKUP(B59,'Player Data'!$A1:$AE673,7,FALSE)*$Q59*IFERROR((VLOOKUP(P59,Settings!$E$28:$F$33,2,FALSE)+1),1)</f>
        <v>9.1300000000000008</v>
      </c>
      <c r="T59" s="57" cm="1">
        <f t="array" ref="T59">VLOOKUP(B59,'Player Data'!$A1:$AE673,8,FALSE)*$Q59*IFERROR((VLOOKUP(P59,Settings!$E$28:$F$33,2,FALSE)+1),1)</f>
        <v>22.41</v>
      </c>
      <c r="U59" s="57" cm="1">
        <f t="array" ref="U59">SUM(S59:T59)</f>
        <v>31.54</v>
      </c>
      <c r="V59" s="57" cm="1">
        <f t="array" ref="V59">VLOOKUP(B59,'Player Data'!$A1:$AE673,10,FALSE)*$Q59*IFERROR(((VLOOKUP(P59,Settings!$E$28:$F$33,2,FALSE)/2)+1),1)</f>
        <v>122.84</v>
      </c>
      <c r="W59" s="57" cm="1">
        <f t="array" ref="W59">VLOOKUP(B59,'Player Data'!$A1:$AE673,11,FALSE)*$Q59*IFERROR((VLOOKUP(P59,Settings!$E$28:$F$33,2,FALSE)+1),1)</f>
        <v>2.4899999999999998</v>
      </c>
      <c r="X59" s="57" cm="1">
        <f t="array" ref="X59">VLOOKUP(B59,'Player Data'!$A1:$AE673,12,FALSE)*$Q59*IFERROR((VLOOKUP(P59,Settings!$E$28:$F$33,2,FALSE)+1),1)</f>
        <v>5.8100000000000005</v>
      </c>
      <c r="Y59" s="57" cm="1">
        <f t="array" ref="Y59">VLOOKUP(B59,'Player Data'!$A1:$AE673,13,FALSE)*$Q59</f>
        <v>0.83000000000000007</v>
      </c>
      <c r="Z59" s="57" cm="1">
        <f t="array" ref="Z59">VLOOKUP(B59,'Player Data'!$A1:$AE673,14,FALSE)*$Q59</f>
        <v>0.83000000000000007</v>
      </c>
      <c r="AA59" s="57" cm="1">
        <f t="array" ref="AA59">VLOOKUP(B59,'Player Data'!$A1:$AE673,15,FALSE)*$Q59</f>
        <v>102.92</v>
      </c>
      <c r="AB59" s="57" cm="1">
        <f t="array" ref="AB59">VLOOKUP(B59,'Player Data'!$A1:$AE673,16,FALSE)*$Q59</f>
        <v>123.67</v>
      </c>
      <c r="AC59" s="57" cm="1">
        <f t="array" ref="AC59">VLOOKUP(B59,'Player Data'!$A1:$AE673,17,FALSE)*$Q59*IFERROR((VLOOKUP(P59,Settings!$E$28:$F$33,2,FALSE)+1),1)</f>
        <v>7.47</v>
      </c>
      <c r="AD59" s="57" cm="1">
        <f t="array" ref="AD59">VLOOKUP(B59,'Player Data'!$A1:$AE673,18,FALSE)*$Q59</f>
        <v>36.520000000000003</v>
      </c>
      <c r="AE59" s="57" cm="1">
        <f t="array" ref="AE59">VLOOKUP(B59,'Player Data'!$A1:$AE673,19,FALSE)*$Q59*IFERROR((VLOOKUP(P59,Settings!$E$28:$F$33,2,FALSE)+1),1)</f>
        <v>1.6600000000000001</v>
      </c>
      <c r="AF59" s="57" cm="1">
        <f t="array" ref="AF59">VLOOKUP(B59,'Player Data'!$A1:$AE673,20,FALSE)*$Q59</f>
        <v>0</v>
      </c>
      <c r="AG59" s="57" cm="1">
        <f t="array" ref="AG59">VLOOKUP(B59,'Player Data'!$A1:$AE673,21,FALSE)*$Q59</f>
        <v>0</v>
      </c>
      <c r="AH59" s="59" cm="1">
        <f t="array" ref="AH59">VLOOKUP(B59,'Player Data'!$A1:$AE673,22,FALSE)</f>
        <v>0</v>
      </c>
      <c r="AI59" s="55"/>
      <c r="AJ59" s="57"/>
      <c r="AK59" s="57"/>
      <c r="AL59" s="57"/>
      <c r="AM59" s="57"/>
      <c r="AN59" s="57"/>
      <c r="AO59" s="57"/>
      <c r="AP59" s="57"/>
      <c r="AQ59" s="60"/>
      <c r="AR59" s="61"/>
      <c r="AS59" s="55"/>
    </row>
    <row r="60" spans="1:45" ht="21.25" customHeight="1" x14ac:dyDescent="0.15">
      <c r="A60" s="62">
        <f>RANK(K60,K$2:K$671)</f>
        <v>71</v>
      </c>
      <c r="B60" s="10" t="s">
        <v>178</v>
      </c>
      <c r="C60" s="47" t="s">
        <v>145</v>
      </c>
      <c r="D60" s="48" t="str" cm="1">
        <f t="array" ref="D60">VLOOKUP(B60,'Player Data'!A1:D673,4,FALSE)</f>
        <v>D</v>
      </c>
      <c r="E60" s="68" cm="1">
        <f t="array" ref="E60">VLOOKUP(B60,D!A1:C204,3,FALSE)</f>
        <v>29</v>
      </c>
      <c r="F60" s="69" t="str" cm="1">
        <f t="array" ref="F60">VLOOKUP(B60,'Player Data'!A1:B673,2,FALSE)</f>
        <v>MTL</v>
      </c>
      <c r="G60" s="11" cm="1">
        <f t="array" ref="G60">VLOOKUP(B60,'Player Data'!A1:D673,3,FALSE)</f>
        <v>26</v>
      </c>
      <c r="H60" s="51" cm="1">
        <f t="array" ref="H60">IFERROR(VLOOKUP(B60,ADP!A1:F671,6,FALSE)/1000000,VLOOKUP(B60,ADP!A1:F671,6,FALSE))</f>
        <v>9.5</v>
      </c>
      <c r="I60" s="52">
        <f>IF(Settings!$E$15="POINTS",((R60*Q60)*Settings!$B$12)+(S60*Settings!$B$2)+(T60*Settings!$B$3)+(U60*Settings!$B$4)+(V60*Settings!$B$5)+(X60*Settings!$B$9)+(AA60*Settings!$B$6)+(W60*Settings!$B$8)+(AB60*Settings!$B$7)+(AC60*Settings!$B$14)+(AD60*Settings!$B$15)+(AE60*Settings!$B$16)+(AF60*Settings!$B$17)+(AG60*Settings!$B$18)+(U60*Settings!$B$13)+(Y60*Settings!$B$10)+(Z60*Settings!$B$11),VLOOKUP(B60,'Standard Deviations'!A$1:C$672,3,FALSE))</f>
        <v>1.4431460622167667</v>
      </c>
      <c r="J60" s="53" cm="1">
        <f t="array" ref="J60">IF(D60="G",I60/AJ60,I60/Q60)</f>
        <v>1.759934222215569E-2</v>
      </c>
      <c r="K60" s="52" cm="1">
        <f t="array" ref="K60">VLOOKUP(B60,D!A1:F204,6,FALSE)</f>
        <v>0.87629514769921224</v>
      </c>
      <c r="L60" s="54" cm="1">
        <f t="array" ref="L60">IFERROR(K60/H60,"N/A")</f>
        <v>9.2241594494653925E-2</v>
      </c>
      <c r="M60" s="55">
        <v>96.3</v>
      </c>
      <c r="N60" s="55" cm="1">
        <f t="array" ref="N60">IFERROR(M60-A60,"N/A")</f>
        <v>25.299999999999997</v>
      </c>
      <c r="O60" s="55"/>
      <c r="P60" s="56" cm="1">
        <f t="array" ref="P60">_xlfn.XLOOKUP($B60,ADP!A2:A671,ADP!G2:G671)</f>
        <v>0</v>
      </c>
      <c r="Q60" s="57" cm="1">
        <f t="array" ref="Q60">IF(Settings!$E$12="YES",VLOOKUP(B60,'Player Data'!A1:E673,5,FALSE),84)</f>
        <v>82</v>
      </c>
      <c r="R60" s="55" cm="1">
        <f t="array" ref="R60">VLOOKUP(B60,'Player Data'!$A1:$AE673,6,FALSE)</f>
        <v>23.1</v>
      </c>
      <c r="S60" s="57" cm="1">
        <f t="array" ref="S60">VLOOKUP(B60,'Player Data'!$A1:$AE673,7,FALSE)*$Q60*IFERROR((VLOOKUP(P60,Settings!$E$28:$F$33,2,FALSE)+1),1)</f>
        <v>10.66</v>
      </c>
      <c r="T60" s="57" cm="1">
        <f t="array" ref="T60">VLOOKUP(B60,'Player Data'!$A1:$AE673,8,FALSE)*$Q60*IFERROR((VLOOKUP(P60,Settings!$E$28:$F$33,2,FALSE)+1),1)</f>
        <v>36.9</v>
      </c>
      <c r="U60" s="57" cm="1">
        <f t="array" ref="U60">SUM(S60:T60)</f>
        <v>47.56</v>
      </c>
      <c r="V60" s="57" cm="1">
        <f t="array" ref="V60">VLOOKUP(B60,'Player Data'!$A1:$AE673,10,FALSE)*$Q60*IFERROR(((VLOOKUP(P60,Settings!$E$28:$F$33,2,FALSE)/2)+1),1)</f>
        <v>171.38</v>
      </c>
      <c r="W60" s="57" cm="1">
        <f t="array" ref="W60">VLOOKUP(B60,'Player Data'!$A1:$AE673,11,FALSE)*$Q60*IFERROR((VLOOKUP(P60,Settings!$E$28:$F$33,2,FALSE)+1),1)</f>
        <v>0.82000000000000006</v>
      </c>
      <c r="X60" s="57" cm="1">
        <f t="array" ref="X60">VLOOKUP(B60,'Player Data'!$A1:$AE673,12,FALSE)*$Q60*IFERROR((VLOOKUP(P60,Settings!$E$28:$F$33,2,FALSE)+1),1)</f>
        <v>8.2000000000000011</v>
      </c>
      <c r="Y60" s="57" cm="1">
        <f t="array" ref="Y60">VLOOKUP(B60,'Player Data'!$A1:$AE673,13,FALSE)*$Q60</f>
        <v>0</v>
      </c>
      <c r="Z60" s="57" cm="1">
        <f t="array" ref="Z60">VLOOKUP(B60,'Player Data'!$A1:$AE673,14,FALSE)*$Q60</f>
        <v>0.82000000000000006</v>
      </c>
      <c r="AA60" s="57" cm="1">
        <f t="array" ref="AA60">VLOOKUP(B60,'Player Data'!$A1:$AE673,15,FALSE)*$Q60</f>
        <v>174.66</v>
      </c>
      <c r="AB60" s="57" cm="1">
        <f t="array" ref="AB60">VLOOKUP(B60,'Player Data'!$A1:$AE673,16,FALSE)*$Q60</f>
        <v>66.42</v>
      </c>
      <c r="AC60" s="57" cm="1">
        <f t="array" ref="AC60">VLOOKUP(B60,'Player Data'!$A1:$AE673,17,FALSE)*$Q60*IFERROR((VLOOKUP(P60,Settings!$E$28:$F$33,2,FALSE)+1),1)</f>
        <v>2.46</v>
      </c>
      <c r="AD60" s="57" cm="1">
        <f t="array" ref="AD60">VLOOKUP(B60,'Player Data'!$A1:$AE673,18,FALSE)*$Q60</f>
        <v>37.72</v>
      </c>
      <c r="AE60" s="57" cm="1">
        <f t="array" ref="AE60">VLOOKUP(B60,'Player Data'!$A1:$AE673,19,FALSE)*$Q60*IFERROR((VLOOKUP(P60,Settings!$E$28:$F$33,2,FALSE)+1),1)</f>
        <v>1.6400000000000001</v>
      </c>
      <c r="AF60" s="57" cm="1">
        <f t="array" ref="AF60">VLOOKUP(B60,'Player Data'!$A1:$AE673,20,FALSE)*$Q60</f>
        <v>0</v>
      </c>
      <c r="AG60" s="57" cm="1">
        <f t="array" ref="AG60">VLOOKUP(B60,'Player Data'!$A1:$AE673,21,FALSE)*$Q60</f>
        <v>0</v>
      </c>
      <c r="AH60" s="59" cm="1">
        <f t="array" ref="AH60">VLOOKUP(B60,'Player Data'!$A1:$AE673,22,FALSE)</f>
        <v>0</v>
      </c>
      <c r="AI60" s="55"/>
      <c r="AJ60" s="57"/>
      <c r="AK60" s="57"/>
      <c r="AL60" s="57"/>
      <c r="AM60" s="57"/>
      <c r="AN60" s="57"/>
      <c r="AO60" s="57"/>
      <c r="AP60" s="57"/>
      <c r="AQ60" s="60"/>
      <c r="AR60" s="61"/>
      <c r="AS60" s="55"/>
    </row>
    <row r="61" spans="1:45" ht="21.25" customHeight="1" x14ac:dyDescent="0.15">
      <c r="A61" s="62">
        <f>RANK(K61,K$2:K$671)</f>
        <v>65</v>
      </c>
      <c r="B61" s="10" t="s">
        <v>233</v>
      </c>
      <c r="C61" s="47" t="s">
        <v>145</v>
      </c>
      <c r="D61" s="48" t="str" cm="1">
        <f t="array" ref="D61">VLOOKUP(B61,'Player Data'!A1:D673,4,FALSE)</f>
        <v>G</v>
      </c>
      <c r="E61" s="76" cm="1">
        <f t="array" ref="E61">VLOOKUP(B61,G!A1:D66,3,FALSE)</f>
        <v>12</v>
      </c>
      <c r="F61" s="65" t="str" cm="1">
        <f t="array" ref="F61">VLOOKUP(B61,'Player Data'!A1:B673,2,FALSE)</f>
        <v>MTL</v>
      </c>
      <c r="G61" s="11" cm="1">
        <f t="array" ref="G61">VLOOKUP(B61,'Player Data'!A1:D673,3,FALSE)</f>
        <v>25</v>
      </c>
      <c r="H61" s="51" cm="1">
        <f t="array" ref="H61">IFERROR(VLOOKUP(B61,ADP!A1:F671,6,FALSE)/1000000,VLOOKUP(B61,ADP!A1:F671,6,FALSE))</f>
        <v>0.95</v>
      </c>
      <c r="I61" s="52">
        <f>IF(Settings!$E$15="POINTS",(AJ61*Settings!$B$29)+(AK61*Settings!$B$21)+(AL61*Settings!$B$22)+(AN61*Settings!$B$24)+(AO61*Settings!$B$25)+(AP61*Settings!$B$27)+(AM61*Settings!$B$23),VLOOKUP(B61,'Standard Deviations'!A$1:C$672,3,FALSE))</f>
        <v>3.0662169211422032</v>
      </c>
      <c r="J61" s="53" cm="1">
        <f t="array" ref="J61">IF(D61="G",I61/AJ61,I61/Q61)</f>
        <v>6.1324338422844064E-2</v>
      </c>
      <c r="K61" s="52" cm="1">
        <f t="array" ref="K61">VLOOKUP(B61,G!A1:F66,6,FALSE)</f>
        <v>1.0280316620185284</v>
      </c>
      <c r="L61" s="54" cm="1">
        <f t="array" ref="L61">IFERROR(K61/H61,"N/A")</f>
        <v>1.0821385915984509</v>
      </c>
      <c r="M61" s="55">
        <v>81.099999999999994</v>
      </c>
      <c r="N61" s="55" cm="1">
        <f t="array" ref="N61">IFERROR(M61-A61,"N/A")</f>
        <v>16.099999999999994</v>
      </c>
      <c r="O61" s="55"/>
      <c r="P61" s="56" cm="1">
        <f t="array" ref="P61">_xlfn.XLOOKUP($B61,ADP!A2:A671,ADP!G2:G671)</f>
        <v>0</v>
      </c>
      <c r="Q61" s="57"/>
      <c r="R61" s="55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9"/>
      <c r="AI61" s="55"/>
      <c r="AJ61" s="77" cm="1">
        <f t="array" ref="AJ61">VLOOKUP(B61,'Player Data'!$A1:$AE673,24,FALSE)</f>
        <v>50</v>
      </c>
      <c r="AK61" s="57" cm="1">
        <f t="array" ref="AK61">VLOOKUP(B61,'Player Data'!$A1:$AE673,25,FALSE)*$AJ61*IFERROR((VLOOKUP(P61,Settings!$E$28:$F$33,2,FALSE)+1),1)</f>
        <v>27.500000000000004</v>
      </c>
      <c r="AL61" s="57" cm="1">
        <f t="array" ref="AL61">AJ61-AK61-AM61</f>
        <v>16.999999999999996</v>
      </c>
      <c r="AM61" s="57" cm="1">
        <f t="array" ref="AM61">VLOOKUP(B61,'Player Data'!$A1:$AE673,27,FALSE)*$AJ61</f>
        <v>5.5</v>
      </c>
      <c r="AN61" s="57" cm="1">
        <f t="array" ref="AN61">VLOOKUP(B61,'Player Data'!$A1:$AE673,28,FALSE)*AJ61</f>
        <v>3</v>
      </c>
      <c r="AO61" s="57" cm="1">
        <f t="array" ref="AO61">VLOOKUP(B61,'Player Data'!$A1:$AE673,29,FALSE)*$AJ61*IFERROR((VLOOKUP(P61,Settings!$E$28:$F$33,2,FALSE)/4)+1,1)</f>
        <v>1305</v>
      </c>
      <c r="AP61" s="57" cm="1">
        <f t="array" ref="AP61">VLOOKUP(B61,'Player Data'!$A1:$AE673,31,FALSE)*$AJ61*(IFERROR(1-(VLOOKUP(P61,Settings!$E$28:$F$33,2,FALSE)/4),1))</f>
        <v>140.5</v>
      </c>
      <c r="AQ61" s="60" cm="1">
        <f t="array" ref="AQ61">1-(AP61/(AO61+AP61))</f>
        <v>0.90280179868557597</v>
      </c>
      <c r="AR61" s="61" cm="1">
        <f t="array" ref="AR61">AP61/AJ61</f>
        <v>2.81</v>
      </c>
      <c r="AS61" s="55"/>
    </row>
    <row r="62" spans="1:45" ht="21.25" customHeight="1" x14ac:dyDescent="0.15">
      <c r="A62" s="62">
        <f>RANK(K62,K$2:K$671)</f>
        <v>52</v>
      </c>
      <c r="B62" s="10" t="s">
        <v>192</v>
      </c>
      <c r="C62" s="47" t="s">
        <v>145</v>
      </c>
      <c r="D62" s="48" t="str" cm="1">
        <f t="array" ref="D62">VLOOKUP(B62,'Player Data'!A1:D673,4,FALSE)</f>
        <v>LW,RW</v>
      </c>
      <c r="E62" s="74" cm="1">
        <f t="array" ref="E62">VLOOKUP(B62,RW!A1:F210,3,FALSE)</f>
        <v>10</v>
      </c>
      <c r="F62" s="65" t="str" cm="1">
        <f t="array" ref="F62">VLOOKUP(B62,'Player Data'!A1:B673,2,FALSE)</f>
        <v>T.B</v>
      </c>
      <c r="G62" s="11" cm="1">
        <f t="array" ref="G62">VLOOKUP(B62,'Player Data'!A1:D673,3,FALSE)</f>
        <v>28</v>
      </c>
      <c r="H62" s="51" cm="1">
        <f t="array" ref="H62">IFERROR(VLOOKUP(B62,ADP!A1:F671,6,FALSE)/1000000,VLOOKUP(B62,ADP!A1:F671,6,FALSE))</f>
        <v>6.5</v>
      </c>
      <c r="I62" s="52">
        <f>IF(Settings!$E$15="POINTS",((R62*Q62)*Settings!$B$12)+(S62*Settings!$B$2)+(T62*Settings!$B$3)+(U62*Settings!$B$4)+(V62*Settings!$B$5)+(X62*Settings!$B$9)+(AA62*Settings!$B$6)+(W62*Settings!$B$8)+(AB62*Settings!$B$7)+(AC62*Settings!$B$14)+(AD62*Settings!$B$15)+(AE62*Settings!$B$16)+(AF62*Settings!$B$17)+(AG62*Settings!$B$18)+(Y62*Settings!$B$10)+(Z62*Settings!$B$11),VLOOKUP(B62,'Standard Deviations'!A$1:C$672,3,FALSE))</f>
        <v>8.5733122429739819</v>
      </c>
      <c r="J62" s="53" cm="1">
        <f t="array" ref="J62">IF(D62="G",I62/AJ62,I62/Q62)</f>
        <v>0.10455258832895099</v>
      </c>
      <c r="K62" s="52" cm="1">
        <f t="array" ref="K62">IF(Settings!$E$18="C/LW/RW",VLOOKUP(B62,RW!A1:F210,6,FALSE),VLOOKUP(B62,F!A1:F407,6,FALSE))</f>
        <v>1.6860776411649043</v>
      </c>
      <c r="L62" s="54" cm="1">
        <f t="array" ref="L62">IFERROR(K62/H62,"N/A")</f>
        <v>0.25939656017921603</v>
      </c>
      <c r="M62" s="55">
        <v>37.200000000000003</v>
      </c>
      <c r="N62" s="55" cm="1">
        <f t="array" ref="N62">IFERROR(M62-A62,"N/A")</f>
        <v>-14.799999999999997</v>
      </c>
      <c r="O62" s="55"/>
      <c r="P62" s="56" cm="1">
        <f t="array" ref="P62">_xlfn.XLOOKUP($B62,ADP!A2:A671,ADP!G2:G671)</f>
        <v>0</v>
      </c>
      <c r="Q62" s="57" cm="1">
        <f t="array" ref="Q62">IF(Settings!$E$12="YES",VLOOKUP(B62,'Player Data'!A1:E673,5,FALSE),84)</f>
        <v>82</v>
      </c>
      <c r="R62" s="55" cm="1">
        <f t="array" ref="R62">VLOOKUP(B62,'Player Data'!$A1:$AE673,6,FALSE)</f>
        <v>20</v>
      </c>
      <c r="S62" s="57" cm="1">
        <f t="array" ref="S62">VLOOKUP(B62,'Player Data'!$A1:$AE673,7,FALSE)*$Q62*IFERROR((VLOOKUP(P62,Settings!$E$28:$F$33,2,FALSE)+1),1)</f>
        <v>35.26</v>
      </c>
      <c r="T62" s="57" cm="1">
        <f t="array" ref="T62">VLOOKUP(B62,'Player Data'!$A1:$AE673,8,FALSE)*$Q62*IFERROR((VLOOKUP(P62,Settings!$E$28:$F$33,2,FALSE)+1),1)</f>
        <v>50.019999999999996</v>
      </c>
      <c r="U62" s="57" cm="1">
        <f t="array" ref="U62">SUM(S62:T62)</f>
        <v>85.28</v>
      </c>
      <c r="V62" s="57" cm="1">
        <f t="array" ref="V62">VLOOKUP(B62,'Player Data'!$A1:$AE673,10,FALSE)*$Q62*IFERROR(((VLOOKUP(P62,Settings!$E$28:$F$33,2,FALSE)/2)+1),1)</f>
        <v>240.26000000000002</v>
      </c>
      <c r="W62" s="57" cm="1">
        <f t="array" ref="W62">VLOOKUP(B62,'Player Data'!$A1:$AE673,11,FALSE)*$Q62*IFERROR((VLOOKUP(P62,Settings!$E$28:$F$33,2,FALSE)+1),1)</f>
        <v>4.92</v>
      </c>
      <c r="X62" s="78" cm="1">
        <f t="array" ref="X62">VLOOKUP(B62,'Player Data'!$A1:$AE673,12,FALSE)*$Q62*IFERROR((VLOOKUP(P62,Settings!$E$28:$F$33,2,FALSE)+1),1)</f>
        <v>16.400000000000002</v>
      </c>
      <c r="Y62" s="57" cm="1">
        <f t="array" ref="Y62">VLOOKUP(B62,'Player Data'!$A1:$AE673,13,FALSE)*$Q62</f>
        <v>1.6400000000000001</v>
      </c>
      <c r="Z62" s="57" cm="1">
        <f t="array" ref="Z62">VLOOKUP(B62,'Player Data'!$A1:$AE673,14,FALSE)*$Q62</f>
        <v>2.46</v>
      </c>
      <c r="AA62" s="57" cm="1">
        <f t="array" ref="AA62">VLOOKUP(B62,'Player Data'!$A1:$AE673,15,FALSE)*$Q62</f>
        <v>49.199999999999996</v>
      </c>
      <c r="AB62" s="57" cm="1">
        <f t="array" ref="AB62">VLOOKUP(B62,'Player Data'!$A1:$AE673,16,FALSE)*$Q62</f>
        <v>55.760000000000005</v>
      </c>
      <c r="AC62" s="57" cm="1">
        <f t="array" ref="AC62">VLOOKUP(B62,'Player Data'!$A1:$AE673,17,FALSE)*$Q62*IFERROR((VLOOKUP(P62,Settings!$E$28:$F$33,2,FALSE)+1),1)</f>
        <v>11.48</v>
      </c>
      <c r="AD62" s="57" cm="1">
        <f t="array" ref="AD62">VLOOKUP(B62,'Player Data'!$A1:$AE673,18,FALSE)*$Q62</f>
        <v>55.760000000000005</v>
      </c>
      <c r="AE62" s="57" cm="1">
        <f t="array" ref="AE62">VLOOKUP(B62,'Player Data'!$A1:$AE673,19,FALSE)*$Q62*IFERROR((VLOOKUP(P62,Settings!$E$28:$F$33,2,FALSE)+1),1)</f>
        <v>5.74</v>
      </c>
      <c r="AF62" s="57" cm="1">
        <f t="array" ref="AF62">VLOOKUP(B62,'Player Data'!$A1:$AE673,20,FALSE)*$Q62</f>
        <v>24.599999999999998</v>
      </c>
      <c r="AG62" s="57" cm="1">
        <f t="array" ref="AG62">VLOOKUP(B62,'Player Data'!$A1:$AE673,21,FALSE)*$Q62</f>
        <v>38.54</v>
      </c>
      <c r="AH62" s="59" cm="1">
        <f t="array" ref="AH62">VLOOKUP(B62,'Player Data'!$A1:$AE673,22,FALSE)</f>
        <v>0.39</v>
      </c>
      <c r="AI62" s="55"/>
      <c r="AJ62" s="57"/>
      <c r="AK62" s="57"/>
      <c r="AL62" s="57"/>
      <c r="AM62" s="57"/>
      <c r="AN62" s="57"/>
      <c r="AO62" s="57"/>
      <c r="AP62" s="57"/>
      <c r="AQ62" s="60"/>
      <c r="AR62" s="61"/>
      <c r="AS62" s="55"/>
    </row>
    <row r="63" spans="1:45" ht="21.25" customHeight="1" x14ac:dyDescent="0.15">
      <c r="A63" s="62">
        <f>RANK(K63,K$2:K$671)</f>
        <v>53</v>
      </c>
      <c r="B63" s="10" t="s">
        <v>166</v>
      </c>
      <c r="C63" s="47" t="s">
        <v>145</v>
      </c>
      <c r="D63" s="48" t="str" cm="1">
        <f t="array" ref="D63">VLOOKUP(B63,'Player Data'!A1:D673,4,FALSE)</f>
        <v>LW,RW</v>
      </c>
      <c r="E63" s="74" cm="1">
        <f t="array" ref="E63">VLOOKUP(B63,RW!A1:F210,3,FALSE)</f>
        <v>11</v>
      </c>
      <c r="F63" s="56" t="str" cm="1">
        <f t="array" ref="F63">VLOOKUP(B63,'Player Data'!A1:B673,2,FALSE)</f>
        <v>UTA</v>
      </c>
      <c r="G63" s="71" cm="1">
        <f t="array" ref="G63">VLOOKUP(B63,'Player Data'!A1:D673,3,FALSE)</f>
        <v>23</v>
      </c>
      <c r="H63" s="51" cm="1">
        <f t="array" ref="H63">IFERROR(VLOOKUP(B63,ADP!A1:F671,6,FALSE)/1000000,VLOOKUP(B63,ADP!A1:F671,6,FALSE))</f>
        <v>7.1420000000000003</v>
      </c>
      <c r="I63" s="52">
        <f>IF(Settings!$E$15="POINTS",((R63*Q63)*Settings!$B$12)+(S63*Settings!$B$2)+(T63*Settings!$B$3)+(U63*Settings!$B$4)+(V63*Settings!$B$5)+(X63*Settings!$B$9)+(AA63*Settings!$B$6)+(W63*Settings!$B$8)+(AB63*Settings!$B$7)+(AC63*Settings!$B$14)+(AD63*Settings!$B$15)+(AE63*Settings!$B$16)+(AF63*Settings!$B$17)+(AG63*Settings!$B$18)+(Y63*Settings!$B$10)+(Z63*Settings!$B$11),VLOOKUP(B63,'Standard Deviations'!A$1:C$672,3,FALSE))</f>
        <v>8.5418971934080048</v>
      </c>
      <c r="J63" s="53" cm="1">
        <f t="array" ref="J63">IF(D63="G",I63/AJ63,I63/Q63)</f>
        <v>0.10545552090627167</v>
      </c>
      <c r="K63" s="52" cm="1">
        <f t="array" ref="K63">IF(Settings!$E$18="C/LW/RW",VLOOKUP(B63,RW!A1:F210,6,FALSE),VLOOKUP(B63,F!A1:F407,6,FALSE))</f>
        <v>1.6546625915989273</v>
      </c>
      <c r="L63" s="54" cm="1">
        <f t="array" ref="L63">IFERROR(K63/H63,"N/A")</f>
        <v>0.2316805644915888</v>
      </c>
      <c r="M63" s="55">
        <v>39.6</v>
      </c>
      <c r="N63" s="55" cm="1">
        <f t="array" ref="N63">IFERROR(M63-A63,"N/A")</f>
        <v>-13.399999999999999</v>
      </c>
      <c r="O63" s="55"/>
      <c r="P63" s="56" t="str" cm="1">
        <f t="array" ref="P63">_xlfn.XLOOKUP($B63,ADP!A2:A671,ADP!G2:G671)</f>
        <v>+ +</v>
      </c>
      <c r="Q63" s="57" cm="1">
        <f t="array" ref="Q63">IF(Settings!$E$12="YES",VLOOKUP(B63,'Player Data'!A1:E673,5,FALSE),84)</f>
        <v>81</v>
      </c>
      <c r="R63" s="55" cm="1">
        <f t="array" ref="R63">VLOOKUP(B63,'Player Data'!$A1:$AE673,6,FALSE)</f>
        <v>17.8</v>
      </c>
      <c r="S63" s="57" cm="1">
        <f t="array" ref="S63">VLOOKUP(B63,'Player Data'!$A1:$AE673,7,FALSE)*$Q63*IFERROR((VLOOKUP(P63,Settings!$E$28:$F$33,2,FALSE)+1),1)</f>
        <v>40.095000000000006</v>
      </c>
      <c r="T63" s="57" cm="1">
        <f t="array" ref="T63">VLOOKUP(B63,'Player Data'!$A1:$AE673,8,FALSE)*$Q63*IFERROR((VLOOKUP(P63,Settings!$E$28:$F$33,2,FALSE)+1),1)</f>
        <v>41.877000000000002</v>
      </c>
      <c r="U63" s="57" cm="1">
        <f t="array" ref="U63">SUM(S63:T63)</f>
        <v>81.972000000000008</v>
      </c>
      <c r="V63" s="57" cm="1">
        <f t="array" ref="V63">VLOOKUP(B63,'Player Data'!$A1:$AE673,10,FALSE)*$Q63*IFERROR(((VLOOKUP(P63,Settings!$E$28:$F$33,2,FALSE)/2)+1),1)</f>
        <v>256.00049999999999</v>
      </c>
      <c r="W63" s="58" cm="1">
        <f t="array" ref="W63">VLOOKUP(B63,'Player Data'!$A1:$AE673,11,FALSE)*$Q63*IFERROR((VLOOKUP(P63,Settings!$E$28:$F$33,2,FALSE)+1),1)</f>
        <v>12.474000000000002</v>
      </c>
      <c r="X63" s="57" cm="1">
        <f t="array" ref="X63">VLOOKUP(B63,'Player Data'!$A1:$AE673,12,FALSE)*$Q63*IFERROR((VLOOKUP(P63,Settings!$E$28:$F$33,2,FALSE)+1),1)</f>
        <v>30.294000000000004</v>
      </c>
      <c r="Y63" s="57" cm="1">
        <f t="array" ref="Y63">VLOOKUP(B63,'Player Data'!$A1:$AE673,13,FALSE)*$Q63</f>
        <v>0</v>
      </c>
      <c r="Z63" s="57" cm="1">
        <f t="array" ref="Z63">VLOOKUP(B63,'Player Data'!$A1:$AE673,14,FALSE)*$Q63</f>
        <v>0</v>
      </c>
      <c r="AA63" s="57" cm="1">
        <f t="array" ref="AA63">VLOOKUP(B63,'Player Data'!$A1:$AE673,15,FALSE)*$Q63</f>
        <v>35.64</v>
      </c>
      <c r="AB63" s="57" cm="1">
        <f t="array" ref="AB63">VLOOKUP(B63,'Player Data'!$A1:$AE673,16,FALSE)*$Q63</f>
        <v>70.47</v>
      </c>
      <c r="AC63" s="57" cm="1">
        <f t="array" ref="AC63">VLOOKUP(B63,'Player Data'!$A1:$AE673,17,FALSE)*$Q63*IFERROR((VLOOKUP(P63,Settings!$E$28:$F$33,2,FALSE)+1),1)</f>
        <v>2.673</v>
      </c>
      <c r="AD63" s="57" cm="1">
        <f t="array" ref="AD63">VLOOKUP(B63,'Player Data'!$A1:$AE673,18,FALSE)*$Q63</f>
        <v>30.78</v>
      </c>
      <c r="AE63" s="57" cm="1">
        <f t="array" ref="AE63">VLOOKUP(B63,'Player Data'!$A1:$AE673,19,FALSE)*$Q63*IFERROR((VLOOKUP(P63,Settings!$E$28:$F$33,2,FALSE)+1),1)</f>
        <v>6.237000000000001</v>
      </c>
      <c r="AF63" s="57" cm="1">
        <f t="array" ref="AF63">VLOOKUP(B63,'Player Data'!$A1:$AE673,20,FALSE)*$Q63</f>
        <v>21.87</v>
      </c>
      <c r="AG63" s="57" cm="1">
        <f t="array" ref="AG63">VLOOKUP(B63,'Player Data'!$A1:$AE673,21,FALSE)*$Q63</f>
        <v>38.879999999999995</v>
      </c>
      <c r="AH63" s="59" cm="1">
        <f t="array" ref="AH63">VLOOKUP(B63,'Player Data'!$A1:$AE673,22,FALSE)</f>
        <v>0.36</v>
      </c>
      <c r="AI63" s="55"/>
      <c r="AJ63" s="57"/>
      <c r="AK63" s="57"/>
      <c r="AL63" s="57"/>
      <c r="AM63" s="57"/>
      <c r="AN63" s="57"/>
      <c r="AO63" s="57"/>
      <c r="AP63" s="57"/>
      <c r="AQ63" s="60"/>
      <c r="AR63" s="61"/>
      <c r="AS63" s="55"/>
    </row>
    <row r="64" spans="1:45" ht="21.25" customHeight="1" x14ac:dyDescent="0.15">
      <c r="A64" s="62">
        <f>RANK(K64,K$2:K$671)</f>
        <v>68</v>
      </c>
      <c r="B64" s="10" t="s">
        <v>172</v>
      </c>
      <c r="C64" s="47" t="s">
        <v>145</v>
      </c>
      <c r="D64" s="48" t="str" cm="1">
        <f t="array" ref="D64">VLOOKUP(B64,'Player Data'!A1:D673,4,FALSE)</f>
        <v>G</v>
      </c>
      <c r="E64" s="76" cm="1">
        <f t="array" ref="E64">VLOOKUP(B64,G!A1:D66,3,FALSE)</f>
        <v>13</v>
      </c>
      <c r="F64" s="72" t="str" cm="1">
        <f t="array" ref="F64">VLOOKUP(B64,'Player Data'!A1:B673,2,FALSE)</f>
        <v>NYI</v>
      </c>
      <c r="G64" s="66" cm="1">
        <f t="array" ref="G64">VLOOKUP(B64,'Player Data'!A1:D673,3,FALSE)</f>
        <v>31</v>
      </c>
      <c r="H64" s="51" cm="1">
        <f t="array" ref="H64">IFERROR(VLOOKUP(B64,ADP!A1:F671,6,FALSE)/1000000,VLOOKUP(B64,ADP!A1:F671,6,FALSE))</f>
        <v>8.25</v>
      </c>
      <c r="I64" s="52">
        <f>IF(Settings!$E$15="POINTS",(AJ64*Settings!$B$29)+(AK64*Settings!$B$21)+(AL64*Settings!$B$22)+(AN64*Settings!$B$24)+(AO64*Settings!$B$25)+(AP64*Settings!$B$27)+(AM64*Settings!$B$23),VLOOKUP(B64,'Standard Deviations'!A$1:C$672,3,FALSE))</f>
        <v>2.9349616030674901</v>
      </c>
      <c r="J64" s="53" cm="1">
        <f t="array" ref="J64">IF(D64="G",I64/AJ64,I64/Q64)</f>
        <v>5.336293823759073E-2</v>
      </c>
      <c r="K64" s="52" cm="1">
        <f t="array" ref="K64">VLOOKUP(B64,G!A1:F66,6,FALSE)</f>
        <v>0.89677634394381522</v>
      </c>
      <c r="L64" s="54" cm="1">
        <f t="array" ref="L64">IFERROR(K64/H64,"N/A")</f>
        <v>0.10870016290228063</v>
      </c>
      <c r="M64" s="55">
        <v>35.6</v>
      </c>
      <c r="N64" s="55" cm="1">
        <f t="array" ref="N64">IFERROR(M64-A64,"N/A")</f>
        <v>-32.4</v>
      </c>
      <c r="O64" s="55"/>
      <c r="P64" s="56" cm="1">
        <f t="array" ref="P64">_xlfn.XLOOKUP($B64,ADP!A2:A671,ADP!G2:G671)</f>
        <v>0</v>
      </c>
      <c r="Q64" s="57"/>
      <c r="R64" s="55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9"/>
      <c r="AI64" s="55"/>
      <c r="AJ64" s="77" cm="1">
        <f t="array" ref="AJ64">VLOOKUP(B64,'Player Data'!$A1:$AE673,24,FALSE)</f>
        <v>55</v>
      </c>
      <c r="AK64" s="57" cm="1">
        <f t="array" ref="AK64">VLOOKUP(B64,'Player Data'!$A1:$AE673,25,FALSE)*$AJ64*IFERROR((VLOOKUP(P64,Settings!$E$28:$F$33,2,FALSE)+1),1)</f>
        <v>25.849999999999998</v>
      </c>
      <c r="AL64" s="57" cm="1">
        <f t="array" ref="AL64">AJ64-AK64-AM64</f>
        <v>22</v>
      </c>
      <c r="AM64" s="57" cm="1">
        <f t="array" ref="AM64">VLOOKUP(B64,'Player Data'!$A1:$AE673,27,FALSE)*$AJ64</f>
        <v>7.15</v>
      </c>
      <c r="AN64" s="57" cm="1">
        <f t="array" ref="AN64">VLOOKUP(B64,'Player Data'!$A1:$AE673,28,FALSE)*AJ64</f>
        <v>2.75</v>
      </c>
      <c r="AO64" s="57" cm="1">
        <f t="array" ref="AO64">VLOOKUP(B64,'Player Data'!$A1:$AE673,29,FALSE)*$AJ64*IFERROR((VLOOKUP(P64,Settings!$E$28:$F$33,2,FALSE)/4)+1,1)</f>
        <v>1562</v>
      </c>
      <c r="AP64" s="57" cm="1">
        <f t="array" ref="AP64">VLOOKUP(B64,'Player Data'!$A1:$AE673,31,FALSE)*$AJ64*(IFERROR(1-(VLOOKUP(P64,Settings!$E$28:$F$33,2,FALSE)/4),1))</f>
        <v>158.95000000000002</v>
      </c>
      <c r="AQ64" s="60" cm="1">
        <f t="array" ref="AQ64">1-(AP64/(AO64+AP64))</f>
        <v>0.90763822307446462</v>
      </c>
      <c r="AR64" s="61" cm="1">
        <f t="array" ref="AR64">AP64/AJ64</f>
        <v>2.89</v>
      </c>
      <c r="AS64" s="55"/>
    </row>
    <row r="65" spans="1:45" ht="21.25" customHeight="1" x14ac:dyDescent="0.15">
      <c r="A65" s="62">
        <f>RANK(K65,K$2:K$671)</f>
        <v>77</v>
      </c>
      <c r="B65" s="10" t="s">
        <v>230</v>
      </c>
      <c r="C65" s="47" t="s">
        <v>145</v>
      </c>
      <c r="D65" s="48" t="str" cm="1">
        <f t="array" ref="D65">VLOOKUP(B65,'Player Data'!A1:D673,4,FALSE)</f>
        <v>D</v>
      </c>
      <c r="E65" s="68" cm="1">
        <f t="array" ref="E65">VLOOKUP(B65,D!A1:C204,3,FALSE)</f>
        <v>30</v>
      </c>
      <c r="F65" s="72" t="str" cm="1">
        <f t="array" ref="F65">VLOOKUP(B65,'Player Data'!A1:B673,2,FALSE)</f>
        <v>FLA</v>
      </c>
      <c r="G65" s="66" cm="1">
        <f t="array" ref="G65">VLOOKUP(B65,'Player Data'!A1:D673,3,FALSE)</f>
        <v>31</v>
      </c>
      <c r="H65" s="51" cm="1">
        <f t="array" ref="H65">IFERROR(VLOOKUP(B65,ADP!A1:F671,6,FALSE)/1000000,VLOOKUP(B65,ADP!A1:F671,6,FALSE))</f>
        <v>7</v>
      </c>
      <c r="I65" s="52">
        <f>IF(Settings!$E$15="POINTS",((R65*Q65)*Settings!$B$12)+(S65*Settings!$B$2)+(T65*Settings!$B$3)+(U65*Settings!$B$4)+(V65*Settings!$B$5)+(X65*Settings!$B$9)+(AA65*Settings!$B$6)+(W65*Settings!$B$8)+(AB65*Settings!$B$7)+(AC65*Settings!$B$14)+(AD65*Settings!$B$15)+(AE65*Settings!$B$16)+(AF65*Settings!$B$17)+(AG65*Settings!$B$18)+(U65*Settings!$B$13)+(Y65*Settings!$B$10)+(Z65*Settings!$B$11),VLOOKUP(B65,'Standard Deviations'!A$1:C$672,3,FALSE))</f>
        <v>1.1825786610612372</v>
      </c>
      <c r="J65" s="53" cm="1">
        <f t="array" ref="J65">IF(D65="G",I65/AJ65,I65/Q65)</f>
        <v>1.5767715480816496E-2</v>
      </c>
      <c r="K65" s="52" cm="1">
        <f t="array" ref="K65">VLOOKUP(B65,D!A1:F204,6,FALSE)</f>
        <v>0.61572774654368279</v>
      </c>
      <c r="L65" s="54" cm="1">
        <f t="array" ref="L65">IFERROR(K65/H65,"N/A")</f>
        <v>8.7961106649097537E-2</v>
      </c>
      <c r="M65" s="55">
        <v>122.8</v>
      </c>
      <c r="N65" s="55" cm="1">
        <f t="array" ref="N65">IFERROR(M65-A65,"N/A")</f>
        <v>45.8</v>
      </c>
      <c r="O65" s="55"/>
      <c r="P65" s="56" cm="1">
        <f t="array" ref="P65">_xlfn.XLOOKUP($B65,ADP!A2:A671,ADP!G2:G671)</f>
        <v>0</v>
      </c>
      <c r="Q65" s="57" cm="1">
        <f t="array" ref="Q65">IF(Settings!$E$12="YES",VLOOKUP(B65,'Player Data'!A1:E673,5,FALSE),84)</f>
        <v>75</v>
      </c>
      <c r="R65" s="55" cm="1">
        <f t="array" ref="R65">VLOOKUP(B65,'Player Data'!$A1:$AE673,6,FALSE)</f>
        <v>24.6</v>
      </c>
      <c r="S65" s="57" cm="1">
        <f t="array" ref="S65">VLOOKUP(B65,'Player Data'!$A1:$AE673,7,FALSE)*$Q65*IFERROR((VLOOKUP(P65,Settings!$E$28:$F$33,2,FALSE)+1),1)</f>
        <v>7.5</v>
      </c>
      <c r="T65" s="57" cm="1">
        <f t="array" ref="T65">VLOOKUP(B65,'Player Data'!$A1:$AE673,8,FALSE)*$Q65*IFERROR((VLOOKUP(P65,Settings!$E$28:$F$33,2,FALSE)+1),1)</f>
        <v>29.25</v>
      </c>
      <c r="U65" s="57" cm="1">
        <f t="array" ref="U65">SUM(S65:T65)</f>
        <v>36.75</v>
      </c>
      <c r="V65" s="57" cm="1">
        <f t="array" ref="V65">VLOOKUP(B65,'Player Data'!$A1:$AE673,10,FALSE)*$Q65*IFERROR(((VLOOKUP(P65,Settings!$E$28:$F$33,2,FALSE)/2)+1),1)</f>
        <v>135</v>
      </c>
      <c r="W65" s="58" cm="1">
        <f t="array" ref="W65">VLOOKUP(B65,'Player Data'!$A1:$AE673,11,FALSE)*$Q65*IFERROR((VLOOKUP(P65,Settings!$E$28:$F$33,2,FALSE)+1),1)</f>
        <v>3.75</v>
      </c>
      <c r="X65" s="57" cm="1">
        <f t="array" ref="X65">VLOOKUP(B65,'Player Data'!$A1:$AE673,12,FALSE)*$Q65*IFERROR((VLOOKUP(P65,Settings!$E$28:$F$33,2,FALSE)+1),1)</f>
        <v>15.75</v>
      </c>
      <c r="Y65" s="57" cm="1">
        <f t="array" ref="Y65">VLOOKUP(B65,'Player Data'!$A1:$AE673,13,FALSE)*$Q65</f>
        <v>0</v>
      </c>
      <c r="Z65" s="57" cm="1">
        <f t="array" ref="Z65">VLOOKUP(B65,'Player Data'!$A1:$AE673,14,FALSE)*$Q65</f>
        <v>0</v>
      </c>
      <c r="AA65" s="57" cm="1">
        <f t="array" ref="AA65">VLOOKUP(B65,'Player Data'!$A1:$AE673,15,FALSE)*$Q65</f>
        <v>111</v>
      </c>
      <c r="AB65" s="57" cm="1">
        <f t="array" ref="AB65">VLOOKUP(B65,'Player Data'!$A1:$AE673,16,FALSE)*$Q65</f>
        <v>83.250000000000014</v>
      </c>
      <c r="AC65" s="57" cm="1">
        <f t="array" ref="AC65">VLOOKUP(B65,'Player Data'!$A1:$AE673,17,FALSE)*$Q65*IFERROR((VLOOKUP(P65,Settings!$E$28:$F$33,2,FALSE)+1),1)</f>
        <v>3</v>
      </c>
      <c r="AD65" s="57" cm="1">
        <f t="array" ref="AD65">VLOOKUP(B65,'Player Data'!$A1:$AE673,18,FALSE)*$Q65</f>
        <v>32.25</v>
      </c>
      <c r="AE65" s="57" cm="1">
        <f t="array" ref="AE65">VLOOKUP(B65,'Player Data'!$A1:$AE673,19,FALSE)*$Q65*IFERROR((VLOOKUP(P65,Settings!$E$28:$F$33,2,FALSE)+1),1)</f>
        <v>1.5</v>
      </c>
      <c r="AF65" s="57" cm="1">
        <f t="array" ref="AF65">VLOOKUP(B65,'Player Data'!$A1:$AE673,20,FALSE)*$Q65</f>
        <v>0</v>
      </c>
      <c r="AG65" s="57" cm="1">
        <f t="array" ref="AG65">VLOOKUP(B65,'Player Data'!$A1:$AE673,21,FALSE)*$Q65</f>
        <v>0</v>
      </c>
      <c r="AH65" s="59" cm="1">
        <f t="array" ref="AH65">VLOOKUP(B65,'Player Data'!$A1:$AE673,22,FALSE)</f>
        <v>0</v>
      </c>
      <c r="AI65" s="55"/>
      <c r="AJ65" s="57"/>
      <c r="AK65" s="57"/>
      <c r="AL65" s="57"/>
      <c r="AM65" s="57"/>
      <c r="AN65" s="57"/>
      <c r="AO65" s="57"/>
      <c r="AP65" s="57"/>
      <c r="AQ65" s="60"/>
      <c r="AR65" s="61"/>
      <c r="AS65" s="55"/>
    </row>
    <row r="66" spans="1:45" ht="21.25" customHeight="1" x14ac:dyDescent="0.15">
      <c r="A66" s="62">
        <f>RANK(K66,K$2:K$671)</f>
        <v>56</v>
      </c>
      <c r="B66" s="10" t="s">
        <v>189</v>
      </c>
      <c r="C66" s="47" t="s">
        <v>145</v>
      </c>
      <c r="D66" s="48" t="str" cm="1">
        <f t="array" ref="D66">VLOOKUP(B66,'Player Data'!A1:D673,4,FALSE)</f>
        <v>LW,RW</v>
      </c>
      <c r="E66" s="74" cm="1">
        <f t="array" ref="E66">VLOOKUP(B66,RW!A1:F210,3,FALSE)</f>
        <v>12</v>
      </c>
      <c r="F66" s="65" t="str" cm="1">
        <f t="array" ref="F66">VLOOKUP(B66,'Player Data'!A1:B673,2,FALSE)</f>
        <v>T.B</v>
      </c>
      <c r="G66" s="66" cm="1">
        <f t="array" ref="G66">VLOOKUP(B66,'Player Data'!A1:D673,3,FALSE)</f>
        <v>31</v>
      </c>
      <c r="H66" s="51" cm="1">
        <f t="array" ref="H66">IFERROR(VLOOKUP(B66,ADP!A1:F671,6,FALSE)/1000000,VLOOKUP(B66,ADP!A1:F671,6,FALSE))</f>
        <v>9</v>
      </c>
      <c r="I66" s="52">
        <f>IF(Settings!$E$15="POINTS",((R66*Q66)*Settings!$B$12)+(S66*Settings!$B$2)+(T66*Settings!$B$3)+(U66*Settings!$B$4)+(V66*Settings!$B$5)+(X66*Settings!$B$9)+(AA66*Settings!$B$6)+(W66*Settings!$B$8)+(AB66*Settings!$B$7)+(AC66*Settings!$B$14)+(AD66*Settings!$B$15)+(AE66*Settings!$B$16)+(AF66*Settings!$B$17)+(AG66*Settings!$B$18)+(Y66*Settings!$B$10)+(Z66*Settings!$B$11),VLOOKUP(B66,'Standard Deviations'!A$1:C$672,3,FALSE))</f>
        <v>8.4293905540180667</v>
      </c>
      <c r="J66" s="53" cm="1">
        <f t="array" ref="J66">IF(D66="G",I66/AJ66,I66/Q66)</f>
        <v>0.10279744578070812</v>
      </c>
      <c r="K66" s="52" cm="1">
        <f t="array" ref="K66">IF(Settings!$E$18="C/LW/RW",VLOOKUP(B66,RW!A1:F210,6,FALSE),VLOOKUP(B66,F!A1:F407,6,FALSE))</f>
        <v>1.5421559522089892</v>
      </c>
      <c r="L66" s="54" cm="1">
        <f t="array" ref="L66">IFERROR(K66/H66,"N/A")</f>
        <v>0.17135066135655436</v>
      </c>
      <c r="M66" s="55">
        <v>33.700000000000003</v>
      </c>
      <c r="N66" s="55" cm="1">
        <f t="array" ref="N66">IFERROR(M66-A66,"N/A")</f>
        <v>-22.299999999999997</v>
      </c>
      <c r="O66" s="55"/>
      <c r="P66" s="56" cm="1">
        <f t="array" ref="P66">_xlfn.XLOOKUP($B66,ADP!A2:A671,ADP!G2:G671)</f>
        <v>0</v>
      </c>
      <c r="Q66" s="57" cm="1">
        <f t="array" ref="Q66">IF(Settings!$E$12="YES",VLOOKUP(B66,'Player Data'!A1:E673,5,FALSE),84)</f>
        <v>82</v>
      </c>
      <c r="R66" s="83" cm="1">
        <f t="array" ref="R66">VLOOKUP(B66,'Player Data'!$A1:$AE673,6,FALSE)</f>
        <v>19</v>
      </c>
      <c r="S66" s="57" cm="1">
        <f t="array" ref="S66">VLOOKUP(B66,'Player Data'!$A1:$AE673,7,FALSE)*$Q66*IFERROR((VLOOKUP(P66,Settings!$E$28:$F$33,2,FALSE)+1),1)</f>
        <v>34.44</v>
      </c>
      <c r="T66" s="57" cm="1">
        <f t="array" ref="T66">VLOOKUP(B66,'Player Data'!$A1:$AE673,8,FALSE)*$Q66*IFERROR((VLOOKUP(P66,Settings!$E$28:$F$33,2,FALSE)+1),1)</f>
        <v>45.92</v>
      </c>
      <c r="U66" s="57" cm="1">
        <f t="array" ref="U66">SUM(S66:T66)</f>
        <v>80.36</v>
      </c>
      <c r="V66" s="57" cm="1">
        <f t="array" ref="V66">VLOOKUP(B66,'Player Data'!$A1:$AE673,10,FALSE)*$Q66*IFERROR(((VLOOKUP(P66,Settings!$E$28:$F$33,2,FALSE)/2)+1),1)</f>
        <v>218.94</v>
      </c>
      <c r="W66" s="58" cm="1">
        <f t="array" ref="W66">VLOOKUP(B66,'Player Data'!$A1:$AE673,11,FALSE)*$Q66*IFERROR((VLOOKUP(P66,Settings!$E$28:$F$33,2,FALSE)+1),1)</f>
        <v>9.84</v>
      </c>
      <c r="X66" s="57" cm="1">
        <f t="array" ref="X66">VLOOKUP(B66,'Player Data'!$A1:$AE673,12,FALSE)*$Q66*IFERROR((VLOOKUP(P66,Settings!$E$28:$F$33,2,FALSE)+1),1)</f>
        <v>28.7</v>
      </c>
      <c r="Y66" s="57" cm="1">
        <f t="array" ref="Y66">VLOOKUP(B66,'Player Data'!$A1:$AE673,13,FALSE)*$Q66</f>
        <v>0</v>
      </c>
      <c r="Z66" s="57" cm="1">
        <f t="array" ref="Z66">VLOOKUP(B66,'Player Data'!$A1:$AE673,14,FALSE)*$Q66</f>
        <v>0</v>
      </c>
      <c r="AA66" s="57" cm="1">
        <f t="array" ref="AA66">VLOOKUP(B66,'Player Data'!$A1:$AE673,15,FALSE)*$Q66</f>
        <v>39.36</v>
      </c>
      <c r="AB66" s="57" cm="1">
        <f t="array" ref="AB66">VLOOKUP(B66,'Player Data'!$A1:$AE673,16,FALSE)*$Q66</f>
        <v>41.82</v>
      </c>
      <c r="AC66" s="57" cm="1">
        <f t="array" ref="AC66">VLOOKUP(B66,'Player Data'!$A1:$AE673,17,FALSE)*$Q66*IFERROR((VLOOKUP(P66,Settings!$E$28:$F$33,2,FALSE)+1),1)</f>
        <v>9.84</v>
      </c>
      <c r="AD66" s="57" cm="1">
        <f t="array" ref="AD66">VLOOKUP(B66,'Player Data'!$A1:$AE673,18,FALSE)*$Q66</f>
        <v>31.98</v>
      </c>
      <c r="AE66" s="57" cm="1">
        <f t="array" ref="AE66">VLOOKUP(B66,'Player Data'!$A1:$AE673,19,FALSE)*$Q66*IFERROR((VLOOKUP(P66,Settings!$E$28:$F$33,2,FALSE)+1),1)</f>
        <v>5.74</v>
      </c>
      <c r="AF66" s="57" cm="1">
        <f t="array" ref="AF66">VLOOKUP(B66,'Player Data'!$A1:$AE673,20,FALSE)*$Q66</f>
        <v>154.16</v>
      </c>
      <c r="AG66" s="57" cm="1">
        <f t="array" ref="AG66">VLOOKUP(B66,'Player Data'!$A1:$AE673,21,FALSE)*$Q66</f>
        <v>207.45999999999998</v>
      </c>
      <c r="AH66" s="59" cm="1">
        <f t="array" ref="AH66">VLOOKUP(B66,'Player Data'!$A1:$AE673,22,FALSE)</f>
        <v>0.43</v>
      </c>
      <c r="AI66" s="55"/>
      <c r="AJ66" s="57"/>
      <c r="AK66" s="57"/>
      <c r="AL66" s="57"/>
      <c r="AM66" s="57"/>
      <c r="AN66" s="57"/>
      <c r="AO66" s="57"/>
      <c r="AP66" s="57"/>
      <c r="AQ66" s="60"/>
      <c r="AR66" s="61"/>
      <c r="AS66" s="55"/>
    </row>
    <row r="67" spans="1:45" ht="21.25" customHeight="1" x14ac:dyDescent="0.15">
      <c r="A67" s="62">
        <f>RANK(K67,K$2:K$671)</f>
        <v>81</v>
      </c>
      <c r="B67" s="10" t="s">
        <v>294</v>
      </c>
      <c r="C67" s="47" t="s">
        <v>145</v>
      </c>
      <c r="D67" s="48" t="str" cm="1">
        <f t="array" ref="D67">VLOOKUP(B67,'Player Data'!A1:D673,4,FALSE)</f>
        <v>D</v>
      </c>
      <c r="E67" s="68" cm="1">
        <f t="array" ref="E67">VLOOKUP(B67,D!A1:C204,3,FALSE)</f>
        <v>31</v>
      </c>
      <c r="F67" s="65" t="str" cm="1">
        <f t="array" ref="F67">VLOOKUP(B67,'Player Data'!A1:B673,2,FALSE)</f>
        <v>CAR</v>
      </c>
      <c r="G67" s="11" cm="1">
        <f t="array" ref="G67">VLOOKUP(B67,'Player Data'!A1:D673,3,FALSE)</f>
        <v>26</v>
      </c>
      <c r="H67" s="51" cm="1">
        <f t="array" ref="H67">IFERROR(VLOOKUP(B67,ADP!A1:F671,6,FALSE)/1000000,VLOOKUP(B67,ADP!A1:F671,6,FALSE))</f>
        <v>7.5</v>
      </c>
      <c r="I67" s="52">
        <f>IF(Settings!$E$15="POINTS",((R67*Q67)*Settings!$B$12)+(S67*Settings!$B$2)+(T67*Settings!$B$3)+(U67*Settings!$B$4)+(V67*Settings!$B$5)+(X67*Settings!$B$9)+(AA67*Settings!$B$6)+(W67*Settings!$B$8)+(AB67*Settings!$B$7)+(AC67*Settings!$B$14)+(AD67*Settings!$B$15)+(AE67*Settings!$B$16)+(AF67*Settings!$B$17)+(AG67*Settings!$B$18)+(U67*Settings!$B$13)+(Y67*Settings!$B$10)+(Z67*Settings!$B$11),VLOOKUP(B67,'Standard Deviations'!A$1:C$672,3,FALSE))</f>
        <v>1.1308564844572015</v>
      </c>
      <c r="J67" s="53" cm="1">
        <f t="array" ref="J67">IF(D67="G",I67/AJ67,I67/Q67)</f>
        <v>1.396119116613829E-2</v>
      </c>
      <c r="K67" s="52" cm="1">
        <f t="array" ref="K67">VLOOKUP(B67,D!A1:F204,6,FALSE)</f>
        <v>0.56400556993964712</v>
      </c>
      <c r="L67" s="54" cm="1">
        <f t="array" ref="L67">IFERROR(K67/H67,"N/A")</f>
        <v>7.5200742658619618E-2</v>
      </c>
      <c r="M67" s="55">
        <v>133</v>
      </c>
      <c r="N67" s="55" cm="1">
        <f t="array" ref="N67">IFERROR(M67-A67,"N/A")</f>
        <v>52</v>
      </c>
      <c r="O67" s="55"/>
      <c r="P67" s="56" cm="1">
        <f t="array" ref="P67">_xlfn.XLOOKUP($B67,ADP!A2:A671,ADP!G2:G671)</f>
        <v>0</v>
      </c>
      <c r="Q67" s="57" cm="1">
        <f t="array" ref="Q67">IF(Settings!$E$12="YES",VLOOKUP(B67,'Player Data'!A1:E673,5,FALSE),84)</f>
        <v>81</v>
      </c>
      <c r="R67" s="55" cm="1">
        <f t="array" ref="R67">VLOOKUP(B67,'Player Data'!$A1:$AE673,6,FALSE)</f>
        <v>22.6</v>
      </c>
      <c r="S67" s="57" cm="1">
        <f t="array" ref="S67">VLOOKUP(B67,'Player Data'!$A1:$AE673,7,FALSE)*$Q67*IFERROR((VLOOKUP(P67,Settings!$E$28:$F$33,2,FALSE)+1),1)</f>
        <v>8.91</v>
      </c>
      <c r="T67" s="57" cm="1">
        <f t="array" ref="T67">VLOOKUP(B67,'Player Data'!$A1:$AE673,8,FALSE)*$Q67*IFERROR((VLOOKUP(P67,Settings!$E$28:$F$33,2,FALSE)+1),1)</f>
        <v>28.349999999999998</v>
      </c>
      <c r="U67" s="57" cm="1">
        <f t="array" ref="U67">SUM(S67:T67)</f>
        <v>37.26</v>
      </c>
      <c r="V67" s="57" cm="1">
        <f t="array" ref="V67">VLOOKUP(B67,'Player Data'!$A1:$AE673,10,FALSE)*$Q67*IFERROR(((VLOOKUP(P67,Settings!$E$28:$F$33,2,FALSE)/2)+1),1)</f>
        <v>133.65</v>
      </c>
      <c r="W67" s="57" cm="1">
        <f t="array" ref="W67">VLOOKUP(B67,'Player Data'!$A1:$AE673,11,FALSE)*$Q67*IFERROR((VLOOKUP(P67,Settings!$E$28:$F$33,2,FALSE)+1),1)</f>
        <v>0.81</v>
      </c>
      <c r="X67" s="57" cm="1">
        <f t="array" ref="X67">VLOOKUP(B67,'Player Data'!$A1:$AE673,12,FALSE)*$Q67*IFERROR((VLOOKUP(P67,Settings!$E$28:$F$33,2,FALSE)+1),1)</f>
        <v>4.8599999999999994</v>
      </c>
      <c r="Y67" s="57" cm="1">
        <f t="array" ref="Y67">VLOOKUP(B67,'Player Data'!$A1:$AE673,13,FALSE)*$Q67</f>
        <v>0.81</v>
      </c>
      <c r="Z67" s="57" cm="1">
        <f t="array" ref="Z67">VLOOKUP(B67,'Player Data'!$A1:$AE673,14,FALSE)*$Q67</f>
        <v>1.62</v>
      </c>
      <c r="AA67" s="57" cm="1">
        <f t="array" ref="AA67">VLOOKUP(B67,'Player Data'!$A1:$AE673,15,FALSE)*$Q67</f>
        <v>108.54</v>
      </c>
      <c r="AB67" s="57" cm="1">
        <f t="array" ref="AB67">VLOOKUP(B67,'Player Data'!$A1:$AE673,16,FALSE)*$Q67</f>
        <v>111.77999999999999</v>
      </c>
      <c r="AC67" s="57" cm="1">
        <f t="array" ref="AC67">VLOOKUP(B67,'Player Data'!$A1:$AE673,17,FALSE)*$Q67*IFERROR((VLOOKUP(P67,Settings!$E$28:$F$33,2,FALSE)+1),1)</f>
        <v>4.8599999999999994</v>
      </c>
      <c r="AD67" s="57" cm="1">
        <f t="array" ref="AD67">VLOOKUP(B67,'Player Data'!$A1:$AE673,18,FALSE)*$Q67</f>
        <v>45.360000000000007</v>
      </c>
      <c r="AE67" s="57" cm="1">
        <f t="array" ref="AE67">VLOOKUP(B67,'Player Data'!$A1:$AE673,19,FALSE)*$Q67*IFERROR((VLOOKUP(P67,Settings!$E$28:$F$33,2,FALSE)+1),1)</f>
        <v>1.62</v>
      </c>
      <c r="AF67" s="57" cm="1">
        <f t="array" ref="AF67">VLOOKUP(B67,'Player Data'!$A1:$AE673,20,FALSE)*$Q67</f>
        <v>0</v>
      </c>
      <c r="AG67" s="57" cm="1">
        <f t="array" ref="AG67">VLOOKUP(B67,'Player Data'!$A1:$AE673,21,FALSE)*$Q67</f>
        <v>0.81</v>
      </c>
      <c r="AH67" s="59" cm="1">
        <f t="array" ref="AH67">VLOOKUP(B67,'Player Data'!$A1:$AE673,22,FALSE)</f>
        <v>0</v>
      </c>
      <c r="AI67" s="55"/>
      <c r="AJ67" s="57"/>
      <c r="AK67" s="57"/>
      <c r="AL67" s="57"/>
      <c r="AM67" s="57"/>
      <c r="AN67" s="57"/>
      <c r="AO67" s="57"/>
      <c r="AP67" s="57"/>
      <c r="AQ67" s="60"/>
      <c r="AR67" s="61"/>
      <c r="AS67" s="55"/>
    </row>
    <row r="68" spans="1:45" ht="21.25" customHeight="1" x14ac:dyDescent="0.15">
      <c r="A68" s="62">
        <f>RANK(K68,K$2:K$671)</f>
        <v>82</v>
      </c>
      <c r="B68" s="10" t="s">
        <v>224</v>
      </c>
      <c r="C68" s="47" t="s">
        <v>145</v>
      </c>
      <c r="D68" s="48" t="str" cm="1">
        <f t="array" ref="D68">VLOOKUP(B68,'Player Data'!A1:D673,4,FALSE)</f>
        <v>D</v>
      </c>
      <c r="E68" s="68" cm="1">
        <f t="array" ref="E68">VLOOKUP(B68,D!A1:C204,3,FALSE)</f>
        <v>32</v>
      </c>
      <c r="F68" s="56" t="str" cm="1">
        <f t="array" ref="F68">VLOOKUP(B68,'Player Data'!A1:B673,2,FALSE)</f>
        <v>UTA</v>
      </c>
      <c r="G68" s="66" cm="1">
        <f t="array" ref="G68">VLOOKUP(B68,'Player Data'!A1:D673,3,FALSE)</f>
        <v>32</v>
      </c>
      <c r="H68" s="51" cm="1">
        <f t="array" ref="H68">IFERROR(VLOOKUP(B68,ADP!A1:F671,6,FALSE)/1000000,VLOOKUP(B68,ADP!A1:F671,6,FALSE))</f>
        <v>6.25</v>
      </c>
      <c r="I68" s="52">
        <f>IF(Settings!$E$15="POINTS",((R68*Q68)*Settings!$B$12)+(S68*Settings!$B$2)+(T68*Settings!$B$3)+(U68*Settings!$B$4)+(V68*Settings!$B$5)+(X68*Settings!$B$9)+(AA68*Settings!$B$6)+(W68*Settings!$B$8)+(AB68*Settings!$B$7)+(AC68*Settings!$B$14)+(AD68*Settings!$B$15)+(AE68*Settings!$B$16)+(AF68*Settings!$B$17)+(AG68*Settings!$B$18)+(U68*Settings!$B$13)+(Y68*Settings!$B$10)+(Z68*Settings!$B$11),VLOOKUP(B68,'Standard Deviations'!A$1:C$672,3,FALSE))</f>
        <v>1.1306909830498044</v>
      </c>
      <c r="J68" s="53" cm="1">
        <f t="array" ref="J68">IF(D68="G",I68/AJ68,I68/Q68)</f>
        <v>1.3622782928310897E-2</v>
      </c>
      <c r="K68" s="52" cm="1">
        <f t="array" ref="K68">VLOOKUP(B68,D!A1:F204,6,FALSE)</f>
        <v>0.56384006853224999</v>
      </c>
      <c r="L68" s="54" cm="1">
        <f t="array" ref="L68">IFERROR(K68/H68,"N/A")</f>
        <v>9.0214410965160002E-2</v>
      </c>
      <c r="M68" s="55">
        <v>110.3</v>
      </c>
      <c r="N68" s="55" cm="1">
        <f t="array" ref="N68">IFERROR(M68-A68,"N/A")</f>
        <v>28.299999999999997</v>
      </c>
      <c r="O68" s="55"/>
      <c r="P68" s="56" cm="1">
        <f t="array" ref="P68">_xlfn.XLOOKUP($B68,ADP!A2:A671,ADP!G2:G671)</f>
        <v>0</v>
      </c>
      <c r="Q68" s="57" cm="1">
        <f t="array" ref="Q68">IF(Settings!$E$12="YES",VLOOKUP(B68,'Player Data'!A1:E673,5,FALSE),84)</f>
        <v>83</v>
      </c>
      <c r="R68" s="55" cm="1">
        <f t="array" ref="R68">VLOOKUP(B68,'Player Data'!$A1:$AE673,6,FALSE)</f>
        <v>22.5</v>
      </c>
      <c r="S68" s="57" cm="1">
        <f t="array" ref="S68">VLOOKUP(B68,'Player Data'!$A1:$AE673,7,FALSE)*$Q68*IFERROR((VLOOKUP(P68,Settings!$E$28:$F$33,2,FALSE)+1),1)</f>
        <v>5.8100000000000005</v>
      </c>
      <c r="T68" s="57" cm="1">
        <f t="array" ref="T68">VLOOKUP(B68,'Player Data'!$A1:$AE673,8,FALSE)*$Q68*IFERROR((VLOOKUP(P68,Settings!$E$28:$F$33,2,FALSE)+1),1)</f>
        <v>25.73</v>
      </c>
      <c r="U68" s="57" cm="1">
        <f t="array" ref="U68">SUM(S68:T68)</f>
        <v>31.54</v>
      </c>
      <c r="V68" s="57" cm="1">
        <f t="array" ref="V68">VLOOKUP(B68,'Player Data'!$A1:$AE673,10,FALSE)*$Q68*IFERROR(((VLOOKUP(P68,Settings!$E$28:$F$33,2,FALSE)/2)+1),1)</f>
        <v>150.23000000000002</v>
      </c>
      <c r="W68" s="57" cm="1">
        <f t="array" ref="W68">VLOOKUP(B68,'Player Data'!$A1:$AE673,11,FALSE)*$Q68*IFERROR((VLOOKUP(P68,Settings!$E$28:$F$33,2,FALSE)+1),1)</f>
        <v>0.83000000000000007</v>
      </c>
      <c r="X68" s="57" cm="1">
        <f t="array" ref="X68">VLOOKUP(B68,'Player Data'!$A1:$AE673,12,FALSE)*$Q68*IFERROR((VLOOKUP(P68,Settings!$E$28:$F$33,2,FALSE)+1),1)</f>
        <v>7.47</v>
      </c>
      <c r="Y68" s="57" cm="1">
        <f t="array" ref="Y68">VLOOKUP(B68,'Player Data'!$A1:$AE673,13,FALSE)*$Q68</f>
        <v>0</v>
      </c>
      <c r="Z68" s="57" cm="1">
        <f t="array" ref="Z68">VLOOKUP(B68,'Player Data'!$A1:$AE673,14,FALSE)*$Q68</f>
        <v>1.6600000000000001</v>
      </c>
      <c r="AA68" s="57" cm="1">
        <f t="array" ref="AA68">VLOOKUP(B68,'Player Data'!$A1:$AE673,15,FALSE)*$Q68</f>
        <v>179.28</v>
      </c>
      <c r="AB68" s="57" cm="1">
        <f t="array" ref="AB68">VLOOKUP(B68,'Player Data'!$A1:$AE673,16,FALSE)*$Q68</f>
        <v>169.32</v>
      </c>
      <c r="AC68" s="57" cm="1">
        <f t="array" ref="AC68">VLOOKUP(B68,'Player Data'!$A1:$AE673,17,FALSE)*$Q68*IFERROR((VLOOKUP(P68,Settings!$E$28:$F$33,2,FALSE)+1),1)</f>
        <v>-0.83000000000000007</v>
      </c>
      <c r="AD68" s="57" cm="1">
        <f t="array" ref="AD68">VLOOKUP(B68,'Player Data'!$A1:$AE673,18,FALSE)*$Q68</f>
        <v>48.139999999999993</v>
      </c>
      <c r="AE68" s="57" cm="1">
        <f t="array" ref="AE68">VLOOKUP(B68,'Player Data'!$A1:$AE673,19,FALSE)*$Q68*IFERROR((VLOOKUP(P68,Settings!$E$28:$F$33,2,FALSE)+1),1)</f>
        <v>0.83000000000000007</v>
      </c>
      <c r="AF68" s="57" cm="1">
        <f t="array" ref="AF68">VLOOKUP(B68,'Player Data'!$A1:$AE673,20,FALSE)*$Q68</f>
        <v>0</v>
      </c>
      <c r="AG68" s="57" cm="1">
        <f t="array" ref="AG68">VLOOKUP(B68,'Player Data'!$A1:$AE673,21,FALSE)*$Q68</f>
        <v>0</v>
      </c>
      <c r="AH68" s="59" cm="1">
        <f t="array" ref="AH68">VLOOKUP(B68,'Player Data'!$A1:$AE673,22,FALSE)</f>
        <v>0</v>
      </c>
      <c r="AI68" s="55"/>
      <c r="AJ68" s="57"/>
      <c r="AK68" s="57"/>
      <c r="AL68" s="57"/>
      <c r="AM68" s="57"/>
      <c r="AN68" s="57"/>
      <c r="AO68" s="57"/>
      <c r="AP68" s="57"/>
      <c r="AQ68" s="60"/>
      <c r="AR68" s="61"/>
      <c r="AS68" s="55"/>
    </row>
    <row r="69" spans="1:45" ht="21.25" customHeight="1" x14ac:dyDescent="0.15">
      <c r="A69" s="62">
        <f>RANK(K69,K$2:K$671)</f>
        <v>74</v>
      </c>
      <c r="B69" s="10" t="s">
        <v>271</v>
      </c>
      <c r="C69" s="47" t="s">
        <v>145</v>
      </c>
      <c r="D69" s="48" t="str" cm="1">
        <f t="array" ref="D69">VLOOKUP(B69,'Player Data'!A1:D673,4,FALSE)</f>
        <v>G</v>
      </c>
      <c r="E69" s="76" cm="1">
        <f t="array" ref="E69">VLOOKUP(B69,G!A1:D66,3,FALSE)</f>
        <v>14</v>
      </c>
      <c r="F69" s="18" t="str" cm="1">
        <f t="array" ref="F69">VLOOKUP(B69,'Player Data'!A1:B673,2,FALSE)</f>
        <v>FLA</v>
      </c>
      <c r="G69" s="66" cm="1">
        <f t="array" ref="G69">VLOOKUP(B69,'Player Data'!A1:D673,3,FALSE)</f>
        <v>36</v>
      </c>
      <c r="H69" s="51" cm="1">
        <f t="array" ref="H69">IFERROR(VLOOKUP(B69,ADP!A1:F671,6,FALSE)/1000000,VLOOKUP(B69,ADP!A1:F671,6,FALSE))</f>
        <v>6</v>
      </c>
      <c r="I69" s="52">
        <f>IF(Settings!$E$15="POINTS",(AJ69*Settings!$B$29)+(AK69*Settings!$B$21)+(AL69*Settings!$B$22)+(AN69*Settings!$B$24)+(AO69*Settings!$B$25)+(AP69*Settings!$B$27)+(AM69*Settings!$B$23),VLOOKUP(B69,'Standard Deviations'!A$1:C$672,3,FALSE))</f>
        <v>2.7838671640612334</v>
      </c>
      <c r="J69" s="53" cm="1">
        <f t="array" ref="J69">IF(D69="G",I69/AJ69,I69/Q69)</f>
        <v>5.3535907001177566E-2</v>
      </c>
      <c r="K69" s="52" cm="1">
        <f t="array" ref="K69">VLOOKUP(B69,G!A1:F66,6,FALSE)</f>
        <v>0.74568190493755848</v>
      </c>
      <c r="L69" s="54" cm="1">
        <f t="array" ref="L69">IFERROR(K69/H69,"N/A")</f>
        <v>0.12428031748959308</v>
      </c>
      <c r="M69" s="55">
        <v>72.5</v>
      </c>
      <c r="N69" s="55" cm="1">
        <f t="array" ref="N69">IFERROR(M69-A69,"N/A")</f>
        <v>-1.5</v>
      </c>
      <c r="O69" s="55"/>
      <c r="P69" s="56" cm="1">
        <f t="array" ref="P69">_xlfn.XLOOKUP($B69,ADP!A2:A671,ADP!G2:G671)</f>
        <v>0</v>
      </c>
      <c r="Q69" s="57"/>
      <c r="R69" s="55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9"/>
      <c r="AI69" s="55"/>
      <c r="AJ69" s="77" cm="1">
        <f t="array" ref="AJ69">VLOOKUP(B69,'Player Data'!$A1:$AE673,24,FALSE)</f>
        <v>52</v>
      </c>
      <c r="AK69" s="57" cm="1">
        <f t="array" ref="AK69">VLOOKUP(B69,'Player Data'!$A1:$AE673,25,FALSE)*$AJ69*IFERROR((VLOOKUP(P69,Settings!$E$28:$F$33,2,FALSE)+1),1)</f>
        <v>29.120000000000005</v>
      </c>
      <c r="AL69" s="57" cm="1">
        <f t="array" ref="AL69">AJ69-AK69-AM69</f>
        <v>17.159999999999997</v>
      </c>
      <c r="AM69" s="57" cm="1">
        <f t="array" ref="AM69">VLOOKUP(B69,'Player Data'!$A1:$AE673,27,FALSE)*$AJ69</f>
        <v>5.72</v>
      </c>
      <c r="AN69" s="57" cm="1">
        <f t="array" ref="AN69">VLOOKUP(B69,'Player Data'!$A1:$AE673,28,FALSE)*AJ69</f>
        <v>3.12</v>
      </c>
      <c r="AO69" s="57" cm="1">
        <f t="array" ref="AO69">VLOOKUP(B69,'Player Data'!$A1:$AE673,29,FALSE)*$AJ69*IFERROR((VLOOKUP(P69,Settings!$E$28:$F$33,2,FALSE)/4)+1,1)</f>
        <v>1274</v>
      </c>
      <c r="AP69" s="57" cm="1">
        <f t="array" ref="AP69">VLOOKUP(B69,'Player Data'!$A1:$AE673,31,FALSE)*$AJ69*(IFERROR(1-(VLOOKUP(P69,Settings!$E$28:$F$33,2,FALSE)/4),1))</f>
        <v>144.56</v>
      </c>
      <c r="AQ69" s="60" cm="1">
        <f t="array" ref="AQ69">1-(AP69/(AO69+AP69))</f>
        <v>0.89809384164222872</v>
      </c>
      <c r="AR69" s="61" cm="1">
        <f t="array" ref="AR69">AP69/AJ69</f>
        <v>2.7800000000000002</v>
      </c>
      <c r="AS69" s="55"/>
    </row>
    <row r="70" spans="1:45" ht="21.25" customHeight="1" x14ac:dyDescent="0.15">
      <c r="A70" s="62">
        <f>RANK(K70,K$2:K$671)</f>
        <v>60</v>
      </c>
      <c r="B70" s="10" t="s">
        <v>194</v>
      </c>
      <c r="C70" s="47" t="s">
        <v>145</v>
      </c>
      <c r="D70" s="48" t="str" cm="1">
        <f t="array" ref="D70">VLOOKUP(B70,'Player Data'!A1:D673,4,FALSE)</f>
        <v>C</v>
      </c>
      <c r="E70" s="49" cm="1">
        <f t="array" ref="E70">VLOOKUP(B70,'C'!A1:C210,3,FALSE)</f>
        <v>14</v>
      </c>
      <c r="F70" s="65" t="str" cm="1">
        <f t="array" ref="F70">VLOOKUP(B70,'Player Data'!A1:B673,2,FALSE)</f>
        <v>CAR</v>
      </c>
      <c r="G70" s="11" cm="1">
        <f t="array" ref="G70">VLOOKUP(B70,'Player Data'!A1:D673,3,FALSE)</f>
        <v>29</v>
      </c>
      <c r="H70" s="51" cm="1">
        <f t="array" ref="H70">IFERROR(VLOOKUP(B70,ADP!A1:F671,6,FALSE)/1000000,VLOOKUP(B70,ADP!A1:F671,6,FALSE))</f>
        <v>9.75</v>
      </c>
      <c r="I70" s="52">
        <f>IF(Settings!$E$15="POINTS",((R70*Q70)*Settings!$B$12)+(S70*Settings!$B$2)+(T70*Settings!$B$3)+(U70*Settings!$B$4)+(V70*Settings!$B$5)+(X70*Settings!$B$9)+(AA70*Settings!$B$6)+(W70*Settings!$B$8)+(AB70*Settings!$B$7)+(AC70*Settings!$B$14)+(AD70*Settings!$B$15)+(AE70*Settings!$B$16)+(AF70*Settings!$B$17)+(AG70*Settings!$B$18)+(Y70*Settings!$B$10)+(Z70*Settings!$B$11),VLOOKUP(B70,'Standard Deviations'!A$1:C$672,3,FALSE))</f>
        <v>7.7126021183076503</v>
      </c>
      <c r="J70" s="53" cm="1">
        <f t="array" ref="J70">IF(D70="G",I70/AJ70,I70/Q70)</f>
        <v>9.2922917088043983E-2</v>
      </c>
      <c r="K70" s="52" cm="1">
        <f t="array" ref="K70">IF(Settings!$E$18="C/LW/RW",VLOOKUP(B70,'C'!A1:F210,6,FALSE),VLOOKUP(B70,F!A1:F407,6,FALSE))</f>
        <v>1.3525925606925862</v>
      </c>
      <c r="L70" s="54" cm="1">
        <f t="array" ref="L70">IFERROR(K70/H70,"N/A")</f>
        <v>0.13872744212231652</v>
      </c>
      <c r="M70" s="55">
        <v>81.400000000000006</v>
      </c>
      <c r="N70" s="55" cm="1">
        <f t="array" ref="N70">IFERROR(M70-A70,"N/A")</f>
        <v>21.400000000000006</v>
      </c>
      <c r="O70" s="55"/>
      <c r="P70" s="56" cm="1">
        <f t="array" ref="P70">_xlfn.XLOOKUP($B70,ADP!A2:A671,ADP!G2:G671)</f>
        <v>0</v>
      </c>
      <c r="Q70" s="57" cm="1">
        <f t="array" ref="Q70">IF(Settings!$E$12="YES",VLOOKUP(B70,'Player Data'!A1:E673,5,FALSE),84)</f>
        <v>83</v>
      </c>
      <c r="R70" s="55" cm="1">
        <f t="array" ref="R70">VLOOKUP(B70,'Player Data'!$A1:$AE673,6,FALSE)</f>
        <v>19.5</v>
      </c>
      <c r="S70" s="57" cm="1">
        <f t="array" ref="S70">VLOOKUP(B70,'Player Data'!$A1:$AE673,7,FALSE)*$Q70*IFERROR((VLOOKUP(P70,Settings!$E$28:$F$33,2,FALSE)+1),1)</f>
        <v>29.88</v>
      </c>
      <c r="T70" s="57" cm="1">
        <f t="array" ref="T70">VLOOKUP(B70,'Player Data'!$A1:$AE673,8,FALSE)*$Q70*IFERROR((VLOOKUP(P70,Settings!$E$28:$F$33,2,FALSE)+1),1)</f>
        <v>50.629999999999995</v>
      </c>
      <c r="U70" s="57" cm="1">
        <f t="array" ref="U70">SUM(S70:T70)</f>
        <v>80.509999999999991</v>
      </c>
      <c r="V70" s="57" cm="1">
        <f t="array" ref="V70">VLOOKUP(B70,'Player Data'!$A1:$AE673,10,FALSE)*$Q70*IFERROR(((VLOOKUP(P70,Settings!$E$28:$F$33,2,FALSE)/2)+1),1)</f>
        <v>208.32999999999998</v>
      </c>
      <c r="W70" s="58" cm="1">
        <f t="array" ref="W70">VLOOKUP(B70,'Player Data'!$A1:$AE673,11,FALSE)*$Q70*IFERROR((VLOOKUP(P70,Settings!$E$28:$F$33,2,FALSE)+1),1)</f>
        <v>7.47</v>
      </c>
      <c r="X70" s="57" cm="1">
        <f t="array" ref="X70">VLOOKUP(B70,'Player Data'!$A1:$AE673,12,FALSE)*$Q70*IFERROR((VLOOKUP(P70,Settings!$E$28:$F$33,2,FALSE)+1),1)</f>
        <v>24.9</v>
      </c>
      <c r="Y70" s="57" cm="1">
        <f t="array" ref="Y70">VLOOKUP(B70,'Player Data'!$A1:$AE673,13,FALSE)*$Q70</f>
        <v>1.6600000000000001</v>
      </c>
      <c r="Z70" s="57" cm="1">
        <f t="array" ref="Z70">VLOOKUP(B70,'Player Data'!$A1:$AE673,14,FALSE)*$Q70</f>
        <v>4.9799999999999995</v>
      </c>
      <c r="AA70" s="57" cm="1">
        <f t="array" ref="AA70">VLOOKUP(B70,'Player Data'!$A1:$AE673,15,FALSE)*$Q70</f>
        <v>28.220000000000002</v>
      </c>
      <c r="AB70" s="57" cm="1">
        <f t="array" ref="AB70">VLOOKUP(B70,'Player Data'!$A1:$AE673,16,FALSE)*$Q70</f>
        <v>65.570000000000007</v>
      </c>
      <c r="AC70" s="57" cm="1">
        <f t="array" ref="AC70">VLOOKUP(B70,'Player Data'!$A1:$AE673,17,FALSE)*$Q70*IFERROR((VLOOKUP(P70,Settings!$E$28:$F$33,2,FALSE)+1),1)</f>
        <v>7.47</v>
      </c>
      <c r="AD70" s="57" cm="1">
        <f t="array" ref="AD70">VLOOKUP(B70,'Player Data'!$A1:$AE673,18,FALSE)*$Q70</f>
        <v>40.67</v>
      </c>
      <c r="AE70" s="57" cm="1">
        <f t="array" ref="AE70">VLOOKUP(B70,'Player Data'!$A1:$AE673,19,FALSE)*$Q70*IFERROR((VLOOKUP(P70,Settings!$E$28:$F$33,2,FALSE)+1),1)</f>
        <v>4.9799999999999995</v>
      </c>
      <c r="AF70" s="57" cm="1">
        <f t="array" ref="AF70">VLOOKUP(B70,'Player Data'!$A1:$AE673,20,FALSE)*$Q70</f>
        <v>644.07999999999993</v>
      </c>
      <c r="AG70" s="57" cm="1">
        <f t="array" ref="AG70">VLOOKUP(B70,'Player Data'!$A1:$AE673,21,FALSE)*$Q70</f>
        <v>571.04</v>
      </c>
      <c r="AH70" s="59" cm="1">
        <f t="array" ref="AH70">VLOOKUP(B70,'Player Data'!$A1:$AE673,22,FALSE)</f>
        <v>0.53</v>
      </c>
      <c r="AI70" s="55"/>
      <c r="AJ70" s="57"/>
      <c r="AK70" s="57"/>
      <c r="AL70" s="57"/>
      <c r="AM70" s="57"/>
      <c r="AN70" s="57"/>
      <c r="AO70" s="57"/>
      <c r="AP70" s="57"/>
      <c r="AQ70" s="60"/>
      <c r="AR70" s="61"/>
      <c r="AS70" s="55"/>
    </row>
    <row r="71" spans="1:45" ht="21.25" customHeight="1" x14ac:dyDescent="0.15">
      <c r="A71" s="62">
        <f>RANK(K71,K$2:K$671)</f>
        <v>84</v>
      </c>
      <c r="B71" s="10" t="s">
        <v>218</v>
      </c>
      <c r="C71" s="47" t="s">
        <v>145</v>
      </c>
      <c r="D71" s="48" t="str" cm="1">
        <f t="array" ref="D71">VLOOKUP(B71,'Player Data'!A1:D673,4,FALSE)</f>
        <v>D</v>
      </c>
      <c r="E71" s="68" cm="1">
        <f t="array" ref="E71">VLOOKUP(B71,D!A1:C204,3,FALSE)</f>
        <v>33</v>
      </c>
      <c r="F71" s="69" t="str" cm="1">
        <f t="array" ref="F71">VLOOKUP(B71,'Player Data'!A1:B673,2,FALSE)</f>
        <v>N.J</v>
      </c>
      <c r="G71" s="66" cm="1">
        <f t="array" ref="G71">VLOOKUP(B71,'Player Data'!A1:D673,3,FALSE)</f>
        <v>33</v>
      </c>
      <c r="H71" s="51" cm="1">
        <f t="array" ref="H71">IFERROR(VLOOKUP(B71,ADP!A1:F671,6,FALSE)/1000000,VLOOKUP(B71,ADP!A1:F671,6,FALSE))</f>
        <v>9</v>
      </c>
      <c r="I71" s="52">
        <f>IF(Settings!$E$15="POINTS",((R71*Q71)*Settings!$B$12)+(S71*Settings!$B$2)+(T71*Settings!$B$3)+(U71*Settings!$B$4)+(V71*Settings!$B$5)+(X71*Settings!$B$9)+(AA71*Settings!$B$6)+(W71*Settings!$B$8)+(AB71*Settings!$B$7)+(AC71*Settings!$B$14)+(AD71*Settings!$B$15)+(AE71*Settings!$B$16)+(AF71*Settings!$B$17)+(AG71*Settings!$B$18)+(U71*Settings!$B$13)+(Y71*Settings!$B$10)+(Z71*Settings!$B$11),VLOOKUP(B71,'Standard Deviations'!A$1:C$672,3,FALSE))</f>
        <v>0.98466025721642669</v>
      </c>
      <c r="J71" s="53" cm="1">
        <f t="array" ref="J71">IF(D71="G",I71/AJ71,I71/Q71)</f>
        <v>1.3306219692113874E-2</v>
      </c>
      <c r="K71" s="52" cm="1">
        <f t="array" ref="K71">VLOOKUP(B71,D!A1:F204,6,FALSE)</f>
        <v>0.41780934269887227</v>
      </c>
      <c r="L71" s="54" cm="1">
        <f t="array" ref="L71">IFERROR(K71/H71,"N/A")</f>
        <v>4.6423260299874695E-2</v>
      </c>
      <c r="M71" s="55">
        <v>108.3</v>
      </c>
      <c r="N71" s="55" cm="1">
        <f t="array" ref="N71">IFERROR(M71-A71,"N/A")</f>
        <v>24.299999999999997</v>
      </c>
      <c r="O71" s="55"/>
      <c r="P71" s="56" cm="1">
        <f t="array" ref="P71">_xlfn.XLOOKUP($B71,ADP!A2:A671,ADP!G2:G671)</f>
        <v>0</v>
      </c>
      <c r="Q71" s="57" cm="1">
        <f t="array" ref="Q71">IF(Settings!$E$12="YES",VLOOKUP(B71,'Player Data'!A1:E673,5,FALSE),84)</f>
        <v>74</v>
      </c>
      <c r="R71" s="81" cm="1">
        <f t="array" ref="R71">VLOOKUP(B71,'Player Data'!$A1:$AE673,6,FALSE)</f>
        <v>22.6</v>
      </c>
      <c r="S71" s="57" cm="1">
        <f t="array" ref="S71">VLOOKUP(B71,'Player Data'!$A1:$AE673,7,FALSE)*$Q71*IFERROR((VLOOKUP(P71,Settings!$E$28:$F$33,2,FALSE)+1),1)</f>
        <v>8.14</v>
      </c>
      <c r="T71" s="57" cm="1">
        <f t="array" ref="T71">VLOOKUP(B71,'Player Data'!$A1:$AE673,8,FALSE)*$Q71*IFERROR((VLOOKUP(P71,Settings!$E$28:$F$33,2,FALSE)+1),1)</f>
        <v>27.38</v>
      </c>
      <c r="U71" s="57" cm="1">
        <f t="array" ref="U71">SUM(S71:T71)</f>
        <v>35.519999999999996</v>
      </c>
      <c r="V71" s="57" cm="1">
        <f t="array" ref="V71">VLOOKUP(B71,'Player Data'!$A1:$AE673,10,FALSE)*$Q71*IFERROR(((VLOOKUP(P71,Settings!$E$28:$F$33,2,FALSE)/2)+1),1)</f>
        <v>185</v>
      </c>
      <c r="W71" s="57" cm="1">
        <f t="array" ref="W71">VLOOKUP(B71,'Player Data'!$A1:$AE673,11,FALSE)*$Q71*IFERROR((VLOOKUP(P71,Settings!$E$28:$F$33,2,FALSE)+1),1)</f>
        <v>2.96</v>
      </c>
      <c r="X71" s="78" cm="1">
        <f t="array" ref="X71">VLOOKUP(B71,'Player Data'!$A1:$AE673,12,FALSE)*$Q71*IFERROR((VLOOKUP(P71,Settings!$E$28:$F$33,2,FALSE)+1),1)</f>
        <v>10.360000000000001</v>
      </c>
      <c r="Y71" s="57" cm="1">
        <f t="array" ref="Y71">VLOOKUP(B71,'Player Data'!$A1:$AE673,13,FALSE)*$Q71</f>
        <v>0</v>
      </c>
      <c r="Z71" s="57" cm="1">
        <f t="array" ref="Z71">VLOOKUP(B71,'Player Data'!$A1:$AE673,14,FALSE)*$Q71</f>
        <v>0</v>
      </c>
      <c r="AA71" s="57" cm="1">
        <f t="array" ref="AA71">VLOOKUP(B71,'Player Data'!$A1:$AE673,15,FALSE)*$Q71</f>
        <v>92.5</v>
      </c>
      <c r="AB71" s="57" cm="1">
        <f t="array" ref="AB71">VLOOKUP(B71,'Player Data'!$A1:$AE673,16,FALSE)*$Q71</f>
        <v>85.1</v>
      </c>
      <c r="AC71" s="57" cm="1">
        <f t="array" ref="AC71">VLOOKUP(B71,'Player Data'!$A1:$AE673,17,FALSE)*$Q71*IFERROR((VLOOKUP(P71,Settings!$E$28:$F$33,2,FALSE)+1),1)</f>
        <v>0.74</v>
      </c>
      <c r="AD71" s="57" cm="1">
        <f t="array" ref="AD71">VLOOKUP(B71,'Player Data'!$A1:$AE673,18,FALSE)*$Q71</f>
        <v>47.36</v>
      </c>
      <c r="AE71" s="57" cm="1">
        <f t="array" ref="AE71">VLOOKUP(B71,'Player Data'!$A1:$AE673,19,FALSE)*$Q71*IFERROR((VLOOKUP(P71,Settings!$E$28:$F$33,2,FALSE)+1),1)</f>
        <v>1.48</v>
      </c>
      <c r="AF71" s="57" cm="1">
        <f t="array" ref="AF71">VLOOKUP(B71,'Player Data'!$A1:$AE673,20,FALSE)*$Q71</f>
        <v>0</v>
      </c>
      <c r="AG71" s="57" cm="1">
        <f t="array" ref="AG71">VLOOKUP(B71,'Player Data'!$A1:$AE673,21,FALSE)*$Q71</f>
        <v>0</v>
      </c>
      <c r="AH71" s="59" cm="1">
        <f t="array" ref="AH71">VLOOKUP(B71,'Player Data'!$A1:$AE673,22,FALSE)</f>
        <v>0</v>
      </c>
      <c r="AI71" s="55"/>
      <c r="AJ71" s="57"/>
      <c r="AK71" s="57"/>
      <c r="AL71" s="57"/>
      <c r="AM71" s="57"/>
      <c r="AN71" s="57"/>
      <c r="AO71" s="57"/>
      <c r="AP71" s="57"/>
      <c r="AQ71" s="60"/>
      <c r="AR71" s="61"/>
      <c r="AS71" s="55"/>
    </row>
    <row r="72" spans="1:45" ht="21.25" customHeight="1" x14ac:dyDescent="0.15">
      <c r="A72" s="62">
        <f>RANK(K72,K$2:K$671)</f>
        <v>78</v>
      </c>
      <c r="B72" s="10" t="s">
        <v>216</v>
      </c>
      <c r="C72" s="47" t="s">
        <v>145</v>
      </c>
      <c r="D72" s="48" t="str" cm="1">
        <f t="array" ref="D72">VLOOKUP(B72,'Player Data'!A1:D673,4,FALSE)</f>
        <v>G</v>
      </c>
      <c r="E72" s="76" cm="1">
        <f t="array" ref="E72">VLOOKUP(B72,G!A1:D66,3,FALSE)</f>
        <v>15</v>
      </c>
      <c r="F72" s="50" t="str" cm="1">
        <f t="array" ref="F72">VLOOKUP(B72,'Player Data'!A1:B673,2,FALSE)</f>
        <v>UTA</v>
      </c>
      <c r="G72" s="11" cm="1">
        <f t="array" ref="G72">VLOOKUP(B72,'Player Data'!A1:D673,3,FALSE)</f>
        <v>30</v>
      </c>
      <c r="H72" s="51" cm="1">
        <f t="array" ref="H72">IFERROR(VLOOKUP(B72,ADP!A1:F671,6,FALSE)/1000000,VLOOKUP(B72,ADP!A1:F671,6,FALSE))</f>
        <v>4.75</v>
      </c>
      <c r="I72" s="52">
        <f>IF(Settings!$E$15="POINTS",(AJ72*Settings!$B$29)+(AK72*Settings!$B$21)+(AL72*Settings!$B$22)+(AN72*Settings!$B$24)+(AO72*Settings!$B$25)+(AP72*Settings!$B$27)+(AM72*Settings!$B$23),VLOOKUP(B72,'Standard Deviations'!A$1:C$672,3,FALSE))</f>
        <v>2.6433168477645363</v>
      </c>
      <c r="J72" s="53" cm="1">
        <f t="array" ref="J72">IF(D72="G",I72/AJ72,I72/Q72)</f>
        <v>4.8060306322991568E-2</v>
      </c>
      <c r="K72" s="52" cm="1">
        <f t="array" ref="K72">VLOOKUP(B72,G!A1:F66,6,FALSE)</f>
        <v>0.60513158864086147</v>
      </c>
      <c r="L72" s="54" cm="1">
        <f t="array" ref="L72">IFERROR(K72/H72,"N/A")</f>
        <v>0.1273961239243919</v>
      </c>
      <c r="M72" s="55">
        <v>69.2</v>
      </c>
      <c r="N72" s="55" cm="1">
        <f t="array" ref="N72">IFERROR(M72-A72,"N/A")</f>
        <v>-8.7999999999999972</v>
      </c>
      <c r="O72" s="55"/>
      <c r="P72" s="56" cm="1">
        <f t="array" ref="P72">_xlfn.XLOOKUP($B72,ADP!A2:A671,ADP!G2:G671)</f>
        <v>0</v>
      </c>
      <c r="Q72" s="57"/>
      <c r="R72" s="55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9"/>
      <c r="AI72" s="55"/>
      <c r="AJ72" s="77" cm="1">
        <f t="array" ref="AJ72">VLOOKUP(B72,'Player Data'!$A1:$AE673,24,FALSE)</f>
        <v>55</v>
      </c>
      <c r="AK72" s="57" cm="1">
        <f t="array" ref="AK72">VLOOKUP(B72,'Player Data'!$A1:$AE673,25,FALSE)*$AJ72*IFERROR((VLOOKUP(P72,Settings!$E$28:$F$33,2,FALSE)+1),1)</f>
        <v>29.150000000000002</v>
      </c>
      <c r="AL72" s="57" cm="1">
        <f t="array" ref="AL72">AJ72-AK72-AM72</f>
        <v>19.25</v>
      </c>
      <c r="AM72" s="57" cm="1">
        <f t="array" ref="AM72">VLOOKUP(B72,'Player Data'!$A1:$AE673,27,FALSE)*$AJ72</f>
        <v>6.6</v>
      </c>
      <c r="AN72" s="57" cm="1">
        <f t="array" ref="AN72">VLOOKUP(B72,'Player Data'!$A1:$AE673,28,FALSE)*AJ72</f>
        <v>2.75</v>
      </c>
      <c r="AO72" s="57" cm="1">
        <f t="array" ref="AO72">VLOOKUP(B72,'Player Data'!$A1:$AE673,29,FALSE)*$AJ72*IFERROR((VLOOKUP(P72,Settings!$E$28:$F$33,2,FALSE)/4)+1,1)</f>
        <v>1430</v>
      </c>
      <c r="AP72" s="57" cm="1">
        <f t="array" ref="AP72">VLOOKUP(B72,'Player Data'!$A1:$AE673,31,FALSE)*$AJ72*(IFERROR(1-(VLOOKUP(P72,Settings!$E$28:$F$33,2,FALSE)/4),1))</f>
        <v>156.19999999999999</v>
      </c>
      <c r="AQ72" s="60" cm="1">
        <f t="array" ref="AQ72">1-(AP72/(AO72+AP72))</f>
        <v>0.90152565880721225</v>
      </c>
      <c r="AR72" s="61" cm="1">
        <f t="array" ref="AR72">AP72/AJ72</f>
        <v>2.84</v>
      </c>
      <c r="AS72" s="55"/>
    </row>
    <row r="73" spans="1:45" ht="21.25" customHeight="1" x14ac:dyDescent="0.15">
      <c r="A73" s="62">
        <f>RANK(K73,K$2:K$671)</f>
        <v>79</v>
      </c>
      <c r="B73" s="10" t="s">
        <v>315</v>
      </c>
      <c r="C73" s="47" t="s">
        <v>145</v>
      </c>
      <c r="D73" s="48" t="str" cm="1">
        <f t="array" ref="D73">VLOOKUP(B73,'Player Data'!A1:D673,4,FALSE)</f>
        <v>G</v>
      </c>
      <c r="E73" s="76" cm="1">
        <f t="array" ref="E73">VLOOKUP(B73,G!A1:D66,3,FALSE)</f>
        <v>16</v>
      </c>
      <c r="F73" s="73" t="str" cm="1">
        <f t="array" ref="F73">VLOOKUP(B73,'Player Data'!A1:B673,2,FALSE)</f>
        <v>PHI</v>
      </c>
      <c r="G73" s="11" cm="1">
        <f t="array" ref="G73">VLOOKUP(B73,'Player Data'!A1:D673,3,FALSE)</f>
        <v>29</v>
      </c>
      <c r="H73" s="51" cm="1">
        <f t="array" ref="H73">IFERROR(VLOOKUP(B73,ADP!A1:F671,6,FALSE)/1000000,VLOOKUP(B73,ADP!A1:F671,6,FALSE))</f>
        <v>3.35</v>
      </c>
      <c r="I73" s="52">
        <f>IF(Settings!$E$15="POINTS",(AJ73*Settings!$B$29)+(AK73*Settings!$B$21)+(AL73*Settings!$B$22)+(AN73*Settings!$B$24)+(AO73*Settings!$B$25)+(AP73*Settings!$B$27)+(AM73*Settings!$B$23),VLOOKUP(B73,'Standard Deviations'!A$1:C$672,3,FALSE))</f>
        <v>2.636505756451502</v>
      </c>
      <c r="J73" s="53" cm="1">
        <f t="array" ref="J73">IF(D73="G",I73/AJ73,I73/Q73)</f>
        <v>5.8589016810033374E-2</v>
      </c>
      <c r="K73" s="52" cm="1">
        <f t="array" ref="K73">VLOOKUP(B73,G!A1:F66,6,FALSE)</f>
        <v>0.59832049732782711</v>
      </c>
      <c r="L73" s="54" cm="1">
        <f t="array" ref="L73">IFERROR(K73/H73,"N/A")</f>
        <v>0.17860313353069465</v>
      </c>
      <c r="M73" s="55">
        <v>137.30000000000001</v>
      </c>
      <c r="N73" s="55" cm="1">
        <f t="array" ref="N73">IFERROR(M73-A73,"N/A")</f>
        <v>58.300000000000011</v>
      </c>
      <c r="O73" s="55"/>
      <c r="P73" s="56" cm="1">
        <f t="array" ref="P73">_xlfn.XLOOKUP($B73,ADP!A2:A671,ADP!G2:G671)</f>
        <v>0</v>
      </c>
      <c r="Q73" s="57"/>
      <c r="R73" s="55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9"/>
      <c r="AI73" s="55"/>
      <c r="AJ73" s="77" cm="1">
        <f t="array" ref="AJ73">VLOOKUP(B73,'Player Data'!$A1:$AE673,24,FALSE)</f>
        <v>45</v>
      </c>
      <c r="AK73" s="57" cm="1">
        <f t="array" ref="AK73">VLOOKUP(B73,'Player Data'!$A1:$AE673,25,FALSE)*$AJ73*IFERROR((VLOOKUP(P73,Settings!$E$28:$F$33,2,FALSE)+1),1)</f>
        <v>23.400000000000002</v>
      </c>
      <c r="AL73" s="57" cm="1">
        <f t="array" ref="AL73">AJ73-AK73-AM73</f>
        <v>16.2</v>
      </c>
      <c r="AM73" s="57" cm="1">
        <f t="array" ref="AM73">VLOOKUP(B73,'Player Data'!$A1:$AE673,27,FALSE)*$AJ73</f>
        <v>5.3999999999999995</v>
      </c>
      <c r="AN73" s="57" cm="1">
        <f t="array" ref="AN73">VLOOKUP(B73,'Player Data'!$A1:$AE673,28,FALSE)*AJ73</f>
        <v>2.6999999999999997</v>
      </c>
      <c r="AO73" s="57" cm="1">
        <f t="array" ref="AO73">VLOOKUP(B73,'Player Data'!$A1:$AE673,29,FALSE)*$AJ73*IFERROR((VLOOKUP(P73,Settings!$E$28:$F$33,2,FALSE)/4)+1,1)</f>
        <v>1120.5</v>
      </c>
      <c r="AP73" s="57" cm="1">
        <f t="array" ref="AP73">VLOOKUP(B73,'Player Data'!$A1:$AE673,31,FALSE)*$AJ73*(IFERROR(1-(VLOOKUP(P73,Settings!$E$28:$F$33,2,FALSE)/4),1))</f>
        <v>121.50000000000001</v>
      </c>
      <c r="AQ73" s="60" cm="1">
        <f t="array" ref="AQ73">1-(AP73/(AO73+AP73))</f>
        <v>0.90217391304347827</v>
      </c>
      <c r="AR73" s="61" cm="1">
        <f t="array" ref="AR73">AP73/AJ73</f>
        <v>2.7</v>
      </c>
      <c r="AS73" s="55"/>
    </row>
    <row r="74" spans="1:45" ht="21.25" customHeight="1" x14ac:dyDescent="0.15">
      <c r="A74" s="62">
        <f>RANK(K74,K$2:K$671)</f>
        <v>83</v>
      </c>
      <c r="B74" s="10" t="s">
        <v>205</v>
      </c>
      <c r="C74" s="47" t="s">
        <v>145</v>
      </c>
      <c r="D74" s="48" t="str" cm="1">
        <f t="array" ref="D74">VLOOKUP(B74,'Player Data'!A1:D673,4,FALSE)</f>
        <v>G</v>
      </c>
      <c r="E74" s="76" cm="1">
        <f t="array" ref="E74">VLOOKUP(B74,G!A1:D66,3,FALSE)</f>
        <v>17</v>
      </c>
      <c r="F74" s="72" t="str" cm="1">
        <f t="array" ref="F74">VLOOKUP(B74,'Player Data'!A1:B673,2,FALSE)</f>
        <v>BOS</v>
      </c>
      <c r="G74" s="11" cm="1">
        <f t="array" ref="G74">VLOOKUP(B74,'Player Data'!A1:D673,3,FALSE)</f>
        <v>27</v>
      </c>
      <c r="H74" s="51" cm="1">
        <f t="array" ref="H74">IFERROR(VLOOKUP(B74,ADP!A1:F671,6,FALSE)/1000000,VLOOKUP(B74,ADP!A1:F671,6,FALSE))</f>
        <v>8.25</v>
      </c>
      <c r="I74" s="52">
        <f>IF(Settings!$E$15="POINTS",(AJ74*Settings!$B$29)+(AK74*Settings!$B$21)+(AL74*Settings!$B$22)+(AN74*Settings!$B$24)+(AO74*Settings!$B$25)+(AP74*Settings!$B$27)+(AM74*Settings!$B$23),VLOOKUP(B74,'Standard Deviations'!A$1:C$672,3,FALSE))</f>
        <v>2.5556037601752073</v>
      </c>
      <c r="J74" s="53" cm="1">
        <f t="array" ref="J74">IF(D74="G",I74/AJ74,I74/Q74)</f>
        <v>4.64655229122765E-2</v>
      </c>
      <c r="K74" s="52" cm="1">
        <f t="array" ref="K74">VLOOKUP(B74,G!A1:F66,6,FALSE)</f>
        <v>0.51741850105153242</v>
      </c>
      <c r="L74" s="54" cm="1">
        <f t="array" ref="L74">IFERROR(K74/H74,"N/A")</f>
        <v>6.2717394066852408E-2</v>
      </c>
      <c r="M74" s="55">
        <v>64.900000000000006</v>
      </c>
      <c r="N74" s="55" cm="1">
        <f t="array" ref="N74">IFERROR(M74-A74,"N/A")</f>
        <v>-18.099999999999994</v>
      </c>
      <c r="O74" s="55"/>
      <c r="P74" s="56" cm="1">
        <f t="array" ref="P74">_xlfn.XLOOKUP($B74,ADP!A2:A671,ADP!G2:G671)</f>
        <v>0</v>
      </c>
      <c r="Q74" s="57"/>
      <c r="R74" s="55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9"/>
      <c r="AI74" s="55"/>
      <c r="AJ74" s="77" cm="1">
        <f t="array" ref="AJ74">VLOOKUP(B74,'Player Data'!$A1:$AE673,24,FALSE)</f>
        <v>55</v>
      </c>
      <c r="AK74" s="57" cm="1">
        <f t="array" ref="AK74">VLOOKUP(B74,'Player Data'!$A1:$AE673,25,FALSE)*$AJ74*IFERROR((VLOOKUP(P74,Settings!$E$28:$F$33,2,FALSE)+1),1)</f>
        <v>26.95</v>
      </c>
      <c r="AL74" s="57" cm="1">
        <f t="array" ref="AL74">AJ74-AK74-AM74</f>
        <v>20.9</v>
      </c>
      <c r="AM74" s="57" cm="1">
        <f t="array" ref="AM74">VLOOKUP(B74,'Player Data'!$A1:$AE673,27,FALSE)*$AJ74</f>
        <v>7.15</v>
      </c>
      <c r="AN74" s="57" cm="1">
        <f t="array" ref="AN74">VLOOKUP(B74,'Player Data'!$A1:$AE673,28,FALSE)*AJ74</f>
        <v>2.75</v>
      </c>
      <c r="AO74" s="57" cm="1">
        <f t="array" ref="AO74">VLOOKUP(B74,'Player Data'!$A1:$AE673,29,FALSE)*$AJ74*IFERROR((VLOOKUP(P74,Settings!$E$28:$F$33,2,FALSE)/4)+1,1)</f>
        <v>1474</v>
      </c>
      <c r="AP74" s="57" cm="1">
        <f t="array" ref="AP74">VLOOKUP(B74,'Player Data'!$A1:$AE673,31,FALSE)*$AJ74*(IFERROR(1-(VLOOKUP(P74,Settings!$E$28:$F$33,2,FALSE)/4),1))</f>
        <v>157.29999999999998</v>
      </c>
      <c r="AQ74" s="60" cm="1">
        <f t="array" ref="AQ74">1-(AP74/(AO74+AP74))</f>
        <v>0.90357383681726233</v>
      </c>
      <c r="AR74" s="61" cm="1">
        <f t="array" ref="AR74">AP74/AJ74</f>
        <v>2.86</v>
      </c>
      <c r="AS74" s="55"/>
    </row>
    <row r="75" spans="1:45" ht="21.25" customHeight="1" x14ac:dyDescent="0.15">
      <c r="A75" s="62">
        <f>RANK(K75,K$2:K$671)</f>
        <v>85</v>
      </c>
      <c r="B75" s="10" t="s">
        <v>203</v>
      </c>
      <c r="C75" s="47" t="s">
        <v>145</v>
      </c>
      <c r="D75" s="48" t="str" cm="1">
        <f t="array" ref="D75">VLOOKUP(B75,'Player Data'!A1:D673,4,FALSE)</f>
        <v>D</v>
      </c>
      <c r="E75" s="68" cm="1">
        <f t="array" ref="E75">VLOOKUP(B75,D!A1:C204,3,FALSE)</f>
        <v>34</v>
      </c>
      <c r="F75" s="70" t="str" cm="1">
        <f t="array" ref="F75">VLOOKUP(B75,'Player Data'!A1:B673,2,FALSE)</f>
        <v>MIN</v>
      </c>
      <c r="G75" s="71" cm="1">
        <f t="array" ref="G75">VLOOKUP(B75,'Player Data'!A1:D673,3,FALSE)</f>
        <v>24</v>
      </c>
      <c r="H75" s="51" cm="1">
        <f t="array" ref="H75">IFERROR(VLOOKUP(B75,ADP!A1:F671,6,FALSE)/1000000,VLOOKUP(B75,ADP!A1:F671,6,FALSE))</f>
        <v>8.5</v>
      </c>
      <c r="I75" s="52">
        <f>IF(Settings!$E$15="POINTS",((R75*Q75)*Settings!$B$12)+(S75*Settings!$B$2)+(T75*Settings!$B$3)+(U75*Settings!$B$4)+(V75*Settings!$B$5)+(X75*Settings!$B$9)+(AA75*Settings!$B$6)+(W75*Settings!$B$8)+(AB75*Settings!$B$7)+(AC75*Settings!$B$14)+(AD75*Settings!$B$15)+(AE75*Settings!$B$16)+(AF75*Settings!$B$17)+(AG75*Settings!$B$18)+(U75*Settings!$B$13)+(Y75*Settings!$B$10)+(Z75*Settings!$B$11),VLOOKUP(B75,'Standard Deviations'!A$1:C$672,3,FALSE))</f>
        <v>0.8518329494199981</v>
      </c>
      <c r="J75" s="53" cm="1">
        <f t="array" ref="J75">IF(D75="G",I75/AJ75,I75/Q75)</f>
        <v>1.0263047583373472E-2</v>
      </c>
      <c r="K75" s="52" cm="1">
        <f t="array" ref="K75">VLOOKUP(B75,D!A1:F204,6,FALSE)</f>
        <v>0.28498203490244367</v>
      </c>
      <c r="L75" s="54" cm="1">
        <f t="array" ref="L75">IFERROR(K75/H75,"N/A")</f>
        <v>3.35272982238169E-2</v>
      </c>
      <c r="M75" s="55">
        <v>83.5</v>
      </c>
      <c r="N75" s="55" cm="1">
        <f t="array" ref="N75">IFERROR(M75-A75,"N/A")</f>
        <v>-1.5</v>
      </c>
      <c r="O75" s="55"/>
      <c r="P75" s="56" cm="1">
        <f t="array" ref="P75">_xlfn.XLOOKUP($B75,ADP!A2:A671,ADP!G2:G671)</f>
        <v>0</v>
      </c>
      <c r="Q75" s="57" cm="1">
        <f t="array" ref="Q75">IF(Settings!$E$12="YES",VLOOKUP(B75,'Player Data'!A1:E673,5,FALSE),84)</f>
        <v>83</v>
      </c>
      <c r="R75" s="55" cm="1">
        <f t="array" ref="R75">VLOOKUP(B75,'Player Data'!$A1:$AE673,6,FALSE)</f>
        <v>24.9</v>
      </c>
      <c r="S75" s="57" cm="1">
        <f t="array" ref="S75">VLOOKUP(B75,'Player Data'!$A1:$AE673,7,FALSE)*$Q75*IFERROR((VLOOKUP(P75,Settings!$E$28:$F$33,2,FALSE)+1),1)</f>
        <v>13.280000000000001</v>
      </c>
      <c r="T75" s="57" cm="1">
        <f t="array" ref="T75">VLOOKUP(B75,'Player Data'!$A1:$AE673,8,FALSE)*$Q75*IFERROR((VLOOKUP(P75,Settings!$E$28:$F$33,2,FALSE)+1),1)</f>
        <v>31.54</v>
      </c>
      <c r="U75" s="57" cm="1">
        <f t="array" ref="U75">SUM(S75:T75)</f>
        <v>44.82</v>
      </c>
      <c r="V75" s="57" cm="1">
        <f t="array" ref="V75">VLOOKUP(B75,'Player Data'!$A1:$AE673,10,FALSE)*$Q75*IFERROR(((VLOOKUP(P75,Settings!$E$28:$F$33,2,FALSE)/2)+1),1)</f>
        <v>161.01999999999998</v>
      </c>
      <c r="W75" s="57" cm="1">
        <f t="array" ref="W75">VLOOKUP(B75,'Player Data'!$A1:$AE673,11,FALSE)*$Q75*IFERROR((VLOOKUP(P75,Settings!$E$28:$F$33,2,FALSE)+1),1)</f>
        <v>0.83000000000000007</v>
      </c>
      <c r="X75" s="57" cm="1">
        <f t="array" ref="X75">VLOOKUP(B75,'Player Data'!$A1:$AE673,12,FALSE)*$Q75*IFERROR((VLOOKUP(P75,Settings!$E$28:$F$33,2,FALSE)+1),1)</f>
        <v>8.3000000000000007</v>
      </c>
      <c r="Y75" s="57" cm="1">
        <f t="array" ref="Y75">VLOOKUP(B75,'Player Data'!$A1:$AE673,13,FALSE)*$Q75</f>
        <v>0.83000000000000007</v>
      </c>
      <c r="Z75" s="57" cm="1">
        <f t="array" ref="Z75">VLOOKUP(B75,'Player Data'!$A1:$AE673,14,FALSE)*$Q75</f>
        <v>1.6600000000000001</v>
      </c>
      <c r="AA75" s="57" cm="1">
        <f t="array" ref="AA75">VLOOKUP(B75,'Player Data'!$A1:$AE673,15,FALSE)*$Q75</f>
        <v>146.08000000000001</v>
      </c>
      <c r="AB75" s="57" cm="1">
        <f t="array" ref="AB75">VLOOKUP(B75,'Player Data'!$A1:$AE673,16,FALSE)*$Q75</f>
        <v>42.33</v>
      </c>
      <c r="AC75" s="57" cm="1">
        <f t="array" ref="AC75">VLOOKUP(B75,'Player Data'!$A1:$AE673,17,FALSE)*$Q75*IFERROR((VLOOKUP(P75,Settings!$E$28:$F$33,2,FALSE)+1),1)</f>
        <v>3.3200000000000003</v>
      </c>
      <c r="AD75" s="57" cm="1">
        <f t="array" ref="AD75">VLOOKUP(B75,'Player Data'!$A1:$AE673,18,FALSE)*$Q75</f>
        <v>31.54</v>
      </c>
      <c r="AE75" s="57" cm="1">
        <f t="array" ref="AE75">VLOOKUP(B75,'Player Data'!$A1:$AE673,19,FALSE)*$Q75*IFERROR((VLOOKUP(P75,Settings!$E$28:$F$33,2,FALSE)+1),1)</f>
        <v>2.4899999999999998</v>
      </c>
      <c r="AF75" s="57" cm="1">
        <f t="array" ref="AF75">VLOOKUP(B75,'Player Data'!$A1:$AE673,20,FALSE)*$Q75</f>
        <v>0</v>
      </c>
      <c r="AG75" s="57" cm="1">
        <f t="array" ref="AG75">VLOOKUP(B75,'Player Data'!$A1:$AE673,21,FALSE)*$Q75</f>
        <v>0</v>
      </c>
      <c r="AH75" s="59" cm="1">
        <f t="array" ref="AH75">VLOOKUP(B75,'Player Data'!$A1:$AE673,22,FALSE)</f>
        <v>0</v>
      </c>
      <c r="AI75" s="55"/>
      <c r="AJ75" s="57"/>
      <c r="AK75" s="57"/>
      <c r="AL75" s="57"/>
      <c r="AM75" s="57"/>
      <c r="AN75" s="57"/>
      <c r="AO75" s="57"/>
      <c r="AP75" s="57"/>
      <c r="AQ75" s="60"/>
      <c r="AR75" s="61"/>
      <c r="AS75" s="55"/>
    </row>
    <row r="76" spans="1:45" ht="21.25" customHeight="1" x14ac:dyDescent="0.15">
      <c r="A76" s="62">
        <f>RANK(K76,K$2:K$671)</f>
        <v>87</v>
      </c>
      <c r="B76" s="10" t="s">
        <v>326</v>
      </c>
      <c r="C76" s="47" t="s">
        <v>145</v>
      </c>
      <c r="D76" s="48" t="str" cm="1">
        <f t="array" ref="D76">VLOOKUP(B76,'Player Data'!A1:D673,4,FALSE)</f>
        <v>D</v>
      </c>
      <c r="E76" s="68" cm="1">
        <f t="array" ref="E76">VLOOKUP(B76,D!A1:C204,3,FALSE)</f>
        <v>35</v>
      </c>
      <c r="F76" s="65" t="str" cm="1">
        <f t="array" ref="F76">VLOOKUP(B76,'Player Data'!A1:B673,2,FALSE)</f>
        <v>CAR</v>
      </c>
      <c r="G76" s="66" cm="1">
        <f t="array" ref="G76">VLOOKUP(B76,'Player Data'!A1:D673,3,FALSE)</f>
        <v>31</v>
      </c>
      <c r="H76" s="51" cm="1">
        <f t="array" ref="H76">IFERROR(VLOOKUP(B76,ADP!A1:F671,6,FALSE)/1000000,VLOOKUP(B76,ADP!A1:F671,6,FALSE))</f>
        <v>3.6150000000000002</v>
      </c>
      <c r="I76" s="52">
        <f>IF(Settings!$E$15="POINTS",((R76*Q76)*Settings!$B$12)+(S76*Settings!$B$2)+(T76*Settings!$B$3)+(U76*Settings!$B$4)+(V76*Settings!$B$5)+(X76*Settings!$B$9)+(AA76*Settings!$B$6)+(W76*Settings!$B$8)+(AB76*Settings!$B$7)+(AC76*Settings!$B$14)+(AD76*Settings!$B$15)+(AE76*Settings!$B$16)+(AF76*Settings!$B$17)+(AG76*Settings!$B$18)+(U76*Settings!$B$13)+(Y76*Settings!$B$10)+(Z76*Settings!$B$11),VLOOKUP(B76,'Standard Deviations'!A$1:C$672,3,FALSE))</f>
        <v>0.80013193596796506</v>
      </c>
      <c r="J76" s="53" cm="1">
        <f t="array" ref="J76">IF(D76="G",I76/AJ76,I76/Q76)</f>
        <v>9.5253801900948218E-3</v>
      </c>
      <c r="K76" s="52" cm="1">
        <f t="array" ref="K76">VLOOKUP(B76,D!A1:F204,6,FALSE)</f>
        <v>0.23328102145041063</v>
      </c>
      <c r="L76" s="54" cm="1">
        <f t="array" ref="L76">IFERROR(K76/H76,"N/A")</f>
        <v>6.4531402890846648E-2</v>
      </c>
      <c r="M76" s="84" t="s">
        <v>828</v>
      </c>
      <c r="N76" s="84" t="str" cm="1">
        <f t="array" ref="N76">IFERROR(M76-A76,"N/A")</f>
        <v>N/A</v>
      </c>
      <c r="O76" s="55"/>
      <c r="P76" s="56" cm="1">
        <f t="array" ref="P76">_xlfn.XLOOKUP($B76,ADP!A2:A671,ADP!G2:G671)</f>
        <v>0</v>
      </c>
      <c r="Q76" s="57" cm="1">
        <f t="array" ref="Q76">IF(Settings!$E$12="YES",VLOOKUP(B76,'Player Data'!A1:E673,5,FALSE),84)</f>
        <v>84</v>
      </c>
      <c r="R76" s="83" cm="1">
        <f t="array" ref="R76">VLOOKUP(B76,'Player Data'!$A1:$AE673,6,FALSE)</f>
        <v>20</v>
      </c>
      <c r="S76" s="57" cm="1">
        <f t="array" ref="S76">VLOOKUP(B76,'Player Data'!$A1:$AE673,7,FALSE)*$Q76*IFERROR((VLOOKUP(P76,Settings!$E$28:$F$33,2,FALSE)+1),1)</f>
        <v>5.8800000000000008</v>
      </c>
      <c r="T76" s="57" cm="1">
        <f t="array" ref="T76">VLOOKUP(B76,'Player Data'!$A1:$AE673,8,FALSE)*$Q76*IFERROR((VLOOKUP(P76,Settings!$E$28:$F$33,2,FALSE)+1),1)</f>
        <v>18.48</v>
      </c>
      <c r="U76" s="57" cm="1">
        <f t="array" ref="U76">SUM(S76:T76)</f>
        <v>24.36</v>
      </c>
      <c r="V76" s="57" cm="1">
        <f t="array" ref="V76">VLOOKUP(B76,'Player Data'!$A1:$AE673,10,FALSE)*$Q76*IFERROR(((VLOOKUP(P76,Settings!$E$28:$F$33,2,FALSE)/2)+1),1)</f>
        <v>161.28</v>
      </c>
      <c r="W76" s="57" cm="1">
        <f t="array" ref="W76">VLOOKUP(B76,'Player Data'!$A1:$AE673,11,FALSE)*$Q76*IFERROR((VLOOKUP(P76,Settings!$E$28:$F$33,2,FALSE)+1),1)</f>
        <v>0</v>
      </c>
      <c r="X76" s="57" cm="1">
        <f t="array" ref="X76">VLOOKUP(B76,'Player Data'!$A1:$AE673,12,FALSE)*$Q76*IFERROR((VLOOKUP(P76,Settings!$E$28:$F$33,2,FALSE)+1),1)</f>
        <v>0.84</v>
      </c>
      <c r="Y76" s="57" cm="1">
        <f t="array" ref="Y76">VLOOKUP(B76,'Player Data'!$A1:$AE673,13,FALSE)*$Q76</f>
        <v>0</v>
      </c>
      <c r="Z76" s="57" cm="1">
        <f t="array" ref="Z76">VLOOKUP(B76,'Player Data'!$A1:$AE673,14,FALSE)*$Q76</f>
        <v>0</v>
      </c>
      <c r="AA76" s="57" cm="1">
        <f t="array" ref="AA76">VLOOKUP(B76,'Player Data'!$A1:$AE673,15,FALSE)*$Q76</f>
        <v>120.11999999999999</v>
      </c>
      <c r="AB76" s="57" cm="1">
        <f t="array" ref="AB76">VLOOKUP(B76,'Player Data'!$A1:$AE673,16,FALSE)*$Q76</f>
        <v>120.96</v>
      </c>
      <c r="AC76" s="57" cm="1">
        <f t="array" ref="AC76">VLOOKUP(B76,'Player Data'!$A1:$AE673,17,FALSE)*$Q76*IFERROR((VLOOKUP(P76,Settings!$E$28:$F$33,2,FALSE)+1),1)</f>
        <v>6.72</v>
      </c>
      <c r="AD76" s="57" cm="1">
        <f t="array" ref="AD76">VLOOKUP(B76,'Player Data'!$A1:$AE673,18,FALSE)*$Q76</f>
        <v>52.92</v>
      </c>
      <c r="AE76" s="57" cm="1">
        <f t="array" ref="AE76">VLOOKUP(B76,'Player Data'!$A1:$AE673,19,FALSE)*$Q76*IFERROR((VLOOKUP(P76,Settings!$E$28:$F$33,2,FALSE)+1),1)</f>
        <v>0.84</v>
      </c>
      <c r="AF76" s="57" cm="1">
        <f t="array" ref="AF76">VLOOKUP(B76,'Player Data'!$A1:$AE673,20,FALSE)*$Q76</f>
        <v>0</v>
      </c>
      <c r="AG76" s="57" cm="1">
        <f t="array" ref="AG76">VLOOKUP(B76,'Player Data'!$A1:$AE673,21,FALSE)*$Q76</f>
        <v>0</v>
      </c>
      <c r="AH76" s="59" cm="1">
        <f t="array" ref="AH76">VLOOKUP(B76,'Player Data'!$A1:$AE673,22,FALSE)</f>
        <v>0</v>
      </c>
      <c r="AI76" s="55"/>
      <c r="AJ76" s="57"/>
      <c r="AK76" s="57"/>
      <c r="AL76" s="57"/>
      <c r="AM76" s="57"/>
      <c r="AN76" s="57"/>
      <c r="AO76" s="57"/>
      <c r="AP76" s="57"/>
      <c r="AQ76" s="60"/>
      <c r="AR76" s="61"/>
      <c r="AS76" s="55"/>
    </row>
    <row r="77" spans="1:45" ht="21.25" customHeight="1" x14ac:dyDescent="0.15">
      <c r="A77" s="62">
        <f>RANK(K77,K$2:K$671)</f>
        <v>61</v>
      </c>
      <c r="B77" s="10" t="s">
        <v>169</v>
      </c>
      <c r="C77" s="47" t="s">
        <v>145</v>
      </c>
      <c r="D77" s="48" t="str" cm="1">
        <f t="array" ref="D77">VLOOKUP(B77,'Player Data'!A1:D673,4,FALSE)</f>
        <v>C,RW</v>
      </c>
      <c r="E77" s="74" cm="1">
        <f t="array" ref="E77">VLOOKUP(B77,RW!A1:F210,3,FALSE)</f>
        <v>13</v>
      </c>
      <c r="F77" s="73" t="str" cm="1">
        <f t="array" ref="F77">VLOOKUP(B77,'Player Data'!A1:B673,2,FALSE)</f>
        <v>BUF</v>
      </c>
      <c r="G77" s="11" cm="1">
        <f t="array" ref="G77">VLOOKUP(B77,'Player Data'!A1:D673,3,FALSE)</f>
        <v>28</v>
      </c>
      <c r="H77" s="51" cm="1">
        <f t="array" ref="H77">IFERROR(VLOOKUP(B77,ADP!A1:F671,6,FALSE)/1000000,VLOOKUP(B77,ADP!A1:F671,6,FALSE))</f>
        <v>7.1420000000000003</v>
      </c>
      <c r="I77" s="52">
        <f>IF(Settings!$E$15="POINTS",((R77*Q77)*Settings!$B$12)+(S77*Settings!$B$2)+(T77*Settings!$B$3)+(U77*Settings!$B$4)+(V77*Settings!$B$5)+(X77*Settings!$B$9)+(AA77*Settings!$B$6)+(W77*Settings!$B$8)+(AB77*Settings!$B$7)+(AC77*Settings!$B$14)+(AD77*Settings!$B$15)+(AE77*Settings!$B$16)+(AF77*Settings!$B$17)+(AG77*Settings!$B$18)+(Y77*Settings!$B$10)+(Z77*Settings!$B$11),VLOOKUP(B77,'Standard Deviations'!A$1:C$672,3,FALSE))</f>
        <v>8.0469109376480308</v>
      </c>
      <c r="J77" s="53" cm="1">
        <f t="array" ref="J77">IF(D77="G",I77/AJ77,I77/Q77)</f>
        <v>9.8133060215219892E-2</v>
      </c>
      <c r="K77" s="52" cm="1">
        <f t="array" ref="K77">IF(Settings!$E$18="C/LW/RW",VLOOKUP(B77,RW!A1:F210,6,FALSE),VLOOKUP(B77,F!A1:F407,6,FALSE))</f>
        <v>1.1596763358389532</v>
      </c>
      <c r="L77" s="54" cm="1">
        <f t="array" ref="L77">IFERROR(K77/H77,"N/A")</f>
        <v>0.16237417191808362</v>
      </c>
      <c r="M77" s="55">
        <v>29.7</v>
      </c>
      <c r="N77" s="55" cm="1">
        <f t="array" ref="N77">IFERROR(M77-A77,"N/A")</f>
        <v>-31.3</v>
      </c>
      <c r="O77" s="55"/>
      <c r="P77" s="56" cm="1">
        <f t="array" ref="P77">_xlfn.XLOOKUP($B77,ADP!A2:A671,ADP!G2:G671)</f>
        <v>0</v>
      </c>
      <c r="Q77" s="57" cm="1">
        <f t="array" ref="Q77">IF(Settings!$E$12="YES",VLOOKUP(B77,'Player Data'!A1:E673,5,FALSE),84)</f>
        <v>82</v>
      </c>
      <c r="R77" s="55" cm="1">
        <f t="array" ref="R77">VLOOKUP(B77,'Player Data'!$A1:$AE673,6,FALSE)</f>
        <v>19.100000000000001</v>
      </c>
      <c r="S77" s="57" cm="1">
        <f t="array" ref="S77">VLOOKUP(B77,'Player Data'!$A1:$AE673,7,FALSE)*$Q77*IFERROR((VLOOKUP(P77,Settings!$E$28:$F$33,2,FALSE)+1),1)</f>
        <v>40.18</v>
      </c>
      <c r="T77" s="57" cm="1">
        <f t="array" ref="T77">VLOOKUP(B77,'Player Data'!$A1:$AE673,8,FALSE)*$Q77*IFERROR((VLOOKUP(P77,Settings!$E$28:$F$33,2,FALSE)+1),1)</f>
        <v>38.54</v>
      </c>
      <c r="U77" s="57" cm="1">
        <f t="array" ref="U77">SUM(S77:T77)</f>
        <v>78.72</v>
      </c>
      <c r="V77" s="57" cm="1">
        <f t="array" ref="V77">VLOOKUP(B77,'Player Data'!$A1:$AE673,10,FALSE)*$Q77*IFERROR(((VLOOKUP(P77,Settings!$E$28:$F$33,2,FALSE)/2)+1),1)</f>
        <v>273.06</v>
      </c>
      <c r="W77" s="58" cm="1">
        <f t="array" ref="W77">VLOOKUP(B77,'Player Data'!$A1:$AE673,11,FALSE)*$Q77*IFERROR((VLOOKUP(P77,Settings!$E$28:$F$33,2,FALSE)+1),1)</f>
        <v>8.2000000000000011</v>
      </c>
      <c r="X77" s="57" cm="1">
        <f t="array" ref="X77">VLOOKUP(B77,'Player Data'!$A1:$AE673,12,FALSE)*$Q77*IFERROR((VLOOKUP(P77,Settings!$E$28:$F$33,2,FALSE)+1),1)</f>
        <v>22.96</v>
      </c>
      <c r="Y77" s="57" cm="1">
        <f t="array" ref="Y77">VLOOKUP(B77,'Player Data'!$A1:$AE673,13,FALSE)*$Q77</f>
        <v>0</v>
      </c>
      <c r="Z77" s="57" cm="1">
        <f t="array" ref="Z77">VLOOKUP(B77,'Player Data'!$A1:$AE673,14,FALSE)*$Q77</f>
        <v>0</v>
      </c>
      <c r="AA77" s="57" cm="1">
        <f t="array" ref="AA77">VLOOKUP(B77,'Player Data'!$A1:$AE673,15,FALSE)*$Q77</f>
        <v>43.46</v>
      </c>
      <c r="AB77" s="57" cm="1">
        <f t="array" ref="AB77">VLOOKUP(B77,'Player Data'!$A1:$AE673,16,FALSE)*$Q77</f>
        <v>81.179999999999993</v>
      </c>
      <c r="AC77" s="57" cm="1">
        <f t="array" ref="AC77">VLOOKUP(B77,'Player Data'!$A1:$AE673,17,FALSE)*$Q77*IFERROR((VLOOKUP(P77,Settings!$E$28:$F$33,2,FALSE)+1),1)</f>
        <v>2.46</v>
      </c>
      <c r="AD77" s="57" cm="1">
        <f t="array" ref="AD77">VLOOKUP(B77,'Player Data'!$A1:$AE673,18,FALSE)*$Q77</f>
        <v>35.26</v>
      </c>
      <c r="AE77" s="57" cm="1">
        <f t="array" ref="AE77">VLOOKUP(B77,'Player Data'!$A1:$AE673,19,FALSE)*$Q77*IFERROR((VLOOKUP(P77,Settings!$E$28:$F$33,2,FALSE)+1),1)</f>
        <v>5.74</v>
      </c>
      <c r="AF77" s="57" cm="1">
        <f t="array" ref="AF77">VLOOKUP(B77,'Player Data'!$A1:$AE673,20,FALSE)*$Q77</f>
        <v>384.58000000000004</v>
      </c>
      <c r="AG77" s="57" cm="1">
        <f t="array" ref="AG77">VLOOKUP(B77,'Player Data'!$A1:$AE673,21,FALSE)*$Q77</f>
        <v>489.53999999999996</v>
      </c>
      <c r="AH77" s="59" cm="1">
        <f t="array" ref="AH77">VLOOKUP(B77,'Player Data'!$A1:$AE673,22,FALSE)</f>
        <v>0.44</v>
      </c>
      <c r="AI77" s="55"/>
      <c r="AJ77" s="57"/>
      <c r="AK77" s="57"/>
      <c r="AL77" s="57"/>
      <c r="AM77" s="57"/>
      <c r="AN77" s="57"/>
      <c r="AO77" s="57"/>
      <c r="AP77" s="57"/>
      <c r="AQ77" s="60"/>
      <c r="AR77" s="61"/>
      <c r="AS77" s="55"/>
    </row>
    <row r="78" spans="1:45" ht="21.25" customHeight="1" x14ac:dyDescent="0.15">
      <c r="A78" s="62">
        <f>RANK(K78,K$2:K$671)</f>
        <v>63</v>
      </c>
      <c r="B78" s="10" t="s">
        <v>160</v>
      </c>
      <c r="C78" s="47" t="s">
        <v>145</v>
      </c>
      <c r="D78" s="48" t="str" cm="1">
        <f t="array" ref="D78">VLOOKUP(B78,'Player Data'!A1:D673,4,FALSE)</f>
        <v>C,LW,RW</v>
      </c>
      <c r="E78" s="74" cm="1">
        <f t="array" ref="E78">VLOOKUP(B78,RW!A1:F210,3,FALSE)</f>
        <v>14</v>
      </c>
      <c r="F78" s="50" t="str" cm="1">
        <f t="array" ref="F78">VLOOKUP(B78,'Player Data'!A1:B673,2,FALSE)</f>
        <v>ANA</v>
      </c>
      <c r="G78" s="71" cm="1">
        <f t="array" ref="G78">VLOOKUP(B78,'Player Data'!A1:D673,3,FALSE)</f>
        <v>22</v>
      </c>
      <c r="H78" s="51" cm="1">
        <f t="array" ref="H78">IFERROR(VLOOKUP(B78,ADP!A1:F671,6,FALSE)/1000000,VLOOKUP(B78,ADP!A1:F671,6,FALSE))</f>
        <v>0</v>
      </c>
      <c r="I78" s="52">
        <f>IF(Settings!$E$15="POINTS",((R78*Q78)*Settings!$B$12)+(S78*Settings!$B$2)+(T78*Settings!$B$3)+(U78*Settings!$B$4)+(V78*Settings!$B$5)+(X78*Settings!$B$9)+(AA78*Settings!$B$6)+(W78*Settings!$B$8)+(AB78*Settings!$B$7)+(AC78*Settings!$B$14)+(AD78*Settings!$B$15)+(AE78*Settings!$B$16)+(AF78*Settings!$B$17)+(AG78*Settings!$B$18)+(Y78*Settings!$B$10)+(Z78*Settings!$B$11),VLOOKUP(B78,'Standard Deviations'!A$1:C$672,3,FALSE))</f>
        <v>8.0044150915522536</v>
      </c>
      <c r="J78" s="53" cm="1">
        <f t="array" ref="J78">IF(D78="G",I78/AJ78,I78/Q78)</f>
        <v>9.7614818189661626E-2</v>
      </c>
      <c r="K78" s="52" cm="1">
        <f t="array" ref="K78">IF(Settings!$E$18="C/LW/RW",VLOOKUP(B78,RW!A1:F210,6,FALSE),VLOOKUP(B78,F!A1:F407,6,FALSE))</f>
        <v>1.1171804897431761</v>
      </c>
      <c r="L78" s="79" t="str" cm="1">
        <f t="array" ref="L78">IFERROR(K78/H78,"N/A")</f>
        <v>N/A</v>
      </c>
      <c r="M78" s="55">
        <v>33.6</v>
      </c>
      <c r="N78" s="55" cm="1">
        <f t="array" ref="N78">IFERROR(M78-A78,"N/A")</f>
        <v>-29.4</v>
      </c>
      <c r="O78" s="55"/>
      <c r="P78" s="56" cm="1">
        <f t="array" ref="P78">_xlfn.XLOOKUP($B78,ADP!A2:A671,ADP!G2:G671)</f>
        <v>0</v>
      </c>
      <c r="Q78" s="57" cm="1">
        <f t="array" ref="Q78">IF(Settings!$E$12="YES",VLOOKUP(B78,'Player Data'!A1:E673,5,FALSE),84)</f>
        <v>82</v>
      </c>
      <c r="R78" s="81" cm="1">
        <f t="array" ref="R78">VLOOKUP(B78,'Player Data'!$A1:$AE673,6,FALSE)</f>
        <v>18.8</v>
      </c>
      <c r="S78" s="57" cm="1">
        <f t="array" ref="S78">VLOOKUP(B78,'Player Data'!$A1:$AE673,7,FALSE)*$Q78*IFERROR((VLOOKUP(P78,Settings!$E$28:$F$33,2,FALSE)+1),1)</f>
        <v>41.82</v>
      </c>
      <c r="T78" s="57" cm="1">
        <f t="array" ref="T78">VLOOKUP(B78,'Player Data'!$A1:$AE673,8,FALSE)*$Q78*IFERROR((VLOOKUP(P78,Settings!$E$28:$F$33,2,FALSE)+1),1)</f>
        <v>37.72</v>
      </c>
      <c r="U78" s="57" cm="1">
        <f t="array" ref="U78">SUM(S78:T78)</f>
        <v>79.539999999999992</v>
      </c>
      <c r="V78" s="57" cm="1">
        <f t="array" ref="V78">VLOOKUP(B78,'Player Data'!$A1:$AE673,10,FALSE)*$Q78*IFERROR(((VLOOKUP(P78,Settings!$E$28:$F$33,2,FALSE)/2)+1),1)</f>
        <v>320.62</v>
      </c>
      <c r="W78" s="58" cm="1">
        <f t="array" ref="W78">VLOOKUP(B78,'Player Data'!$A1:$AE673,11,FALSE)*$Q78*IFERROR((VLOOKUP(P78,Settings!$E$28:$F$33,2,FALSE)+1),1)</f>
        <v>12.299999999999999</v>
      </c>
      <c r="X78" s="57" cm="1">
        <f t="array" ref="X78">VLOOKUP(B78,'Player Data'!$A1:$AE673,12,FALSE)*$Q78*IFERROR((VLOOKUP(P78,Settings!$E$28:$F$33,2,FALSE)+1),1)</f>
        <v>24.599999999999998</v>
      </c>
      <c r="Y78" s="57" cm="1">
        <f t="array" ref="Y78">VLOOKUP(B78,'Player Data'!$A1:$AE673,13,FALSE)*$Q78</f>
        <v>0</v>
      </c>
      <c r="Z78" s="57" cm="1">
        <f t="array" ref="Z78">VLOOKUP(B78,'Player Data'!$A1:$AE673,14,FALSE)*$Q78</f>
        <v>0</v>
      </c>
      <c r="AA78" s="57" cm="1">
        <f t="array" ref="AA78">VLOOKUP(B78,'Player Data'!$A1:$AE673,15,FALSE)*$Q78</f>
        <v>36.08</v>
      </c>
      <c r="AB78" s="57" cm="1">
        <f t="array" ref="AB78">VLOOKUP(B78,'Player Data'!$A1:$AE673,16,FALSE)*$Q78</f>
        <v>77.899999999999991</v>
      </c>
      <c r="AC78" s="57" cm="1">
        <f t="array" ref="AC78">VLOOKUP(B78,'Player Data'!$A1:$AE673,17,FALSE)*$Q78*IFERROR((VLOOKUP(P78,Settings!$E$28:$F$33,2,FALSE)+1),1)</f>
        <v>-2.46</v>
      </c>
      <c r="AD78" s="57" cm="1">
        <f t="array" ref="AD78">VLOOKUP(B78,'Player Data'!$A1:$AE673,18,FALSE)*$Q78</f>
        <v>31.98</v>
      </c>
      <c r="AE78" s="57" cm="1">
        <f t="array" ref="AE78">VLOOKUP(B78,'Player Data'!$A1:$AE673,19,FALSE)*$Q78*IFERROR((VLOOKUP(P78,Settings!$E$28:$F$33,2,FALSE)+1),1)</f>
        <v>5.74</v>
      </c>
      <c r="AF78" s="57" cm="1">
        <f t="array" ref="AF78">VLOOKUP(B78,'Player Data'!$A1:$AE673,20,FALSE)*$Q78</f>
        <v>95.94</v>
      </c>
      <c r="AG78" s="57" cm="1">
        <f t="array" ref="AG78">VLOOKUP(B78,'Player Data'!$A1:$AE673,21,FALSE)*$Q78</f>
        <v>122.17999999999999</v>
      </c>
      <c r="AH78" s="59" cm="1">
        <f t="array" ref="AH78">VLOOKUP(B78,'Player Data'!$A1:$AE673,22,FALSE)</f>
        <v>0.44</v>
      </c>
      <c r="AI78" s="55"/>
      <c r="AJ78" s="57"/>
      <c r="AK78" s="57"/>
      <c r="AL78" s="57"/>
      <c r="AM78" s="57"/>
      <c r="AN78" s="57"/>
      <c r="AO78" s="57"/>
      <c r="AP78" s="57"/>
      <c r="AQ78" s="60"/>
      <c r="AR78" s="61"/>
      <c r="AS78" s="55"/>
    </row>
    <row r="79" spans="1:45" ht="21.25" customHeight="1" x14ac:dyDescent="0.15">
      <c r="A79" s="62">
        <f>RANK(K79,K$2:K$671)</f>
        <v>90</v>
      </c>
      <c r="B79" s="10" t="s">
        <v>269</v>
      </c>
      <c r="C79" s="47" t="s">
        <v>145</v>
      </c>
      <c r="D79" s="48" t="str" cm="1">
        <f t="array" ref="D79">VLOOKUP(B79,'Player Data'!A1:D673,4,FALSE)</f>
        <v>D</v>
      </c>
      <c r="E79" s="68" cm="1">
        <f t="array" ref="E79">VLOOKUP(B79,D!A1:C204,3,FALSE)</f>
        <v>36</v>
      </c>
      <c r="F79" s="65" t="str" cm="1">
        <f t="array" ref="F79">VLOOKUP(B79,'Player Data'!A1:B673,2,FALSE)</f>
        <v>T.B</v>
      </c>
      <c r="G79" s="66" cm="1">
        <f t="array" ref="G79">VLOOKUP(B79,'Player Data'!A1:D673,3,FALSE)</f>
        <v>35</v>
      </c>
      <c r="H79" s="51" cm="1">
        <f t="array" ref="H79">IFERROR(VLOOKUP(B79,ADP!A1:F671,6,FALSE)/1000000,VLOOKUP(B79,ADP!A1:F671,6,FALSE))</f>
        <v>8</v>
      </c>
      <c r="I79" s="52">
        <f>IF(Settings!$E$15="POINTS",((R79*Q79)*Settings!$B$12)+(S79*Settings!$B$2)+(T79*Settings!$B$3)+(U79*Settings!$B$4)+(V79*Settings!$B$5)+(X79*Settings!$B$9)+(AA79*Settings!$B$6)+(W79*Settings!$B$8)+(AB79*Settings!$B$7)+(AC79*Settings!$B$14)+(AD79*Settings!$B$15)+(AE79*Settings!$B$16)+(AF79*Settings!$B$17)+(AG79*Settings!$B$18)+(U79*Settings!$B$13)+(Y79*Settings!$B$10)+(Z79*Settings!$B$11),VLOOKUP(B79,'Standard Deviations'!A$1:C$672,3,FALSE))</f>
        <v>0.70603314089046432</v>
      </c>
      <c r="J79" s="53" cm="1">
        <f t="array" ref="J79">IF(D79="G",I79/AJ79,I79/Q79)</f>
        <v>9.413775211872857E-3</v>
      </c>
      <c r="K79" s="52" cm="1">
        <f t="array" ref="K79">VLOOKUP(B79,D!A1:F204,6,FALSE)</f>
        <v>0.13918222637290989</v>
      </c>
      <c r="L79" s="54" cm="1">
        <f t="array" ref="L79">IFERROR(K79/H79,"N/A")</f>
        <v>1.7397778296613736E-2</v>
      </c>
      <c r="M79" s="55">
        <v>89.2</v>
      </c>
      <c r="N79" s="55" cm="1">
        <f t="array" ref="N79">IFERROR(M79-A79,"N/A")</f>
        <v>-0.79999999999999716</v>
      </c>
      <c r="O79" s="55"/>
      <c r="P79" s="56" cm="1">
        <f t="array" ref="P79">_xlfn.XLOOKUP($B79,ADP!A2:A671,ADP!G2:G671)</f>
        <v>0</v>
      </c>
      <c r="Q79" s="57" cm="1">
        <f t="array" ref="Q79">IF(Settings!$E$12="YES",VLOOKUP(B79,'Player Data'!A1:E673,5,FALSE),84)</f>
        <v>75</v>
      </c>
      <c r="R79" s="55" cm="1">
        <f t="array" ref="R79">VLOOKUP(B79,'Player Data'!$A1:$AE673,6,FALSE)</f>
        <v>19</v>
      </c>
      <c r="S79" s="57" cm="1">
        <f t="array" ref="S79">VLOOKUP(B79,'Player Data'!$A1:$AE673,7,FALSE)*$Q79*IFERROR((VLOOKUP(P79,Settings!$E$28:$F$33,2,FALSE)+1),1)</f>
        <v>7.5</v>
      </c>
      <c r="T79" s="57" cm="1">
        <f t="array" ref="T79">VLOOKUP(B79,'Player Data'!$A1:$AE673,8,FALSE)*$Q79*IFERROR((VLOOKUP(P79,Settings!$E$28:$F$33,2,FALSE)+1),1)</f>
        <v>33</v>
      </c>
      <c r="U79" s="57" cm="1">
        <f t="array" ref="U79">SUM(S79:T79)</f>
        <v>40.5</v>
      </c>
      <c r="V79" s="57" cm="1">
        <f t="array" ref="V79">VLOOKUP(B79,'Player Data'!$A1:$AE673,10,FALSE)*$Q79*IFERROR(((VLOOKUP(P79,Settings!$E$28:$F$33,2,FALSE)/2)+1),1)</f>
        <v>120</v>
      </c>
      <c r="W79" s="57" cm="1">
        <f t="array" ref="W79">VLOOKUP(B79,'Player Data'!$A1:$AE673,11,FALSE)*$Q79*IFERROR((VLOOKUP(P79,Settings!$E$28:$F$33,2,FALSE)+1),1)</f>
        <v>1.5</v>
      </c>
      <c r="X79" s="57" cm="1">
        <f t="array" ref="X79">VLOOKUP(B79,'Player Data'!$A1:$AE673,12,FALSE)*$Q79*IFERROR((VLOOKUP(P79,Settings!$E$28:$F$33,2,FALSE)+1),1)</f>
        <v>9.75</v>
      </c>
      <c r="Y79" s="57" cm="1">
        <f t="array" ref="Y79">VLOOKUP(B79,'Player Data'!$A1:$AE673,13,FALSE)*$Q79</f>
        <v>0</v>
      </c>
      <c r="Z79" s="57" cm="1">
        <f t="array" ref="Z79">VLOOKUP(B79,'Player Data'!$A1:$AE673,14,FALSE)*$Q79</f>
        <v>0</v>
      </c>
      <c r="AA79" s="57" cm="1">
        <f t="array" ref="AA79">VLOOKUP(B79,'Player Data'!$A1:$AE673,15,FALSE)*$Q79</f>
        <v>102.00000000000001</v>
      </c>
      <c r="AB79" s="57" cm="1">
        <f t="array" ref="AB79">VLOOKUP(B79,'Player Data'!$A1:$AE673,16,FALSE)*$Q79</f>
        <v>49.5</v>
      </c>
      <c r="AC79" s="57" cm="1">
        <f t="array" ref="AC79">VLOOKUP(B79,'Player Data'!$A1:$AE673,17,FALSE)*$Q79*IFERROR((VLOOKUP(P79,Settings!$E$28:$F$33,2,FALSE)+1),1)</f>
        <v>6.75</v>
      </c>
      <c r="AD79" s="57" cm="1">
        <f t="array" ref="AD79">VLOOKUP(B79,'Player Data'!$A1:$AE673,18,FALSE)*$Q79</f>
        <v>29.25</v>
      </c>
      <c r="AE79" s="57" cm="1">
        <f t="array" ref="AE79">VLOOKUP(B79,'Player Data'!$A1:$AE673,19,FALSE)*$Q79*IFERROR((VLOOKUP(P79,Settings!$E$28:$F$33,2,FALSE)+1),1)</f>
        <v>1.5</v>
      </c>
      <c r="AF79" s="57" cm="1">
        <f t="array" ref="AF79">VLOOKUP(B79,'Player Data'!$A1:$AE673,20,FALSE)*$Q79</f>
        <v>0</v>
      </c>
      <c r="AG79" s="57" cm="1">
        <f t="array" ref="AG79">VLOOKUP(B79,'Player Data'!$A1:$AE673,21,FALSE)*$Q79</f>
        <v>0</v>
      </c>
      <c r="AH79" s="59" cm="1">
        <f t="array" ref="AH79">VLOOKUP(B79,'Player Data'!$A1:$AE673,22,FALSE)</f>
        <v>0</v>
      </c>
      <c r="AI79" s="55"/>
      <c r="AJ79" s="57"/>
      <c r="AK79" s="57"/>
      <c r="AL79" s="57"/>
      <c r="AM79" s="57"/>
      <c r="AN79" s="57"/>
      <c r="AO79" s="57"/>
      <c r="AP79" s="57"/>
      <c r="AQ79" s="60"/>
      <c r="AR79" s="61"/>
      <c r="AS79" s="55"/>
    </row>
    <row r="80" spans="1:45" ht="21.25" customHeight="1" x14ac:dyDescent="0.15">
      <c r="A80" s="62">
        <f>RANK(K80,K$2:K$671)</f>
        <v>64</v>
      </c>
      <c r="B80" s="10" t="s">
        <v>258</v>
      </c>
      <c r="C80" s="47" t="s">
        <v>145</v>
      </c>
      <c r="D80" s="48" t="str" cm="1">
        <f t="array" ref="D80">VLOOKUP(B80,'Player Data'!A1:D673,4,FALSE)</f>
        <v>LW,RW</v>
      </c>
      <c r="E80" s="74" cm="1">
        <f t="array" ref="E80">VLOOKUP(B80,RW!A1:F210,3,FALSE)</f>
        <v>15</v>
      </c>
      <c r="F80" s="65" t="str" cm="1">
        <f t="array" ref="F80">VLOOKUP(B80,'Player Data'!A1:B673,2,FALSE)</f>
        <v>CAR</v>
      </c>
      <c r="G80" s="11" cm="1">
        <f t="array" ref="G80">VLOOKUP(B80,'Player Data'!A1:D673,3,FALSE)</f>
        <v>26</v>
      </c>
      <c r="H80" s="51" cm="1">
        <f t="array" ref="H80">IFERROR(VLOOKUP(B80,ADP!A1:F671,6,FALSE)/1000000,VLOOKUP(B80,ADP!A1:F671,6,FALSE))</f>
        <v>7.75</v>
      </c>
      <c r="I80" s="52">
        <f>IF(Settings!$E$15="POINTS",((R80*Q80)*Settings!$B$12)+(S80*Settings!$B$2)+(T80*Settings!$B$3)+(U80*Settings!$B$4)+(V80*Settings!$B$5)+(X80*Settings!$B$9)+(AA80*Settings!$B$6)+(W80*Settings!$B$8)+(AB80*Settings!$B$7)+(AC80*Settings!$B$14)+(AD80*Settings!$B$15)+(AE80*Settings!$B$16)+(AF80*Settings!$B$17)+(AG80*Settings!$B$18)+(Y80*Settings!$B$10)+(Z80*Settings!$B$11),VLOOKUP(B80,'Standard Deviations'!A$1:C$672,3,FALSE))</f>
        <v>7.9673790514234586</v>
      </c>
      <c r="J80" s="53" cm="1">
        <f t="array" ref="J80">IF(D80="G",I80/AJ80,I80/Q80)</f>
        <v>9.9592238142793235E-2</v>
      </c>
      <c r="K80" s="52" cm="1">
        <f t="array" ref="K80">IF(Settings!$E$18="C/LW/RW",VLOOKUP(B80,RW!A1:F210,6,FALSE),VLOOKUP(B80,F!A1:F407,6,FALSE))</f>
        <v>1.0801444496143811</v>
      </c>
      <c r="L80" s="54" cm="1">
        <f t="array" ref="L80">IFERROR(K80/H80,"N/A")</f>
        <v>0.13937347736959754</v>
      </c>
      <c r="M80" s="55">
        <v>118.9</v>
      </c>
      <c r="N80" s="55" cm="1">
        <f t="array" ref="N80">IFERROR(M80-A80,"N/A")</f>
        <v>54.900000000000006</v>
      </c>
      <c r="O80" s="55"/>
      <c r="P80" s="56" cm="1">
        <f t="array" ref="P80">_xlfn.XLOOKUP($B80,ADP!A2:A671,ADP!G2:G671)</f>
        <v>0</v>
      </c>
      <c r="Q80" s="57" cm="1">
        <f t="array" ref="Q80">IF(Settings!$E$12="YES",VLOOKUP(B80,'Player Data'!A1:E673,5,FALSE),84)</f>
        <v>80</v>
      </c>
      <c r="R80" s="55" cm="1">
        <f t="array" ref="R80">VLOOKUP(B80,'Player Data'!$A1:$AE673,6,FALSE)</f>
        <v>17.5</v>
      </c>
      <c r="S80" s="57" cm="1">
        <f t="array" ref="S80">VLOOKUP(B80,'Player Data'!$A1:$AE673,7,FALSE)*$Q80*IFERROR((VLOOKUP(P80,Settings!$E$28:$F$33,2,FALSE)+1),1)</f>
        <v>28</v>
      </c>
      <c r="T80" s="57" cm="1">
        <f t="array" ref="T80">VLOOKUP(B80,'Player Data'!$A1:$AE673,8,FALSE)*$Q80*IFERROR((VLOOKUP(P80,Settings!$E$28:$F$33,2,FALSE)+1),1)</f>
        <v>39.200000000000003</v>
      </c>
      <c r="U80" s="57" cm="1">
        <f t="array" ref="U80">SUM(S80:T80)</f>
        <v>67.2</v>
      </c>
      <c r="V80" s="57" cm="1">
        <f t="array" ref="V80">VLOOKUP(B80,'Player Data'!$A1:$AE673,10,FALSE)*$Q80*IFERROR(((VLOOKUP(P80,Settings!$E$28:$F$33,2,FALSE)/2)+1),1)</f>
        <v>204.8</v>
      </c>
      <c r="W80" s="58" cm="1">
        <f t="array" ref="W80">VLOOKUP(B80,'Player Data'!$A1:$AE673,11,FALSE)*$Q80*IFERROR((VLOOKUP(P80,Settings!$E$28:$F$33,2,FALSE)+1),1)</f>
        <v>10.4</v>
      </c>
      <c r="X80" s="57" cm="1">
        <f t="array" ref="X80">VLOOKUP(B80,'Player Data'!$A1:$AE673,12,FALSE)*$Q80*IFERROR((VLOOKUP(P80,Settings!$E$28:$F$33,2,FALSE)+1),1)</f>
        <v>24.8</v>
      </c>
      <c r="Y80" s="57" cm="1">
        <f t="array" ref="Y80">VLOOKUP(B80,'Player Data'!$A1:$AE673,13,FALSE)*$Q80</f>
        <v>0</v>
      </c>
      <c r="Z80" s="57" cm="1">
        <f t="array" ref="Z80">VLOOKUP(B80,'Player Data'!$A1:$AE673,14,FALSE)*$Q80</f>
        <v>0</v>
      </c>
      <c r="AA80" s="57" cm="1">
        <f t="array" ref="AA80">VLOOKUP(B80,'Player Data'!$A1:$AE673,15,FALSE)*$Q80</f>
        <v>21.6</v>
      </c>
      <c r="AB80" s="57" cm="1">
        <f t="array" ref="AB80">VLOOKUP(B80,'Player Data'!$A1:$AE673,16,FALSE)*$Q80</f>
        <v>149.60000000000002</v>
      </c>
      <c r="AC80" s="57" cm="1">
        <f t="array" ref="AC80">VLOOKUP(B80,'Player Data'!$A1:$AE673,17,FALSE)*$Q80*IFERROR((VLOOKUP(P80,Settings!$E$28:$F$33,2,FALSE)+1),1)</f>
        <v>5.6000000000000005</v>
      </c>
      <c r="AD80" s="57" cm="1">
        <f t="array" ref="AD80">VLOOKUP(B80,'Player Data'!$A1:$AE673,18,FALSE)*$Q80</f>
        <v>63.2</v>
      </c>
      <c r="AE80" s="57" cm="1">
        <f t="array" ref="AE80">VLOOKUP(B80,'Player Data'!$A1:$AE673,19,FALSE)*$Q80*IFERROR((VLOOKUP(P80,Settings!$E$28:$F$33,2,FALSE)+1),1)</f>
        <v>4.8</v>
      </c>
      <c r="AF80" s="57" cm="1">
        <f t="array" ref="AF80">VLOOKUP(B80,'Player Data'!$A1:$AE673,20,FALSE)*$Q80</f>
        <v>7.1999999999999993</v>
      </c>
      <c r="AG80" s="57" cm="1">
        <f t="array" ref="AG80">VLOOKUP(B80,'Player Data'!$A1:$AE673,21,FALSE)*$Q80</f>
        <v>11.200000000000001</v>
      </c>
      <c r="AH80" s="59" cm="1">
        <f t="array" ref="AH80">VLOOKUP(B80,'Player Data'!$A1:$AE673,22,FALSE)</f>
        <v>0.39</v>
      </c>
      <c r="AI80" s="55"/>
      <c r="AJ80" s="57"/>
      <c r="AK80" s="57"/>
      <c r="AL80" s="57"/>
      <c r="AM80" s="57"/>
      <c r="AN80" s="57"/>
      <c r="AO80" s="57"/>
      <c r="AP80" s="57"/>
      <c r="AQ80" s="60"/>
      <c r="AR80" s="61"/>
      <c r="AS80" s="55"/>
    </row>
    <row r="81" spans="1:45" ht="21.25" customHeight="1" x14ac:dyDescent="0.15">
      <c r="A81" s="62">
        <f>RANK(K81,K$2:K$671)</f>
        <v>67</v>
      </c>
      <c r="B81" s="10" t="s">
        <v>187</v>
      </c>
      <c r="C81" s="47" t="s">
        <v>145</v>
      </c>
      <c r="D81" s="48" t="str" cm="1">
        <f t="array" ref="D81">VLOOKUP(B81,'Player Data'!A1:D673,4,FALSE)</f>
        <v>LW</v>
      </c>
      <c r="E81" s="75" cm="1">
        <f t="array" ref="E81">VLOOKUP(B81,LW!A1:C210,3,FALSE)</f>
        <v>15</v>
      </c>
      <c r="F81" s="65" t="str" cm="1">
        <f t="array" ref="F81">VLOOKUP(B81,'Player Data'!A1:B673,2,FALSE)</f>
        <v>NSH</v>
      </c>
      <c r="G81" s="66" cm="1">
        <f t="array" ref="G81">VLOOKUP(B81,'Player Data'!A1:D673,3,FALSE)</f>
        <v>32</v>
      </c>
      <c r="H81" s="51" cm="1">
        <f t="array" ref="H81">IFERROR(VLOOKUP(B81,ADP!A1:F671,6,FALSE)/1000000,VLOOKUP(B81,ADP!A1:F671,6,FALSE))</f>
        <v>8.5</v>
      </c>
      <c r="I81" s="52">
        <f>IF(Settings!$E$15="POINTS",((R81*Q81)*Settings!$B$12)+(S81*Settings!$B$2)+(T81*Settings!$B$3)+(U81*Settings!$B$4)+(V81*Settings!$B$5)+(X81*Settings!$B$9)+(AA81*Settings!$B$6)+(W81*Settings!$B$8)+(AB81*Settings!$B$7)+(AC81*Settings!$B$14)+(AD81*Settings!$B$15)+(AE81*Settings!$B$16)+(AF81*Settings!$B$17)+(AG81*Settings!$B$18)+(Y81*Settings!$B$10)+(Z81*Settings!$B$11),VLOOKUP(B81,'Standard Deviations'!A$1:C$672,3,FALSE))</f>
        <v>7.8369395181287853</v>
      </c>
      <c r="J81" s="53" cm="1">
        <f t="array" ref="J81">IF(D81="G",I81/AJ81,I81/Q81)</f>
        <v>9.3296899025342689E-2</v>
      </c>
      <c r="K81" s="52" cm="1">
        <f t="array" ref="K81">IF(Settings!$E$18="C/LW/RW",VLOOKUP(B81,LW!A1:F210,6,FALSE),VLOOKUP(B81,F!A1:F407,6,FALSE))</f>
        <v>0.94255387373897559</v>
      </c>
      <c r="L81" s="54" cm="1">
        <f t="array" ref="L81">IFERROR(K81/H81,"N/A")</f>
        <v>0.11088869102811477</v>
      </c>
      <c r="M81" s="55">
        <v>56.1</v>
      </c>
      <c r="N81" s="55" cm="1">
        <f t="array" ref="N81">IFERROR(M81-A81,"N/A")</f>
        <v>-10.899999999999999</v>
      </c>
      <c r="O81" s="55"/>
      <c r="P81" s="56" cm="1">
        <f t="array" ref="P81">_xlfn.XLOOKUP($B81,ADP!A2:A671,ADP!G2:G671)</f>
        <v>0</v>
      </c>
      <c r="Q81" s="57" cm="1">
        <f t="array" ref="Q81">IF(Settings!$E$12="YES",VLOOKUP(B81,'Player Data'!A1:E673,5,FALSE),84)</f>
        <v>84</v>
      </c>
      <c r="R81" s="55" cm="1">
        <f t="array" ref="R81">VLOOKUP(B81,'Player Data'!$A1:$AE673,6,FALSE)</f>
        <v>18.899999999999999</v>
      </c>
      <c r="S81" s="57" cm="1">
        <f t="array" ref="S81">VLOOKUP(B81,'Player Data'!$A1:$AE673,7,FALSE)*$Q81*IFERROR((VLOOKUP(P81,Settings!$E$28:$F$33,2,FALSE)+1),1)</f>
        <v>36.119999999999997</v>
      </c>
      <c r="T81" s="57" cm="1">
        <f t="array" ref="T81">VLOOKUP(B81,'Player Data'!$A1:$AE673,8,FALSE)*$Q81*IFERROR((VLOOKUP(P81,Settings!$E$28:$F$33,2,FALSE)+1),1)</f>
        <v>40.32</v>
      </c>
      <c r="U81" s="57" cm="1">
        <f t="array" ref="U81">SUM(S81:T81)</f>
        <v>76.44</v>
      </c>
      <c r="V81" s="57" cm="1">
        <f t="array" ref="V81">VLOOKUP(B81,'Player Data'!$A1:$AE673,10,FALSE)*$Q81*IFERROR(((VLOOKUP(P81,Settings!$E$28:$F$33,2,FALSE)/2)+1),1)</f>
        <v>270.48</v>
      </c>
      <c r="W81" s="58" cm="1">
        <f t="array" ref="W81">VLOOKUP(B81,'Player Data'!$A1:$AE673,11,FALSE)*$Q81*IFERROR((VLOOKUP(P81,Settings!$E$28:$F$33,2,FALSE)+1),1)</f>
        <v>10.08</v>
      </c>
      <c r="X81" s="57" cm="1">
        <f t="array" ref="X81">VLOOKUP(B81,'Player Data'!$A1:$AE673,12,FALSE)*$Q81*IFERROR((VLOOKUP(P81,Settings!$E$28:$F$33,2,FALSE)+1),1)</f>
        <v>25.2</v>
      </c>
      <c r="Y81" s="57" cm="1">
        <f t="array" ref="Y81">VLOOKUP(B81,'Player Data'!$A1:$AE673,13,FALSE)*$Q81</f>
        <v>0</v>
      </c>
      <c r="Z81" s="57" cm="1">
        <f t="array" ref="Z81">VLOOKUP(B81,'Player Data'!$A1:$AE673,14,FALSE)*$Q81</f>
        <v>0</v>
      </c>
      <c r="AA81" s="57" cm="1">
        <f t="array" ref="AA81">VLOOKUP(B81,'Player Data'!$A1:$AE673,15,FALSE)*$Q81</f>
        <v>40.32</v>
      </c>
      <c r="AB81" s="57" cm="1">
        <f t="array" ref="AB81">VLOOKUP(B81,'Player Data'!$A1:$AE673,16,FALSE)*$Q81</f>
        <v>128.52000000000001</v>
      </c>
      <c r="AC81" s="57" cm="1">
        <f t="array" ref="AC81">VLOOKUP(B81,'Player Data'!$A1:$AE673,17,FALSE)*$Q81*IFERROR((VLOOKUP(P81,Settings!$E$28:$F$33,2,FALSE)+1),1)</f>
        <v>-2.52</v>
      </c>
      <c r="AD81" s="57" cm="1">
        <f t="array" ref="AD81">VLOOKUP(B81,'Player Data'!$A1:$AE673,18,FALSE)*$Q81</f>
        <v>40.32</v>
      </c>
      <c r="AE81" s="57" cm="1">
        <f t="array" ref="AE81">VLOOKUP(B81,'Player Data'!$A1:$AE673,19,FALSE)*$Q81*IFERROR((VLOOKUP(P81,Settings!$E$28:$F$33,2,FALSE)+1),1)</f>
        <v>5.04</v>
      </c>
      <c r="AF81" s="57" cm="1">
        <f t="array" ref="AF81">VLOOKUP(B81,'Player Data'!$A1:$AE673,20,FALSE)*$Q81</f>
        <v>10.08</v>
      </c>
      <c r="AG81" s="57" cm="1">
        <f t="array" ref="AG81">VLOOKUP(B81,'Player Data'!$A1:$AE673,21,FALSE)*$Q81</f>
        <v>19.32</v>
      </c>
      <c r="AH81" s="59" cm="1">
        <f t="array" ref="AH81">VLOOKUP(B81,'Player Data'!$A1:$AE673,22,FALSE)</f>
        <v>0.33</v>
      </c>
      <c r="AI81" s="55"/>
      <c r="AJ81" s="57"/>
      <c r="AK81" s="57"/>
      <c r="AL81" s="57"/>
      <c r="AM81" s="57"/>
      <c r="AN81" s="57"/>
      <c r="AO81" s="57"/>
      <c r="AP81" s="57"/>
      <c r="AQ81" s="60"/>
      <c r="AR81" s="61"/>
      <c r="AS81" s="55"/>
    </row>
    <row r="82" spans="1:45" ht="21.25" customHeight="1" x14ac:dyDescent="0.15">
      <c r="A82" s="62">
        <f>RANK(K82,K$2:K$671)</f>
        <v>66</v>
      </c>
      <c r="B82" s="10" t="s">
        <v>290</v>
      </c>
      <c r="C82" s="47" t="s">
        <v>145</v>
      </c>
      <c r="D82" s="48" t="str" cm="1">
        <f t="array" ref="D82">VLOOKUP(B82,'Player Data'!A1:D673,4,FALSE)</f>
        <v>C</v>
      </c>
      <c r="E82" s="49" cm="1">
        <f t="array" ref="E82">VLOOKUP(B82,'C'!A1:C210,3,FALSE)</f>
        <v>18</v>
      </c>
      <c r="F82" s="18" t="str" cm="1">
        <f t="array" ref="F82">VLOOKUP(B82,'Player Data'!A1:B673,2,FALSE)</f>
        <v>OTT</v>
      </c>
      <c r="G82" s="11" cm="1">
        <f t="array" ref="G82">VLOOKUP(B82,'Player Data'!A1:D673,3,FALSE)</f>
        <v>25</v>
      </c>
      <c r="H82" s="51" cm="1">
        <f t="array" ref="H82">IFERROR(VLOOKUP(B82,ADP!A1:F671,6,FALSE)/1000000,VLOOKUP(B82,ADP!A1:F671,6,FALSE))</f>
        <v>7.1</v>
      </c>
      <c r="I82" s="52">
        <f>IF(Settings!$E$15="POINTS",((R82*Q82)*Settings!$B$12)+(S82*Settings!$B$2)+(T82*Settings!$B$3)+(U82*Settings!$B$4)+(V82*Settings!$B$5)+(X82*Settings!$B$9)+(AA82*Settings!$B$6)+(W82*Settings!$B$8)+(AB82*Settings!$B$7)+(AC82*Settings!$B$14)+(AD82*Settings!$B$15)+(AE82*Settings!$B$16)+(AF82*Settings!$B$17)+(AG82*Settings!$B$18)+(Y82*Settings!$B$10)+(Z82*Settings!$B$11),VLOOKUP(B82,'Standard Deviations'!A$1:C$672,3,FALSE))</f>
        <v>7.3149739051616676</v>
      </c>
      <c r="J82" s="53" cm="1">
        <f t="array" ref="J82">IF(D82="G",I82/AJ82,I82/Q82)</f>
        <v>8.7083022680496044E-2</v>
      </c>
      <c r="K82" s="52" cm="1">
        <f t="array" ref="K82">IF(Settings!$E$18="C/LW/RW",VLOOKUP(B82,'C'!A1:F210,6,FALSE),VLOOKUP(B82,F!A1:F407,6,FALSE))</f>
        <v>0.95496434754660342</v>
      </c>
      <c r="L82" s="54" cm="1">
        <f t="array" ref="L82">IFERROR(K82/H82,"N/A")</f>
        <v>0.13450202078121176</v>
      </c>
      <c r="M82" s="55">
        <v>135.9</v>
      </c>
      <c r="N82" s="55" cm="1">
        <f t="array" ref="N82">IFERROR(M82-A82,"N/A")</f>
        <v>69.900000000000006</v>
      </c>
      <c r="O82" s="80"/>
      <c r="P82" s="56" cm="1">
        <f t="array" ref="P82">_xlfn.XLOOKUP($B82,ADP!A2:A671,ADP!G2:G671)</f>
        <v>0</v>
      </c>
      <c r="Q82" s="57" cm="1">
        <f t="array" ref="Q82">IF(Settings!$E$12="YES",VLOOKUP(B82,'Player Data'!A1:E673,5,FALSE),84)</f>
        <v>84</v>
      </c>
      <c r="R82" s="55" cm="1">
        <f t="array" ref="R82">VLOOKUP(B82,'Player Data'!$A1:$AE673,6,FALSE)</f>
        <v>16.899999999999999</v>
      </c>
      <c r="S82" s="57" cm="1">
        <f t="array" ref="S82">VLOOKUP(B82,'Player Data'!$A1:$AE673,7,FALSE)*$Q82*IFERROR((VLOOKUP(P82,Settings!$E$28:$F$33,2,FALSE)+1),1)</f>
        <v>23.520000000000003</v>
      </c>
      <c r="T82" s="57" cm="1">
        <f t="array" ref="T82">VLOOKUP(B82,'Player Data'!$A1:$AE673,8,FALSE)*$Q82*IFERROR((VLOOKUP(P82,Settings!$E$28:$F$33,2,FALSE)+1),1)</f>
        <v>33.6</v>
      </c>
      <c r="U82" s="57" cm="1">
        <f t="array" ref="U82">SUM(S82:T82)</f>
        <v>57.120000000000005</v>
      </c>
      <c r="V82" s="57" cm="1">
        <f t="array" ref="V82">VLOOKUP(B82,'Player Data'!$A1:$AE673,10,FALSE)*$Q82*IFERROR(((VLOOKUP(P82,Settings!$E$28:$F$33,2,FALSE)/2)+1),1)</f>
        <v>202.44</v>
      </c>
      <c r="W82" s="57" cm="1">
        <f t="array" ref="W82">VLOOKUP(B82,'Player Data'!$A1:$AE673,11,FALSE)*$Q82*IFERROR((VLOOKUP(P82,Settings!$E$28:$F$33,2,FALSE)+1),1)</f>
        <v>9.24</v>
      </c>
      <c r="X82" s="78" cm="1">
        <f t="array" ref="X82">VLOOKUP(B82,'Player Data'!$A1:$AE673,12,FALSE)*$Q82*IFERROR((VLOOKUP(P82,Settings!$E$28:$F$33,2,FALSE)+1),1)</f>
        <v>22.68</v>
      </c>
      <c r="Y82" s="57" cm="1">
        <f t="array" ref="Y82">VLOOKUP(B82,'Player Data'!$A1:$AE673,13,FALSE)*$Q82</f>
        <v>0</v>
      </c>
      <c r="Z82" s="57" cm="1">
        <f t="array" ref="Z82">VLOOKUP(B82,'Player Data'!$A1:$AE673,14,FALSE)*$Q82</f>
        <v>0</v>
      </c>
      <c r="AA82" s="57" cm="1">
        <f t="array" ref="AA82">VLOOKUP(B82,'Player Data'!$A1:$AE673,15,FALSE)*$Q82</f>
        <v>31.92</v>
      </c>
      <c r="AB82" s="57" cm="1">
        <f t="array" ref="AB82">VLOOKUP(B82,'Player Data'!$A1:$AE673,16,FALSE)*$Q82</f>
        <v>194.88</v>
      </c>
      <c r="AC82" s="57" cm="1">
        <f t="array" ref="AC82">VLOOKUP(B82,'Player Data'!$A1:$AE673,17,FALSE)*$Q82*IFERROR((VLOOKUP(P82,Settings!$E$28:$F$33,2,FALSE)+1),1)</f>
        <v>3.36</v>
      </c>
      <c r="AD82" s="57" cm="1">
        <f t="array" ref="AD82">VLOOKUP(B82,'Player Data'!$A1:$AE673,18,FALSE)*$Q82</f>
        <v>42.84</v>
      </c>
      <c r="AE82" s="57" cm="1">
        <f t="array" ref="AE82">VLOOKUP(B82,'Player Data'!$A1:$AE673,19,FALSE)*$Q82*IFERROR((VLOOKUP(P82,Settings!$E$28:$F$33,2,FALSE)+1),1)</f>
        <v>4.2</v>
      </c>
      <c r="AF82" s="57" cm="1">
        <f t="array" ref="AF82">VLOOKUP(B82,'Player Data'!$A1:$AE673,20,FALSE)*$Q82</f>
        <v>470.4</v>
      </c>
      <c r="AG82" s="57" cm="1">
        <f t="array" ref="AG82">VLOOKUP(B82,'Player Data'!$A1:$AE673,21,FALSE)*$Q82</f>
        <v>461.16</v>
      </c>
      <c r="AH82" s="59" cm="1">
        <f t="array" ref="AH82">VLOOKUP(B82,'Player Data'!$A1:$AE673,22,FALSE)</f>
        <v>0.5</v>
      </c>
      <c r="AI82" s="55"/>
      <c r="AJ82" s="57"/>
      <c r="AK82" s="57"/>
      <c r="AL82" s="57"/>
      <c r="AM82" s="57"/>
      <c r="AN82" s="57"/>
      <c r="AO82" s="57"/>
      <c r="AP82" s="57"/>
      <c r="AQ82" s="60"/>
      <c r="AR82" s="61"/>
      <c r="AS82" s="55"/>
    </row>
    <row r="83" spans="1:45" ht="21.25" customHeight="1" x14ac:dyDescent="0.15">
      <c r="A83" s="62">
        <f>RANK(K83,K$2:K$671)</f>
        <v>70</v>
      </c>
      <c r="B83" s="10" t="s">
        <v>153</v>
      </c>
      <c r="C83" s="47" t="s">
        <v>145</v>
      </c>
      <c r="D83" s="48" t="str" cm="1">
        <f t="array" ref="D83">VLOOKUP(B83,'Player Data'!A1:D673,4,FALSE)</f>
        <v>LW</v>
      </c>
      <c r="E83" s="75" cm="1">
        <f t="array" ref="E83">VLOOKUP(B83,LW!A1:C210,3,FALSE)</f>
        <v>16</v>
      </c>
      <c r="F83" s="63" t="str" cm="1">
        <f t="array" ref="F83">VLOOKUP(B83,'Player Data'!A1:B673,2,FALSE)</f>
        <v>WPG</v>
      </c>
      <c r="G83" s="11" cm="1">
        <f t="array" ref="G83">VLOOKUP(B83,'Player Data'!A1:D673,3,FALSE)</f>
        <v>29</v>
      </c>
      <c r="H83" s="51" cm="1">
        <f t="array" ref="H83">IFERROR(VLOOKUP(B83,ADP!A1:F671,6,FALSE)/1000000,VLOOKUP(B83,ADP!A1:F671,6,FALSE))</f>
        <v>12</v>
      </c>
      <c r="I83" s="52">
        <f>IF(Settings!$E$15="POINTS",((R83*Q83)*Settings!$B$12)+(S83*Settings!$B$2)+(T83*Settings!$B$3)+(U83*Settings!$B$4)+(V83*Settings!$B$5)+(X83*Settings!$B$9)+(AA83*Settings!$B$6)+(W83*Settings!$B$8)+(AB83*Settings!$B$7)+(AC83*Settings!$B$14)+(AD83*Settings!$B$15)+(AE83*Settings!$B$16)+(AF83*Settings!$B$17)+(AG83*Settings!$B$18)+(Y83*Settings!$B$10)+(Z83*Settings!$B$11),VLOOKUP(B83,'Standard Deviations'!A$1:C$672,3,FALSE))</f>
        <v>7.7793223394578721</v>
      </c>
      <c r="J83" s="53" cm="1">
        <f t="array" ref="J83">IF(D83="G",I83/AJ83,I83/Q83)</f>
        <v>9.4869784627535023E-2</v>
      </c>
      <c r="K83" s="52" cm="1">
        <f t="array" ref="K83">IF(Settings!$E$18="C/LW/RW",VLOOKUP(B83,LW!A1:F210,6,FALSE),VLOOKUP(B83,F!A1:F407,6,FALSE))</f>
        <v>0.88493669506806238</v>
      </c>
      <c r="L83" s="54" cm="1">
        <f t="array" ref="L83">IFERROR(K83/H83,"N/A")</f>
        <v>7.3744724589005203E-2</v>
      </c>
      <c r="M83" s="55">
        <v>29</v>
      </c>
      <c r="N83" s="55" cm="1">
        <f t="array" ref="N83">IFERROR(M83-A83,"N/A")</f>
        <v>-41</v>
      </c>
      <c r="O83" s="82"/>
      <c r="P83" s="56" cm="1">
        <f t="array" ref="P83">_xlfn.XLOOKUP($B83,ADP!A2:A671,ADP!G2:G671)</f>
        <v>0</v>
      </c>
      <c r="Q83" s="57" cm="1">
        <f t="array" ref="Q83">IF(Settings!$E$12="YES",VLOOKUP(B83,'Player Data'!A1:E673,5,FALSE),84)</f>
        <v>82</v>
      </c>
      <c r="R83" s="55" cm="1">
        <f t="array" ref="R83">VLOOKUP(B83,'Player Data'!$A1:$AE673,6,FALSE)</f>
        <v>21.5</v>
      </c>
      <c r="S83" s="57" cm="1">
        <f t="array" ref="S83">VLOOKUP(B83,'Player Data'!$A1:$AE673,7,FALSE)*$Q83*IFERROR((VLOOKUP(P83,Settings!$E$28:$F$33,2,FALSE)+1),1)</f>
        <v>39.36</v>
      </c>
      <c r="T83" s="57" cm="1">
        <f t="array" ref="T83">VLOOKUP(B83,'Player Data'!$A1:$AE673,8,FALSE)*$Q83*IFERROR((VLOOKUP(P83,Settings!$E$28:$F$33,2,FALSE)+1),1)</f>
        <v>51.660000000000004</v>
      </c>
      <c r="U83" s="57" cm="1">
        <f t="array" ref="U83">SUM(S83:T83)</f>
        <v>91.02000000000001</v>
      </c>
      <c r="V83" s="57" cm="1">
        <f t="array" ref="V83">VLOOKUP(B83,'Player Data'!$A1:$AE673,10,FALSE)*$Q83*IFERROR(((VLOOKUP(P83,Settings!$E$28:$F$33,2,FALSE)/2)+1),1)</f>
        <v>274.7</v>
      </c>
      <c r="W83" s="58" cm="1">
        <f t="array" ref="W83">VLOOKUP(B83,'Player Data'!$A1:$AE673,11,FALSE)*$Q83*IFERROR((VLOOKUP(P83,Settings!$E$28:$F$33,2,FALSE)+1),1)</f>
        <v>6.5600000000000005</v>
      </c>
      <c r="X83" s="57" cm="1">
        <f t="array" ref="X83">VLOOKUP(B83,'Player Data'!$A1:$AE673,12,FALSE)*$Q83*IFERROR((VLOOKUP(P83,Settings!$E$28:$F$33,2,FALSE)+1),1)</f>
        <v>22.96</v>
      </c>
      <c r="Y83" s="57" cm="1">
        <f t="array" ref="Y83">VLOOKUP(B83,'Player Data'!$A1:$AE673,13,FALSE)*$Q83</f>
        <v>0.82000000000000006</v>
      </c>
      <c r="Z83" s="57" cm="1">
        <f t="array" ref="Z83">VLOOKUP(B83,'Player Data'!$A1:$AE673,14,FALSE)*$Q83</f>
        <v>1.6400000000000001</v>
      </c>
      <c r="AA83" s="57" cm="1">
        <f t="array" ref="AA83">VLOOKUP(B83,'Player Data'!$A1:$AE673,15,FALSE)*$Q83</f>
        <v>29.52</v>
      </c>
      <c r="AB83" s="57" cm="1">
        <f t="array" ref="AB83">VLOOKUP(B83,'Player Data'!$A1:$AE673,16,FALSE)*$Q83</f>
        <v>34.44</v>
      </c>
      <c r="AC83" s="57" cm="1">
        <f t="array" ref="AC83">VLOOKUP(B83,'Player Data'!$A1:$AE673,17,FALSE)*$Q83*IFERROR((VLOOKUP(P83,Settings!$E$28:$F$33,2,FALSE)+1),1)</f>
        <v>1.6400000000000001</v>
      </c>
      <c r="AD83" s="57" cm="1">
        <f t="array" ref="AD83">VLOOKUP(B83,'Player Data'!$A1:$AE673,18,FALSE)*$Q83</f>
        <v>22.14</v>
      </c>
      <c r="AE83" s="57" cm="1">
        <f t="array" ref="AE83">VLOOKUP(B83,'Player Data'!$A1:$AE673,19,FALSE)*$Q83*IFERROR((VLOOKUP(P83,Settings!$E$28:$F$33,2,FALSE)+1),1)</f>
        <v>6.5600000000000005</v>
      </c>
      <c r="AF83" s="57" cm="1">
        <f t="array" ref="AF83">VLOOKUP(B83,'Player Data'!$A1:$AE673,20,FALSE)*$Q83</f>
        <v>0</v>
      </c>
      <c r="AG83" s="57" cm="1">
        <f t="array" ref="AG83">VLOOKUP(B83,'Player Data'!$A1:$AE673,21,FALSE)*$Q83</f>
        <v>2.46</v>
      </c>
      <c r="AH83" s="59" cm="1">
        <f t="array" ref="AH83">VLOOKUP(B83,'Player Data'!$A1:$AE673,22,FALSE)</f>
        <v>0.1</v>
      </c>
      <c r="AI83" s="55"/>
      <c r="AJ83" s="57"/>
      <c r="AK83" s="57"/>
      <c r="AL83" s="57"/>
      <c r="AM83" s="57"/>
      <c r="AN83" s="57"/>
      <c r="AO83" s="57"/>
      <c r="AP83" s="57"/>
      <c r="AQ83" s="60"/>
      <c r="AR83" s="61"/>
      <c r="AS83" s="55"/>
    </row>
    <row r="84" spans="1:45" ht="21.25" customHeight="1" x14ac:dyDescent="0.15">
      <c r="A84" s="62">
        <f>RANK(K84,K$2:K$671)</f>
        <v>96</v>
      </c>
      <c r="B84" s="10" t="s">
        <v>359</v>
      </c>
      <c r="C84" s="47" t="s">
        <v>145</v>
      </c>
      <c r="D84" s="48" t="str" cm="1">
        <f t="array" ref="D84">VLOOKUP(B84,'Player Data'!A1:D673,4,FALSE)</f>
        <v>D</v>
      </c>
      <c r="E84" s="68" cm="1">
        <f t="array" ref="E84">VLOOKUP(B84,D!A1:C204,3,FALSE)</f>
        <v>37</v>
      </c>
      <c r="F84" s="50" t="str" cm="1">
        <f t="array" ref="F84">VLOOKUP(B84,'Player Data'!A1:B673,2,FALSE)</f>
        <v>COL</v>
      </c>
      <c r="G84" s="66" cm="1">
        <f t="array" ref="G84">VLOOKUP(B84,'Player Data'!A1:D673,3,FALSE)</f>
        <v>34</v>
      </c>
      <c r="H84" s="51" cm="1">
        <f t="array" ref="H84">IFERROR(VLOOKUP(B84,ADP!A1:F671,6,FALSE)/1000000,VLOOKUP(B84,ADP!A1:F671,6,FALSE))</f>
        <v>3.95</v>
      </c>
      <c r="I84" s="52">
        <f>IF(Settings!$E$15="POINTS",((R84*Q84)*Settings!$B$12)+(S84*Settings!$B$2)+(T84*Settings!$B$3)+(U84*Settings!$B$4)+(V84*Settings!$B$5)+(X84*Settings!$B$9)+(AA84*Settings!$B$6)+(W84*Settings!$B$8)+(AB84*Settings!$B$7)+(AC84*Settings!$B$14)+(AD84*Settings!$B$15)+(AE84*Settings!$B$16)+(AF84*Settings!$B$17)+(AG84*Settings!$B$18)+(U84*Settings!$B$13)+(Y84*Settings!$B$10)+(Z84*Settings!$B$11),VLOOKUP(B84,'Standard Deviations'!A$1:C$672,3,FALSE))</f>
        <v>0.56685091451755443</v>
      </c>
      <c r="J84" s="53" cm="1">
        <f t="array" ref="J84">IF(D84="G",I84/AJ84,I84/Q84)</f>
        <v>7.2673194168917238E-3</v>
      </c>
      <c r="K84" s="52" cm="1">
        <f t="array" ref="K84">VLOOKUP(B84,D!A1:F204,6,FALSE)</f>
        <v>0</v>
      </c>
      <c r="L84" s="54" cm="1">
        <f t="array" ref="L84">IFERROR(K84/H84,"N/A")</f>
        <v>0</v>
      </c>
      <c r="M84" s="84" t="s">
        <v>828</v>
      </c>
      <c r="N84" s="84" t="str" cm="1">
        <f t="array" ref="N84">IFERROR(M84-A84,"N/A")</f>
        <v>N/A</v>
      </c>
      <c r="O84" s="55"/>
      <c r="P84" s="56" cm="1">
        <f t="array" ref="P84">_xlfn.XLOOKUP($B84,ADP!A2:A671,ADP!G2:G671)</f>
        <v>0</v>
      </c>
      <c r="Q84" s="57" cm="1">
        <f t="array" ref="Q84">IF(Settings!$E$12="YES",VLOOKUP(B84,'Player Data'!A1:E673,5,FALSE),84)</f>
        <v>78</v>
      </c>
      <c r="R84" s="81" cm="1">
        <f t="array" ref="R84">VLOOKUP(B84,'Player Data'!$A1:$AE673,6,FALSE)</f>
        <v>18.899999999999999</v>
      </c>
      <c r="S84" s="57" cm="1">
        <f t="array" ref="S84">VLOOKUP(B84,'Player Data'!$A1:$AE673,7,FALSE)*$Q84*IFERROR((VLOOKUP(P84,Settings!$E$28:$F$33,2,FALSE)+1),1)</f>
        <v>3.9000000000000004</v>
      </c>
      <c r="T84" s="57" cm="1">
        <f t="array" ref="T84">VLOOKUP(B84,'Player Data'!$A1:$AE673,8,FALSE)*$Q84*IFERROR((VLOOKUP(P84,Settings!$E$28:$F$33,2,FALSE)+1),1)</f>
        <v>18.72</v>
      </c>
      <c r="U84" s="57" cm="1">
        <f t="array" ref="U84">SUM(S84:T84)</f>
        <v>22.619999999999997</v>
      </c>
      <c r="V84" s="57" cm="1">
        <f t="array" ref="V84">VLOOKUP(B84,'Player Data'!$A1:$AE673,10,FALSE)*$Q84*IFERROR(((VLOOKUP(P84,Settings!$E$28:$F$33,2,FALSE)/2)+1),1)</f>
        <v>110.75999999999999</v>
      </c>
      <c r="W84" s="57" cm="1">
        <f t="array" ref="W84">VLOOKUP(B84,'Player Data'!$A1:$AE673,11,FALSE)*$Q84*IFERROR((VLOOKUP(P84,Settings!$E$28:$F$33,2,FALSE)+1),1)</f>
        <v>0</v>
      </c>
      <c r="X84" s="57" cm="1">
        <f t="array" ref="X84">VLOOKUP(B84,'Player Data'!$A1:$AE673,12,FALSE)*$Q84*IFERROR((VLOOKUP(P84,Settings!$E$28:$F$33,2,FALSE)+1),1)</f>
        <v>0</v>
      </c>
      <c r="Y84" s="57" cm="1">
        <f t="array" ref="Y84">VLOOKUP(B84,'Player Data'!$A1:$AE673,13,FALSE)*$Q84</f>
        <v>0</v>
      </c>
      <c r="Z84" s="57" cm="1">
        <f t="array" ref="Z84">VLOOKUP(B84,'Player Data'!$A1:$AE673,14,FALSE)*$Q84</f>
        <v>0.78</v>
      </c>
      <c r="AA84" s="57" cm="1">
        <f t="array" ref="AA84">VLOOKUP(B84,'Player Data'!$A1:$AE673,15,FALSE)*$Q84</f>
        <v>100.62</v>
      </c>
      <c r="AB84" s="57" cm="1">
        <f t="array" ref="AB84">VLOOKUP(B84,'Player Data'!$A1:$AE673,16,FALSE)*$Q84</f>
        <v>153.66</v>
      </c>
      <c r="AC84" s="57" cm="1">
        <f t="array" ref="AC84">VLOOKUP(B84,'Player Data'!$A1:$AE673,17,FALSE)*$Q84*IFERROR((VLOOKUP(P84,Settings!$E$28:$F$33,2,FALSE)+1),1)</f>
        <v>7.8000000000000007</v>
      </c>
      <c r="AD84" s="57" cm="1">
        <f t="array" ref="AD84">VLOOKUP(B84,'Player Data'!$A1:$AE673,18,FALSE)*$Q84</f>
        <v>72.540000000000006</v>
      </c>
      <c r="AE84" s="57" cm="1">
        <f t="array" ref="AE84">VLOOKUP(B84,'Player Data'!$A1:$AE673,19,FALSE)*$Q84*IFERROR((VLOOKUP(P84,Settings!$E$28:$F$33,2,FALSE)+1),1)</f>
        <v>0.78</v>
      </c>
      <c r="AF84" s="57" cm="1">
        <f t="array" ref="AF84">VLOOKUP(B84,'Player Data'!$A1:$AE673,20,FALSE)*$Q84</f>
        <v>0</v>
      </c>
      <c r="AG84" s="57" cm="1">
        <f t="array" ref="AG84">VLOOKUP(B84,'Player Data'!$A1:$AE673,21,FALSE)*$Q84</f>
        <v>0</v>
      </c>
      <c r="AH84" s="59" cm="1">
        <f t="array" ref="AH84">VLOOKUP(B84,'Player Data'!$A1:$AE673,22,FALSE)</f>
        <v>0</v>
      </c>
      <c r="AI84" s="55"/>
      <c r="AJ84" s="57"/>
      <c r="AK84" s="57"/>
      <c r="AL84" s="57"/>
      <c r="AM84" s="57"/>
      <c r="AN84" s="57"/>
      <c r="AO84" s="57"/>
      <c r="AP84" s="57"/>
      <c r="AQ84" s="60"/>
      <c r="AR84" s="61"/>
      <c r="AS84" s="55"/>
    </row>
    <row r="85" spans="1:45" ht="21.25" customHeight="1" x14ac:dyDescent="0.15">
      <c r="A85" s="62">
        <f>RANK(K85,K$2:K$671)</f>
        <v>88</v>
      </c>
      <c r="B85" s="10" t="s">
        <v>305</v>
      </c>
      <c r="C85" s="47" t="s">
        <v>145</v>
      </c>
      <c r="D85" s="48" t="str" cm="1">
        <f t="array" ref="D85">VLOOKUP(B85,'Player Data'!A1:D673,4,FALSE)</f>
        <v>G</v>
      </c>
      <c r="E85" s="76" cm="1">
        <f t="array" ref="E85">VLOOKUP(B85,G!A1:D66,3,FALSE)</f>
        <v>18</v>
      </c>
      <c r="F85" s="69" t="str" cm="1">
        <f t="array" ref="F85">VLOOKUP(B85,'Player Data'!A1:B673,2,FALSE)</f>
        <v>N.J</v>
      </c>
      <c r="G85" s="66" cm="1">
        <f t="array" ref="G85">VLOOKUP(B85,'Player Data'!A1:D673,3,FALSE)</f>
        <v>36</v>
      </c>
      <c r="H85" s="51" cm="1">
        <f t="array" ref="H85">IFERROR(VLOOKUP(B85,ADP!A1:F671,6,FALSE)/1000000,VLOOKUP(B85,ADP!A1:F671,6,FALSE))</f>
        <v>1.8</v>
      </c>
      <c r="I85" s="52">
        <f>IF(Settings!$E$15="POINTS",(AJ85*Settings!$B$29)+(AK85*Settings!$B$21)+(AL85*Settings!$B$22)+(AN85*Settings!$B$24)+(AO85*Settings!$B$25)+(AP85*Settings!$B$27)+(AM85*Settings!$B$23),VLOOKUP(B85,'Standard Deviations'!A$1:C$672,3,FALSE))</f>
        <v>2.2120462193651567</v>
      </c>
      <c r="J85" s="53" cm="1">
        <f t="array" ref="J85">IF(D85="G",I85/AJ85,I85/Q85)</f>
        <v>4.9156582652559039E-2</v>
      </c>
      <c r="K85" s="52" cm="1">
        <f t="array" ref="K85">VLOOKUP(B85,G!A1:F66,6,FALSE)</f>
        <v>0.17386096024148179</v>
      </c>
      <c r="L85" s="54" cm="1">
        <f t="array" ref="L85">IFERROR(K85/H85,"N/A")</f>
        <v>9.6589422356378768E-2</v>
      </c>
      <c r="M85" s="55">
        <v>138.4</v>
      </c>
      <c r="N85" s="55" cm="1">
        <f t="array" ref="N85">IFERROR(M85-A85,"N/A")</f>
        <v>50.400000000000006</v>
      </c>
      <c r="O85" s="55"/>
      <c r="P85" s="56" cm="1">
        <f t="array" ref="P85">_xlfn.XLOOKUP($B85,ADP!A2:A671,ADP!G2:G671)</f>
        <v>0</v>
      </c>
      <c r="Q85" s="57"/>
      <c r="R85" s="55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9"/>
      <c r="AI85" s="55"/>
      <c r="AJ85" s="77" cm="1">
        <f t="array" ref="AJ85">VLOOKUP(B85,'Player Data'!$A1:$AE673,24,FALSE)</f>
        <v>45</v>
      </c>
      <c r="AK85" s="57" cm="1">
        <f t="array" ref="AK85">VLOOKUP(B85,'Player Data'!$A1:$AE673,25,FALSE)*$AJ85*IFERROR((VLOOKUP(P85,Settings!$E$28:$F$33,2,FALSE)+1),1)</f>
        <v>23.400000000000002</v>
      </c>
      <c r="AL85" s="57" cm="1">
        <f t="array" ref="AL85">AJ85-AK85-AM85</f>
        <v>16.2</v>
      </c>
      <c r="AM85" s="57" cm="1">
        <f t="array" ref="AM85">VLOOKUP(B85,'Player Data'!$A1:$AE673,27,FALSE)*$AJ85</f>
        <v>5.3999999999999995</v>
      </c>
      <c r="AN85" s="57" cm="1">
        <f t="array" ref="AN85">VLOOKUP(B85,'Player Data'!$A1:$AE673,28,FALSE)*AJ85</f>
        <v>2.6999999999999997</v>
      </c>
      <c r="AO85" s="57" cm="1">
        <f t="array" ref="AO85">VLOOKUP(B85,'Player Data'!$A1:$AE673,29,FALSE)*$AJ85*IFERROR((VLOOKUP(P85,Settings!$E$28:$F$33,2,FALSE)/4)+1,1)</f>
        <v>1156.5</v>
      </c>
      <c r="AP85" s="57" cm="1">
        <f t="array" ref="AP85">VLOOKUP(B85,'Player Data'!$A1:$AE673,31,FALSE)*$AJ85*(IFERROR(1-(VLOOKUP(P85,Settings!$E$28:$F$33,2,FALSE)/4),1))</f>
        <v>125.1</v>
      </c>
      <c r="AQ85" s="60" cm="1">
        <f t="array" ref="AQ85">1-(AP85/(AO85+AP85))</f>
        <v>0.9023876404494382</v>
      </c>
      <c r="AR85" s="61" cm="1">
        <f t="array" ref="AR85">AP85/AJ85</f>
        <v>2.78</v>
      </c>
      <c r="AS85" s="55"/>
    </row>
    <row r="86" spans="1:45" ht="21.25" customHeight="1" x14ac:dyDescent="0.15">
      <c r="A86" s="62">
        <f>RANK(K86,K$2:K$671)</f>
        <v>89</v>
      </c>
      <c r="B86" s="10" t="s">
        <v>295</v>
      </c>
      <c r="C86" s="47" t="s">
        <v>145</v>
      </c>
      <c r="D86" s="48" t="str" cm="1">
        <f t="array" ref="D86">VLOOKUP(B86,'Player Data'!A1:D673,4,FALSE)</f>
        <v>G</v>
      </c>
      <c r="E86" s="76" cm="1">
        <f t="array" ref="E86">VLOOKUP(B86,G!A1:D66,3,FALSE)</f>
        <v>19</v>
      </c>
      <c r="F86" s="70" t="str" cm="1">
        <f t="array" ref="F86">VLOOKUP(B86,'Player Data'!A1:B673,2,FALSE)</f>
        <v>L.A</v>
      </c>
      <c r="G86" s="66" cm="1">
        <f t="array" ref="G86">VLOOKUP(B86,'Player Data'!A1:D673,3,FALSE)</f>
        <v>33</v>
      </c>
      <c r="H86" s="67" cm="1">
        <f t="array" ref="H86">IFERROR(VLOOKUP(B86,ADP!A1:F671,6,FALSE)/1000000,VLOOKUP(B86,ADP!A1:F671,6,FALSE))</f>
        <v>2.25</v>
      </c>
      <c r="I86" s="52">
        <f>IF(Settings!$E$15="POINTS",(AJ86*Settings!$B$29)+(AK86*Settings!$B$21)+(AL86*Settings!$B$22)+(AN86*Settings!$B$24)+(AO86*Settings!$B$25)+(AP86*Settings!$B$27)+(AM86*Settings!$B$23),VLOOKUP(B86,'Standard Deviations'!A$1:C$672,3,FALSE))</f>
        <v>2.191815033172023</v>
      </c>
      <c r="J86" s="53" cm="1">
        <f t="array" ref="J86">IF(D86="G",I86/AJ86,I86/Q86)</f>
        <v>4.8707000737156066E-2</v>
      </c>
      <c r="K86" s="52" cm="1">
        <f t="array" ref="K86">VLOOKUP(B86,G!A1:F66,6,FALSE)</f>
        <v>0.1536297740483481</v>
      </c>
      <c r="L86" s="54" cm="1">
        <f t="array" ref="L86">IFERROR(K86/H86,"N/A")</f>
        <v>6.8279899577043598E-2</v>
      </c>
      <c r="M86" s="84" t="s">
        <v>828</v>
      </c>
      <c r="N86" s="84" t="str" cm="1">
        <f t="array" ref="N86">IFERROR(M86-A86,"N/A")</f>
        <v>N/A</v>
      </c>
      <c r="O86" s="55"/>
      <c r="P86" s="56" cm="1">
        <f t="array" ref="P86">_xlfn.XLOOKUP($B86,ADP!A2:A671,ADP!G2:G671)</f>
        <v>0</v>
      </c>
      <c r="Q86" s="57"/>
      <c r="R86" s="55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9"/>
      <c r="AI86" s="55"/>
      <c r="AJ86" s="77" cm="1">
        <f t="array" ref="AJ86">VLOOKUP(B86,'Player Data'!$A1:$AE673,24,FALSE)</f>
        <v>45</v>
      </c>
      <c r="AK86" s="57" cm="1">
        <f t="array" ref="AK86">VLOOKUP(B86,'Player Data'!$A1:$AE673,25,FALSE)*$AJ86*IFERROR((VLOOKUP(P86,Settings!$E$28:$F$33,2,FALSE)+1),1)</f>
        <v>22.05</v>
      </c>
      <c r="AL86" s="57" cm="1">
        <f t="array" ref="AL86">AJ86-AK86-AM86</f>
        <v>17.099999999999998</v>
      </c>
      <c r="AM86" s="57" cm="1">
        <f t="array" ref="AM86">VLOOKUP(B86,'Player Data'!$A1:$AE673,27,FALSE)*$AJ86</f>
        <v>5.8500000000000005</v>
      </c>
      <c r="AN86" s="57" cm="1">
        <f t="array" ref="AN86">VLOOKUP(B86,'Player Data'!$A1:$AE673,28,FALSE)*AJ86</f>
        <v>2.6999999999999997</v>
      </c>
      <c r="AO86" s="57" cm="1">
        <f t="array" ref="AO86">VLOOKUP(B86,'Player Data'!$A1:$AE673,29,FALSE)*$AJ86*IFERROR((VLOOKUP(P86,Settings!$E$28:$F$33,2,FALSE)/4)+1,1)</f>
        <v>1179</v>
      </c>
      <c r="AP86" s="57" cm="1">
        <f t="array" ref="AP86">VLOOKUP(B86,'Player Data'!$A1:$AE673,31,FALSE)*$AJ86*(IFERROR(1-(VLOOKUP(P86,Settings!$E$28:$F$33,2,FALSE)/4),1))</f>
        <v>125.55</v>
      </c>
      <c r="AQ86" s="60" cm="1">
        <f t="array" ref="AQ86">1-(AP86/(AO86+AP86))</f>
        <v>0.903759917212832</v>
      </c>
      <c r="AR86" s="61" cm="1">
        <f t="array" ref="AR86">AP86/AJ86</f>
        <v>2.79</v>
      </c>
      <c r="AS86" s="55"/>
    </row>
    <row r="87" spans="1:45" ht="21.25" customHeight="1" x14ac:dyDescent="0.15">
      <c r="A87" s="62">
        <f>RANK(K87,K$2:K$671)</f>
        <v>92</v>
      </c>
      <c r="B87" s="10" t="s">
        <v>414</v>
      </c>
      <c r="C87" s="47" t="s">
        <v>145</v>
      </c>
      <c r="D87" s="48" t="str" cm="1">
        <f t="array" ref="D87">VLOOKUP(B87,'Player Data'!A1:D673,4,FALSE)</f>
        <v>G</v>
      </c>
      <c r="E87" s="76" cm="1">
        <f t="array" ref="E87">VLOOKUP(B87,G!A1:D66,3,FALSE)</f>
        <v>20</v>
      </c>
      <c r="F87" s="50" t="str" cm="1">
        <f t="array" ref="F87">VLOOKUP(B87,'Player Data'!A1:B673,2,FALSE)</f>
        <v>COL</v>
      </c>
      <c r="G87" s="11" cm="1">
        <f t="array" ref="G87">VLOOKUP(B87,'Player Data'!A1:D673,3,FALSE)</f>
        <v>29</v>
      </c>
      <c r="H87" s="51" cm="1">
        <f t="array" ref="H87">IFERROR(VLOOKUP(B87,ADP!A1:F671,6,FALSE)/1000000,VLOOKUP(B87,ADP!A1:F671,6,FALSE))</f>
        <v>5.25</v>
      </c>
      <c r="I87" s="52">
        <f>IF(Settings!$E$15="POINTS",(AJ87*Settings!$B$29)+(AK87*Settings!$B$21)+(AL87*Settings!$B$22)+(AN87*Settings!$B$24)+(AO87*Settings!$B$25)+(AP87*Settings!$B$27)+(AM87*Settings!$B$23),VLOOKUP(B87,'Standard Deviations'!A$1:C$672,3,FALSE))</f>
        <v>2.1650984189529154</v>
      </c>
      <c r="J87" s="53" cm="1">
        <f t="array" ref="J87">IF(D87="G",I87/AJ87,I87/Q87)</f>
        <v>6.1859954827226157E-2</v>
      </c>
      <c r="K87" s="52" cm="1">
        <f t="array" ref="K87">VLOOKUP(B87,G!A1:F66,6,FALSE)</f>
        <v>0.12691315982924056</v>
      </c>
      <c r="L87" s="54" cm="1">
        <f t="array" ref="L87">IFERROR(K87/H87,"N/A")</f>
        <v>2.4173935205569631E-2</v>
      </c>
      <c r="M87" s="55">
        <v>92.5</v>
      </c>
      <c r="N87" s="55" cm="1">
        <f t="array" ref="N87">IFERROR(M87-A87,"N/A")</f>
        <v>0.5</v>
      </c>
      <c r="O87" s="55"/>
      <c r="P87" s="56" cm="1">
        <f t="array" ref="P87">_xlfn.XLOOKUP($B87,ADP!A2:A671,ADP!G2:G671)</f>
        <v>0</v>
      </c>
      <c r="Q87" s="57"/>
      <c r="R87" s="55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9"/>
      <c r="AI87" s="55"/>
      <c r="AJ87" s="77" cm="1">
        <f t="array" ref="AJ87">VLOOKUP(B87,'Player Data'!$A1:$AE673,24,FALSE)</f>
        <v>35</v>
      </c>
      <c r="AK87" s="57" cm="1">
        <f t="array" ref="AK87">VLOOKUP(B87,'Player Data'!$A1:$AE673,25,FALSE)*$AJ87*IFERROR((VLOOKUP(P87,Settings!$E$28:$F$33,2,FALSE)+1),1)</f>
        <v>21</v>
      </c>
      <c r="AL87" s="57" cm="1">
        <f t="array" ref="AL87">AJ87-AK87-AM87</f>
        <v>10.5</v>
      </c>
      <c r="AM87" s="57" cm="1">
        <f t="array" ref="AM87">VLOOKUP(B87,'Player Data'!$A1:$AE673,27,FALSE)*$AJ87</f>
        <v>3.5</v>
      </c>
      <c r="AN87" s="57" cm="1">
        <f t="array" ref="AN87">VLOOKUP(B87,'Player Data'!$A1:$AE673,28,FALSE)*AJ87</f>
        <v>2.4500000000000002</v>
      </c>
      <c r="AO87" s="57" cm="1">
        <f t="array" ref="AO87">VLOOKUP(B87,'Player Data'!$A1:$AE673,29,FALSE)*$AJ87*IFERROR((VLOOKUP(P87,Settings!$E$28:$F$33,2,FALSE)/4)+1,1)</f>
        <v>868</v>
      </c>
      <c r="AP87" s="57" cm="1">
        <f t="array" ref="AP87">VLOOKUP(B87,'Player Data'!$A1:$AE673,31,FALSE)*$AJ87*(IFERROR(1-(VLOOKUP(P87,Settings!$E$28:$F$33,2,FALSE)/4),1))</f>
        <v>93.800000000000011</v>
      </c>
      <c r="AQ87" s="60" cm="1">
        <f t="array" ref="AQ87">1-(AP87/(AO87+AP87))</f>
        <v>0.90247452692867536</v>
      </c>
      <c r="AR87" s="61" cm="1">
        <f t="array" ref="AR87">AP87/AJ87</f>
        <v>2.68</v>
      </c>
      <c r="AS87" s="55"/>
    </row>
    <row r="88" spans="1:45" ht="21.25" customHeight="1" x14ac:dyDescent="0.15">
      <c r="A88" s="62">
        <f>RANK(K88,K$2:K$671)</f>
        <v>72</v>
      </c>
      <c r="B88" s="10" t="s">
        <v>208</v>
      </c>
      <c r="C88" s="47" t="s">
        <v>145</v>
      </c>
      <c r="D88" s="48" t="str" cm="1">
        <f t="array" ref="D88">VLOOKUP(B88,'Player Data'!A1:D673,4,FALSE)</f>
        <v>C,LW</v>
      </c>
      <c r="E88" s="74" cm="1">
        <f t="array" ref="E88">VLOOKUP(B88,LW!A1:C210,3,FALSE)</f>
        <v>17</v>
      </c>
      <c r="F88" s="18" t="str" cm="1">
        <f t="array" ref="F88">VLOOKUP(B88,'Player Data'!A1:B673,2,FALSE)</f>
        <v>OTT</v>
      </c>
      <c r="G88" s="71" cm="1">
        <f t="array" ref="G88">VLOOKUP(B88,'Player Data'!A1:D673,3,FALSE)</f>
        <v>24</v>
      </c>
      <c r="H88" s="51" cm="1">
        <f t="array" ref="H88">IFERROR(VLOOKUP(B88,ADP!A1:F671,6,FALSE)/1000000,VLOOKUP(B88,ADP!A1:F671,6,FALSE))</f>
        <v>8.35</v>
      </c>
      <c r="I88" s="52">
        <f>IF(Settings!$E$15="POINTS",((R88*Q88)*Settings!$B$12)+(S88*Settings!$B$2)+(T88*Settings!$B$3)+(U88*Settings!$B$4)+(V88*Settings!$B$5)+(X88*Settings!$B$9)+(AA88*Settings!$B$6)+(W88*Settings!$B$8)+(AB88*Settings!$B$7)+(AC88*Settings!$B$14)+(AD88*Settings!$B$15)+(AE88*Settings!$B$16)+(AF88*Settings!$B$17)+(AG88*Settings!$B$18)+(Y88*Settings!$B$10)+(Z88*Settings!$B$11),VLOOKUP(B88,'Standard Deviations'!A$1:C$672,3,FALSE))</f>
        <v>7.7123335151329222</v>
      </c>
      <c r="J88" s="53" cm="1">
        <f t="array" ref="J88">IF(D88="G",I88/AJ88,I88/Q88)</f>
        <v>9.2919680905215934E-2</v>
      </c>
      <c r="K88" s="52" cm="1">
        <f t="array" ref="K88">IF(Settings!$E$18="C/LW/RW",VLOOKUP(B88,LW!A1:F210,6,FALSE),VLOOKUP(B88,F!A1:F407,6,FALSE))</f>
        <v>0.81794787074311248</v>
      </c>
      <c r="L88" s="54" cm="1">
        <f t="array" ref="L88">IFERROR(K88/H88,"N/A")</f>
        <v>9.7957828831510482E-2</v>
      </c>
      <c r="M88" s="55">
        <v>47.2</v>
      </c>
      <c r="N88" s="55" cm="1">
        <f t="array" ref="N88">IFERROR(M88-A88,"N/A")</f>
        <v>-24.799999999999997</v>
      </c>
      <c r="O88" s="55"/>
      <c r="P88" s="56" cm="1">
        <f t="array" ref="P88">_xlfn.XLOOKUP($B88,ADP!A2:A671,ADP!G2:G671)</f>
        <v>0</v>
      </c>
      <c r="Q88" s="57" cm="1">
        <f t="array" ref="Q88">IF(Settings!$E$12="YES",VLOOKUP(B88,'Player Data'!A1:E673,5,FALSE),84)</f>
        <v>83</v>
      </c>
      <c r="R88" s="55" cm="1">
        <f t="array" ref="R88">VLOOKUP(B88,'Player Data'!$A1:$AE673,6,FALSE)</f>
        <v>20</v>
      </c>
      <c r="S88" s="57" cm="1">
        <f t="array" ref="S88">VLOOKUP(B88,'Player Data'!$A1:$AE673,7,FALSE)*$Q88*IFERROR((VLOOKUP(P88,Settings!$E$28:$F$33,2,FALSE)+1),1)</f>
        <v>29.049999999999997</v>
      </c>
      <c r="T88" s="57" cm="1">
        <f t="array" ref="T88">VLOOKUP(B88,'Player Data'!$A1:$AE673,8,FALSE)*$Q88*IFERROR((VLOOKUP(P88,Settings!$E$28:$F$33,2,FALSE)+1),1)</f>
        <v>50.629999999999995</v>
      </c>
      <c r="U88" s="57" cm="1">
        <f t="array" ref="U88">SUM(S88:T88)</f>
        <v>79.679999999999993</v>
      </c>
      <c r="V88" s="57" cm="1">
        <f t="array" ref="V88">VLOOKUP(B88,'Player Data'!$A1:$AE673,10,FALSE)*$Q88*IFERROR(((VLOOKUP(P88,Settings!$E$28:$F$33,2,FALSE)/2)+1),1)</f>
        <v>194.22</v>
      </c>
      <c r="W88" s="58" cm="1">
        <f t="array" ref="W88">VLOOKUP(B88,'Player Data'!$A1:$AE673,11,FALSE)*$Q88*IFERROR((VLOOKUP(P88,Settings!$E$28:$F$33,2,FALSE)+1),1)</f>
        <v>6.6400000000000006</v>
      </c>
      <c r="X88" s="57" cm="1">
        <f t="array" ref="X88">VLOOKUP(B88,'Player Data'!$A1:$AE673,12,FALSE)*$Q88*IFERROR((VLOOKUP(P88,Settings!$E$28:$F$33,2,FALSE)+1),1)</f>
        <v>27.39</v>
      </c>
      <c r="Y88" s="57" cm="1">
        <f t="array" ref="Y88">VLOOKUP(B88,'Player Data'!$A1:$AE673,13,FALSE)*$Q88</f>
        <v>0.83000000000000007</v>
      </c>
      <c r="Z88" s="57" cm="1">
        <f t="array" ref="Z88">VLOOKUP(B88,'Player Data'!$A1:$AE673,14,FALSE)*$Q88</f>
        <v>0.83000000000000007</v>
      </c>
      <c r="AA88" s="57" cm="1">
        <f t="array" ref="AA88">VLOOKUP(B88,'Player Data'!$A1:$AE673,15,FALSE)*$Q88</f>
        <v>45.650000000000006</v>
      </c>
      <c r="AB88" s="57" cm="1">
        <f t="array" ref="AB88">VLOOKUP(B88,'Player Data'!$A1:$AE673,16,FALSE)*$Q88</f>
        <v>122.00999999999999</v>
      </c>
      <c r="AC88" s="57" cm="1">
        <f t="array" ref="AC88">VLOOKUP(B88,'Player Data'!$A1:$AE673,17,FALSE)*$Q88*IFERROR((VLOOKUP(P88,Settings!$E$28:$F$33,2,FALSE)+1),1)</f>
        <v>2.4899999999999998</v>
      </c>
      <c r="AD88" s="57" cm="1">
        <f t="array" ref="AD88">VLOOKUP(B88,'Player Data'!$A1:$AE673,18,FALSE)*$Q88</f>
        <v>38.18</v>
      </c>
      <c r="AE88" s="57" cm="1">
        <f t="array" ref="AE88">VLOOKUP(B88,'Player Data'!$A1:$AE673,19,FALSE)*$Q88*IFERROR((VLOOKUP(P88,Settings!$E$28:$F$33,2,FALSE)+1),1)</f>
        <v>4.9799999999999995</v>
      </c>
      <c r="AF88" s="57" cm="1">
        <f t="array" ref="AF88">VLOOKUP(B88,'Player Data'!$A1:$AE673,20,FALSE)*$Q88</f>
        <v>297.96999999999997</v>
      </c>
      <c r="AG88" s="57" cm="1">
        <f t="array" ref="AG88">VLOOKUP(B88,'Player Data'!$A1:$AE673,21,FALSE)*$Q88</f>
        <v>302.95</v>
      </c>
      <c r="AH88" s="59" cm="1">
        <f t="array" ref="AH88">VLOOKUP(B88,'Player Data'!$A1:$AE673,22,FALSE)</f>
        <v>0.5</v>
      </c>
      <c r="AI88" s="55"/>
      <c r="AJ88" s="57"/>
      <c r="AK88" s="57"/>
      <c r="AL88" s="57"/>
      <c r="AM88" s="57"/>
      <c r="AN88" s="57"/>
      <c r="AO88" s="57"/>
      <c r="AP88" s="57"/>
      <c r="AQ88" s="60"/>
      <c r="AR88" s="61"/>
      <c r="AS88" s="55"/>
    </row>
    <row r="89" spans="1:45" ht="21.25" customHeight="1" x14ac:dyDescent="0.15">
      <c r="A89" s="62">
        <f>RANK(K89,K$2:K$671)</f>
        <v>73</v>
      </c>
      <c r="B89" s="10" t="s">
        <v>198</v>
      </c>
      <c r="C89" s="47" t="s">
        <v>145</v>
      </c>
      <c r="D89" s="48" t="str" cm="1">
        <f t="array" ref="D89">VLOOKUP(B89,'Player Data'!A1:D673,4,FALSE)</f>
        <v>RW</v>
      </c>
      <c r="E89" s="64" cm="1">
        <f t="array" ref="E89">VLOOKUP(B89,RW!A1:F210,3,FALSE)</f>
        <v>16</v>
      </c>
      <c r="F89" s="72" t="str" cm="1">
        <f t="array" ref="F89">VLOOKUP(B89,'Player Data'!A1:B673,2,FALSE)</f>
        <v>FLA</v>
      </c>
      <c r="G89" s="11" cm="1">
        <f t="array" ref="G89">VLOOKUP(B89,'Player Data'!A1:D673,3,FALSE)</f>
        <v>30</v>
      </c>
      <c r="H89" s="51" cm="1">
        <f t="array" ref="H89">IFERROR(VLOOKUP(B89,ADP!A1:F671,6,FALSE)/1000000,VLOOKUP(B89,ADP!A1:F671,6,FALSE))</f>
        <v>8.625</v>
      </c>
      <c r="I89" s="52">
        <f>IF(Settings!$E$15="POINTS",((R89*Q89)*Settings!$B$12)+(S89*Settings!$B$2)+(T89*Settings!$B$3)+(U89*Settings!$B$4)+(V89*Settings!$B$5)+(X89*Settings!$B$9)+(AA89*Settings!$B$6)+(W89*Settings!$B$8)+(AB89*Settings!$B$7)+(AC89*Settings!$B$14)+(AD89*Settings!$B$15)+(AE89*Settings!$B$16)+(AF89*Settings!$B$17)+(AG89*Settings!$B$18)+(Y89*Settings!$B$10)+(Z89*Settings!$B$11),VLOOKUP(B89,'Standard Deviations'!A$1:C$672,3,FALSE))</f>
        <v>7.7014084091085007</v>
      </c>
      <c r="J89" s="53" cm="1">
        <f t="array" ref="J89">IF(D89="G",I89/AJ89,I89/Q89)</f>
        <v>9.6267605113856264E-2</v>
      </c>
      <c r="K89" s="52" cm="1">
        <f t="array" ref="K89">IF(Settings!$E$18="C/LW/RW",VLOOKUP(B89,RW!A1:F210,6,FALSE),VLOOKUP(B89,F!A1:F407,6,FALSE))</f>
        <v>0.81417380729942312</v>
      </c>
      <c r="L89" s="54" cm="1">
        <f t="array" ref="L89">IFERROR(K89/H89,"N/A")</f>
        <v>9.4396963165150505E-2</v>
      </c>
      <c r="M89" s="55">
        <v>43.1</v>
      </c>
      <c r="N89" s="55" cm="1">
        <f t="array" ref="N89">IFERROR(M89-A89,"N/A")</f>
        <v>-29.9</v>
      </c>
      <c r="O89" s="55"/>
      <c r="P89" s="56" cm="1">
        <f t="array" ref="P89">_xlfn.XLOOKUP($B89,ADP!A2:A671,ADP!G2:G671)</f>
        <v>0</v>
      </c>
      <c r="Q89" s="57" cm="1">
        <f t="array" ref="Q89">IF(Settings!$E$12="YES",VLOOKUP(B89,'Player Data'!A1:E673,5,FALSE),84)</f>
        <v>80</v>
      </c>
      <c r="R89" s="83" cm="1">
        <f t="array" ref="R89">VLOOKUP(B89,'Player Data'!$A1:$AE673,6,FALSE)</f>
        <v>20.2</v>
      </c>
      <c r="S89" s="57" cm="1">
        <f t="array" ref="S89">VLOOKUP(B89,'Player Data'!$A1:$AE673,7,FALSE)*$Q89*IFERROR((VLOOKUP(P89,Settings!$E$28:$F$33,2,FALSE)+1),1)</f>
        <v>38.4</v>
      </c>
      <c r="T89" s="57" cm="1">
        <f t="array" ref="T89">VLOOKUP(B89,'Player Data'!$A1:$AE673,8,FALSE)*$Q89*IFERROR((VLOOKUP(P89,Settings!$E$28:$F$33,2,FALSE)+1),1)</f>
        <v>39.200000000000003</v>
      </c>
      <c r="U89" s="57" cm="1">
        <f t="array" ref="U89">SUM(S89:T89)</f>
        <v>77.599999999999994</v>
      </c>
      <c r="V89" s="57" cm="1">
        <f t="array" ref="V89">VLOOKUP(B89,'Player Data'!$A1:$AE673,10,FALSE)*$Q89*IFERROR(((VLOOKUP(P89,Settings!$E$28:$F$33,2,FALSE)/2)+1),1)</f>
        <v>202.39999999999998</v>
      </c>
      <c r="W89" s="58" cm="1">
        <f t="array" ref="W89">VLOOKUP(B89,'Player Data'!$A1:$AE673,11,FALSE)*$Q89*IFERROR((VLOOKUP(P89,Settings!$E$28:$F$33,2,FALSE)+1),1)</f>
        <v>14.399999999999999</v>
      </c>
      <c r="X89" s="57" cm="1">
        <f t="array" ref="X89">VLOOKUP(B89,'Player Data'!$A1:$AE673,12,FALSE)*$Q89*IFERROR((VLOOKUP(P89,Settings!$E$28:$F$33,2,FALSE)+1),1)</f>
        <v>28</v>
      </c>
      <c r="Y89" s="57" cm="1">
        <f t="array" ref="Y89">VLOOKUP(B89,'Player Data'!$A1:$AE673,13,FALSE)*$Q89</f>
        <v>3.2</v>
      </c>
      <c r="Z89" s="57" cm="1">
        <f t="array" ref="Z89">VLOOKUP(B89,'Player Data'!$A1:$AE673,14,FALSE)*$Q89</f>
        <v>4</v>
      </c>
      <c r="AA89" s="57" cm="1">
        <f t="array" ref="AA89">VLOOKUP(B89,'Player Data'!$A1:$AE673,15,FALSE)*$Q89</f>
        <v>52</v>
      </c>
      <c r="AB89" s="57" cm="1">
        <f t="array" ref="AB89">VLOOKUP(B89,'Player Data'!$A1:$AE673,16,FALSE)*$Q89</f>
        <v>80.8</v>
      </c>
      <c r="AC89" s="57" cm="1">
        <f t="array" ref="AC89">VLOOKUP(B89,'Player Data'!$A1:$AE673,17,FALSE)*$Q89*IFERROR((VLOOKUP(P89,Settings!$E$28:$F$33,2,FALSE)+1),1)</f>
        <v>4.8</v>
      </c>
      <c r="AD89" s="57" cm="1">
        <f t="array" ref="AD89">VLOOKUP(B89,'Player Data'!$A1:$AE673,18,FALSE)*$Q89</f>
        <v>22.400000000000002</v>
      </c>
      <c r="AE89" s="57" cm="1">
        <f t="array" ref="AE89">VLOOKUP(B89,'Player Data'!$A1:$AE673,19,FALSE)*$Q89*IFERROR((VLOOKUP(P89,Settings!$E$28:$F$33,2,FALSE)+1),1)</f>
        <v>6.4</v>
      </c>
      <c r="AF89" s="57" cm="1">
        <f t="array" ref="AF89">VLOOKUP(B89,'Player Data'!$A1:$AE673,20,FALSE)*$Q89</f>
        <v>116.8</v>
      </c>
      <c r="AG89" s="57" cm="1">
        <f t="array" ref="AG89">VLOOKUP(B89,'Player Data'!$A1:$AE673,21,FALSE)*$Q89</f>
        <v>169.60000000000002</v>
      </c>
      <c r="AH89" s="59" cm="1">
        <f t="array" ref="AH89">VLOOKUP(B89,'Player Data'!$A1:$AE673,22,FALSE)</f>
        <v>0.41</v>
      </c>
      <c r="AI89" s="55"/>
      <c r="AJ89" s="57"/>
      <c r="AK89" s="57"/>
      <c r="AL89" s="57"/>
      <c r="AM89" s="57"/>
      <c r="AN89" s="57"/>
      <c r="AO89" s="57"/>
      <c r="AP89" s="57"/>
      <c r="AQ89" s="60"/>
      <c r="AR89" s="61"/>
      <c r="AS89" s="55"/>
    </row>
    <row r="90" spans="1:45" ht="21.25" customHeight="1" x14ac:dyDescent="0.15">
      <c r="A90" s="62">
        <f>RANK(K90,K$2:K$671)</f>
        <v>75</v>
      </c>
      <c r="B90" s="10" t="s">
        <v>173</v>
      </c>
      <c r="C90" s="47" t="s">
        <v>145</v>
      </c>
      <c r="D90" s="48" t="str" cm="1">
        <f t="array" ref="D90">VLOOKUP(B90,'Player Data'!A1:D673,4,FALSE)</f>
        <v>C</v>
      </c>
      <c r="E90" s="49" cm="1">
        <f t="array" ref="E90">VLOOKUP(B90,'C'!A1:C210,3,FALSE)</f>
        <v>19</v>
      </c>
      <c r="F90" s="72" t="str" cm="1">
        <f t="array" ref="F90">VLOOKUP(B90,'Player Data'!A1:B673,2,FALSE)</f>
        <v>PIT</v>
      </c>
      <c r="G90" s="66" cm="1">
        <f t="array" ref="G90">VLOOKUP(B90,'Player Data'!A1:D673,3,FALSE)</f>
        <v>39</v>
      </c>
      <c r="H90" s="67" cm="1">
        <f t="array" ref="H90">IFERROR(VLOOKUP(B90,ADP!A1:F671,6,FALSE)/1000000,VLOOKUP(B90,ADP!A1:F671,6,FALSE))</f>
        <v>8.6999999999999993</v>
      </c>
      <c r="I90" s="52">
        <f>IF(Settings!$E$15="POINTS",((R90*Q90)*Settings!$B$12)+(S90*Settings!$B$2)+(T90*Settings!$B$3)+(U90*Settings!$B$4)+(V90*Settings!$B$5)+(X90*Settings!$B$9)+(AA90*Settings!$B$6)+(W90*Settings!$B$8)+(AB90*Settings!$B$7)+(AC90*Settings!$B$14)+(AD90*Settings!$B$15)+(AE90*Settings!$B$16)+(AF90*Settings!$B$17)+(AG90*Settings!$B$18)+(Y90*Settings!$B$10)+(Z90*Settings!$B$11),VLOOKUP(B90,'Standard Deviations'!A$1:C$672,3,FALSE))</f>
        <v>7.0849097889380364</v>
      </c>
      <c r="J90" s="53" cm="1">
        <f t="array" ref="J90">IF(D90="G",I90/AJ90,I90/Q90)</f>
        <v>8.7468022085654767E-2</v>
      </c>
      <c r="K90" s="52" cm="1">
        <f t="array" ref="K90">IF(Settings!$E$18="C/LW/RW",VLOOKUP(B90,'C'!A1:F210,6,FALSE),VLOOKUP(B90,F!A1:F407,6,FALSE))</f>
        <v>0.72490023132297221</v>
      </c>
      <c r="L90" s="54" cm="1">
        <f t="array" ref="L90">IFERROR(K90/H90,"N/A")</f>
        <v>8.332186566930716E-2</v>
      </c>
      <c r="M90" s="55">
        <v>52.6</v>
      </c>
      <c r="N90" s="55" cm="1">
        <f t="array" ref="N90">IFERROR(M90-A90,"N/A")</f>
        <v>-22.4</v>
      </c>
      <c r="O90" s="55"/>
      <c r="P90" s="56" cm="1">
        <f t="array" ref="P90">_xlfn.XLOOKUP($B90,ADP!A2:A671,ADP!G2:G671)</f>
        <v>0</v>
      </c>
      <c r="Q90" s="57" cm="1">
        <f t="array" ref="Q90">IF(Settings!$E$12="YES",VLOOKUP(B90,'Player Data'!A1:E673,5,FALSE),84)</f>
        <v>81</v>
      </c>
      <c r="R90" s="55" cm="1">
        <f t="array" ref="R90">VLOOKUP(B90,'Player Data'!$A1:$AE673,6,FALSE)</f>
        <v>19.399999999999999</v>
      </c>
      <c r="S90" s="57" cm="1">
        <f t="array" ref="S90">VLOOKUP(B90,'Player Data'!$A1:$AE673,7,FALSE)*$Q90*IFERROR((VLOOKUP(P90,Settings!$E$28:$F$33,2,FALSE)+1),1)</f>
        <v>33.21</v>
      </c>
      <c r="T90" s="57" cm="1">
        <f t="array" ref="T90">VLOOKUP(B90,'Player Data'!$A1:$AE673,8,FALSE)*$Q90*IFERROR((VLOOKUP(P90,Settings!$E$28:$F$33,2,FALSE)+1),1)</f>
        <v>51.03</v>
      </c>
      <c r="U90" s="57" cm="1">
        <f t="array" ref="U90">SUM(S90:T90)</f>
        <v>84.240000000000009</v>
      </c>
      <c r="V90" s="57" cm="1">
        <f t="array" ref="V90">VLOOKUP(B90,'Player Data'!$A1:$AE673,10,FALSE)*$Q90*IFERROR(((VLOOKUP(P90,Settings!$E$28:$F$33,2,FALSE)/2)+1),1)</f>
        <v>213.84</v>
      </c>
      <c r="W90" s="58" cm="1">
        <f t="array" ref="W90">VLOOKUP(B90,'Player Data'!$A1:$AE673,11,FALSE)*$Q90*IFERROR((VLOOKUP(P90,Settings!$E$28:$F$33,2,FALSE)+1),1)</f>
        <v>11.340000000000002</v>
      </c>
      <c r="X90" s="57" cm="1">
        <f t="array" ref="X90">VLOOKUP(B90,'Player Data'!$A1:$AE673,12,FALSE)*$Q90*IFERROR((VLOOKUP(P90,Settings!$E$28:$F$33,2,FALSE)+1),1)</f>
        <v>25.92</v>
      </c>
      <c r="Y90" s="57" cm="1">
        <f t="array" ref="Y90">VLOOKUP(B90,'Player Data'!$A1:$AE673,13,FALSE)*$Q90</f>
        <v>0</v>
      </c>
      <c r="Z90" s="57" cm="1">
        <f t="array" ref="Z90">VLOOKUP(B90,'Player Data'!$A1:$AE673,14,FALSE)*$Q90</f>
        <v>0</v>
      </c>
      <c r="AA90" s="57" cm="1">
        <f t="array" ref="AA90">VLOOKUP(B90,'Player Data'!$A1:$AE673,15,FALSE)*$Q90</f>
        <v>37.260000000000005</v>
      </c>
      <c r="AB90" s="57" cm="1">
        <f t="array" ref="AB90">VLOOKUP(B90,'Player Data'!$A1:$AE673,16,FALSE)*$Q90</f>
        <v>69.66</v>
      </c>
      <c r="AC90" s="57" cm="1">
        <f t="array" ref="AC90">VLOOKUP(B90,'Player Data'!$A1:$AE673,17,FALSE)*$Q90*IFERROR((VLOOKUP(P90,Settings!$E$28:$F$33,2,FALSE)+1),1)</f>
        <v>1.62</v>
      </c>
      <c r="AD90" s="57" cm="1">
        <f t="array" ref="AD90">VLOOKUP(B90,'Player Data'!$A1:$AE673,18,FALSE)*$Q90</f>
        <v>36.450000000000003</v>
      </c>
      <c r="AE90" s="57" cm="1">
        <f t="array" ref="AE90">VLOOKUP(B90,'Player Data'!$A1:$AE673,19,FALSE)*$Q90*IFERROR((VLOOKUP(P90,Settings!$E$28:$F$33,2,FALSE)+1),1)</f>
        <v>4.8599999999999994</v>
      </c>
      <c r="AF90" s="57" cm="1">
        <f t="array" ref="AF90">VLOOKUP(B90,'Player Data'!$A1:$AE673,20,FALSE)*$Q90</f>
        <v>970.38</v>
      </c>
      <c r="AG90" s="57" cm="1">
        <f t="array" ref="AG90">VLOOKUP(B90,'Player Data'!$A1:$AE673,21,FALSE)*$Q90</f>
        <v>741.15</v>
      </c>
      <c r="AH90" s="59" cm="1">
        <f t="array" ref="AH90">VLOOKUP(B90,'Player Data'!$A1:$AE673,22,FALSE)</f>
        <v>0.56999999999999995</v>
      </c>
      <c r="AI90" s="55"/>
      <c r="AJ90" s="57"/>
      <c r="AK90" s="57"/>
      <c r="AL90" s="57"/>
      <c r="AM90" s="57"/>
      <c r="AN90" s="57"/>
      <c r="AO90" s="57"/>
      <c r="AP90" s="57"/>
      <c r="AQ90" s="60"/>
      <c r="AR90" s="61"/>
      <c r="AS90" s="55"/>
    </row>
    <row r="91" spans="1:45" ht="21.25" customHeight="1" x14ac:dyDescent="0.15">
      <c r="A91" s="62">
        <f>RANK(K91,K$2:K$671)</f>
        <v>96</v>
      </c>
      <c r="B91" s="10" t="s">
        <v>396</v>
      </c>
      <c r="C91" s="47" t="s">
        <v>145</v>
      </c>
      <c r="D91" s="48" t="str" cm="1">
        <f t="array" ref="D91">VLOOKUP(B91,'Player Data'!A1:D673,4,FALSE)</f>
        <v>G</v>
      </c>
      <c r="E91" s="76" cm="1">
        <f t="array" ref="E91">VLOOKUP(B91,G!A1:D66,3,FALSE)</f>
        <v>21</v>
      </c>
      <c r="F91" s="65" t="str" cm="1">
        <f t="array" ref="F91">VLOOKUP(B91,'Player Data'!A1:B673,2,FALSE)</f>
        <v>CAR</v>
      </c>
      <c r="G91" s="11" cm="1">
        <f t="array" ref="G91">VLOOKUP(B91,'Player Data'!A1:D673,3,FALSE)</f>
        <v>27</v>
      </c>
      <c r="H91" s="67" cm="1">
        <f t="array" ref="H91">IFERROR(VLOOKUP(B91,ADP!A1:F671,6,FALSE)/1000000,VLOOKUP(B91,ADP!A1:F671,6,FALSE))</f>
        <v>2</v>
      </c>
      <c r="I91" s="52">
        <f>IF(Settings!$E$15="POINTS",(AJ91*Settings!$B$29)+(AK91*Settings!$B$21)+(AL91*Settings!$B$22)+(AN91*Settings!$B$24)+(AO91*Settings!$B$25)+(AP91*Settings!$B$27)+(AM91*Settings!$B$23),VLOOKUP(B91,'Standard Deviations'!A$1:C$672,3,FALSE))</f>
        <v>2.0381852591236749</v>
      </c>
      <c r="J91" s="53" cm="1">
        <f t="array" ref="J91">IF(D91="G",I91/AJ91,I91/Q91)</f>
        <v>5.0954631478091872E-2</v>
      </c>
      <c r="K91" s="52" cm="1">
        <f t="array" ref="K91">VLOOKUP(B91,G!A1:F66,6,FALSE)</f>
        <v>0</v>
      </c>
      <c r="L91" s="54" cm="1">
        <f t="array" ref="L91">IFERROR(K91/H91,"N/A")</f>
        <v>0</v>
      </c>
      <c r="M91" s="55">
        <v>131.69999999999999</v>
      </c>
      <c r="N91" s="55" cm="1">
        <f t="array" ref="N91">IFERROR(M91-A91,"N/A")</f>
        <v>35.699999999999989</v>
      </c>
      <c r="O91" s="55"/>
      <c r="P91" s="56" cm="1">
        <f t="array" ref="P91">_xlfn.XLOOKUP($B91,ADP!A2:A671,ADP!G2:G671)</f>
        <v>0</v>
      </c>
      <c r="Q91" s="57"/>
      <c r="R91" s="55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9"/>
      <c r="AI91" s="55"/>
      <c r="AJ91" s="77" cm="1">
        <f t="array" ref="AJ91">VLOOKUP(B91,'Player Data'!$A1:$AE673,24,FALSE)</f>
        <v>40</v>
      </c>
      <c r="AK91" s="57" cm="1">
        <f t="array" ref="AK91">VLOOKUP(B91,'Player Data'!$A1:$AE673,25,FALSE)*$AJ91*IFERROR((VLOOKUP(P91,Settings!$E$28:$F$33,2,FALSE)+1),1)</f>
        <v>23.599999999999998</v>
      </c>
      <c r="AL91" s="57" cm="1">
        <f t="array" ref="AL91">AJ91-AK91-AM91</f>
        <v>12.400000000000002</v>
      </c>
      <c r="AM91" s="57" cm="1">
        <f t="array" ref="AM91">VLOOKUP(B91,'Player Data'!$A1:$AE673,27,FALSE)*$AJ91</f>
        <v>4</v>
      </c>
      <c r="AN91" s="57" cm="1">
        <f t="array" ref="AN91">VLOOKUP(B91,'Player Data'!$A1:$AE673,28,FALSE)*AJ91</f>
        <v>2.8000000000000003</v>
      </c>
      <c r="AO91" s="57" cm="1">
        <f t="array" ref="AO91">VLOOKUP(B91,'Player Data'!$A1:$AE673,29,FALSE)*$AJ91*IFERROR((VLOOKUP(P91,Settings!$E$28:$F$33,2,FALSE)/4)+1,1)</f>
        <v>944</v>
      </c>
      <c r="AP91" s="57" cm="1">
        <f t="array" ref="AP91">VLOOKUP(B91,'Player Data'!$A1:$AE673,31,FALSE)*$AJ91*(IFERROR(1-(VLOOKUP(P91,Settings!$E$28:$F$33,2,FALSE)/4),1))</f>
        <v>107.6</v>
      </c>
      <c r="AQ91" s="60" cm="1">
        <f t="array" ref="AQ91">1-(AP91/(AO91+AP91))</f>
        <v>0.89767972613160896</v>
      </c>
      <c r="AR91" s="61" cm="1">
        <f t="array" ref="AR91">AP91/AJ91</f>
        <v>2.69</v>
      </c>
      <c r="AS91" s="55"/>
    </row>
    <row r="92" spans="1:45" ht="21.25" customHeight="1" x14ac:dyDescent="0.15">
      <c r="A92" s="62">
        <f>RANK(K92,K$2:K$671)</f>
        <v>101</v>
      </c>
      <c r="B92" s="10" t="s">
        <v>188</v>
      </c>
      <c r="C92" s="47" t="s">
        <v>145</v>
      </c>
      <c r="D92" s="48" t="str" cm="1">
        <f t="array" ref="D92">VLOOKUP(B92,'Player Data'!A1:D673,4,FALSE)</f>
        <v>G</v>
      </c>
      <c r="E92" s="76" cm="1">
        <f t="array" ref="E92">VLOOKUP(B92,G!A1:D66,3,FALSE)</f>
        <v>22</v>
      </c>
      <c r="F92" s="65" t="str" cm="1">
        <f t="array" ref="F92">VLOOKUP(B92,'Player Data'!A1:B673,2,FALSE)</f>
        <v>NSH</v>
      </c>
      <c r="G92" s="66" cm="1">
        <f t="array" ref="G92">VLOOKUP(B92,'Player Data'!A1:D673,3,FALSE)</f>
        <v>31</v>
      </c>
      <c r="H92" s="51" cm="1">
        <f t="array" ref="H92">IFERROR(VLOOKUP(B92,ADP!A1:F671,6,FALSE)/1000000,VLOOKUP(B92,ADP!A1:F671,6,FALSE))</f>
        <v>7.74</v>
      </c>
      <c r="I92" s="52">
        <f>IF(Settings!$E$15="POINTS",(AJ92*Settings!$B$29)+(AK92*Settings!$B$21)+(AL92*Settings!$B$22)+(AN92*Settings!$B$24)+(AO92*Settings!$B$25)+(AP92*Settings!$B$27)+(AM92*Settings!$B$23),VLOOKUP(B92,'Standard Deviations'!A$1:C$672,3,FALSE))</f>
        <v>2.0087974554362558</v>
      </c>
      <c r="J92" s="53" cm="1">
        <f t="array" ref="J92">IF(D92="G",I92/AJ92,I92/Q92)</f>
        <v>3.3479957590604265E-2</v>
      </c>
      <c r="K92" s="52" cm="1">
        <f t="array" ref="K92">VLOOKUP(B92,G!A1:F66,6,FALSE)</f>
        <v>-2.9387803687419112E-2</v>
      </c>
      <c r="L92" s="54" cm="1">
        <f t="array" ref="L92">IFERROR(K92/H92,"N/A")</f>
        <v>-3.7968738614236578E-3</v>
      </c>
      <c r="M92" s="55">
        <v>113.7</v>
      </c>
      <c r="N92" s="55" cm="1">
        <f t="array" ref="N92">IFERROR(M92-A92,"N/A")</f>
        <v>12.700000000000003</v>
      </c>
      <c r="O92" s="80"/>
      <c r="P92" s="56" cm="1">
        <f t="array" ref="P92">_xlfn.XLOOKUP($B92,ADP!A2:A671,ADP!G2:G671)</f>
        <v>0</v>
      </c>
      <c r="Q92" s="57"/>
      <c r="R92" s="55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9"/>
      <c r="AI92" s="55"/>
      <c r="AJ92" s="77" cm="1">
        <f t="array" ref="AJ92">VLOOKUP(B92,'Player Data'!$A1:$AE673,24,FALSE)</f>
        <v>60</v>
      </c>
      <c r="AK92" s="57" cm="1">
        <f t="array" ref="AK92">VLOOKUP(B92,'Player Data'!$A1:$AE673,25,FALSE)*$AJ92*IFERROR((VLOOKUP(P92,Settings!$E$28:$F$33,2,FALSE)+1),1)</f>
        <v>27</v>
      </c>
      <c r="AL92" s="57" cm="1">
        <f t="array" ref="AL92">AJ92-AK92-AM92</f>
        <v>24.6</v>
      </c>
      <c r="AM92" s="57" cm="1">
        <f t="array" ref="AM92">VLOOKUP(B92,'Player Data'!$A1:$AE673,27,FALSE)*$AJ92</f>
        <v>8.4</v>
      </c>
      <c r="AN92" s="57" cm="1">
        <f t="array" ref="AN92">VLOOKUP(B92,'Player Data'!$A1:$AE673,28,FALSE)*AJ92</f>
        <v>3</v>
      </c>
      <c r="AO92" s="57" cm="1">
        <f t="array" ref="AO92">VLOOKUP(B92,'Player Data'!$A1:$AE673,29,FALSE)*$AJ92*IFERROR((VLOOKUP(P92,Settings!$E$28:$F$33,2,FALSE)/4)+1,1)</f>
        <v>1626</v>
      </c>
      <c r="AP92" s="57" cm="1">
        <f t="array" ref="AP92">VLOOKUP(B92,'Player Data'!$A1:$AE673,31,FALSE)*$AJ92*(IFERROR(1-(VLOOKUP(P92,Settings!$E$28:$F$33,2,FALSE)/4),1))</f>
        <v>177</v>
      </c>
      <c r="AQ92" s="60" cm="1">
        <f t="array" ref="AQ92">1-(AP92/(AO92+AP92))</f>
        <v>0.90183028286189681</v>
      </c>
      <c r="AR92" s="61" cm="1">
        <f t="array" ref="AR92">AP92/AJ92</f>
        <v>2.95</v>
      </c>
      <c r="AS92" s="55"/>
    </row>
    <row r="93" spans="1:45" ht="21.25" customHeight="1" x14ac:dyDescent="0.15">
      <c r="A93" s="62">
        <f>RANK(K93,K$2:K$671)</f>
        <v>110</v>
      </c>
      <c r="B93" s="10" t="s">
        <v>252</v>
      </c>
      <c r="C93" s="47" t="s">
        <v>145</v>
      </c>
      <c r="D93" s="48" t="str" cm="1">
        <f t="array" ref="D93">VLOOKUP(B93,'Player Data'!A1:D673,4,FALSE)</f>
        <v>D</v>
      </c>
      <c r="E93" s="68" cm="1">
        <f t="array" ref="E93">VLOOKUP(B93,D!A1:C204,3,FALSE)</f>
        <v>38</v>
      </c>
      <c r="F93" s="63" t="str" cm="1">
        <f t="array" ref="F93">VLOOKUP(B93,'Player Data'!A1:B673,2,FALSE)</f>
        <v>VGK</v>
      </c>
      <c r="G93" s="11" cm="1">
        <f t="array" ref="G93">VLOOKUP(B93,'Player Data'!A1:D673,3,FALSE)</f>
        <v>29</v>
      </c>
      <c r="H93" s="51" cm="1">
        <f t="array" ref="H93">IFERROR(VLOOKUP(B93,ADP!A1:F671,6,FALSE)/1000000,VLOOKUP(B93,ADP!A1:F671,6,FALSE))</f>
        <v>7.35</v>
      </c>
      <c r="I93" s="52">
        <f>IF(Settings!$E$15="POINTS",((R93*Q93)*Settings!$B$12)+(S93*Settings!$B$2)+(T93*Settings!$B$3)+(U93*Settings!$B$4)+(V93*Settings!$B$5)+(X93*Settings!$B$9)+(AA93*Settings!$B$6)+(W93*Settings!$B$8)+(AB93*Settings!$B$7)+(AC93*Settings!$B$14)+(AD93*Settings!$B$15)+(AE93*Settings!$B$16)+(AF93*Settings!$B$17)+(AG93*Settings!$B$18)+(U93*Settings!$B$13)+(Y93*Settings!$B$10)+(Z93*Settings!$B$11),VLOOKUP(B93,'Standard Deviations'!A$1:C$672,3,FALSE))</f>
        <v>0.31863390590296747</v>
      </c>
      <c r="J93" s="53" cm="1">
        <f t="array" ref="J93">IF(D93="G",I93/AJ93,I93/Q93)</f>
        <v>3.8857793402800912E-3</v>
      </c>
      <c r="K93" s="52" cm="1">
        <f t="array" ref="K93">VLOOKUP(B93,D!A1:F204,6,FALSE)</f>
        <v>-0.24821700861458695</v>
      </c>
      <c r="L93" s="54" cm="1">
        <f t="array" ref="L93">IFERROR(K93/H93,"N/A")</f>
        <v>-3.3771021580215915E-2</v>
      </c>
      <c r="M93" s="55">
        <v>140.5</v>
      </c>
      <c r="N93" s="55" cm="1">
        <f t="array" ref="N93">IFERROR(M93-A93,"N/A")</f>
        <v>30.5</v>
      </c>
      <c r="O93" s="82"/>
      <c r="P93" s="56" cm="1">
        <f t="array" ref="P93">_xlfn.XLOOKUP($B93,ADP!A2:A671,ADP!G2:G671)</f>
        <v>0</v>
      </c>
      <c r="Q93" s="57" cm="1">
        <f t="array" ref="Q93">IF(Settings!$E$12="YES",VLOOKUP(B93,'Player Data'!A1:E673,5,FALSE),84)</f>
        <v>82</v>
      </c>
      <c r="R93" s="55" cm="1">
        <f t="array" ref="R93">VLOOKUP(B93,'Player Data'!$A1:$AE673,6,FALSE)</f>
        <v>22.6</v>
      </c>
      <c r="S93" s="57" cm="1">
        <f t="array" ref="S93">VLOOKUP(B93,'Player Data'!$A1:$AE673,7,FALSE)*$Q93*IFERROR((VLOOKUP(P93,Settings!$E$28:$F$33,2,FALSE)+1),1)</f>
        <v>8.2000000000000011</v>
      </c>
      <c r="T93" s="57" cm="1">
        <f t="array" ref="T93">VLOOKUP(B93,'Player Data'!$A1:$AE673,8,FALSE)*$Q93*IFERROR((VLOOKUP(P93,Settings!$E$28:$F$33,2,FALSE)+1),1)</f>
        <v>27.880000000000003</v>
      </c>
      <c r="U93" s="57" cm="1">
        <f t="array" ref="U93">SUM(S93:T93)</f>
        <v>36.080000000000005</v>
      </c>
      <c r="V93" s="57" cm="1">
        <f t="array" ref="V93">VLOOKUP(B93,'Player Data'!$A1:$AE673,10,FALSE)*$Q93*IFERROR(((VLOOKUP(P93,Settings!$E$28:$F$33,2,FALSE)/2)+1),1)</f>
        <v>151.70000000000002</v>
      </c>
      <c r="W93" s="57" cm="1">
        <f t="array" ref="W93">VLOOKUP(B93,'Player Data'!$A1:$AE673,11,FALSE)*$Q93*IFERROR((VLOOKUP(P93,Settings!$E$28:$F$33,2,FALSE)+1),1)</f>
        <v>0.82000000000000006</v>
      </c>
      <c r="X93" s="57" cm="1">
        <f t="array" ref="X93">VLOOKUP(B93,'Player Data'!$A1:$AE673,12,FALSE)*$Q93*IFERROR((VLOOKUP(P93,Settings!$E$28:$F$33,2,FALSE)+1),1)</f>
        <v>5.74</v>
      </c>
      <c r="Y93" s="57" cm="1">
        <f t="array" ref="Y93">VLOOKUP(B93,'Player Data'!$A1:$AE673,13,FALSE)*$Q93</f>
        <v>0</v>
      </c>
      <c r="Z93" s="57" cm="1">
        <f t="array" ref="Z93">VLOOKUP(B93,'Player Data'!$A1:$AE673,14,FALSE)*$Q93</f>
        <v>0.82000000000000006</v>
      </c>
      <c r="AA93" s="57" cm="1">
        <f t="array" ref="AA93">VLOOKUP(B93,'Player Data'!$A1:$AE673,15,FALSE)*$Q93</f>
        <v>127.92</v>
      </c>
      <c r="AB93" s="57" cm="1">
        <f t="array" ref="AB93">VLOOKUP(B93,'Player Data'!$A1:$AE673,16,FALSE)*$Q93</f>
        <v>48.379999999999995</v>
      </c>
      <c r="AC93" s="57" cm="1">
        <f t="array" ref="AC93">VLOOKUP(B93,'Player Data'!$A1:$AE673,17,FALSE)*$Q93*IFERROR((VLOOKUP(P93,Settings!$E$28:$F$33,2,FALSE)+1),1)</f>
        <v>5.74</v>
      </c>
      <c r="AD93" s="57" cm="1">
        <f t="array" ref="AD93">VLOOKUP(B93,'Player Data'!$A1:$AE673,18,FALSE)*$Q93</f>
        <v>23.779999999999998</v>
      </c>
      <c r="AE93" s="57" cm="1">
        <f t="array" ref="AE93">VLOOKUP(B93,'Player Data'!$A1:$AE673,19,FALSE)*$Q93*IFERROR((VLOOKUP(P93,Settings!$E$28:$F$33,2,FALSE)+1),1)</f>
        <v>1.6400000000000001</v>
      </c>
      <c r="AF93" s="57" cm="1">
        <f t="array" ref="AF93">VLOOKUP(B93,'Player Data'!$A1:$AE673,20,FALSE)*$Q93</f>
        <v>0</v>
      </c>
      <c r="AG93" s="57" cm="1">
        <f t="array" ref="AG93">VLOOKUP(B93,'Player Data'!$A1:$AE673,21,FALSE)*$Q93</f>
        <v>0</v>
      </c>
      <c r="AH93" s="59" cm="1">
        <f t="array" ref="AH93">VLOOKUP(B93,'Player Data'!$A1:$AE673,22,FALSE)</f>
        <v>0</v>
      </c>
      <c r="AI93" s="55"/>
      <c r="AJ93" s="57"/>
      <c r="AK93" s="57"/>
      <c r="AL93" s="57"/>
      <c r="AM93" s="57"/>
      <c r="AN93" s="57"/>
      <c r="AO93" s="57"/>
      <c r="AP93" s="57"/>
      <c r="AQ93" s="60"/>
      <c r="AR93" s="61"/>
      <c r="AS93" s="55"/>
    </row>
    <row r="94" spans="1:45" ht="21.25" customHeight="1" x14ac:dyDescent="0.15">
      <c r="A94" s="62">
        <f>RANK(K94,K$2:K$671)</f>
        <v>111</v>
      </c>
      <c r="B94" s="10" t="s">
        <v>345</v>
      </c>
      <c r="C94" s="47" t="s">
        <v>145</v>
      </c>
      <c r="D94" s="48" t="str" cm="1">
        <f t="array" ref="D94">VLOOKUP(B94,'Player Data'!A1:D673,4,FALSE)</f>
        <v>D</v>
      </c>
      <c r="E94" s="68" cm="1">
        <f t="array" ref="E94">VLOOKUP(B94,D!A1:C204,3,FALSE)</f>
        <v>39</v>
      </c>
      <c r="F94" s="50" t="str" cm="1">
        <f t="array" ref="F94">VLOOKUP(B94,'Player Data'!A1:B673,2,FALSE)</f>
        <v>COL</v>
      </c>
      <c r="G94" s="11" cm="1">
        <f t="array" ref="G94">VLOOKUP(B94,'Player Data'!A1:D673,3,FALSE)</f>
        <v>28</v>
      </c>
      <c r="H94" s="51" cm="1">
        <f t="array" ref="H94">IFERROR(VLOOKUP(B94,ADP!A1:F671,6,FALSE)/1000000,VLOOKUP(B94,ADP!A1:F671,6,FALSE))</f>
        <v>4.75</v>
      </c>
      <c r="I94" s="52">
        <f>IF(Settings!$E$15="POINTS",((R94*Q94)*Settings!$B$12)+(S94*Settings!$B$2)+(T94*Settings!$B$3)+(U94*Settings!$B$4)+(V94*Settings!$B$5)+(X94*Settings!$B$9)+(AA94*Settings!$B$6)+(W94*Settings!$B$8)+(AB94*Settings!$B$7)+(AC94*Settings!$B$14)+(AD94*Settings!$B$15)+(AE94*Settings!$B$16)+(AF94*Settings!$B$17)+(AG94*Settings!$B$18)+(U94*Settings!$B$13)+(Y94*Settings!$B$10)+(Z94*Settings!$B$11),VLOOKUP(B94,'Standard Deviations'!A$1:C$672,3,FALSE))</f>
        <v>0.29637308011033192</v>
      </c>
      <c r="J94" s="53" cm="1">
        <f t="array" ref="J94">IF(D94="G",I94/AJ94,I94/Q94)</f>
        <v>3.8490010403939212E-3</v>
      </c>
      <c r="K94" s="52" cm="1">
        <f t="array" ref="K94">VLOOKUP(B94,D!A1:F204,6,FALSE)</f>
        <v>-0.27047783440722251</v>
      </c>
      <c r="L94" s="54" cm="1">
        <f t="array" ref="L94">IFERROR(K94/H94,"N/A")</f>
        <v>-5.6942701980467893E-2</v>
      </c>
      <c r="M94" s="55">
        <v>140.19999999999999</v>
      </c>
      <c r="N94" s="55" cm="1">
        <f t="array" ref="N94">IFERROR(M94-A94,"N/A")</f>
        <v>29.199999999999989</v>
      </c>
      <c r="O94" s="55"/>
      <c r="P94" s="56" cm="1">
        <f t="array" ref="P94">_xlfn.XLOOKUP($B94,ADP!A2:A671,ADP!G2:G671)</f>
        <v>0</v>
      </c>
      <c r="Q94" s="57" cm="1">
        <f t="array" ref="Q94">IF(Settings!$E$12="YES",VLOOKUP(B94,'Player Data'!A1:E673,5,FALSE),84)</f>
        <v>77</v>
      </c>
      <c r="R94" s="55" cm="1">
        <f t="array" ref="R94">VLOOKUP(B94,'Player Data'!$A1:$AE673,6,FALSE)</f>
        <v>17.600000000000001</v>
      </c>
      <c r="S94" s="57" cm="1">
        <f t="array" ref="S94">VLOOKUP(B94,'Player Data'!$A1:$AE673,7,FALSE)*$Q94*IFERROR((VLOOKUP(P94,Settings!$E$28:$F$33,2,FALSE)+1),1)</f>
        <v>6.93</v>
      </c>
      <c r="T94" s="57" cm="1">
        <f t="array" ref="T94">VLOOKUP(B94,'Player Data'!$A1:$AE673,8,FALSE)*$Q94*IFERROR((VLOOKUP(P94,Settings!$E$28:$F$33,2,FALSE)+1),1)</f>
        <v>22.33</v>
      </c>
      <c r="U94" s="57" cm="1">
        <f t="array" ref="U94">SUM(S94:T94)</f>
        <v>29.259999999999998</v>
      </c>
      <c r="V94" s="57" cm="1">
        <f t="array" ref="V94">VLOOKUP(B94,'Player Data'!$A1:$AE673,10,FALSE)*$Q94*IFERROR(((VLOOKUP(P94,Settings!$E$28:$F$33,2,FALSE)/2)+1),1)</f>
        <v>146.29999999999998</v>
      </c>
      <c r="W94" s="57" cm="1">
        <f t="array" ref="W94">VLOOKUP(B94,'Player Data'!$A1:$AE673,11,FALSE)*$Q94*IFERROR((VLOOKUP(P94,Settings!$E$28:$F$33,2,FALSE)+1),1)</f>
        <v>0</v>
      </c>
      <c r="X94" s="57" cm="1">
        <f t="array" ref="X94">VLOOKUP(B94,'Player Data'!$A1:$AE673,12,FALSE)*$Q94*IFERROR((VLOOKUP(P94,Settings!$E$28:$F$33,2,FALSE)+1),1)</f>
        <v>0.77</v>
      </c>
      <c r="Y94" s="57" cm="1">
        <f t="array" ref="Y94">VLOOKUP(B94,'Player Data'!$A1:$AE673,13,FALSE)*$Q94</f>
        <v>0</v>
      </c>
      <c r="Z94" s="57" cm="1">
        <f t="array" ref="Z94">VLOOKUP(B94,'Player Data'!$A1:$AE673,14,FALSE)*$Q94</f>
        <v>0</v>
      </c>
      <c r="AA94" s="57" cm="1">
        <f t="array" ref="AA94">VLOOKUP(B94,'Player Data'!$A1:$AE673,15,FALSE)*$Q94</f>
        <v>103.18</v>
      </c>
      <c r="AB94" s="57" cm="1">
        <f t="array" ref="AB94">VLOOKUP(B94,'Player Data'!$A1:$AE673,16,FALSE)*$Q94</f>
        <v>56.21</v>
      </c>
      <c r="AC94" s="57" cm="1">
        <f t="array" ref="AC94">VLOOKUP(B94,'Player Data'!$A1:$AE673,17,FALSE)*$Q94*IFERROR((VLOOKUP(P94,Settings!$E$28:$F$33,2,FALSE)+1),1)</f>
        <v>10.01</v>
      </c>
      <c r="AD94" s="57" cm="1">
        <f t="array" ref="AD94">VLOOKUP(B94,'Player Data'!$A1:$AE673,18,FALSE)*$Q94</f>
        <v>23.099999999999998</v>
      </c>
      <c r="AE94" s="57" cm="1">
        <f t="array" ref="AE94">VLOOKUP(B94,'Player Data'!$A1:$AE673,19,FALSE)*$Q94*IFERROR((VLOOKUP(P94,Settings!$E$28:$F$33,2,FALSE)+1),1)</f>
        <v>1.54</v>
      </c>
      <c r="AF94" s="57" cm="1">
        <f t="array" ref="AF94">VLOOKUP(B94,'Player Data'!$A1:$AE673,20,FALSE)*$Q94</f>
        <v>0</v>
      </c>
      <c r="AG94" s="57" cm="1">
        <f t="array" ref="AG94">VLOOKUP(B94,'Player Data'!$A1:$AE673,21,FALSE)*$Q94</f>
        <v>0</v>
      </c>
      <c r="AH94" s="59" cm="1">
        <f t="array" ref="AH94">VLOOKUP(B94,'Player Data'!$A1:$AE673,22,FALSE)</f>
        <v>0</v>
      </c>
      <c r="AI94" s="55"/>
      <c r="AJ94" s="57"/>
      <c r="AK94" s="57"/>
      <c r="AL94" s="57"/>
      <c r="AM94" s="57"/>
      <c r="AN94" s="57"/>
      <c r="AO94" s="57"/>
      <c r="AP94" s="57"/>
      <c r="AQ94" s="60"/>
      <c r="AR94" s="61"/>
      <c r="AS94" s="55"/>
    </row>
    <row r="95" spans="1:45" ht="21.25" customHeight="1" x14ac:dyDescent="0.15">
      <c r="A95" s="62">
        <f>RANK(K95,K$2:K$671)</f>
        <v>76</v>
      </c>
      <c r="B95" s="10" t="s">
        <v>157</v>
      </c>
      <c r="C95" s="47" t="s">
        <v>145</v>
      </c>
      <c r="D95" s="48" t="str" cm="1">
        <f t="array" ref="D95">VLOOKUP(B95,'Player Data'!A1:D673,4,FALSE)</f>
        <v>C,RW</v>
      </c>
      <c r="E95" s="74" cm="1">
        <f t="array" ref="E95">VLOOKUP(B95,RW!A1:F210,3,FALSE)</f>
        <v>17</v>
      </c>
      <c r="F95" s="69" t="str" cm="1">
        <f t="array" ref="F95">VLOOKUP(B95,'Player Data'!A1:B673,2,FALSE)</f>
        <v>TOR</v>
      </c>
      <c r="G95" s="11" cm="1">
        <f t="array" ref="G95">VLOOKUP(B95,'Player Data'!A1:D673,3,FALSE)</f>
        <v>30</v>
      </c>
      <c r="H95" s="51" cm="1">
        <f t="array" ref="H95">IFERROR(VLOOKUP(B95,ADP!A1:F671,6,FALSE)/1000000,VLOOKUP(B95,ADP!A1:F671,6,FALSE))</f>
        <v>11.5</v>
      </c>
      <c r="I95" s="52">
        <f>IF(Settings!$E$15="POINTS",((R95*Q95)*Settings!$B$12)+(S95*Settings!$B$2)+(T95*Settings!$B$3)+(U95*Settings!$B$4)+(V95*Settings!$B$5)+(X95*Settings!$B$9)+(AA95*Settings!$B$6)+(W95*Settings!$B$8)+(AB95*Settings!$B$7)+(AC95*Settings!$B$14)+(AD95*Settings!$B$15)+(AE95*Settings!$B$16)+(AF95*Settings!$B$17)+(AG95*Settings!$B$18)+(Y95*Settings!$B$10)+(Z95*Settings!$B$11),VLOOKUP(B95,'Standard Deviations'!A$1:C$672,3,FALSE))</f>
        <v>7.5593186307306963</v>
      </c>
      <c r="J95" s="53" cm="1">
        <f t="array" ref="J95">IF(D95="G",I95/AJ95,I95/Q95)</f>
        <v>9.3324921367045635E-2</v>
      </c>
      <c r="K95" s="52" cm="1">
        <f t="array" ref="K95">IF(Settings!$E$18="C/LW/RW",VLOOKUP(B95,RW!A1:F210,6,FALSE),VLOOKUP(B95,F!A1:F407,6,FALSE))</f>
        <v>0.67208402892161878</v>
      </c>
      <c r="L95" s="54" cm="1">
        <f t="array" ref="L95">IFERROR(K95/H95,"N/A")</f>
        <v>5.8442089471445115E-2</v>
      </c>
      <c r="M95" s="55">
        <v>42.8</v>
      </c>
      <c r="N95" s="55" cm="1">
        <f t="array" ref="N95">IFERROR(M95-A95,"N/A")</f>
        <v>-33.200000000000003</v>
      </c>
      <c r="O95" s="55"/>
      <c r="P95" s="56" cm="1">
        <f t="array" ref="P95">_xlfn.XLOOKUP($B95,ADP!A2:A671,ADP!G2:G671)</f>
        <v>0</v>
      </c>
      <c r="Q95" s="57" cm="1">
        <f t="array" ref="Q95">IF(Settings!$E$12="YES",VLOOKUP(B95,'Player Data'!A1:E673,5,FALSE),84)</f>
        <v>81</v>
      </c>
      <c r="R95" s="55" cm="1">
        <f t="array" ref="R95">VLOOKUP(B95,'Player Data'!$A1:$AE673,6,FALSE)</f>
        <v>20.100000000000001</v>
      </c>
      <c r="S95" s="57" cm="1">
        <f t="array" ref="S95">VLOOKUP(B95,'Player Data'!$A1:$AE673,7,FALSE)*$Q95*IFERROR((VLOOKUP(P95,Settings!$E$28:$F$33,2,FALSE)+1),1)</f>
        <v>38.879999999999995</v>
      </c>
      <c r="T95" s="57" cm="1">
        <f t="array" ref="T95">VLOOKUP(B95,'Player Data'!$A1:$AE673,8,FALSE)*$Q95*IFERROR((VLOOKUP(P95,Settings!$E$28:$F$33,2,FALSE)+1),1)</f>
        <v>53.46</v>
      </c>
      <c r="U95" s="57" cm="1">
        <f t="array" ref="U95">SUM(S95:T95)</f>
        <v>92.34</v>
      </c>
      <c r="V95" s="57" cm="1">
        <f t="array" ref="V95">VLOOKUP(B95,'Player Data'!$A1:$AE673,10,FALSE)*$Q95*IFERROR(((VLOOKUP(P95,Settings!$E$28:$F$33,2,FALSE)/2)+1),1)</f>
        <v>236.51999999999998</v>
      </c>
      <c r="W95" s="58" cm="1">
        <f t="array" ref="W95">VLOOKUP(B95,'Player Data'!$A1:$AE673,11,FALSE)*$Q95*IFERROR((VLOOKUP(P95,Settings!$E$28:$F$33,2,FALSE)+1),1)</f>
        <v>10.530000000000001</v>
      </c>
      <c r="X95" s="57" cm="1">
        <f t="array" ref="X95">VLOOKUP(B95,'Player Data'!$A1:$AE673,12,FALSE)*$Q95*IFERROR((VLOOKUP(P95,Settings!$E$28:$F$33,2,FALSE)+1),1)</f>
        <v>29.16</v>
      </c>
      <c r="Y95" s="57" cm="1">
        <f t="array" ref="Y95">VLOOKUP(B95,'Player Data'!$A1:$AE673,13,FALSE)*$Q95</f>
        <v>0</v>
      </c>
      <c r="Z95" s="57" cm="1">
        <f t="array" ref="Z95">VLOOKUP(B95,'Player Data'!$A1:$AE673,14,FALSE)*$Q95</f>
        <v>0</v>
      </c>
      <c r="AA95" s="57" cm="1">
        <f t="array" ref="AA95">VLOOKUP(B95,'Player Data'!$A1:$AE673,15,FALSE)*$Q95</f>
        <v>31.59</v>
      </c>
      <c r="AB95" s="57" cm="1">
        <f t="array" ref="AB95">VLOOKUP(B95,'Player Data'!$A1:$AE673,16,FALSE)*$Q95</f>
        <v>21.87</v>
      </c>
      <c r="AC95" s="57" cm="1">
        <f t="array" ref="AC95">VLOOKUP(B95,'Player Data'!$A1:$AE673,17,FALSE)*$Q95*IFERROR((VLOOKUP(P95,Settings!$E$28:$F$33,2,FALSE)+1),1)</f>
        <v>1.62</v>
      </c>
      <c r="AD95" s="57" cm="1">
        <f t="array" ref="AD95">VLOOKUP(B95,'Player Data'!$A1:$AE673,18,FALSE)*$Q95</f>
        <v>26.73</v>
      </c>
      <c r="AE95" s="57" cm="1">
        <f t="array" ref="AE95">VLOOKUP(B95,'Player Data'!$A1:$AE673,19,FALSE)*$Q95*IFERROR((VLOOKUP(P95,Settings!$E$28:$F$33,2,FALSE)+1),1)</f>
        <v>5.6700000000000008</v>
      </c>
      <c r="AF95" s="57" cm="1">
        <f t="array" ref="AF95">VLOOKUP(B95,'Player Data'!$A1:$AE673,20,FALSE)*$Q95</f>
        <v>52.65</v>
      </c>
      <c r="AG95" s="57" cm="1">
        <f t="array" ref="AG95">VLOOKUP(B95,'Player Data'!$A1:$AE673,21,FALSE)*$Q95</f>
        <v>63.18</v>
      </c>
      <c r="AH95" s="59" cm="1">
        <f t="array" ref="AH95">VLOOKUP(B95,'Player Data'!$A1:$AE673,22,FALSE)</f>
        <v>0.45</v>
      </c>
      <c r="AI95" s="55"/>
      <c r="AJ95" s="57"/>
      <c r="AK95" s="57"/>
      <c r="AL95" s="57"/>
      <c r="AM95" s="57"/>
      <c r="AN95" s="57"/>
      <c r="AO95" s="57"/>
      <c r="AP95" s="57"/>
      <c r="AQ95" s="60"/>
      <c r="AR95" s="61"/>
      <c r="AS95" s="55"/>
    </row>
    <row r="96" spans="1:45" ht="21.25" customHeight="1" x14ac:dyDescent="0.15">
      <c r="A96" s="62">
        <f>RANK(K96,K$2:K$671)</f>
        <v>112</v>
      </c>
      <c r="B96" s="10" t="s">
        <v>282</v>
      </c>
      <c r="C96" s="47" t="s">
        <v>145</v>
      </c>
      <c r="D96" s="48" t="str" cm="1">
        <f t="array" ref="D96">VLOOKUP(B96,'Player Data'!A1:D673,4,FALSE)</f>
        <v>D</v>
      </c>
      <c r="E96" s="68" cm="1">
        <f t="array" ref="E96">VLOOKUP(B96,D!A1:C204,3,FALSE)</f>
        <v>40</v>
      </c>
      <c r="F96" s="63" t="str" cm="1">
        <f t="array" ref="F96">VLOOKUP(B96,'Player Data'!A1:B673,2,FALSE)</f>
        <v>EDM</v>
      </c>
      <c r="G96" s="66" cm="1">
        <f t="array" ref="G96">VLOOKUP(B96,'Player Data'!A1:D673,3,FALSE)</f>
        <v>36</v>
      </c>
      <c r="H96" s="51" cm="1">
        <f t="array" ref="H96">IFERROR(VLOOKUP(B96,ADP!A1:F671,6,FALSE)/1000000,VLOOKUP(B96,ADP!A1:F671,6,FALSE))</f>
        <v>4</v>
      </c>
      <c r="I96" s="52">
        <f>IF(Settings!$E$15="POINTS",((R96*Q96)*Settings!$B$12)+(S96*Settings!$B$2)+(T96*Settings!$B$3)+(U96*Settings!$B$4)+(V96*Settings!$B$5)+(X96*Settings!$B$9)+(AA96*Settings!$B$6)+(W96*Settings!$B$8)+(AB96*Settings!$B$7)+(AC96*Settings!$B$14)+(AD96*Settings!$B$15)+(AE96*Settings!$B$16)+(AF96*Settings!$B$17)+(AG96*Settings!$B$18)+(U96*Settings!$B$13)+(Y96*Settings!$B$10)+(Z96*Settings!$B$11),VLOOKUP(B96,'Standard Deviations'!A$1:C$672,3,FALSE))</f>
        <v>0.28242985531275888</v>
      </c>
      <c r="J96" s="53" cm="1">
        <f t="array" ref="J96">IF(D96="G",I96/AJ96,I96/Q96)</f>
        <v>3.4867883371945542E-3</v>
      </c>
      <c r="K96" s="52" cm="1">
        <f t="array" ref="K96">VLOOKUP(B96,D!A1:F204,6,FALSE)</f>
        <v>-0.28442105920479555</v>
      </c>
      <c r="L96" s="54" cm="1">
        <f t="array" ref="L96">IFERROR(K96/H96,"N/A")</f>
        <v>-7.1105264801198886E-2</v>
      </c>
      <c r="M96" s="55">
        <v>130.1</v>
      </c>
      <c r="N96" s="55" cm="1">
        <f t="array" ref="N96">IFERROR(M96-A96,"N/A")</f>
        <v>18.099999999999994</v>
      </c>
      <c r="O96" s="55"/>
      <c r="P96" s="56" t="str" cm="1">
        <f t="array" ref="P96">_xlfn.XLOOKUP($B96,ADP!A2:A671,ADP!G2:G671)</f>
        <v>-</v>
      </c>
      <c r="Q96" s="57" cm="1">
        <f t="array" ref="Q96">IF(Settings!$E$12="YES",VLOOKUP(B96,'Player Data'!A1:E673,5,FALSE),84)</f>
        <v>81</v>
      </c>
      <c r="R96" s="55" cm="1">
        <f t="array" ref="R96">VLOOKUP(B96,'Player Data'!$A1:$AE673,6,FALSE)</f>
        <v>20.7</v>
      </c>
      <c r="S96" s="57" cm="1">
        <f t="array" ref="S96">VLOOKUP(B96,'Player Data'!$A1:$AE673,7,FALSE)*$Q96*IFERROR((VLOOKUP(P96,Settings!$E$28:$F$33,2,FALSE)+1),1)</f>
        <v>6.1559999999999997</v>
      </c>
      <c r="T96" s="57" cm="1">
        <f t="array" ref="T96">VLOOKUP(B96,'Player Data'!$A1:$AE673,8,FALSE)*$Q96*IFERROR((VLOOKUP(P96,Settings!$E$28:$F$33,2,FALSE)+1),1)</f>
        <v>25.3935</v>
      </c>
      <c r="U96" s="57" cm="1">
        <f t="array" ref="U96">SUM(S96:T96)</f>
        <v>31.549499999999998</v>
      </c>
      <c r="V96" s="57" cm="1">
        <f t="array" ref="V96">VLOOKUP(B96,'Player Data'!$A1:$AE673,10,FALSE)*$Q96*IFERROR(((VLOOKUP(P96,Settings!$E$28:$F$33,2,FALSE)/2)+1),1)</f>
        <v>127.14975</v>
      </c>
      <c r="W96" s="57" cm="1">
        <f t="array" ref="W96">VLOOKUP(B96,'Player Data'!$A1:$AE673,11,FALSE)*$Q96*IFERROR((VLOOKUP(P96,Settings!$E$28:$F$33,2,FALSE)+1),1)</f>
        <v>0.76949999999999996</v>
      </c>
      <c r="X96" s="57" cm="1">
        <f t="array" ref="X96">VLOOKUP(B96,'Player Data'!$A1:$AE673,12,FALSE)*$Q96*IFERROR((VLOOKUP(P96,Settings!$E$28:$F$33,2,FALSE)+1),1)</f>
        <v>2.3084999999999996</v>
      </c>
      <c r="Y96" s="57" cm="1">
        <f t="array" ref="Y96">VLOOKUP(B96,'Player Data'!$A1:$AE673,13,FALSE)*$Q96</f>
        <v>0</v>
      </c>
      <c r="Z96" s="57" cm="1">
        <f t="array" ref="Z96">VLOOKUP(B96,'Player Data'!$A1:$AE673,14,FALSE)*$Q96</f>
        <v>0</v>
      </c>
      <c r="AA96" s="57" cm="1">
        <f t="array" ref="AA96">VLOOKUP(B96,'Player Data'!$A1:$AE673,15,FALSE)*$Q96</f>
        <v>115.02</v>
      </c>
      <c r="AB96" s="57" cm="1">
        <f t="array" ref="AB96">VLOOKUP(B96,'Player Data'!$A1:$AE673,16,FALSE)*$Q96</f>
        <v>65.61</v>
      </c>
      <c r="AC96" s="57" cm="1">
        <f t="array" ref="AC96">VLOOKUP(B96,'Player Data'!$A1:$AE673,17,FALSE)*$Q96*IFERROR((VLOOKUP(P96,Settings!$E$28:$F$33,2,FALSE)+1),1)</f>
        <v>9.2339999999999982</v>
      </c>
      <c r="AD96" s="57" cm="1">
        <f t="array" ref="AD96">VLOOKUP(B96,'Player Data'!$A1:$AE673,18,FALSE)*$Q96</f>
        <v>36.450000000000003</v>
      </c>
      <c r="AE96" s="57" cm="1">
        <f t="array" ref="AE96">VLOOKUP(B96,'Player Data'!$A1:$AE673,19,FALSE)*$Q96*IFERROR((VLOOKUP(P96,Settings!$E$28:$F$33,2,FALSE)+1),1)</f>
        <v>0.76949999999999996</v>
      </c>
      <c r="AF96" s="57" cm="1">
        <f t="array" ref="AF96">VLOOKUP(B96,'Player Data'!$A1:$AE673,20,FALSE)*$Q96</f>
        <v>0</v>
      </c>
      <c r="AG96" s="57" cm="1">
        <f t="array" ref="AG96">VLOOKUP(B96,'Player Data'!$A1:$AE673,21,FALSE)*$Q96</f>
        <v>0</v>
      </c>
      <c r="AH96" s="59" cm="1">
        <f t="array" ref="AH96">VLOOKUP(B96,'Player Data'!$A1:$AE673,22,FALSE)</f>
        <v>0</v>
      </c>
      <c r="AI96" s="55"/>
      <c r="AJ96" s="57"/>
      <c r="AK96" s="57"/>
      <c r="AL96" s="57"/>
      <c r="AM96" s="57"/>
      <c r="AN96" s="57"/>
      <c r="AO96" s="57"/>
      <c r="AP96" s="57"/>
      <c r="AQ96" s="60"/>
      <c r="AR96" s="61"/>
      <c r="AS96" s="55"/>
    </row>
    <row r="97" spans="1:45" ht="21.25" customHeight="1" x14ac:dyDescent="0.15">
      <c r="A97" s="62">
        <f>RANK(K97,K$2:K$671)</f>
        <v>80</v>
      </c>
      <c r="B97" s="10" t="s">
        <v>185</v>
      </c>
      <c r="C97" s="47" t="s">
        <v>145</v>
      </c>
      <c r="D97" s="48" t="str" cm="1">
        <f t="array" ref="D97">VLOOKUP(B97,'Player Data'!A1:D673,4,FALSE)</f>
        <v>C,LW,RW</v>
      </c>
      <c r="E97" s="74" cm="1">
        <f t="array" ref="E97">VLOOKUP(B97,RW!A1:F210,3,FALSE)</f>
        <v>18</v>
      </c>
      <c r="F97" s="63" t="str" cm="1">
        <f t="array" ref="F97">VLOOKUP(B97,'Player Data'!A1:B673,2,FALSE)</f>
        <v>VGK</v>
      </c>
      <c r="G97" s="11" cm="1">
        <f t="array" ref="G97">VLOOKUP(B97,'Player Data'!A1:D673,3,FALSE)</f>
        <v>29</v>
      </c>
      <c r="H97" s="51" cm="1">
        <f t="array" ref="H97">IFERROR(VLOOKUP(B97,ADP!A1:F671,6,FALSE)/1000000,VLOOKUP(B97,ADP!A1:F671,6,FALSE))</f>
        <v>12</v>
      </c>
      <c r="I97" s="52">
        <f>IF(Settings!$E$15="POINTS",((R97*Q97)*Settings!$B$12)+(S97*Settings!$B$2)+(T97*Settings!$B$3)+(U97*Settings!$B$4)+(V97*Settings!$B$5)+(X97*Settings!$B$9)+(AA97*Settings!$B$6)+(W97*Settings!$B$8)+(AB97*Settings!$B$7)+(AC97*Settings!$B$14)+(AD97*Settings!$B$15)+(AE97*Settings!$B$16)+(AF97*Settings!$B$17)+(AG97*Settings!$B$18)+(Y97*Settings!$B$10)+(Z97*Settings!$B$11),VLOOKUP(B97,'Standard Deviations'!A$1:C$672,3,FALSE))</f>
        <v>7.452029453130919</v>
      </c>
      <c r="J97" s="53" cm="1">
        <f t="array" ref="J97">IF(D97="G",I97/AJ97,I97/Q97)</f>
        <v>9.0878407965011204E-2</v>
      </c>
      <c r="K97" s="52" cm="1">
        <f t="array" ref="K97">IF(Settings!$E$18="C/LW/RW",VLOOKUP(B97,RW!A1:F210,6,FALSE),VLOOKUP(B97,F!A1:F407,6,FALSE))</f>
        <v>0.56479485132184148</v>
      </c>
      <c r="L97" s="54" cm="1">
        <f t="array" ref="L97">IFERROR(K97/H97,"N/A")</f>
        <v>4.7066237610153459E-2</v>
      </c>
      <c r="M97" s="55">
        <v>44.6</v>
      </c>
      <c r="N97" s="55" cm="1">
        <f t="array" ref="N97">IFERROR(M97-A97,"N/A")</f>
        <v>-35.4</v>
      </c>
      <c r="O97" s="55"/>
      <c r="P97" s="56" cm="1">
        <f t="array" ref="P97">_xlfn.XLOOKUP($B97,ADP!A2:A671,ADP!G2:G671)</f>
        <v>0</v>
      </c>
      <c r="Q97" s="57" cm="1">
        <f t="array" ref="Q97">IF(Settings!$E$12="YES",VLOOKUP(B97,'Player Data'!A1:E673,5,FALSE),84)</f>
        <v>82</v>
      </c>
      <c r="R97" s="55" cm="1">
        <f t="array" ref="R97">VLOOKUP(B97,'Player Data'!$A1:$AE673,6,FALSE)</f>
        <v>19.899999999999999</v>
      </c>
      <c r="S97" s="57" cm="1">
        <f t="array" ref="S97">VLOOKUP(B97,'Player Data'!$A1:$AE673,7,FALSE)*$Q97*IFERROR((VLOOKUP(P97,Settings!$E$28:$F$33,2,FALSE)+1),1)</f>
        <v>25.419999999999998</v>
      </c>
      <c r="T97" s="57" cm="1">
        <f t="array" ref="T97">VLOOKUP(B97,'Player Data'!$A1:$AE673,8,FALSE)*$Q97*IFERROR((VLOOKUP(P97,Settings!$E$28:$F$33,2,FALSE)+1),1)</f>
        <v>62.32</v>
      </c>
      <c r="U97" s="57" cm="1">
        <f t="array" ref="U97">SUM(S97:T97)</f>
        <v>87.74</v>
      </c>
      <c r="V97" s="57" cm="1">
        <f t="array" ref="V97">VLOOKUP(B97,'Player Data'!$A1:$AE673,10,FALSE)*$Q97*IFERROR(((VLOOKUP(P97,Settings!$E$28:$F$33,2,FALSE)/2)+1),1)</f>
        <v>173.01999999999998</v>
      </c>
      <c r="W97" s="58" cm="1">
        <f t="array" ref="W97">VLOOKUP(B97,'Player Data'!$A1:$AE673,11,FALSE)*$Q97*IFERROR((VLOOKUP(P97,Settings!$E$28:$F$33,2,FALSE)+1),1)</f>
        <v>6.5600000000000005</v>
      </c>
      <c r="X97" s="57" cm="1">
        <f t="array" ref="X97">VLOOKUP(B97,'Player Data'!$A1:$AE673,12,FALSE)*$Q97*IFERROR((VLOOKUP(P97,Settings!$E$28:$F$33,2,FALSE)+1),1)</f>
        <v>30.34</v>
      </c>
      <c r="Y97" s="57" cm="1">
        <f t="array" ref="Y97">VLOOKUP(B97,'Player Data'!$A1:$AE673,13,FALSE)*$Q97</f>
        <v>0</v>
      </c>
      <c r="Z97" s="57" cm="1">
        <f t="array" ref="Z97">VLOOKUP(B97,'Player Data'!$A1:$AE673,14,FALSE)*$Q97</f>
        <v>0.82000000000000006</v>
      </c>
      <c r="AA97" s="57" cm="1">
        <f t="array" ref="AA97">VLOOKUP(B97,'Player Data'!$A1:$AE673,15,FALSE)*$Q97</f>
        <v>44.28</v>
      </c>
      <c r="AB97" s="57" cm="1">
        <f t="array" ref="AB97">VLOOKUP(B97,'Player Data'!$A1:$AE673,16,FALSE)*$Q97</f>
        <v>38.54</v>
      </c>
      <c r="AC97" s="57" cm="1">
        <f t="array" ref="AC97">VLOOKUP(B97,'Player Data'!$A1:$AE673,17,FALSE)*$Q97*IFERROR((VLOOKUP(P97,Settings!$E$28:$F$33,2,FALSE)+1),1)</f>
        <v>7.38</v>
      </c>
      <c r="AD97" s="57" cm="1">
        <f t="array" ref="AD97">VLOOKUP(B97,'Player Data'!$A1:$AE673,18,FALSE)*$Q97</f>
        <v>22.96</v>
      </c>
      <c r="AE97" s="57" cm="1">
        <f t="array" ref="AE97">VLOOKUP(B97,'Player Data'!$A1:$AE673,19,FALSE)*$Q97*IFERROR((VLOOKUP(P97,Settings!$E$28:$F$33,2,FALSE)+1),1)</f>
        <v>4.92</v>
      </c>
      <c r="AF97" s="57" cm="1">
        <f t="array" ref="AF97">VLOOKUP(B97,'Player Data'!$A1:$AE673,20,FALSE)*$Q97</f>
        <v>87.740000000000009</v>
      </c>
      <c r="AG97" s="57" cm="1">
        <f t="array" ref="AG97">VLOOKUP(B97,'Player Data'!$A1:$AE673,21,FALSE)*$Q97</f>
        <v>186.95999999999998</v>
      </c>
      <c r="AH97" s="59" cm="1">
        <f t="array" ref="AH97">VLOOKUP(B97,'Player Data'!$A1:$AE673,22,FALSE)</f>
        <v>0.32</v>
      </c>
      <c r="AI97" s="55"/>
      <c r="AJ97" s="57"/>
      <c r="AK97" s="57"/>
      <c r="AL97" s="57"/>
      <c r="AM97" s="57"/>
      <c r="AN97" s="57"/>
      <c r="AO97" s="57"/>
      <c r="AP97" s="57"/>
      <c r="AQ97" s="60"/>
      <c r="AR97" s="61"/>
      <c r="AS97" s="55"/>
    </row>
    <row r="98" spans="1:45" ht="21.25" customHeight="1" x14ac:dyDescent="0.15">
      <c r="A98" s="62">
        <f>RANK(K98,K$2:K$671)</f>
        <v>116</v>
      </c>
      <c r="B98" s="10" t="s">
        <v>238</v>
      </c>
      <c r="C98" s="47" t="s">
        <v>145</v>
      </c>
      <c r="D98" s="48" t="str" cm="1">
        <f t="array" ref="D98">VLOOKUP(B98,'Player Data'!A1:D673,4,FALSE)</f>
        <v>D</v>
      </c>
      <c r="E98" s="68" cm="1">
        <f t="array" ref="E98">VLOOKUP(B98,D!A1:C204,3,FALSE)</f>
        <v>41</v>
      </c>
      <c r="F98" s="65" t="str" cm="1">
        <f t="array" ref="F98">VLOOKUP(B98,'Player Data'!A1:B673,2,FALSE)</f>
        <v>STL</v>
      </c>
      <c r="G98" s="11" cm="1">
        <f t="array" ref="G98">VLOOKUP(B98,'Player Data'!A1:D673,3,FALSE)</f>
        <v>25</v>
      </c>
      <c r="H98" s="51" cm="1">
        <f t="array" ref="H98">IFERROR(VLOOKUP(B98,ADP!A1:F671,6,FALSE)/1000000,VLOOKUP(B98,ADP!A1:F671,6,FALSE))</f>
        <v>8</v>
      </c>
      <c r="I98" s="52">
        <f>IF(Settings!$E$15="POINTS",((R98*Q98)*Settings!$B$12)+(S98*Settings!$B$2)+(T98*Settings!$B$3)+(U98*Settings!$B$4)+(V98*Settings!$B$5)+(X98*Settings!$B$9)+(AA98*Settings!$B$6)+(W98*Settings!$B$8)+(AB98*Settings!$B$7)+(AC98*Settings!$B$14)+(AD98*Settings!$B$15)+(AE98*Settings!$B$16)+(AF98*Settings!$B$17)+(AG98*Settings!$B$18)+(U98*Settings!$B$13)+(Y98*Settings!$B$10)+(Z98*Settings!$B$11),VLOOKUP(B98,'Standard Deviations'!A$1:C$672,3,FALSE))</f>
        <v>0.16516633466125408</v>
      </c>
      <c r="J98" s="53" cm="1">
        <f t="array" ref="J98">IF(D98="G",I98/AJ98,I98/Q98)</f>
        <v>2.0390905513735071E-3</v>
      </c>
      <c r="K98" s="52" cm="1">
        <f t="array" ref="K98">VLOOKUP(B98,D!A1:F204,6,FALSE)</f>
        <v>-0.40168457985630035</v>
      </c>
      <c r="L98" s="54" cm="1">
        <f t="array" ref="L98">IFERROR(K98/H98,"N/A")</f>
        <v>-5.0210572482037544E-2</v>
      </c>
      <c r="M98" s="55">
        <v>133.4</v>
      </c>
      <c r="N98" s="55" cm="1">
        <f t="array" ref="N98">IFERROR(M98-A98,"N/A")</f>
        <v>17.400000000000006</v>
      </c>
      <c r="O98" s="55"/>
      <c r="P98" s="56" cm="1">
        <f t="array" ref="P98">_xlfn.XLOOKUP($B98,ADP!A2:A671,ADP!G2:G671)</f>
        <v>0</v>
      </c>
      <c r="Q98" s="57" cm="1">
        <f t="array" ref="Q98">IF(Settings!$E$12="YES",VLOOKUP(B98,'Player Data'!A1:E673,5,FALSE),84)</f>
        <v>81</v>
      </c>
      <c r="R98" s="81" cm="1">
        <f t="array" ref="R98">VLOOKUP(B98,'Player Data'!$A1:$AE673,6,FALSE)</f>
        <v>24.7</v>
      </c>
      <c r="S98" s="57" cm="1">
        <f t="array" ref="S98">VLOOKUP(B98,'Player Data'!$A1:$AE673,7,FALSE)*$Q98*IFERROR((VLOOKUP(P98,Settings!$E$28:$F$33,2,FALSE)+1),1)</f>
        <v>9.7199999999999989</v>
      </c>
      <c r="T98" s="57" cm="1">
        <f t="array" ref="T98">VLOOKUP(B98,'Player Data'!$A1:$AE673,8,FALSE)*$Q98*IFERROR((VLOOKUP(P98,Settings!$E$28:$F$33,2,FALSE)+1),1)</f>
        <v>33.21</v>
      </c>
      <c r="U98" s="57" cm="1">
        <f t="array" ref="U98">SUM(S98:T98)</f>
        <v>42.93</v>
      </c>
      <c r="V98" s="57" cm="1">
        <f t="array" ref="V98">VLOOKUP(B98,'Player Data'!$A1:$AE673,10,FALSE)*$Q98*IFERROR(((VLOOKUP(P98,Settings!$E$28:$F$33,2,FALSE)/2)+1),1)</f>
        <v>126.36</v>
      </c>
      <c r="W98" s="57" cm="1">
        <f t="array" ref="W98">VLOOKUP(B98,'Player Data'!$A1:$AE673,11,FALSE)*$Q98*IFERROR((VLOOKUP(P98,Settings!$E$28:$F$33,2,FALSE)+1),1)</f>
        <v>4.05</v>
      </c>
      <c r="X98" s="78" cm="1">
        <f t="array" ref="X98">VLOOKUP(B98,'Player Data'!$A1:$AE673,12,FALSE)*$Q98*IFERROR((VLOOKUP(P98,Settings!$E$28:$F$33,2,FALSE)+1),1)</f>
        <v>13.770000000000001</v>
      </c>
      <c r="Y98" s="57" cm="1">
        <f t="array" ref="Y98">VLOOKUP(B98,'Player Data'!$A1:$AE673,13,FALSE)*$Q98</f>
        <v>0</v>
      </c>
      <c r="Z98" s="57" cm="1">
        <f t="array" ref="Z98">VLOOKUP(B98,'Player Data'!$A1:$AE673,14,FALSE)*$Q98</f>
        <v>0</v>
      </c>
      <c r="AA98" s="57" cm="1">
        <f t="array" ref="AA98">VLOOKUP(B98,'Player Data'!$A1:$AE673,15,FALSE)*$Q98</f>
        <v>115.83</v>
      </c>
      <c r="AB98" s="57" cm="1">
        <f t="array" ref="AB98">VLOOKUP(B98,'Player Data'!$A1:$AE673,16,FALSE)*$Q98</f>
        <v>49.41</v>
      </c>
      <c r="AC98" s="57" cm="1">
        <f t="array" ref="AC98">VLOOKUP(B98,'Player Data'!$A1:$AE673,17,FALSE)*$Q98*IFERROR((VLOOKUP(P98,Settings!$E$28:$F$33,2,FALSE)+1),1)</f>
        <v>0.81</v>
      </c>
      <c r="AD98" s="57" cm="1">
        <f t="array" ref="AD98">VLOOKUP(B98,'Player Data'!$A1:$AE673,18,FALSE)*$Q98</f>
        <v>24.3</v>
      </c>
      <c r="AE98" s="57" cm="1">
        <f t="array" ref="AE98">VLOOKUP(B98,'Player Data'!$A1:$AE673,19,FALSE)*$Q98*IFERROR((VLOOKUP(P98,Settings!$E$28:$F$33,2,FALSE)+1),1)</f>
        <v>1.62</v>
      </c>
      <c r="AF98" s="57" cm="1">
        <f t="array" ref="AF98">VLOOKUP(B98,'Player Data'!$A1:$AE673,20,FALSE)*$Q98</f>
        <v>0</v>
      </c>
      <c r="AG98" s="57" cm="1">
        <f t="array" ref="AG98">VLOOKUP(B98,'Player Data'!$A1:$AE673,21,FALSE)*$Q98</f>
        <v>0</v>
      </c>
      <c r="AH98" s="59" cm="1">
        <f t="array" ref="AH98">VLOOKUP(B98,'Player Data'!$A1:$AE673,22,FALSE)</f>
        <v>0</v>
      </c>
      <c r="AI98" s="55"/>
      <c r="AJ98" s="57"/>
      <c r="AK98" s="57"/>
      <c r="AL98" s="57"/>
      <c r="AM98" s="57"/>
      <c r="AN98" s="57"/>
      <c r="AO98" s="57"/>
      <c r="AP98" s="57"/>
      <c r="AQ98" s="60"/>
      <c r="AR98" s="61"/>
      <c r="AS98" s="55"/>
    </row>
    <row r="99" spans="1:45" ht="21.25" customHeight="1" x14ac:dyDescent="0.15">
      <c r="A99" s="62">
        <f>RANK(K99,K$2:K$671)</f>
        <v>118</v>
      </c>
      <c r="B99" s="10" t="s">
        <v>217</v>
      </c>
      <c r="C99" s="47" t="s">
        <v>145</v>
      </c>
      <c r="D99" s="48" t="str" cm="1">
        <f t="array" ref="D99">VLOOKUP(B99,'Player Data'!A1:D673,4,FALSE)</f>
        <v>D</v>
      </c>
      <c r="E99" s="68" cm="1">
        <f t="array" ref="E99">VLOOKUP(B99,D!A1:C204,3,FALSE)</f>
        <v>42</v>
      </c>
      <c r="F99" s="18" t="str" cm="1">
        <f t="array" ref="F99">VLOOKUP(B99,'Player Data'!A1:B673,2,FALSE)</f>
        <v>VAN</v>
      </c>
      <c r="G99" s="11" cm="1">
        <f t="array" ref="G99">VLOOKUP(B99,'Player Data'!A1:D673,3,FALSE)</f>
        <v>28</v>
      </c>
      <c r="H99" s="51" cm="1">
        <f t="array" ref="H99">IFERROR(VLOOKUP(B99,ADP!A1:F671,6,FALSE)/1000000,VLOOKUP(B99,ADP!A1:F671,6,FALSE))</f>
        <v>7.25</v>
      </c>
      <c r="I99" s="52">
        <f>IF(Settings!$E$15="POINTS",((R99*Q99)*Settings!$B$12)+(S99*Settings!$B$2)+(T99*Settings!$B$3)+(U99*Settings!$B$4)+(V99*Settings!$B$5)+(X99*Settings!$B$9)+(AA99*Settings!$B$6)+(W99*Settings!$B$8)+(AB99*Settings!$B$7)+(AC99*Settings!$B$14)+(AD99*Settings!$B$15)+(AE99*Settings!$B$16)+(AF99*Settings!$B$17)+(AG99*Settings!$B$18)+(U99*Settings!$B$13)+(Y99*Settings!$B$10)+(Z99*Settings!$B$11),VLOOKUP(B99,'Standard Deviations'!A$1:C$672,3,FALSE))</f>
        <v>0.14524539029762207</v>
      </c>
      <c r="J99" s="53" cm="1">
        <f t="array" ref="J99">IF(D99="G",I99/AJ99,I99/Q99)</f>
        <v>1.7931529666373094E-3</v>
      </c>
      <c r="K99" s="52" cm="1">
        <f t="array" ref="K99">VLOOKUP(B99,D!A1:F204,6,FALSE)</f>
        <v>-0.42160552421993236</v>
      </c>
      <c r="L99" s="54" cm="1">
        <f t="array" ref="L99">IFERROR(K99/H99,"N/A")</f>
        <v>-5.8152486099301015E-2</v>
      </c>
      <c r="M99" s="55">
        <v>138.5</v>
      </c>
      <c r="N99" s="55" cm="1">
        <f t="array" ref="N99">IFERROR(M99-A99,"N/A")</f>
        <v>20.5</v>
      </c>
      <c r="O99" s="55"/>
      <c r="P99" s="56" cm="1">
        <f t="array" ref="P99">_xlfn.XLOOKUP($B99,ADP!A2:A671,ADP!G2:G671)</f>
        <v>0</v>
      </c>
      <c r="Q99" s="57" cm="1">
        <f t="array" ref="Q99">IF(Settings!$E$12="YES",VLOOKUP(B99,'Player Data'!A1:E673,5,FALSE),84)</f>
        <v>81</v>
      </c>
      <c r="R99" s="55" cm="1">
        <f t="array" ref="R99">VLOOKUP(B99,'Player Data'!$A1:$AE673,6,FALSE)</f>
        <v>25.2</v>
      </c>
      <c r="S99" s="57" cm="1">
        <f t="array" ref="S99">VLOOKUP(B99,'Player Data'!$A1:$AE673,7,FALSE)*$Q99*IFERROR((VLOOKUP(P99,Settings!$E$28:$F$33,2,FALSE)+1),1)</f>
        <v>7.29</v>
      </c>
      <c r="T99" s="57" cm="1">
        <f t="array" ref="T99">VLOOKUP(B99,'Player Data'!$A1:$AE673,8,FALSE)*$Q99*IFERROR((VLOOKUP(P99,Settings!$E$28:$F$33,2,FALSE)+1),1)</f>
        <v>40.5</v>
      </c>
      <c r="U99" s="57" cm="1">
        <f t="array" ref="U99">SUM(S99:T99)</f>
        <v>47.79</v>
      </c>
      <c r="V99" s="57" cm="1">
        <f t="array" ref="V99">VLOOKUP(B99,'Player Data'!$A1:$AE673,10,FALSE)*$Q99*IFERROR(((VLOOKUP(P99,Settings!$E$28:$F$33,2,FALSE)/2)+1),1)</f>
        <v>136.07999999999998</v>
      </c>
      <c r="W99" s="57" cm="1">
        <f t="array" ref="W99">VLOOKUP(B99,'Player Data'!$A1:$AE673,11,FALSE)*$Q99*IFERROR((VLOOKUP(P99,Settings!$E$28:$F$33,2,FALSE)+1),1)</f>
        <v>2.4299999999999997</v>
      </c>
      <c r="X99" s="57" cm="1">
        <f t="array" ref="X99">VLOOKUP(B99,'Player Data'!$A1:$AE673,12,FALSE)*$Q99*IFERROR((VLOOKUP(P99,Settings!$E$28:$F$33,2,FALSE)+1),1)</f>
        <v>14.58</v>
      </c>
      <c r="Y99" s="57" cm="1">
        <f t="array" ref="Y99">VLOOKUP(B99,'Player Data'!$A1:$AE673,13,FALSE)*$Q99</f>
        <v>0</v>
      </c>
      <c r="Z99" s="57" cm="1">
        <f t="array" ref="Z99">VLOOKUP(B99,'Player Data'!$A1:$AE673,14,FALSE)*$Q99</f>
        <v>0</v>
      </c>
      <c r="AA99" s="57" cm="1">
        <f t="array" ref="AA99">VLOOKUP(B99,'Player Data'!$A1:$AE673,15,FALSE)*$Q99</f>
        <v>108.54</v>
      </c>
      <c r="AB99" s="57" cm="1">
        <f t="array" ref="AB99">VLOOKUP(B99,'Player Data'!$A1:$AE673,16,FALSE)*$Q99</f>
        <v>117.45</v>
      </c>
      <c r="AC99" s="57" cm="1">
        <f t="array" ref="AC99">VLOOKUP(B99,'Player Data'!$A1:$AE673,17,FALSE)*$Q99*IFERROR((VLOOKUP(P99,Settings!$E$28:$F$33,2,FALSE)+1),1)</f>
        <v>-8.1</v>
      </c>
      <c r="AD99" s="57" cm="1">
        <f t="array" ref="AD99">VLOOKUP(B99,'Player Data'!$A1:$AE673,18,FALSE)*$Q99</f>
        <v>38.879999999999995</v>
      </c>
      <c r="AE99" s="57" cm="1">
        <f t="array" ref="AE99">VLOOKUP(B99,'Player Data'!$A1:$AE673,19,FALSE)*$Q99*IFERROR((VLOOKUP(P99,Settings!$E$28:$F$33,2,FALSE)+1),1)</f>
        <v>0.81</v>
      </c>
      <c r="AF99" s="57" cm="1">
        <f t="array" ref="AF99">VLOOKUP(B99,'Player Data'!$A1:$AE673,20,FALSE)*$Q99</f>
        <v>0</v>
      </c>
      <c r="AG99" s="57" cm="1">
        <f t="array" ref="AG99">VLOOKUP(B99,'Player Data'!$A1:$AE673,21,FALSE)*$Q99</f>
        <v>0</v>
      </c>
      <c r="AH99" s="59" cm="1">
        <f t="array" ref="AH99">VLOOKUP(B99,'Player Data'!$A1:$AE673,22,FALSE)</f>
        <v>0.28000000000000003</v>
      </c>
      <c r="AI99" s="55"/>
      <c r="AJ99" s="57"/>
      <c r="AK99" s="57"/>
      <c r="AL99" s="57"/>
      <c r="AM99" s="57"/>
      <c r="AN99" s="57"/>
      <c r="AO99" s="57"/>
      <c r="AP99" s="57"/>
      <c r="AQ99" s="60"/>
      <c r="AR99" s="61"/>
      <c r="AS99" s="55"/>
    </row>
    <row r="100" spans="1:45" ht="21.25" customHeight="1" x14ac:dyDescent="0.15">
      <c r="A100" s="62">
        <f>RANK(K100,K$2:K$671)</f>
        <v>119</v>
      </c>
      <c r="B100" s="10" t="s">
        <v>307</v>
      </c>
      <c r="C100" s="47" t="s">
        <v>145</v>
      </c>
      <c r="D100" s="48" t="str" cm="1">
        <f t="array" ref="D100">VLOOKUP(B100,'Player Data'!A1:D673,4,FALSE)</f>
        <v>D</v>
      </c>
      <c r="E100" s="68" cm="1">
        <f t="array" ref="E100">VLOOKUP(B100,D!A1:C204,3,FALSE)</f>
        <v>43</v>
      </c>
      <c r="F100" s="50" t="str" cm="1">
        <f t="array" ref="F100">VLOOKUP(B100,'Player Data'!A1:B673,2,FALSE)</f>
        <v>COL</v>
      </c>
      <c r="G100" s="66" cm="1">
        <f t="array" ref="G100">VLOOKUP(B100,'Player Data'!A1:D673,3,FALSE)</f>
        <v>32</v>
      </c>
      <c r="H100" s="51" cm="1">
        <f t="array" ref="H100">IFERROR(VLOOKUP(B100,ADP!A1:F671,6,FALSE)/1000000,VLOOKUP(B100,ADP!A1:F671,6,FALSE))</f>
        <v>7.25</v>
      </c>
      <c r="I100" s="52">
        <f>IF(Settings!$E$15="POINTS",((R100*Q100)*Settings!$B$12)+(S100*Settings!$B$2)+(T100*Settings!$B$3)+(U100*Settings!$B$4)+(V100*Settings!$B$5)+(X100*Settings!$B$9)+(AA100*Settings!$B$6)+(W100*Settings!$B$8)+(AB100*Settings!$B$7)+(AC100*Settings!$B$14)+(AD100*Settings!$B$15)+(AE100*Settings!$B$16)+(AF100*Settings!$B$17)+(AG100*Settings!$B$18)+(U100*Settings!$B$13)+(Y100*Settings!$B$10)+(Z100*Settings!$B$11),VLOOKUP(B100,'Standard Deviations'!A$1:C$672,3,FALSE))</f>
        <v>9.2930268359642687E-2</v>
      </c>
      <c r="J100" s="53" cm="1">
        <f t="array" ref="J100">IF(D100="G",I100/AJ100,I100/Q100)</f>
        <v>1.1472872636992925E-3</v>
      </c>
      <c r="K100" s="52" cm="1">
        <f t="array" ref="K100">VLOOKUP(B100,D!A1:F204,6,FALSE)</f>
        <v>-0.47392064615791174</v>
      </c>
      <c r="L100" s="54" cm="1">
        <f t="array" ref="L100">IFERROR(K100/H100,"N/A")</f>
        <v>-6.5368364987298172E-2</v>
      </c>
      <c r="M100" s="55">
        <v>130.9</v>
      </c>
      <c r="N100" s="55" cm="1">
        <f t="array" ref="N100">IFERROR(M100-A100,"N/A")</f>
        <v>11.900000000000006</v>
      </c>
      <c r="O100" s="55"/>
      <c r="P100" s="56" cm="1">
        <f t="array" ref="P100">_xlfn.XLOOKUP($B100,ADP!A2:A671,ADP!G2:G671)</f>
        <v>0</v>
      </c>
      <c r="Q100" s="57" cm="1">
        <f t="array" ref="Q100">IF(Settings!$E$12="YES",VLOOKUP(B100,'Player Data'!A1:E673,5,FALSE),84)</f>
        <v>81</v>
      </c>
      <c r="R100" s="55" cm="1">
        <f t="array" ref="R100">VLOOKUP(B100,'Player Data'!$A1:$AE673,6,FALSE)</f>
        <v>22.1</v>
      </c>
      <c r="S100" s="57" cm="1">
        <f t="array" ref="S100">VLOOKUP(B100,'Player Data'!$A1:$AE673,7,FALSE)*$Q100*IFERROR((VLOOKUP(P100,Settings!$E$28:$F$33,2,FALSE)+1),1)</f>
        <v>5.6700000000000008</v>
      </c>
      <c r="T100" s="57" cm="1">
        <f t="array" ref="T100">VLOOKUP(B100,'Player Data'!$A1:$AE673,8,FALSE)*$Q100*IFERROR((VLOOKUP(P100,Settings!$E$28:$F$33,2,FALSE)+1),1)</f>
        <v>27.540000000000003</v>
      </c>
      <c r="U100" s="57" cm="1">
        <f t="array" ref="U100">SUM(S100:T100)</f>
        <v>33.21</v>
      </c>
      <c r="V100" s="57" cm="1">
        <f t="array" ref="V100">VLOOKUP(B100,'Player Data'!$A1:$AE673,10,FALSE)*$Q100*IFERROR(((VLOOKUP(P100,Settings!$E$28:$F$33,2,FALSE)/2)+1),1)</f>
        <v>125.55</v>
      </c>
      <c r="W100" s="57" cm="1">
        <f t="array" ref="W100">VLOOKUP(B100,'Player Data'!$A1:$AE673,11,FALSE)*$Q100*IFERROR((VLOOKUP(P100,Settings!$E$28:$F$33,2,FALSE)+1),1)</f>
        <v>0.81</v>
      </c>
      <c r="X100" s="57" cm="1">
        <f t="array" ref="X100">VLOOKUP(B100,'Player Data'!$A1:$AE673,12,FALSE)*$Q100*IFERROR((VLOOKUP(P100,Settings!$E$28:$F$33,2,FALSE)+1),1)</f>
        <v>2.4299999999999997</v>
      </c>
      <c r="Y100" s="57" cm="1">
        <f t="array" ref="Y100">VLOOKUP(B100,'Player Data'!$A1:$AE673,13,FALSE)*$Q100</f>
        <v>0</v>
      </c>
      <c r="Z100" s="57" cm="1">
        <f t="array" ref="Z100">VLOOKUP(B100,'Player Data'!$A1:$AE673,14,FALSE)*$Q100</f>
        <v>0</v>
      </c>
      <c r="AA100" s="57" cm="1">
        <f t="array" ref="AA100">VLOOKUP(B100,'Player Data'!$A1:$AE673,15,FALSE)*$Q100</f>
        <v>106.11</v>
      </c>
      <c r="AB100" s="57" cm="1">
        <f t="array" ref="AB100">VLOOKUP(B100,'Player Data'!$A1:$AE673,16,FALSE)*$Q100</f>
        <v>46.98</v>
      </c>
      <c r="AC100" s="57" cm="1">
        <f t="array" ref="AC100">VLOOKUP(B100,'Player Data'!$A1:$AE673,17,FALSE)*$Q100*IFERROR((VLOOKUP(P100,Settings!$E$28:$F$33,2,FALSE)+1),1)</f>
        <v>9.7199999999999989</v>
      </c>
      <c r="AD100" s="57" cm="1">
        <f t="array" ref="AD100">VLOOKUP(B100,'Player Data'!$A1:$AE673,18,FALSE)*$Q100</f>
        <v>29.97</v>
      </c>
      <c r="AE100" s="57" cm="1">
        <f t="array" ref="AE100">VLOOKUP(B100,'Player Data'!$A1:$AE673,19,FALSE)*$Q100*IFERROR((VLOOKUP(P100,Settings!$E$28:$F$33,2,FALSE)+1),1)</f>
        <v>0.81</v>
      </c>
      <c r="AF100" s="57" cm="1">
        <f t="array" ref="AF100">VLOOKUP(B100,'Player Data'!$A1:$AE673,20,FALSE)*$Q100</f>
        <v>0</v>
      </c>
      <c r="AG100" s="57" cm="1">
        <f t="array" ref="AG100">VLOOKUP(B100,'Player Data'!$A1:$AE673,21,FALSE)*$Q100</f>
        <v>0</v>
      </c>
      <c r="AH100" s="59" cm="1">
        <f t="array" ref="AH100">VLOOKUP(B100,'Player Data'!$A1:$AE673,22,FALSE)</f>
        <v>0</v>
      </c>
      <c r="AI100" s="55"/>
      <c r="AJ100" s="57"/>
      <c r="AK100" s="57"/>
      <c r="AL100" s="57"/>
      <c r="AM100" s="57"/>
      <c r="AN100" s="57"/>
      <c r="AO100" s="57"/>
      <c r="AP100" s="57"/>
      <c r="AQ100" s="60"/>
      <c r="AR100" s="61"/>
      <c r="AS100" s="55"/>
    </row>
    <row r="101" spans="1:45" ht="21.25" customHeight="1" x14ac:dyDescent="0.15">
      <c r="A101" s="62">
        <f>RANK(K101,K$2:K$671)</f>
        <v>122</v>
      </c>
      <c r="B101" s="10" t="s">
        <v>231</v>
      </c>
      <c r="C101" s="47" t="s">
        <v>145</v>
      </c>
      <c r="D101" s="48" t="str" cm="1">
        <f t="array" ref="D101">VLOOKUP(B101,'Player Data'!A1:D673,4,FALSE)</f>
        <v>D</v>
      </c>
      <c r="E101" s="68" cm="1">
        <f t="array" ref="E101">VLOOKUP(B101,D!A1:C204,3,FALSE)</f>
        <v>44</v>
      </c>
      <c r="F101" s="18" t="str" cm="1">
        <f t="array" ref="F101">VLOOKUP(B101,'Player Data'!A1:B673,2,FALSE)</f>
        <v>OTT</v>
      </c>
      <c r="G101" s="11" cm="1">
        <f t="array" ref="G101">VLOOKUP(B101,'Player Data'!A1:D673,3,FALSE)</f>
        <v>29</v>
      </c>
      <c r="H101" s="51" cm="1">
        <f t="array" ref="H101">IFERROR(VLOOKUP(B101,ADP!A1:F671,6,FALSE)/1000000,VLOOKUP(B101,ADP!A1:F671,6,FALSE))</f>
        <v>8</v>
      </c>
      <c r="I101" s="52">
        <f>IF(Settings!$E$15="POINTS",((R101*Q101)*Settings!$B$12)+(S101*Settings!$B$2)+(T101*Settings!$B$3)+(U101*Settings!$B$4)+(V101*Settings!$B$5)+(X101*Settings!$B$9)+(AA101*Settings!$B$6)+(W101*Settings!$B$8)+(AB101*Settings!$B$7)+(AC101*Settings!$B$14)+(AD101*Settings!$B$15)+(AE101*Settings!$B$16)+(AF101*Settings!$B$17)+(AG101*Settings!$B$18)+(U101*Settings!$B$13)+(Y101*Settings!$B$10)+(Z101*Settings!$B$11),VLOOKUP(B101,'Standard Deviations'!A$1:C$672,3,FALSE))</f>
        <v>8.4311150407319624E-3</v>
      </c>
      <c r="J101" s="53" cm="1">
        <f t="array" ref="J101">IF(D101="G",I101/AJ101,I101/Q101)</f>
        <v>1.109357242201574E-4</v>
      </c>
      <c r="K101" s="52" cm="1">
        <f t="array" ref="K101">VLOOKUP(B101,D!A1:F204,6,FALSE)</f>
        <v>-0.55841979947682252</v>
      </c>
      <c r="L101" s="54" cm="1">
        <f t="array" ref="L101">IFERROR(K101/H101,"N/A")</f>
        <v>-6.9802474934602815E-2</v>
      </c>
      <c r="M101" s="55">
        <v>144.1</v>
      </c>
      <c r="N101" s="55" cm="1">
        <f t="array" ref="N101">IFERROR(M101-A101,"N/A")</f>
        <v>22.099999999999994</v>
      </c>
      <c r="O101" s="55"/>
      <c r="P101" s="56" cm="1">
        <f t="array" ref="P101">_xlfn.XLOOKUP($B101,ADP!A2:A671,ADP!G2:G671)</f>
        <v>0</v>
      </c>
      <c r="Q101" s="57" cm="1">
        <f t="array" ref="Q101">IF(Settings!$E$12="YES",VLOOKUP(B101,'Player Data'!A1:E673,5,FALSE),84)</f>
        <v>76</v>
      </c>
      <c r="R101" s="55" cm="1">
        <f t="array" ref="R101">VLOOKUP(B101,'Player Data'!$A1:$AE673,6,FALSE)</f>
        <v>22</v>
      </c>
      <c r="S101" s="57" cm="1">
        <f t="array" ref="S101">VLOOKUP(B101,'Player Data'!$A1:$AE673,7,FALSE)*$Q101*IFERROR((VLOOKUP(P101,Settings!$E$28:$F$33,2,FALSE)+1),1)</f>
        <v>9.1199999999999992</v>
      </c>
      <c r="T101" s="57" cm="1">
        <f t="array" ref="T101">VLOOKUP(B101,'Player Data'!$A1:$AE673,8,FALSE)*$Q101*IFERROR((VLOOKUP(P101,Settings!$E$28:$F$33,2,FALSE)+1),1)</f>
        <v>30.400000000000002</v>
      </c>
      <c r="U101" s="57" cm="1">
        <f t="array" ref="U101">SUM(S101:T101)</f>
        <v>39.520000000000003</v>
      </c>
      <c r="V101" s="57" cm="1">
        <f t="array" ref="V101">VLOOKUP(B101,'Player Data'!$A1:$AE673,10,FALSE)*$Q101*IFERROR(((VLOOKUP(P101,Settings!$E$28:$F$33,2,FALSE)/2)+1),1)</f>
        <v>140.6</v>
      </c>
      <c r="W101" s="57" cm="1">
        <f t="array" ref="W101">VLOOKUP(B101,'Player Data'!$A1:$AE673,11,FALSE)*$Q101*IFERROR((VLOOKUP(P101,Settings!$E$28:$F$33,2,FALSE)+1),1)</f>
        <v>1.52</v>
      </c>
      <c r="X101" s="57" cm="1">
        <f t="array" ref="X101">VLOOKUP(B101,'Player Data'!$A1:$AE673,12,FALSE)*$Q101*IFERROR((VLOOKUP(P101,Settings!$E$28:$F$33,2,FALSE)+1),1)</f>
        <v>7.6000000000000005</v>
      </c>
      <c r="Y101" s="57" cm="1">
        <f t="array" ref="Y101">VLOOKUP(B101,'Player Data'!$A1:$AE673,13,FALSE)*$Q101</f>
        <v>0.76</v>
      </c>
      <c r="Z101" s="57" cm="1">
        <f t="array" ref="Z101">VLOOKUP(B101,'Player Data'!$A1:$AE673,14,FALSE)*$Q101</f>
        <v>0.76</v>
      </c>
      <c r="AA101" s="57" cm="1">
        <f t="array" ref="AA101">VLOOKUP(B101,'Player Data'!$A1:$AE673,15,FALSE)*$Q101</f>
        <v>133.76</v>
      </c>
      <c r="AB101" s="57" cm="1">
        <f t="array" ref="AB101">VLOOKUP(B101,'Player Data'!$A1:$AE673,16,FALSE)*$Q101</f>
        <v>57</v>
      </c>
      <c r="AC101" s="57" cm="1">
        <f t="array" ref="AC101">VLOOKUP(B101,'Player Data'!$A1:$AE673,17,FALSE)*$Q101*IFERROR((VLOOKUP(P101,Settings!$E$28:$F$33,2,FALSE)+1),1)</f>
        <v>2.2799999999999998</v>
      </c>
      <c r="AD101" s="57" cm="1">
        <f t="array" ref="AD101">VLOOKUP(B101,'Player Data'!$A1:$AE673,18,FALSE)*$Q101</f>
        <v>29.64</v>
      </c>
      <c r="AE101" s="57" cm="1">
        <f t="array" ref="AE101">VLOOKUP(B101,'Player Data'!$A1:$AE673,19,FALSE)*$Q101*IFERROR((VLOOKUP(P101,Settings!$E$28:$F$33,2,FALSE)+1),1)</f>
        <v>1.52</v>
      </c>
      <c r="AF101" s="57" cm="1">
        <f t="array" ref="AF101">VLOOKUP(B101,'Player Data'!$A1:$AE673,20,FALSE)*$Q101</f>
        <v>0</v>
      </c>
      <c r="AG101" s="57" cm="1">
        <f t="array" ref="AG101">VLOOKUP(B101,'Player Data'!$A1:$AE673,21,FALSE)*$Q101</f>
        <v>0</v>
      </c>
      <c r="AH101" s="59" cm="1">
        <f t="array" ref="AH101">VLOOKUP(B101,'Player Data'!$A1:$AE673,22,FALSE)</f>
        <v>0</v>
      </c>
      <c r="AI101" s="55"/>
      <c r="AJ101" s="57"/>
      <c r="AK101" s="57"/>
      <c r="AL101" s="57"/>
      <c r="AM101" s="57"/>
      <c r="AN101" s="57"/>
      <c r="AO101" s="57"/>
      <c r="AP101" s="57"/>
      <c r="AQ101" s="60"/>
      <c r="AR101" s="61"/>
      <c r="AS101" s="55"/>
    </row>
    <row r="102" spans="1:45" ht="21.25" customHeight="1" x14ac:dyDescent="0.15">
      <c r="A102" s="62">
        <f>RANK(K102,K$2:K$671)</f>
        <v>115</v>
      </c>
      <c r="B102" s="10" t="s">
        <v>242</v>
      </c>
      <c r="C102" s="47" t="s">
        <v>145</v>
      </c>
      <c r="D102" s="48" t="str" cm="1">
        <f t="array" ref="D102">VLOOKUP(B102,'Player Data'!A1:D673,4,FALSE)</f>
        <v>G</v>
      </c>
      <c r="E102" s="76" cm="1">
        <f t="array" ref="E102">VLOOKUP(B102,G!A1:D66,3,FALSE)</f>
        <v>23</v>
      </c>
      <c r="F102" s="69" t="str" cm="1">
        <f t="array" ref="F102">VLOOKUP(B102,'Player Data'!A1:B673,2,FALSE)</f>
        <v>TOR</v>
      </c>
      <c r="G102" s="66" cm="1">
        <f t="array" ref="G102">VLOOKUP(B102,'Player Data'!A1:D673,3,FALSE)</f>
        <v>37</v>
      </c>
      <c r="H102" s="51" cm="1">
        <f t="array" ref="H102">IFERROR(VLOOKUP(B102,ADP!A1:F671,6,FALSE)/1000000,VLOOKUP(B102,ADP!A1:F671,6,FALSE))</f>
        <v>7</v>
      </c>
      <c r="I102" s="52">
        <f>IF(Settings!$E$15="POINTS",(AJ102*Settings!$B$29)+(AK102*Settings!$B$21)+(AL102*Settings!$B$22)+(AN102*Settings!$B$24)+(AO102*Settings!$B$25)+(AP102*Settings!$B$27)+(AM102*Settings!$B$23),VLOOKUP(B102,'Standard Deviations'!A$1:C$672,3,FALSE))</f>
        <v>1.6609586641410141</v>
      </c>
      <c r="J102" s="53" cm="1">
        <f t="array" ref="J102">IF(D102="G",I102/AJ102,I102/Q102)</f>
        <v>3.1941512771942578E-2</v>
      </c>
      <c r="K102" s="52" cm="1">
        <f t="array" ref="K102">VLOOKUP(B102,G!A1:F66,6,FALSE)</f>
        <v>-0.37722659498266076</v>
      </c>
      <c r="L102" s="54" cm="1">
        <f t="array" ref="L102">IFERROR(K102/H102,"N/A")</f>
        <v>-5.3889513568951539E-2</v>
      </c>
      <c r="M102" s="55">
        <v>90.6</v>
      </c>
      <c r="N102" s="55" cm="1">
        <f t="array" ref="N102">IFERROR(M102-A102,"N/A")</f>
        <v>-24.400000000000006</v>
      </c>
      <c r="O102" s="55"/>
      <c r="P102" s="56" t="str" cm="1">
        <f t="array" ref="P102">_xlfn.XLOOKUP($B102,ADP!A2:A671,ADP!G2:G671)</f>
        <v>+</v>
      </c>
      <c r="Q102" s="57"/>
      <c r="R102" s="55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9"/>
      <c r="AI102" s="55"/>
      <c r="AJ102" s="77" cm="1">
        <f t="array" ref="AJ102">VLOOKUP(B102,'Player Data'!$A1:$AE673,24,FALSE)</f>
        <v>52</v>
      </c>
      <c r="AK102" s="57" cm="1">
        <f t="array" ref="AK102">VLOOKUP(B102,'Player Data'!$A1:$AE673,25,FALSE)*$AJ102*IFERROR((VLOOKUP(P102,Settings!$E$28:$F$33,2,FALSE)+1),1)</f>
        <v>28.391999999999999</v>
      </c>
      <c r="AL102" s="57" cm="1">
        <f t="array" ref="AL102">AJ102-AK102-AM102</f>
        <v>17.368000000000002</v>
      </c>
      <c r="AM102" s="57" cm="1">
        <f t="array" ref="AM102">VLOOKUP(B102,'Player Data'!$A1:$AE673,27,FALSE)*$AJ102</f>
        <v>6.24</v>
      </c>
      <c r="AN102" s="57" cm="1">
        <f t="array" ref="AN102">VLOOKUP(B102,'Player Data'!$A1:$AE673,28,FALSE)*AJ102</f>
        <v>2.6</v>
      </c>
      <c r="AO102" s="57" cm="1">
        <f t="array" ref="AO102">VLOOKUP(B102,'Player Data'!$A1:$AE673,29,FALSE)*$AJ102*IFERROR((VLOOKUP(P102,Settings!$E$28:$F$33,2,FALSE)/4)+1,1)</f>
        <v>1353.1049999999998</v>
      </c>
      <c r="AP102" s="57" cm="1">
        <f t="array" ref="AP102">VLOOKUP(B102,'Player Data'!$A1:$AE673,31,FALSE)*$AJ102*(IFERROR(1-(VLOOKUP(P102,Settings!$E$28:$F$33,2,FALSE)/4),1))</f>
        <v>150.96899999999999</v>
      </c>
      <c r="AQ102" s="60" cm="1">
        <f t="array" ref="AQ102">1-(AP102/(AO102+AP102))</f>
        <v>0.89962661411606082</v>
      </c>
      <c r="AR102" s="61" cm="1">
        <f t="array" ref="AR102">AP102/AJ102</f>
        <v>2.9032499999999999</v>
      </c>
      <c r="AS102" s="55"/>
    </row>
    <row r="103" spans="1:45" ht="21.25" customHeight="1" x14ac:dyDescent="0.15">
      <c r="A103" s="62">
        <f>RANK(K103,K$2:K$671)</f>
        <v>86</v>
      </c>
      <c r="B103" s="10" t="s">
        <v>291</v>
      </c>
      <c r="C103" s="47" t="s">
        <v>145</v>
      </c>
      <c r="D103" s="48" t="str" cm="1">
        <f t="array" ref="D103">VLOOKUP(B103,'Player Data'!A1:D673,4,FALSE)</f>
        <v>RW</v>
      </c>
      <c r="E103" s="64" cm="1">
        <f t="array" ref="E103">VLOOKUP(B103,RW!A1:F210,3,FALSE)</f>
        <v>19</v>
      </c>
      <c r="F103" s="56" t="str" cm="1">
        <f t="array" ref="F103">VLOOKUP(B103,'Player Data'!A1:B673,2,FALSE)</f>
        <v>WSH</v>
      </c>
      <c r="G103" s="66" cm="1">
        <f t="array" ref="G103">VLOOKUP(B103,'Player Data'!A1:D673,3,FALSE)</f>
        <v>32</v>
      </c>
      <c r="H103" s="51" cm="1">
        <f t="array" ref="H103">IFERROR(VLOOKUP(B103,ADP!A1:F671,6,FALSE)/1000000,VLOOKUP(B103,ADP!A1:F671,6,FALSE))</f>
        <v>6.5</v>
      </c>
      <c r="I103" s="52">
        <f>IF(Settings!$E$15="POINTS",((R103*Q103)*Settings!$B$12)+(S103*Settings!$B$2)+(T103*Settings!$B$3)+(U103*Settings!$B$4)+(V103*Settings!$B$5)+(X103*Settings!$B$9)+(AA103*Settings!$B$6)+(W103*Settings!$B$8)+(AB103*Settings!$B$7)+(AC103*Settings!$B$14)+(AD103*Settings!$B$15)+(AE103*Settings!$B$16)+(AF103*Settings!$B$17)+(AG103*Settings!$B$18)+(Y103*Settings!$B$10)+(Z103*Settings!$B$11),VLOOKUP(B103,'Standard Deviations'!A$1:C$672,3,FALSE))</f>
        <v>7.1307096449834102</v>
      </c>
      <c r="J103" s="53" cm="1">
        <f t="array" ref="J103">IF(D103="G",I103/AJ103,I103/Q103)</f>
        <v>8.8033452407202589E-2</v>
      </c>
      <c r="K103" s="52" cm="1">
        <f t="array" ref="K103">IF(Settings!$E$18="C/LW/RW",VLOOKUP(B103,RW!A1:F210,6,FALSE),VLOOKUP(B103,F!A1:F407,6,FALSE))</f>
        <v>0.24347504317433266</v>
      </c>
      <c r="L103" s="54" cm="1">
        <f t="array" ref="L103">IFERROR(K103/H103,"N/A")</f>
        <v>3.7457698949897332E-2</v>
      </c>
      <c r="M103" s="55">
        <v>126.1</v>
      </c>
      <c r="N103" s="55" cm="1">
        <f t="array" ref="N103">IFERROR(M103-A103,"N/A")</f>
        <v>40.099999999999994</v>
      </c>
      <c r="O103" s="55"/>
      <c r="P103" s="56" cm="1">
        <f t="array" ref="P103">_xlfn.XLOOKUP($B103,ADP!A2:A671,ADP!G2:G671)</f>
        <v>0</v>
      </c>
      <c r="Q103" s="57" cm="1">
        <f t="array" ref="Q103">IF(Settings!$E$12="YES",VLOOKUP(B103,'Player Data'!A1:E673,5,FALSE),84)</f>
        <v>81</v>
      </c>
      <c r="R103" s="55" cm="1">
        <f t="array" ref="R103">VLOOKUP(B103,'Player Data'!$A1:$AE673,6,FALSE)</f>
        <v>19.3</v>
      </c>
      <c r="S103" s="57" cm="1">
        <f t="array" ref="S103">VLOOKUP(B103,'Player Data'!$A1:$AE673,7,FALSE)*$Q103*IFERROR((VLOOKUP(P103,Settings!$E$28:$F$33,2,FALSE)+1),1)</f>
        <v>29.16</v>
      </c>
      <c r="T103" s="57" cm="1">
        <f t="array" ref="T103">VLOOKUP(B103,'Player Data'!$A1:$AE673,8,FALSE)*$Q103*IFERROR((VLOOKUP(P103,Settings!$E$28:$F$33,2,FALSE)+1),1)</f>
        <v>31.59</v>
      </c>
      <c r="U103" s="57" cm="1">
        <f t="array" ref="U103">SUM(S103:T103)</f>
        <v>60.75</v>
      </c>
      <c r="V103" s="57" cm="1">
        <f t="array" ref="V103">VLOOKUP(B103,'Player Data'!$A1:$AE673,10,FALSE)*$Q103*IFERROR(((VLOOKUP(P103,Settings!$E$28:$F$33,2,FALSE)/2)+1),1)</f>
        <v>175.76999999999998</v>
      </c>
      <c r="W103" s="57" cm="1">
        <f t="array" ref="W103">VLOOKUP(B103,'Player Data'!$A1:$AE673,11,FALSE)*$Q103*IFERROR((VLOOKUP(P103,Settings!$E$28:$F$33,2,FALSE)+1),1)</f>
        <v>8.1</v>
      </c>
      <c r="X103" s="78" cm="1">
        <f t="array" ref="X103">VLOOKUP(B103,'Player Data'!$A1:$AE673,12,FALSE)*$Q103*IFERROR((VLOOKUP(P103,Settings!$E$28:$F$33,2,FALSE)+1),1)</f>
        <v>13.770000000000001</v>
      </c>
      <c r="Y103" s="57" cm="1">
        <f t="array" ref="Y103">VLOOKUP(B103,'Player Data'!$A1:$AE673,13,FALSE)*$Q103</f>
        <v>1.62</v>
      </c>
      <c r="Z103" s="57" cm="1">
        <f t="array" ref="Z103">VLOOKUP(B103,'Player Data'!$A1:$AE673,14,FALSE)*$Q103</f>
        <v>2.4299999999999997</v>
      </c>
      <c r="AA103" s="57" cm="1">
        <f t="array" ref="AA103">VLOOKUP(B103,'Player Data'!$A1:$AE673,15,FALSE)*$Q103</f>
        <v>62.370000000000005</v>
      </c>
      <c r="AB103" s="57" cm="1">
        <f t="array" ref="AB103">VLOOKUP(B103,'Player Data'!$A1:$AE673,16,FALSE)*$Q103</f>
        <v>198.45000000000002</v>
      </c>
      <c r="AC103" s="57" cm="1">
        <f t="array" ref="AC103">VLOOKUP(B103,'Player Data'!$A1:$AE673,17,FALSE)*$Q103*IFERROR((VLOOKUP(P103,Settings!$E$28:$F$33,2,FALSE)+1),1)</f>
        <v>6.48</v>
      </c>
      <c r="AD103" s="57" cm="1">
        <f t="array" ref="AD103">VLOOKUP(B103,'Player Data'!$A1:$AE673,18,FALSE)*$Q103</f>
        <v>83.43</v>
      </c>
      <c r="AE103" s="57" cm="1">
        <f t="array" ref="AE103">VLOOKUP(B103,'Player Data'!$A1:$AE673,19,FALSE)*$Q103*IFERROR((VLOOKUP(P103,Settings!$E$28:$F$33,2,FALSE)+1),1)</f>
        <v>4.05</v>
      </c>
      <c r="AF103" s="57" cm="1">
        <f t="array" ref="AF103">VLOOKUP(B103,'Player Data'!$A1:$AE673,20,FALSE)*$Q103</f>
        <v>15.39</v>
      </c>
      <c r="AG103" s="57" cm="1">
        <f t="array" ref="AG103">VLOOKUP(B103,'Player Data'!$A1:$AE673,21,FALSE)*$Q103</f>
        <v>27.540000000000003</v>
      </c>
      <c r="AH103" s="59" cm="1">
        <f t="array" ref="AH103">VLOOKUP(B103,'Player Data'!$A1:$AE673,22,FALSE)</f>
        <v>0.36</v>
      </c>
      <c r="AI103" s="55"/>
      <c r="AJ103" s="57"/>
      <c r="AK103" s="57"/>
      <c r="AL103" s="57"/>
      <c r="AM103" s="57"/>
      <c r="AN103" s="57"/>
      <c r="AO103" s="57"/>
      <c r="AP103" s="57"/>
      <c r="AQ103" s="60"/>
      <c r="AR103" s="61"/>
      <c r="AS103" s="55"/>
    </row>
    <row r="104" spans="1:45" ht="21.25" customHeight="1" x14ac:dyDescent="0.15">
      <c r="A104" s="62">
        <f>RANK(K104,K$2:K$671)</f>
        <v>124</v>
      </c>
      <c r="B104" s="10" t="s">
        <v>352</v>
      </c>
      <c r="C104" s="47" t="s">
        <v>145</v>
      </c>
      <c r="D104" s="48" t="str" cm="1">
        <f t="array" ref="D104">VLOOKUP(B104,'Player Data'!A1:D673,4,FALSE)</f>
        <v>D</v>
      </c>
      <c r="E104" s="68" cm="1">
        <f t="array" ref="E104">VLOOKUP(B104,D!A1:C204,3,FALSE)</f>
        <v>45</v>
      </c>
      <c r="F104" s="72" t="str" cm="1">
        <f t="array" ref="F104">VLOOKUP(B104,'Player Data'!A1:B673,2,FALSE)</f>
        <v>FLA</v>
      </c>
      <c r="G104" s="11" cm="1">
        <f t="array" ref="G104">VLOOKUP(B104,'Player Data'!A1:D673,3,FALSE)</f>
        <v>30</v>
      </c>
      <c r="H104" s="51" cm="1">
        <f t="array" ref="H104">IFERROR(VLOOKUP(B104,ADP!A1:F671,6,FALSE)/1000000,VLOOKUP(B104,ADP!A1:F671,6,FALSE))</f>
        <v>6.1</v>
      </c>
      <c r="I104" s="52">
        <f>IF(Settings!$E$15="POINTS",((R104*Q104)*Settings!$B$12)+(S104*Settings!$B$2)+(T104*Settings!$B$3)+(U104*Settings!$B$4)+(V104*Settings!$B$5)+(X104*Settings!$B$9)+(AA104*Settings!$B$6)+(W104*Settings!$B$8)+(AB104*Settings!$B$7)+(AC104*Settings!$B$14)+(AD104*Settings!$B$15)+(AE104*Settings!$B$16)+(AF104*Settings!$B$17)+(AG104*Settings!$B$18)+(U104*Settings!$B$13)+(Y104*Settings!$B$10)+(Z104*Settings!$B$11),VLOOKUP(B104,'Standard Deviations'!A$1:C$672,3,FALSE))</f>
        <v>-0.13850420639575778</v>
      </c>
      <c r="J104" s="53" cm="1">
        <f t="array" ref="J104">IF(D104="G",I104/AJ104,I104/Q104)</f>
        <v>-1.822423768365234E-3</v>
      </c>
      <c r="K104" s="52" cm="1">
        <f t="array" ref="K104">VLOOKUP(B104,D!A1:F204,6,FALSE)</f>
        <v>-0.70535512091331221</v>
      </c>
      <c r="L104" s="54" cm="1">
        <f t="array" ref="L104">IFERROR(K104/H104,"N/A")</f>
        <v>-0.11563198703496923</v>
      </c>
      <c r="M104" s="55">
        <v>127.6</v>
      </c>
      <c r="N104" s="55" cm="1">
        <f t="array" ref="N104">IFERROR(M104-A104,"N/A")</f>
        <v>3.5999999999999943</v>
      </c>
      <c r="O104" s="55"/>
      <c r="P104" s="56" cm="1">
        <f t="array" ref="P104">_xlfn.XLOOKUP($B104,ADP!A2:A671,ADP!G2:G671)</f>
        <v>0</v>
      </c>
      <c r="Q104" s="57" cm="1">
        <f t="array" ref="Q104">IF(Settings!$E$12="YES",VLOOKUP(B104,'Player Data'!A1:E673,5,FALSE),84)</f>
        <v>76</v>
      </c>
      <c r="R104" s="55" cm="1">
        <f t="array" ref="R104">VLOOKUP(B104,'Player Data'!$A1:$AE673,6,FALSE)</f>
        <v>22.4</v>
      </c>
      <c r="S104" s="57" cm="1">
        <f t="array" ref="S104">VLOOKUP(B104,'Player Data'!$A1:$AE673,7,FALSE)*$Q104*IFERROR((VLOOKUP(P104,Settings!$E$28:$F$33,2,FALSE)+1),1)</f>
        <v>3.8000000000000003</v>
      </c>
      <c r="T104" s="57" cm="1">
        <f t="array" ref="T104">VLOOKUP(B104,'Player Data'!$A1:$AE673,8,FALSE)*$Q104*IFERROR((VLOOKUP(P104,Settings!$E$28:$F$33,2,FALSE)+1),1)</f>
        <v>28.12</v>
      </c>
      <c r="U104" s="57" cm="1">
        <f t="array" ref="U104">SUM(S104:T104)</f>
        <v>31.92</v>
      </c>
      <c r="V104" s="57" cm="1">
        <f t="array" ref="V104">VLOOKUP(B104,'Player Data'!$A1:$AE673,10,FALSE)*$Q104*IFERROR(((VLOOKUP(P104,Settings!$E$28:$F$33,2,FALSE)/2)+1),1)</f>
        <v>114.76</v>
      </c>
      <c r="W104" s="57" cm="1">
        <f t="array" ref="W104">VLOOKUP(B104,'Player Data'!$A1:$AE673,11,FALSE)*$Q104*IFERROR((VLOOKUP(P104,Settings!$E$28:$F$33,2,FALSE)+1),1)</f>
        <v>0.76</v>
      </c>
      <c r="X104" s="57" cm="1">
        <f t="array" ref="X104">VLOOKUP(B104,'Player Data'!$A1:$AE673,12,FALSE)*$Q104*IFERROR((VLOOKUP(P104,Settings!$E$28:$F$33,2,FALSE)+1),1)</f>
        <v>7.6000000000000005</v>
      </c>
      <c r="Y104" s="57" cm="1">
        <f t="array" ref="Y104">VLOOKUP(B104,'Player Data'!$A1:$AE673,13,FALSE)*$Q104</f>
        <v>0</v>
      </c>
      <c r="Z104" s="57" cm="1">
        <f t="array" ref="Z104">VLOOKUP(B104,'Player Data'!$A1:$AE673,14,FALSE)*$Q104</f>
        <v>0.76</v>
      </c>
      <c r="AA104" s="57" cm="1">
        <f t="array" ref="AA104">VLOOKUP(B104,'Player Data'!$A1:$AE673,15,FALSE)*$Q104</f>
        <v>110.2</v>
      </c>
      <c r="AB104" s="57" cm="1">
        <f t="array" ref="AB104">VLOOKUP(B104,'Player Data'!$A1:$AE673,16,FALSE)*$Q104</f>
        <v>97.28</v>
      </c>
      <c r="AC104" s="57" cm="1">
        <f t="array" ref="AC104">VLOOKUP(B104,'Player Data'!$A1:$AE673,17,FALSE)*$Q104*IFERROR((VLOOKUP(P104,Settings!$E$28:$F$33,2,FALSE)+1),1)</f>
        <v>3.04</v>
      </c>
      <c r="AD104" s="57" cm="1">
        <f t="array" ref="AD104">VLOOKUP(B104,'Player Data'!$A1:$AE673,18,FALSE)*$Q104</f>
        <v>58.52</v>
      </c>
      <c r="AE104" s="57" cm="1">
        <f t="array" ref="AE104">VLOOKUP(B104,'Player Data'!$A1:$AE673,19,FALSE)*$Q104*IFERROR((VLOOKUP(P104,Settings!$E$28:$F$33,2,FALSE)+1),1)</f>
        <v>0.76</v>
      </c>
      <c r="AF104" s="57" cm="1">
        <f t="array" ref="AF104">VLOOKUP(B104,'Player Data'!$A1:$AE673,20,FALSE)*$Q104</f>
        <v>0</v>
      </c>
      <c r="AG104" s="57" cm="1">
        <f t="array" ref="AG104">VLOOKUP(B104,'Player Data'!$A1:$AE673,21,FALSE)*$Q104</f>
        <v>0.76</v>
      </c>
      <c r="AH104" s="59" cm="1">
        <f t="array" ref="AH104">VLOOKUP(B104,'Player Data'!$A1:$AE673,22,FALSE)</f>
        <v>0</v>
      </c>
      <c r="AI104" s="55"/>
      <c r="AJ104" s="57"/>
      <c r="AK104" s="57"/>
      <c r="AL104" s="57"/>
      <c r="AM104" s="57"/>
      <c r="AN104" s="57"/>
      <c r="AO104" s="57"/>
      <c r="AP104" s="57"/>
      <c r="AQ104" s="60"/>
      <c r="AR104" s="61"/>
      <c r="AS104" s="55"/>
    </row>
    <row r="105" spans="1:45" ht="21.25" customHeight="1" x14ac:dyDescent="0.15">
      <c r="A105" s="62">
        <f>RANK(K105,K$2:K$671)</f>
        <v>91</v>
      </c>
      <c r="B105" s="10" t="s">
        <v>209</v>
      </c>
      <c r="C105" s="47" t="s">
        <v>145</v>
      </c>
      <c r="D105" s="48" t="str" cm="1">
        <f t="array" ref="D105">VLOOKUP(B105,'Player Data'!A1:D673,4,FALSE)</f>
        <v>C</v>
      </c>
      <c r="E105" s="49" cm="1">
        <f t="array" ref="E105">VLOOKUP(B105,'C'!A1:C210,3,FALSE)</f>
        <v>22</v>
      </c>
      <c r="F105" s="56" t="str" cm="1">
        <f t="array" ref="F105">VLOOKUP(B105,'Player Data'!A1:B673,2,FALSE)</f>
        <v>UTA</v>
      </c>
      <c r="G105" s="71" cm="1">
        <f t="array" ref="G105">VLOOKUP(B105,'Player Data'!A1:D673,3,FALSE)</f>
        <v>22</v>
      </c>
      <c r="H105" s="51" cm="1">
        <f t="array" ref="H105">IFERROR(VLOOKUP(B105,ADP!A1:F671,6,FALSE)/1000000,VLOOKUP(B105,ADP!A1:F671,6,FALSE))</f>
        <v>10</v>
      </c>
      <c r="I105" s="52">
        <f>IF(Settings!$E$15="POINTS",((R105*Q105)*Settings!$B$12)+(S105*Settings!$B$2)+(T105*Settings!$B$3)+(U105*Settings!$B$4)+(V105*Settings!$B$5)+(X105*Settings!$B$9)+(AA105*Settings!$B$6)+(W105*Settings!$B$8)+(AB105*Settings!$B$7)+(AC105*Settings!$B$14)+(AD105*Settings!$B$15)+(AE105*Settings!$B$16)+(AF105*Settings!$B$17)+(AG105*Settings!$B$18)+(Y105*Settings!$B$10)+(Z105*Settings!$B$11),VLOOKUP(B105,'Standard Deviations'!A$1:C$672,3,FALSE))</f>
        <v>6.498822946941254</v>
      </c>
      <c r="J105" s="53" cm="1">
        <f t="array" ref="J105">IF(D105="G",I105/AJ105,I105/Q105)</f>
        <v>8.3318242909503251E-2</v>
      </c>
      <c r="K105" s="52" cm="1">
        <f t="array" ref="K105">IF(Settings!$E$18="C/LW/RW",VLOOKUP(B105,'C'!A1:F210,6,FALSE),VLOOKUP(B105,F!A1:F407,6,FALSE))</f>
        <v>0.13881338932618981</v>
      </c>
      <c r="L105" s="54" cm="1">
        <f t="array" ref="L105">IFERROR(K105/H105,"N/A")</f>
        <v>1.388133893261898E-2</v>
      </c>
      <c r="M105" s="55">
        <v>118.2</v>
      </c>
      <c r="N105" s="55" cm="1">
        <f t="array" ref="N105">IFERROR(M105-A105,"N/A")</f>
        <v>27.200000000000003</v>
      </c>
      <c r="O105" s="80"/>
      <c r="P105" s="56" t="str" cm="1">
        <f t="array" ref="P105">_xlfn.XLOOKUP($B105,ADP!A2:A671,ADP!G2:G671)</f>
        <v>+ +</v>
      </c>
      <c r="Q105" s="57" cm="1">
        <f t="array" ref="Q105">IF(Settings!$E$12="YES",VLOOKUP(B105,'Player Data'!A1:E673,5,FALSE),84)</f>
        <v>78</v>
      </c>
      <c r="R105" s="81" cm="1">
        <f t="array" ref="R105">VLOOKUP(B105,'Player Data'!$A1:$AE673,6,FALSE)</f>
        <v>19.2</v>
      </c>
      <c r="S105" s="57" cm="1">
        <f t="array" ref="S105">VLOOKUP(B105,'Player Data'!$A1:$AE673,7,FALSE)*$Q105*IFERROR((VLOOKUP(P105,Settings!$E$28:$F$33,2,FALSE)+1),1)</f>
        <v>35.177999999999997</v>
      </c>
      <c r="T105" s="57" cm="1">
        <f t="array" ref="T105">VLOOKUP(B105,'Player Data'!$A1:$AE673,8,FALSE)*$Q105*IFERROR((VLOOKUP(P105,Settings!$E$28:$F$33,2,FALSE)+1),1)</f>
        <v>42.900000000000006</v>
      </c>
      <c r="U105" s="57" cm="1">
        <f t="array" ref="U105">SUM(S105:T105)</f>
        <v>78.078000000000003</v>
      </c>
      <c r="V105" s="57" cm="1">
        <f t="array" ref="V105">VLOOKUP(B105,'Player Data'!$A1:$AE673,10,FALSE)*$Q105*IFERROR(((VLOOKUP(P105,Settings!$E$28:$F$33,2,FALSE)/2)+1),1)</f>
        <v>182.637</v>
      </c>
      <c r="W105" s="58" cm="1">
        <f t="array" ref="W105">VLOOKUP(B105,'Player Data'!$A1:$AE673,11,FALSE)*$Q105*IFERROR((VLOOKUP(P105,Settings!$E$28:$F$33,2,FALSE)+1),1)</f>
        <v>10.295999999999999</v>
      </c>
      <c r="X105" s="57" cm="1">
        <f t="array" ref="X105">VLOOKUP(B105,'Player Data'!$A1:$AE673,12,FALSE)*$Q105*IFERROR((VLOOKUP(P105,Settings!$E$28:$F$33,2,FALSE)+1),1)</f>
        <v>25.740000000000002</v>
      </c>
      <c r="Y105" s="57" cm="1">
        <f t="array" ref="Y105">VLOOKUP(B105,'Player Data'!$A1:$AE673,13,FALSE)*$Q105</f>
        <v>0.78</v>
      </c>
      <c r="Z105" s="57" cm="1">
        <f t="array" ref="Z105">VLOOKUP(B105,'Player Data'!$A1:$AE673,14,FALSE)*$Q105</f>
        <v>0.78</v>
      </c>
      <c r="AA105" s="57" cm="1">
        <f t="array" ref="AA105">VLOOKUP(B105,'Player Data'!$A1:$AE673,15,FALSE)*$Q105</f>
        <v>39</v>
      </c>
      <c r="AB105" s="57" cm="1">
        <f t="array" ref="AB105">VLOOKUP(B105,'Player Data'!$A1:$AE673,16,FALSE)*$Q105</f>
        <v>76.44</v>
      </c>
      <c r="AC105" s="57" cm="1">
        <f t="array" ref="AC105">VLOOKUP(B105,'Player Data'!$A1:$AE673,17,FALSE)*$Q105*IFERROR((VLOOKUP(P105,Settings!$E$28:$F$33,2,FALSE)+1),1)</f>
        <v>2.5739999999999998</v>
      </c>
      <c r="AD105" s="57" cm="1">
        <f t="array" ref="AD105">VLOOKUP(B105,'Player Data'!$A1:$AE673,18,FALSE)*$Q105</f>
        <v>39.78</v>
      </c>
      <c r="AE105" s="57" cm="1">
        <f t="array" ref="AE105">VLOOKUP(B105,'Player Data'!$A1:$AE673,19,FALSE)*$Q105*IFERROR((VLOOKUP(P105,Settings!$E$28:$F$33,2,FALSE)+1),1)</f>
        <v>6.0060000000000011</v>
      </c>
      <c r="AF105" s="57" cm="1">
        <f t="array" ref="AF105">VLOOKUP(B105,'Player Data'!$A1:$AE673,20,FALSE)*$Q105</f>
        <v>396.24</v>
      </c>
      <c r="AG105" s="57" cm="1">
        <f t="array" ref="AG105">VLOOKUP(B105,'Player Data'!$A1:$AE673,21,FALSE)*$Q105</f>
        <v>529.62</v>
      </c>
      <c r="AH105" s="59" cm="1">
        <f t="array" ref="AH105">VLOOKUP(B105,'Player Data'!$A1:$AE673,22,FALSE)</f>
        <v>0.43</v>
      </c>
      <c r="AI105" s="55"/>
      <c r="AJ105" s="57"/>
      <c r="AK105" s="57"/>
      <c r="AL105" s="57"/>
      <c r="AM105" s="57"/>
      <c r="AN105" s="57"/>
      <c r="AO105" s="57"/>
      <c r="AP105" s="57"/>
      <c r="AQ105" s="60"/>
      <c r="AR105" s="61"/>
      <c r="AS105" s="55"/>
    </row>
    <row r="106" spans="1:45" ht="21.25" customHeight="1" x14ac:dyDescent="0.15">
      <c r="A106" s="62">
        <f>RANK(K106,K$2:K$671)</f>
        <v>95</v>
      </c>
      <c r="B106" s="10" t="s">
        <v>220</v>
      </c>
      <c r="C106" s="47" t="s">
        <v>145</v>
      </c>
      <c r="D106" s="48" t="str" cm="1">
        <f t="array" ref="D106">VLOOKUP(B106,'Player Data'!A1:D673,4,FALSE)</f>
        <v>LW</v>
      </c>
      <c r="E106" s="75" cm="1">
        <f t="array" ref="E106">VLOOKUP(B106,LW!A1:C210,3,FALSE)</f>
        <v>20</v>
      </c>
      <c r="F106" s="65" t="str" cm="1">
        <f t="array" ref="F106">VLOOKUP(B106,'Player Data'!A1:B673,2,FALSE)</f>
        <v>CAR</v>
      </c>
      <c r="G106" s="11" cm="1">
        <f t="array" ref="G106">VLOOKUP(B106,'Player Data'!A1:D673,3,FALSE)</f>
        <v>30</v>
      </c>
      <c r="H106" s="51" cm="1">
        <f t="array" ref="H106">IFERROR(VLOOKUP(B106,ADP!A1:F671,6,FALSE)/1000000,VLOOKUP(B106,ADP!A1:F671,6,FALSE))</f>
        <v>8.5</v>
      </c>
      <c r="I106" s="52">
        <f>IF(Settings!$E$15="POINTS",((R106*Q106)*Settings!$B$12)+(S106*Settings!$B$2)+(T106*Settings!$B$3)+(U106*Settings!$B$4)+(V106*Settings!$B$5)+(X106*Settings!$B$9)+(AA106*Settings!$B$6)+(W106*Settings!$B$8)+(AB106*Settings!$B$7)+(AC106*Settings!$B$14)+(AD106*Settings!$B$15)+(AE106*Settings!$B$16)+(AF106*Settings!$B$17)+(AG106*Settings!$B$18)+(Y106*Settings!$B$10)+(Z106*Settings!$B$11),VLOOKUP(B106,'Standard Deviations'!A$1:C$672,3,FALSE))</f>
        <v>6.8970892151041214</v>
      </c>
      <c r="J106" s="53" cm="1">
        <f t="array" ref="J106">IF(D106="G",I106/AJ106,I106/Q106)</f>
        <v>8.4110844086635633E-2</v>
      </c>
      <c r="K106" s="52" cm="1">
        <f t="array" ref="K106">IF(Settings!$E$18="C/LW/RW",VLOOKUP(B106,LW!A1:F210,6,FALSE),VLOOKUP(B106,F!A1:F407,6,FALSE))</f>
        <v>2.7035707143117094E-3</v>
      </c>
      <c r="L106" s="54" cm="1">
        <f t="array" ref="L106">IFERROR(K106/H106,"N/A")</f>
        <v>3.180671428602011E-4</v>
      </c>
      <c r="M106" s="55">
        <v>120.3</v>
      </c>
      <c r="N106" s="55" cm="1">
        <f t="array" ref="N106">IFERROR(M106-A106,"N/A")</f>
        <v>25.299999999999997</v>
      </c>
      <c r="O106" s="82"/>
      <c r="P106" s="56" cm="1">
        <f t="array" ref="P106">_xlfn.XLOOKUP($B106,ADP!A2:A671,ADP!G2:G671)</f>
        <v>0</v>
      </c>
      <c r="Q106" s="57" cm="1">
        <f t="array" ref="Q106">IF(Settings!$E$12="YES",VLOOKUP(B106,'Player Data'!A1:E673,5,FALSE),84)</f>
        <v>82</v>
      </c>
      <c r="R106" s="55" cm="1">
        <f t="array" ref="R106">VLOOKUP(B106,'Player Data'!$A1:$AE673,6,FALSE)</f>
        <v>17.2</v>
      </c>
      <c r="S106" s="57" cm="1">
        <f t="array" ref="S106">VLOOKUP(B106,'Player Data'!$A1:$AE673,7,FALSE)*$Q106*IFERROR((VLOOKUP(P106,Settings!$E$28:$F$33,2,FALSE)+1),1)</f>
        <v>27.880000000000003</v>
      </c>
      <c r="T106" s="57" cm="1">
        <f t="array" ref="T106">VLOOKUP(B106,'Player Data'!$A1:$AE673,8,FALSE)*$Q106*IFERROR((VLOOKUP(P106,Settings!$E$28:$F$33,2,FALSE)+1),1)</f>
        <v>45.1</v>
      </c>
      <c r="U106" s="57" cm="1">
        <f t="array" ref="U106">SUM(S106:T106)</f>
        <v>72.98</v>
      </c>
      <c r="V106" s="57" cm="1">
        <f t="array" ref="V106">VLOOKUP(B106,'Player Data'!$A1:$AE673,10,FALSE)*$Q106*IFERROR(((VLOOKUP(P106,Settings!$E$28:$F$33,2,FALSE)/2)+1),1)</f>
        <v>218.94</v>
      </c>
      <c r="W106" s="58" cm="1">
        <f t="array" ref="W106">VLOOKUP(B106,'Player Data'!$A1:$AE673,11,FALSE)*$Q106*IFERROR((VLOOKUP(P106,Settings!$E$28:$F$33,2,FALSE)+1),1)</f>
        <v>8.2000000000000011</v>
      </c>
      <c r="X106" s="57" cm="1">
        <f t="array" ref="X106">VLOOKUP(B106,'Player Data'!$A1:$AE673,12,FALSE)*$Q106*IFERROR((VLOOKUP(P106,Settings!$E$28:$F$33,2,FALSE)+1),1)</f>
        <v>25.419999999999998</v>
      </c>
      <c r="Y106" s="57" cm="1">
        <f t="array" ref="Y106">VLOOKUP(B106,'Player Data'!$A1:$AE673,13,FALSE)*$Q106</f>
        <v>0</v>
      </c>
      <c r="Z106" s="57" cm="1">
        <f t="array" ref="Z106">VLOOKUP(B106,'Player Data'!$A1:$AE673,14,FALSE)*$Q106</f>
        <v>0</v>
      </c>
      <c r="AA106" s="57" cm="1">
        <f t="array" ref="AA106">VLOOKUP(B106,'Player Data'!$A1:$AE673,15,FALSE)*$Q106</f>
        <v>31.16</v>
      </c>
      <c r="AB106" s="57" cm="1">
        <f t="array" ref="AB106">VLOOKUP(B106,'Player Data'!$A1:$AE673,16,FALSE)*$Q106</f>
        <v>35.26</v>
      </c>
      <c r="AC106" s="57" cm="1">
        <f t="array" ref="AC106">VLOOKUP(B106,'Player Data'!$A1:$AE673,17,FALSE)*$Q106*IFERROR((VLOOKUP(P106,Settings!$E$28:$F$33,2,FALSE)+1),1)</f>
        <v>8.2000000000000011</v>
      </c>
      <c r="AD106" s="57" cm="1">
        <f t="array" ref="AD106">VLOOKUP(B106,'Player Data'!$A1:$AE673,18,FALSE)*$Q106</f>
        <v>23.779999999999998</v>
      </c>
      <c r="AE106" s="57" cm="1">
        <f t="array" ref="AE106">VLOOKUP(B106,'Player Data'!$A1:$AE673,19,FALSE)*$Q106*IFERROR((VLOOKUP(P106,Settings!$E$28:$F$33,2,FALSE)+1),1)</f>
        <v>4.92</v>
      </c>
      <c r="AF106" s="57" cm="1">
        <f t="array" ref="AF106">VLOOKUP(B106,'Player Data'!$A1:$AE673,20,FALSE)*$Q106</f>
        <v>9.02</v>
      </c>
      <c r="AG106" s="57" cm="1">
        <f t="array" ref="AG106">VLOOKUP(B106,'Player Data'!$A1:$AE673,21,FALSE)*$Q106</f>
        <v>20.5</v>
      </c>
      <c r="AH106" s="59" cm="1">
        <f t="array" ref="AH106">VLOOKUP(B106,'Player Data'!$A1:$AE673,22,FALSE)</f>
        <v>0.31</v>
      </c>
      <c r="AI106" s="55"/>
      <c r="AJ106" s="57"/>
      <c r="AK106" s="57"/>
      <c r="AL106" s="57"/>
      <c r="AM106" s="57"/>
      <c r="AN106" s="57"/>
      <c r="AO106" s="57"/>
      <c r="AP106" s="57"/>
      <c r="AQ106" s="60"/>
      <c r="AR106" s="61"/>
      <c r="AS106" s="55"/>
    </row>
    <row r="107" spans="1:45" ht="21.25" customHeight="1" x14ac:dyDescent="0.15">
      <c r="A107" s="62">
        <f>RANK(K107,K$2:K$671)</f>
        <v>93</v>
      </c>
      <c r="B107" s="10" t="s">
        <v>167</v>
      </c>
      <c r="C107" s="47" t="s">
        <v>145</v>
      </c>
      <c r="D107" s="48" t="str" cm="1">
        <f t="array" ref="D107">VLOOKUP(B107,'Player Data'!A1:D673,4,FALSE)</f>
        <v>LW,RW</v>
      </c>
      <c r="E107" s="74" cm="1">
        <f t="array" ref="E107">VLOOKUP(B107,RW!A1:F210,3,FALSE)</f>
        <v>20</v>
      </c>
      <c r="F107" s="56" t="str" cm="1">
        <f t="array" ref="F107">VLOOKUP(B107,'Player Data'!A1:B673,2,FALSE)</f>
        <v>UTA</v>
      </c>
      <c r="G107" s="11" cm="1">
        <f t="array" ref="G107">VLOOKUP(B107,'Player Data'!A1:D673,3,FALSE)</f>
        <v>28</v>
      </c>
      <c r="H107" s="51" cm="1">
        <f t="array" ref="H107">IFERROR(VLOOKUP(B107,ADP!A1:F671,6,FALSE)/1000000,VLOOKUP(B107,ADP!A1:F671,6,FALSE))</f>
        <v>7.15</v>
      </c>
      <c r="I107" s="52">
        <f>IF(Settings!$E$15="POINTS",((R107*Q107)*Settings!$B$12)+(S107*Settings!$B$2)+(T107*Settings!$B$3)+(U107*Settings!$B$4)+(V107*Settings!$B$5)+(X107*Settings!$B$9)+(AA107*Settings!$B$6)+(W107*Settings!$B$8)+(AB107*Settings!$B$7)+(AC107*Settings!$B$14)+(AD107*Settings!$B$15)+(AE107*Settings!$B$16)+(AF107*Settings!$B$17)+(AG107*Settings!$B$18)+(Y107*Settings!$B$10)+(Z107*Settings!$B$11),VLOOKUP(B107,'Standard Deviations'!A$1:C$672,3,FALSE))</f>
        <v>6.9196335326727603</v>
      </c>
      <c r="J107" s="53" cm="1">
        <f t="array" ref="J107">IF(D107="G",I107/AJ107,I107/Q107)</f>
        <v>8.3369078706900732E-2</v>
      </c>
      <c r="K107" s="52" cm="1">
        <f t="array" ref="K107">IF(Settings!$E$18="C/LW/RW",VLOOKUP(B107,RW!A1:F210,6,FALSE),VLOOKUP(B107,F!A1:F407,6,FALSE))</f>
        <v>3.2398930863682729E-2</v>
      </c>
      <c r="L107" s="54" cm="1">
        <f t="array" ref="L107">IFERROR(K107/H107,"N/A")</f>
        <v>4.5313190019136678E-3</v>
      </c>
      <c r="M107" s="55">
        <v>45.1</v>
      </c>
      <c r="N107" s="55" cm="1">
        <f t="array" ref="N107">IFERROR(M107-A107,"N/A")</f>
        <v>-47.9</v>
      </c>
      <c r="O107" s="55"/>
      <c r="P107" s="56" cm="1">
        <f t="array" ref="P107">_xlfn.XLOOKUP($B107,ADP!A2:A671,ADP!G2:G671)</f>
        <v>0</v>
      </c>
      <c r="Q107" s="57" cm="1">
        <f t="array" ref="Q107">IF(Settings!$E$12="YES",VLOOKUP(B107,'Player Data'!A1:E673,5,FALSE),84)</f>
        <v>83</v>
      </c>
      <c r="R107" s="55" cm="1">
        <f t="array" ref="R107">VLOOKUP(B107,'Player Data'!$A1:$AE673,6,FALSE)</f>
        <v>19.100000000000001</v>
      </c>
      <c r="S107" s="57" cm="1">
        <f t="array" ref="S107">VLOOKUP(B107,'Player Data'!$A1:$AE673,7,FALSE)*$Q107*IFERROR((VLOOKUP(P107,Settings!$E$28:$F$33,2,FALSE)+1),1)</f>
        <v>28.220000000000002</v>
      </c>
      <c r="T107" s="57" cm="1">
        <f t="array" ref="T107">VLOOKUP(B107,'Player Data'!$A1:$AE673,8,FALSE)*$Q107*IFERROR((VLOOKUP(P107,Settings!$E$28:$F$33,2,FALSE)+1),1)</f>
        <v>57.269999999999996</v>
      </c>
      <c r="U107" s="57" cm="1">
        <f t="array" ref="U107">SUM(S107:T107)</f>
        <v>85.49</v>
      </c>
      <c r="V107" s="57" cm="1">
        <f t="array" ref="V107">VLOOKUP(B107,'Player Data'!$A1:$AE673,10,FALSE)*$Q107*IFERROR(((VLOOKUP(P107,Settings!$E$28:$F$33,2,FALSE)/2)+1),1)</f>
        <v>228.25</v>
      </c>
      <c r="W107" s="58" cm="1">
        <f t="array" ref="W107">VLOOKUP(B107,'Player Data'!$A1:$AE673,11,FALSE)*$Q107*IFERROR((VLOOKUP(P107,Settings!$E$28:$F$33,2,FALSE)+1),1)</f>
        <v>6.6400000000000006</v>
      </c>
      <c r="X107" s="57" cm="1">
        <f t="array" ref="X107">VLOOKUP(B107,'Player Data'!$A1:$AE673,12,FALSE)*$Q107*IFERROR((VLOOKUP(P107,Settings!$E$28:$F$33,2,FALSE)+1),1)</f>
        <v>29.88</v>
      </c>
      <c r="Y107" s="57" cm="1">
        <f t="array" ref="Y107">VLOOKUP(B107,'Player Data'!$A1:$AE673,13,FALSE)*$Q107</f>
        <v>0</v>
      </c>
      <c r="Z107" s="57" cm="1">
        <f t="array" ref="Z107">VLOOKUP(B107,'Player Data'!$A1:$AE673,14,FALSE)*$Q107</f>
        <v>0</v>
      </c>
      <c r="AA107" s="57" cm="1">
        <f t="array" ref="AA107">VLOOKUP(B107,'Player Data'!$A1:$AE673,15,FALSE)*$Q107</f>
        <v>33.200000000000003</v>
      </c>
      <c r="AB107" s="57" cm="1">
        <f t="array" ref="AB107">VLOOKUP(B107,'Player Data'!$A1:$AE673,16,FALSE)*$Q107</f>
        <v>14.94</v>
      </c>
      <c r="AC107" s="57" cm="1">
        <f t="array" ref="AC107">VLOOKUP(B107,'Player Data'!$A1:$AE673,17,FALSE)*$Q107*IFERROR((VLOOKUP(P107,Settings!$E$28:$F$33,2,FALSE)+1),1)</f>
        <v>3.3200000000000003</v>
      </c>
      <c r="AD107" s="57" cm="1">
        <f t="array" ref="AD107">VLOOKUP(B107,'Player Data'!$A1:$AE673,18,FALSE)*$Q107</f>
        <v>34.86</v>
      </c>
      <c r="AE107" s="57" cm="1">
        <f t="array" ref="AE107">VLOOKUP(B107,'Player Data'!$A1:$AE673,19,FALSE)*$Q107*IFERROR((VLOOKUP(P107,Settings!$E$28:$F$33,2,FALSE)+1),1)</f>
        <v>4.9799999999999995</v>
      </c>
      <c r="AF107" s="57" cm="1">
        <f t="array" ref="AF107">VLOOKUP(B107,'Player Data'!$A1:$AE673,20,FALSE)*$Q107</f>
        <v>14.94</v>
      </c>
      <c r="AG107" s="57" cm="1">
        <f t="array" ref="AG107">VLOOKUP(B107,'Player Data'!$A1:$AE673,21,FALSE)*$Q107</f>
        <v>24.069999999999997</v>
      </c>
      <c r="AH107" s="59" cm="1">
        <f t="array" ref="AH107">VLOOKUP(B107,'Player Data'!$A1:$AE673,22,FALSE)</f>
        <v>0.38</v>
      </c>
      <c r="AI107" s="55"/>
      <c r="AJ107" s="57"/>
      <c r="AK107" s="57"/>
      <c r="AL107" s="57"/>
      <c r="AM107" s="57"/>
      <c r="AN107" s="57"/>
      <c r="AO107" s="57"/>
      <c r="AP107" s="57"/>
      <c r="AQ107" s="60"/>
      <c r="AR107" s="61"/>
      <c r="AS107" s="55"/>
    </row>
    <row r="108" spans="1:45" ht="21.25" customHeight="1" x14ac:dyDescent="0.15">
      <c r="A108" s="62">
        <f>RANK(K108,K$2:K$671)</f>
        <v>96</v>
      </c>
      <c r="B108" s="10" t="s">
        <v>245</v>
      </c>
      <c r="C108" s="47" t="s">
        <v>145</v>
      </c>
      <c r="D108" s="48" t="str" cm="1">
        <f t="array" ref="D108">VLOOKUP(B108,'Player Data'!A1:D673,4,FALSE)</f>
        <v>C</v>
      </c>
      <c r="E108" s="49" cm="1">
        <f t="array" ref="E108">VLOOKUP(B108,'C'!A1:C210,3,FALSE)</f>
        <v>23</v>
      </c>
      <c r="F108" s="70" t="str" cm="1">
        <f t="array" ref="F108">VLOOKUP(B108,'Player Data'!A1:B673,2,FALSE)</f>
        <v>MIN</v>
      </c>
      <c r="G108" s="11" cm="1">
        <f t="array" ref="G108">VLOOKUP(B108,'Player Data'!A1:D673,3,FALSE)</f>
        <v>29</v>
      </c>
      <c r="H108" s="51" cm="1">
        <f t="array" ref="H108">IFERROR(VLOOKUP(B108,ADP!A1:F671,6,FALSE)/1000000,VLOOKUP(B108,ADP!A1:F671,6,FALSE))</f>
        <v>5.25</v>
      </c>
      <c r="I108" s="52">
        <f>IF(Settings!$E$15="POINTS",((R108*Q108)*Settings!$B$12)+(S108*Settings!$B$2)+(T108*Settings!$B$3)+(U108*Settings!$B$4)+(V108*Settings!$B$5)+(X108*Settings!$B$9)+(AA108*Settings!$B$6)+(W108*Settings!$B$8)+(AB108*Settings!$B$7)+(AC108*Settings!$B$14)+(AD108*Settings!$B$15)+(AE108*Settings!$B$16)+(AF108*Settings!$B$17)+(AG108*Settings!$B$18)+(Y108*Settings!$B$10)+(Z108*Settings!$B$11),VLOOKUP(B108,'Standard Deviations'!A$1:C$672,3,FALSE))</f>
        <v>6.3600095576150641</v>
      </c>
      <c r="J108" s="53" cm="1">
        <f t="array" ref="J108">IF(D108="G",I108/AJ108,I108/Q108)</f>
        <v>8.3684336284408745E-2</v>
      </c>
      <c r="K108" s="52" cm="1">
        <f t="array" ref="K108">IF(Settings!$E$18="C/LW/RW",VLOOKUP(B108,'C'!A1:F210,6,FALSE),VLOOKUP(B108,F!A1:F407,6,FALSE))</f>
        <v>0</v>
      </c>
      <c r="L108" s="54" cm="1">
        <f t="array" ref="L108">IFERROR(K108/H108,"N/A")</f>
        <v>0</v>
      </c>
      <c r="M108" s="55">
        <v>141.80000000000001</v>
      </c>
      <c r="N108" s="55" cm="1">
        <f t="array" ref="N108">IFERROR(M108-A108,"N/A")</f>
        <v>45.800000000000011</v>
      </c>
      <c r="O108" s="55"/>
      <c r="P108" s="56" t="str" cm="1">
        <f t="array" ref="P108">_xlfn.XLOOKUP($B108,ADP!A2:A671,ADP!G2:G671)</f>
        <v>+</v>
      </c>
      <c r="Q108" s="57" cm="1">
        <f t="array" ref="Q108">IF(Settings!$E$12="YES",VLOOKUP(B108,'Player Data'!A1:E673,5,FALSE),84)</f>
        <v>76</v>
      </c>
      <c r="R108" s="81" cm="1">
        <f t="array" ref="R108">VLOOKUP(B108,'Player Data'!$A1:$AE673,6,FALSE)</f>
        <v>20.100000000000001</v>
      </c>
      <c r="S108" s="57" cm="1">
        <f t="array" ref="S108">VLOOKUP(B108,'Player Data'!$A1:$AE673,7,FALSE)*$Q108*IFERROR((VLOOKUP(P108,Settings!$E$28:$F$33,2,FALSE)+1),1)</f>
        <v>23.94</v>
      </c>
      <c r="T108" s="57" cm="1">
        <f t="array" ref="T108">VLOOKUP(B108,'Player Data'!$A1:$AE673,8,FALSE)*$Q108*IFERROR((VLOOKUP(P108,Settings!$E$28:$F$33,2,FALSE)+1),1)</f>
        <v>34.314</v>
      </c>
      <c r="U108" s="57" cm="1">
        <f t="array" ref="U108">SUM(S108:T108)</f>
        <v>58.254000000000005</v>
      </c>
      <c r="V108" s="57" cm="1">
        <f t="array" ref="V108">VLOOKUP(B108,'Player Data'!$A1:$AE673,10,FALSE)*$Q108*IFERROR(((VLOOKUP(P108,Settings!$E$28:$F$33,2,FALSE)/2)+1),1)</f>
        <v>231.363</v>
      </c>
      <c r="W108" s="58" cm="1">
        <f t="array" ref="W108">VLOOKUP(B108,'Player Data'!$A1:$AE673,11,FALSE)*$Q108*IFERROR((VLOOKUP(P108,Settings!$E$28:$F$33,2,FALSE)+1),1)</f>
        <v>8.7780000000000005</v>
      </c>
      <c r="X108" s="57" cm="1">
        <f t="array" ref="X108">VLOOKUP(B108,'Player Data'!$A1:$AE673,12,FALSE)*$Q108*IFERROR((VLOOKUP(P108,Settings!$E$28:$F$33,2,FALSE)+1),1)</f>
        <v>19.151999999999997</v>
      </c>
      <c r="Y108" s="57" cm="1">
        <f t="array" ref="Y108">VLOOKUP(B108,'Player Data'!$A1:$AE673,13,FALSE)*$Q108</f>
        <v>0</v>
      </c>
      <c r="Z108" s="57" cm="1">
        <f t="array" ref="Z108">VLOOKUP(B108,'Player Data'!$A1:$AE673,14,FALSE)*$Q108</f>
        <v>0</v>
      </c>
      <c r="AA108" s="57" cm="1">
        <f t="array" ref="AA108">VLOOKUP(B108,'Player Data'!$A1:$AE673,15,FALSE)*$Q108</f>
        <v>44.839999999999996</v>
      </c>
      <c r="AB108" s="57" cm="1">
        <f t="array" ref="AB108">VLOOKUP(B108,'Player Data'!$A1:$AE673,16,FALSE)*$Q108</f>
        <v>121.60000000000001</v>
      </c>
      <c r="AC108" s="57" cm="1">
        <f t="array" ref="AC108">VLOOKUP(B108,'Player Data'!$A1:$AE673,17,FALSE)*$Q108*IFERROR((VLOOKUP(P108,Settings!$E$28:$F$33,2,FALSE)+1),1)</f>
        <v>4.7879999999999994</v>
      </c>
      <c r="AD108" s="57" cm="1">
        <f t="array" ref="AD108">VLOOKUP(B108,'Player Data'!$A1:$AE673,18,FALSE)*$Q108</f>
        <v>40.28</v>
      </c>
      <c r="AE108" s="57" cm="1">
        <f t="array" ref="AE108">VLOOKUP(B108,'Player Data'!$A1:$AE673,19,FALSE)*$Q108*IFERROR((VLOOKUP(P108,Settings!$E$28:$F$33,2,FALSE)+1),1)</f>
        <v>3.9900000000000007</v>
      </c>
      <c r="AF108" s="57" cm="1">
        <f t="array" ref="AF108">VLOOKUP(B108,'Player Data'!$A1:$AE673,20,FALSE)*$Q108</f>
        <v>765.32</v>
      </c>
      <c r="AG108" s="57" cm="1">
        <f t="array" ref="AG108">VLOOKUP(B108,'Player Data'!$A1:$AE673,21,FALSE)*$Q108</f>
        <v>805.6</v>
      </c>
      <c r="AH108" s="59" cm="1">
        <f t="array" ref="AH108">VLOOKUP(B108,'Player Data'!$A1:$AE673,22,FALSE)</f>
        <v>0.49</v>
      </c>
      <c r="AI108" s="55"/>
      <c r="AJ108" s="57"/>
      <c r="AK108" s="57"/>
      <c r="AL108" s="57"/>
      <c r="AM108" s="57"/>
      <c r="AN108" s="57"/>
      <c r="AO108" s="57"/>
      <c r="AP108" s="57"/>
      <c r="AQ108" s="60"/>
      <c r="AR108" s="61"/>
      <c r="AS108" s="55"/>
    </row>
    <row r="109" spans="1:45" ht="21.25" customHeight="1" x14ac:dyDescent="0.15">
      <c r="A109" s="62">
        <f>RANK(K109,K$2:K$671)</f>
        <v>103</v>
      </c>
      <c r="B109" s="10" t="s">
        <v>240</v>
      </c>
      <c r="C109" s="47" t="s">
        <v>145</v>
      </c>
      <c r="D109" s="48" t="str" cm="1">
        <f t="array" ref="D109">VLOOKUP(B109,'Player Data'!A1:D673,4,FALSE)</f>
        <v>C,LW</v>
      </c>
      <c r="E109" s="74" cm="1">
        <f t="array" ref="E109">VLOOKUP(B109,LW!A1:C210,3,FALSE)</f>
        <v>23</v>
      </c>
      <c r="F109" s="65" t="str" cm="1">
        <f t="array" ref="F109">VLOOKUP(B109,'Player Data'!A1:B673,2,FALSE)</f>
        <v>STL</v>
      </c>
      <c r="G109" s="71" cm="1">
        <f t="array" ref="G109">VLOOKUP(B109,'Player Data'!A1:D673,3,FALSE)</f>
        <v>25</v>
      </c>
      <c r="H109" s="51" cm="1">
        <f t="array" ref="H109">IFERROR(VLOOKUP(B109,ADP!A1:F671,6,FALSE)/1000000,VLOOKUP(B109,ADP!A1:F671,6,FALSE))</f>
        <v>7.75</v>
      </c>
      <c r="I109" s="52">
        <f>IF(Settings!$E$15="POINTS",((R109*Q109)*Settings!$B$12)+(S109*Settings!$B$2)+(T109*Settings!$B$3)+(U109*Settings!$B$4)+(V109*Settings!$B$5)+(X109*Settings!$B$9)+(AA109*Settings!$B$6)+(W109*Settings!$B$8)+(AB109*Settings!$B$7)+(AC109*Settings!$B$14)+(AD109*Settings!$B$15)+(AE109*Settings!$B$16)+(AF109*Settings!$B$17)+(AG109*Settings!$B$18)+(Y109*Settings!$B$10)+(Z109*Settings!$B$11),VLOOKUP(B109,'Standard Deviations'!A$1:C$672,3,FALSE))</f>
        <v>6.8566941417719347</v>
      </c>
      <c r="J109" s="53" cm="1">
        <f t="array" ref="J109">IF(D109="G",I109/AJ109,I109/Q109)</f>
        <v>9.1422588556959131E-2</v>
      </c>
      <c r="K109" s="52" cm="1">
        <f t="array" ref="K109">IF(Settings!$E$18="C/LW/RW",VLOOKUP(B109,LW!A1:F210,6,FALSE),VLOOKUP(B109,F!A1:F407,6,FALSE))</f>
        <v>-3.7691502617875017E-2</v>
      </c>
      <c r="L109" s="54" cm="1">
        <f t="array" ref="L109">IFERROR(K109/H109,"N/A")</f>
        <v>-4.8634196926290348E-3</v>
      </c>
      <c r="M109" s="55">
        <v>105.6</v>
      </c>
      <c r="N109" s="55" cm="1">
        <f t="array" ref="N109">IFERROR(M109-A109,"N/A")</f>
        <v>2.5999999999999943</v>
      </c>
      <c r="O109" s="55"/>
      <c r="P109" s="56" cm="1">
        <f t="array" ref="P109">_xlfn.XLOOKUP($B109,ADP!A2:A671,ADP!G2:G671)</f>
        <v>0</v>
      </c>
      <c r="Q109" s="57" cm="1">
        <f t="array" ref="Q109">IF(Settings!$E$12="YES",VLOOKUP(B109,'Player Data'!A1:E673,5,FALSE),84)</f>
        <v>75</v>
      </c>
      <c r="R109" s="55" cm="1">
        <f t="array" ref="R109">VLOOKUP(B109,'Player Data'!$A1:$AE673,6,FALSE)</f>
        <v>18.7</v>
      </c>
      <c r="S109" s="57" cm="1">
        <f t="array" ref="S109">VLOOKUP(B109,'Player Data'!$A1:$AE673,7,FALSE)*$Q109*IFERROR((VLOOKUP(P109,Settings!$E$28:$F$33,2,FALSE)+1),1)</f>
        <v>30</v>
      </c>
      <c r="T109" s="57" cm="1">
        <f t="array" ref="T109">VLOOKUP(B109,'Player Data'!$A1:$AE673,8,FALSE)*$Q109*IFERROR((VLOOKUP(P109,Settings!$E$28:$F$33,2,FALSE)+1),1)</f>
        <v>40.5</v>
      </c>
      <c r="U109" s="57" cm="1">
        <f t="array" ref="U109">SUM(S109:T109)</f>
        <v>70.5</v>
      </c>
      <c r="V109" s="57" cm="1">
        <f t="array" ref="V109">VLOOKUP(B109,'Player Data'!$A1:$AE673,10,FALSE)*$Q109*IFERROR(((VLOOKUP(P109,Settings!$E$28:$F$33,2,FALSE)/2)+1),1)</f>
        <v>210</v>
      </c>
      <c r="W109" s="57" cm="1">
        <f t="array" ref="W109">VLOOKUP(B109,'Player Data'!$A1:$AE673,11,FALSE)*$Q109*IFERROR((VLOOKUP(P109,Settings!$E$28:$F$33,2,FALSE)+1),1)</f>
        <v>7.5</v>
      </c>
      <c r="X109" s="78" cm="1">
        <f t="array" ref="X109">VLOOKUP(B109,'Player Data'!$A1:$AE673,12,FALSE)*$Q109*IFERROR((VLOOKUP(P109,Settings!$E$28:$F$33,2,FALSE)+1),1)</f>
        <v>16.5</v>
      </c>
      <c r="Y109" s="57" cm="1">
        <f t="array" ref="Y109">VLOOKUP(B109,'Player Data'!$A1:$AE673,13,FALSE)*$Q109</f>
        <v>0</v>
      </c>
      <c r="Z109" s="57" cm="1">
        <f t="array" ref="Z109">VLOOKUP(B109,'Player Data'!$A1:$AE673,14,FALSE)*$Q109</f>
        <v>0</v>
      </c>
      <c r="AA109" s="57" cm="1">
        <f t="array" ref="AA109">VLOOKUP(B109,'Player Data'!$A1:$AE673,15,FALSE)*$Q109</f>
        <v>50.25</v>
      </c>
      <c r="AB109" s="57" cm="1">
        <f t="array" ref="AB109">VLOOKUP(B109,'Player Data'!$A1:$AE673,16,FALSE)*$Q109</f>
        <v>153</v>
      </c>
      <c r="AC109" s="57" cm="1">
        <f t="array" ref="AC109">VLOOKUP(B109,'Player Data'!$A1:$AE673,17,FALSE)*$Q109*IFERROR((VLOOKUP(P109,Settings!$E$28:$F$33,2,FALSE)+1),1)</f>
        <v>2.25</v>
      </c>
      <c r="AD109" s="57" cm="1">
        <f t="array" ref="AD109">VLOOKUP(B109,'Player Data'!$A1:$AE673,18,FALSE)*$Q109</f>
        <v>26.25</v>
      </c>
      <c r="AE109" s="57" cm="1">
        <f t="array" ref="AE109">VLOOKUP(B109,'Player Data'!$A1:$AE673,19,FALSE)*$Q109*IFERROR((VLOOKUP(P109,Settings!$E$28:$F$33,2,FALSE)+1),1)</f>
        <v>4.5</v>
      </c>
      <c r="AF109" s="57" cm="1">
        <f t="array" ref="AF109">VLOOKUP(B109,'Player Data'!$A1:$AE673,20,FALSE)*$Q109</f>
        <v>41.25</v>
      </c>
      <c r="AG109" s="57" cm="1">
        <f t="array" ref="AG109">VLOOKUP(B109,'Player Data'!$A1:$AE673,21,FALSE)*$Q109</f>
        <v>43.5</v>
      </c>
      <c r="AH109" s="59" cm="1">
        <f t="array" ref="AH109">VLOOKUP(B109,'Player Data'!$A1:$AE673,22,FALSE)</f>
        <v>0.49</v>
      </c>
      <c r="AI109" s="55"/>
      <c r="AJ109" s="57"/>
      <c r="AK109" s="57"/>
      <c r="AL109" s="57"/>
      <c r="AM109" s="57"/>
      <c r="AN109" s="57"/>
      <c r="AO109" s="57"/>
      <c r="AP109" s="57"/>
      <c r="AQ109" s="60"/>
      <c r="AR109" s="61"/>
      <c r="AS109" s="55"/>
    </row>
    <row r="110" spans="1:45" ht="21.25" customHeight="1" x14ac:dyDescent="0.15">
      <c r="A110" s="62">
        <f>RANK(K110,K$2:K$671)</f>
        <v>131</v>
      </c>
      <c r="B110" s="10" t="s">
        <v>244</v>
      </c>
      <c r="C110" s="47" t="s">
        <v>145</v>
      </c>
      <c r="D110" s="48" t="str" cm="1">
        <f t="array" ref="D110">VLOOKUP(B110,'Player Data'!A1:D673,4,FALSE)</f>
        <v>D</v>
      </c>
      <c r="E110" s="68" cm="1">
        <f t="array" ref="E110">VLOOKUP(B110,D!A1:C204,3,FALSE)</f>
        <v>46</v>
      </c>
      <c r="F110" s="63" t="str" cm="1">
        <f t="array" ref="F110">VLOOKUP(B110,'Player Data'!A1:B673,2,FALSE)</f>
        <v>VGK</v>
      </c>
      <c r="G110" s="11" cm="1">
        <f t="array" ref="G110">VLOOKUP(B110,'Player Data'!A1:D673,3,FALSE)</f>
        <v>29</v>
      </c>
      <c r="H110" s="51" cm="1">
        <f t="array" ref="H110">IFERROR(VLOOKUP(B110,ADP!A1:F671,6,FALSE)/1000000,VLOOKUP(B110,ADP!A1:F671,6,FALSE))</f>
        <v>8.5</v>
      </c>
      <c r="I110" s="52">
        <f>IF(Settings!$E$15="POINTS",((R110*Q110)*Settings!$B$12)+(S110*Settings!$B$2)+(T110*Settings!$B$3)+(U110*Settings!$B$4)+(V110*Settings!$B$5)+(X110*Settings!$B$9)+(AA110*Settings!$B$6)+(W110*Settings!$B$8)+(AB110*Settings!$B$7)+(AC110*Settings!$B$14)+(AD110*Settings!$B$15)+(AE110*Settings!$B$16)+(AF110*Settings!$B$17)+(AG110*Settings!$B$18)+(U110*Settings!$B$13)+(Y110*Settings!$B$10)+(Z110*Settings!$B$11),VLOOKUP(B110,'Standard Deviations'!A$1:C$672,3,FALSE))</f>
        <v>-0.36553273758934934</v>
      </c>
      <c r="J110" s="53" cm="1">
        <f t="array" ref="J110">IF(D110="G",I110/AJ110,I110/Q110)</f>
        <v>-4.4040088866186666E-3</v>
      </c>
      <c r="K110" s="52" cm="1">
        <f t="array" ref="K110">VLOOKUP(B110,D!A1:F204,6,FALSE)</f>
        <v>-0.93238365210690377</v>
      </c>
      <c r="L110" s="54" cm="1">
        <f t="array" ref="L110">IFERROR(K110/H110,"N/A")</f>
        <v>-0.10969219436551809</v>
      </c>
      <c r="M110" s="55">
        <v>111.8</v>
      </c>
      <c r="N110" s="55" cm="1">
        <f t="array" ref="N110">IFERROR(M110-A110,"N/A")</f>
        <v>-19.200000000000003</v>
      </c>
      <c r="O110" s="55"/>
      <c r="P110" s="56" cm="1">
        <f t="array" ref="P110">_xlfn.XLOOKUP($B110,ADP!A2:A671,ADP!G2:G671)</f>
        <v>0</v>
      </c>
      <c r="Q110" s="57" cm="1">
        <f t="array" ref="Q110">IF(Settings!$E$12="YES",VLOOKUP(B110,'Player Data'!A1:E673,5,FALSE),84)</f>
        <v>83</v>
      </c>
      <c r="R110" s="83" cm="1">
        <f t="array" ref="R110">VLOOKUP(B110,'Player Data'!$A1:$AE673,6,FALSE)</f>
        <v>21.1</v>
      </c>
      <c r="S110" s="57" cm="1">
        <f t="array" ref="S110">VLOOKUP(B110,'Player Data'!$A1:$AE673,7,FALSE)*$Q110*IFERROR((VLOOKUP(P110,Settings!$E$28:$F$33,2,FALSE)+1),1)</f>
        <v>10.790000000000001</v>
      </c>
      <c r="T110" s="57" cm="1">
        <f t="array" ref="T110">VLOOKUP(B110,'Player Data'!$A1:$AE673,8,FALSE)*$Q110*IFERROR((VLOOKUP(P110,Settings!$E$28:$F$33,2,FALSE)+1),1)</f>
        <v>23.240000000000002</v>
      </c>
      <c r="U110" s="57" cm="1">
        <f t="array" ref="U110">SUM(S110:T110)</f>
        <v>34.03</v>
      </c>
      <c r="V110" s="57" cm="1">
        <f t="array" ref="V110">VLOOKUP(B110,'Player Data'!$A1:$AE673,10,FALSE)*$Q110*IFERROR(((VLOOKUP(P110,Settings!$E$28:$F$33,2,FALSE)/2)+1),1)</f>
        <v>150.23000000000002</v>
      </c>
      <c r="W110" s="57" cm="1">
        <f t="array" ref="W110">VLOOKUP(B110,'Player Data'!$A1:$AE673,11,FALSE)*$Q110*IFERROR((VLOOKUP(P110,Settings!$E$28:$F$33,2,FALSE)+1),1)</f>
        <v>1.6600000000000001</v>
      </c>
      <c r="X110" s="57" cm="1">
        <f t="array" ref="X110">VLOOKUP(B110,'Player Data'!$A1:$AE673,12,FALSE)*$Q110*IFERROR((VLOOKUP(P110,Settings!$E$28:$F$33,2,FALSE)+1),1)</f>
        <v>5.8100000000000005</v>
      </c>
      <c r="Y110" s="57" cm="1">
        <f t="array" ref="Y110">VLOOKUP(B110,'Player Data'!$A1:$AE673,13,FALSE)*$Q110</f>
        <v>0.83000000000000007</v>
      </c>
      <c r="Z110" s="57" cm="1">
        <f t="array" ref="Z110">VLOOKUP(B110,'Player Data'!$A1:$AE673,14,FALSE)*$Q110</f>
        <v>0.83000000000000007</v>
      </c>
      <c r="AA110" s="57" cm="1">
        <f t="array" ref="AA110">VLOOKUP(B110,'Player Data'!$A1:$AE673,15,FALSE)*$Q110</f>
        <v>149.4</v>
      </c>
      <c r="AB110" s="57" cm="1">
        <f t="array" ref="AB110">VLOOKUP(B110,'Player Data'!$A1:$AE673,16,FALSE)*$Q110</f>
        <v>44.82</v>
      </c>
      <c r="AC110" s="57" cm="1">
        <f t="array" ref="AC110">VLOOKUP(B110,'Player Data'!$A1:$AE673,17,FALSE)*$Q110*IFERROR((VLOOKUP(P110,Settings!$E$28:$F$33,2,FALSE)+1),1)</f>
        <v>3.3200000000000003</v>
      </c>
      <c r="AD110" s="57" cm="1">
        <f t="array" ref="AD110">VLOOKUP(B110,'Player Data'!$A1:$AE673,18,FALSE)*$Q110</f>
        <v>46.480000000000004</v>
      </c>
      <c r="AE110" s="57" cm="1">
        <f t="array" ref="AE110">VLOOKUP(B110,'Player Data'!$A1:$AE673,19,FALSE)*$Q110*IFERROR((VLOOKUP(P110,Settings!$E$28:$F$33,2,FALSE)+1),1)</f>
        <v>1.6600000000000001</v>
      </c>
      <c r="AF110" s="57" cm="1">
        <f t="array" ref="AF110">VLOOKUP(B110,'Player Data'!$A1:$AE673,20,FALSE)*$Q110</f>
        <v>0</v>
      </c>
      <c r="AG110" s="57" cm="1">
        <f t="array" ref="AG110">VLOOKUP(B110,'Player Data'!$A1:$AE673,21,FALSE)*$Q110</f>
        <v>0</v>
      </c>
      <c r="AH110" s="59" cm="1">
        <f t="array" ref="AH110">VLOOKUP(B110,'Player Data'!$A1:$AE673,22,FALSE)</f>
        <v>0</v>
      </c>
      <c r="AI110" s="55"/>
      <c r="AJ110" s="57"/>
      <c r="AK110" s="57"/>
      <c r="AL110" s="57"/>
      <c r="AM110" s="57"/>
      <c r="AN110" s="57"/>
      <c r="AO110" s="57"/>
      <c r="AP110" s="57"/>
      <c r="AQ110" s="60"/>
      <c r="AR110" s="61"/>
      <c r="AS110" s="55"/>
    </row>
    <row r="111" spans="1:45" ht="21.25" customHeight="1" x14ac:dyDescent="0.15">
      <c r="A111" s="62">
        <f>RANK(K111,K$2:K$671)</f>
        <v>94</v>
      </c>
      <c r="B111" s="10" t="s">
        <v>268</v>
      </c>
      <c r="C111" s="47" t="s">
        <v>145</v>
      </c>
      <c r="D111" s="48" t="str" cm="1">
        <f t="array" ref="D111">VLOOKUP(B111,'Player Data'!A1:D673,4,FALSE)</f>
        <v>LW,RW</v>
      </c>
      <c r="E111" s="74" cm="1">
        <f t="array" ref="E111">VLOOKUP(B111,RW!A1:F210,3,FALSE)</f>
        <v>21</v>
      </c>
      <c r="F111" s="63" t="str" cm="1">
        <f t="array" ref="F111">VLOOKUP(B111,'Player Data'!A1:B673,2,FALSE)</f>
        <v>EDM</v>
      </c>
      <c r="G111" s="66" cm="1">
        <f t="array" ref="G111">VLOOKUP(B111,'Player Data'!A1:D673,3,FALSE)</f>
        <v>34</v>
      </c>
      <c r="H111" s="51" cm="1">
        <f t="array" ref="H111">IFERROR(VLOOKUP(B111,ADP!A1:F671,6,FALSE)/1000000,VLOOKUP(B111,ADP!A1:F671,6,FALSE))</f>
        <v>5.5</v>
      </c>
      <c r="I111" s="52">
        <f>IF(Settings!$E$15="POINTS",((R111*Q111)*Settings!$B$12)+(S111*Settings!$B$2)+(T111*Settings!$B$3)+(U111*Settings!$B$4)+(V111*Settings!$B$5)+(X111*Settings!$B$9)+(AA111*Settings!$B$6)+(W111*Settings!$B$8)+(AB111*Settings!$B$7)+(AC111*Settings!$B$14)+(AD111*Settings!$B$15)+(AE111*Settings!$B$16)+(AF111*Settings!$B$17)+(AG111*Settings!$B$18)+(Y111*Settings!$B$10)+(Z111*Settings!$B$11),VLOOKUP(B111,'Standard Deviations'!A$1:C$672,3,FALSE))</f>
        <v>6.8943856443898097</v>
      </c>
      <c r="J111" s="53" cm="1">
        <f t="array" ref="J111">IF(D111="G",I111/AJ111,I111/Q111)</f>
        <v>8.8389559543459104E-2</v>
      </c>
      <c r="K111" s="52" cm="1">
        <f t="array" ref="K111">IF(Settings!$E$18="C/LW/RW",VLOOKUP(B111,RW!A1:F210,6,FALSE),VLOOKUP(B111,F!A1:F407,6,FALSE))</f>
        <v>7.1510425807321809E-3</v>
      </c>
      <c r="L111" s="54" cm="1">
        <f t="array" ref="L111">IFERROR(K111/H111,"N/A")</f>
        <v>1.3001895601331239E-3</v>
      </c>
      <c r="M111" s="55">
        <v>99</v>
      </c>
      <c r="N111" s="55" cm="1">
        <f t="array" ref="N111">IFERROR(M111-A111,"N/A")</f>
        <v>5</v>
      </c>
      <c r="O111" s="55"/>
      <c r="P111" s="56" cm="1">
        <f t="array" ref="P111">_xlfn.XLOOKUP($B111,ADP!A2:A671,ADP!G2:G671)</f>
        <v>0</v>
      </c>
      <c r="Q111" s="57" cm="1">
        <f t="array" ref="Q111">IF(Settings!$E$12="YES",VLOOKUP(B111,'Player Data'!A1:E673,5,FALSE),84)</f>
        <v>78</v>
      </c>
      <c r="R111" s="55" cm="1">
        <f t="array" ref="R111">VLOOKUP(B111,'Player Data'!$A1:$AE673,6,FALSE)</f>
        <v>19.899999999999999</v>
      </c>
      <c r="S111" s="57" cm="1">
        <f t="array" ref="S111">VLOOKUP(B111,'Player Data'!$A1:$AE673,7,FALSE)*$Q111*IFERROR((VLOOKUP(P111,Settings!$E$28:$F$33,2,FALSE)+1),1)</f>
        <v>36.659999999999997</v>
      </c>
      <c r="T111" s="57" cm="1">
        <f t="array" ref="T111">VLOOKUP(B111,'Player Data'!$A1:$AE673,8,FALSE)*$Q111*IFERROR((VLOOKUP(P111,Settings!$E$28:$F$33,2,FALSE)+1),1)</f>
        <v>24.96</v>
      </c>
      <c r="U111" s="57" cm="1">
        <f t="array" ref="U111">SUM(S111:T111)</f>
        <v>61.62</v>
      </c>
      <c r="V111" s="57" cm="1">
        <f t="array" ref="V111">VLOOKUP(B111,'Player Data'!$A1:$AE673,10,FALSE)*$Q111*IFERROR(((VLOOKUP(P111,Settings!$E$28:$F$33,2,FALSE)/2)+1),1)</f>
        <v>229.32</v>
      </c>
      <c r="W111" s="58" cm="1">
        <f t="array" ref="W111">VLOOKUP(B111,'Player Data'!$A1:$AE673,11,FALSE)*$Q111*IFERROR((VLOOKUP(P111,Settings!$E$28:$F$33,2,FALSE)+1),1)</f>
        <v>11.7</v>
      </c>
      <c r="X111" s="57" cm="1">
        <f t="array" ref="X111">VLOOKUP(B111,'Player Data'!$A1:$AE673,12,FALSE)*$Q111*IFERROR((VLOOKUP(P111,Settings!$E$28:$F$33,2,FALSE)+1),1)</f>
        <v>19.5</v>
      </c>
      <c r="Y111" s="57" cm="1">
        <f t="array" ref="Y111">VLOOKUP(B111,'Player Data'!$A1:$AE673,13,FALSE)*$Q111</f>
        <v>0</v>
      </c>
      <c r="Z111" s="57" cm="1">
        <f t="array" ref="Z111">VLOOKUP(B111,'Player Data'!$A1:$AE673,14,FALSE)*$Q111</f>
        <v>0</v>
      </c>
      <c r="AA111" s="57" cm="1">
        <f t="array" ref="AA111">VLOOKUP(B111,'Player Data'!$A1:$AE673,15,FALSE)*$Q111</f>
        <v>28.08</v>
      </c>
      <c r="AB111" s="57" cm="1">
        <f t="array" ref="AB111">VLOOKUP(B111,'Player Data'!$A1:$AE673,16,FALSE)*$Q111</f>
        <v>69.42</v>
      </c>
      <c r="AC111" s="57" cm="1">
        <f t="array" ref="AC111">VLOOKUP(B111,'Player Data'!$A1:$AE673,17,FALSE)*$Q111*IFERROR((VLOOKUP(P111,Settings!$E$28:$F$33,2,FALSE)+1),1)</f>
        <v>9.36</v>
      </c>
      <c r="AD111" s="57" cm="1">
        <f t="array" ref="AD111">VLOOKUP(B111,'Player Data'!$A1:$AE673,18,FALSE)*$Q111</f>
        <v>39.78</v>
      </c>
      <c r="AE111" s="57" cm="1">
        <f t="array" ref="AE111">VLOOKUP(B111,'Player Data'!$A1:$AE673,19,FALSE)*$Q111*IFERROR((VLOOKUP(P111,Settings!$E$28:$F$33,2,FALSE)+1),1)</f>
        <v>6.24</v>
      </c>
      <c r="AF111" s="57" cm="1">
        <f t="array" ref="AF111">VLOOKUP(B111,'Player Data'!$A1:$AE673,20,FALSE)*$Q111</f>
        <v>1.56</v>
      </c>
      <c r="AG111" s="57" cm="1">
        <f t="array" ref="AG111">VLOOKUP(B111,'Player Data'!$A1:$AE673,21,FALSE)*$Q111</f>
        <v>3.12</v>
      </c>
      <c r="AH111" s="59" cm="1">
        <f t="array" ref="AH111">VLOOKUP(B111,'Player Data'!$A1:$AE673,22,FALSE)</f>
        <v>0.27</v>
      </c>
      <c r="AI111" s="55"/>
      <c r="AJ111" s="57"/>
      <c r="AK111" s="57"/>
      <c r="AL111" s="57"/>
      <c r="AM111" s="57"/>
      <c r="AN111" s="57"/>
      <c r="AO111" s="57"/>
      <c r="AP111" s="57"/>
      <c r="AQ111" s="60"/>
      <c r="AR111" s="61"/>
      <c r="AS111" s="55"/>
    </row>
    <row r="112" spans="1:45" ht="21.25" customHeight="1" x14ac:dyDescent="0.15">
      <c r="A112" s="62">
        <f>RANK(K112,K$2:K$671)</f>
        <v>96</v>
      </c>
      <c r="B112" s="10" t="s">
        <v>174</v>
      </c>
      <c r="C112" s="47" t="s">
        <v>145</v>
      </c>
      <c r="D112" s="48" t="str" cm="1">
        <f t="array" ref="D112">VLOOKUP(B112,'Player Data'!A1:D673,4,FALSE)</f>
        <v>LW,RW</v>
      </c>
      <c r="E112" s="74" cm="1">
        <f t="array" ref="E112">VLOOKUP(B112,RW!A1:F210,3,FALSE)</f>
        <v>22</v>
      </c>
      <c r="F112" s="72" t="str" cm="1">
        <f t="array" ref="F112">VLOOKUP(B112,'Player Data'!A1:B673,2,FALSE)</f>
        <v>DET</v>
      </c>
      <c r="G112" s="11" cm="1">
        <f t="array" ref="G112">VLOOKUP(B112,'Player Data'!A1:D673,3,FALSE)</f>
        <v>28</v>
      </c>
      <c r="H112" s="67" cm="1">
        <f t="array" ref="H112">IFERROR(VLOOKUP(B112,ADP!A1:F671,6,FALSE)/1000000,VLOOKUP(B112,ADP!A1:F671,6,FALSE))</f>
        <v>7.875</v>
      </c>
      <c r="I112" s="52">
        <f>IF(Settings!$E$15="POINTS",((R112*Q112)*Settings!$B$12)+(S112*Settings!$B$2)+(T112*Settings!$B$3)+(U112*Settings!$B$4)+(V112*Settings!$B$5)+(X112*Settings!$B$9)+(AA112*Settings!$B$6)+(W112*Settings!$B$8)+(AB112*Settings!$B$7)+(AC112*Settings!$B$14)+(AD112*Settings!$B$15)+(AE112*Settings!$B$16)+(AF112*Settings!$B$17)+(AG112*Settings!$B$18)+(Y112*Settings!$B$10)+(Z112*Settings!$B$11),VLOOKUP(B112,'Standard Deviations'!A$1:C$672,3,FALSE))</f>
        <v>6.8872346018090775</v>
      </c>
      <c r="J112" s="53" cm="1">
        <f t="array" ref="J112">IF(D112="G",I112/AJ112,I112/Q112)</f>
        <v>8.1990888116774727E-2</v>
      </c>
      <c r="K112" s="52" cm="1">
        <f t="array" ref="K112">IF(Settings!$E$18="C/LW/RW",VLOOKUP(B112,RW!A1:F210,6,FALSE),VLOOKUP(B112,F!A1:F407,6,FALSE))</f>
        <v>0</v>
      </c>
      <c r="L112" s="54" cm="1">
        <f t="array" ref="L112">IFERROR(K112/H112,"N/A")</f>
        <v>0</v>
      </c>
      <c r="M112" s="55">
        <v>42.1</v>
      </c>
      <c r="N112" s="55" cm="1">
        <f t="array" ref="N112">IFERROR(M112-A112,"N/A")</f>
        <v>-53.9</v>
      </c>
      <c r="O112" s="55"/>
      <c r="P112" s="56" cm="1">
        <f t="array" ref="P112">_xlfn.XLOOKUP($B112,ADP!A2:A671,ADP!G2:G671)</f>
        <v>0</v>
      </c>
      <c r="Q112" s="57" cm="1">
        <f t="array" ref="Q112">IF(Settings!$E$12="YES",VLOOKUP(B112,'Player Data'!A1:E673,5,FALSE),84)</f>
        <v>84</v>
      </c>
      <c r="R112" s="55" cm="1">
        <f t="array" ref="R112">VLOOKUP(B112,'Player Data'!$A1:$AE673,6,FALSE)</f>
        <v>18.399999999999999</v>
      </c>
      <c r="S112" s="57" cm="1">
        <f t="array" ref="S112">VLOOKUP(B112,'Player Data'!$A1:$AE673,7,FALSE)*$Q112*IFERROR((VLOOKUP(P112,Settings!$E$28:$F$33,2,FALSE)+1),1)</f>
        <v>36.96</v>
      </c>
      <c r="T112" s="57" cm="1">
        <f t="array" ref="T112">VLOOKUP(B112,'Player Data'!$A1:$AE673,8,FALSE)*$Q112*IFERROR((VLOOKUP(P112,Settings!$E$28:$F$33,2,FALSE)+1),1)</f>
        <v>40.32</v>
      </c>
      <c r="U112" s="57" cm="1">
        <f t="array" ref="U112">SUM(S112:T112)</f>
        <v>77.28</v>
      </c>
      <c r="V112" s="57" cm="1">
        <f t="array" ref="V112">VLOOKUP(B112,'Player Data'!$A1:$AE673,10,FALSE)*$Q112*IFERROR(((VLOOKUP(P112,Settings!$E$28:$F$33,2,FALSE)/2)+1),1)</f>
        <v>273</v>
      </c>
      <c r="W112" s="58" cm="1">
        <f t="array" ref="W112">VLOOKUP(B112,'Player Data'!$A1:$AE673,11,FALSE)*$Q112*IFERROR((VLOOKUP(P112,Settings!$E$28:$F$33,2,FALSE)+1),1)</f>
        <v>13.44</v>
      </c>
      <c r="X112" s="57" cm="1">
        <f t="array" ref="X112">VLOOKUP(B112,'Player Data'!$A1:$AE673,12,FALSE)*$Q112*IFERROR((VLOOKUP(P112,Settings!$E$28:$F$33,2,FALSE)+1),1)</f>
        <v>24.36</v>
      </c>
      <c r="Y112" s="57" cm="1">
        <f t="array" ref="Y112">VLOOKUP(B112,'Player Data'!$A1:$AE673,13,FALSE)*$Q112</f>
        <v>0</v>
      </c>
      <c r="Z112" s="57" cm="1">
        <f t="array" ref="Z112">VLOOKUP(B112,'Player Data'!$A1:$AE673,14,FALSE)*$Q112</f>
        <v>0</v>
      </c>
      <c r="AA112" s="57" cm="1">
        <f t="array" ref="AA112">VLOOKUP(B112,'Player Data'!$A1:$AE673,15,FALSE)*$Q112</f>
        <v>40.32</v>
      </c>
      <c r="AB112" s="57" cm="1">
        <f t="array" ref="AB112">VLOOKUP(B112,'Player Data'!$A1:$AE673,16,FALSE)*$Q112</f>
        <v>44.52</v>
      </c>
      <c r="AC112" s="57" cm="1">
        <f t="array" ref="AC112">VLOOKUP(B112,'Player Data'!$A1:$AE673,17,FALSE)*$Q112*IFERROR((VLOOKUP(P112,Settings!$E$28:$F$33,2,FALSE)+1),1)</f>
        <v>0.84</v>
      </c>
      <c r="AD112" s="57" cm="1">
        <f t="array" ref="AD112">VLOOKUP(B112,'Player Data'!$A1:$AE673,18,FALSE)*$Q112</f>
        <v>29.4</v>
      </c>
      <c r="AE112" s="57" cm="1">
        <f t="array" ref="AE112">VLOOKUP(B112,'Player Data'!$A1:$AE673,19,FALSE)*$Q112*IFERROR((VLOOKUP(P112,Settings!$E$28:$F$33,2,FALSE)+1),1)</f>
        <v>5.8800000000000008</v>
      </c>
      <c r="AF112" s="57" cm="1">
        <f t="array" ref="AF112">VLOOKUP(B112,'Player Data'!$A1:$AE673,20,FALSE)*$Q112</f>
        <v>21</v>
      </c>
      <c r="AG112" s="57" cm="1">
        <f t="array" ref="AG112">VLOOKUP(B112,'Player Data'!$A1:$AE673,21,FALSE)*$Q112</f>
        <v>30.24</v>
      </c>
      <c r="AH112" s="59" cm="1">
        <f t="array" ref="AH112">VLOOKUP(B112,'Player Data'!$A1:$AE673,22,FALSE)</f>
        <v>0.41</v>
      </c>
      <c r="AI112" s="55"/>
      <c r="AJ112" s="57"/>
      <c r="AK112" s="57"/>
      <c r="AL112" s="57"/>
      <c r="AM112" s="57"/>
      <c r="AN112" s="57"/>
      <c r="AO112" s="57"/>
      <c r="AP112" s="57"/>
      <c r="AQ112" s="60"/>
      <c r="AR112" s="61"/>
      <c r="AS112" s="55"/>
    </row>
    <row r="113" spans="1:45" ht="21.25" customHeight="1" x14ac:dyDescent="0.15">
      <c r="A113" s="62">
        <f>RANK(K113,K$2:K$671)</f>
        <v>100</v>
      </c>
      <c r="B113" s="10" t="s">
        <v>204</v>
      </c>
      <c r="C113" s="47" t="s">
        <v>145</v>
      </c>
      <c r="D113" s="48" t="str" cm="1">
        <f t="array" ref="D113">VLOOKUP(B113,'Player Data'!A1:D673,4,FALSE)</f>
        <v>RW</v>
      </c>
      <c r="E113" s="64" cm="1">
        <f t="array" ref="E113">VLOOKUP(B113,RW!A1:F210,3,FALSE)</f>
        <v>23</v>
      </c>
      <c r="F113" s="69" t="str" cm="1">
        <f t="array" ref="F113">VLOOKUP(B113,'Player Data'!A1:B673,2,FALSE)</f>
        <v>CBJ</v>
      </c>
      <c r="G113" s="11" cm="1">
        <f t="array" ref="G113">VLOOKUP(B113,'Player Data'!A1:D673,3,FALSE)</f>
        <v>26</v>
      </c>
      <c r="H113" s="67" cm="1">
        <f t="array" ref="H113">IFERROR(VLOOKUP(B113,ADP!A1:F671,6,FALSE)/1000000,VLOOKUP(B113,ADP!A1:F671,6,FALSE))</f>
        <v>3.85</v>
      </c>
      <c r="I113" s="52">
        <f>IF(Settings!$E$15="POINTS",((R113*Q113)*Settings!$B$12)+(S113*Settings!$B$2)+(T113*Settings!$B$3)+(U113*Settings!$B$4)+(V113*Settings!$B$5)+(X113*Settings!$B$9)+(AA113*Settings!$B$6)+(W113*Settings!$B$8)+(AB113*Settings!$B$7)+(AC113*Settings!$B$14)+(AD113*Settings!$B$15)+(AE113*Settings!$B$16)+(AF113*Settings!$B$17)+(AG113*Settings!$B$18)+(Y113*Settings!$B$10)+(Z113*Settings!$B$11),VLOOKUP(B113,'Standard Deviations'!A$1:C$672,3,FALSE))</f>
        <v>6.8789598675774295</v>
      </c>
      <c r="J113" s="53" cm="1">
        <f t="array" ref="J113">IF(D113="G",I113/AJ113,I113/Q113)</f>
        <v>8.3889754482651582E-2</v>
      </c>
      <c r="K113" s="52" cm="1">
        <f t="array" ref="K113">IF(Settings!$E$18="C/LW/RW",VLOOKUP(B113,RW!A1:F210,6,FALSE),VLOOKUP(B113,F!A1:F407,6,FALSE))</f>
        <v>-8.2747342316480399E-3</v>
      </c>
      <c r="L113" s="54" cm="1">
        <f t="array" ref="L113">IFERROR(K113/H113,"N/A")</f>
        <v>-2.1492816186098806E-3</v>
      </c>
      <c r="M113" s="55">
        <v>60.4</v>
      </c>
      <c r="N113" s="55" cm="1">
        <f t="array" ref="N113">IFERROR(M113-A113,"N/A")</f>
        <v>-39.6</v>
      </c>
      <c r="O113" s="55"/>
      <c r="P113" s="56" cm="1">
        <f t="array" ref="P113">_xlfn.XLOOKUP($B113,ADP!A2:A671,ADP!G2:G671)</f>
        <v>0</v>
      </c>
      <c r="Q113" s="57" cm="1">
        <f t="array" ref="Q113">IF(Settings!$E$12="YES",VLOOKUP(B113,'Player Data'!A1:E673,5,FALSE),84)</f>
        <v>82</v>
      </c>
      <c r="R113" s="55" cm="1">
        <f t="array" ref="R113">VLOOKUP(B113,'Player Data'!$A1:$AE673,6,FALSE)</f>
        <v>19.2</v>
      </c>
      <c r="S113" s="57" cm="1">
        <f t="array" ref="S113">VLOOKUP(B113,'Player Data'!$A1:$AE673,7,FALSE)*$Q113*IFERROR((VLOOKUP(P113,Settings!$E$28:$F$33,2,FALSE)+1),1)</f>
        <v>30.34</v>
      </c>
      <c r="T113" s="57" cm="1">
        <f t="array" ref="T113">VLOOKUP(B113,'Player Data'!$A1:$AE673,8,FALSE)*$Q113*IFERROR((VLOOKUP(P113,Settings!$E$28:$F$33,2,FALSE)+1),1)</f>
        <v>43.46</v>
      </c>
      <c r="U113" s="57" cm="1">
        <f t="array" ref="U113">SUM(S113:T113)</f>
        <v>73.8</v>
      </c>
      <c r="V113" s="57" cm="1">
        <f t="array" ref="V113">VLOOKUP(B113,'Player Data'!$A1:$AE673,10,FALSE)*$Q113*IFERROR(((VLOOKUP(P113,Settings!$E$28:$F$33,2,FALSE)/2)+1),1)</f>
        <v>234.51999999999998</v>
      </c>
      <c r="W113" s="58" cm="1">
        <f t="array" ref="W113">VLOOKUP(B113,'Player Data'!$A1:$AE673,11,FALSE)*$Q113*IFERROR((VLOOKUP(P113,Settings!$E$28:$F$33,2,FALSE)+1),1)</f>
        <v>7.38</v>
      </c>
      <c r="X113" s="57" cm="1">
        <f t="array" ref="X113">VLOOKUP(B113,'Player Data'!$A1:$AE673,12,FALSE)*$Q113*IFERROR((VLOOKUP(P113,Settings!$E$28:$F$33,2,FALSE)+1),1)</f>
        <v>24.599999999999998</v>
      </c>
      <c r="Y113" s="57" cm="1">
        <f t="array" ref="Y113">VLOOKUP(B113,'Player Data'!$A1:$AE673,13,FALSE)*$Q113</f>
        <v>0</v>
      </c>
      <c r="Z113" s="57" cm="1">
        <f t="array" ref="Z113">VLOOKUP(B113,'Player Data'!$A1:$AE673,14,FALSE)*$Q113</f>
        <v>0</v>
      </c>
      <c r="AA113" s="57" cm="1">
        <f t="array" ref="AA113">VLOOKUP(B113,'Player Data'!$A1:$AE673,15,FALSE)*$Q113</f>
        <v>42.64</v>
      </c>
      <c r="AB113" s="57" cm="1">
        <f t="array" ref="AB113">VLOOKUP(B113,'Player Data'!$A1:$AE673,16,FALSE)*$Q113</f>
        <v>62.32</v>
      </c>
      <c r="AC113" s="57" cm="1">
        <f t="array" ref="AC113">VLOOKUP(B113,'Player Data'!$A1:$AE673,17,FALSE)*$Q113*IFERROR((VLOOKUP(P113,Settings!$E$28:$F$33,2,FALSE)+1),1)</f>
        <v>4.1000000000000005</v>
      </c>
      <c r="AD113" s="57" cm="1">
        <f t="array" ref="AD113">VLOOKUP(B113,'Player Data'!$A1:$AE673,18,FALSE)*$Q113</f>
        <v>29.52</v>
      </c>
      <c r="AE113" s="57" cm="1">
        <f t="array" ref="AE113">VLOOKUP(B113,'Player Data'!$A1:$AE673,19,FALSE)*$Q113*IFERROR((VLOOKUP(P113,Settings!$E$28:$F$33,2,FALSE)+1),1)</f>
        <v>4.92</v>
      </c>
      <c r="AF113" s="57" cm="1">
        <f t="array" ref="AF113">VLOOKUP(B113,'Player Data'!$A1:$AE673,20,FALSE)*$Q113</f>
        <v>9.84</v>
      </c>
      <c r="AG113" s="57" cm="1">
        <f t="array" ref="AG113">VLOOKUP(B113,'Player Data'!$A1:$AE673,21,FALSE)*$Q113</f>
        <v>15.58</v>
      </c>
      <c r="AH113" s="59" cm="1">
        <f t="array" ref="AH113">VLOOKUP(B113,'Player Data'!$A1:$AE673,22,FALSE)</f>
        <v>0.4</v>
      </c>
      <c r="AI113" s="55"/>
      <c r="AJ113" s="57"/>
      <c r="AK113" s="57"/>
      <c r="AL113" s="57"/>
      <c r="AM113" s="57"/>
      <c r="AN113" s="57"/>
      <c r="AO113" s="57"/>
      <c r="AP113" s="57"/>
      <c r="AQ113" s="60"/>
      <c r="AR113" s="61"/>
      <c r="AS113" s="55"/>
    </row>
    <row r="114" spans="1:45" ht="21.25" customHeight="1" x14ac:dyDescent="0.15">
      <c r="A114" s="62">
        <f>RANK(K114,K$2:K$671)</f>
        <v>133</v>
      </c>
      <c r="B114" s="10" t="s">
        <v>247</v>
      </c>
      <c r="C114" s="47" t="s">
        <v>145</v>
      </c>
      <c r="D114" s="48" t="str" cm="1">
        <f t="array" ref="D114">VLOOKUP(B114,'Player Data'!A1:D673,4,FALSE)</f>
        <v>D</v>
      </c>
      <c r="E114" s="68" cm="1">
        <f t="array" ref="E114">VLOOKUP(B114,D!A1:C204,3,FALSE)</f>
        <v>47</v>
      </c>
      <c r="F114" s="56" t="str" cm="1">
        <f t="array" ref="F114">VLOOKUP(B114,'Player Data'!A1:B673,2,FALSE)</f>
        <v>S.J</v>
      </c>
      <c r="G114" s="66" cm="1">
        <f t="array" ref="G114">VLOOKUP(B114,'Player Data'!A1:D673,3,FALSE)</f>
        <v>35</v>
      </c>
      <c r="H114" s="67" cm="1">
        <f t="array" ref="H114">IFERROR(VLOOKUP(B114,ADP!A1:F671,6,FALSE)/1000000,VLOOKUP(B114,ADP!A1:F671,6,FALSE))</f>
        <v>6.5</v>
      </c>
      <c r="I114" s="52">
        <f>IF(Settings!$E$15="POINTS",((R114*Q114)*Settings!$B$12)+(S114*Settings!$B$2)+(T114*Settings!$B$3)+(U114*Settings!$B$4)+(V114*Settings!$B$5)+(X114*Settings!$B$9)+(AA114*Settings!$B$6)+(W114*Settings!$B$8)+(AB114*Settings!$B$7)+(AC114*Settings!$B$14)+(AD114*Settings!$B$15)+(AE114*Settings!$B$16)+(AF114*Settings!$B$17)+(AG114*Settings!$B$18)+(U114*Settings!$B$13)+(Y114*Settings!$B$10)+(Z114*Settings!$B$11),VLOOKUP(B114,'Standard Deviations'!A$1:C$672,3,FALSE))</f>
        <v>-0.38602041544637899</v>
      </c>
      <c r="J114" s="53" cm="1">
        <f t="array" ref="J114">IF(D114="G",I114/AJ114,I114/Q114)</f>
        <v>-4.6508483788720361E-3</v>
      </c>
      <c r="K114" s="52" cm="1">
        <f t="array" ref="K114">VLOOKUP(B114,D!A1:F204,6,FALSE)</f>
        <v>-0.95287132996393342</v>
      </c>
      <c r="L114" s="54" cm="1">
        <f t="array" ref="L114">IFERROR(K114/H114,"N/A")</f>
        <v>-0.14659558922522054</v>
      </c>
      <c r="M114" s="84" t="s">
        <v>828</v>
      </c>
      <c r="N114" s="84" t="str" cm="1">
        <f t="array" ref="N114">IFERROR(M114-A114,"N/A")</f>
        <v>N/A</v>
      </c>
      <c r="O114" s="55"/>
      <c r="P114" s="56" cm="1">
        <f t="array" ref="P114">_xlfn.XLOOKUP($B114,ADP!A2:A671,ADP!G2:G671)</f>
        <v>0</v>
      </c>
      <c r="Q114" s="57" cm="1">
        <f t="array" ref="Q114">IF(Settings!$E$12="YES",VLOOKUP(B114,'Player Data'!A1:E673,5,FALSE),84)</f>
        <v>83</v>
      </c>
      <c r="R114" s="81" cm="1">
        <f t="array" ref="R114">VLOOKUP(B114,'Player Data'!$A1:$AE673,6,FALSE)</f>
        <v>22.6</v>
      </c>
      <c r="S114" s="57" cm="1">
        <f t="array" ref="S114">VLOOKUP(B114,'Player Data'!$A1:$AE673,7,FALSE)*$Q114*IFERROR((VLOOKUP(P114,Settings!$E$28:$F$33,2,FALSE)+1),1)</f>
        <v>4.9799999999999995</v>
      </c>
      <c r="T114" s="57" cm="1">
        <f t="array" ref="T114">VLOOKUP(B114,'Player Data'!$A1:$AE673,8,FALSE)*$Q114*IFERROR((VLOOKUP(P114,Settings!$E$28:$F$33,2,FALSE)+1),1)</f>
        <v>31.54</v>
      </c>
      <c r="U114" s="57" cm="1">
        <f t="array" ref="U114">SUM(S114:T114)</f>
        <v>36.519999999999996</v>
      </c>
      <c r="V114" s="57" cm="1">
        <f t="array" ref="V114">VLOOKUP(B114,'Player Data'!$A1:$AE673,10,FALSE)*$Q114*IFERROR(((VLOOKUP(P114,Settings!$E$28:$F$33,2,FALSE)/2)+1),1)</f>
        <v>107.07000000000001</v>
      </c>
      <c r="W114" s="57" cm="1">
        <f t="array" ref="W114">VLOOKUP(B114,'Player Data'!$A1:$AE673,11,FALSE)*$Q114*IFERROR((VLOOKUP(P114,Settings!$E$28:$F$33,2,FALSE)+1),1)</f>
        <v>0.83000000000000007</v>
      </c>
      <c r="X114" s="78" cm="1">
        <f t="array" ref="X114">VLOOKUP(B114,'Player Data'!$A1:$AE673,12,FALSE)*$Q114*IFERROR((VLOOKUP(P114,Settings!$E$28:$F$33,2,FALSE)+1),1)</f>
        <v>13.280000000000001</v>
      </c>
      <c r="Y114" s="57" cm="1">
        <f t="array" ref="Y114">VLOOKUP(B114,'Player Data'!$A1:$AE673,13,FALSE)*$Q114</f>
        <v>0</v>
      </c>
      <c r="Z114" s="57" cm="1">
        <f t="array" ref="Z114">VLOOKUP(B114,'Player Data'!$A1:$AE673,14,FALSE)*$Q114</f>
        <v>0</v>
      </c>
      <c r="AA114" s="57" cm="1">
        <f t="array" ref="AA114">VLOOKUP(B114,'Player Data'!$A1:$AE673,15,FALSE)*$Q114</f>
        <v>85.490000000000009</v>
      </c>
      <c r="AB114" s="57" cm="1">
        <f t="array" ref="AB114">VLOOKUP(B114,'Player Data'!$A1:$AE673,16,FALSE)*$Q114</f>
        <v>113.71000000000001</v>
      </c>
      <c r="AC114" s="57" cm="1">
        <f t="array" ref="AC114">VLOOKUP(B114,'Player Data'!$A1:$AE673,17,FALSE)*$Q114*IFERROR((VLOOKUP(P114,Settings!$E$28:$F$33,2,FALSE)+1),1)</f>
        <v>-3.3200000000000003</v>
      </c>
      <c r="AD114" s="57" cm="1">
        <f t="array" ref="AD114">VLOOKUP(B114,'Player Data'!$A1:$AE673,18,FALSE)*$Q114</f>
        <v>42.33</v>
      </c>
      <c r="AE114" s="57" cm="1">
        <f t="array" ref="AE114">VLOOKUP(B114,'Player Data'!$A1:$AE673,19,FALSE)*$Q114*IFERROR((VLOOKUP(P114,Settings!$E$28:$F$33,2,FALSE)+1),1)</f>
        <v>0.83000000000000007</v>
      </c>
      <c r="AF114" s="57" cm="1">
        <f t="array" ref="AF114">VLOOKUP(B114,'Player Data'!$A1:$AE673,20,FALSE)*$Q114</f>
        <v>0</v>
      </c>
      <c r="AG114" s="57" cm="1">
        <f t="array" ref="AG114">VLOOKUP(B114,'Player Data'!$A1:$AE673,21,FALSE)*$Q114</f>
        <v>0</v>
      </c>
      <c r="AH114" s="59" cm="1">
        <f t="array" ref="AH114">VLOOKUP(B114,'Player Data'!$A1:$AE673,22,FALSE)</f>
        <v>0</v>
      </c>
      <c r="AI114" s="55"/>
      <c r="AJ114" s="57"/>
      <c r="AK114" s="57"/>
      <c r="AL114" s="57"/>
      <c r="AM114" s="57"/>
      <c r="AN114" s="57"/>
      <c r="AO114" s="57"/>
      <c r="AP114" s="57"/>
      <c r="AQ114" s="60"/>
      <c r="AR114" s="61"/>
      <c r="AS114" s="55"/>
    </row>
    <row r="115" spans="1:45" ht="21.25" customHeight="1" x14ac:dyDescent="0.15">
      <c r="A115" s="62">
        <f>RANK(K115,K$2:K$671)</f>
        <v>104</v>
      </c>
      <c r="B115" s="10" t="s">
        <v>225</v>
      </c>
      <c r="C115" s="47" t="s">
        <v>145</v>
      </c>
      <c r="D115" s="48" t="str" cm="1">
        <f t="array" ref="D115">VLOOKUP(B115,'Player Data'!A1:D673,4,FALSE)</f>
        <v>C</v>
      </c>
      <c r="E115" s="49" cm="1">
        <f t="array" ref="E115">VLOOKUP(B115,'C'!A1:C210,3,FALSE)</f>
        <v>24</v>
      </c>
      <c r="F115" s="65" t="str" cm="1">
        <f t="array" ref="F115">VLOOKUP(B115,'Player Data'!A1:B673,2,FALSE)</f>
        <v>T.B</v>
      </c>
      <c r="G115" s="11" cm="1">
        <f t="array" ref="G115">VLOOKUP(B115,'Player Data'!A1:D673,3,FALSE)</f>
        <v>30</v>
      </c>
      <c r="H115" s="51" cm="1">
        <f t="array" ref="H115">IFERROR(VLOOKUP(B115,ADP!A1:F671,6,FALSE)/1000000,VLOOKUP(B115,ADP!A1:F671,6,FALSE))</f>
        <v>9.5</v>
      </c>
      <c r="I115" s="52">
        <f>IF(Settings!$E$15="POINTS",((R115*Q115)*Settings!$B$12)+(S115*Settings!$B$2)+(T115*Settings!$B$3)+(U115*Settings!$B$4)+(V115*Settings!$B$5)+(X115*Settings!$B$9)+(AA115*Settings!$B$6)+(W115*Settings!$B$8)+(AB115*Settings!$B$7)+(AC115*Settings!$B$14)+(AD115*Settings!$B$15)+(AE115*Settings!$B$16)+(AF115*Settings!$B$17)+(AG115*Settings!$B$18)+(Y115*Settings!$B$10)+(Z115*Settings!$B$11),VLOOKUP(B115,'Standard Deviations'!A$1:C$672,3,FALSE))</f>
        <v>6.2967915213931303</v>
      </c>
      <c r="J115" s="53" cm="1">
        <f t="array" ref="J115">IF(D115="G",I115/AJ115,I115/Q115)</f>
        <v>7.8709894017414128E-2</v>
      </c>
      <c r="K115" s="52" cm="1">
        <f t="array" ref="K115">IF(Settings!$E$18="C/LW/RW",VLOOKUP(B115,'C'!A1:F210,6,FALSE),VLOOKUP(B115,F!A1:F407,6,FALSE))</f>
        <v>-6.3218036221933893E-2</v>
      </c>
      <c r="L115" s="54" cm="1">
        <f t="array" ref="L115">IFERROR(K115/H115,"N/A")</f>
        <v>-6.6545301286246201E-3</v>
      </c>
      <c r="M115" s="55">
        <v>84.1</v>
      </c>
      <c r="N115" s="55" cm="1">
        <f t="array" ref="N115">IFERROR(M115-A115,"N/A")</f>
        <v>-19.900000000000006</v>
      </c>
      <c r="O115" s="55"/>
      <c r="P115" s="56" t="str" cm="1">
        <f t="array" ref="P115">_xlfn.XLOOKUP($B115,ADP!A2:A671,ADP!G2:G671)</f>
        <v>+</v>
      </c>
      <c r="Q115" s="57" cm="1">
        <f t="array" ref="Q115">IF(Settings!$E$12="YES",VLOOKUP(B115,'Player Data'!A1:E673,5,FALSE),84)</f>
        <v>80</v>
      </c>
      <c r="R115" s="55" cm="1">
        <f t="array" ref="R115">VLOOKUP(B115,'Player Data'!$A1:$AE673,6,FALSE)</f>
        <v>18.2</v>
      </c>
      <c r="S115" s="57" cm="1">
        <f t="array" ref="S115">VLOOKUP(B115,'Player Data'!$A1:$AE673,7,FALSE)*$Q115*IFERROR((VLOOKUP(P115,Settings!$E$28:$F$33,2,FALSE)+1),1)</f>
        <v>32.760000000000005</v>
      </c>
      <c r="T115" s="57" cm="1">
        <f t="array" ref="T115">VLOOKUP(B115,'Player Data'!$A1:$AE673,8,FALSE)*$Q115*IFERROR((VLOOKUP(P115,Settings!$E$28:$F$33,2,FALSE)+1),1)</f>
        <v>40.32</v>
      </c>
      <c r="U115" s="57" cm="1">
        <f t="array" ref="U115">SUM(S115:T115)</f>
        <v>73.080000000000013</v>
      </c>
      <c r="V115" s="57" cm="1">
        <f t="array" ref="V115">VLOOKUP(B115,'Player Data'!$A1:$AE673,10,FALSE)*$Q115*IFERROR(((VLOOKUP(P115,Settings!$E$28:$F$33,2,FALSE)/2)+1),1)</f>
        <v>182.85999999999999</v>
      </c>
      <c r="W115" s="58" cm="1">
        <f t="array" ref="W115">VLOOKUP(B115,'Player Data'!$A1:$AE673,11,FALSE)*$Q115*IFERROR((VLOOKUP(P115,Settings!$E$28:$F$33,2,FALSE)+1),1)</f>
        <v>11.760000000000002</v>
      </c>
      <c r="X115" s="57" cm="1">
        <f t="array" ref="X115">VLOOKUP(B115,'Player Data'!$A1:$AE673,12,FALSE)*$Q115*IFERROR((VLOOKUP(P115,Settings!$E$28:$F$33,2,FALSE)+1),1)</f>
        <v>24.36</v>
      </c>
      <c r="Y115" s="57" cm="1">
        <f t="array" ref="Y115">VLOOKUP(B115,'Player Data'!$A1:$AE673,13,FALSE)*$Q115</f>
        <v>0</v>
      </c>
      <c r="Z115" s="57" cm="1">
        <f t="array" ref="Z115">VLOOKUP(B115,'Player Data'!$A1:$AE673,14,FALSE)*$Q115</f>
        <v>0</v>
      </c>
      <c r="AA115" s="57" cm="1">
        <f t="array" ref="AA115">VLOOKUP(B115,'Player Data'!$A1:$AE673,15,FALSE)*$Q115</f>
        <v>35.200000000000003</v>
      </c>
      <c r="AB115" s="57" cm="1">
        <f t="array" ref="AB115">VLOOKUP(B115,'Player Data'!$A1:$AE673,16,FALSE)*$Q115</f>
        <v>23.2</v>
      </c>
      <c r="AC115" s="57" cm="1">
        <f t="array" ref="AC115">VLOOKUP(B115,'Player Data'!$A1:$AE673,17,FALSE)*$Q115*IFERROR((VLOOKUP(P115,Settings!$E$28:$F$33,2,FALSE)+1),1)</f>
        <v>9.240000000000002</v>
      </c>
      <c r="AD115" s="57" cm="1">
        <f t="array" ref="AD115">VLOOKUP(B115,'Player Data'!$A1:$AE673,18,FALSE)*$Q115</f>
        <v>16.8</v>
      </c>
      <c r="AE115" s="57" cm="1">
        <f t="array" ref="AE115">VLOOKUP(B115,'Player Data'!$A1:$AE673,19,FALSE)*$Q115*IFERROR((VLOOKUP(P115,Settings!$E$28:$F$33,2,FALSE)+1),1)</f>
        <v>5.8800000000000008</v>
      </c>
      <c r="AF115" s="57" cm="1">
        <f t="array" ref="AF115">VLOOKUP(B115,'Player Data'!$A1:$AE673,20,FALSE)*$Q115</f>
        <v>367.2</v>
      </c>
      <c r="AG115" s="57" cm="1">
        <f t="array" ref="AG115">VLOOKUP(B115,'Player Data'!$A1:$AE673,21,FALSE)*$Q115</f>
        <v>417.59999999999997</v>
      </c>
      <c r="AH115" s="59" cm="1">
        <f t="array" ref="AH115">VLOOKUP(B115,'Player Data'!$A1:$AE673,22,FALSE)</f>
        <v>0.47</v>
      </c>
      <c r="AI115" s="55"/>
      <c r="AJ115" s="57"/>
      <c r="AK115" s="57"/>
      <c r="AL115" s="57"/>
      <c r="AM115" s="57"/>
      <c r="AN115" s="57"/>
      <c r="AO115" s="57"/>
      <c r="AP115" s="57"/>
      <c r="AQ115" s="60"/>
      <c r="AR115" s="61"/>
      <c r="AS115" s="55"/>
    </row>
    <row r="116" spans="1:45" ht="21.25" customHeight="1" x14ac:dyDescent="0.15">
      <c r="A116" s="62">
        <f>RANK(K116,K$2:K$671)</f>
        <v>102</v>
      </c>
      <c r="B116" s="10" t="s">
        <v>236</v>
      </c>
      <c r="C116" s="47" t="s">
        <v>145</v>
      </c>
      <c r="D116" s="48" t="str" cm="1">
        <f t="array" ref="D116">VLOOKUP(B116,'Player Data'!A1:D673,4,FALSE)</f>
        <v>RW</v>
      </c>
      <c r="E116" s="64" cm="1">
        <f t="array" ref="E116">VLOOKUP(B116,RW!A1:F210,3,FALSE)</f>
        <v>24</v>
      </c>
      <c r="F116" s="50" t="str" cm="1">
        <f t="array" ref="F116">VLOOKUP(B116,'Player Data'!A1:B673,2,FALSE)</f>
        <v>ANA</v>
      </c>
      <c r="G116" s="71" cm="1">
        <f t="array" ref="G116">VLOOKUP(B116,'Player Data'!A1:D673,3,FALSE)</f>
        <v>20</v>
      </c>
      <c r="H116" s="51" cm="1">
        <f t="array" ref="H116">IFERROR(VLOOKUP(B116,ADP!A1:F671,6,FALSE)/1000000,VLOOKUP(B116,ADP!A1:F671,6,FALSE))</f>
        <v>0.95374999999999999</v>
      </c>
      <c r="I116" s="52">
        <f>IF(Settings!$E$15="POINTS",((R116*Q116)*Settings!$B$12)+(S116*Settings!$B$2)+(T116*Settings!$B$3)+(U116*Settings!$B$4)+(V116*Settings!$B$5)+(X116*Settings!$B$9)+(AA116*Settings!$B$6)+(W116*Settings!$B$8)+(AB116*Settings!$B$7)+(AC116*Settings!$B$14)+(AD116*Settings!$B$15)+(AE116*Settings!$B$16)+(AF116*Settings!$B$17)+(AG116*Settings!$B$18)+(Y116*Settings!$B$10)+(Z116*Settings!$B$11),VLOOKUP(B116,'Standard Deviations'!A$1:C$672,3,FALSE))</f>
        <v>6.8533294164904808</v>
      </c>
      <c r="J116" s="53" cm="1">
        <f t="array" ref="J116">IF(D116="G",I116/AJ116,I116/Q116)</f>
        <v>8.2570233933620243E-2</v>
      </c>
      <c r="K116" s="52" cm="1">
        <f t="array" ref="K116">IF(Settings!$E$18="C/LW/RW",VLOOKUP(B116,RW!A1:F210,6,FALSE),VLOOKUP(B116,F!A1:F407,6,FALSE))</f>
        <v>-3.3905185318596764E-2</v>
      </c>
      <c r="L116" s="54" cm="1">
        <f t="array" ref="L116">IFERROR(K116/H116,"N/A")</f>
        <v>-3.5549342404819675E-2</v>
      </c>
      <c r="M116" s="55">
        <v>103</v>
      </c>
      <c r="N116" s="55" cm="1">
        <f t="array" ref="N116">IFERROR(M116-A116,"N/A")</f>
        <v>1</v>
      </c>
      <c r="O116" s="55"/>
      <c r="P116" s="56" t="str" cm="1">
        <f t="array" ref="P116">_xlfn.XLOOKUP($B116,ADP!A2:A671,ADP!G2:G671)</f>
        <v>+</v>
      </c>
      <c r="Q116" s="57" cm="1">
        <f t="array" ref="Q116">IF(Settings!$E$12="YES",VLOOKUP(B116,'Player Data'!A1:E673,5,FALSE),84)</f>
        <v>83</v>
      </c>
      <c r="R116" s="55" cm="1">
        <f t="array" ref="R116">VLOOKUP(B116,'Player Data'!$A1:$AE673,6,FALSE)</f>
        <v>17.899999999999999</v>
      </c>
      <c r="S116" s="57" cm="1">
        <f t="array" ref="S116">VLOOKUP(B116,'Player Data'!$A1:$AE673,7,FALSE)*$Q116*IFERROR((VLOOKUP(P116,Settings!$E$28:$F$33,2,FALSE)+1),1)</f>
        <v>31.373999999999999</v>
      </c>
      <c r="T116" s="57" cm="1">
        <f t="array" ref="T116">VLOOKUP(B116,'Player Data'!$A1:$AE673,8,FALSE)*$Q116*IFERROR((VLOOKUP(P116,Settings!$E$28:$F$33,2,FALSE)+1),1)</f>
        <v>51.418500000000002</v>
      </c>
      <c r="U116" s="57" cm="1">
        <f t="array" ref="U116">SUM(S116:T116)</f>
        <v>82.792500000000004</v>
      </c>
      <c r="V116" s="57" cm="1">
        <f t="array" ref="V116">VLOOKUP(B116,'Player Data'!$A1:$AE673,10,FALSE)*$Q116*IFERROR(((VLOOKUP(P116,Settings!$E$28:$F$33,2,FALSE)/2)+1),1)</f>
        <v>239.06074999999998</v>
      </c>
      <c r="W116" s="57" cm="1">
        <f t="array" ref="W116">VLOOKUP(B116,'Player Data'!$A1:$AE673,11,FALSE)*$Q116*IFERROR((VLOOKUP(P116,Settings!$E$28:$F$33,2,FALSE)+1),1)</f>
        <v>4.3575000000000008</v>
      </c>
      <c r="X116" s="78" cm="1">
        <f t="array" ref="X116">VLOOKUP(B116,'Player Data'!$A1:$AE673,12,FALSE)*$Q116*IFERROR((VLOOKUP(P116,Settings!$E$28:$F$33,2,FALSE)+1),1)</f>
        <v>23.5305</v>
      </c>
      <c r="Y116" s="57" cm="1">
        <f t="array" ref="Y116">VLOOKUP(B116,'Player Data'!$A1:$AE673,13,FALSE)*$Q116</f>
        <v>0</v>
      </c>
      <c r="Z116" s="57" cm="1">
        <f t="array" ref="Z116">VLOOKUP(B116,'Player Data'!$A1:$AE673,14,FALSE)*$Q116</f>
        <v>0</v>
      </c>
      <c r="AA116" s="57" cm="1">
        <f t="array" ref="AA116">VLOOKUP(B116,'Player Data'!$A1:$AE673,15,FALSE)*$Q116</f>
        <v>29.049999999999997</v>
      </c>
      <c r="AB116" s="57" cm="1">
        <f t="array" ref="AB116">VLOOKUP(B116,'Player Data'!$A1:$AE673,16,FALSE)*$Q116</f>
        <v>101.25999999999999</v>
      </c>
      <c r="AC116" s="57" cm="1">
        <f t="array" ref="AC116">VLOOKUP(B116,'Player Data'!$A1:$AE673,17,FALSE)*$Q116*IFERROR((VLOOKUP(P116,Settings!$E$28:$F$33,2,FALSE)+1),1)</f>
        <v>-2.6145</v>
      </c>
      <c r="AD116" s="57" cm="1">
        <f t="array" ref="AD116">VLOOKUP(B116,'Player Data'!$A1:$AE673,18,FALSE)*$Q116</f>
        <v>54.78</v>
      </c>
      <c r="AE116" s="57" cm="1">
        <f t="array" ref="AE116">VLOOKUP(B116,'Player Data'!$A1:$AE673,19,FALSE)*$Q116*IFERROR((VLOOKUP(P116,Settings!$E$28:$F$33,2,FALSE)+1),1)</f>
        <v>4.3575000000000008</v>
      </c>
      <c r="AF116" s="57" cm="1">
        <f t="array" ref="AF116">VLOOKUP(B116,'Player Data'!$A1:$AE673,20,FALSE)*$Q116</f>
        <v>3.3200000000000003</v>
      </c>
      <c r="AG116" s="57" cm="1">
        <f t="array" ref="AG116">VLOOKUP(B116,'Player Data'!$A1:$AE673,21,FALSE)*$Q116</f>
        <v>1.6600000000000001</v>
      </c>
      <c r="AH116" s="59" cm="1">
        <f t="array" ref="AH116">VLOOKUP(B116,'Player Data'!$A1:$AE673,22,FALSE)</f>
        <v>0.6</v>
      </c>
      <c r="AI116" s="55"/>
      <c r="AJ116" s="57"/>
      <c r="AK116" s="57"/>
      <c r="AL116" s="57"/>
      <c r="AM116" s="57"/>
      <c r="AN116" s="57"/>
      <c r="AO116" s="57"/>
      <c r="AP116" s="57"/>
      <c r="AQ116" s="60"/>
      <c r="AR116" s="61"/>
      <c r="AS116" s="55"/>
    </row>
    <row r="117" spans="1:45" ht="21.25" customHeight="1" x14ac:dyDescent="0.15">
      <c r="A117" s="62">
        <f>RANK(K117,K$2:K$671)</f>
        <v>126</v>
      </c>
      <c r="B117" s="10" t="s">
        <v>278</v>
      </c>
      <c r="C117" s="47" t="s">
        <v>145</v>
      </c>
      <c r="D117" s="48" t="str" cm="1">
        <f t="array" ref="D117">VLOOKUP(B117,'Player Data'!A1:D673,4,FALSE)</f>
        <v>G</v>
      </c>
      <c r="E117" s="76" cm="1">
        <f t="array" ref="E117">VLOOKUP(B117,G!A1:D66,3,FALSE)</f>
        <v>24</v>
      </c>
      <c r="F117" s="70" t="str" cm="1">
        <f t="array" ref="F117">VLOOKUP(B117,'Player Data'!A1:B673,2,FALSE)</f>
        <v>STL</v>
      </c>
      <c r="G117" s="11" cm="1">
        <f t="array" ref="G117">VLOOKUP(B117,'Player Data'!A1:D673,3,FALSE)</f>
        <v>26</v>
      </c>
      <c r="H117" s="67" cm="1">
        <f t="array" ref="H117">IFERROR(VLOOKUP(B117,ADP!A1:F671,6,FALSE)/1000000,VLOOKUP(B117,ADP!A1:F671,6,FALSE))</f>
        <v>3.4</v>
      </c>
      <c r="I117" s="52">
        <f>IF(Settings!$E$15="POINTS",(AJ117*Settings!$B$29)+(AK117*Settings!$B$21)+(AL117*Settings!$B$22)+(AN117*Settings!$B$24)+(AO117*Settings!$B$25)+(AP117*Settings!$B$27)+(AM117*Settings!$B$23),VLOOKUP(B117,'Standard Deviations'!A$1:C$672,3,FALSE))</f>
        <v>1.2511300579301665</v>
      </c>
      <c r="J117" s="53" cm="1">
        <f t="array" ref="J117">IF(D117="G",I117/AJ117,I117/Q117)</f>
        <v>2.7802890176225923E-2</v>
      </c>
      <c r="K117" s="52" cm="1">
        <f t="array" ref="K117">VLOOKUP(B117,G!A1:F66,6,FALSE)</f>
        <v>-0.78705520119350836</v>
      </c>
      <c r="L117" s="54" cm="1">
        <f t="array" ref="L117">IFERROR(K117/H117,"N/A")</f>
        <v>-0.23148682388044364</v>
      </c>
      <c r="M117" s="55">
        <v>123.8</v>
      </c>
      <c r="N117" s="55" cm="1">
        <f t="array" ref="N117">IFERROR(M117-A117,"N/A")</f>
        <v>-2.2000000000000028</v>
      </c>
      <c r="O117" s="55"/>
      <c r="P117" s="56" cm="1">
        <f t="array" ref="P117">_xlfn.XLOOKUP($B117,ADP!A2:A671,ADP!G2:G671)</f>
        <v>0</v>
      </c>
      <c r="Q117" s="57"/>
      <c r="R117" s="55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9"/>
      <c r="AI117" s="55"/>
      <c r="AJ117" s="77" cm="1">
        <f t="array" ref="AJ117">VLOOKUP(B117,'Player Data'!$A1:$AE673,24,FALSE)</f>
        <v>45</v>
      </c>
      <c r="AK117" s="57" cm="1">
        <f t="array" ref="AK117">VLOOKUP(B117,'Player Data'!$A1:$AE673,25,FALSE)*$AJ117*IFERROR((VLOOKUP(P117,Settings!$E$28:$F$33,2,FALSE)+1),1)</f>
        <v>21.599999999999998</v>
      </c>
      <c r="AL117" s="57" cm="1">
        <f t="array" ref="AL117">AJ117-AK117-AM117</f>
        <v>17.55</v>
      </c>
      <c r="AM117" s="57" cm="1">
        <f t="array" ref="AM117">VLOOKUP(B117,'Player Data'!$A1:$AE673,27,FALSE)*$AJ117</f>
        <v>5.8500000000000005</v>
      </c>
      <c r="AN117" s="57" cm="1">
        <f t="array" ref="AN117">VLOOKUP(B117,'Player Data'!$A1:$AE673,28,FALSE)*AJ117</f>
        <v>2.25</v>
      </c>
      <c r="AO117" s="57" cm="1">
        <f t="array" ref="AO117">VLOOKUP(B117,'Player Data'!$A1:$AE673,29,FALSE)*$AJ117*IFERROR((VLOOKUP(P117,Settings!$E$28:$F$33,2,FALSE)/4)+1,1)</f>
        <v>1219.5</v>
      </c>
      <c r="AP117" s="57" cm="1">
        <f t="array" ref="AP117">VLOOKUP(B117,'Player Data'!$A1:$AE673,31,FALSE)*$AJ117*(IFERROR(1-(VLOOKUP(P117,Settings!$E$28:$F$33,2,FALSE)/4),1))</f>
        <v>129.15</v>
      </c>
      <c r="AQ117" s="60" cm="1">
        <f t="array" ref="AQ117">1-(AP117/(AO117+AP117))</f>
        <v>0.90423757090423762</v>
      </c>
      <c r="AR117" s="61" cm="1">
        <f t="array" ref="AR117">AP117/AJ117</f>
        <v>2.87</v>
      </c>
      <c r="AS117" s="55"/>
    </row>
    <row r="118" spans="1:45" ht="21.25" customHeight="1" x14ac:dyDescent="0.15">
      <c r="A118" s="62">
        <f>RANK(K118,K$2:K$671)</f>
        <v>135</v>
      </c>
      <c r="B118" s="10" t="s">
        <v>300</v>
      </c>
      <c r="C118" s="47" t="s">
        <v>145</v>
      </c>
      <c r="D118" s="48" t="str" cm="1">
        <f t="array" ref="D118">VLOOKUP(B118,'Player Data'!A1:D673,4,FALSE)</f>
        <v>D</v>
      </c>
      <c r="E118" s="68" cm="1">
        <f t="array" ref="E118">VLOOKUP(B118,D!A1:C204,3,FALSE)</f>
        <v>48</v>
      </c>
      <c r="F118" s="72" t="str" cm="1">
        <f t="array" ref="F118">VLOOKUP(B118,'Player Data'!A1:B673,2,FALSE)</f>
        <v>FLA</v>
      </c>
      <c r="G118" s="11" cm="1">
        <f t="array" ref="G118">VLOOKUP(B118,'Player Data'!A1:D673,3,FALSE)</f>
        <v>30</v>
      </c>
      <c r="H118" s="51" cm="1">
        <f t="array" ref="H118">IFERROR(VLOOKUP(B118,ADP!A1:F671,6,FALSE)/1000000,VLOOKUP(B118,ADP!A1:F671,6,FALSE))</f>
        <v>5.75</v>
      </c>
      <c r="I118" s="52">
        <f>IF(Settings!$E$15="POINTS",((R118*Q118)*Settings!$B$12)+(S118*Settings!$B$2)+(T118*Settings!$B$3)+(U118*Settings!$B$4)+(V118*Settings!$B$5)+(X118*Settings!$B$9)+(AA118*Settings!$B$6)+(W118*Settings!$B$8)+(AB118*Settings!$B$7)+(AC118*Settings!$B$14)+(AD118*Settings!$B$15)+(AE118*Settings!$B$16)+(AF118*Settings!$B$17)+(AG118*Settings!$B$18)+(U118*Settings!$B$13)+(Y118*Settings!$B$10)+(Z118*Settings!$B$11),VLOOKUP(B118,'Standard Deviations'!A$1:C$672,3,FALSE))</f>
        <v>-0.41017952499207022</v>
      </c>
      <c r="J118" s="53" cm="1">
        <f t="array" ref="J118">IF(D118="G",I118/AJ118,I118/Q118)</f>
        <v>-4.9419219878562674E-3</v>
      </c>
      <c r="K118" s="52" cm="1">
        <f t="array" ref="K118">VLOOKUP(B118,D!A1:F204,6,FALSE)</f>
        <v>-0.97703043950962465</v>
      </c>
      <c r="L118" s="54" cm="1">
        <f t="array" ref="L118">IFERROR(K118/H118,"N/A")</f>
        <v>-0.16991833730602168</v>
      </c>
      <c r="M118" s="84" t="s">
        <v>828</v>
      </c>
      <c r="N118" s="84" t="str" cm="1">
        <f t="array" ref="N118">IFERROR(M118-A118,"N/A")</f>
        <v>N/A</v>
      </c>
      <c r="O118" s="55"/>
      <c r="P118" s="56" cm="1">
        <f t="array" ref="P118">_xlfn.XLOOKUP($B118,ADP!A2:A671,ADP!G2:G671)</f>
        <v>0</v>
      </c>
      <c r="Q118" s="57" cm="1">
        <f t="array" ref="Q118">IF(Settings!$E$12="YES",VLOOKUP(B118,'Player Data'!A1:E673,5,FALSE),84)</f>
        <v>83</v>
      </c>
      <c r="R118" s="55" cm="1">
        <f t="array" ref="R118">VLOOKUP(B118,'Player Data'!$A1:$AE673,6,FALSE)</f>
        <v>23.4</v>
      </c>
      <c r="S118" s="57" cm="1">
        <f t="array" ref="S118">VLOOKUP(B118,'Player Data'!$A1:$AE673,7,FALSE)*$Q118*IFERROR((VLOOKUP(P118,Settings!$E$28:$F$33,2,FALSE)+1),1)</f>
        <v>6.6400000000000006</v>
      </c>
      <c r="T118" s="57" cm="1">
        <f t="array" ref="T118">VLOOKUP(B118,'Player Data'!$A1:$AE673,8,FALSE)*$Q118*IFERROR((VLOOKUP(P118,Settings!$E$28:$F$33,2,FALSE)+1),1)</f>
        <v>24.9</v>
      </c>
      <c r="U118" s="57" cm="1">
        <f t="array" ref="U118">SUM(S118:T118)</f>
        <v>31.54</v>
      </c>
      <c r="V118" s="57" cm="1">
        <f t="array" ref="V118">VLOOKUP(B118,'Player Data'!$A1:$AE673,10,FALSE)*$Q118*IFERROR(((VLOOKUP(P118,Settings!$E$28:$F$33,2,FALSE)/2)+1),1)</f>
        <v>144.41999999999999</v>
      </c>
      <c r="W118" s="57" cm="1">
        <f t="array" ref="W118">VLOOKUP(B118,'Player Data'!$A1:$AE673,11,FALSE)*$Q118*IFERROR((VLOOKUP(P118,Settings!$E$28:$F$33,2,FALSE)+1),1)</f>
        <v>0</v>
      </c>
      <c r="X118" s="57" cm="1">
        <f t="array" ref="X118">VLOOKUP(B118,'Player Data'!$A1:$AE673,12,FALSE)*$Q118*IFERROR((VLOOKUP(P118,Settings!$E$28:$F$33,2,FALSE)+1),1)</f>
        <v>0.83000000000000007</v>
      </c>
      <c r="Y118" s="57" cm="1">
        <f t="array" ref="Y118">VLOOKUP(B118,'Player Data'!$A1:$AE673,13,FALSE)*$Q118</f>
        <v>0</v>
      </c>
      <c r="Z118" s="57" cm="1">
        <f t="array" ref="Z118">VLOOKUP(B118,'Player Data'!$A1:$AE673,14,FALSE)*$Q118</f>
        <v>0</v>
      </c>
      <c r="AA118" s="57" cm="1">
        <f t="array" ref="AA118">VLOOKUP(B118,'Player Data'!$A1:$AE673,15,FALSE)*$Q118</f>
        <v>107.9</v>
      </c>
      <c r="AB118" s="57" cm="1">
        <f t="array" ref="AB118">VLOOKUP(B118,'Player Data'!$A1:$AE673,16,FALSE)*$Q118</f>
        <v>68.89</v>
      </c>
      <c r="AC118" s="57" cm="1">
        <f t="array" ref="AC118">VLOOKUP(B118,'Player Data'!$A1:$AE673,17,FALSE)*$Q118*IFERROR((VLOOKUP(P118,Settings!$E$28:$F$33,2,FALSE)+1),1)</f>
        <v>4.9799999999999995</v>
      </c>
      <c r="AD118" s="57" cm="1">
        <f t="array" ref="AD118">VLOOKUP(B118,'Player Data'!$A1:$AE673,18,FALSE)*$Q118</f>
        <v>35.69</v>
      </c>
      <c r="AE118" s="57" cm="1">
        <f t="array" ref="AE118">VLOOKUP(B118,'Player Data'!$A1:$AE673,19,FALSE)*$Q118*IFERROR((VLOOKUP(P118,Settings!$E$28:$F$33,2,FALSE)+1),1)</f>
        <v>0.83000000000000007</v>
      </c>
      <c r="AF118" s="57" cm="1">
        <f t="array" ref="AF118">VLOOKUP(B118,'Player Data'!$A1:$AE673,20,FALSE)*$Q118</f>
        <v>0</v>
      </c>
      <c r="AG118" s="57" cm="1">
        <f t="array" ref="AG118">VLOOKUP(B118,'Player Data'!$A1:$AE673,21,FALSE)*$Q118</f>
        <v>0</v>
      </c>
      <c r="AH118" s="59" cm="1">
        <f t="array" ref="AH118">VLOOKUP(B118,'Player Data'!$A1:$AE673,22,FALSE)</f>
        <v>0</v>
      </c>
      <c r="AI118" s="55"/>
      <c r="AJ118" s="57"/>
      <c r="AK118" s="57"/>
      <c r="AL118" s="57"/>
      <c r="AM118" s="57"/>
      <c r="AN118" s="57"/>
      <c r="AO118" s="57"/>
      <c r="AP118" s="57"/>
      <c r="AQ118" s="60"/>
      <c r="AR118" s="61"/>
      <c r="AS118" s="55"/>
    </row>
    <row r="119" spans="1:45" ht="21.25" customHeight="1" x14ac:dyDescent="0.15">
      <c r="A119" s="62">
        <f>RANK(K119,K$2:K$671)</f>
        <v>106</v>
      </c>
      <c r="B119" s="10" t="s">
        <v>180</v>
      </c>
      <c r="C119" s="47" t="s">
        <v>145</v>
      </c>
      <c r="D119" s="48" t="str" cm="1">
        <f t="array" ref="D119">VLOOKUP(B119,'Player Data'!A1:D673,4,FALSE)</f>
        <v>LW</v>
      </c>
      <c r="E119" s="75" cm="1">
        <f t="array" ref="E119">VLOOKUP(B119,LW!A1:C210,3,FALSE)</f>
        <v>25</v>
      </c>
      <c r="F119" s="70" t="str" cm="1">
        <f t="array" ref="F119">VLOOKUP(B119,'Player Data'!A1:B673,2,FALSE)</f>
        <v>L.A</v>
      </c>
      <c r="G119" s="66" cm="1">
        <f t="array" ref="G119">VLOOKUP(B119,'Player Data'!A1:D673,3,FALSE)</f>
        <v>34</v>
      </c>
      <c r="H119" s="51" cm="1">
        <f t="array" ref="H119">IFERROR(VLOOKUP(B119,ADP!A1:F671,6,FALSE)/1000000,VLOOKUP(B119,ADP!A1:F671,6,FALSE))</f>
        <v>11</v>
      </c>
      <c r="I119" s="52">
        <f>IF(Settings!$E$15="POINTS",((R119*Q119)*Settings!$B$12)+(S119*Settings!$B$2)+(T119*Settings!$B$3)+(U119*Settings!$B$4)+(V119*Settings!$B$5)+(X119*Settings!$B$9)+(AA119*Settings!$B$6)+(W119*Settings!$B$8)+(AB119*Settings!$B$7)+(AC119*Settings!$B$14)+(AD119*Settings!$B$15)+(AE119*Settings!$B$16)+(AF119*Settings!$B$17)+(AG119*Settings!$B$18)+(Y119*Settings!$B$10)+(Z119*Settings!$B$11),VLOOKUP(B119,'Standard Deviations'!A$1:C$672,3,FALSE))</f>
        <v>6.7723564461092902</v>
      </c>
      <c r="J119" s="53" cm="1">
        <f t="array" ref="J119">IF(D119="G",I119/AJ119,I119/Q119)</f>
        <v>8.1594655977220362E-2</v>
      </c>
      <c r="K119" s="52" cm="1">
        <f t="array" ref="K119">IF(Settings!$E$18="C/LW/RW",VLOOKUP(B119,LW!A1:F210,6,FALSE),VLOOKUP(B119,F!A1:F407,6,FALSE))</f>
        <v>-0.1220291982805195</v>
      </c>
      <c r="L119" s="54" cm="1">
        <f t="array" ref="L119">IFERROR(K119/H119,"N/A")</f>
        <v>-1.1093563480047227E-2</v>
      </c>
      <c r="M119" s="55">
        <v>49.7</v>
      </c>
      <c r="N119" s="55" cm="1">
        <f t="array" ref="N119">IFERROR(M119-A119,"N/A")</f>
        <v>-56.3</v>
      </c>
      <c r="O119" s="55"/>
      <c r="P119" s="56" t="str" cm="1">
        <f t="array" ref="P119">_xlfn.XLOOKUP($B119,ADP!A2:A671,ADP!G2:G671)</f>
        <v>- -</v>
      </c>
      <c r="Q119" s="57" cm="1">
        <f t="array" ref="Q119">IF(Settings!$E$12="YES",VLOOKUP(B119,'Player Data'!A1:E673,5,FALSE),84)</f>
        <v>83</v>
      </c>
      <c r="R119" s="55" cm="1">
        <f t="array" ref="R119">VLOOKUP(B119,'Player Data'!$A1:$AE673,6,FALSE)</f>
        <v>21.2</v>
      </c>
      <c r="S119" s="57" cm="1">
        <f t="array" ref="S119">VLOOKUP(B119,'Player Data'!$A1:$AE673,7,FALSE)*$Q119*IFERROR((VLOOKUP(P119,Settings!$E$28:$F$33,2,FALSE)+1),1)</f>
        <v>30.627000000000002</v>
      </c>
      <c r="T119" s="57" cm="1">
        <f t="array" ref="T119">VLOOKUP(B119,'Player Data'!$A1:$AE673,8,FALSE)*$Q119*IFERROR((VLOOKUP(P119,Settings!$E$28:$F$33,2,FALSE)+1),1)</f>
        <v>53.783999999999999</v>
      </c>
      <c r="U119" s="57" cm="1">
        <f t="array" ref="U119">SUM(S119:T119)</f>
        <v>84.411000000000001</v>
      </c>
      <c r="V119" s="57" cm="1">
        <f t="array" ref="V119">VLOOKUP(B119,'Player Data'!$A1:$AE673,10,FALSE)*$Q119*IFERROR(((VLOOKUP(P119,Settings!$E$28:$F$33,2,FALSE)/2)+1),1)</f>
        <v>246.01200000000003</v>
      </c>
      <c r="W119" s="58" cm="1">
        <f t="array" ref="W119">VLOOKUP(B119,'Player Data'!$A1:$AE673,11,FALSE)*$Q119*IFERROR((VLOOKUP(P119,Settings!$E$28:$F$33,2,FALSE)+1),1)</f>
        <v>6.7229999999999999</v>
      </c>
      <c r="X119" s="57" cm="1">
        <f t="array" ref="X119">VLOOKUP(B119,'Player Data'!$A1:$AE673,12,FALSE)*$Q119*IFERROR((VLOOKUP(P119,Settings!$E$28:$F$33,2,FALSE)+1),1)</f>
        <v>26.891999999999999</v>
      </c>
      <c r="Y119" s="57" cm="1">
        <f t="array" ref="Y119">VLOOKUP(B119,'Player Data'!$A1:$AE673,13,FALSE)*$Q119</f>
        <v>0</v>
      </c>
      <c r="Z119" s="57" cm="1">
        <f t="array" ref="Z119">VLOOKUP(B119,'Player Data'!$A1:$AE673,14,FALSE)*$Q119</f>
        <v>0</v>
      </c>
      <c r="AA119" s="57" cm="1">
        <f t="array" ref="AA119">VLOOKUP(B119,'Player Data'!$A1:$AE673,15,FALSE)*$Q119</f>
        <v>19.09</v>
      </c>
      <c r="AB119" s="57" cm="1">
        <f t="array" ref="AB119">VLOOKUP(B119,'Player Data'!$A1:$AE673,16,FALSE)*$Q119</f>
        <v>19.09</v>
      </c>
      <c r="AC119" s="57" cm="1">
        <f t="array" ref="AC119">VLOOKUP(B119,'Player Data'!$A1:$AE673,17,FALSE)*$Q119*IFERROR((VLOOKUP(P119,Settings!$E$28:$F$33,2,FALSE)+1),1)</f>
        <v>2.2409999999999997</v>
      </c>
      <c r="AD119" s="57" cm="1">
        <f t="array" ref="AD119">VLOOKUP(B119,'Player Data'!$A1:$AE673,18,FALSE)*$Q119</f>
        <v>25.73</v>
      </c>
      <c r="AE119" s="57" cm="1">
        <f t="array" ref="AE119">VLOOKUP(B119,'Player Data'!$A1:$AE673,19,FALSE)*$Q119*IFERROR((VLOOKUP(P119,Settings!$E$28:$F$33,2,FALSE)+1),1)</f>
        <v>5.229000000000001</v>
      </c>
      <c r="AF119" s="57" cm="1">
        <f t="array" ref="AF119">VLOOKUP(B119,'Player Data'!$A1:$AE673,20,FALSE)*$Q119</f>
        <v>0.83000000000000007</v>
      </c>
      <c r="AG119" s="57" cm="1">
        <f t="array" ref="AG119">VLOOKUP(B119,'Player Data'!$A1:$AE673,21,FALSE)*$Q119</f>
        <v>1.6600000000000001</v>
      </c>
      <c r="AH119" s="59" cm="1">
        <f t="array" ref="AH119">VLOOKUP(B119,'Player Data'!$A1:$AE673,22,FALSE)</f>
        <v>0.44</v>
      </c>
      <c r="AI119" s="55"/>
      <c r="AJ119" s="57"/>
      <c r="AK119" s="57"/>
      <c r="AL119" s="57"/>
      <c r="AM119" s="57"/>
      <c r="AN119" s="57"/>
      <c r="AO119" s="57"/>
      <c r="AP119" s="57"/>
      <c r="AQ119" s="60"/>
      <c r="AR119" s="61"/>
      <c r="AS119" s="55"/>
    </row>
    <row r="120" spans="1:45" ht="21.25" customHeight="1" x14ac:dyDescent="0.15">
      <c r="A120" s="62">
        <f>RANK(K120,K$2:K$671)</f>
        <v>136</v>
      </c>
      <c r="B120" s="10" t="s">
        <v>199</v>
      </c>
      <c r="C120" s="47" t="s">
        <v>145</v>
      </c>
      <c r="D120" s="48" t="str" cm="1">
        <f t="array" ref="D120">VLOOKUP(B120,'Player Data'!A1:D673,4,FALSE)</f>
        <v>D</v>
      </c>
      <c r="E120" s="68" cm="1">
        <f t="array" ref="E120">VLOOKUP(B120,D!A1:C204,3,FALSE)</f>
        <v>49</v>
      </c>
      <c r="F120" s="56" t="str" cm="1">
        <f t="array" ref="F120">VLOOKUP(B120,'Player Data'!A1:B673,2,FALSE)</f>
        <v>CHI</v>
      </c>
      <c r="G120" s="11" cm="1">
        <f t="array" ref="G120">VLOOKUP(B120,'Player Data'!A1:D673,3,FALSE)</f>
        <v>25</v>
      </c>
      <c r="H120" s="51" cm="1">
        <f t="array" ref="H120">IFERROR(VLOOKUP(B120,ADP!A1:F671,6,FALSE)/1000000,VLOOKUP(B120,ADP!A1:F671,6,FALSE))</f>
        <v>6.25</v>
      </c>
      <c r="I120" s="52">
        <f>IF(Settings!$E$15="POINTS",((R120*Q120)*Settings!$B$12)+(S120*Settings!$B$2)+(T120*Settings!$B$3)+(U120*Settings!$B$4)+(V120*Settings!$B$5)+(X120*Settings!$B$9)+(AA120*Settings!$B$6)+(W120*Settings!$B$8)+(AB120*Settings!$B$7)+(AC120*Settings!$B$14)+(AD120*Settings!$B$15)+(AE120*Settings!$B$16)+(AF120*Settings!$B$17)+(AG120*Settings!$B$18)+(U120*Settings!$B$13)+(Y120*Settings!$B$10)+(Z120*Settings!$B$11),VLOOKUP(B120,'Standard Deviations'!A$1:C$672,3,FALSE))</f>
        <v>-0.45920149015417944</v>
      </c>
      <c r="J120" s="53" cm="1">
        <f t="array" ref="J120">IF(D120="G",I120/AJ120,I120/Q120)</f>
        <v>-5.5325480741467399E-3</v>
      </c>
      <c r="K120" s="52" cm="1">
        <f t="array" ref="K120">VLOOKUP(B120,D!A1:F204,6,FALSE)</f>
        <v>-1.0260524046717339</v>
      </c>
      <c r="L120" s="54" cm="1">
        <f t="array" ref="L120">IFERROR(K120/H120,"N/A")</f>
        <v>-0.16416838474747741</v>
      </c>
      <c r="M120" s="55">
        <v>112</v>
      </c>
      <c r="N120" s="55" cm="1">
        <f t="array" ref="N120">IFERROR(M120-A120,"N/A")</f>
        <v>-24</v>
      </c>
      <c r="O120" s="55"/>
      <c r="P120" s="56" t="str" cm="1">
        <f t="array" ref="P120">_xlfn.XLOOKUP($B120,ADP!A2:A671,ADP!G2:G671)</f>
        <v>+</v>
      </c>
      <c r="Q120" s="57" cm="1">
        <f t="array" ref="Q120">IF(Settings!$E$12="YES",VLOOKUP(B120,'Player Data'!A1:E673,5,FALSE),84)</f>
        <v>83</v>
      </c>
      <c r="R120" s="81" cm="1">
        <f t="array" ref="R120">VLOOKUP(B120,'Player Data'!$A1:$AE673,6,FALSE)</f>
        <v>25.5</v>
      </c>
      <c r="S120" s="57" cm="1">
        <f t="array" ref="S120">VLOOKUP(B120,'Player Data'!$A1:$AE673,7,FALSE)*$Q120*IFERROR((VLOOKUP(P120,Settings!$E$28:$F$33,2,FALSE)+1),1)</f>
        <v>12.201000000000002</v>
      </c>
      <c r="T120" s="57" cm="1">
        <f t="array" ref="T120">VLOOKUP(B120,'Player Data'!$A1:$AE673,8,FALSE)*$Q120*IFERROR((VLOOKUP(P120,Settings!$E$28:$F$33,2,FALSE)+1),1)</f>
        <v>40.960499999999996</v>
      </c>
      <c r="U120" s="57" cm="1">
        <f t="array" ref="U120">SUM(S120:T120)</f>
        <v>53.161499999999997</v>
      </c>
      <c r="V120" s="57" cm="1">
        <f t="array" ref="V120">VLOOKUP(B120,'Player Data'!$A1:$AE673,10,FALSE)*$Q120*IFERROR(((VLOOKUP(P120,Settings!$E$28:$F$33,2,FALSE)/2)+1),1)</f>
        <v>136.97074999999998</v>
      </c>
      <c r="W120" s="58" cm="1">
        <f t="array" ref="W120">VLOOKUP(B120,'Player Data'!$A1:$AE673,11,FALSE)*$Q120*IFERROR((VLOOKUP(P120,Settings!$E$28:$F$33,2,FALSE)+1),1)</f>
        <v>1.7430000000000003</v>
      </c>
      <c r="X120" s="57" cm="1">
        <f t="array" ref="X120">VLOOKUP(B120,'Player Data'!$A1:$AE673,12,FALSE)*$Q120*IFERROR((VLOOKUP(P120,Settings!$E$28:$F$33,2,FALSE)+1),1)</f>
        <v>13.0725</v>
      </c>
      <c r="Y120" s="57" cm="1">
        <f t="array" ref="Y120">VLOOKUP(B120,'Player Data'!$A1:$AE673,13,FALSE)*$Q120</f>
        <v>0</v>
      </c>
      <c r="Z120" s="57" cm="1">
        <f t="array" ref="Z120">VLOOKUP(B120,'Player Data'!$A1:$AE673,14,FALSE)*$Q120</f>
        <v>0.83000000000000007</v>
      </c>
      <c r="AA120" s="57" cm="1">
        <f t="array" ref="AA120">VLOOKUP(B120,'Player Data'!$A1:$AE673,15,FALSE)*$Q120</f>
        <v>115.36999999999999</v>
      </c>
      <c r="AB120" s="57" cm="1">
        <f t="array" ref="AB120">VLOOKUP(B120,'Player Data'!$A1:$AE673,16,FALSE)*$Q120</f>
        <v>66.400000000000006</v>
      </c>
      <c r="AC120" s="57" cm="1">
        <f t="array" ref="AC120">VLOOKUP(B120,'Player Data'!$A1:$AE673,17,FALSE)*$Q120*IFERROR((VLOOKUP(P120,Settings!$E$28:$F$33,2,FALSE)+1),1)</f>
        <v>-7.8434999999999997</v>
      </c>
      <c r="AD120" s="57" cm="1">
        <f t="array" ref="AD120">VLOOKUP(B120,'Player Data'!$A1:$AE673,18,FALSE)*$Q120</f>
        <v>49.8</v>
      </c>
      <c r="AE120" s="57" cm="1">
        <f t="array" ref="AE120">VLOOKUP(B120,'Player Data'!$A1:$AE673,19,FALSE)*$Q120*IFERROR((VLOOKUP(P120,Settings!$E$28:$F$33,2,FALSE)+1),1)</f>
        <v>1.7430000000000003</v>
      </c>
      <c r="AF120" s="57" cm="1">
        <f t="array" ref="AF120">VLOOKUP(B120,'Player Data'!$A1:$AE673,20,FALSE)*$Q120</f>
        <v>0</v>
      </c>
      <c r="AG120" s="57" cm="1">
        <f t="array" ref="AG120">VLOOKUP(B120,'Player Data'!$A1:$AE673,21,FALSE)*$Q120</f>
        <v>0</v>
      </c>
      <c r="AH120" s="59" cm="1">
        <f t="array" ref="AH120">VLOOKUP(B120,'Player Data'!$A1:$AE673,22,FALSE)</f>
        <v>0</v>
      </c>
      <c r="AI120" s="55"/>
      <c r="AJ120" s="57"/>
      <c r="AK120" s="57"/>
      <c r="AL120" s="57"/>
      <c r="AM120" s="57"/>
      <c r="AN120" s="57"/>
      <c r="AO120" s="57"/>
      <c r="AP120" s="57"/>
      <c r="AQ120" s="60"/>
      <c r="AR120" s="61"/>
      <c r="AS120" s="55"/>
    </row>
    <row r="121" spans="1:45" ht="21.25" customHeight="1" x14ac:dyDescent="0.15">
      <c r="A121" s="62">
        <f>RANK(K121,K$2:K$671)</f>
        <v>127</v>
      </c>
      <c r="B121" s="10" t="s">
        <v>428</v>
      </c>
      <c r="C121" s="47" t="s">
        <v>145</v>
      </c>
      <c r="D121" s="48" t="str" cm="1">
        <f t="array" ref="D121">VLOOKUP(B121,'Player Data'!A1:D673,4,FALSE)</f>
        <v>G</v>
      </c>
      <c r="E121" s="76" cm="1">
        <f t="array" ref="E121">VLOOKUP(B121,G!A1:D66,3,FALSE)</f>
        <v>25</v>
      </c>
      <c r="F121" s="65" t="str" cm="1">
        <f t="array" ref="F121">VLOOKUP(B121,'Player Data'!A1:B673,2,FALSE)</f>
        <v>CAR</v>
      </c>
      <c r="G121" s="11" cm="1">
        <f t="array" ref="G121">VLOOKUP(B121,'Player Data'!A1:D673,3,FALSE)</f>
        <v>28</v>
      </c>
      <c r="H121" s="51" cm="1">
        <f t="array" ref="H121">IFERROR(VLOOKUP(B121,ADP!A1:F671,6,FALSE)/1000000,VLOOKUP(B121,ADP!A1:F671,6,FALSE))</f>
        <v>1.9</v>
      </c>
      <c r="I121" s="52">
        <f>IF(Settings!$E$15="POINTS",(AJ121*Settings!$B$29)+(AK121*Settings!$B$21)+(AL121*Settings!$B$22)+(AN121*Settings!$B$24)+(AO121*Settings!$B$25)+(AP121*Settings!$B$27)+(AM121*Settings!$B$23),VLOOKUP(B121,'Standard Deviations'!A$1:C$672,3,FALSE))</f>
        <v>1.1994076799796594</v>
      </c>
      <c r="J121" s="53" cm="1">
        <f t="array" ref="J121">IF(D121="G",I121/AJ121,I121/Q121)</f>
        <v>2.9985191999491484E-2</v>
      </c>
      <c r="K121" s="52" cm="1">
        <f t="array" ref="K121">VLOOKUP(B121,G!A1:F66,6,FALSE)</f>
        <v>-0.83877757914401552</v>
      </c>
      <c r="L121" s="54" cm="1">
        <f t="array" ref="L121">IFERROR(K121/H121,"N/A")</f>
        <v>-0.44146188376000817</v>
      </c>
      <c r="M121" s="55">
        <v>73.900000000000006</v>
      </c>
      <c r="N121" s="55" cm="1">
        <f t="array" ref="N121">IFERROR(M121-A121,"N/A")</f>
        <v>-53.099999999999994</v>
      </c>
      <c r="O121" s="55"/>
      <c r="P121" s="56" cm="1">
        <f t="array" ref="P121">_xlfn.XLOOKUP($B121,ADP!A2:A671,ADP!G2:G671)</f>
        <v>0</v>
      </c>
      <c r="Q121" s="57"/>
      <c r="R121" s="55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9"/>
      <c r="AI121" s="55"/>
      <c r="AJ121" s="77" cm="1">
        <f t="array" ref="AJ121">VLOOKUP(B121,'Player Data'!$A1:$AE673,24,FALSE)</f>
        <v>40</v>
      </c>
      <c r="AK121" s="57" cm="1">
        <f t="array" ref="AK121">VLOOKUP(B121,'Player Data'!$A1:$AE673,25,FALSE)*$AJ121*IFERROR((VLOOKUP(P121,Settings!$E$28:$F$33,2,FALSE)+1),1)</f>
        <v>23.599999999999998</v>
      </c>
      <c r="AL121" s="57" cm="1">
        <f t="array" ref="AL121">AJ121-AK121-AM121</f>
        <v>12.400000000000002</v>
      </c>
      <c r="AM121" s="57" cm="1">
        <f t="array" ref="AM121">VLOOKUP(B121,'Player Data'!$A1:$AE673,27,FALSE)*$AJ121</f>
        <v>4</v>
      </c>
      <c r="AN121" s="57" cm="1">
        <f t="array" ref="AN121">VLOOKUP(B121,'Player Data'!$A1:$AE673,28,FALSE)*AJ121</f>
        <v>2.4</v>
      </c>
      <c r="AO121" s="57" cm="1">
        <f t="array" ref="AO121">VLOOKUP(B121,'Player Data'!$A1:$AE673,29,FALSE)*$AJ121*IFERROR((VLOOKUP(P121,Settings!$E$28:$F$33,2,FALSE)/4)+1,1)</f>
        <v>928</v>
      </c>
      <c r="AP121" s="57" cm="1">
        <f t="array" ref="AP121">VLOOKUP(B121,'Player Data'!$A1:$AE673,31,FALSE)*$AJ121*(IFERROR(1-(VLOOKUP(P121,Settings!$E$28:$F$33,2,FALSE)/4),1))</f>
        <v>108</v>
      </c>
      <c r="AQ121" s="60" cm="1">
        <f t="array" ref="AQ121">1-(AP121/(AO121+AP121))</f>
        <v>0.89575289575289574</v>
      </c>
      <c r="AR121" s="61" cm="1">
        <f t="array" ref="AR121">AP121/AJ121</f>
        <v>2.7</v>
      </c>
      <c r="AS121" s="55"/>
    </row>
    <row r="122" spans="1:45" ht="21.25" customHeight="1" x14ac:dyDescent="0.15">
      <c r="A122" s="62">
        <f>RANK(K122,K$2:K$671)</f>
        <v>105</v>
      </c>
      <c r="B122" s="10" t="s">
        <v>207</v>
      </c>
      <c r="C122" s="47" t="s">
        <v>145</v>
      </c>
      <c r="D122" s="48" t="str" cm="1">
        <f t="array" ref="D122">VLOOKUP(B122,'Player Data'!A1:D673,4,FALSE)</f>
        <v>LW,RW</v>
      </c>
      <c r="E122" s="74" cm="1">
        <f t="array" ref="E122">VLOOKUP(B122,RW!A1:F210,3,FALSE)</f>
        <v>25</v>
      </c>
      <c r="F122" s="69" t="str" cm="1">
        <f t="array" ref="F122">VLOOKUP(B122,'Player Data'!A1:B673,2,FALSE)</f>
        <v>N.J</v>
      </c>
      <c r="G122" s="11" cm="1">
        <f t="array" ref="G122">VLOOKUP(B122,'Player Data'!A1:D673,3,FALSE)</f>
        <v>28</v>
      </c>
      <c r="H122" s="51" cm="1">
        <f t="array" ref="H122">IFERROR(VLOOKUP(B122,ADP!A1:F671,6,FALSE)/1000000,VLOOKUP(B122,ADP!A1:F671,6,FALSE))</f>
        <v>7.875</v>
      </c>
      <c r="I122" s="52">
        <f>IF(Settings!$E$15="POINTS",((R122*Q122)*Settings!$B$12)+(S122*Settings!$B$2)+(T122*Settings!$B$3)+(U122*Settings!$B$4)+(V122*Settings!$B$5)+(X122*Settings!$B$9)+(AA122*Settings!$B$6)+(W122*Settings!$B$8)+(AB122*Settings!$B$7)+(AC122*Settings!$B$14)+(AD122*Settings!$B$15)+(AE122*Settings!$B$16)+(AF122*Settings!$B$17)+(AG122*Settings!$B$18)+(Y122*Settings!$B$10)+(Z122*Settings!$B$11),VLOOKUP(B122,'Standard Deviations'!A$1:C$672,3,FALSE))</f>
        <v>6.7986408508846496</v>
      </c>
      <c r="J122" s="53" cm="1">
        <f t="array" ref="J122">IF(D122="G",I122/AJ122,I122/Q122)</f>
        <v>8.0936200605769643E-2</v>
      </c>
      <c r="K122" s="52" cm="1">
        <f t="array" ref="K122">IF(Settings!$E$18="C/LW/RW",VLOOKUP(B122,RW!A1:F210,6,FALSE),VLOOKUP(B122,F!A1:F407,6,FALSE))</f>
        <v>-8.8593750924427894E-2</v>
      </c>
      <c r="L122" s="54" cm="1">
        <f t="array" ref="L122">IFERROR(K122/H122,"N/A")</f>
        <v>-1.1250000117387669E-2</v>
      </c>
      <c r="M122" s="55">
        <v>75</v>
      </c>
      <c r="N122" s="55" cm="1">
        <f t="array" ref="N122">IFERROR(M122-A122,"N/A")</f>
        <v>-30</v>
      </c>
      <c r="O122" s="80"/>
      <c r="P122" s="56" cm="1">
        <f t="array" ref="P122">_xlfn.XLOOKUP($B122,ADP!A2:A671,ADP!G2:G671)</f>
        <v>0</v>
      </c>
      <c r="Q122" s="57" cm="1">
        <f t="array" ref="Q122">IF(Settings!$E$12="YES",VLOOKUP(B122,'Player Data'!A1:E673,5,FALSE),84)</f>
        <v>84</v>
      </c>
      <c r="R122" s="55" cm="1">
        <f t="array" ref="R122">VLOOKUP(B122,'Player Data'!$A1:$AE673,6,FALSE)</f>
        <v>19</v>
      </c>
      <c r="S122" s="57" cm="1">
        <f t="array" ref="S122">VLOOKUP(B122,'Player Data'!$A1:$AE673,7,FALSE)*$Q122*IFERROR((VLOOKUP(P122,Settings!$E$28:$F$33,2,FALSE)+1),1)</f>
        <v>23.520000000000003</v>
      </c>
      <c r="T122" s="57" cm="1">
        <f t="array" ref="T122">VLOOKUP(B122,'Player Data'!$A1:$AE673,8,FALSE)*$Q122*IFERROR((VLOOKUP(P122,Settings!$E$28:$F$33,2,FALSE)+1),1)</f>
        <v>57.120000000000005</v>
      </c>
      <c r="U122" s="57" cm="1">
        <f t="array" ref="U122">SUM(S122:T122)</f>
        <v>80.640000000000015</v>
      </c>
      <c r="V122" s="57" cm="1">
        <f t="array" ref="V122">VLOOKUP(B122,'Player Data'!$A1:$AE673,10,FALSE)*$Q122*IFERROR(((VLOOKUP(P122,Settings!$E$28:$F$33,2,FALSE)/2)+1),1)</f>
        <v>196.56</v>
      </c>
      <c r="W122" s="58" cm="1">
        <f t="array" ref="W122">VLOOKUP(B122,'Player Data'!$A1:$AE673,11,FALSE)*$Q122*IFERROR((VLOOKUP(P122,Settings!$E$28:$F$33,2,FALSE)+1),1)</f>
        <v>5.8800000000000008</v>
      </c>
      <c r="X122" s="57" cm="1">
        <f t="array" ref="X122">VLOOKUP(B122,'Player Data'!$A1:$AE673,12,FALSE)*$Q122*IFERROR((VLOOKUP(P122,Settings!$E$28:$F$33,2,FALSE)+1),1)</f>
        <v>26.88</v>
      </c>
      <c r="Y122" s="57" cm="1">
        <f t="array" ref="Y122">VLOOKUP(B122,'Player Data'!$A1:$AE673,13,FALSE)*$Q122</f>
        <v>0.84</v>
      </c>
      <c r="Z122" s="57" cm="1">
        <f t="array" ref="Z122">VLOOKUP(B122,'Player Data'!$A1:$AE673,14,FALSE)*$Q122</f>
        <v>1.68</v>
      </c>
      <c r="AA122" s="57" cm="1">
        <f t="array" ref="AA122">VLOOKUP(B122,'Player Data'!$A1:$AE673,15,FALSE)*$Q122</f>
        <v>31.92</v>
      </c>
      <c r="AB122" s="57" cm="1">
        <f t="array" ref="AB122">VLOOKUP(B122,'Player Data'!$A1:$AE673,16,FALSE)*$Q122</f>
        <v>82.32</v>
      </c>
      <c r="AC122" s="57" cm="1">
        <f t="array" ref="AC122">VLOOKUP(B122,'Player Data'!$A1:$AE673,17,FALSE)*$Q122*IFERROR((VLOOKUP(P122,Settings!$E$28:$F$33,2,FALSE)+1),1)</f>
        <v>2.52</v>
      </c>
      <c r="AD122" s="57" cm="1">
        <f t="array" ref="AD122">VLOOKUP(B122,'Player Data'!$A1:$AE673,18,FALSE)*$Q122</f>
        <v>18.48</v>
      </c>
      <c r="AE122" s="57" cm="1">
        <f t="array" ref="AE122">VLOOKUP(B122,'Player Data'!$A1:$AE673,19,FALSE)*$Q122*IFERROR((VLOOKUP(P122,Settings!$E$28:$F$33,2,FALSE)+1),1)</f>
        <v>4.2</v>
      </c>
      <c r="AF122" s="57" cm="1">
        <f t="array" ref="AF122">VLOOKUP(B122,'Player Data'!$A1:$AE673,20,FALSE)*$Q122</f>
        <v>2.52</v>
      </c>
      <c r="AG122" s="57" cm="1">
        <f t="array" ref="AG122">VLOOKUP(B122,'Player Data'!$A1:$AE673,21,FALSE)*$Q122</f>
        <v>9.24</v>
      </c>
      <c r="AH122" s="59" cm="1">
        <f t="array" ref="AH122">VLOOKUP(B122,'Player Data'!$A1:$AE673,22,FALSE)</f>
        <v>0.2</v>
      </c>
      <c r="AI122" s="55"/>
      <c r="AJ122" s="57"/>
      <c r="AK122" s="57"/>
      <c r="AL122" s="57"/>
      <c r="AM122" s="57"/>
      <c r="AN122" s="57"/>
      <c r="AO122" s="57"/>
      <c r="AP122" s="57"/>
      <c r="AQ122" s="60"/>
      <c r="AR122" s="61"/>
      <c r="AS122" s="55"/>
    </row>
    <row r="123" spans="1:45" ht="21.25" customHeight="1" x14ac:dyDescent="0.15">
      <c r="A123" s="62">
        <f>RANK(K123,K$2:K$671)</f>
        <v>137</v>
      </c>
      <c r="B123" s="10" t="s">
        <v>229</v>
      </c>
      <c r="C123" s="47" t="s">
        <v>145</v>
      </c>
      <c r="D123" s="48" t="str" cm="1">
        <f t="array" ref="D123">VLOOKUP(B123,'Player Data'!A1:D673,4,FALSE)</f>
        <v>D</v>
      </c>
      <c r="E123" s="68" cm="1">
        <f t="array" ref="E123">VLOOKUP(B123,D!A1:C204,3,FALSE)</f>
        <v>50</v>
      </c>
      <c r="F123" s="73" t="str" cm="1">
        <f t="array" ref="F123">VLOOKUP(B123,'Player Data'!A1:B673,2,FALSE)</f>
        <v>BUF</v>
      </c>
      <c r="G123" s="71" cm="1">
        <f t="array" ref="G123">VLOOKUP(B123,'Player Data'!A1:D673,3,FALSE)</f>
        <v>23</v>
      </c>
      <c r="H123" s="51" cm="1">
        <f t="array" ref="H123">IFERROR(VLOOKUP(B123,ADP!A1:F671,6,FALSE)/1000000,VLOOKUP(B123,ADP!A1:F671,6,FALSE))</f>
        <v>8.35</v>
      </c>
      <c r="I123" s="52">
        <f>IF(Settings!$E$15="POINTS",((R123*Q123)*Settings!$B$12)+(S123*Settings!$B$2)+(T123*Settings!$B$3)+(U123*Settings!$B$4)+(V123*Settings!$B$5)+(X123*Settings!$B$9)+(AA123*Settings!$B$6)+(W123*Settings!$B$8)+(AB123*Settings!$B$7)+(AC123*Settings!$B$14)+(AD123*Settings!$B$15)+(AE123*Settings!$B$16)+(AF123*Settings!$B$17)+(AG123*Settings!$B$18)+(U123*Settings!$B$13)+(Y123*Settings!$B$10)+(Z123*Settings!$B$11),VLOOKUP(B123,'Standard Deviations'!A$1:C$672,3,FALSE))</f>
        <v>-0.47501528981463437</v>
      </c>
      <c r="J123" s="53" cm="1">
        <f t="array" ref="J123">IF(D123="G",I123/AJ123,I123/Q123)</f>
        <v>-5.7230757808992092E-3</v>
      </c>
      <c r="K123" s="52" cm="1">
        <f t="array" ref="K123">VLOOKUP(B123,D!A1:F204,6,FALSE)</f>
        <v>-1.0418662043321887</v>
      </c>
      <c r="L123" s="54" cm="1">
        <f t="array" ref="L123">IFERROR(K123/H123,"N/A")</f>
        <v>-0.12477439572840583</v>
      </c>
      <c r="M123" s="55">
        <v>132.5</v>
      </c>
      <c r="N123" s="55" cm="1">
        <f t="array" ref="N123">IFERROR(M123-A123,"N/A")</f>
        <v>-4.5</v>
      </c>
      <c r="O123" s="82"/>
      <c r="P123" s="56" t="str" cm="1">
        <f t="array" ref="P123">_xlfn.XLOOKUP($B123,ADP!A2:A671,ADP!G2:G671)</f>
        <v>+</v>
      </c>
      <c r="Q123" s="57" cm="1">
        <f t="array" ref="Q123">IF(Settings!$E$12="YES",VLOOKUP(B123,'Player Data'!A1:E673,5,FALSE),84)</f>
        <v>83</v>
      </c>
      <c r="R123" s="81" cm="1">
        <f t="array" ref="R123">VLOOKUP(B123,'Player Data'!$A1:$AE673,6,FALSE)</f>
        <v>23.9</v>
      </c>
      <c r="S123" s="57" cm="1">
        <f t="array" ref="S123">VLOOKUP(B123,'Player Data'!$A1:$AE673,7,FALSE)*$Q123*IFERROR((VLOOKUP(P123,Settings!$E$28:$F$33,2,FALSE)+1),1)</f>
        <v>9.5865000000000009</v>
      </c>
      <c r="T123" s="57" cm="1">
        <f t="array" ref="T123">VLOOKUP(B123,'Player Data'!$A1:$AE673,8,FALSE)*$Q123*IFERROR((VLOOKUP(P123,Settings!$E$28:$F$33,2,FALSE)+1),1)</f>
        <v>33.116999999999997</v>
      </c>
      <c r="U123" s="57" cm="1">
        <f t="array" ref="U123">SUM(S123:T123)</f>
        <v>42.703499999999998</v>
      </c>
      <c r="V123" s="57" cm="1">
        <f t="array" ref="V123">VLOOKUP(B123,'Player Data'!$A1:$AE673,10,FALSE)*$Q123*IFERROR(((VLOOKUP(P123,Settings!$E$28:$F$33,2,FALSE)/2)+1),1)</f>
        <v>149.732</v>
      </c>
      <c r="W123" s="57" cm="1">
        <f t="array" ref="W123">VLOOKUP(B123,'Player Data'!$A1:$AE673,11,FALSE)*$Q123*IFERROR((VLOOKUP(P123,Settings!$E$28:$F$33,2,FALSE)+1),1)</f>
        <v>0.87150000000000016</v>
      </c>
      <c r="X123" s="57" cm="1">
        <f t="array" ref="X123">VLOOKUP(B123,'Player Data'!$A1:$AE673,12,FALSE)*$Q123*IFERROR((VLOOKUP(P123,Settings!$E$28:$F$33,2,FALSE)+1),1)</f>
        <v>5.2290000000000001</v>
      </c>
      <c r="Y123" s="57" cm="1">
        <f t="array" ref="Y123">VLOOKUP(B123,'Player Data'!$A1:$AE673,13,FALSE)*$Q123</f>
        <v>0</v>
      </c>
      <c r="Z123" s="57" cm="1">
        <f t="array" ref="Z123">VLOOKUP(B123,'Player Data'!$A1:$AE673,14,FALSE)*$Q123</f>
        <v>1.6600000000000001</v>
      </c>
      <c r="AA123" s="57" cm="1">
        <f t="array" ref="AA123">VLOOKUP(B123,'Player Data'!$A1:$AE673,15,FALSE)*$Q123</f>
        <v>117.86</v>
      </c>
      <c r="AB123" s="57" cm="1">
        <f t="array" ref="AB123">VLOOKUP(B123,'Player Data'!$A1:$AE673,16,FALSE)*$Q123</f>
        <v>40.67</v>
      </c>
      <c r="AC123" s="57" cm="1">
        <f t="array" ref="AC123">VLOOKUP(B123,'Player Data'!$A1:$AE673,17,FALSE)*$Q123*IFERROR((VLOOKUP(P123,Settings!$E$28:$F$33,2,FALSE)+1),1)</f>
        <v>0.87150000000000016</v>
      </c>
      <c r="AD123" s="57" cm="1">
        <f t="array" ref="AD123">VLOOKUP(B123,'Player Data'!$A1:$AE673,18,FALSE)*$Q123</f>
        <v>24.069999999999997</v>
      </c>
      <c r="AE123" s="57" cm="1">
        <f t="array" ref="AE123">VLOOKUP(B123,'Player Data'!$A1:$AE673,19,FALSE)*$Q123*IFERROR((VLOOKUP(P123,Settings!$E$28:$F$33,2,FALSE)+1),1)</f>
        <v>1.7430000000000003</v>
      </c>
      <c r="AF123" s="57" cm="1">
        <f t="array" ref="AF123">VLOOKUP(B123,'Player Data'!$A1:$AE673,20,FALSE)*$Q123</f>
        <v>0</v>
      </c>
      <c r="AG123" s="57" cm="1">
        <f t="array" ref="AG123">VLOOKUP(B123,'Player Data'!$A1:$AE673,21,FALSE)*$Q123</f>
        <v>0</v>
      </c>
      <c r="AH123" s="59" cm="1">
        <f t="array" ref="AH123">VLOOKUP(B123,'Player Data'!$A1:$AE673,22,FALSE)</f>
        <v>0</v>
      </c>
      <c r="AI123" s="55"/>
      <c r="AJ123" s="57"/>
      <c r="AK123" s="57"/>
      <c r="AL123" s="57"/>
      <c r="AM123" s="57"/>
      <c r="AN123" s="57"/>
      <c r="AO123" s="57"/>
      <c r="AP123" s="57"/>
      <c r="AQ123" s="60"/>
      <c r="AR123" s="61"/>
      <c r="AS123" s="55"/>
    </row>
    <row r="124" spans="1:45" ht="21.25" customHeight="1" x14ac:dyDescent="0.15">
      <c r="A124" s="62">
        <f>RANK(K124,K$2:K$671)</f>
        <v>107</v>
      </c>
      <c r="B124" s="10" t="s">
        <v>195</v>
      </c>
      <c r="C124" s="47" t="s">
        <v>145</v>
      </c>
      <c r="D124" s="48" t="str" cm="1">
        <f t="array" ref="D124">VLOOKUP(B124,'Player Data'!A1:D673,4,FALSE)</f>
        <v>C,RW</v>
      </c>
      <c r="E124" s="74" cm="1">
        <f t="array" ref="E124">VLOOKUP(B124,RW!A1:F210,3,FALSE)</f>
        <v>26</v>
      </c>
      <c r="F124" s="56" t="str" cm="1">
        <f t="array" ref="F124">VLOOKUP(B124,'Player Data'!A1:B673,2,FALSE)</f>
        <v>NYR</v>
      </c>
      <c r="G124" s="66" cm="1">
        <f t="array" ref="G124">VLOOKUP(B124,'Player Data'!A1:D673,3,FALSE)</f>
        <v>33</v>
      </c>
      <c r="H124" s="51" cm="1">
        <f t="array" ref="H124">IFERROR(VLOOKUP(B124,ADP!A1:F671,6,FALSE)/1000000,VLOOKUP(B124,ADP!A1:F671,6,FALSE))</f>
        <v>8.5</v>
      </c>
      <c r="I124" s="52">
        <f>IF(Settings!$E$15="POINTS",((R124*Q124)*Settings!$B$12)+(S124*Settings!$B$2)+(T124*Settings!$B$3)+(U124*Settings!$B$4)+(V124*Settings!$B$5)+(X124*Settings!$B$9)+(AA124*Settings!$B$6)+(W124*Settings!$B$8)+(AB124*Settings!$B$7)+(AC124*Settings!$B$14)+(AD124*Settings!$B$15)+(AE124*Settings!$B$16)+(AF124*Settings!$B$17)+(AG124*Settings!$B$18)+(Y124*Settings!$B$10)+(Z124*Settings!$B$11),VLOOKUP(B124,'Standard Deviations'!A$1:C$672,3,FALSE))</f>
        <v>6.7566070852954736</v>
      </c>
      <c r="J124" s="53" cm="1">
        <f t="array" ref="J124">IF(D124="G",I124/AJ124,I124/Q124)</f>
        <v>8.0435798634469924E-2</v>
      </c>
      <c r="K124" s="52" cm="1">
        <f t="array" ref="K124">IF(Settings!$E$18="C/LW/RW",VLOOKUP(B124,RW!A1:F210,6,FALSE),VLOOKUP(B124,F!A1:F407,6,FALSE))</f>
        <v>-0.13062751651360394</v>
      </c>
      <c r="L124" s="54" cm="1">
        <f t="array" ref="L124">IFERROR(K124/H124,"N/A")</f>
        <v>-1.5367943119247522E-2</v>
      </c>
      <c r="M124" s="55">
        <v>91.9</v>
      </c>
      <c r="N124" s="55" cm="1">
        <f t="array" ref="N124">IFERROR(M124-A124,"N/A")</f>
        <v>-15.099999999999994</v>
      </c>
      <c r="O124" s="55"/>
      <c r="P124" s="56" cm="1">
        <f t="array" ref="P124">_xlfn.XLOOKUP($B124,ADP!A2:A671,ADP!G2:G671)</f>
        <v>0</v>
      </c>
      <c r="Q124" s="57" cm="1">
        <f t="array" ref="Q124">IF(Settings!$E$12="YES",VLOOKUP(B124,'Player Data'!A1:E673,5,FALSE),84)</f>
        <v>84</v>
      </c>
      <c r="R124" s="55" cm="1">
        <f t="array" ref="R124">VLOOKUP(B124,'Player Data'!$A1:$AE673,6,FALSE)</f>
        <v>21</v>
      </c>
      <c r="S124" s="57" cm="1">
        <f t="array" ref="S124">VLOOKUP(B124,'Player Data'!$A1:$AE673,7,FALSE)*$Q124*IFERROR((VLOOKUP(P124,Settings!$E$28:$F$33,2,FALSE)+1),1)</f>
        <v>28.560000000000002</v>
      </c>
      <c r="T124" s="57" cm="1">
        <f t="array" ref="T124">VLOOKUP(B124,'Player Data'!$A1:$AE673,8,FALSE)*$Q124*IFERROR((VLOOKUP(P124,Settings!$E$28:$F$33,2,FALSE)+1),1)</f>
        <v>46.2</v>
      </c>
      <c r="U124" s="57" cm="1">
        <f t="array" ref="U124">SUM(S124:T124)</f>
        <v>74.760000000000005</v>
      </c>
      <c r="V124" s="57" cm="1">
        <f t="array" ref="V124">VLOOKUP(B124,'Player Data'!$A1:$AE673,10,FALSE)*$Q124*IFERROR(((VLOOKUP(P124,Settings!$E$28:$F$33,2,FALSE)/2)+1),1)</f>
        <v>225.12</v>
      </c>
      <c r="W124" s="58" cm="1">
        <f t="array" ref="W124">VLOOKUP(B124,'Player Data'!$A1:$AE673,11,FALSE)*$Q124*IFERROR((VLOOKUP(P124,Settings!$E$28:$F$33,2,FALSE)+1),1)</f>
        <v>12.6</v>
      </c>
      <c r="X124" s="57" cm="1">
        <f t="array" ref="X124">VLOOKUP(B124,'Player Data'!$A1:$AE673,12,FALSE)*$Q124*IFERROR((VLOOKUP(P124,Settings!$E$28:$F$33,2,FALSE)+1),1)</f>
        <v>30.24</v>
      </c>
      <c r="Y124" s="57" cm="1">
        <f t="array" ref="Y124">VLOOKUP(B124,'Player Data'!$A1:$AE673,13,FALSE)*$Q124</f>
        <v>0.84</v>
      </c>
      <c r="Z124" s="57" cm="1">
        <f t="array" ref="Z124">VLOOKUP(B124,'Player Data'!$A1:$AE673,14,FALSE)*$Q124</f>
        <v>2.52</v>
      </c>
      <c r="AA124" s="57" cm="1">
        <f t="array" ref="AA124">VLOOKUP(B124,'Player Data'!$A1:$AE673,15,FALSE)*$Q124</f>
        <v>52.08</v>
      </c>
      <c r="AB124" s="57" cm="1">
        <f t="array" ref="AB124">VLOOKUP(B124,'Player Data'!$A1:$AE673,16,FALSE)*$Q124</f>
        <v>88.2</v>
      </c>
      <c r="AC124" s="57" cm="1">
        <f t="array" ref="AC124">VLOOKUP(B124,'Player Data'!$A1:$AE673,17,FALSE)*$Q124*IFERROR((VLOOKUP(P124,Settings!$E$28:$F$33,2,FALSE)+1),1)</f>
        <v>-0.84</v>
      </c>
      <c r="AD124" s="57" cm="1">
        <f t="array" ref="AD124">VLOOKUP(B124,'Player Data'!$A1:$AE673,18,FALSE)*$Q124</f>
        <v>23.520000000000003</v>
      </c>
      <c r="AE124" s="57" cm="1">
        <f t="array" ref="AE124">VLOOKUP(B124,'Player Data'!$A1:$AE673,19,FALSE)*$Q124*IFERROR((VLOOKUP(P124,Settings!$E$28:$F$33,2,FALSE)+1),1)</f>
        <v>4.2</v>
      </c>
      <c r="AF124" s="57" cm="1">
        <f t="array" ref="AF124">VLOOKUP(B124,'Player Data'!$A1:$AE673,20,FALSE)*$Q124</f>
        <v>598.08000000000004</v>
      </c>
      <c r="AG124" s="57" cm="1">
        <f t="array" ref="AG124">VLOOKUP(B124,'Player Data'!$A1:$AE673,21,FALSE)*$Q124</f>
        <v>563.64</v>
      </c>
      <c r="AH124" s="59" cm="1">
        <f t="array" ref="AH124">VLOOKUP(B124,'Player Data'!$A1:$AE673,22,FALSE)</f>
        <v>0.52</v>
      </c>
      <c r="AI124" s="55"/>
      <c r="AJ124" s="57"/>
      <c r="AK124" s="57"/>
      <c r="AL124" s="57"/>
      <c r="AM124" s="57"/>
      <c r="AN124" s="57"/>
      <c r="AO124" s="57"/>
      <c r="AP124" s="57"/>
      <c r="AQ124" s="60"/>
      <c r="AR124" s="61"/>
      <c r="AS124" s="55"/>
    </row>
    <row r="125" spans="1:45" ht="21.25" customHeight="1" x14ac:dyDescent="0.15">
      <c r="A125" s="62">
        <f>RANK(K125,K$2:K$671)</f>
        <v>138</v>
      </c>
      <c r="B125" s="10" t="s">
        <v>215</v>
      </c>
      <c r="C125" s="47" t="s">
        <v>145</v>
      </c>
      <c r="D125" s="48" t="str" cm="1">
        <f t="array" ref="D125">VLOOKUP(B125,'Player Data'!A1:D673,4,FALSE)</f>
        <v>D</v>
      </c>
      <c r="E125" s="68" cm="1">
        <f t="array" ref="E125">VLOOKUP(B125,D!A1:C204,3,FALSE)</f>
        <v>51</v>
      </c>
      <c r="F125" s="63" t="str" cm="1">
        <f t="array" ref="F125">VLOOKUP(B125,'Player Data'!A1:B673,2,FALSE)</f>
        <v>SEA</v>
      </c>
      <c r="G125" s="11" cm="1">
        <f t="array" ref="G125">VLOOKUP(B125,'Player Data'!A1:D673,3,FALSE)</f>
        <v>29</v>
      </c>
      <c r="H125" s="67" cm="1">
        <f t="array" ref="H125">IFERROR(VLOOKUP(B125,ADP!A1:F671,6,FALSE)/1000000,VLOOKUP(B125,ADP!A1:F671,6,FALSE))</f>
        <v>7.35</v>
      </c>
      <c r="I125" s="52">
        <f>IF(Settings!$E$15="POINTS",((R125*Q125)*Settings!$B$12)+(S125*Settings!$B$2)+(T125*Settings!$B$3)+(U125*Settings!$B$4)+(V125*Settings!$B$5)+(X125*Settings!$B$9)+(AA125*Settings!$B$6)+(W125*Settings!$B$8)+(AB125*Settings!$B$7)+(AC125*Settings!$B$14)+(AD125*Settings!$B$15)+(AE125*Settings!$B$16)+(AF125*Settings!$B$17)+(AG125*Settings!$B$18)+(U125*Settings!$B$13)+(Y125*Settings!$B$10)+(Z125*Settings!$B$11),VLOOKUP(B125,'Standard Deviations'!A$1:C$672,3,FALSE))</f>
        <v>-0.51894248766618056</v>
      </c>
      <c r="J125" s="53" cm="1">
        <f t="array" ref="J125">IF(D125="G",I125/AJ125,I125/Q125)</f>
        <v>-6.5688922489389942E-3</v>
      </c>
      <c r="K125" s="52" cm="1">
        <f t="array" ref="K125">VLOOKUP(B125,D!A1:F204,6,FALSE)</f>
        <v>-1.085793402183735</v>
      </c>
      <c r="L125" s="54" cm="1">
        <f t="array" ref="L125">IFERROR(K125/H125,"N/A")</f>
        <v>-0.14772699349438573</v>
      </c>
      <c r="M125" s="55">
        <v>125.4</v>
      </c>
      <c r="N125" s="55" cm="1">
        <f t="array" ref="N125">IFERROR(M125-A125,"N/A")</f>
        <v>-12.599999999999994</v>
      </c>
      <c r="O125" s="55"/>
      <c r="P125" s="56" cm="1">
        <f t="array" ref="P125">_xlfn.XLOOKUP($B125,ADP!A2:A671,ADP!G2:G671)</f>
        <v>0</v>
      </c>
      <c r="Q125" s="57" cm="1">
        <f t="array" ref="Q125">IF(Settings!$E$12="YES",VLOOKUP(B125,'Player Data'!A1:E673,5,FALSE),84)</f>
        <v>79</v>
      </c>
      <c r="R125" s="55" cm="1">
        <f t="array" ref="R125">VLOOKUP(B125,'Player Data'!$A1:$AE673,6,FALSE)</f>
        <v>21.7</v>
      </c>
      <c r="S125" s="57" cm="1">
        <f t="array" ref="S125">VLOOKUP(B125,'Player Data'!$A1:$AE673,7,FALSE)*$Q125*IFERROR((VLOOKUP(P125,Settings!$E$28:$F$33,2,FALSE)+1),1)</f>
        <v>10.27</v>
      </c>
      <c r="T125" s="57" cm="1">
        <f t="array" ref="T125">VLOOKUP(B125,'Player Data'!$A1:$AE673,8,FALSE)*$Q125*IFERROR((VLOOKUP(P125,Settings!$E$28:$F$33,2,FALSE)+1),1)</f>
        <v>35.550000000000004</v>
      </c>
      <c r="U125" s="57" cm="1">
        <f t="array" ref="U125">SUM(S125:T125)</f>
        <v>45.820000000000007</v>
      </c>
      <c r="V125" s="57" cm="1">
        <f t="array" ref="V125">VLOOKUP(B125,'Player Data'!$A1:$AE673,10,FALSE)*$Q125*IFERROR(((VLOOKUP(P125,Settings!$E$28:$F$33,2,FALSE)/2)+1),1)</f>
        <v>164.32</v>
      </c>
      <c r="W125" s="57" cm="1">
        <f t="array" ref="W125">VLOOKUP(B125,'Player Data'!$A1:$AE673,11,FALSE)*$Q125*IFERROR((VLOOKUP(P125,Settings!$E$28:$F$33,2,FALSE)+1),1)</f>
        <v>2.37</v>
      </c>
      <c r="X125" s="78" cm="1">
        <f t="array" ref="X125">VLOOKUP(B125,'Player Data'!$A1:$AE673,12,FALSE)*$Q125*IFERROR((VLOOKUP(P125,Settings!$E$28:$F$33,2,FALSE)+1),1)</f>
        <v>17.38</v>
      </c>
      <c r="Y125" s="57" cm="1">
        <f t="array" ref="Y125">VLOOKUP(B125,'Player Data'!$A1:$AE673,13,FALSE)*$Q125</f>
        <v>0</v>
      </c>
      <c r="Z125" s="57" cm="1">
        <f t="array" ref="Z125">VLOOKUP(B125,'Player Data'!$A1:$AE673,14,FALSE)*$Q125</f>
        <v>0</v>
      </c>
      <c r="AA125" s="57" cm="1">
        <f t="array" ref="AA125">VLOOKUP(B125,'Player Data'!$A1:$AE673,15,FALSE)*$Q125</f>
        <v>92.429999999999993</v>
      </c>
      <c r="AB125" s="57" cm="1">
        <f t="array" ref="AB125">VLOOKUP(B125,'Player Data'!$A1:$AE673,16,FALSE)*$Q125</f>
        <v>39.5</v>
      </c>
      <c r="AC125" s="57" cm="1">
        <f t="array" ref="AC125">VLOOKUP(B125,'Player Data'!$A1:$AE673,17,FALSE)*$Q125*IFERROR((VLOOKUP(P125,Settings!$E$28:$F$33,2,FALSE)+1),1)</f>
        <v>-7.1099999999999994</v>
      </c>
      <c r="AD125" s="57" cm="1">
        <f t="array" ref="AD125">VLOOKUP(B125,'Player Data'!$A1:$AE673,18,FALSE)*$Q125</f>
        <v>49.77</v>
      </c>
      <c r="AE125" s="57" cm="1">
        <f t="array" ref="AE125">VLOOKUP(B125,'Player Data'!$A1:$AE673,19,FALSE)*$Q125*IFERROR((VLOOKUP(P125,Settings!$E$28:$F$33,2,FALSE)+1),1)</f>
        <v>1.58</v>
      </c>
      <c r="AF125" s="57" cm="1">
        <f t="array" ref="AF125">VLOOKUP(B125,'Player Data'!$A1:$AE673,20,FALSE)*$Q125</f>
        <v>0</v>
      </c>
      <c r="AG125" s="57" cm="1">
        <f t="array" ref="AG125">VLOOKUP(B125,'Player Data'!$A1:$AE673,21,FALSE)*$Q125</f>
        <v>0</v>
      </c>
      <c r="AH125" s="59" cm="1">
        <f t="array" ref="AH125">VLOOKUP(B125,'Player Data'!$A1:$AE673,22,FALSE)</f>
        <v>0</v>
      </c>
      <c r="AI125" s="55"/>
      <c r="AJ125" s="57"/>
      <c r="AK125" s="57"/>
      <c r="AL125" s="57"/>
      <c r="AM125" s="57"/>
      <c r="AN125" s="57"/>
      <c r="AO125" s="57"/>
      <c r="AP125" s="57"/>
      <c r="AQ125" s="60"/>
      <c r="AR125" s="61"/>
      <c r="AS125" s="55"/>
    </row>
    <row r="126" spans="1:45" ht="21.25" customHeight="1" x14ac:dyDescent="0.15">
      <c r="A126" s="62">
        <f>RANK(K126,K$2:K$671)</f>
        <v>108</v>
      </c>
      <c r="B126" s="10" t="s">
        <v>228</v>
      </c>
      <c r="C126" s="47" t="s">
        <v>145</v>
      </c>
      <c r="D126" s="48" t="str" cm="1">
        <f t="array" ref="D126">VLOOKUP(B126,'Player Data'!A1:D673,4,FALSE)</f>
        <v>LW,RW</v>
      </c>
      <c r="E126" s="74" cm="1">
        <f t="array" ref="E126">VLOOKUP(B126,RW!A1:F210,3,FALSE)</f>
        <v>27</v>
      </c>
      <c r="F126" s="69" t="str" cm="1">
        <f t="array" ref="F126">VLOOKUP(B126,'Player Data'!A1:B673,2,FALSE)</f>
        <v>MTL</v>
      </c>
      <c r="G126" s="71" cm="1">
        <f t="array" ref="G126">VLOOKUP(B126,'Player Data'!A1:D673,3,FALSE)</f>
        <v>22</v>
      </c>
      <c r="H126" s="51" cm="1">
        <f t="array" ref="H126">IFERROR(VLOOKUP(B126,ADP!A1:F671,6,FALSE)/1000000,VLOOKUP(B126,ADP!A1:F671,6,FALSE))</f>
        <v>7.6</v>
      </c>
      <c r="I126" s="52">
        <f>IF(Settings!$E$15="POINTS",((R126*Q126)*Settings!$B$12)+(S126*Settings!$B$2)+(T126*Settings!$B$3)+(U126*Settings!$B$4)+(V126*Settings!$B$5)+(X126*Settings!$B$9)+(AA126*Settings!$B$6)+(W126*Settings!$B$8)+(AB126*Settings!$B$7)+(AC126*Settings!$B$14)+(AD126*Settings!$B$15)+(AE126*Settings!$B$16)+(AF126*Settings!$B$17)+(AG126*Settings!$B$18)+(Y126*Settings!$B$10)+(Z126*Settings!$B$11),VLOOKUP(B126,'Standard Deviations'!A$1:C$672,3,FALSE))</f>
        <v>6.7396192811947193</v>
      </c>
      <c r="J126" s="53" cm="1">
        <f t="array" ref="J126">IF(D126="G",I126/AJ126,I126/Q126)</f>
        <v>8.023356287136571E-2</v>
      </c>
      <c r="K126" s="52" cm="1">
        <f t="array" ref="K126">IF(Settings!$E$18="C/LW/RW",VLOOKUP(B126,RW!A1:F210,6,FALSE),VLOOKUP(B126,F!A1:F407,6,FALSE))</f>
        <v>-0.14761532061435823</v>
      </c>
      <c r="L126" s="54" cm="1">
        <f t="array" ref="L126">IFERROR(K126/H126,"N/A")</f>
        <v>-1.942306850188924E-2</v>
      </c>
      <c r="M126" s="55">
        <v>52.7</v>
      </c>
      <c r="N126" s="55" cm="1">
        <f t="array" ref="N126">IFERROR(M126-A126,"N/A")</f>
        <v>-55.3</v>
      </c>
      <c r="O126" s="55"/>
      <c r="P126" s="56" cm="1">
        <f t="array" ref="P126">_xlfn.XLOOKUP($B126,ADP!A2:A671,ADP!G2:G671)</f>
        <v>0</v>
      </c>
      <c r="Q126" s="57" cm="1">
        <f t="array" ref="Q126">IF(Settings!$E$12="YES",VLOOKUP(B126,'Player Data'!A1:E673,5,FALSE),84)</f>
        <v>84</v>
      </c>
      <c r="R126" s="55" cm="1">
        <f t="array" ref="R126">VLOOKUP(B126,'Player Data'!$A1:$AE673,6,FALSE)</f>
        <v>18.7</v>
      </c>
      <c r="S126" s="57" cm="1">
        <f t="array" ref="S126">VLOOKUP(B126,'Player Data'!$A1:$AE673,7,FALSE)*$Q126*IFERROR((VLOOKUP(P126,Settings!$E$28:$F$33,2,FALSE)+1),1)</f>
        <v>26.88</v>
      </c>
      <c r="T126" s="57" cm="1">
        <f t="array" ref="T126">VLOOKUP(B126,'Player Data'!$A1:$AE673,8,FALSE)*$Q126*IFERROR((VLOOKUP(P126,Settings!$E$28:$F$33,2,FALSE)+1),1)</f>
        <v>42</v>
      </c>
      <c r="U126" s="57" cm="1">
        <f t="array" ref="U126">SUM(S126:T126)</f>
        <v>68.88</v>
      </c>
      <c r="V126" s="57" cm="1">
        <f t="array" ref="V126">VLOOKUP(B126,'Player Data'!$A1:$AE673,10,FALSE)*$Q126*IFERROR(((VLOOKUP(P126,Settings!$E$28:$F$33,2,FALSE)/2)+1),1)</f>
        <v>179.76000000000002</v>
      </c>
      <c r="W126" s="58" cm="1">
        <f t="array" ref="W126">VLOOKUP(B126,'Player Data'!$A1:$AE673,11,FALSE)*$Q126*IFERROR((VLOOKUP(P126,Settings!$E$28:$F$33,2,FALSE)+1),1)</f>
        <v>10.92</v>
      </c>
      <c r="X126" s="57" cm="1">
        <f t="array" ref="X126">VLOOKUP(B126,'Player Data'!$A1:$AE673,12,FALSE)*$Q126*IFERROR((VLOOKUP(P126,Settings!$E$28:$F$33,2,FALSE)+1),1)</f>
        <v>22.68</v>
      </c>
      <c r="Y126" s="57" cm="1">
        <f t="array" ref="Y126">VLOOKUP(B126,'Player Data'!$A1:$AE673,13,FALSE)*$Q126</f>
        <v>0</v>
      </c>
      <c r="Z126" s="57" cm="1">
        <f t="array" ref="Z126">VLOOKUP(B126,'Player Data'!$A1:$AE673,14,FALSE)*$Q126</f>
        <v>0</v>
      </c>
      <c r="AA126" s="57" cm="1">
        <f t="array" ref="AA126">VLOOKUP(B126,'Player Data'!$A1:$AE673,15,FALSE)*$Q126</f>
        <v>73.08</v>
      </c>
      <c r="AB126" s="57" cm="1">
        <f t="array" ref="AB126">VLOOKUP(B126,'Player Data'!$A1:$AE673,16,FALSE)*$Q126</f>
        <v>131.88</v>
      </c>
      <c r="AC126" s="57" cm="1">
        <f t="array" ref="AC126">VLOOKUP(B126,'Player Data'!$A1:$AE673,17,FALSE)*$Q126*IFERROR((VLOOKUP(P126,Settings!$E$28:$F$33,2,FALSE)+1),1)</f>
        <v>4.2</v>
      </c>
      <c r="AD126" s="57" cm="1">
        <f t="array" ref="AD126">VLOOKUP(B126,'Player Data'!$A1:$AE673,18,FALSE)*$Q126</f>
        <v>47.879999999999995</v>
      </c>
      <c r="AE126" s="57" cm="1">
        <f t="array" ref="AE126">VLOOKUP(B126,'Player Data'!$A1:$AE673,19,FALSE)*$Q126*IFERROR((VLOOKUP(P126,Settings!$E$28:$F$33,2,FALSE)+1),1)</f>
        <v>4.2</v>
      </c>
      <c r="AF126" s="57" cm="1">
        <f t="array" ref="AF126">VLOOKUP(B126,'Player Data'!$A1:$AE673,20,FALSE)*$Q126</f>
        <v>17.64</v>
      </c>
      <c r="AG126" s="57" cm="1">
        <f t="array" ref="AG126">VLOOKUP(B126,'Player Data'!$A1:$AE673,21,FALSE)*$Q126</f>
        <v>32.76</v>
      </c>
      <c r="AH126" s="59" cm="1">
        <f t="array" ref="AH126">VLOOKUP(B126,'Player Data'!$A1:$AE673,22,FALSE)</f>
        <v>0.35</v>
      </c>
      <c r="AI126" s="55"/>
      <c r="AJ126" s="57"/>
      <c r="AK126" s="57"/>
      <c r="AL126" s="57"/>
      <c r="AM126" s="57"/>
      <c r="AN126" s="57"/>
      <c r="AO126" s="57"/>
      <c r="AP126" s="57"/>
      <c r="AQ126" s="60"/>
      <c r="AR126" s="61"/>
      <c r="AS126" s="55"/>
    </row>
    <row r="127" spans="1:45" ht="21.25" customHeight="1" x14ac:dyDescent="0.15">
      <c r="A127" s="62">
        <f>RANK(K127,K$2:K$671)</f>
        <v>139</v>
      </c>
      <c r="B127" s="10" t="s">
        <v>346</v>
      </c>
      <c r="C127" s="47" t="s">
        <v>145</v>
      </c>
      <c r="D127" s="48" t="str" cm="1">
        <f t="array" ref="D127">VLOOKUP(B127,'Player Data'!A1:D673,4,FALSE)</f>
        <v>D</v>
      </c>
      <c r="E127" s="68" cm="1">
        <f t="array" ref="E127">VLOOKUP(B127,D!A1:C204,3,FALSE)</f>
        <v>52</v>
      </c>
      <c r="F127" s="63" t="str" cm="1">
        <f t="array" ref="F127">VLOOKUP(B127,'Player Data'!A1:B673,2,FALSE)</f>
        <v>WPG</v>
      </c>
      <c r="G127" s="66" cm="1">
        <f t="array" ref="G127">VLOOKUP(B127,'Player Data'!A1:D673,3,FALSE)</f>
        <v>31</v>
      </c>
      <c r="H127" s="51" cm="1">
        <f t="array" ref="H127">IFERROR(VLOOKUP(B127,ADP!A1:F671,6,FALSE)/1000000,VLOOKUP(B127,ADP!A1:F671,6,FALSE))</f>
        <v>7</v>
      </c>
      <c r="I127" s="52">
        <f>IF(Settings!$E$15="POINTS",((R127*Q127)*Settings!$B$12)+(S127*Settings!$B$2)+(T127*Settings!$B$3)+(U127*Settings!$B$4)+(V127*Settings!$B$5)+(X127*Settings!$B$9)+(AA127*Settings!$B$6)+(W127*Settings!$B$8)+(AB127*Settings!$B$7)+(AC127*Settings!$B$14)+(AD127*Settings!$B$15)+(AE127*Settings!$B$16)+(AF127*Settings!$B$17)+(AG127*Settings!$B$18)+(U127*Settings!$B$13)+(Y127*Settings!$B$10)+(Z127*Settings!$B$11),VLOOKUP(B127,'Standard Deviations'!A$1:C$672,3,FALSE))</f>
        <v>-0.5329120631791836</v>
      </c>
      <c r="J127" s="53" cm="1">
        <f t="array" ref="J127">IF(D127="G",I127/AJ127,I127/Q127)</f>
        <v>-6.9209358854439426E-3</v>
      </c>
      <c r="K127" s="52" cm="1">
        <f t="array" ref="K127">VLOOKUP(B127,D!A1:F204,6,FALSE)</f>
        <v>-1.0997629776967379</v>
      </c>
      <c r="L127" s="54" cm="1">
        <f t="array" ref="L127">IFERROR(K127/H127,"N/A")</f>
        <v>-0.15710899681381971</v>
      </c>
      <c r="M127" s="84" t="s">
        <v>828</v>
      </c>
      <c r="N127" s="84" t="str" cm="1">
        <f t="array" ref="N127">IFERROR(M127-A127,"N/A")</f>
        <v>N/A</v>
      </c>
      <c r="O127" s="55"/>
      <c r="P127" s="56" cm="1">
        <f t="array" ref="P127">_xlfn.XLOOKUP($B127,ADP!A2:A671,ADP!G2:G671)</f>
        <v>0</v>
      </c>
      <c r="Q127" s="57" cm="1">
        <f t="array" ref="Q127">IF(Settings!$E$12="YES",VLOOKUP(B127,'Player Data'!A1:E673,5,FALSE),84)</f>
        <v>77</v>
      </c>
      <c r="R127" s="83" cm="1">
        <f t="array" ref="R127">VLOOKUP(B127,'Player Data'!$A1:$AE673,6,FALSE)</f>
        <v>20.7</v>
      </c>
      <c r="S127" s="57" cm="1">
        <f t="array" ref="S127">VLOOKUP(B127,'Player Data'!$A1:$AE673,7,FALSE)*$Q127*IFERROR((VLOOKUP(P127,Settings!$E$28:$F$33,2,FALSE)+1),1)</f>
        <v>4.62</v>
      </c>
      <c r="T127" s="57" cm="1">
        <f t="array" ref="T127">VLOOKUP(B127,'Player Data'!$A1:$AE673,8,FALSE)*$Q127*IFERROR((VLOOKUP(P127,Settings!$E$28:$F$33,2,FALSE)+1),1)</f>
        <v>20.790000000000003</v>
      </c>
      <c r="U127" s="57" cm="1">
        <f t="array" ref="U127">SUM(S127:T127)</f>
        <v>25.410000000000004</v>
      </c>
      <c r="V127" s="57" cm="1">
        <f t="array" ref="V127">VLOOKUP(B127,'Player Data'!$A1:$AE673,10,FALSE)*$Q127*IFERROR(((VLOOKUP(P127,Settings!$E$28:$F$33,2,FALSE)/2)+1),1)</f>
        <v>118.58</v>
      </c>
      <c r="W127" s="57" cm="1">
        <f t="array" ref="W127">VLOOKUP(B127,'Player Data'!$A1:$AE673,11,FALSE)*$Q127*IFERROR((VLOOKUP(P127,Settings!$E$28:$F$33,2,FALSE)+1),1)</f>
        <v>1.54</v>
      </c>
      <c r="X127" s="57" cm="1">
        <f t="array" ref="X127">VLOOKUP(B127,'Player Data'!$A1:$AE673,12,FALSE)*$Q127*IFERROR((VLOOKUP(P127,Settings!$E$28:$F$33,2,FALSE)+1),1)</f>
        <v>6.16</v>
      </c>
      <c r="Y127" s="57" cm="1">
        <f t="array" ref="Y127">VLOOKUP(B127,'Player Data'!$A1:$AE673,13,FALSE)*$Q127</f>
        <v>0</v>
      </c>
      <c r="Z127" s="57" cm="1">
        <f t="array" ref="Z127">VLOOKUP(B127,'Player Data'!$A1:$AE673,14,FALSE)*$Q127</f>
        <v>0.77</v>
      </c>
      <c r="AA127" s="57" cm="1">
        <f t="array" ref="AA127">VLOOKUP(B127,'Player Data'!$A1:$AE673,15,FALSE)*$Q127</f>
        <v>107.8</v>
      </c>
      <c r="AB127" s="57" cm="1">
        <f t="array" ref="AB127">VLOOKUP(B127,'Player Data'!$A1:$AE673,16,FALSE)*$Q127</f>
        <v>127.05</v>
      </c>
      <c r="AC127" s="57" cm="1">
        <f t="array" ref="AC127">VLOOKUP(B127,'Player Data'!$A1:$AE673,17,FALSE)*$Q127*IFERROR((VLOOKUP(P127,Settings!$E$28:$F$33,2,FALSE)+1),1)</f>
        <v>0.77</v>
      </c>
      <c r="AD127" s="57" cm="1">
        <f t="array" ref="AD127">VLOOKUP(B127,'Player Data'!$A1:$AE673,18,FALSE)*$Q127</f>
        <v>42.35</v>
      </c>
      <c r="AE127" s="57" cm="1">
        <f t="array" ref="AE127">VLOOKUP(B127,'Player Data'!$A1:$AE673,19,FALSE)*$Q127*IFERROR((VLOOKUP(P127,Settings!$E$28:$F$33,2,FALSE)+1),1)</f>
        <v>0.77</v>
      </c>
      <c r="AF127" s="57" cm="1">
        <f t="array" ref="AF127">VLOOKUP(B127,'Player Data'!$A1:$AE673,20,FALSE)*$Q127</f>
        <v>0</v>
      </c>
      <c r="AG127" s="57" cm="1">
        <f t="array" ref="AG127">VLOOKUP(B127,'Player Data'!$A1:$AE673,21,FALSE)*$Q127</f>
        <v>0</v>
      </c>
      <c r="AH127" s="59" cm="1">
        <f t="array" ref="AH127">VLOOKUP(B127,'Player Data'!$A1:$AE673,22,FALSE)</f>
        <v>0</v>
      </c>
      <c r="AI127" s="55"/>
      <c r="AJ127" s="57"/>
      <c r="AK127" s="57"/>
      <c r="AL127" s="57"/>
      <c r="AM127" s="57"/>
      <c r="AN127" s="57"/>
      <c r="AO127" s="57"/>
      <c r="AP127" s="57"/>
      <c r="AQ127" s="60"/>
      <c r="AR127" s="61"/>
      <c r="AS127" s="55"/>
    </row>
    <row r="128" spans="1:45" ht="21.25" customHeight="1" x14ac:dyDescent="0.15">
      <c r="A128" s="62">
        <f>RANK(K128,K$2:K$671)</f>
        <v>142</v>
      </c>
      <c r="B128" s="10" t="s">
        <v>400</v>
      </c>
      <c r="C128" s="47" t="s">
        <v>145</v>
      </c>
      <c r="D128" s="48" t="str" cm="1">
        <f t="array" ref="D128">VLOOKUP(B128,'Player Data'!A1:D673,4,FALSE)</f>
        <v>D</v>
      </c>
      <c r="E128" s="68" cm="1">
        <f t="array" ref="E128">VLOOKUP(B128,D!A1:C204,3,FALSE)</f>
        <v>53</v>
      </c>
      <c r="F128" s="65" t="str" cm="1">
        <f t="array" ref="F128">VLOOKUP(B128,'Player Data'!A1:B673,2,FALSE)</f>
        <v>T.B</v>
      </c>
      <c r="G128" s="11" cm="1">
        <f t="array" ref="G128">VLOOKUP(B128,'Player Data'!A1:D673,3,FALSE)</f>
        <v>28</v>
      </c>
      <c r="H128" s="67" cm="1">
        <f t="array" ref="H128">IFERROR(VLOOKUP(B128,ADP!A1:F671,6,FALSE)/1000000,VLOOKUP(B128,ADP!A1:F671,6,FALSE))</f>
        <v>0.875</v>
      </c>
      <c r="I128" s="52">
        <f>IF(Settings!$E$15="POINTS",((R128*Q128)*Settings!$B$12)+(S128*Settings!$B$2)+(T128*Settings!$B$3)+(U128*Settings!$B$4)+(V128*Settings!$B$5)+(X128*Settings!$B$9)+(AA128*Settings!$B$6)+(W128*Settings!$B$8)+(AB128*Settings!$B$7)+(AC128*Settings!$B$14)+(AD128*Settings!$B$15)+(AE128*Settings!$B$16)+(AF128*Settings!$B$17)+(AG128*Settings!$B$18)+(U128*Settings!$B$13)+(Y128*Settings!$B$10)+(Z128*Settings!$B$11),VLOOKUP(B128,'Standard Deviations'!A$1:C$672,3,FALSE))</f>
        <v>-0.55429605781944713</v>
      </c>
      <c r="J128" s="53" cm="1">
        <f t="array" ref="J128">IF(D128="G",I128/AJ128,I128/Q128)</f>
        <v>-7.0164057951828751E-3</v>
      </c>
      <c r="K128" s="52" cm="1">
        <f t="array" ref="K128">VLOOKUP(B128,D!A1:F204,6,FALSE)</f>
        <v>-1.1211469723370016</v>
      </c>
      <c r="L128" s="54" cm="1">
        <f t="array" ref="L128">IFERROR(K128/H128,"N/A")</f>
        <v>-1.2813108255280017</v>
      </c>
      <c r="M128" s="84" t="s">
        <v>828</v>
      </c>
      <c r="N128" s="84" t="str" cm="1">
        <f t="array" ref="N128">IFERROR(M128-A128,"N/A")</f>
        <v>N/A</v>
      </c>
      <c r="O128" s="55"/>
      <c r="P128" s="56" cm="1">
        <f t="array" ref="P128">_xlfn.XLOOKUP($B128,ADP!A2:A671,ADP!G2:G671)</f>
        <v>0</v>
      </c>
      <c r="Q128" s="57" cm="1">
        <f t="array" ref="Q128">IF(Settings!$E$12="YES",VLOOKUP(B128,'Player Data'!A1:E673,5,FALSE),84)</f>
        <v>79</v>
      </c>
      <c r="R128" s="83" cm="1">
        <f t="array" ref="R128">VLOOKUP(B128,'Player Data'!$A1:$AE673,6,FALSE)</f>
        <v>17.399999999999999</v>
      </c>
      <c r="S128" s="57" cm="1">
        <f t="array" ref="S128">VLOOKUP(B128,'Player Data'!$A1:$AE673,7,FALSE)*$Q128*IFERROR((VLOOKUP(P128,Settings!$E$28:$F$33,2,FALSE)+1),1)</f>
        <v>5.53</v>
      </c>
      <c r="T128" s="57" cm="1">
        <f t="array" ref="T128">VLOOKUP(B128,'Player Data'!$A1:$AE673,8,FALSE)*$Q128*IFERROR((VLOOKUP(P128,Settings!$E$28:$F$33,2,FALSE)+1),1)</f>
        <v>22.12</v>
      </c>
      <c r="U128" s="57" cm="1">
        <f t="array" ref="U128">SUM(S128:T128)</f>
        <v>27.650000000000002</v>
      </c>
      <c r="V128" s="57" cm="1">
        <f t="array" ref="V128">VLOOKUP(B128,'Player Data'!$A1:$AE673,10,FALSE)*$Q128*IFERROR(((VLOOKUP(P128,Settings!$E$28:$F$33,2,FALSE)/2)+1),1)</f>
        <v>84.53</v>
      </c>
      <c r="W128" s="57" cm="1">
        <f t="array" ref="W128">VLOOKUP(B128,'Player Data'!$A1:$AE673,11,FALSE)*$Q128*IFERROR((VLOOKUP(P128,Settings!$E$28:$F$33,2,FALSE)+1),1)</f>
        <v>0</v>
      </c>
      <c r="X128" s="57" cm="1">
        <f t="array" ref="X128">VLOOKUP(B128,'Player Data'!$A1:$AE673,12,FALSE)*$Q128*IFERROR((VLOOKUP(P128,Settings!$E$28:$F$33,2,FALSE)+1),1)</f>
        <v>2.37</v>
      </c>
      <c r="Y128" s="57" cm="1">
        <f t="array" ref="Y128">VLOOKUP(B128,'Player Data'!$A1:$AE673,13,FALSE)*$Q128</f>
        <v>0</v>
      </c>
      <c r="Z128" s="57" cm="1">
        <f t="array" ref="Z128">VLOOKUP(B128,'Player Data'!$A1:$AE673,14,FALSE)*$Q128</f>
        <v>0</v>
      </c>
      <c r="AA128" s="57" cm="1">
        <f t="array" ref="AA128">VLOOKUP(B128,'Player Data'!$A1:$AE673,15,FALSE)*$Q128</f>
        <v>83.740000000000009</v>
      </c>
      <c r="AB128" s="57" cm="1">
        <f t="array" ref="AB128">VLOOKUP(B128,'Player Data'!$A1:$AE673,16,FALSE)*$Q128</f>
        <v>97.17</v>
      </c>
      <c r="AC128" s="57" cm="1">
        <f t="array" ref="AC128">VLOOKUP(B128,'Player Data'!$A1:$AE673,17,FALSE)*$Q128*IFERROR((VLOOKUP(P128,Settings!$E$28:$F$33,2,FALSE)+1),1)</f>
        <v>7.1099999999999994</v>
      </c>
      <c r="AD128" s="57" cm="1">
        <f t="array" ref="AD128">VLOOKUP(B128,'Player Data'!$A1:$AE673,18,FALSE)*$Q128</f>
        <v>65.569999999999993</v>
      </c>
      <c r="AE128" s="57" cm="1">
        <f t="array" ref="AE128">VLOOKUP(B128,'Player Data'!$A1:$AE673,19,FALSE)*$Q128*IFERROR((VLOOKUP(P128,Settings!$E$28:$F$33,2,FALSE)+1),1)</f>
        <v>0.79</v>
      </c>
      <c r="AF128" s="57" cm="1">
        <f t="array" ref="AF128">VLOOKUP(B128,'Player Data'!$A1:$AE673,20,FALSE)*$Q128</f>
        <v>0</v>
      </c>
      <c r="AG128" s="57" cm="1">
        <f t="array" ref="AG128">VLOOKUP(B128,'Player Data'!$A1:$AE673,21,FALSE)*$Q128</f>
        <v>0</v>
      </c>
      <c r="AH128" s="59" cm="1">
        <f t="array" ref="AH128">VLOOKUP(B128,'Player Data'!$A1:$AE673,22,FALSE)</f>
        <v>0</v>
      </c>
      <c r="AI128" s="55"/>
      <c r="AJ128" s="57"/>
      <c r="AK128" s="57"/>
      <c r="AL128" s="57"/>
      <c r="AM128" s="57"/>
      <c r="AN128" s="57"/>
      <c r="AO128" s="57"/>
      <c r="AP128" s="57"/>
      <c r="AQ128" s="60"/>
      <c r="AR128" s="61"/>
      <c r="AS128" s="55"/>
    </row>
    <row r="129" spans="1:45" ht="21.25" customHeight="1" x14ac:dyDescent="0.15">
      <c r="A129" s="62">
        <f>RANK(K129,K$2:K$671)</f>
        <v>109</v>
      </c>
      <c r="B129" s="10" t="s">
        <v>210</v>
      </c>
      <c r="C129" s="47" t="s">
        <v>145</v>
      </c>
      <c r="D129" s="48" t="str" cm="1">
        <f t="array" ref="D129">VLOOKUP(B129,'Player Data'!A1:D673,4,FALSE)</f>
        <v>RW</v>
      </c>
      <c r="E129" s="64" cm="1">
        <f t="array" ref="E129">VLOOKUP(B129,RW!A1:F210,3,FALSE)</f>
        <v>28</v>
      </c>
      <c r="F129" s="70" t="str" cm="1">
        <f t="array" ref="F129">VLOOKUP(B129,'Player Data'!A1:B673,2,FALSE)</f>
        <v>L.A</v>
      </c>
      <c r="G129" s="11" cm="1">
        <f t="array" ref="G129">VLOOKUP(B129,'Player Data'!A1:D673,3,FALSE)</f>
        <v>30</v>
      </c>
      <c r="H129" s="51" cm="1">
        <f t="array" ref="H129">IFERROR(VLOOKUP(B129,ADP!A1:F671,6,FALSE)/1000000,VLOOKUP(B129,ADP!A1:F671,6,FALSE))</f>
        <v>10.625</v>
      </c>
      <c r="I129" s="52">
        <f>IF(Settings!$E$15="POINTS",((R129*Q129)*Settings!$B$12)+(S129*Settings!$B$2)+(T129*Settings!$B$3)+(U129*Settings!$B$4)+(V129*Settings!$B$5)+(X129*Settings!$B$9)+(AA129*Settings!$B$6)+(W129*Settings!$B$8)+(AB129*Settings!$B$7)+(AC129*Settings!$B$14)+(AD129*Settings!$B$15)+(AE129*Settings!$B$16)+(AF129*Settings!$B$17)+(AG129*Settings!$B$18)+(Y129*Settings!$B$10)+(Z129*Settings!$B$11),VLOOKUP(B129,'Standard Deviations'!A$1:C$672,3,FALSE))</f>
        <v>6.7057070523140316</v>
      </c>
      <c r="J129" s="53" cm="1">
        <f t="array" ref="J129">IF(D129="G",I129/AJ129,I129/Q129)</f>
        <v>8.0791651232699171E-2</v>
      </c>
      <c r="K129" s="52" cm="1">
        <f t="array" ref="K129">IF(Settings!$E$18="C/LW/RW",VLOOKUP(B129,RW!A1:F210,6,FALSE),VLOOKUP(B129,F!A1:F407,6,FALSE))</f>
        <v>-0.1815275494950459</v>
      </c>
      <c r="L129" s="54" cm="1">
        <f t="array" ref="L129">IFERROR(K129/H129,"N/A")</f>
        <v>-1.708494583482785E-2</v>
      </c>
      <c r="M129" s="55">
        <v>52.7</v>
      </c>
      <c r="N129" s="55" cm="1">
        <f t="array" ref="N129">IFERROR(M129-A129,"N/A")</f>
        <v>-56.3</v>
      </c>
      <c r="O129" s="55"/>
      <c r="P129" s="56" cm="1">
        <f t="array" ref="P129">_xlfn.XLOOKUP($B129,ADP!A2:A671,ADP!G2:G671)</f>
        <v>0</v>
      </c>
      <c r="Q129" s="57" cm="1">
        <f t="array" ref="Q129">IF(Settings!$E$12="YES",VLOOKUP(B129,'Player Data'!A1:E673,5,FALSE),84)</f>
        <v>83</v>
      </c>
      <c r="R129" s="55" cm="1">
        <f t="array" ref="R129">VLOOKUP(B129,'Player Data'!$A1:$AE673,6,FALSE)</f>
        <v>19.2</v>
      </c>
      <c r="S129" s="57" cm="1">
        <f t="array" ref="S129">VLOOKUP(B129,'Player Data'!$A1:$AE673,7,FALSE)*$Q129*IFERROR((VLOOKUP(P129,Settings!$E$28:$F$33,2,FALSE)+1),1)</f>
        <v>34.03</v>
      </c>
      <c r="T129" s="57" cm="1">
        <f t="array" ref="T129">VLOOKUP(B129,'Player Data'!$A1:$AE673,8,FALSE)*$Q129*IFERROR((VLOOKUP(P129,Settings!$E$28:$F$33,2,FALSE)+1),1)</f>
        <v>40.67</v>
      </c>
      <c r="U129" s="57" cm="1">
        <f t="array" ref="U129">SUM(S129:T129)</f>
        <v>74.7</v>
      </c>
      <c r="V129" s="57" cm="1">
        <f t="array" ref="V129">VLOOKUP(B129,'Player Data'!$A1:$AE673,10,FALSE)*$Q129*IFERROR(((VLOOKUP(P129,Settings!$E$28:$F$33,2,FALSE)/2)+1),1)</f>
        <v>238.21</v>
      </c>
      <c r="W129" s="58" cm="1">
        <f t="array" ref="W129">VLOOKUP(B129,'Player Data'!$A1:$AE673,11,FALSE)*$Q129*IFERROR((VLOOKUP(P129,Settings!$E$28:$F$33,2,FALSE)+1),1)</f>
        <v>5.8100000000000005</v>
      </c>
      <c r="X129" s="57" cm="1">
        <f t="array" ref="X129">VLOOKUP(B129,'Player Data'!$A1:$AE673,12,FALSE)*$Q129*IFERROR((VLOOKUP(P129,Settings!$E$28:$F$33,2,FALSE)+1),1)</f>
        <v>16.600000000000001</v>
      </c>
      <c r="Y129" s="57" cm="1">
        <f t="array" ref="Y129">VLOOKUP(B129,'Player Data'!$A1:$AE673,13,FALSE)*$Q129</f>
        <v>0</v>
      </c>
      <c r="Z129" s="57" cm="1">
        <f t="array" ref="Z129">VLOOKUP(B129,'Player Data'!$A1:$AE673,14,FALSE)*$Q129</f>
        <v>0.83000000000000007</v>
      </c>
      <c r="AA129" s="57" cm="1">
        <f t="array" ref="AA129">VLOOKUP(B129,'Player Data'!$A1:$AE673,15,FALSE)*$Q129</f>
        <v>39.01</v>
      </c>
      <c r="AB129" s="57" cm="1">
        <f t="array" ref="AB129">VLOOKUP(B129,'Player Data'!$A1:$AE673,16,FALSE)*$Q129</f>
        <v>116.19999999999999</v>
      </c>
      <c r="AC129" s="57" cm="1">
        <f t="array" ref="AC129">VLOOKUP(B129,'Player Data'!$A1:$AE673,17,FALSE)*$Q129*IFERROR((VLOOKUP(P129,Settings!$E$28:$F$33,2,FALSE)+1),1)</f>
        <v>0.83000000000000007</v>
      </c>
      <c r="AD129" s="57" cm="1">
        <f t="array" ref="AD129">VLOOKUP(B129,'Player Data'!$A1:$AE673,18,FALSE)*$Q129</f>
        <v>51.46</v>
      </c>
      <c r="AE129" s="57" cm="1">
        <f t="array" ref="AE129">VLOOKUP(B129,'Player Data'!$A1:$AE673,19,FALSE)*$Q129*IFERROR((VLOOKUP(P129,Settings!$E$28:$F$33,2,FALSE)+1),1)</f>
        <v>4.9799999999999995</v>
      </c>
      <c r="AF129" s="57" cm="1">
        <f t="array" ref="AF129">VLOOKUP(B129,'Player Data'!$A1:$AE673,20,FALSE)*$Q129</f>
        <v>41.5</v>
      </c>
      <c r="AG129" s="57" cm="1">
        <f t="array" ref="AG129">VLOOKUP(B129,'Player Data'!$A1:$AE673,21,FALSE)*$Q129</f>
        <v>73.040000000000006</v>
      </c>
      <c r="AH129" s="59" cm="1">
        <f t="array" ref="AH129">VLOOKUP(B129,'Player Data'!$A1:$AE673,22,FALSE)</f>
        <v>0.37</v>
      </c>
      <c r="AI129" s="55"/>
      <c r="AJ129" s="57"/>
      <c r="AK129" s="57"/>
      <c r="AL129" s="57"/>
      <c r="AM129" s="57"/>
      <c r="AN129" s="57"/>
      <c r="AO129" s="57"/>
      <c r="AP129" s="57"/>
      <c r="AQ129" s="60"/>
      <c r="AR129" s="61"/>
      <c r="AS129" s="55"/>
    </row>
    <row r="130" spans="1:45" ht="21.25" customHeight="1" x14ac:dyDescent="0.15">
      <c r="A130" s="62">
        <f>RANK(K130,K$2:K$671)</f>
        <v>113</v>
      </c>
      <c r="B130" s="10" t="s">
        <v>193</v>
      </c>
      <c r="C130" s="47" t="s">
        <v>145</v>
      </c>
      <c r="D130" s="48" t="str" cm="1">
        <f t="array" ref="D130">VLOOKUP(B130,'Player Data'!A1:D673,4,FALSE)</f>
        <v>C</v>
      </c>
      <c r="E130" s="49" cm="1">
        <f t="array" ref="E130">VLOOKUP(B130,'C'!A1:C210,3,FALSE)</f>
        <v>25</v>
      </c>
      <c r="F130" s="69" t="str" cm="1">
        <f t="array" ref="F130">VLOOKUP(B130,'Player Data'!A1:B673,2,FALSE)</f>
        <v>N.J</v>
      </c>
      <c r="G130" s="11" cm="1">
        <f t="array" ref="G130">VLOOKUP(B130,'Player Data'!A1:D673,3,FALSE)</f>
        <v>27</v>
      </c>
      <c r="H130" s="51" cm="1">
        <f t="array" ref="H130">IFERROR(VLOOKUP(B130,ADP!A1:F671,6,FALSE)/1000000,VLOOKUP(B130,ADP!A1:F671,6,FALSE))</f>
        <v>7.25</v>
      </c>
      <c r="I130" s="52">
        <f>IF(Settings!$E$15="POINTS",((R130*Q130)*Settings!$B$12)+(S130*Settings!$B$2)+(T130*Settings!$B$3)+(U130*Settings!$B$4)+(V130*Settings!$B$5)+(X130*Settings!$B$9)+(AA130*Settings!$B$6)+(W130*Settings!$B$8)+(AB130*Settings!$B$7)+(AC130*Settings!$B$14)+(AD130*Settings!$B$15)+(AE130*Settings!$B$16)+(AF130*Settings!$B$17)+(AG130*Settings!$B$18)+(Y130*Settings!$B$10)+(Z130*Settings!$B$11),VLOOKUP(B130,'Standard Deviations'!A$1:C$672,3,FALSE))</f>
        <v>6.0686657682051646</v>
      </c>
      <c r="J130" s="53" cm="1">
        <f t="array" ref="J130">IF(D130="G",I130/AJ130,I130/Q130)</f>
        <v>7.4008119124453223E-2</v>
      </c>
      <c r="K130" s="52" cm="1">
        <f t="array" ref="K130">IF(Settings!$E$18="C/LW/RW",VLOOKUP(B130,'C'!A1:F210,6,FALSE),VLOOKUP(B130,F!A1:F407,6,FALSE))</f>
        <v>-0.29134378940989958</v>
      </c>
      <c r="L130" s="54" cm="1">
        <f t="array" ref="L130">IFERROR(K130/H130,"N/A")</f>
        <v>-4.0185350263434422E-2</v>
      </c>
      <c r="M130" s="55">
        <v>131.19999999999999</v>
      </c>
      <c r="N130" s="55" cm="1">
        <f t="array" ref="N130">IFERROR(M130-A130,"N/A")</f>
        <v>18.199999999999989</v>
      </c>
      <c r="O130" s="55"/>
      <c r="P130" s="56" cm="1">
        <f t="array" ref="P130">_xlfn.XLOOKUP($B130,ADP!A2:A671,ADP!G2:G671)</f>
        <v>0</v>
      </c>
      <c r="Q130" s="57" cm="1">
        <f t="array" ref="Q130">IF(Settings!$E$12="YES",VLOOKUP(B130,'Player Data'!A1:E673,5,FALSE),84)</f>
        <v>82</v>
      </c>
      <c r="R130" s="55" cm="1">
        <f t="array" ref="R130">VLOOKUP(B130,'Player Data'!$A1:$AE673,6,FALSE)</f>
        <v>21.1</v>
      </c>
      <c r="S130" s="57" cm="1">
        <f t="array" ref="S130">VLOOKUP(B130,'Player Data'!$A1:$AE673,7,FALSE)*$Q130*IFERROR((VLOOKUP(P130,Settings!$E$28:$F$33,2,FALSE)+1),1)</f>
        <v>31.98</v>
      </c>
      <c r="T130" s="57" cm="1">
        <f t="array" ref="T130">VLOOKUP(B130,'Player Data'!$A1:$AE673,8,FALSE)*$Q130*IFERROR((VLOOKUP(P130,Settings!$E$28:$F$33,2,FALSE)+1),1)</f>
        <v>41</v>
      </c>
      <c r="U130" s="57" cm="1">
        <f t="array" ref="U130">SUM(S130:T130)</f>
        <v>72.98</v>
      </c>
      <c r="V130" s="57" cm="1">
        <f t="array" ref="V130">VLOOKUP(B130,'Player Data'!$A1:$AE673,10,FALSE)*$Q130*IFERROR(((VLOOKUP(P130,Settings!$E$28:$F$33,2,FALSE)/2)+1),1)</f>
        <v>217.29999999999998</v>
      </c>
      <c r="W130" s="58" cm="1">
        <f t="array" ref="W130">VLOOKUP(B130,'Player Data'!$A1:$AE673,11,FALSE)*$Q130*IFERROR((VLOOKUP(P130,Settings!$E$28:$F$33,2,FALSE)+1),1)</f>
        <v>11.48</v>
      </c>
      <c r="X130" s="57" cm="1">
        <f t="array" ref="X130">VLOOKUP(B130,'Player Data'!$A1:$AE673,12,FALSE)*$Q130*IFERROR((VLOOKUP(P130,Settings!$E$28:$F$33,2,FALSE)+1),1)</f>
        <v>26.240000000000002</v>
      </c>
      <c r="Y130" s="57" cm="1">
        <f t="array" ref="Y130">VLOOKUP(B130,'Player Data'!$A1:$AE673,13,FALSE)*$Q130</f>
        <v>0</v>
      </c>
      <c r="Z130" s="57" cm="1">
        <f t="array" ref="Z130">VLOOKUP(B130,'Player Data'!$A1:$AE673,14,FALSE)*$Q130</f>
        <v>1.6400000000000001</v>
      </c>
      <c r="AA130" s="57" cm="1">
        <f t="array" ref="AA130">VLOOKUP(B130,'Player Data'!$A1:$AE673,15,FALSE)*$Q130</f>
        <v>62.32</v>
      </c>
      <c r="AB130" s="57" cm="1">
        <f t="array" ref="AB130">VLOOKUP(B130,'Player Data'!$A1:$AE673,16,FALSE)*$Q130</f>
        <v>55.760000000000005</v>
      </c>
      <c r="AC130" s="57" cm="1">
        <f t="array" ref="AC130">VLOOKUP(B130,'Player Data'!$A1:$AE673,17,FALSE)*$Q130*IFERROR((VLOOKUP(P130,Settings!$E$28:$F$33,2,FALSE)+1),1)</f>
        <v>1.6400000000000001</v>
      </c>
      <c r="AD130" s="57" cm="1">
        <f t="array" ref="AD130">VLOOKUP(B130,'Player Data'!$A1:$AE673,18,FALSE)*$Q130</f>
        <v>27.060000000000002</v>
      </c>
      <c r="AE130" s="57" cm="1">
        <f t="array" ref="AE130">VLOOKUP(B130,'Player Data'!$A1:$AE673,19,FALSE)*$Q130*IFERROR((VLOOKUP(P130,Settings!$E$28:$F$33,2,FALSE)+1),1)</f>
        <v>4.92</v>
      </c>
      <c r="AF130" s="57" cm="1">
        <f t="array" ref="AF130">VLOOKUP(B130,'Player Data'!$A1:$AE673,20,FALSE)*$Q130</f>
        <v>1033.2</v>
      </c>
      <c r="AG130" s="57" cm="1">
        <f t="array" ref="AG130">VLOOKUP(B130,'Player Data'!$A1:$AE673,21,FALSE)*$Q130</f>
        <v>815.9</v>
      </c>
      <c r="AH130" s="59" cm="1">
        <f t="array" ref="AH130">VLOOKUP(B130,'Player Data'!$A1:$AE673,22,FALSE)</f>
        <v>0.56000000000000005</v>
      </c>
      <c r="AI130" s="55"/>
      <c r="AJ130" s="57"/>
      <c r="AK130" s="57"/>
      <c r="AL130" s="57"/>
      <c r="AM130" s="57"/>
      <c r="AN130" s="57"/>
      <c r="AO130" s="57"/>
      <c r="AP130" s="57"/>
      <c r="AQ130" s="60"/>
      <c r="AR130" s="61"/>
      <c r="AS130" s="55"/>
    </row>
    <row r="131" spans="1:45" ht="21.25" customHeight="1" x14ac:dyDescent="0.15">
      <c r="A131" s="62">
        <f>RANK(K131,K$2:K$671)</f>
        <v>143</v>
      </c>
      <c r="B131" s="10" t="s">
        <v>543</v>
      </c>
      <c r="C131" s="47" t="s">
        <v>145</v>
      </c>
      <c r="D131" s="48" t="str" cm="1">
        <f t="array" ref="D131">VLOOKUP(B131,'Player Data'!A1:D673,4,FALSE)</f>
        <v>D</v>
      </c>
      <c r="E131" s="68" cm="1">
        <f t="array" ref="E131">VLOOKUP(B131,D!A1:C204,3,FALSE)</f>
        <v>54</v>
      </c>
      <c r="F131" s="63" t="str" cm="1">
        <f t="array" ref="F131">VLOOKUP(B131,'Player Data'!A1:B673,2,FALSE)</f>
        <v>VGK</v>
      </c>
      <c r="G131" s="11" cm="1">
        <f t="array" ref="G131">VLOOKUP(B131,'Player Data'!A1:D673,3,FALSE)</f>
        <v>29</v>
      </c>
      <c r="H131" s="51" cm="1">
        <f t="array" ref="H131">IFERROR(VLOOKUP(B131,ADP!A1:F671,6,FALSE)/1000000,VLOOKUP(B131,ADP!A1:F671,6,FALSE))</f>
        <v>4</v>
      </c>
      <c r="I131" s="52">
        <f>IF(Settings!$E$15="POINTS",((R131*Q131)*Settings!$B$12)+(S131*Settings!$B$2)+(T131*Settings!$B$3)+(U131*Settings!$B$4)+(V131*Settings!$B$5)+(X131*Settings!$B$9)+(AA131*Settings!$B$6)+(W131*Settings!$B$8)+(AB131*Settings!$B$7)+(AC131*Settings!$B$14)+(AD131*Settings!$B$15)+(AE131*Settings!$B$16)+(AF131*Settings!$B$17)+(AG131*Settings!$B$18)+(U131*Settings!$B$13)+(Y131*Settings!$B$10)+(Z131*Settings!$B$11),VLOOKUP(B131,'Standard Deviations'!A$1:C$672,3,FALSE))</f>
        <v>-0.66325562539959382</v>
      </c>
      <c r="J131" s="53" cm="1">
        <f t="array" ref="J131">IF(D131="G",I131/AJ131,I131/Q131)</f>
        <v>-8.9629138567512683E-3</v>
      </c>
      <c r="K131" s="52" cm="1">
        <f t="array" ref="K131">VLOOKUP(B131,D!A1:F204,6,FALSE)</f>
        <v>-1.2301065399171482</v>
      </c>
      <c r="L131" s="54" cm="1">
        <f t="array" ref="L131">IFERROR(K131/H131,"N/A")</f>
        <v>-0.30752663497928706</v>
      </c>
      <c r="M131" s="84" t="s">
        <v>828</v>
      </c>
      <c r="N131" s="84" t="str" cm="1">
        <f t="array" ref="N131">IFERROR(M131-A131,"N/A")</f>
        <v>N/A</v>
      </c>
      <c r="O131" s="55"/>
      <c r="P131" s="56" cm="1">
        <f t="array" ref="P131">_xlfn.XLOOKUP($B131,ADP!A2:A671,ADP!G2:G671)</f>
        <v>0</v>
      </c>
      <c r="Q131" s="57" cm="1">
        <f t="array" ref="Q131">IF(Settings!$E$12="YES",VLOOKUP(B131,'Player Data'!A1:E673,5,FALSE),84)</f>
        <v>74</v>
      </c>
      <c r="R131" s="55" cm="1">
        <f t="array" ref="R131">VLOOKUP(B131,'Player Data'!$A1:$AE673,6,FALSE)</f>
        <v>16.899999999999999</v>
      </c>
      <c r="S131" s="57" cm="1">
        <f t="array" ref="S131">VLOOKUP(B131,'Player Data'!$A1:$AE673,7,FALSE)*$Q131*IFERROR((VLOOKUP(P131,Settings!$E$28:$F$33,2,FALSE)+1),1)</f>
        <v>2.2199999999999998</v>
      </c>
      <c r="T131" s="57" cm="1">
        <f t="array" ref="T131">VLOOKUP(B131,'Player Data'!$A1:$AE673,8,FALSE)*$Q131*IFERROR((VLOOKUP(P131,Settings!$E$28:$F$33,2,FALSE)+1),1)</f>
        <v>9.620000000000001</v>
      </c>
      <c r="U131" s="57" cm="1">
        <f t="array" ref="U131">SUM(S131:T131)</f>
        <v>11.84</v>
      </c>
      <c r="V131" s="57" cm="1">
        <f t="array" ref="V131">VLOOKUP(B131,'Player Data'!$A1:$AE673,10,FALSE)*$Q131*IFERROR(((VLOOKUP(P131,Settings!$E$28:$F$33,2,FALSE)/2)+1),1)</f>
        <v>71.78</v>
      </c>
      <c r="W131" s="57" cm="1">
        <f t="array" ref="W131">VLOOKUP(B131,'Player Data'!$A1:$AE673,11,FALSE)*$Q131*IFERROR((VLOOKUP(P131,Settings!$E$28:$F$33,2,FALSE)+1),1)</f>
        <v>0</v>
      </c>
      <c r="X131" s="57" cm="1">
        <f t="array" ref="X131">VLOOKUP(B131,'Player Data'!$A1:$AE673,12,FALSE)*$Q131*IFERROR((VLOOKUP(P131,Settings!$E$28:$F$33,2,FALSE)+1),1)</f>
        <v>0</v>
      </c>
      <c r="Y131" s="57" cm="1">
        <f t="array" ref="Y131">VLOOKUP(B131,'Player Data'!$A1:$AE673,13,FALSE)*$Q131</f>
        <v>0</v>
      </c>
      <c r="Z131" s="57" cm="1">
        <f t="array" ref="Z131">VLOOKUP(B131,'Player Data'!$A1:$AE673,14,FALSE)*$Q131</f>
        <v>0</v>
      </c>
      <c r="AA131" s="57" cm="1">
        <f t="array" ref="AA131">VLOOKUP(B131,'Player Data'!$A1:$AE673,15,FALSE)*$Q131</f>
        <v>96.94</v>
      </c>
      <c r="AB131" s="57" cm="1">
        <f t="array" ref="AB131">VLOOKUP(B131,'Player Data'!$A1:$AE673,16,FALSE)*$Q131</f>
        <v>224.96</v>
      </c>
      <c r="AC131" s="57" cm="1">
        <f t="array" ref="AC131">VLOOKUP(B131,'Player Data'!$A1:$AE673,17,FALSE)*$Q131*IFERROR((VLOOKUP(P131,Settings!$E$28:$F$33,2,FALSE)+1),1)</f>
        <v>2.2199999999999998</v>
      </c>
      <c r="AD131" s="57" cm="1">
        <f t="array" ref="AD131">VLOOKUP(B131,'Player Data'!$A1:$AE673,18,FALSE)*$Q131</f>
        <v>71.78</v>
      </c>
      <c r="AE131" s="57" cm="1">
        <f t="array" ref="AE131">VLOOKUP(B131,'Player Data'!$A1:$AE673,19,FALSE)*$Q131*IFERROR((VLOOKUP(P131,Settings!$E$28:$F$33,2,FALSE)+1),1)</f>
        <v>0</v>
      </c>
      <c r="AF131" s="57" cm="1">
        <f t="array" ref="AF131">VLOOKUP(B131,'Player Data'!$A1:$AE673,20,FALSE)*$Q131</f>
        <v>0</v>
      </c>
      <c r="AG131" s="57" cm="1">
        <f t="array" ref="AG131">VLOOKUP(B131,'Player Data'!$A1:$AE673,21,FALSE)*$Q131</f>
        <v>0</v>
      </c>
      <c r="AH131" s="59" cm="1">
        <f t="array" ref="AH131">VLOOKUP(B131,'Player Data'!$A1:$AE673,22,FALSE)</f>
        <v>0</v>
      </c>
      <c r="AI131" s="55"/>
      <c r="AJ131" s="57"/>
      <c r="AK131" s="57"/>
      <c r="AL131" s="57"/>
      <c r="AM131" s="57"/>
      <c r="AN131" s="57"/>
      <c r="AO131" s="57"/>
      <c r="AP131" s="57"/>
      <c r="AQ131" s="60"/>
      <c r="AR131" s="61"/>
      <c r="AS131" s="55"/>
    </row>
    <row r="132" spans="1:45" ht="21.25" customHeight="1" x14ac:dyDescent="0.15">
      <c r="A132" s="62">
        <f>RANK(K132,K$2:K$671)</f>
        <v>144</v>
      </c>
      <c r="B132" s="10" t="s">
        <v>256</v>
      </c>
      <c r="C132" s="47" t="s">
        <v>145</v>
      </c>
      <c r="D132" s="48" t="str" cm="1">
        <f t="array" ref="D132">VLOOKUP(B132,'Player Data'!A1:D673,4,FALSE)</f>
        <v>D</v>
      </c>
      <c r="E132" s="68" cm="1">
        <f t="array" ref="E132">VLOOKUP(B132,D!A1:C204,3,FALSE)</f>
        <v>55</v>
      </c>
      <c r="F132" s="56" t="str" cm="1">
        <f t="array" ref="F132">VLOOKUP(B132,'Player Data'!A1:B673,2,FALSE)</f>
        <v>S.J</v>
      </c>
      <c r="G132" s="66" cm="1">
        <f t="array" ref="G132">VLOOKUP(B132,'Player Data'!A1:D673,3,FALSE)</f>
        <v>31</v>
      </c>
      <c r="H132" s="51" cm="1">
        <f t="array" ref="H132">IFERROR(VLOOKUP(B132,ADP!A1:F671,6,FALSE)/1000000,VLOOKUP(B132,ADP!A1:F671,6,FALSE))</f>
        <v>9.25</v>
      </c>
      <c r="I132" s="52">
        <f>IF(Settings!$E$15="POINTS",((R132*Q132)*Settings!$B$12)+(S132*Settings!$B$2)+(T132*Settings!$B$3)+(U132*Settings!$B$4)+(V132*Settings!$B$5)+(X132*Settings!$B$9)+(AA132*Settings!$B$6)+(W132*Settings!$B$8)+(AB132*Settings!$B$7)+(AC132*Settings!$B$14)+(AD132*Settings!$B$15)+(AE132*Settings!$B$16)+(AF132*Settings!$B$17)+(AG132*Settings!$B$18)+(U132*Settings!$B$13)+(Y132*Settings!$B$10)+(Z132*Settings!$B$11),VLOOKUP(B132,'Standard Deviations'!A$1:C$672,3,FALSE))</f>
        <v>-0.69302915202337245</v>
      </c>
      <c r="J132" s="53" cm="1">
        <f t="array" ref="J132">IF(D132="G",I132/AJ132,I132/Q132)</f>
        <v>-8.3497488195587045E-3</v>
      </c>
      <c r="K132" s="52" cm="1">
        <f t="array" ref="K132">VLOOKUP(B132,D!A1:F204,6,FALSE)</f>
        <v>-1.2598800665409269</v>
      </c>
      <c r="L132" s="54" cm="1">
        <f t="array" ref="L132">IFERROR(K132/H132,"N/A")</f>
        <v>-0.13620325043685697</v>
      </c>
      <c r="M132" s="55">
        <v>130.1</v>
      </c>
      <c r="N132" s="55" cm="1">
        <f t="array" ref="N132">IFERROR(M132-A132,"N/A")</f>
        <v>-13.900000000000006</v>
      </c>
      <c r="O132" s="55"/>
      <c r="P132" s="56" cm="1">
        <f t="array" ref="P132">_xlfn.XLOOKUP($B132,ADP!A2:A671,ADP!G2:G671)</f>
        <v>0</v>
      </c>
      <c r="Q132" s="57" cm="1">
        <f t="array" ref="Q132">IF(Settings!$E$12="YES",VLOOKUP(B132,'Player Data'!A1:E673,5,FALSE),84)</f>
        <v>83</v>
      </c>
      <c r="R132" s="81" cm="1">
        <f t="array" ref="R132">VLOOKUP(B132,'Player Data'!$A1:$AE673,6,FALSE)</f>
        <v>22.4</v>
      </c>
      <c r="S132" s="57" cm="1">
        <f t="array" ref="S132">VLOOKUP(B132,'Player Data'!$A1:$AE673,7,FALSE)*$Q132*IFERROR((VLOOKUP(P132,Settings!$E$28:$F$33,2,FALSE)+1),1)</f>
        <v>4.9799999999999995</v>
      </c>
      <c r="T132" s="57" cm="1">
        <f t="array" ref="T132">VLOOKUP(B132,'Player Data'!$A1:$AE673,8,FALSE)*$Q132*IFERROR((VLOOKUP(P132,Settings!$E$28:$F$33,2,FALSE)+1),1)</f>
        <v>20.75</v>
      </c>
      <c r="U132" s="57" cm="1">
        <f t="array" ref="U132">SUM(S132:T132)</f>
        <v>25.73</v>
      </c>
      <c r="V132" s="57" cm="1">
        <f t="array" ref="V132">VLOOKUP(B132,'Player Data'!$A1:$AE673,10,FALSE)*$Q132*IFERROR(((VLOOKUP(P132,Settings!$E$28:$F$33,2,FALSE)/2)+1),1)</f>
        <v>162.68</v>
      </c>
      <c r="W132" s="57" cm="1">
        <f t="array" ref="W132">VLOOKUP(B132,'Player Data'!$A1:$AE673,11,FALSE)*$Q132*IFERROR((VLOOKUP(P132,Settings!$E$28:$F$33,2,FALSE)+1),1)</f>
        <v>0</v>
      </c>
      <c r="X132" s="57" cm="1">
        <f t="array" ref="X132">VLOOKUP(B132,'Player Data'!$A1:$AE673,12,FALSE)*$Q132*IFERROR((VLOOKUP(P132,Settings!$E$28:$F$33,2,FALSE)+1),1)</f>
        <v>0.83000000000000007</v>
      </c>
      <c r="Y132" s="57" cm="1">
        <f t="array" ref="Y132">VLOOKUP(B132,'Player Data'!$A1:$AE673,13,FALSE)*$Q132</f>
        <v>0.83000000000000007</v>
      </c>
      <c r="Z132" s="57" cm="1">
        <f t="array" ref="Z132">VLOOKUP(B132,'Player Data'!$A1:$AE673,14,FALSE)*$Q132</f>
        <v>1.6600000000000001</v>
      </c>
      <c r="AA132" s="57" cm="1">
        <f t="array" ref="AA132">VLOOKUP(B132,'Player Data'!$A1:$AE673,15,FALSE)*$Q132</f>
        <v>177.62</v>
      </c>
      <c r="AB132" s="57" cm="1">
        <f t="array" ref="AB132">VLOOKUP(B132,'Player Data'!$A1:$AE673,16,FALSE)*$Q132</f>
        <v>141.1</v>
      </c>
      <c r="AC132" s="57" cm="1">
        <f t="array" ref="AC132">VLOOKUP(B132,'Player Data'!$A1:$AE673,17,FALSE)*$Q132*IFERROR((VLOOKUP(P132,Settings!$E$28:$F$33,2,FALSE)+1),1)</f>
        <v>-2.4899999999999998</v>
      </c>
      <c r="AD132" s="57" cm="1">
        <f t="array" ref="AD132">VLOOKUP(B132,'Player Data'!$A1:$AE673,18,FALSE)*$Q132</f>
        <v>63.910000000000004</v>
      </c>
      <c r="AE132" s="57" cm="1">
        <f t="array" ref="AE132">VLOOKUP(B132,'Player Data'!$A1:$AE673,19,FALSE)*$Q132*IFERROR((VLOOKUP(P132,Settings!$E$28:$F$33,2,FALSE)+1),1)</f>
        <v>0.83000000000000007</v>
      </c>
      <c r="AF132" s="57" cm="1">
        <f t="array" ref="AF132">VLOOKUP(B132,'Player Data'!$A1:$AE673,20,FALSE)*$Q132</f>
        <v>0</v>
      </c>
      <c r="AG132" s="57" cm="1">
        <f t="array" ref="AG132">VLOOKUP(B132,'Player Data'!$A1:$AE673,21,FALSE)*$Q132</f>
        <v>0</v>
      </c>
      <c r="AH132" s="59" cm="1">
        <f t="array" ref="AH132">VLOOKUP(B132,'Player Data'!$A1:$AE673,22,FALSE)</f>
        <v>0</v>
      </c>
      <c r="AI132" s="55"/>
      <c r="AJ132" s="57"/>
      <c r="AK132" s="57"/>
      <c r="AL132" s="57"/>
      <c r="AM132" s="57"/>
      <c r="AN132" s="57"/>
      <c r="AO132" s="57"/>
      <c r="AP132" s="57"/>
      <c r="AQ132" s="60"/>
      <c r="AR132" s="61"/>
      <c r="AS132" s="55"/>
    </row>
    <row r="133" spans="1:45" ht="21.25" customHeight="1" x14ac:dyDescent="0.15">
      <c r="A133" s="62">
        <f>RANK(K133,K$2:K$671)</f>
        <v>114</v>
      </c>
      <c r="B133" s="10" t="s">
        <v>213</v>
      </c>
      <c r="C133" s="47" t="s">
        <v>145</v>
      </c>
      <c r="D133" s="48" t="str" cm="1">
        <f t="array" ref="D133">VLOOKUP(B133,'Player Data'!A1:D673,4,FALSE)</f>
        <v>C</v>
      </c>
      <c r="E133" s="49" cm="1">
        <f t="array" ref="E133">VLOOKUP(B133,'C'!A1:C210,3,FALSE)</f>
        <v>26</v>
      </c>
      <c r="F133" s="69" t="str" cm="1">
        <f t="array" ref="F133">VLOOKUP(B133,'Player Data'!A1:B673,2,FALSE)</f>
        <v>CBJ</v>
      </c>
      <c r="G133" s="71" cm="1">
        <f t="array" ref="G133">VLOOKUP(B133,'Player Data'!A1:D673,3,FALSE)</f>
        <v>21</v>
      </c>
      <c r="H133" s="51" cm="1">
        <f t="array" ref="H133">IFERROR(VLOOKUP(B133,ADP!A1:F671,6,FALSE)/1000000,VLOOKUP(B133,ADP!A1:F671,6,FALSE))</f>
        <v>0</v>
      </c>
      <c r="I133" s="52">
        <f>IF(Settings!$E$15="POINTS",((R133*Q133)*Settings!$B$12)+(S133*Settings!$B$2)+(T133*Settings!$B$3)+(U133*Settings!$B$4)+(V133*Settings!$B$5)+(X133*Settings!$B$9)+(AA133*Settings!$B$6)+(W133*Settings!$B$8)+(AB133*Settings!$B$7)+(AC133*Settings!$B$14)+(AD133*Settings!$B$15)+(AE133*Settings!$B$16)+(AF133*Settings!$B$17)+(AG133*Settings!$B$18)+(Y133*Settings!$B$10)+(Z133*Settings!$B$11),VLOOKUP(B133,'Standard Deviations'!A$1:C$672,3,FALSE))</f>
        <v>6.01368038721973</v>
      </c>
      <c r="J133" s="53" cm="1">
        <f t="array" ref="J133">IF(D133="G",I133/AJ133,I133/Q133)</f>
        <v>7.4242967743453459E-2</v>
      </c>
      <c r="K133" s="52" cm="1">
        <f t="array" ref="K133">IF(Settings!$E$18="C/LW/RW",VLOOKUP(B133,'C'!A1:F210,6,FALSE),VLOOKUP(B133,F!A1:F407,6,FALSE))</f>
        <v>-0.34632917039533417</v>
      </c>
      <c r="L133" s="79" t="str" cm="1">
        <f t="array" ref="L133">IFERROR(K133/H133,"N/A")</f>
        <v>N/A</v>
      </c>
      <c r="M133" s="55">
        <v>93.9</v>
      </c>
      <c r="N133" s="55" cm="1">
        <f t="array" ref="N133">IFERROR(M133-A133,"N/A")</f>
        <v>-20.099999999999994</v>
      </c>
      <c r="O133" s="55"/>
      <c r="P133" s="56" t="str" cm="1">
        <f t="array" ref="P133">_xlfn.XLOOKUP($B133,ADP!A2:A671,ADP!G2:G671)</f>
        <v>+</v>
      </c>
      <c r="Q133" s="57" cm="1">
        <f t="array" ref="Q133">IF(Settings!$E$12="YES",VLOOKUP(B133,'Player Data'!A1:E673,5,FALSE),84)</f>
        <v>81</v>
      </c>
      <c r="R133" s="55" cm="1">
        <f t="array" ref="R133">VLOOKUP(B133,'Player Data'!$A1:$AE673,6,FALSE)</f>
        <v>19.600000000000001</v>
      </c>
      <c r="S133" s="57" cm="1">
        <f t="array" ref="S133">VLOOKUP(B133,'Player Data'!$A1:$AE673,7,FALSE)*$Q133*IFERROR((VLOOKUP(P133,Settings!$E$28:$F$33,2,FALSE)+1),1)</f>
        <v>31.468499999999999</v>
      </c>
      <c r="T133" s="57" cm="1">
        <f t="array" ref="T133">VLOOKUP(B133,'Player Data'!$A1:$AE673,8,FALSE)*$Q133*IFERROR((VLOOKUP(P133,Settings!$E$28:$F$33,2,FALSE)+1),1)</f>
        <v>37.422000000000004</v>
      </c>
      <c r="U133" s="57" cm="1">
        <f t="array" ref="U133">SUM(S133:T133)</f>
        <v>68.890500000000003</v>
      </c>
      <c r="V133" s="57" cm="1">
        <f t="array" ref="V133">VLOOKUP(B133,'Player Data'!$A1:$AE673,10,FALSE)*$Q133*IFERROR(((VLOOKUP(P133,Settings!$E$28:$F$33,2,FALSE)/2)+1),1)</f>
        <v>229.97924999999998</v>
      </c>
      <c r="W133" s="58" cm="1">
        <f t="array" ref="W133">VLOOKUP(B133,'Player Data'!$A1:$AE673,11,FALSE)*$Q133*IFERROR((VLOOKUP(P133,Settings!$E$28:$F$33,2,FALSE)+1),1)</f>
        <v>5.9535000000000009</v>
      </c>
      <c r="X133" s="57" cm="1">
        <f t="array" ref="X133">VLOOKUP(B133,'Player Data'!$A1:$AE673,12,FALSE)*$Q133*IFERROR((VLOOKUP(P133,Settings!$E$28:$F$33,2,FALSE)+1),1)</f>
        <v>16.159500000000001</v>
      </c>
      <c r="Y133" s="57" cm="1">
        <f t="array" ref="Y133">VLOOKUP(B133,'Player Data'!$A1:$AE673,13,FALSE)*$Q133</f>
        <v>0</v>
      </c>
      <c r="Z133" s="57" cm="1">
        <f t="array" ref="Z133">VLOOKUP(B133,'Player Data'!$A1:$AE673,14,FALSE)*$Q133</f>
        <v>0</v>
      </c>
      <c r="AA133" s="57" cm="1">
        <f t="array" ref="AA133">VLOOKUP(B133,'Player Data'!$A1:$AE673,15,FALSE)*$Q133</f>
        <v>51.03</v>
      </c>
      <c r="AB133" s="57" cm="1">
        <f t="array" ref="AB133">VLOOKUP(B133,'Player Data'!$A1:$AE673,16,FALSE)*$Q133</f>
        <v>123.93</v>
      </c>
      <c r="AC133" s="57" cm="1">
        <f t="array" ref="AC133">VLOOKUP(B133,'Player Data'!$A1:$AE673,17,FALSE)*$Q133*IFERROR((VLOOKUP(P133,Settings!$E$28:$F$33,2,FALSE)+1),1)</f>
        <v>0</v>
      </c>
      <c r="AD133" s="57" cm="1">
        <f t="array" ref="AD133">VLOOKUP(B133,'Player Data'!$A1:$AE673,18,FALSE)*$Q133</f>
        <v>33.21</v>
      </c>
      <c r="AE133" s="57" cm="1">
        <f t="array" ref="AE133">VLOOKUP(B133,'Player Data'!$A1:$AE673,19,FALSE)*$Q133*IFERROR((VLOOKUP(P133,Settings!$E$28:$F$33,2,FALSE)+1),1)</f>
        <v>5.1029999999999998</v>
      </c>
      <c r="AF133" s="57" cm="1">
        <f t="array" ref="AF133">VLOOKUP(B133,'Player Data'!$A1:$AE673,20,FALSE)*$Q133</f>
        <v>508.68</v>
      </c>
      <c r="AG133" s="57" cm="1">
        <f t="array" ref="AG133">VLOOKUP(B133,'Player Data'!$A1:$AE673,21,FALSE)*$Q133</f>
        <v>602.64</v>
      </c>
      <c r="AH133" s="59" cm="1">
        <f t="array" ref="AH133">VLOOKUP(B133,'Player Data'!$A1:$AE673,22,FALSE)</f>
        <v>0.46</v>
      </c>
      <c r="AI133" s="55"/>
      <c r="AJ133" s="57"/>
      <c r="AK133" s="57"/>
      <c r="AL133" s="57"/>
      <c r="AM133" s="57"/>
      <c r="AN133" s="57"/>
      <c r="AO133" s="57"/>
      <c r="AP133" s="57"/>
      <c r="AQ133" s="60"/>
      <c r="AR133" s="61"/>
      <c r="AS133" s="55"/>
    </row>
    <row r="134" spans="1:45" ht="21.25" customHeight="1" x14ac:dyDescent="0.15">
      <c r="A134" s="62">
        <f>RANK(K134,K$2:K$671)</f>
        <v>140</v>
      </c>
      <c r="B134" s="10" t="s">
        <v>705</v>
      </c>
      <c r="C134" s="47" t="s">
        <v>145</v>
      </c>
      <c r="D134" s="48" t="str" cm="1">
        <f t="array" ref="D134">VLOOKUP(B134,'Player Data'!A1:D673,4,FALSE)</f>
        <v>G</v>
      </c>
      <c r="E134" s="76" cm="1">
        <f t="array" ref="E134">VLOOKUP(B134,G!A1:D66,3,FALSE)</f>
        <v>26</v>
      </c>
      <c r="F134" s="18" t="str" cm="1">
        <f t="array" ref="F134">VLOOKUP(B134,'Player Data'!A1:B673,2,FALSE)</f>
        <v>WPG</v>
      </c>
      <c r="G134" s="11" cm="1">
        <f t="array" ref="G134">VLOOKUP(B134,'Player Data'!A1:D673,3,FALSE)</f>
        <v>27</v>
      </c>
      <c r="H134" s="51" cm="1">
        <f t="array" ref="H134">IFERROR(VLOOKUP(B134,ADP!A1:F671,6,FALSE)/1000000,VLOOKUP(B134,ADP!A1:F671,6,FALSE))</f>
        <v>3.75</v>
      </c>
      <c r="I134" s="52">
        <f>IF(Settings!$E$15="POINTS",(AJ134*Settings!$B$29)+(AK134*Settings!$B$21)+(AL134*Settings!$B$22)+(AN134*Settings!$B$24)+(AO134*Settings!$B$25)+(AP134*Settings!$B$27)+(AM134*Settings!$B$23),VLOOKUP(B134,'Standard Deviations'!A$1:C$672,3,FALSE))</f>
        <v>0.92860769036590973</v>
      </c>
      <c r="J134" s="53" cm="1">
        <f t="array" ref="J134">IF(D134="G",I134/AJ134,I134/Q134)</f>
        <v>1.8572153807318196E-2</v>
      </c>
      <c r="K134" s="52" cm="1">
        <f t="array" ref="K134">VLOOKUP(B134,G!A1:F66,6,FALSE)</f>
        <v>-1.1095775687577651</v>
      </c>
      <c r="L134" s="54" cm="1">
        <f t="array" ref="L134">IFERROR(K134/H134,"N/A")</f>
        <v>-0.29588735166873736</v>
      </c>
      <c r="M134" s="84" t="s">
        <v>828</v>
      </c>
      <c r="N134" s="84" t="str" cm="1">
        <f t="array" ref="N134">IFERROR(M134-A134,"N/A")</f>
        <v>N/A</v>
      </c>
      <c r="O134" s="55"/>
      <c r="P134" s="56" cm="1">
        <f t="array" ref="P134">_xlfn.XLOOKUP($B134,ADP!A2:A671,ADP!G2:G671)</f>
        <v>0</v>
      </c>
      <c r="Q134" s="57"/>
      <c r="R134" s="55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9"/>
      <c r="AI134" s="55"/>
      <c r="AJ134" s="77" cm="1">
        <f t="array" ref="AJ134">VLOOKUP(B134,'Player Data'!$A1:$AE673,24,FALSE)</f>
        <v>50</v>
      </c>
      <c r="AK134" s="57" cm="1">
        <f t="array" ref="AK134">VLOOKUP(B134,'Player Data'!$A1:$AE673,25,FALSE)*$AJ134*IFERROR((VLOOKUP(P134,Settings!$E$28:$F$33,2,FALSE)+1),1)</f>
        <v>25</v>
      </c>
      <c r="AL134" s="57" cm="1">
        <f t="array" ref="AL134">AJ134-AK134-AM134</f>
        <v>18.5</v>
      </c>
      <c r="AM134" s="57" cm="1">
        <f t="array" ref="AM134">VLOOKUP(B134,'Player Data'!$A1:$AE673,27,FALSE)*$AJ134</f>
        <v>6.5</v>
      </c>
      <c r="AN134" s="57" cm="1">
        <f t="array" ref="AN134">VLOOKUP(B134,'Player Data'!$A1:$AE673,28,FALSE)*AJ134</f>
        <v>3</v>
      </c>
      <c r="AO134" s="57" cm="1">
        <f t="array" ref="AO134">VLOOKUP(B134,'Player Data'!$A1:$AE673,29,FALSE)*$AJ134*IFERROR((VLOOKUP(P134,Settings!$E$28:$F$33,2,FALSE)/4)+1,1)</f>
        <v>1155</v>
      </c>
      <c r="AP134" s="57" cm="1">
        <f t="array" ref="AP134">VLOOKUP(B134,'Player Data'!$A1:$AE673,31,FALSE)*$AJ134*(IFERROR(1-(VLOOKUP(P134,Settings!$E$28:$F$33,2,FALSE)/4),1))</f>
        <v>139.5</v>
      </c>
      <c r="AQ134" s="60" cm="1">
        <f t="array" ref="AQ134">1-(AP134/(AO134+AP134))</f>
        <v>0.89223638470451916</v>
      </c>
      <c r="AR134" s="61" cm="1">
        <f t="array" ref="AR134">AP134/AJ134</f>
        <v>2.79</v>
      </c>
      <c r="AS134" s="55"/>
    </row>
    <row r="135" spans="1:45" ht="21.25" customHeight="1" x14ac:dyDescent="0.15">
      <c r="A135" s="62">
        <f>RANK(K135,K$2:K$671)</f>
        <v>147</v>
      </c>
      <c r="B135" s="10" t="s">
        <v>334</v>
      </c>
      <c r="C135" s="47" t="s">
        <v>145</v>
      </c>
      <c r="D135" s="48" t="str" cm="1">
        <f t="array" ref="D135">VLOOKUP(B135,'Player Data'!A1:D673,4,FALSE)</f>
        <v>D</v>
      </c>
      <c r="E135" s="68" cm="1">
        <f t="array" ref="E135">VLOOKUP(B135,D!A1:C204,3,FALSE)</f>
        <v>56</v>
      </c>
      <c r="F135" s="56" t="str" cm="1">
        <f t="array" ref="F135">VLOOKUP(B135,'Player Data'!A1:B673,2,FALSE)</f>
        <v>S.J</v>
      </c>
      <c r="G135" s="71" cm="1">
        <f t="array" ref="G135">VLOOKUP(B135,'Player Data'!A1:D673,3,FALSE)</f>
        <v>21</v>
      </c>
      <c r="H135" s="51" cm="1">
        <f t="array" ref="H135">IFERROR(VLOOKUP(B135,ADP!A1:F671,6,FALSE)/1000000,VLOOKUP(B135,ADP!A1:F671,6,FALSE))</f>
        <v>0.90333300000000005</v>
      </c>
      <c r="I135" s="52">
        <f>IF(Settings!$E$15="POINTS",((R135*Q135)*Settings!$B$12)+(S135*Settings!$B$2)+(T135*Settings!$B$3)+(U135*Settings!$B$4)+(V135*Settings!$B$5)+(X135*Settings!$B$9)+(AA135*Settings!$B$6)+(W135*Settings!$B$8)+(AB135*Settings!$B$7)+(AC135*Settings!$B$14)+(AD135*Settings!$B$15)+(AE135*Settings!$B$16)+(AF135*Settings!$B$17)+(AG135*Settings!$B$18)+(U135*Settings!$B$13)+(Y135*Settings!$B$10)+(Z135*Settings!$B$11),VLOOKUP(B135,'Standard Deviations'!A$1:C$672,3,FALSE))</f>
        <v>-0.73943106570745221</v>
      </c>
      <c r="J135" s="53" cm="1">
        <f t="array" ref="J135">IF(D135="G",I135/AJ135,I135/Q135)</f>
        <v>-9.479885457787848E-3</v>
      </c>
      <c r="K135" s="52" cm="1">
        <f t="array" ref="K135">VLOOKUP(B135,D!A1:F204,6,FALSE)</f>
        <v>-1.3062819802250067</v>
      </c>
      <c r="L135" s="54" cm="1">
        <f t="array" ref="L135">IFERROR(K135/H135,"N/A")</f>
        <v>-1.4460691464000615</v>
      </c>
      <c r="M135" s="84" t="s">
        <v>828</v>
      </c>
      <c r="N135" s="84" t="str" cm="1">
        <f t="array" ref="N135">IFERROR(M135-A135,"N/A")</f>
        <v>N/A</v>
      </c>
      <c r="O135" s="55"/>
      <c r="P135" s="56" t="str" cm="1">
        <f t="array" ref="P135">_xlfn.XLOOKUP($B135,ADP!A2:A671,ADP!G2:G671)</f>
        <v>+ +</v>
      </c>
      <c r="Q135" s="57" cm="1">
        <f t="array" ref="Q135">IF(Settings!$E$12="YES",VLOOKUP(B135,'Player Data'!A1:E673,5,FALSE),84)</f>
        <v>78</v>
      </c>
      <c r="R135" s="55" cm="1">
        <f t="array" ref="R135">VLOOKUP(B135,'Player Data'!$A1:$AE673,6,FALSE)</f>
        <v>18</v>
      </c>
      <c r="S135" s="57" cm="1">
        <f t="array" ref="S135">VLOOKUP(B135,'Player Data'!$A1:$AE673,7,FALSE)*$Q135*IFERROR((VLOOKUP(P135,Settings!$E$28:$F$33,2,FALSE)+1),1)</f>
        <v>6.0060000000000011</v>
      </c>
      <c r="T135" s="57" cm="1">
        <f t="array" ref="T135">VLOOKUP(B135,'Player Data'!$A1:$AE673,8,FALSE)*$Q135*IFERROR((VLOOKUP(P135,Settings!$E$28:$F$33,2,FALSE)+1),1)</f>
        <v>24.881999999999998</v>
      </c>
      <c r="U135" s="57" cm="1">
        <f t="array" ref="U135">SUM(S135:T135)</f>
        <v>30.887999999999998</v>
      </c>
      <c r="V135" s="57" cm="1">
        <f t="array" ref="V135">VLOOKUP(B135,'Player Data'!$A1:$AE673,10,FALSE)*$Q135*IFERROR(((VLOOKUP(P135,Settings!$E$28:$F$33,2,FALSE)/2)+1),1)</f>
        <v>123.66900000000001</v>
      </c>
      <c r="W135" s="57" cm="1">
        <f t="array" ref="W135">VLOOKUP(B135,'Player Data'!$A1:$AE673,11,FALSE)*$Q135*IFERROR((VLOOKUP(P135,Settings!$E$28:$F$33,2,FALSE)+1),1)</f>
        <v>0.8580000000000001</v>
      </c>
      <c r="X135" s="57" cm="1">
        <f t="array" ref="X135">VLOOKUP(B135,'Player Data'!$A1:$AE673,12,FALSE)*$Q135*IFERROR((VLOOKUP(P135,Settings!$E$28:$F$33,2,FALSE)+1),1)</f>
        <v>5.1479999999999997</v>
      </c>
      <c r="Y135" s="57" cm="1">
        <f t="array" ref="Y135">VLOOKUP(B135,'Player Data'!$A1:$AE673,13,FALSE)*$Q135</f>
        <v>0</v>
      </c>
      <c r="Z135" s="57" cm="1">
        <f t="array" ref="Z135">VLOOKUP(B135,'Player Data'!$A1:$AE673,14,FALSE)*$Q135</f>
        <v>0</v>
      </c>
      <c r="AA135" s="57" cm="1">
        <f t="array" ref="AA135">VLOOKUP(B135,'Player Data'!$A1:$AE673,15,FALSE)*$Q135</f>
        <v>93.6</v>
      </c>
      <c r="AB135" s="57" cm="1">
        <f t="array" ref="AB135">VLOOKUP(B135,'Player Data'!$A1:$AE673,16,FALSE)*$Q135</f>
        <v>95.94</v>
      </c>
      <c r="AC135" s="57" cm="1">
        <f t="array" ref="AC135">VLOOKUP(B135,'Player Data'!$A1:$AE673,17,FALSE)*$Q135*IFERROR((VLOOKUP(P135,Settings!$E$28:$F$33,2,FALSE)+1),1)</f>
        <v>0.8580000000000001</v>
      </c>
      <c r="AD135" s="57" cm="1">
        <f t="array" ref="AD135">VLOOKUP(B135,'Player Data'!$A1:$AE673,18,FALSE)*$Q135</f>
        <v>31.979999999999997</v>
      </c>
      <c r="AE135" s="57" cm="1">
        <f t="array" ref="AE135">VLOOKUP(B135,'Player Data'!$A1:$AE673,19,FALSE)*$Q135*IFERROR((VLOOKUP(P135,Settings!$E$28:$F$33,2,FALSE)+1),1)</f>
        <v>0.8580000000000001</v>
      </c>
      <c r="AF135" s="57" cm="1">
        <f t="array" ref="AF135">VLOOKUP(B135,'Player Data'!$A1:$AE673,20,FALSE)*$Q135</f>
        <v>0</v>
      </c>
      <c r="AG135" s="57" cm="1">
        <f t="array" ref="AG135">VLOOKUP(B135,'Player Data'!$A1:$AE673,21,FALSE)*$Q135</f>
        <v>0</v>
      </c>
      <c r="AH135" s="59" cm="1">
        <f t="array" ref="AH135">VLOOKUP(B135,'Player Data'!$A1:$AE673,22,FALSE)</f>
        <v>0</v>
      </c>
      <c r="AI135" s="55"/>
      <c r="AJ135" s="57"/>
      <c r="AK135" s="57"/>
      <c r="AL135" s="57"/>
      <c r="AM135" s="57"/>
      <c r="AN135" s="57"/>
      <c r="AO135" s="57"/>
      <c r="AP135" s="57"/>
      <c r="AQ135" s="60"/>
      <c r="AR135" s="61"/>
      <c r="AS135" s="55"/>
    </row>
    <row r="136" spans="1:45" ht="21.25" customHeight="1" x14ac:dyDescent="0.15">
      <c r="A136" s="62">
        <f>RANK(K136,K$2:K$671)</f>
        <v>141</v>
      </c>
      <c r="B136" s="10" t="s">
        <v>514</v>
      </c>
      <c r="C136" s="47" t="s">
        <v>145</v>
      </c>
      <c r="D136" s="48" t="str" cm="1">
        <f t="array" ref="D136">VLOOKUP(B136,'Player Data'!A1:D673,4,FALSE)</f>
        <v>G</v>
      </c>
      <c r="E136" s="76" cm="1">
        <f t="array" ref="E136">VLOOKUP(B136,G!A1:D66,3,FALSE)</f>
        <v>27</v>
      </c>
      <c r="F136" s="63" t="str" cm="1">
        <f t="array" ref="F136">VLOOKUP(B136,'Player Data'!A1:B673,2,FALSE)</f>
        <v>VGK</v>
      </c>
      <c r="G136" s="11" cm="1">
        <f t="array" ref="G136">VLOOKUP(B136,'Player Data'!A1:D673,3,FALSE)</f>
        <v>30</v>
      </c>
      <c r="H136" s="51" cm="1">
        <f t="array" ref="H136">IFERROR(VLOOKUP(B136,ADP!A1:F671,6,FALSE)/1000000,VLOOKUP(B136,ADP!A1:F671,6,FALSE))</f>
        <v>6.25</v>
      </c>
      <c r="I136" s="52">
        <f>IF(Settings!$E$15="POINTS",(AJ136*Settings!$B$29)+(AK136*Settings!$B$21)+(AL136*Settings!$B$22)+(AN136*Settings!$B$24)+(AO136*Settings!$B$25)+(AP136*Settings!$B$27)+(AM136*Settings!$B$23),VLOOKUP(B136,'Standard Deviations'!A$1:C$672,3,FALSE))</f>
        <v>0.91876413759088926</v>
      </c>
      <c r="J136" s="53" cm="1">
        <f t="array" ref="J136">IF(D136="G",I136/AJ136,I136/Q136)</f>
        <v>2.6250403931168266E-2</v>
      </c>
      <c r="K136" s="52" cm="1">
        <f t="array" ref="K136">VLOOKUP(B136,G!A1:F66,6,FALSE)</f>
        <v>-1.1194211215327856</v>
      </c>
      <c r="L136" s="54" cm="1">
        <f t="array" ref="L136">IFERROR(K136/H136,"N/A")</f>
        <v>-0.17910737944524568</v>
      </c>
      <c r="M136" s="55">
        <v>127</v>
      </c>
      <c r="N136" s="55" cm="1">
        <f t="array" ref="N136">IFERROR(M136-A136,"N/A")</f>
        <v>-14</v>
      </c>
      <c r="O136" s="55"/>
      <c r="P136" s="56" cm="1">
        <f t="array" ref="P136">_xlfn.XLOOKUP($B136,ADP!A2:A671,ADP!G2:G671)</f>
        <v>0</v>
      </c>
      <c r="Q136" s="57"/>
      <c r="R136" s="55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9"/>
      <c r="AI136" s="55"/>
      <c r="AJ136" s="77" cm="1">
        <f t="array" ref="AJ136">VLOOKUP(B136,'Player Data'!$A1:$AE673,24,FALSE)</f>
        <v>35</v>
      </c>
      <c r="AK136" s="57" cm="1">
        <f t="array" ref="AK136">VLOOKUP(B136,'Player Data'!$A1:$AE673,25,FALSE)*$AJ136*IFERROR((VLOOKUP(P136,Settings!$E$28:$F$33,2,FALSE)+1),1)</f>
        <v>20.299999999999997</v>
      </c>
      <c r="AL136" s="57" cm="1">
        <f t="array" ref="AL136">AJ136-AK136-AM136</f>
        <v>10.850000000000003</v>
      </c>
      <c r="AM136" s="57" cm="1">
        <f t="array" ref="AM136">VLOOKUP(B136,'Player Data'!$A1:$AE673,27,FALSE)*$AJ136</f>
        <v>3.85</v>
      </c>
      <c r="AN136" s="57" cm="1">
        <f t="array" ref="AN136">VLOOKUP(B136,'Player Data'!$A1:$AE673,28,FALSE)*AJ136</f>
        <v>2.4500000000000002</v>
      </c>
      <c r="AO136" s="57" cm="1">
        <f t="array" ref="AO136">VLOOKUP(B136,'Player Data'!$A1:$AE673,29,FALSE)*$AJ136*IFERROR((VLOOKUP(P136,Settings!$E$28:$F$33,2,FALSE)/4)+1,1)</f>
        <v>808.5</v>
      </c>
      <c r="AP136" s="57" cm="1">
        <f t="array" ref="AP136">VLOOKUP(B136,'Player Data'!$A1:$AE673,31,FALSE)*$AJ136*(IFERROR(1-(VLOOKUP(P136,Settings!$E$28:$F$33,2,FALSE)/4),1))</f>
        <v>93.800000000000011</v>
      </c>
      <c r="AQ136" s="60" cm="1">
        <f t="array" ref="AQ136">1-(AP136/(AO136+AP136))</f>
        <v>0.89604344453064388</v>
      </c>
      <c r="AR136" s="61" cm="1">
        <f t="array" ref="AR136">AP136/AJ136</f>
        <v>2.68</v>
      </c>
      <c r="AS136" s="55"/>
    </row>
    <row r="137" spans="1:45" ht="21.25" customHeight="1" x14ac:dyDescent="0.15">
      <c r="A137" s="62">
        <f>RANK(K137,K$2:K$671)</f>
        <v>117</v>
      </c>
      <c r="B137" s="10" t="s">
        <v>279</v>
      </c>
      <c r="C137" s="47" t="s">
        <v>145</v>
      </c>
      <c r="D137" s="48" t="str" cm="1">
        <f t="array" ref="D137">VLOOKUP(B137,'Player Data'!A1:D673,4,FALSE)</f>
        <v>LW,RW</v>
      </c>
      <c r="E137" s="74" cm="1">
        <f t="array" ref="E137">VLOOKUP(B137,RW!A1:F210,3,FALSE)</f>
        <v>29</v>
      </c>
      <c r="F137" s="18" t="str" cm="1">
        <f t="array" ref="F137">VLOOKUP(B137,'Player Data'!A1:B673,2,FALSE)</f>
        <v>OTT</v>
      </c>
      <c r="G137" s="11" cm="1">
        <f t="array" ref="G137">VLOOKUP(B137,'Player Data'!A1:D673,3,FALSE)</f>
        <v>28</v>
      </c>
      <c r="H137" s="67" cm="1">
        <f t="array" ref="H137">IFERROR(VLOOKUP(B137,ADP!A1:F671,6,FALSE)/1000000,VLOOKUP(B137,ADP!A1:F671,6,FALSE))</f>
        <v>4.9749999999999996</v>
      </c>
      <c r="I137" s="52">
        <f>IF(Settings!$E$15="POINTS",((R137*Q137)*Settings!$B$12)+(S137*Settings!$B$2)+(T137*Settings!$B$3)+(U137*Settings!$B$4)+(V137*Settings!$B$5)+(X137*Settings!$B$9)+(AA137*Settings!$B$6)+(W137*Settings!$B$8)+(AB137*Settings!$B$7)+(AC137*Settings!$B$14)+(AD137*Settings!$B$15)+(AE137*Settings!$B$16)+(AF137*Settings!$B$17)+(AG137*Settings!$B$18)+(Y137*Settings!$B$10)+(Z137*Settings!$B$11),VLOOKUP(B137,'Standard Deviations'!A$1:C$672,3,FALSE))</f>
        <v>6.4734943779736449</v>
      </c>
      <c r="J137" s="53" cm="1">
        <f t="array" ref="J137">IF(D137="G",I137/AJ137,I137/Q137)</f>
        <v>7.7993908168357162E-2</v>
      </c>
      <c r="K137" s="52" cm="1">
        <f t="array" ref="K137">IF(Settings!$E$18="C/LW/RW",VLOOKUP(B137,RW!A1:F210,6,FALSE),VLOOKUP(B137,F!A1:F407,6,FALSE))</f>
        <v>-0.41374022383543263</v>
      </c>
      <c r="L137" s="54" cm="1">
        <f t="array" ref="L137">IFERROR(K137/H137,"N/A")</f>
        <v>-8.3163864087524159E-2</v>
      </c>
      <c r="M137" s="55">
        <v>81.099999999999994</v>
      </c>
      <c r="N137" s="55" cm="1">
        <f t="array" ref="N137">IFERROR(M137-A137,"N/A")</f>
        <v>-35.900000000000006</v>
      </c>
      <c r="O137" s="55"/>
      <c r="P137" s="56" cm="1">
        <f t="array" ref="P137">_xlfn.XLOOKUP($B137,ADP!A2:A671,ADP!G2:G671)</f>
        <v>0</v>
      </c>
      <c r="Q137" s="57" cm="1">
        <f t="array" ref="Q137">IF(Settings!$E$12="YES",VLOOKUP(B137,'Player Data'!A1:E673,5,FALSE),84)</f>
        <v>83</v>
      </c>
      <c r="R137" s="55" cm="1">
        <f t="array" ref="R137">VLOOKUP(B137,'Player Data'!$A1:$AE673,6,FALSE)</f>
        <v>16.7</v>
      </c>
      <c r="S137" s="57" cm="1">
        <f t="array" ref="S137">VLOOKUP(B137,'Player Data'!$A1:$AE673,7,FALSE)*$Q137*IFERROR((VLOOKUP(P137,Settings!$E$28:$F$33,2,FALSE)+1),1)</f>
        <v>29.049999999999997</v>
      </c>
      <c r="T137" s="57" cm="1">
        <f t="array" ref="T137">VLOOKUP(B137,'Player Data'!$A1:$AE673,8,FALSE)*$Q137*IFERROR((VLOOKUP(P137,Settings!$E$28:$F$33,2,FALSE)+1),1)</f>
        <v>39.01</v>
      </c>
      <c r="U137" s="57" cm="1">
        <f t="array" ref="U137">SUM(S137:T137)</f>
        <v>68.06</v>
      </c>
      <c r="V137" s="57" cm="1">
        <f t="array" ref="V137">VLOOKUP(B137,'Player Data'!$A1:$AE673,10,FALSE)*$Q137*IFERROR(((VLOOKUP(P137,Settings!$E$28:$F$33,2,FALSE)/2)+1),1)</f>
        <v>180.10999999999999</v>
      </c>
      <c r="W137" s="57" cm="1">
        <f t="array" ref="W137">VLOOKUP(B137,'Player Data'!$A1:$AE673,11,FALSE)*$Q137*IFERROR((VLOOKUP(P137,Settings!$E$28:$F$33,2,FALSE)+1),1)</f>
        <v>10.790000000000001</v>
      </c>
      <c r="X137" s="78" cm="1">
        <f t="array" ref="X137">VLOOKUP(B137,'Player Data'!$A1:$AE673,12,FALSE)*$Q137*IFERROR((VLOOKUP(P137,Settings!$E$28:$F$33,2,FALSE)+1),1)</f>
        <v>26.560000000000002</v>
      </c>
      <c r="Y137" s="57" cm="1">
        <f t="array" ref="Y137">VLOOKUP(B137,'Player Data'!$A1:$AE673,13,FALSE)*$Q137</f>
        <v>0</v>
      </c>
      <c r="Z137" s="57" cm="1">
        <f t="array" ref="Z137">VLOOKUP(B137,'Player Data'!$A1:$AE673,14,FALSE)*$Q137</f>
        <v>0</v>
      </c>
      <c r="AA137" s="57" cm="1">
        <f t="array" ref="AA137">VLOOKUP(B137,'Player Data'!$A1:$AE673,15,FALSE)*$Q137</f>
        <v>27.39</v>
      </c>
      <c r="AB137" s="57" cm="1">
        <f t="array" ref="AB137">VLOOKUP(B137,'Player Data'!$A1:$AE673,16,FALSE)*$Q137</f>
        <v>126.16</v>
      </c>
      <c r="AC137" s="57" cm="1">
        <f t="array" ref="AC137">VLOOKUP(B137,'Player Data'!$A1:$AE673,17,FALSE)*$Q137*IFERROR((VLOOKUP(P137,Settings!$E$28:$F$33,2,FALSE)+1),1)</f>
        <v>1.6600000000000001</v>
      </c>
      <c r="AD137" s="57" cm="1">
        <f t="array" ref="AD137">VLOOKUP(B137,'Player Data'!$A1:$AE673,18,FALSE)*$Q137</f>
        <v>30.71</v>
      </c>
      <c r="AE137" s="57" cm="1">
        <f t="array" ref="AE137">VLOOKUP(B137,'Player Data'!$A1:$AE673,19,FALSE)*$Q137*IFERROR((VLOOKUP(P137,Settings!$E$28:$F$33,2,FALSE)+1),1)</f>
        <v>4.9799999999999995</v>
      </c>
      <c r="AF137" s="57" cm="1">
        <f t="array" ref="AF137">VLOOKUP(B137,'Player Data'!$A1:$AE673,20,FALSE)*$Q137</f>
        <v>17.43</v>
      </c>
      <c r="AG137" s="57" cm="1">
        <f t="array" ref="AG137">VLOOKUP(B137,'Player Data'!$A1:$AE673,21,FALSE)*$Q137</f>
        <v>16.600000000000001</v>
      </c>
      <c r="AH137" s="59" cm="1">
        <f t="array" ref="AH137">VLOOKUP(B137,'Player Data'!$A1:$AE673,22,FALSE)</f>
        <v>0.51</v>
      </c>
      <c r="AI137" s="55"/>
      <c r="AJ137" s="57"/>
      <c r="AK137" s="57"/>
      <c r="AL137" s="57"/>
      <c r="AM137" s="57"/>
      <c r="AN137" s="57"/>
      <c r="AO137" s="57"/>
      <c r="AP137" s="57"/>
      <c r="AQ137" s="60"/>
      <c r="AR137" s="61"/>
      <c r="AS137" s="55"/>
    </row>
    <row r="138" spans="1:45" ht="21.25" customHeight="1" x14ac:dyDescent="0.15">
      <c r="A138" s="62">
        <f>RANK(K138,K$2:K$671)</f>
        <v>149</v>
      </c>
      <c r="B138" s="10" t="s">
        <v>309</v>
      </c>
      <c r="C138" s="47" t="s">
        <v>145</v>
      </c>
      <c r="D138" s="48" t="str" cm="1">
        <f t="array" ref="D138">VLOOKUP(B138,'Player Data'!A1:D673,4,FALSE)</f>
        <v>D</v>
      </c>
      <c r="E138" s="68" cm="1">
        <f t="array" ref="E138">VLOOKUP(B138,D!A1:C204,3,FALSE)</f>
        <v>57</v>
      </c>
      <c r="F138" s="73" t="str" cm="1">
        <f t="array" ref="F138">VLOOKUP(B138,'Player Data'!A1:B673,2,FALSE)</f>
        <v>BUF</v>
      </c>
      <c r="G138" s="11" cm="1">
        <f t="array" ref="G138">VLOOKUP(B138,'Player Data'!A1:D673,3,FALSE)</f>
        <v>26</v>
      </c>
      <c r="H138" s="51" cm="1">
        <f t="array" ref="H138">IFERROR(VLOOKUP(B138,ADP!A1:F671,6,FALSE)/1000000,VLOOKUP(B138,ADP!A1:F671,6,FALSE))</f>
        <v>4.2850000000000001</v>
      </c>
      <c r="I138" s="52">
        <f>IF(Settings!$E$15="POINTS",((R138*Q138)*Settings!$B$12)+(S138*Settings!$B$2)+(T138*Settings!$B$3)+(U138*Settings!$B$4)+(V138*Settings!$B$5)+(X138*Settings!$B$9)+(AA138*Settings!$B$6)+(W138*Settings!$B$8)+(AB138*Settings!$B$7)+(AC138*Settings!$B$14)+(AD138*Settings!$B$15)+(AE138*Settings!$B$16)+(AF138*Settings!$B$17)+(AG138*Settings!$B$18)+(U138*Settings!$B$13)+(Y138*Settings!$B$10)+(Z138*Settings!$B$11),VLOOKUP(B138,'Standard Deviations'!A$1:C$672,3,FALSE))</f>
        <v>-0.83308492488774755</v>
      </c>
      <c r="J138" s="53" cm="1">
        <f t="array" ref="J138">IF(D138="G",I138/AJ138,I138/Q138)</f>
        <v>-1.0961643748522994E-2</v>
      </c>
      <c r="K138" s="52" cm="1">
        <f t="array" ref="K138">VLOOKUP(B138,D!A1:F204,6,FALSE)</f>
        <v>-1.3999358394053019</v>
      </c>
      <c r="L138" s="54" cm="1">
        <f t="array" ref="L138">IFERROR(K138/H138,"N/A")</f>
        <v>-0.32670614688571803</v>
      </c>
      <c r="M138" s="55">
        <v>127.9</v>
      </c>
      <c r="N138" s="55" cm="1">
        <f t="array" ref="N138">IFERROR(M138-A138,"N/A")</f>
        <v>-21.099999999999994</v>
      </c>
      <c r="O138" s="55"/>
      <c r="P138" s="56" cm="1">
        <f t="array" ref="P138">_xlfn.XLOOKUP($B138,ADP!A2:A671,ADP!G2:G671)</f>
        <v>0</v>
      </c>
      <c r="Q138" s="57" cm="1">
        <f t="array" ref="Q138">IF(Settings!$E$12="YES",VLOOKUP(B138,'Player Data'!A1:E673,5,FALSE),84)</f>
        <v>76</v>
      </c>
      <c r="R138" s="55" cm="1">
        <f t="array" ref="R138">VLOOKUP(B138,'Player Data'!$A1:$AE673,6,FALSE)</f>
        <v>22.9</v>
      </c>
      <c r="S138" s="57" cm="1">
        <f t="array" ref="S138">VLOOKUP(B138,'Player Data'!$A1:$AE673,7,FALSE)*$Q138*IFERROR((VLOOKUP(P138,Settings!$E$28:$F$33,2,FALSE)+1),1)</f>
        <v>8.36</v>
      </c>
      <c r="T138" s="57" cm="1">
        <f t="array" ref="T138">VLOOKUP(B138,'Player Data'!$A1:$AE673,8,FALSE)*$Q138*IFERROR((VLOOKUP(P138,Settings!$E$28:$F$33,2,FALSE)+1),1)</f>
        <v>21.28</v>
      </c>
      <c r="U138" s="57" cm="1">
        <f t="array" ref="U138">SUM(S138:T138)</f>
        <v>29.64</v>
      </c>
      <c r="V138" s="57" cm="1">
        <f t="array" ref="V138">VLOOKUP(B138,'Player Data'!$A1:$AE673,10,FALSE)*$Q138*IFERROR(((VLOOKUP(P138,Settings!$E$28:$F$33,2,FALSE)/2)+1),1)</f>
        <v>101.84</v>
      </c>
      <c r="W138" s="57" cm="1">
        <f t="array" ref="W138">VLOOKUP(B138,'Player Data'!$A1:$AE673,11,FALSE)*$Q138*IFERROR((VLOOKUP(P138,Settings!$E$28:$F$33,2,FALSE)+1),1)</f>
        <v>0</v>
      </c>
      <c r="X138" s="57" cm="1">
        <f t="array" ref="X138">VLOOKUP(B138,'Player Data'!$A1:$AE673,12,FALSE)*$Q138*IFERROR((VLOOKUP(P138,Settings!$E$28:$F$33,2,FALSE)+1),1)</f>
        <v>0</v>
      </c>
      <c r="Y138" s="57" cm="1">
        <f t="array" ref="Y138">VLOOKUP(B138,'Player Data'!$A1:$AE673,13,FALSE)*$Q138</f>
        <v>0.76</v>
      </c>
      <c r="Z138" s="57" cm="1">
        <f t="array" ref="Z138">VLOOKUP(B138,'Player Data'!$A1:$AE673,14,FALSE)*$Q138</f>
        <v>1.52</v>
      </c>
      <c r="AA138" s="57" cm="1">
        <f t="array" ref="AA138">VLOOKUP(B138,'Player Data'!$A1:$AE673,15,FALSE)*$Q138</f>
        <v>142.88</v>
      </c>
      <c r="AB138" s="57" cm="1">
        <f t="array" ref="AB138">VLOOKUP(B138,'Player Data'!$A1:$AE673,16,FALSE)*$Q138</f>
        <v>120.84</v>
      </c>
      <c r="AC138" s="57" cm="1">
        <f t="array" ref="AC138">VLOOKUP(B138,'Player Data'!$A1:$AE673,17,FALSE)*$Q138*IFERROR((VLOOKUP(P138,Settings!$E$28:$F$33,2,FALSE)+1),1)</f>
        <v>2.2799999999999998</v>
      </c>
      <c r="AD138" s="57" cm="1">
        <f t="array" ref="AD138">VLOOKUP(B138,'Player Data'!$A1:$AE673,18,FALSE)*$Q138</f>
        <v>31.159999999999997</v>
      </c>
      <c r="AE138" s="57" cm="1">
        <f t="array" ref="AE138">VLOOKUP(B138,'Player Data'!$A1:$AE673,19,FALSE)*$Q138*IFERROR((VLOOKUP(P138,Settings!$E$28:$F$33,2,FALSE)+1),1)</f>
        <v>1.52</v>
      </c>
      <c r="AF138" s="57" cm="1">
        <f t="array" ref="AF138">VLOOKUP(B138,'Player Data'!$A1:$AE673,20,FALSE)*$Q138</f>
        <v>0</v>
      </c>
      <c r="AG138" s="57" cm="1">
        <f t="array" ref="AG138">VLOOKUP(B138,'Player Data'!$A1:$AE673,21,FALSE)*$Q138</f>
        <v>0</v>
      </c>
      <c r="AH138" s="59" cm="1">
        <f t="array" ref="AH138">VLOOKUP(B138,'Player Data'!$A1:$AE673,22,FALSE)</f>
        <v>0</v>
      </c>
      <c r="AI138" s="55"/>
      <c r="AJ138" s="57"/>
      <c r="AK138" s="57"/>
      <c r="AL138" s="57"/>
      <c r="AM138" s="57"/>
      <c r="AN138" s="57"/>
      <c r="AO138" s="57"/>
      <c r="AP138" s="57"/>
      <c r="AQ138" s="60"/>
      <c r="AR138" s="61"/>
      <c r="AS138" s="55"/>
    </row>
    <row r="139" spans="1:45" ht="21.25" customHeight="1" x14ac:dyDescent="0.15">
      <c r="A139" s="62">
        <f>RANK(K139,K$2:K$671)</f>
        <v>150</v>
      </c>
      <c r="B139" s="10" t="s">
        <v>368</v>
      </c>
      <c r="C139" s="47" t="s">
        <v>145</v>
      </c>
      <c r="D139" s="48" t="str" cm="1">
        <f t="array" ref="D139">VLOOKUP(B139,'Player Data'!A1:D673,4,FALSE)</f>
        <v>D</v>
      </c>
      <c r="E139" s="68" cm="1">
        <f t="array" ref="E139">VLOOKUP(B139,D!A1:C204,3,FALSE)</f>
        <v>58</v>
      </c>
      <c r="F139" s="65" t="str" cm="1">
        <f t="array" ref="F139">VLOOKUP(B139,'Player Data'!A1:B673,2,FALSE)</f>
        <v>T.B</v>
      </c>
      <c r="G139" s="11" cm="1">
        <f t="array" ref="G139">VLOOKUP(B139,'Player Data'!A1:D673,3,FALSE)</f>
        <v>26</v>
      </c>
      <c r="H139" s="51" cm="1">
        <f t="array" ref="H139">IFERROR(VLOOKUP(B139,ADP!A1:F671,6,FALSE)/1000000,VLOOKUP(B139,ADP!A1:F671,6,FALSE))</f>
        <v>6.75</v>
      </c>
      <c r="I139" s="52">
        <f>IF(Settings!$E$15="POINTS",((R139*Q139)*Settings!$B$12)+(S139*Settings!$B$2)+(T139*Settings!$B$3)+(U139*Settings!$B$4)+(V139*Settings!$B$5)+(X139*Settings!$B$9)+(AA139*Settings!$B$6)+(W139*Settings!$B$8)+(AB139*Settings!$B$7)+(AC139*Settings!$B$14)+(AD139*Settings!$B$15)+(AE139*Settings!$B$16)+(AF139*Settings!$B$17)+(AG139*Settings!$B$18)+(U139*Settings!$B$13)+(Y139*Settings!$B$10)+(Z139*Settings!$B$11),VLOOKUP(B139,'Standard Deviations'!A$1:C$672,3,FALSE))</f>
        <v>-0.87313091856589908</v>
      </c>
      <c r="J139" s="53" cm="1">
        <f t="array" ref="J139">IF(D139="G",I139/AJ139,I139/Q139)</f>
        <v>-1.1052290108429102E-2</v>
      </c>
      <c r="K139" s="52" cm="1">
        <f t="array" ref="K139">VLOOKUP(B139,D!A1:F204,6,FALSE)</f>
        <v>-1.4399818330834535</v>
      </c>
      <c r="L139" s="54" cm="1">
        <f t="array" ref="L139">IFERROR(K139/H139,"N/A")</f>
        <v>-0.21333064193828941</v>
      </c>
      <c r="M139" s="84" t="s">
        <v>828</v>
      </c>
      <c r="N139" s="84" t="str" cm="1">
        <f t="array" ref="N139">IFERROR(M139-A139,"N/A")</f>
        <v>N/A</v>
      </c>
      <c r="O139" s="55"/>
      <c r="P139" s="56" cm="1">
        <f t="array" ref="P139">_xlfn.XLOOKUP($B139,ADP!A2:A671,ADP!G2:G671)</f>
        <v>0</v>
      </c>
      <c r="Q139" s="57" cm="1">
        <f t="array" ref="Q139">IF(Settings!$E$12="YES",VLOOKUP(B139,'Player Data'!A1:E673,5,FALSE),84)</f>
        <v>79</v>
      </c>
      <c r="R139" s="55" cm="1">
        <f t="array" ref="R139">VLOOKUP(B139,'Player Data'!$A1:$AE673,6,FALSE)</f>
        <v>21.4</v>
      </c>
      <c r="S139" s="57" cm="1">
        <f t="array" ref="S139">VLOOKUP(B139,'Player Data'!$A1:$AE673,7,FALSE)*$Q139*IFERROR((VLOOKUP(P139,Settings!$E$28:$F$33,2,FALSE)+1),1)</f>
        <v>5.53</v>
      </c>
      <c r="T139" s="57" cm="1">
        <f t="array" ref="T139">VLOOKUP(B139,'Player Data'!$A1:$AE673,8,FALSE)*$Q139*IFERROR((VLOOKUP(P139,Settings!$E$28:$F$33,2,FALSE)+1),1)</f>
        <v>20.54</v>
      </c>
      <c r="U139" s="57" cm="1">
        <f t="array" ref="U139">SUM(S139:T139)</f>
        <v>26.07</v>
      </c>
      <c r="V139" s="57" cm="1">
        <f t="array" ref="V139">VLOOKUP(B139,'Player Data'!$A1:$AE673,10,FALSE)*$Q139*IFERROR(((VLOOKUP(P139,Settings!$E$28:$F$33,2,FALSE)/2)+1),1)</f>
        <v>101.12</v>
      </c>
      <c r="W139" s="57" cm="1">
        <f t="array" ref="W139">VLOOKUP(B139,'Player Data'!$A1:$AE673,11,FALSE)*$Q139*IFERROR((VLOOKUP(P139,Settings!$E$28:$F$33,2,FALSE)+1),1)</f>
        <v>0</v>
      </c>
      <c r="X139" s="57" cm="1">
        <f t="array" ref="X139">VLOOKUP(B139,'Player Data'!$A1:$AE673,12,FALSE)*$Q139*IFERROR((VLOOKUP(P139,Settings!$E$28:$F$33,2,FALSE)+1),1)</f>
        <v>0</v>
      </c>
      <c r="Y139" s="57" cm="1">
        <f t="array" ref="Y139">VLOOKUP(B139,'Player Data'!$A1:$AE673,13,FALSE)*$Q139</f>
        <v>0</v>
      </c>
      <c r="Z139" s="57" cm="1">
        <f t="array" ref="Z139">VLOOKUP(B139,'Player Data'!$A1:$AE673,14,FALSE)*$Q139</f>
        <v>1.58</v>
      </c>
      <c r="AA139" s="57" cm="1">
        <f t="array" ref="AA139">VLOOKUP(B139,'Player Data'!$A1:$AE673,15,FALSE)*$Q139</f>
        <v>103.49000000000001</v>
      </c>
      <c r="AB139" s="57" cm="1">
        <f t="array" ref="AB139">VLOOKUP(B139,'Player Data'!$A1:$AE673,16,FALSE)*$Q139</f>
        <v>67.94</v>
      </c>
      <c r="AC139" s="57" cm="1">
        <f t="array" ref="AC139">VLOOKUP(B139,'Player Data'!$A1:$AE673,17,FALSE)*$Q139*IFERROR((VLOOKUP(P139,Settings!$E$28:$F$33,2,FALSE)+1),1)</f>
        <v>8.69</v>
      </c>
      <c r="AD139" s="57" cm="1">
        <f t="array" ref="AD139">VLOOKUP(B139,'Player Data'!$A1:$AE673,18,FALSE)*$Q139</f>
        <v>41.870000000000005</v>
      </c>
      <c r="AE139" s="57" cm="1">
        <f t="array" ref="AE139">VLOOKUP(B139,'Player Data'!$A1:$AE673,19,FALSE)*$Q139*IFERROR((VLOOKUP(P139,Settings!$E$28:$F$33,2,FALSE)+1),1)</f>
        <v>0.79</v>
      </c>
      <c r="AF139" s="57" cm="1">
        <f t="array" ref="AF139">VLOOKUP(B139,'Player Data'!$A1:$AE673,20,FALSE)*$Q139</f>
        <v>0</v>
      </c>
      <c r="AG139" s="57" cm="1">
        <f t="array" ref="AG139">VLOOKUP(B139,'Player Data'!$A1:$AE673,21,FALSE)*$Q139</f>
        <v>0</v>
      </c>
      <c r="AH139" s="59" cm="1">
        <f t="array" ref="AH139">VLOOKUP(B139,'Player Data'!$A1:$AE673,22,FALSE)</f>
        <v>0</v>
      </c>
      <c r="AI139" s="55"/>
      <c r="AJ139" s="57"/>
      <c r="AK139" s="57"/>
      <c r="AL139" s="57"/>
      <c r="AM139" s="57"/>
      <c r="AN139" s="57"/>
      <c r="AO139" s="57"/>
      <c r="AP139" s="57"/>
      <c r="AQ139" s="60"/>
      <c r="AR139" s="61"/>
      <c r="AS139" s="55"/>
    </row>
    <row r="140" spans="1:45" ht="21.25" customHeight="1" x14ac:dyDescent="0.15">
      <c r="A140" s="62">
        <f>RANK(K140,K$2:K$671)</f>
        <v>120</v>
      </c>
      <c r="B140" s="10" t="s">
        <v>227</v>
      </c>
      <c r="C140" s="47" t="s">
        <v>145</v>
      </c>
      <c r="D140" s="48" t="str" cm="1">
        <f t="array" ref="D140">VLOOKUP(B140,'Player Data'!A1:D673,4,FALSE)</f>
        <v>C</v>
      </c>
      <c r="E140" s="49" cm="1">
        <f t="array" ref="E140">VLOOKUP(B140,'C'!A1:C210,3,FALSE)</f>
        <v>29</v>
      </c>
      <c r="F140" s="63" t="str" cm="1">
        <f t="array" ref="F140">VLOOKUP(B140,'Player Data'!A1:B673,2,FALSE)</f>
        <v>DAL</v>
      </c>
      <c r="G140" s="11" cm="1">
        <f t="array" ref="G140">VLOOKUP(B140,'Player Data'!A1:D673,3,FALSE)</f>
        <v>29</v>
      </c>
      <c r="H140" s="51" cm="1">
        <f t="array" ref="H140">IFERROR(VLOOKUP(B140,ADP!A1:F671,6,FALSE)/1000000,VLOOKUP(B140,ADP!A1:F671,6,FALSE))</f>
        <v>8.4499999999999993</v>
      </c>
      <c r="I140" s="52">
        <f>IF(Settings!$E$15="POINTS",((R140*Q140)*Settings!$B$12)+(S140*Settings!$B$2)+(T140*Settings!$B$3)+(U140*Settings!$B$4)+(V140*Settings!$B$5)+(X140*Settings!$B$9)+(AA140*Settings!$B$6)+(W140*Settings!$B$8)+(AB140*Settings!$B$7)+(AC140*Settings!$B$14)+(AD140*Settings!$B$15)+(AE140*Settings!$B$16)+(AF140*Settings!$B$17)+(AG140*Settings!$B$18)+(Y140*Settings!$B$10)+(Z140*Settings!$B$11),VLOOKUP(B140,'Standard Deviations'!A$1:C$672,3,FALSE))</f>
        <v>5.8259822016433942</v>
      </c>
      <c r="J140" s="53" cm="1">
        <f t="array" ref="J140">IF(D140="G",I140/AJ140,I140/Q140)</f>
        <v>7.4692079508248646E-2</v>
      </c>
      <c r="K140" s="52" cm="1">
        <f t="array" ref="K140">IF(Settings!$E$18="C/LW/RW",VLOOKUP(B140,'C'!A1:F210,6,FALSE),VLOOKUP(B140,F!A1:F407,6,FALSE))</f>
        <v>-0.53402735597166995</v>
      </c>
      <c r="L140" s="54" cm="1">
        <f t="array" ref="L140">IFERROR(K140/H140,"N/A")</f>
        <v>-6.3198503665286385E-2</v>
      </c>
      <c r="M140" s="55">
        <v>116.2</v>
      </c>
      <c r="N140" s="55" cm="1">
        <f t="array" ref="N140">IFERROR(M140-A140,"N/A")</f>
        <v>-3.7999999999999972</v>
      </c>
      <c r="O140" s="80"/>
      <c r="P140" s="56" cm="1">
        <f t="array" ref="P140">_xlfn.XLOOKUP($B140,ADP!A2:A671,ADP!G2:G671)</f>
        <v>0</v>
      </c>
      <c r="Q140" s="57" cm="1">
        <f t="array" ref="Q140">IF(Settings!$E$12="YES",VLOOKUP(B140,'Player Data'!A1:E673,5,FALSE),84)</f>
        <v>78</v>
      </c>
      <c r="R140" s="55" cm="1">
        <f t="array" ref="R140">VLOOKUP(B140,'Player Data'!$A1:$AE673,6,FALSE)</f>
        <v>18.2</v>
      </c>
      <c r="S140" s="57" cm="1">
        <f t="array" ref="S140">VLOOKUP(B140,'Player Data'!$A1:$AE673,7,FALSE)*$Q140*IFERROR((VLOOKUP(P140,Settings!$E$28:$F$33,2,FALSE)+1),1)</f>
        <v>25.740000000000002</v>
      </c>
      <c r="T140" s="57" cm="1">
        <f t="array" ref="T140">VLOOKUP(B140,'Player Data'!$A1:$AE673,8,FALSE)*$Q140*IFERROR((VLOOKUP(P140,Settings!$E$28:$F$33,2,FALSE)+1),1)</f>
        <v>39</v>
      </c>
      <c r="U140" s="57" cm="1">
        <f t="array" ref="U140">SUM(S140:T140)</f>
        <v>64.740000000000009</v>
      </c>
      <c r="V140" s="57" cm="1">
        <f t="array" ref="V140">VLOOKUP(B140,'Player Data'!$A1:$AE673,10,FALSE)*$Q140*IFERROR(((VLOOKUP(P140,Settings!$E$28:$F$33,2,FALSE)/2)+1),1)</f>
        <v>180.18</v>
      </c>
      <c r="W140" s="58" cm="1">
        <f t="array" ref="W140">VLOOKUP(B140,'Player Data'!$A1:$AE673,11,FALSE)*$Q140*IFERROR((VLOOKUP(P140,Settings!$E$28:$F$33,2,FALSE)+1),1)</f>
        <v>7.02</v>
      </c>
      <c r="X140" s="57" cm="1">
        <f t="array" ref="X140">VLOOKUP(B140,'Player Data'!$A1:$AE673,12,FALSE)*$Q140*IFERROR((VLOOKUP(P140,Settings!$E$28:$F$33,2,FALSE)+1),1)</f>
        <v>20.28</v>
      </c>
      <c r="Y140" s="57" cm="1">
        <f t="array" ref="Y140">VLOOKUP(B140,'Player Data'!$A1:$AE673,13,FALSE)*$Q140</f>
        <v>0</v>
      </c>
      <c r="Z140" s="57" cm="1">
        <f t="array" ref="Z140">VLOOKUP(B140,'Player Data'!$A1:$AE673,14,FALSE)*$Q140</f>
        <v>0.78</v>
      </c>
      <c r="AA140" s="57" cm="1">
        <f t="array" ref="AA140">VLOOKUP(B140,'Player Data'!$A1:$AE673,15,FALSE)*$Q140</f>
        <v>36.659999999999997</v>
      </c>
      <c r="AB140" s="57" cm="1">
        <f t="array" ref="AB140">VLOOKUP(B140,'Player Data'!$A1:$AE673,16,FALSE)*$Q140</f>
        <v>76.44</v>
      </c>
      <c r="AC140" s="57" cm="1">
        <f t="array" ref="AC140">VLOOKUP(B140,'Player Data'!$A1:$AE673,17,FALSE)*$Q140*IFERROR((VLOOKUP(P140,Settings!$E$28:$F$33,2,FALSE)+1),1)</f>
        <v>7.8000000000000007</v>
      </c>
      <c r="AD140" s="57" cm="1">
        <f t="array" ref="AD140">VLOOKUP(B140,'Player Data'!$A1:$AE673,18,FALSE)*$Q140</f>
        <v>29.64</v>
      </c>
      <c r="AE140" s="57" cm="1">
        <f t="array" ref="AE140">VLOOKUP(B140,'Player Data'!$A1:$AE673,19,FALSE)*$Q140*IFERROR((VLOOKUP(P140,Settings!$E$28:$F$33,2,FALSE)+1),1)</f>
        <v>4.68</v>
      </c>
      <c r="AF140" s="57" cm="1">
        <f t="array" ref="AF140">VLOOKUP(B140,'Player Data'!$A1:$AE673,20,FALSE)*$Q140</f>
        <v>555.36</v>
      </c>
      <c r="AG140" s="57" cm="1">
        <f t="array" ref="AG140">VLOOKUP(B140,'Player Data'!$A1:$AE673,21,FALSE)*$Q140</f>
        <v>432.12</v>
      </c>
      <c r="AH140" s="59" cm="1">
        <f t="array" ref="AH140">VLOOKUP(B140,'Player Data'!$A1:$AE673,22,FALSE)</f>
        <v>0.56000000000000005</v>
      </c>
      <c r="AI140" s="55"/>
      <c r="AJ140" s="57"/>
      <c r="AK140" s="57"/>
      <c r="AL140" s="57"/>
      <c r="AM140" s="57"/>
      <c r="AN140" s="57"/>
      <c r="AO140" s="57"/>
      <c r="AP140" s="57"/>
      <c r="AQ140" s="60"/>
      <c r="AR140" s="61"/>
      <c r="AS140" s="55"/>
    </row>
    <row r="141" spans="1:45" ht="21.25" customHeight="1" x14ac:dyDescent="0.15">
      <c r="A141" s="62">
        <f>RANK(K141,K$2:K$671)</f>
        <v>121</v>
      </c>
      <c r="B141" s="10" t="s">
        <v>179</v>
      </c>
      <c r="C141" s="47" t="s">
        <v>145</v>
      </c>
      <c r="D141" s="48" t="str" cm="1">
        <f t="array" ref="D141">VLOOKUP(B141,'Player Data'!A1:D673,4,FALSE)</f>
        <v>C</v>
      </c>
      <c r="E141" s="49" cm="1">
        <f t="array" ref="E141">VLOOKUP(B141,'C'!A1:C210,3,FALSE)</f>
        <v>30</v>
      </c>
      <c r="F141" s="63" t="str" cm="1">
        <f t="array" ref="F141">VLOOKUP(B141,'Player Data'!A1:B673,2,FALSE)</f>
        <v>WPG</v>
      </c>
      <c r="G141" s="66" cm="1">
        <f t="array" ref="G141">VLOOKUP(B141,'Player Data'!A1:D673,3,FALSE)</f>
        <v>33</v>
      </c>
      <c r="H141" s="51" cm="1">
        <f t="array" ref="H141">IFERROR(VLOOKUP(B141,ADP!A1:F671,6,FALSE)/1000000,VLOOKUP(B141,ADP!A1:F671,6,FALSE))</f>
        <v>8.5</v>
      </c>
      <c r="I141" s="52">
        <f>IF(Settings!$E$15="POINTS",((R141*Q141)*Settings!$B$12)+(S141*Settings!$B$2)+(T141*Settings!$B$3)+(U141*Settings!$B$4)+(V141*Settings!$B$5)+(X141*Settings!$B$9)+(AA141*Settings!$B$6)+(W141*Settings!$B$8)+(AB141*Settings!$B$7)+(AC141*Settings!$B$14)+(AD141*Settings!$B$15)+(AE141*Settings!$B$16)+(AF141*Settings!$B$17)+(AG141*Settings!$B$18)+(Y141*Settings!$B$10)+(Z141*Settings!$B$11),VLOOKUP(B141,'Standard Deviations'!A$1:C$672,3,FALSE))</f>
        <v>5.8234709054452694</v>
      </c>
      <c r="J141" s="53" cm="1">
        <f t="array" ref="J141">IF(D141="G",I141/AJ141,I141/Q141)</f>
        <v>7.0162300065605657E-2</v>
      </c>
      <c r="K141" s="52" cm="1">
        <f t="array" ref="K141">IF(Settings!$E$18="C/LW/RW",VLOOKUP(B141,'C'!A1:F210,6,FALSE),VLOOKUP(B141,F!A1:F407,6,FALSE))</f>
        <v>-0.53653865216979479</v>
      </c>
      <c r="L141" s="54" cm="1">
        <f t="array" ref="L141">IFERROR(K141/H141,"N/A")</f>
        <v>-6.3122194372917037E-2</v>
      </c>
      <c r="M141" s="55">
        <v>35.200000000000003</v>
      </c>
      <c r="N141" s="55" cm="1">
        <f t="array" ref="N141">IFERROR(M141-A141,"N/A")</f>
        <v>-85.8</v>
      </c>
      <c r="O141" s="82"/>
      <c r="P141" s="56" t="str" cm="1">
        <f t="array" ref="P141">_xlfn.XLOOKUP($B141,ADP!A2:A671,ADP!G2:G671)</f>
        <v>-</v>
      </c>
      <c r="Q141" s="57" cm="1">
        <f t="array" ref="Q141">IF(Settings!$E$12="YES",VLOOKUP(B141,'Player Data'!A1:E673,5,FALSE),84)</f>
        <v>83</v>
      </c>
      <c r="R141" s="55" cm="1">
        <f t="array" ref="R141">VLOOKUP(B141,'Player Data'!$A1:$AE673,6,FALSE)</f>
        <v>21.5</v>
      </c>
      <c r="S141" s="57" cm="1">
        <f t="array" ref="S141">VLOOKUP(B141,'Player Data'!$A1:$AE673,7,FALSE)*$Q141*IFERROR((VLOOKUP(P141,Settings!$E$28:$F$33,2,FALSE)+1),1)</f>
        <v>33.116999999999997</v>
      </c>
      <c r="T141" s="57" cm="1">
        <f t="array" ref="T141">VLOOKUP(B141,'Player Data'!$A1:$AE673,8,FALSE)*$Q141*IFERROR((VLOOKUP(P141,Settings!$E$28:$F$33,2,FALSE)+1),1)</f>
        <v>54.406499999999994</v>
      </c>
      <c r="U141" s="57" cm="1">
        <f t="array" ref="U141">SUM(S141:T141)</f>
        <v>87.523499999999984</v>
      </c>
      <c r="V141" s="57" cm="1">
        <f t="array" ref="V141">VLOOKUP(B141,'Player Data'!$A1:$AE673,10,FALSE)*$Q141*IFERROR(((VLOOKUP(P141,Settings!$E$28:$F$33,2,FALSE)/2)+1),1)</f>
        <v>179.65350000000001</v>
      </c>
      <c r="W141" s="58" cm="1">
        <f t="array" ref="W141">VLOOKUP(B141,'Player Data'!$A1:$AE673,11,FALSE)*$Q141*IFERROR((VLOOKUP(P141,Settings!$E$28:$F$33,2,FALSE)+1),1)</f>
        <v>7.8850000000000007</v>
      </c>
      <c r="X141" s="57" cm="1">
        <f t="array" ref="X141">VLOOKUP(B141,'Player Data'!$A1:$AE673,12,FALSE)*$Q141*IFERROR((VLOOKUP(P141,Settings!$E$28:$F$33,2,FALSE)+1),1)</f>
        <v>21.2895</v>
      </c>
      <c r="Y141" s="57" cm="1">
        <f t="array" ref="Y141">VLOOKUP(B141,'Player Data'!$A1:$AE673,13,FALSE)*$Q141</f>
        <v>0</v>
      </c>
      <c r="Z141" s="57" cm="1">
        <f t="array" ref="Z141">VLOOKUP(B141,'Player Data'!$A1:$AE673,14,FALSE)*$Q141</f>
        <v>0</v>
      </c>
      <c r="AA141" s="57" cm="1">
        <f t="array" ref="AA141">VLOOKUP(B141,'Player Data'!$A1:$AE673,15,FALSE)*$Q141</f>
        <v>50.629999999999995</v>
      </c>
      <c r="AB141" s="57" cm="1">
        <f t="array" ref="AB141">VLOOKUP(B141,'Player Data'!$A1:$AE673,16,FALSE)*$Q141</f>
        <v>48.97</v>
      </c>
      <c r="AC141" s="57" cm="1">
        <f t="array" ref="AC141">VLOOKUP(B141,'Player Data'!$A1:$AE673,17,FALSE)*$Q141*IFERROR((VLOOKUP(P141,Settings!$E$28:$F$33,2,FALSE)+1),1)</f>
        <v>1.577</v>
      </c>
      <c r="AD141" s="57" cm="1">
        <f t="array" ref="AD141">VLOOKUP(B141,'Player Data'!$A1:$AE673,18,FALSE)*$Q141</f>
        <v>42.33</v>
      </c>
      <c r="AE141" s="57" cm="1">
        <f t="array" ref="AE141">VLOOKUP(B141,'Player Data'!$A1:$AE673,19,FALSE)*$Q141*IFERROR((VLOOKUP(P141,Settings!$E$28:$F$33,2,FALSE)+1),1)</f>
        <v>5.5194999999999999</v>
      </c>
      <c r="AF141" s="57" cm="1">
        <f t="array" ref="AF141">VLOOKUP(B141,'Player Data'!$A1:$AE673,20,FALSE)*$Q141</f>
        <v>634.12</v>
      </c>
      <c r="AG141" s="57" cm="1">
        <f t="array" ref="AG141">VLOOKUP(B141,'Player Data'!$A1:$AE673,21,FALSE)*$Q141</f>
        <v>687.2399999999999</v>
      </c>
      <c r="AH141" s="59" cm="1">
        <f t="array" ref="AH141">VLOOKUP(B141,'Player Data'!$A1:$AE673,22,FALSE)</f>
        <v>0.48</v>
      </c>
      <c r="AI141" s="55"/>
      <c r="AJ141" s="57"/>
      <c r="AK141" s="57"/>
      <c r="AL141" s="57"/>
      <c r="AM141" s="57"/>
      <c r="AN141" s="57"/>
      <c r="AO141" s="57"/>
      <c r="AP141" s="57"/>
      <c r="AQ141" s="60"/>
      <c r="AR141" s="61"/>
      <c r="AS141" s="55"/>
    </row>
    <row r="142" spans="1:45" ht="21.25" customHeight="1" x14ac:dyDescent="0.15">
      <c r="A142" s="62">
        <f>RANK(K142,K$2:K$671)</f>
        <v>145</v>
      </c>
      <c r="B142" s="10" t="s">
        <v>458</v>
      </c>
      <c r="C142" s="47" t="s">
        <v>145</v>
      </c>
      <c r="D142" s="48" t="str" cm="1">
        <f t="array" ref="D142">VLOOKUP(B142,'Player Data'!A1:D673,4,FALSE)</f>
        <v>G</v>
      </c>
      <c r="E142" s="76" cm="1">
        <f t="array" ref="E142">VLOOKUP(B142,G!A1:D66,3,FALSE)</f>
        <v>28</v>
      </c>
      <c r="F142" s="73" t="str" cm="1">
        <f t="array" ref="F142">VLOOKUP(B142,'Player Data'!A1:B673,2,FALSE)</f>
        <v>PHI</v>
      </c>
      <c r="G142" s="11" cm="1">
        <f t="array" ref="G142">VLOOKUP(B142,'Player Data'!A1:D673,3,FALSE)</f>
        <v>28</v>
      </c>
      <c r="H142" s="51" cm="1">
        <f t="array" ref="H142">IFERROR(VLOOKUP(B142,ADP!A1:F671,6,FALSE)/1000000,VLOOKUP(B142,ADP!A1:F671,6,FALSE))</f>
        <v>3.6659999999999999</v>
      </c>
      <c r="I142" s="52">
        <f>IF(Settings!$E$15="POINTS",(AJ142*Settings!$B$29)+(AK142*Settings!$B$21)+(AL142*Settings!$B$22)+(AN142*Settings!$B$24)+(AO142*Settings!$B$25)+(AP142*Settings!$B$27)+(AM142*Settings!$B$23),VLOOKUP(B142,'Standard Deviations'!A$1:C$672,3,FALSE))</f>
        <v>0.77459048986216872</v>
      </c>
      <c r="J142" s="53" cm="1">
        <f t="array" ref="J142">IF(D142="G",I142/AJ142,I142/Q142)</f>
        <v>2.2131156853204822E-2</v>
      </c>
      <c r="K142" s="52" cm="1">
        <f t="array" ref="K142">VLOOKUP(B142,G!A1:F66,6,FALSE)</f>
        <v>-1.2635947692615062</v>
      </c>
      <c r="L142" s="54" cm="1">
        <f t="array" ref="L142">IFERROR(K142/H142,"N/A")</f>
        <v>-0.34467942423936337</v>
      </c>
      <c r="M142" s="55">
        <v>132</v>
      </c>
      <c r="N142" s="55" cm="1">
        <f t="array" ref="N142">IFERROR(M142-A142,"N/A")</f>
        <v>-13</v>
      </c>
      <c r="O142" s="55"/>
      <c r="P142" s="56" cm="1">
        <f t="array" ref="P142">_xlfn.XLOOKUP($B142,ADP!A2:A671,ADP!G2:G671)</f>
        <v>0</v>
      </c>
      <c r="Q142" s="57"/>
      <c r="R142" s="55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9"/>
      <c r="AI142" s="55"/>
      <c r="AJ142" s="77" cm="1">
        <f t="array" ref="AJ142">VLOOKUP(B142,'Player Data'!$A1:$AE673,24,FALSE)</f>
        <v>35</v>
      </c>
      <c r="AK142" s="57" cm="1">
        <f t="array" ref="AK142">VLOOKUP(B142,'Player Data'!$A1:$AE673,25,FALSE)*$AJ142*IFERROR((VLOOKUP(P142,Settings!$E$28:$F$33,2,FALSE)+1),1)</f>
        <v>18.2</v>
      </c>
      <c r="AL142" s="57" cm="1">
        <f t="array" ref="AL142">AJ142-AK142-AM142</f>
        <v>12.600000000000001</v>
      </c>
      <c r="AM142" s="57" cm="1">
        <f t="array" ref="AM142">VLOOKUP(B142,'Player Data'!$A1:$AE673,27,FALSE)*$AJ142</f>
        <v>4.2</v>
      </c>
      <c r="AN142" s="57" cm="1">
        <f t="array" ref="AN142">VLOOKUP(B142,'Player Data'!$A1:$AE673,28,FALSE)*AJ142</f>
        <v>2.1</v>
      </c>
      <c r="AO142" s="57" cm="1">
        <f t="array" ref="AO142">VLOOKUP(B142,'Player Data'!$A1:$AE673,29,FALSE)*$AJ142*IFERROR((VLOOKUP(P142,Settings!$E$28:$F$33,2,FALSE)/4)+1,1)</f>
        <v>868</v>
      </c>
      <c r="AP142" s="57" cm="1">
        <f t="array" ref="AP142">VLOOKUP(B142,'Player Data'!$A1:$AE673,31,FALSE)*$AJ142*(IFERROR(1-(VLOOKUP(P142,Settings!$E$28:$F$33,2,FALSE)/4),1))</f>
        <v>95.55</v>
      </c>
      <c r="AQ142" s="60" cm="1">
        <f t="array" ref="AQ142">1-(AP142/(AO142+AP142))</f>
        <v>0.90083545223392658</v>
      </c>
      <c r="AR142" s="61" cm="1">
        <f t="array" ref="AR142">AP142/AJ142</f>
        <v>2.73</v>
      </c>
      <c r="AS142" s="55"/>
    </row>
    <row r="143" spans="1:45" ht="21.25" customHeight="1" x14ac:dyDescent="0.15">
      <c r="A143" s="62">
        <f>RANK(K143,K$2:K$671)</f>
        <v>146</v>
      </c>
      <c r="B143" s="10" t="s">
        <v>424</v>
      </c>
      <c r="C143" s="47" t="s">
        <v>145</v>
      </c>
      <c r="D143" s="48" t="str" cm="1">
        <f t="array" ref="D143">VLOOKUP(B143,'Player Data'!A1:D673,4,FALSE)</f>
        <v>G</v>
      </c>
      <c r="E143" s="76" cm="1">
        <f t="array" ref="E143">VLOOKUP(B143,G!A1:D66,3,FALSE)</f>
        <v>29</v>
      </c>
      <c r="F143" s="70" t="str" cm="1">
        <f t="array" ref="F143">VLOOKUP(B143,'Player Data'!A1:B673,2,FALSE)</f>
        <v>MIN</v>
      </c>
      <c r="G143" s="11" cm="1">
        <f t="array" ref="G143">VLOOKUP(B143,'Player Data'!A1:D673,3,FALSE)</f>
        <v>28</v>
      </c>
      <c r="H143" s="51" cm="1">
        <f t="array" ref="H143">IFERROR(VLOOKUP(B143,ADP!A1:F671,6,FALSE)/1000000,VLOOKUP(B143,ADP!A1:F671,6,FALSE))</f>
        <v>6.8</v>
      </c>
      <c r="I143" s="52">
        <f>IF(Settings!$E$15="POINTS",(AJ143*Settings!$B$29)+(AK143*Settings!$B$21)+(AL143*Settings!$B$22)+(AN143*Settings!$B$24)+(AO143*Settings!$B$25)+(AP143*Settings!$B$27)+(AM143*Settings!$B$23),VLOOKUP(B143,'Standard Deviations'!A$1:C$672,3,FALSE))</f>
        <v>0.77374028434042252</v>
      </c>
      <c r="J143" s="53" cm="1">
        <f t="array" ref="J143">IF(D143="G",I143/AJ143,I143/Q143)</f>
        <v>2.2106865266869214E-2</v>
      </c>
      <c r="K143" s="52" cm="1">
        <f t="array" ref="K143">VLOOKUP(B143,G!A1:F66,6,FALSE)</f>
        <v>-1.2644449747832525</v>
      </c>
      <c r="L143" s="54" cm="1">
        <f t="array" ref="L143">IFERROR(K143/H143,"N/A")</f>
        <v>-0.18594779040930184</v>
      </c>
      <c r="M143" s="55">
        <v>127.5</v>
      </c>
      <c r="N143" s="55" cm="1">
        <f t="array" ref="N143">IFERROR(M143-A143,"N/A")</f>
        <v>-18.5</v>
      </c>
      <c r="O143" s="55"/>
      <c r="P143" s="56" t="str" cm="1">
        <f t="array" ref="P143">_xlfn.XLOOKUP($B143,ADP!A2:A671,ADP!G2:G671)</f>
        <v>-</v>
      </c>
      <c r="Q143" s="57"/>
      <c r="R143" s="55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9"/>
      <c r="AI143" s="55"/>
      <c r="AJ143" s="77" cm="1">
        <f t="array" ref="AJ143">VLOOKUP(B143,'Player Data'!$A1:$AE673,24,FALSE)</f>
        <v>35</v>
      </c>
      <c r="AK143" s="57" cm="1">
        <f t="array" ref="AK143">VLOOKUP(B143,'Player Data'!$A1:$AE673,25,FALSE)*$AJ143*IFERROR((VLOOKUP(P143,Settings!$E$28:$F$33,2,FALSE)+1),1)</f>
        <v>17.955000000000002</v>
      </c>
      <c r="AL143" s="57" cm="1">
        <f t="array" ref="AL143">AJ143-AK143-AM143</f>
        <v>12.844999999999999</v>
      </c>
      <c r="AM143" s="57" cm="1">
        <f t="array" ref="AM143">VLOOKUP(B143,'Player Data'!$A1:$AE673,27,FALSE)*$AJ143</f>
        <v>4.2</v>
      </c>
      <c r="AN143" s="57" cm="1">
        <f t="array" ref="AN143">VLOOKUP(B143,'Player Data'!$A1:$AE673,28,FALSE)*AJ143</f>
        <v>2.1</v>
      </c>
      <c r="AO143" s="57" cm="1">
        <f t="array" ref="AO143">VLOOKUP(B143,'Player Data'!$A1:$AE673,29,FALSE)*$AJ143*IFERROR((VLOOKUP(P143,Settings!$E$28:$F$33,2,FALSE)/4)+1,1)</f>
        <v>898.625</v>
      </c>
      <c r="AP143" s="57" cm="1">
        <f t="array" ref="AP143">VLOOKUP(B143,'Player Data'!$A1:$AE673,31,FALSE)*$AJ143*(IFERROR(1-(VLOOKUP(P143,Settings!$E$28:$F$33,2,FALSE)/4),1))</f>
        <v>97.098749999999995</v>
      </c>
      <c r="AQ143" s="60" cm="1">
        <f t="array" ref="AQ143">1-(AP143/(AO143+AP143))</f>
        <v>0.9024842482666503</v>
      </c>
      <c r="AR143" s="61" cm="1">
        <f t="array" ref="AR143">AP143/AJ143</f>
        <v>2.7742499999999999</v>
      </c>
      <c r="AS143" s="55"/>
    </row>
    <row r="144" spans="1:45" ht="21.25" customHeight="1" x14ac:dyDescent="0.15">
      <c r="A144" s="62">
        <f>RANK(K144,K$2:K$671)</f>
        <v>151</v>
      </c>
      <c r="B144" s="10" t="s">
        <v>358</v>
      </c>
      <c r="C144" s="47" t="s">
        <v>145</v>
      </c>
      <c r="D144" s="48" t="str" cm="1">
        <f t="array" ref="D144">VLOOKUP(B144,'Player Data'!A1:D673,4,FALSE)</f>
        <v>D</v>
      </c>
      <c r="E144" s="68" cm="1">
        <f t="array" ref="E144">VLOOKUP(B144,D!A1:C204,3,FALSE)</f>
        <v>59</v>
      </c>
      <c r="F144" s="18" t="str" cm="1">
        <f t="array" ref="F144">VLOOKUP(B144,'Player Data'!A1:B673,2,FALSE)</f>
        <v>OTT</v>
      </c>
      <c r="G144" s="11" cm="1">
        <f t="array" ref="G144">VLOOKUP(B144,'Player Data'!A1:D673,3,FALSE)</f>
        <v>25</v>
      </c>
      <c r="H144" s="51" cm="1">
        <f t="array" ref="H144">IFERROR(VLOOKUP(B144,ADP!A1:F671,6,FALSE)/1000000,VLOOKUP(B144,ADP!A1:F671,6,FALSE))</f>
        <v>5</v>
      </c>
      <c r="I144" s="52">
        <f>IF(Settings!$E$15="POINTS",((R144*Q144)*Settings!$B$12)+(S144*Settings!$B$2)+(T144*Settings!$B$3)+(U144*Settings!$B$4)+(V144*Settings!$B$5)+(X144*Settings!$B$9)+(AA144*Settings!$B$6)+(W144*Settings!$B$8)+(AB144*Settings!$B$7)+(AC144*Settings!$B$14)+(AD144*Settings!$B$15)+(AE144*Settings!$B$16)+(AF144*Settings!$B$17)+(AG144*Settings!$B$18)+(U144*Settings!$B$13)+(Y144*Settings!$B$10)+(Z144*Settings!$B$11),VLOOKUP(B144,'Standard Deviations'!A$1:C$672,3,FALSE))</f>
        <v>-0.90751934655258126</v>
      </c>
      <c r="J144" s="53" cm="1">
        <f t="array" ref="J144">IF(D144="G",I144/AJ144,I144/Q144)</f>
        <v>-1.1203942550031867E-2</v>
      </c>
      <c r="K144" s="52" cm="1">
        <f t="array" ref="K144">VLOOKUP(B144,D!A1:F204,6,FALSE)</f>
        <v>-1.4743702610701357</v>
      </c>
      <c r="L144" s="54" cm="1">
        <f t="array" ref="L144">IFERROR(K144/H144,"N/A")</f>
        <v>-0.29487405221402713</v>
      </c>
      <c r="M144" s="84" t="s">
        <v>828</v>
      </c>
      <c r="N144" s="84" t="str" cm="1">
        <f t="array" ref="N144">IFERROR(M144-A144,"N/A")</f>
        <v>N/A</v>
      </c>
      <c r="O144" s="55"/>
      <c r="P144" s="56" cm="1">
        <f t="array" ref="P144">_xlfn.XLOOKUP($B144,ADP!A2:A671,ADP!G2:G671)</f>
        <v>0</v>
      </c>
      <c r="Q144" s="57" cm="1">
        <f t="array" ref="Q144">IF(Settings!$E$12="YES",VLOOKUP(B144,'Player Data'!A1:E673,5,FALSE),84)</f>
        <v>81</v>
      </c>
      <c r="R144" s="55" cm="1">
        <f t="array" ref="R144">VLOOKUP(B144,'Player Data'!$A1:$AE673,6,FALSE)</f>
        <v>18.100000000000001</v>
      </c>
      <c r="S144" s="57" cm="1">
        <f t="array" ref="S144">VLOOKUP(B144,'Player Data'!$A1:$AE673,7,FALSE)*$Q144*IFERROR((VLOOKUP(P144,Settings!$E$28:$F$33,2,FALSE)+1),1)</f>
        <v>5.6700000000000008</v>
      </c>
      <c r="T144" s="57" cm="1">
        <f t="array" ref="T144">VLOOKUP(B144,'Player Data'!$A1:$AE673,8,FALSE)*$Q144*IFERROR((VLOOKUP(P144,Settings!$E$28:$F$33,2,FALSE)+1),1)</f>
        <v>24.3</v>
      </c>
      <c r="U144" s="57" cm="1">
        <f t="array" ref="U144">SUM(S144:T144)</f>
        <v>29.970000000000002</v>
      </c>
      <c r="V144" s="57" cm="1">
        <f t="array" ref="V144">VLOOKUP(B144,'Player Data'!$A1:$AE673,10,FALSE)*$Q144*IFERROR(((VLOOKUP(P144,Settings!$E$28:$F$33,2,FALSE)/2)+1),1)</f>
        <v>108.54</v>
      </c>
      <c r="W144" s="57" cm="1">
        <f t="array" ref="W144">VLOOKUP(B144,'Player Data'!$A1:$AE673,11,FALSE)*$Q144*IFERROR((VLOOKUP(P144,Settings!$E$28:$F$33,2,FALSE)+1),1)</f>
        <v>0</v>
      </c>
      <c r="X144" s="57" cm="1">
        <f t="array" ref="X144">VLOOKUP(B144,'Player Data'!$A1:$AE673,12,FALSE)*$Q144*IFERROR((VLOOKUP(P144,Settings!$E$28:$F$33,2,FALSE)+1),1)</f>
        <v>1.62</v>
      </c>
      <c r="Y144" s="57" cm="1">
        <f t="array" ref="Y144">VLOOKUP(B144,'Player Data'!$A1:$AE673,13,FALSE)*$Q144</f>
        <v>0</v>
      </c>
      <c r="Z144" s="57" cm="1">
        <f t="array" ref="Z144">VLOOKUP(B144,'Player Data'!$A1:$AE673,14,FALSE)*$Q144</f>
        <v>0</v>
      </c>
      <c r="AA144" s="57" cm="1">
        <f t="array" ref="AA144">VLOOKUP(B144,'Player Data'!$A1:$AE673,15,FALSE)*$Q144</f>
        <v>77.759999999999991</v>
      </c>
      <c r="AB144" s="57" cm="1">
        <f t="array" ref="AB144">VLOOKUP(B144,'Player Data'!$A1:$AE673,16,FALSE)*$Q144</f>
        <v>70.47</v>
      </c>
      <c r="AC144" s="57" cm="1">
        <f t="array" ref="AC144">VLOOKUP(B144,'Player Data'!$A1:$AE673,17,FALSE)*$Q144*IFERROR((VLOOKUP(P144,Settings!$E$28:$F$33,2,FALSE)+1),1)</f>
        <v>5.6700000000000008</v>
      </c>
      <c r="AD144" s="57" cm="1">
        <f t="array" ref="AD144">VLOOKUP(B144,'Player Data'!$A1:$AE673,18,FALSE)*$Q144</f>
        <v>23.49</v>
      </c>
      <c r="AE144" s="57" cm="1">
        <f t="array" ref="AE144">VLOOKUP(B144,'Player Data'!$A1:$AE673,19,FALSE)*$Q144*IFERROR((VLOOKUP(P144,Settings!$E$28:$F$33,2,FALSE)+1),1)</f>
        <v>0.81</v>
      </c>
      <c r="AF144" s="57" cm="1">
        <f t="array" ref="AF144">VLOOKUP(B144,'Player Data'!$A1:$AE673,20,FALSE)*$Q144</f>
        <v>0</v>
      </c>
      <c r="AG144" s="57" cm="1">
        <f t="array" ref="AG144">VLOOKUP(B144,'Player Data'!$A1:$AE673,21,FALSE)*$Q144</f>
        <v>0</v>
      </c>
      <c r="AH144" s="59" cm="1">
        <f t="array" ref="AH144">VLOOKUP(B144,'Player Data'!$A1:$AE673,22,FALSE)</f>
        <v>0</v>
      </c>
      <c r="AI144" s="55"/>
      <c r="AJ144" s="57"/>
      <c r="AK144" s="57"/>
      <c r="AL144" s="57"/>
      <c r="AM144" s="57"/>
      <c r="AN144" s="57"/>
      <c r="AO144" s="57"/>
      <c r="AP144" s="57"/>
      <c r="AQ144" s="60"/>
      <c r="AR144" s="61"/>
      <c r="AS144" s="55"/>
    </row>
    <row r="145" spans="1:45" ht="21.25" customHeight="1" x14ac:dyDescent="0.15">
      <c r="A145" s="62">
        <f>RANK(K145,K$2:K$671)</f>
        <v>152</v>
      </c>
      <c r="B145" s="10" t="s">
        <v>355</v>
      </c>
      <c r="C145" s="47" t="s">
        <v>145</v>
      </c>
      <c r="D145" s="48" t="str" cm="1">
        <f t="array" ref="D145">VLOOKUP(B145,'Player Data'!A1:D673,4,FALSE)</f>
        <v>D</v>
      </c>
      <c r="E145" s="68" cm="1">
        <f t="array" ref="E145">VLOOKUP(B145,D!A1:C204,3,FALSE)</f>
        <v>60</v>
      </c>
      <c r="F145" s="50" t="str" cm="1">
        <f t="array" ref="F145">VLOOKUP(B145,'Player Data'!A1:B673,2,FALSE)</f>
        <v>COL</v>
      </c>
      <c r="G145" s="66" cm="1">
        <f t="array" ref="G145">VLOOKUP(B145,'Player Data'!A1:D673,3,FALSE)</f>
        <v>41</v>
      </c>
      <c r="H145" s="67" cm="1">
        <f t="array" ref="H145">IFERROR(VLOOKUP(B145,ADP!A1:F671,6,FALSE)/1000000,VLOOKUP(B145,ADP!A1:F671,6,FALSE))</f>
        <v>0.85</v>
      </c>
      <c r="I145" s="52">
        <f>IF(Settings!$E$15="POINTS",((R145*Q145)*Settings!$B$12)+(S145*Settings!$B$2)+(T145*Settings!$B$3)+(U145*Settings!$B$4)+(V145*Settings!$B$5)+(X145*Settings!$B$9)+(AA145*Settings!$B$6)+(W145*Settings!$B$8)+(AB145*Settings!$B$7)+(AC145*Settings!$B$14)+(AD145*Settings!$B$15)+(AE145*Settings!$B$16)+(AF145*Settings!$B$17)+(AG145*Settings!$B$18)+(U145*Settings!$B$13)+(Y145*Settings!$B$10)+(Z145*Settings!$B$11),VLOOKUP(B145,'Standard Deviations'!A$1:C$672,3,FALSE))</f>
        <v>-0.91859130539771061</v>
      </c>
      <c r="J145" s="53" cm="1">
        <f t="array" ref="J145">IF(D145="G",I145/AJ145,I145/Q145)</f>
        <v>-1.0935610778544174E-2</v>
      </c>
      <c r="K145" s="52" cm="1">
        <f t="array" ref="K145">VLOOKUP(B145,D!A1:F204,6,FALSE)</f>
        <v>-1.485442219915265</v>
      </c>
      <c r="L145" s="54" cm="1">
        <f t="array" ref="L145">IFERROR(K145/H145,"N/A")</f>
        <v>-1.7475790822532531</v>
      </c>
      <c r="M145" s="55">
        <v>135.9</v>
      </c>
      <c r="N145" s="55" cm="1">
        <f t="array" ref="N145">IFERROR(M145-A145,"N/A")</f>
        <v>-16.099999999999994</v>
      </c>
      <c r="O145" s="55"/>
      <c r="P145" s="56" cm="1">
        <f t="array" ref="P145">_xlfn.XLOOKUP($B145,ADP!A2:A671,ADP!G2:G671)</f>
        <v>0</v>
      </c>
      <c r="Q145" s="57" cm="1">
        <f t="array" ref="Q145">IF(Settings!$E$12="YES",VLOOKUP(B145,'Player Data'!A1:E673,5,FALSE),84)</f>
        <v>84</v>
      </c>
      <c r="R145" s="55" cm="1">
        <f t="array" ref="R145">VLOOKUP(B145,'Player Data'!$A1:$AE673,6,FALSE)</f>
        <v>18.399999999999999</v>
      </c>
      <c r="S145" s="57" cm="1">
        <f t="array" ref="S145">VLOOKUP(B145,'Player Data'!$A1:$AE673,7,FALSE)*$Q145*IFERROR((VLOOKUP(P145,Settings!$E$28:$F$33,2,FALSE)+1),1)</f>
        <v>5.04</v>
      </c>
      <c r="T145" s="57" cm="1">
        <f t="array" ref="T145">VLOOKUP(B145,'Player Data'!$A1:$AE673,8,FALSE)*$Q145*IFERROR((VLOOKUP(P145,Settings!$E$28:$F$33,2,FALSE)+1),1)</f>
        <v>16.8</v>
      </c>
      <c r="U145" s="57" cm="1">
        <f t="array" ref="U145">SUM(S145:T145)</f>
        <v>21.84</v>
      </c>
      <c r="V145" s="57" cm="1">
        <f t="array" ref="V145">VLOOKUP(B145,'Player Data'!$A1:$AE673,10,FALSE)*$Q145*IFERROR(((VLOOKUP(P145,Settings!$E$28:$F$33,2,FALSE)/2)+1),1)</f>
        <v>138.6</v>
      </c>
      <c r="W145" s="57" cm="1">
        <f t="array" ref="W145">VLOOKUP(B145,'Player Data'!$A1:$AE673,11,FALSE)*$Q145*IFERROR((VLOOKUP(P145,Settings!$E$28:$F$33,2,FALSE)+1),1)</f>
        <v>0</v>
      </c>
      <c r="X145" s="57" cm="1">
        <f t="array" ref="X145">VLOOKUP(B145,'Player Data'!$A1:$AE673,12,FALSE)*$Q145*IFERROR((VLOOKUP(P145,Settings!$E$28:$F$33,2,FALSE)+1),1)</f>
        <v>1.68</v>
      </c>
      <c r="Y145" s="57" cm="1">
        <f t="array" ref="Y145">VLOOKUP(B145,'Player Data'!$A1:$AE673,13,FALSE)*$Q145</f>
        <v>0</v>
      </c>
      <c r="Z145" s="57" cm="1">
        <f t="array" ref="Z145">VLOOKUP(B145,'Player Data'!$A1:$AE673,14,FALSE)*$Q145</f>
        <v>0</v>
      </c>
      <c r="AA145" s="57" cm="1">
        <f t="array" ref="AA145">VLOOKUP(B145,'Player Data'!$A1:$AE673,15,FALSE)*$Q145</f>
        <v>92.4</v>
      </c>
      <c r="AB145" s="57" cm="1">
        <f t="array" ref="AB145">VLOOKUP(B145,'Player Data'!$A1:$AE673,16,FALSE)*$Q145</f>
        <v>35.28</v>
      </c>
      <c r="AC145" s="57" cm="1">
        <f t="array" ref="AC145">VLOOKUP(B145,'Player Data'!$A1:$AE673,17,FALSE)*$Q145*IFERROR((VLOOKUP(P145,Settings!$E$28:$F$33,2,FALSE)+1),1)</f>
        <v>9.24</v>
      </c>
      <c r="AD145" s="57" cm="1">
        <f t="array" ref="AD145">VLOOKUP(B145,'Player Data'!$A1:$AE673,18,FALSE)*$Q145</f>
        <v>27.720000000000002</v>
      </c>
      <c r="AE145" s="57" cm="1">
        <f t="array" ref="AE145">VLOOKUP(B145,'Player Data'!$A1:$AE673,19,FALSE)*$Q145*IFERROR((VLOOKUP(P145,Settings!$E$28:$F$33,2,FALSE)+1),1)</f>
        <v>0.84</v>
      </c>
      <c r="AF145" s="57" cm="1">
        <f t="array" ref="AF145">VLOOKUP(B145,'Player Data'!$A1:$AE673,20,FALSE)*$Q145</f>
        <v>0</v>
      </c>
      <c r="AG145" s="57" cm="1">
        <f t="array" ref="AG145">VLOOKUP(B145,'Player Data'!$A1:$AE673,21,FALSE)*$Q145</f>
        <v>0</v>
      </c>
      <c r="AH145" s="59" cm="1">
        <f t="array" ref="AH145">VLOOKUP(B145,'Player Data'!$A1:$AE673,22,FALSE)</f>
        <v>0</v>
      </c>
      <c r="AI145" s="55"/>
      <c r="AJ145" s="57"/>
      <c r="AK145" s="57"/>
      <c r="AL145" s="57"/>
      <c r="AM145" s="57"/>
      <c r="AN145" s="57"/>
      <c r="AO145" s="57"/>
      <c r="AP145" s="57"/>
      <c r="AQ145" s="60"/>
      <c r="AR145" s="61"/>
      <c r="AS145" s="55"/>
    </row>
    <row r="146" spans="1:45" ht="21.25" customHeight="1" x14ac:dyDescent="0.15">
      <c r="A146" s="62">
        <f>RANK(K146,K$2:K$671)</f>
        <v>155</v>
      </c>
      <c r="B146" s="10" t="s">
        <v>365</v>
      </c>
      <c r="C146" s="47" t="s">
        <v>145</v>
      </c>
      <c r="D146" s="48" t="str" cm="1">
        <f t="array" ref="D146">VLOOKUP(B146,'Player Data'!A1:D673,4,FALSE)</f>
        <v>D</v>
      </c>
      <c r="E146" s="68" cm="1">
        <f t="array" ref="E146">VLOOKUP(B146,D!A1:C204,3,FALSE)</f>
        <v>61</v>
      </c>
      <c r="F146" s="63" t="str" cm="1">
        <f t="array" ref="F146">VLOOKUP(B146,'Player Data'!A1:B673,2,FALSE)</f>
        <v>VGK</v>
      </c>
      <c r="G146" s="66" cm="1">
        <f t="array" ref="G146">VLOOKUP(B146,'Player Data'!A1:D673,3,FALSE)</f>
        <v>35</v>
      </c>
      <c r="H146" s="51" cm="1">
        <f t="array" ref="H146">IFERROR(VLOOKUP(B146,ADP!A1:F671,6,FALSE)/1000000,VLOOKUP(B146,ADP!A1:F671,6,FALSE))</f>
        <v>3.65</v>
      </c>
      <c r="I146" s="52">
        <f>IF(Settings!$E$15="POINTS",((R146*Q146)*Settings!$B$12)+(S146*Settings!$B$2)+(T146*Settings!$B$3)+(U146*Settings!$B$4)+(V146*Settings!$B$5)+(X146*Settings!$B$9)+(AA146*Settings!$B$6)+(W146*Settings!$B$8)+(AB146*Settings!$B$7)+(AC146*Settings!$B$14)+(AD146*Settings!$B$15)+(AE146*Settings!$B$16)+(AF146*Settings!$B$17)+(AG146*Settings!$B$18)+(U146*Settings!$B$13)+(Y146*Settings!$B$10)+(Z146*Settings!$B$11),VLOOKUP(B146,'Standard Deviations'!A$1:C$672,3,FALSE))</f>
        <v>-1.0238804414251954</v>
      </c>
      <c r="J146" s="53" cm="1">
        <f t="array" ref="J146">IF(D146="G",I146/AJ146,I146/Q146)</f>
        <v>-1.2640499276854265E-2</v>
      </c>
      <c r="K146" s="52" cm="1">
        <f t="array" ref="K146">VLOOKUP(B146,D!A1:F204,6,FALSE)</f>
        <v>-1.5907313559427498</v>
      </c>
      <c r="L146" s="54" cm="1">
        <f t="array" ref="L146">IFERROR(K146/H146,"N/A")</f>
        <v>-0.43581680984732873</v>
      </c>
      <c r="M146" s="84" t="s">
        <v>828</v>
      </c>
      <c r="N146" s="84" t="str" cm="1">
        <f t="array" ref="N146">IFERROR(M146-A146,"N/A")</f>
        <v>N/A</v>
      </c>
      <c r="O146" s="55"/>
      <c r="P146" s="56" cm="1">
        <f t="array" ref="P146">_xlfn.XLOOKUP($B146,ADP!A2:A671,ADP!G2:G671)</f>
        <v>0</v>
      </c>
      <c r="Q146" s="57" cm="1">
        <f t="array" ref="Q146">IF(Settings!$E$12="YES",VLOOKUP(B146,'Player Data'!A1:E673,5,FALSE),84)</f>
        <v>81</v>
      </c>
      <c r="R146" s="55" cm="1">
        <f t="array" ref="R146">VLOOKUP(B146,'Player Data'!$A1:$AE673,6,FALSE)</f>
        <v>20.3</v>
      </c>
      <c r="S146" s="57" cm="1">
        <f t="array" ref="S146">VLOOKUP(B146,'Player Data'!$A1:$AE673,7,FALSE)*$Q146*IFERROR((VLOOKUP(P146,Settings!$E$28:$F$33,2,FALSE)+1),1)</f>
        <v>4.05</v>
      </c>
      <c r="T146" s="57" cm="1">
        <f t="array" ref="T146">VLOOKUP(B146,'Player Data'!$A1:$AE673,8,FALSE)*$Q146*IFERROR((VLOOKUP(P146,Settings!$E$28:$F$33,2,FALSE)+1),1)</f>
        <v>14.58</v>
      </c>
      <c r="U146" s="57" cm="1">
        <f t="array" ref="U146">SUM(S146:T146)</f>
        <v>18.63</v>
      </c>
      <c r="V146" s="57" cm="1">
        <f t="array" ref="V146">VLOOKUP(B146,'Player Data'!$A1:$AE673,10,FALSE)*$Q146*IFERROR(((VLOOKUP(P146,Settings!$E$28:$F$33,2,FALSE)/2)+1),1)</f>
        <v>94.77</v>
      </c>
      <c r="W146" s="57" cm="1">
        <f t="array" ref="W146">VLOOKUP(B146,'Player Data'!$A1:$AE673,11,FALSE)*$Q146*IFERROR((VLOOKUP(P146,Settings!$E$28:$F$33,2,FALSE)+1),1)</f>
        <v>0</v>
      </c>
      <c r="X146" s="57" cm="1">
        <f t="array" ref="X146">VLOOKUP(B146,'Player Data'!$A1:$AE673,12,FALSE)*$Q146*IFERROR((VLOOKUP(P146,Settings!$E$28:$F$33,2,FALSE)+1),1)</f>
        <v>0</v>
      </c>
      <c r="Y146" s="57" cm="1">
        <f t="array" ref="Y146">VLOOKUP(B146,'Player Data'!$A1:$AE673,13,FALSE)*$Q146</f>
        <v>0</v>
      </c>
      <c r="Z146" s="57" cm="1">
        <f t="array" ref="Z146">VLOOKUP(B146,'Player Data'!$A1:$AE673,14,FALSE)*$Q146</f>
        <v>0.81</v>
      </c>
      <c r="AA146" s="57" cm="1">
        <f t="array" ref="AA146">VLOOKUP(B146,'Player Data'!$A1:$AE673,15,FALSE)*$Q146</f>
        <v>166.86</v>
      </c>
      <c r="AB146" s="57" cm="1">
        <f t="array" ref="AB146">VLOOKUP(B146,'Player Data'!$A1:$AE673,16,FALSE)*$Q146</f>
        <v>125.55</v>
      </c>
      <c r="AC146" s="57" cm="1">
        <f t="array" ref="AC146">VLOOKUP(B146,'Player Data'!$A1:$AE673,17,FALSE)*$Q146*IFERROR((VLOOKUP(P146,Settings!$E$28:$F$33,2,FALSE)+1),1)</f>
        <v>5.6700000000000008</v>
      </c>
      <c r="AD146" s="57" cm="1">
        <f t="array" ref="AD146">VLOOKUP(B146,'Player Data'!$A1:$AE673,18,FALSE)*$Q146</f>
        <v>34.83</v>
      </c>
      <c r="AE146" s="57" cm="1">
        <f t="array" ref="AE146">VLOOKUP(B146,'Player Data'!$A1:$AE673,19,FALSE)*$Q146*IFERROR((VLOOKUP(P146,Settings!$E$28:$F$33,2,FALSE)+1),1)</f>
        <v>0.81</v>
      </c>
      <c r="AF146" s="57" cm="1">
        <f t="array" ref="AF146">VLOOKUP(B146,'Player Data'!$A1:$AE673,20,FALSE)*$Q146</f>
        <v>0</v>
      </c>
      <c r="AG146" s="57" cm="1">
        <f t="array" ref="AG146">VLOOKUP(B146,'Player Data'!$A1:$AE673,21,FALSE)*$Q146</f>
        <v>0</v>
      </c>
      <c r="AH146" s="59" cm="1">
        <f t="array" ref="AH146">VLOOKUP(B146,'Player Data'!$A1:$AE673,22,FALSE)</f>
        <v>0</v>
      </c>
      <c r="AI146" s="55"/>
      <c r="AJ146" s="57"/>
      <c r="AK146" s="57"/>
      <c r="AL146" s="57"/>
      <c r="AM146" s="57"/>
      <c r="AN146" s="57"/>
      <c r="AO146" s="57"/>
      <c r="AP146" s="57"/>
      <c r="AQ146" s="60"/>
      <c r="AR146" s="61"/>
      <c r="AS146" s="55"/>
    </row>
    <row r="147" spans="1:45" ht="21.25" customHeight="1" x14ac:dyDescent="0.15">
      <c r="A147" s="62">
        <f>RANK(K147,K$2:K$671)</f>
        <v>123</v>
      </c>
      <c r="B147" s="10" t="s">
        <v>266</v>
      </c>
      <c r="C147" s="47" t="s">
        <v>145</v>
      </c>
      <c r="D147" s="48" t="str" cm="1">
        <f t="array" ref="D147">VLOOKUP(B147,'Player Data'!A1:D673,4,FALSE)</f>
        <v>C</v>
      </c>
      <c r="E147" s="49" cm="1">
        <f t="array" ref="E147">VLOOKUP(B147,'C'!A1:C210,3,FALSE)</f>
        <v>31</v>
      </c>
      <c r="F147" s="69" t="str" cm="1">
        <f t="array" ref="F147">VLOOKUP(B147,'Player Data'!A1:B673,2,FALSE)</f>
        <v>TOR</v>
      </c>
      <c r="G147" s="66" cm="1">
        <f t="array" ref="G147">VLOOKUP(B147,'Player Data'!A1:D673,3,FALSE)</f>
        <v>36</v>
      </c>
      <c r="H147" s="51" cm="1">
        <f t="array" ref="H147">IFERROR(VLOOKUP(B147,ADP!A1:F671,6,FALSE)/1000000,VLOOKUP(B147,ADP!A1:F671,6,FALSE))</f>
        <v>4.38</v>
      </c>
      <c r="I147" s="52">
        <f>IF(Settings!$E$15="POINTS",((R147*Q147)*Settings!$B$12)+(S147*Settings!$B$2)+(T147*Settings!$B$3)+(U147*Settings!$B$4)+(V147*Settings!$B$5)+(X147*Settings!$B$9)+(AA147*Settings!$B$6)+(W147*Settings!$B$8)+(AB147*Settings!$B$7)+(AC147*Settings!$B$14)+(AD147*Settings!$B$15)+(AE147*Settings!$B$16)+(AF147*Settings!$B$17)+(AG147*Settings!$B$18)+(Y147*Settings!$B$10)+(Z147*Settings!$B$11),VLOOKUP(B147,'Standard Deviations'!A$1:C$672,3,FALSE))</f>
        <v>5.6592062446940474</v>
      </c>
      <c r="J147" s="53" cm="1">
        <f t="array" ref="J147">IF(D147="G",I147/AJ147,I147/Q147)</f>
        <v>6.8183207767398168E-2</v>
      </c>
      <c r="K147" s="52" cm="1">
        <f t="array" ref="K147">IF(Settings!$E$18="C/LW/RW",VLOOKUP(B147,'C'!A1:F210,6,FALSE),VLOOKUP(B147,F!A1:F407,6,FALSE))</f>
        <v>-0.70080331292101672</v>
      </c>
      <c r="L147" s="54" cm="1">
        <f t="array" ref="L147">IFERROR(K147/H147,"N/A")</f>
        <v>-0.16000075637466135</v>
      </c>
      <c r="M147" s="55">
        <v>128.5</v>
      </c>
      <c r="N147" s="55" cm="1">
        <f t="array" ref="N147">IFERROR(M147-A147,"N/A")</f>
        <v>5.5</v>
      </c>
      <c r="O147" s="55"/>
      <c r="P147" s="56" cm="1">
        <f t="array" ref="P147">_xlfn.XLOOKUP($B147,ADP!A2:A671,ADP!G2:G671)</f>
        <v>0</v>
      </c>
      <c r="Q147" s="57" cm="1">
        <f t="array" ref="Q147">IF(Settings!$E$12="YES",VLOOKUP(B147,'Player Data'!A1:E673,5,FALSE),84)</f>
        <v>83</v>
      </c>
      <c r="R147" s="55" cm="1">
        <f t="array" ref="R147">VLOOKUP(B147,'Player Data'!$A1:$AE673,6,FALSE)</f>
        <v>17.7</v>
      </c>
      <c r="S147" s="57" cm="1">
        <f t="array" ref="S147">VLOOKUP(B147,'Player Data'!$A1:$AE673,7,FALSE)*$Q147*IFERROR((VLOOKUP(P147,Settings!$E$28:$F$33,2,FALSE)+1),1)</f>
        <v>31.54</v>
      </c>
      <c r="T147" s="57" cm="1">
        <f t="array" ref="T147">VLOOKUP(B147,'Player Data'!$A1:$AE673,8,FALSE)*$Q147*IFERROR((VLOOKUP(P147,Settings!$E$28:$F$33,2,FALSE)+1),1)</f>
        <v>38.18</v>
      </c>
      <c r="U147" s="57" cm="1">
        <f t="array" ref="U147">SUM(S147:T147)</f>
        <v>69.72</v>
      </c>
      <c r="V147" s="57" cm="1">
        <f t="array" ref="V147">VLOOKUP(B147,'Player Data'!$A1:$AE673,10,FALSE)*$Q147*IFERROR(((VLOOKUP(P147,Settings!$E$28:$F$33,2,FALSE)/2)+1),1)</f>
        <v>216.63</v>
      </c>
      <c r="W147" s="57" cm="1">
        <f t="array" ref="W147">VLOOKUP(B147,'Player Data'!$A1:$AE673,11,FALSE)*$Q147*IFERROR((VLOOKUP(P147,Settings!$E$28:$F$33,2,FALSE)+1),1)</f>
        <v>9.9599999999999991</v>
      </c>
      <c r="X147" s="78" cm="1">
        <f t="array" ref="X147">VLOOKUP(B147,'Player Data'!$A1:$AE673,12,FALSE)*$Q147*IFERROR((VLOOKUP(P147,Settings!$E$28:$F$33,2,FALSE)+1),1)</f>
        <v>19.09</v>
      </c>
      <c r="Y147" s="57" cm="1">
        <f t="array" ref="Y147">VLOOKUP(B147,'Player Data'!$A1:$AE673,13,FALSE)*$Q147</f>
        <v>0</v>
      </c>
      <c r="Z147" s="57" cm="1">
        <f t="array" ref="Z147">VLOOKUP(B147,'Player Data'!$A1:$AE673,14,FALSE)*$Q147</f>
        <v>0</v>
      </c>
      <c r="AA147" s="57" cm="1">
        <f t="array" ref="AA147">VLOOKUP(B147,'Player Data'!$A1:$AE673,15,FALSE)*$Q147</f>
        <v>32.370000000000005</v>
      </c>
      <c r="AB147" s="57" cm="1">
        <f t="array" ref="AB147">VLOOKUP(B147,'Player Data'!$A1:$AE673,16,FALSE)*$Q147</f>
        <v>83</v>
      </c>
      <c r="AC147" s="57" cm="1">
        <f t="array" ref="AC147">VLOOKUP(B147,'Player Data'!$A1:$AE673,17,FALSE)*$Q147*IFERROR((VLOOKUP(P147,Settings!$E$28:$F$33,2,FALSE)+1),1)</f>
        <v>1.6600000000000001</v>
      </c>
      <c r="AD147" s="57" cm="1">
        <f t="array" ref="AD147">VLOOKUP(B147,'Player Data'!$A1:$AE673,18,FALSE)*$Q147</f>
        <v>34.86</v>
      </c>
      <c r="AE147" s="57" cm="1">
        <f t="array" ref="AE147">VLOOKUP(B147,'Player Data'!$A1:$AE673,19,FALSE)*$Q147*IFERROR((VLOOKUP(P147,Settings!$E$28:$F$33,2,FALSE)+1),1)</f>
        <v>4.1500000000000004</v>
      </c>
      <c r="AF147" s="57" cm="1">
        <f t="array" ref="AF147">VLOOKUP(B147,'Player Data'!$A1:$AE673,20,FALSE)*$Q147</f>
        <v>804.27</v>
      </c>
      <c r="AG147" s="57" cm="1">
        <f t="array" ref="AG147">VLOOKUP(B147,'Player Data'!$A1:$AE673,21,FALSE)*$Q147</f>
        <v>576.85</v>
      </c>
      <c r="AH147" s="59" cm="1">
        <f t="array" ref="AH147">VLOOKUP(B147,'Player Data'!$A1:$AE673,22,FALSE)</f>
        <v>0.57999999999999996</v>
      </c>
      <c r="AI147" s="55"/>
      <c r="AJ147" s="57"/>
      <c r="AK147" s="57"/>
      <c r="AL147" s="57"/>
      <c r="AM147" s="57"/>
      <c r="AN147" s="57"/>
      <c r="AO147" s="57"/>
      <c r="AP147" s="57"/>
      <c r="AQ147" s="60"/>
      <c r="AR147" s="61"/>
      <c r="AS147" s="55"/>
    </row>
    <row r="148" spans="1:45" ht="21.25" customHeight="1" x14ac:dyDescent="0.15">
      <c r="A148" s="62">
        <f>RANK(K148,K$2:K$671)</f>
        <v>159</v>
      </c>
      <c r="B148" s="10" t="s">
        <v>241</v>
      </c>
      <c r="C148" s="47" t="s">
        <v>145</v>
      </c>
      <c r="D148" s="48" t="str" cm="1">
        <f t="array" ref="D148">VLOOKUP(B148,'Player Data'!A1:D673,4,FALSE)</f>
        <v>D</v>
      </c>
      <c r="E148" s="68" cm="1">
        <f t="array" ref="E148">VLOOKUP(B148,D!A1:C204,3,FALSE)</f>
        <v>62</v>
      </c>
      <c r="F148" s="63" t="str" cm="1">
        <f t="array" ref="F148">VLOOKUP(B148,'Player Data'!A1:B673,2,FALSE)</f>
        <v>SEA</v>
      </c>
      <c r="G148" s="66" cm="1">
        <f t="array" ref="G148">VLOOKUP(B148,'Player Data'!A1:D673,3,FALSE)</f>
        <v>32</v>
      </c>
      <c r="H148" s="51" cm="1">
        <f t="array" ref="H148">IFERROR(VLOOKUP(B148,ADP!A1:F671,6,FALSE)/1000000,VLOOKUP(B148,ADP!A1:F671,6,FALSE))</f>
        <v>7.1420000000000003</v>
      </c>
      <c r="I148" s="52">
        <f>IF(Settings!$E$15="POINTS",((R148*Q148)*Settings!$B$12)+(S148*Settings!$B$2)+(T148*Settings!$B$3)+(U148*Settings!$B$4)+(V148*Settings!$B$5)+(X148*Settings!$B$9)+(AA148*Settings!$B$6)+(W148*Settings!$B$8)+(AB148*Settings!$B$7)+(AC148*Settings!$B$14)+(AD148*Settings!$B$15)+(AE148*Settings!$B$16)+(AF148*Settings!$B$17)+(AG148*Settings!$B$18)+(U148*Settings!$B$13)+(Y148*Settings!$B$10)+(Z148*Settings!$B$11),VLOOKUP(B148,'Standard Deviations'!A$1:C$672,3,FALSE))</f>
        <v>-1.0866928103183757</v>
      </c>
      <c r="J148" s="53" cm="1">
        <f t="array" ref="J148">IF(D148="G",I148/AJ148,I148/Q148)</f>
        <v>-1.3755605193903489E-2</v>
      </c>
      <c r="K148" s="52" cm="1">
        <f t="array" ref="K148">VLOOKUP(B148,D!A1:F204,6,FALSE)</f>
        <v>-1.6535437248359302</v>
      </c>
      <c r="L148" s="54" cm="1">
        <f t="array" ref="L148">IFERROR(K148/H148,"N/A")</f>
        <v>-0.23152390434555167</v>
      </c>
      <c r="M148" s="55">
        <v>114.8</v>
      </c>
      <c r="N148" s="55" cm="1">
        <f t="array" ref="N148">IFERROR(M148-A148,"N/A")</f>
        <v>-44.2</v>
      </c>
      <c r="O148" s="55"/>
      <c r="P148" s="56" cm="1">
        <f t="array" ref="P148">_xlfn.XLOOKUP($B148,ADP!A2:A671,ADP!G2:G671)</f>
        <v>0</v>
      </c>
      <c r="Q148" s="57" cm="1">
        <f t="array" ref="Q148">IF(Settings!$E$12="YES",VLOOKUP(B148,'Player Data'!A1:E673,5,FALSE),84)</f>
        <v>79</v>
      </c>
      <c r="R148" s="55" cm="1">
        <f t="array" ref="R148">VLOOKUP(B148,'Player Data'!$A1:$AE673,6,FALSE)</f>
        <v>22.5</v>
      </c>
      <c r="S148" s="57" cm="1">
        <f t="array" ref="S148">VLOOKUP(B148,'Player Data'!$A1:$AE673,7,FALSE)*$Q148*IFERROR((VLOOKUP(P148,Settings!$E$28:$F$33,2,FALSE)+1),1)</f>
        <v>11.06</v>
      </c>
      <c r="T148" s="57" cm="1">
        <f t="array" ref="T148">VLOOKUP(B148,'Player Data'!$A1:$AE673,8,FALSE)*$Q148*IFERROR((VLOOKUP(P148,Settings!$E$28:$F$33,2,FALSE)+1),1)</f>
        <v>22.91</v>
      </c>
      <c r="U148" s="57" cm="1">
        <f t="array" ref="U148">SUM(S148:T148)</f>
        <v>33.97</v>
      </c>
      <c r="V148" s="57" cm="1">
        <f t="array" ref="V148">VLOOKUP(B148,'Player Data'!$A1:$AE673,10,FALSE)*$Q148*IFERROR(((VLOOKUP(P148,Settings!$E$28:$F$33,2,FALSE)/2)+1),1)</f>
        <v>199.86999999999998</v>
      </c>
      <c r="W148" s="57" cm="1">
        <f t="array" ref="W148">VLOOKUP(B148,'Player Data'!$A1:$AE673,11,FALSE)*$Q148*IFERROR((VLOOKUP(P148,Settings!$E$28:$F$33,2,FALSE)+1),1)</f>
        <v>1.58</v>
      </c>
      <c r="X148" s="57" cm="1">
        <f t="array" ref="X148">VLOOKUP(B148,'Player Data'!$A1:$AE673,12,FALSE)*$Q148*IFERROR((VLOOKUP(P148,Settings!$E$28:$F$33,2,FALSE)+1),1)</f>
        <v>7.9</v>
      </c>
      <c r="Y148" s="57" cm="1">
        <f t="array" ref="Y148">VLOOKUP(B148,'Player Data'!$A1:$AE673,13,FALSE)*$Q148</f>
        <v>0</v>
      </c>
      <c r="Z148" s="57" cm="1">
        <f t="array" ref="Z148">VLOOKUP(B148,'Player Data'!$A1:$AE673,14,FALSE)*$Q148</f>
        <v>0</v>
      </c>
      <c r="AA148" s="57" cm="1">
        <f t="array" ref="AA148">VLOOKUP(B148,'Player Data'!$A1:$AE673,15,FALSE)*$Q148</f>
        <v>99.54</v>
      </c>
      <c r="AB148" s="57" cm="1">
        <f t="array" ref="AB148">VLOOKUP(B148,'Player Data'!$A1:$AE673,16,FALSE)*$Q148</f>
        <v>84.53</v>
      </c>
      <c r="AC148" s="57" cm="1">
        <f t="array" ref="AC148">VLOOKUP(B148,'Player Data'!$A1:$AE673,17,FALSE)*$Q148*IFERROR((VLOOKUP(P148,Settings!$E$28:$F$33,2,FALSE)+1),1)</f>
        <v>-8.69</v>
      </c>
      <c r="AD148" s="57" cm="1">
        <f t="array" ref="AD148">VLOOKUP(B148,'Player Data'!$A1:$AE673,18,FALSE)*$Q148</f>
        <v>52.93</v>
      </c>
      <c r="AE148" s="57" cm="1">
        <f t="array" ref="AE148">VLOOKUP(B148,'Player Data'!$A1:$AE673,19,FALSE)*$Q148*IFERROR((VLOOKUP(P148,Settings!$E$28:$F$33,2,FALSE)+1),1)</f>
        <v>1.58</v>
      </c>
      <c r="AF148" s="57" cm="1">
        <f t="array" ref="AF148">VLOOKUP(B148,'Player Data'!$A1:$AE673,20,FALSE)*$Q148</f>
        <v>0</v>
      </c>
      <c r="AG148" s="57" cm="1">
        <f t="array" ref="AG148">VLOOKUP(B148,'Player Data'!$A1:$AE673,21,FALSE)*$Q148</f>
        <v>0</v>
      </c>
      <c r="AH148" s="59" cm="1">
        <f t="array" ref="AH148">VLOOKUP(B148,'Player Data'!$A1:$AE673,22,FALSE)</f>
        <v>0</v>
      </c>
      <c r="AI148" s="55"/>
      <c r="AJ148" s="57"/>
      <c r="AK148" s="57"/>
      <c r="AL148" s="57"/>
      <c r="AM148" s="57"/>
      <c r="AN148" s="57"/>
      <c r="AO148" s="57"/>
      <c r="AP148" s="57"/>
      <c r="AQ148" s="60"/>
      <c r="AR148" s="61"/>
      <c r="AS148" s="55"/>
    </row>
    <row r="149" spans="1:45" ht="21.25" customHeight="1" x14ac:dyDescent="0.15">
      <c r="A149" s="62">
        <f>RANK(K149,K$2:K$671)</f>
        <v>125</v>
      </c>
      <c r="B149" s="10" t="s">
        <v>190</v>
      </c>
      <c r="C149" s="47" t="s">
        <v>145</v>
      </c>
      <c r="D149" s="48" t="str" cm="1">
        <f t="array" ref="D149">VLOOKUP(B149,'Player Data'!A1:D673,4,FALSE)</f>
        <v>RW</v>
      </c>
      <c r="E149" s="64" cm="1">
        <f t="array" ref="E149">VLOOKUP(B149,RW!A1:F210,3,FALSE)</f>
        <v>30</v>
      </c>
      <c r="F149" s="72" t="str" cm="1">
        <f t="array" ref="F149">VLOOKUP(B149,'Player Data'!A1:B673,2,FALSE)</f>
        <v>DET</v>
      </c>
      <c r="G149" s="71" cm="1">
        <f t="array" ref="G149">VLOOKUP(B149,'Player Data'!A1:D673,3,FALSE)</f>
        <v>24</v>
      </c>
      <c r="H149" s="51" cm="1">
        <f t="array" ref="H149">IFERROR(VLOOKUP(B149,ADP!A1:F671,6,FALSE)/1000000,VLOOKUP(B149,ADP!A1:F671,6,FALSE))</f>
        <v>8.0749999999999993</v>
      </c>
      <c r="I149" s="52">
        <f>IF(Settings!$E$15="POINTS",((R149*Q149)*Settings!$B$12)+(S149*Settings!$B$2)+(T149*Settings!$B$3)+(U149*Settings!$B$4)+(V149*Settings!$B$5)+(X149*Settings!$B$9)+(AA149*Settings!$B$6)+(W149*Settings!$B$8)+(AB149*Settings!$B$7)+(AC149*Settings!$B$14)+(AD149*Settings!$B$15)+(AE149*Settings!$B$16)+(AF149*Settings!$B$17)+(AG149*Settings!$B$18)+(Y149*Settings!$B$10)+(Z149*Settings!$B$11),VLOOKUP(B149,'Standard Deviations'!A$1:C$672,3,FALSE))</f>
        <v>6.1616765000049849</v>
      </c>
      <c r="J149" s="53" cm="1">
        <f t="array" ref="J149">IF(D149="G",I149/AJ149,I149/Q149)</f>
        <v>7.3353291666726009E-2</v>
      </c>
      <c r="K149" s="52" cm="1">
        <f t="array" ref="K149">IF(Settings!$E$18="C/LW/RW",VLOOKUP(B149,RW!A1:F210,6,FALSE),VLOOKUP(B149,F!A1:F407,6,FALSE))</f>
        <v>-0.72555810180409264</v>
      </c>
      <c r="L149" s="54" cm="1">
        <f t="array" ref="L149">IFERROR(K149/H149,"N/A")</f>
        <v>-8.9852396508246779E-2</v>
      </c>
      <c r="M149" s="55">
        <v>69.5</v>
      </c>
      <c r="N149" s="55" cm="1">
        <f t="array" ref="N149">IFERROR(M149-A149,"N/A")</f>
        <v>-55.5</v>
      </c>
      <c r="O149" s="55"/>
      <c r="P149" s="56" t="str" cm="1">
        <f t="array" ref="P149">_xlfn.XLOOKUP($B149,ADP!A2:A671,ADP!G2:G671)</f>
        <v>+</v>
      </c>
      <c r="Q149" s="57" cm="1">
        <f t="array" ref="Q149">IF(Settings!$E$12="YES",VLOOKUP(B149,'Player Data'!A1:E673,5,FALSE),84)</f>
        <v>84</v>
      </c>
      <c r="R149" s="55" cm="1">
        <f t="array" ref="R149">VLOOKUP(B149,'Player Data'!$A1:$AE673,6,FALSE)</f>
        <v>18.8</v>
      </c>
      <c r="S149" s="57" cm="1">
        <f t="array" ref="S149">VLOOKUP(B149,'Player Data'!$A1:$AE673,7,FALSE)*$Q149*IFERROR((VLOOKUP(P149,Settings!$E$28:$F$33,2,FALSE)+1),1)</f>
        <v>29.988000000000003</v>
      </c>
      <c r="T149" s="57" cm="1">
        <f t="array" ref="T149">VLOOKUP(B149,'Player Data'!$A1:$AE673,8,FALSE)*$Q149*IFERROR((VLOOKUP(P149,Settings!$E$28:$F$33,2,FALSE)+1),1)</f>
        <v>55.566000000000003</v>
      </c>
      <c r="U149" s="57" cm="1">
        <f t="array" ref="U149">SUM(S149:T149)</f>
        <v>85.554000000000002</v>
      </c>
      <c r="V149" s="57" cm="1">
        <f t="array" ref="V149">VLOOKUP(B149,'Player Data'!$A1:$AE673,10,FALSE)*$Q149*IFERROR(((VLOOKUP(P149,Settings!$E$28:$F$33,2,FALSE)/2)+1),1)</f>
        <v>192.00299999999999</v>
      </c>
      <c r="W149" s="58" cm="1">
        <f t="array" ref="W149">VLOOKUP(B149,'Player Data'!$A1:$AE673,11,FALSE)*$Q149*IFERROR((VLOOKUP(P149,Settings!$E$28:$F$33,2,FALSE)+1),1)</f>
        <v>7.9379999999999997</v>
      </c>
      <c r="X149" s="57" cm="1">
        <f t="array" ref="X149">VLOOKUP(B149,'Player Data'!$A1:$AE673,12,FALSE)*$Q149*IFERROR((VLOOKUP(P149,Settings!$E$28:$F$33,2,FALSE)+1),1)</f>
        <v>31.751999999999999</v>
      </c>
      <c r="Y149" s="57" cm="1">
        <f t="array" ref="Y149">VLOOKUP(B149,'Player Data'!$A1:$AE673,13,FALSE)*$Q149</f>
        <v>0</v>
      </c>
      <c r="Z149" s="57" cm="1">
        <f t="array" ref="Z149">VLOOKUP(B149,'Player Data'!$A1:$AE673,14,FALSE)*$Q149</f>
        <v>0</v>
      </c>
      <c r="AA149" s="57" cm="1">
        <f t="array" ref="AA149">VLOOKUP(B149,'Player Data'!$A1:$AE673,15,FALSE)*$Q149</f>
        <v>32.76</v>
      </c>
      <c r="AB149" s="57" cm="1">
        <f t="array" ref="AB149">VLOOKUP(B149,'Player Data'!$A1:$AE673,16,FALSE)*$Q149</f>
        <v>50.4</v>
      </c>
      <c r="AC149" s="57" cm="1">
        <f t="array" ref="AC149">VLOOKUP(B149,'Player Data'!$A1:$AE673,17,FALSE)*$Q149*IFERROR((VLOOKUP(P149,Settings!$E$28:$F$33,2,FALSE)+1),1)</f>
        <v>-1.764</v>
      </c>
      <c r="AD149" s="57" cm="1">
        <f t="array" ref="AD149">VLOOKUP(B149,'Player Data'!$A1:$AE673,18,FALSE)*$Q149</f>
        <v>26.88</v>
      </c>
      <c r="AE149" s="57" cm="1">
        <f t="array" ref="AE149">VLOOKUP(B149,'Player Data'!$A1:$AE673,19,FALSE)*$Q149*IFERROR((VLOOKUP(P149,Settings!$E$28:$F$33,2,FALSE)+1),1)</f>
        <v>4.41</v>
      </c>
      <c r="AF149" s="57" cm="1">
        <f t="array" ref="AF149">VLOOKUP(B149,'Player Data'!$A1:$AE673,20,FALSE)*$Q149</f>
        <v>1.68</v>
      </c>
      <c r="AG149" s="57" cm="1">
        <f t="array" ref="AG149">VLOOKUP(B149,'Player Data'!$A1:$AE673,21,FALSE)*$Q149</f>
        <v>1.68</v>
      </c>
      <c r="AH149" s="59" cm="1">
        <f t="array" ref="AH149">VLOOKUP(B149,'Player Data'!$A1:$AE673,22,FALSE)</f>
        <v>0.55000000000000004</v>
      </c>
      <c r="AI149" s="55"/>
      <c r="AJ149" s="57"/>
      <c r="AK149" s="57"/>
      <c r="AL149" s="57"/>
      <c r="AM149" s="57"/>
      <c r="AN149" s="57"/>
      <c r="AO149" s="57"/>
      <c r="AP149" s="57"/>
      <c r="AQ149" s="60"/>
      <c r="AR149" s="61"/>
      <c r="AS149" s="55"/>
    </row>
    <row r="150" spans="1:45" ht="21.25" customHeight="1" x14ac:dyDescent="0.15">
      <c r="A150" s="62">
        <f>RANK(K150,K$2:K$671)</f>
        <v>161</v>
      </c>
      <c r="B150" s="10" t="s">
        <v>311</v>
      </c>
      <c r="C150" s="47" t="s">
        <v>145</v>
      </c>
      <c r="D150" s="48" t="str" cm="1">
        <f t="array" ref="D150">VLOOKUP(B150,'Player Data'!A1:D673,4,FALSE)</f>
        <v>D</v>
      </c>
      <c r="E150" s="68" cm="1">
        <f t="array" ref="E150">VLOOKUP(B150,D!A1:C204,3,FALSE)</f>
        <v>63</v>
      </c>
      <c r="F150" s="72" t="str" cm="1">
        <f t="array" ref="F150">VLOOKUP(B150,'Player Data'!A1:B673,2,FALSE)</f>
        <v>PIT</v>
      </c>
      <c r="G150" s="66" cm="1">
        <f t="array" ref="G150">VLOOKUP(B150,'Player Data'!A1:D673,3,FALSE)</f>
        <v>39</v>
      </c>
      <c r="H150" s="51" cm="1">
        <f t="array" ref="H150">IFERROR(VLOOKUP(B150,ADP!A1:F671,6,FALSE)/1000000,VLOOKUP(B150,ADP!A1:F671,6,FALSE))</f>
        <v>6.1</v>
      </c>
      <c r="I150" s="52">
        <f>IF(Settings!$E$15="POINTS",((R150*Q150)*Settings!$B$12)+(S150*Settings!$B$2)+(T150*Settings!$B$3)+(U150*Settings!$B$4)+(V150*Settings!$B$5)+(X150*Settings!$B$9)+(AA150*Settings!$B$6)+(W150*Settings!$B$8)+(AB150*Settings!$B$7)+(AC150*Settings!$B$14)+(AD150*Settings!$B$15)+(AE150*Settings!$B$16)+(AF150*Settings!$B$17)+(AG150*Settings!$B$18)+(U150*Settings!$B$13)+(Y150*Settings!$B$10)+(Z150*Settings!$B$11),VLOOKUP(B150,'Standard Deviations'!A$1:C$672,3,FALSE))</f>
        <v>-1.1202120397397395</v>
      </c>
      <c r="J150" s="53" cm="1">
        <f t="array" ref="J150">IF(D150="G",I150/AJ150,I150/Q150)</f>
        <v>-1.3661122435850482E-2</v>
      </c>
      <c r="K150" s="52" cm="1">
        <f t="array" ref="K150">VLOOKUP(B150,D!A1:F204,6,FALSE)</f>
        <v>-1.6870629542572939</v>
      </c>
      <c r="L150" s="54" cm="1">
        <f t="array" ref="L150">IFERROR(K150/H150,"N/A")</f>
        <v>-0.27656769741922854</v>
      </c>
      <c r="M150" s="55">
        <v>128.30000000000001</v>
      </c>
      <c r="N150" s="55" cm="1">
        <f t="array" ref="N150">IFERROR(M150-A150,"N/A")</f>
        <v>-32.699999999999989</v>
      </c>
      <c r="O150" s="55"/>
      <c r="P150" s="56" t="str" cm="1">
        <f t="array" ref="P150">_xlfn.XLOOKUP($B150,ADP!A2:A671,ADP!G2:G671)</f>
        <v>-</v>
      </c>
      <c r="Q150" s="57" cm="1">
        <f t="array" ref="Q150">IF(Settings!$E$12="YES",VLOOKUP(B150,'Player Data'!A1:E673,5,FALSE),84)</f>
        <v>82</v>
      </c>
      <c r="R150" s="55" cm="1">
        <f t="array" ref="R150">VLOOKUP(B150,'Player Data'!$A1:$AE673,6,FALSE)</f>
        <v>21.9</v>
      </c>
      <c r="S150" s="57" cm="1">
        <f t="array" ref="S150">VLOOKUP(B150,'Player Data'!$A1:$AE673,7,FALSE)*$Q150*IFERROR((VLOOKUP(P150,Settings!$E$28:$F$33,2,FALSE)+1),1)</f>
        <v>5.4530000000000003</v>
      </c>
      <c r="T150" s="57" cm="1">
        <f t="array" ref="T150">VLOOKUP(B150,'Player Data'!$A1:$AE673,8,FALSE)*$Q150*IFERROR((VLOOKUP(P150,Settings!$E$28:$F$33,2,FALSE)+1),1)</f>
        <v>24.928000000000001</v>
      </c>
      <c r="U150" s="57" cm="1">
        <f t="array" ref="U150">SUM(S150:T150)</f>
        <v>30.381</v>
      </c>
      <c r="V150" s="57" cm="1">
        <f t="array" ref="V150">VLOOKUP(B150,'Player Data'!$A1:$AE673,10,FALSE)*$Q150*IFERROR(((VLOOKUP(P150,Settings!$E$28:$F$33,2,FALSE)/2)+1),1)</f>
        <v>119.925</v>
      </c>
      <c r="W150" s="57" cm="1">
        <f t="array" ref="W150">VLOOKUP(B150,'Player Data'!$A1:$AE673,11,FALSE)*$Q150*IFERROR((VLOOKUP(P150,Settings!$E$28:$F$33,2,FALSE)+1),1)</f>
        <v>0.77900000000000003</v>
      </c>
      <c r="X150" s="57" cm="1">
        <f t="array" ref="X150">VLOOKUP(B150,'Player Data'!$A1:$AE673,12,FALSE)*$Q150*IFERROR((VLOOKUP(P150,Settings!$E$28:$F$33,2,FALSE)+1),1)</f>
        <v>6.2320000000000002</v>
      </c>
      <c r="Y150" s="57" cm="1">
        <f t="array" ref="Y150">VLOOKUP(B150,'Player Data'!$A1:$AE673,13,FALSE)*$Q150</f>
        <v>0</v>
      </c>
      <c r="Z150" s="57" cm="1">
        <f t="array" ref="Z150">VLOOKUP(B150,'Player Data'!$A1:$AE673,14,FALSE)*$Q150</f>
        <v>0</v>
      </c>
      <c r="AA150" s="57" cm="1">
        <f t="array" ref="AA150">VLOOKUP(B150,'Player Data'!$A1:$AE673,15,FALSE)*$Q150</f>
        <v>105.78</v>
      </c>
      <c r="AB150" s="57" cm="1">
        <f t="array" ref="AB150">VLOOKUP(B150,'Player Data'!$A1:$AE673,16,FALSE)*$Q150</f>
        <v>103.32000000000001</v>
      </c>
      <c r="AC150" s="57" cm="1">
        <f t="array" ref="AC150">VLOOKUP(B150,'Player Data'!$A1:$AE673,17,FALSE)*$Q150*IFERROR((VLOOKUP(P150,Settings!$E$28:$F$33,2,FALSE)+1),1)</f>
        <v>-1.5580000000000001</v>
      </c>
      <c r="AD150" s="57" cm="1">
        <f t="array" ref="AD150">VLOOKUP(B150,'Player Data'!$A1:$AE673,18,FALSE)*$Q150</f>
        <v>46.739999999999995</v>
      </c>
      <c r="AE150" s="57" cm="1">
        <f t="array" ref="AE150">VLOOKUP(B150,'Player Data'!$A1:$AE673,19,FALSE)*$Q150*IFERROR((VLOOKUP(P150,Settings!$E$28:$F$33,2,FALSE)+1),1)</f>
        <v>0.77900000000000003</v>
      </c>
      <c r="AF150" s="57" cm="1">
        <f t="array" ref="AF150">VLOOKUP(B150,'Player Data'!$A1:$AE673,20,FALSE)*$Q150</f>
        <v>0</v>
      </c>
      <c r="AG150" s="57" cm="1">
        <f t="array" ref="AG150">VLOOKUP(B150,'Player Data'!$A1:$AE673,21,FALSE)*$Q150</f>
        <v>0</v>
      </c>
      <c r="AH150" s="59" cm="1">
        <f t="array" ref="AH150">VLOOKUP(B150,'Player Data'!$A1:$AE673,22,FALSE)</f>
        <v>0</v>
      </c>
      <c r="AI150" s="55"/>
      <c r="AJ150" s="57"/>
      <c r="AK150" s="57"/>
      <c r="AL150" s="57"/>
      <c r="AM150" s="57"/>
      <c r="AN150" s="57"/>
      <c r="AO150" s="57"/>
      <c r="AP150" s="57"/>
      <c r="AQ150" s="60"/>
      <c r="AR150" s="61"/>
      <c r="AS150" s="55"/>
    </row>
    <row r="151" spans="1:45" ht="21.25" customHeight="1" x14ac:dyDescent="0.15">
      <c r="A151" s="62">
        <f>RANK(K151,K$2:K$671)</f>
        <v>163</v>
      </c>
      <c r="B151" s="10" t="s">
        <v>492</v>
      </c>
      <c r="C151" s="47" t="s">
        <v>145</v>
      </c>
      <c r="D151" s="48" t="str" cm="1">
        <f t="array" ref="D151">VLOOKUP(B151,'Player Data'!A1:D673,4,FALSE)</f>
        <v>D</v>
      </c>
      <c r="E151" s="68" cm="1">
        <f t="array" ref="E151">VLOOKUP(B151,D!A1:C204,3,FALSE)</f>
        <v>64</v>
      </c>
      <c r="F151" s="72" t="str" cm="1">
        <f t="array" ref="F151">VLOOKUP(B151,'Player Data'!A1:B673,2,FALSE)</f>
        <v>FLA</v>
      </c>
      <c r="G151" s="66" cm="1">
        <f t="array" ref="G151">VLOOKUP(B151,'Player Data'!A1:D673,3,FALSE)</f>
        <v>36</v>
      </c>
      <c r="H151" s="51" cm="1">
        <f t="array" ref="H151">IFERROR(VLOOKUP(B151,ADP!A1:F671,6,FALSE)/1000000,VLOOKUP(B151,ADP!A1:F671,6,FALSE))</f>
        <v>1.5</v>
      </c>
      <c r="I151" s="52">
        <f>IF(Settings!$E$15="POINTS",((R151*Q151)*Settings!$B$12)+(S151*Settings!$B$2)+(T151*Settings!$B$3)+(U151*Settings!$B$4)+(V151*Settings!$B$5)+(X151*Settings!$B$9)+(AA151*Settings!$B$6)+(W151*Settings!$B$8)+(AB151*Settings!$B$7)+(AC151*Settings!$B$14)+(AD151*Settings!$B$15)+(AE151*Settings!$B$16)+(AF151*Settings!$B$17)+(AG151*Settings!$B$18)+(U151*Settings!$B$13)+(Y151*Settings!$B$10)+(Z151*Settings!$B$11),VLOOKUP(B151,'Standard Deviations'!A$1:C$672,3,FALSE))</f>
        <v>-1.139663198016478</v>
      </c>
      <c r="J151" s="53" cm="1">
        <f t="array" ref="J151">IF(D151="G",I151/AJ151,I151/Q151)</f>
        <v>-1.4611066641236898E-2</v>
      </c>
      <c r="K151" s="52" cm="1">
        <f t="array" ref="K151">VLOOKUP(B151,D!A1:F204,6,FALSE)</f>
        <v>-1.7065141125340324</v>
      </c>
      <c r="L151" s="54" cm="1">
        <f t="array" ref="L151">IFERROR(K151/H151,"N/A")</f>
        <v>-1.1376760750226882</v>
      </c>
      <c r="M151" s="84" t="s">
        <v>828</v>
      </c>
      <c r="N151" s="84" t="str" cm="1">
        <f t="array" ref="N151">IFERROR(M151-A151,"N/A")</f>
        <v>N/A</v>
      </c>
      <c r="O151" s="55"/>
      <c r="P151" s="56" cm="1">
        <f t="array" ref="P151">_xlfn.XLOOKUP($B151,ADP!A2:A671,ADP!G2:G671)</f>
        <v>0</v>
      </c>
      <c r="Q151" s="57" cm="1">
        <f t="array" ref="Q151">IF(Settings!$E$12="YES",VLOOKUP(B151,'Player Data'!A1:E673,5,FALSE),84)</f>
        <v>78</v>
      </c>
      <c r="R151" s="55" cm="1">
        <f t="array" ref="R151">VLOOKUP(B151,'Player Data'!$A1:$AE673,6,FALSE)</f>
        <v>16.100000000000001</v>
      </c>
      <c r="S151" s="57" cm="1">
        <f t="array" ref="S151">VLOOKUP(B151,'Player Data'!$A1:$AE673,7,FALSE)*$Q151*IFERROR((VLOOKUP(P151,Settings!$E$28:$F$33,2,FALSE)+1),1)</f>
        <v>2.34</v>
      </c>
      <c r="T151" s="57" cm="1">
        <f t="array" ref="T151">VLOOKUP(B151,'Player Data'!$A1:$AE673,8,FALSE)*$Q151*IFERROR((VLOOKUP(P151,Settings!$E$28:$F$33,2,FALSE)+1),1)</f>
        <v>11.7</v>
      </c>
      <c r="U151" s="57" cm="1">
        <f t="array" ref="U151">SUM(S151:T151)</f>
        <v>14.04</v>
      </c>
      <c r="V151" s="57" cm="1">
        <f t="array" ref="V151">VLOOKUP(B151,'Player Data'!$A1:$AE673,10,FALSE)*$Q151*IFERROR(((VLOOKUP(P151,Settings!$E$28:$F$33,2,FALSE)/2)+1),1)</f>
        <v>74.099999999999994</v>
      </c>
      <c r="W151" s="57" cm="1">
        <f t="array" ref="W151">VLOOKUP(B151,'Player Data'!$A1:$AE673,11,FALSE)*$Q151*IFERROR((VLOOKUP(P151,Settings!$E$28:$F$33,2,FALSE)+1),1)</f>
        <v>0</v>
      </c>
      <c r="X151" s="57" cm="1">
        <f t="array" ref="X151">VLOOKUP(B151,'Player Data'!$A1:$AE673,12,FALSE)*$Q151*IFERROR((VLOOKUP(P151,Settings!$E$28:$F$33,2,FALSE)+1),1)</f>
        <v>0</v>
      </c>
      <c r="Y151" s="57" cm="1">
        <f t="array" ref="Y151">VLOOKUP(B151,'Player Data'!$A1:$AE673,13,FALSE)*$Q151</f>
        <v>0</v>
      </c>
      <c r="Z151" s="57" cm="1">
        <f t="array" ref="Z151">VLOOKUP(B151,'Player Data'!$A1:$AE673,14,FALSE)*$Q151</f>
        <v>0</v>
      </c>
      <c r="AA151" s="57" cm="1">
        <f t="array" ref="AA151">VLOOKUP(B151,'Player Data'!$A1:$AE673,15,FALSE)*$Q151</f>
        <v>119.34</v>
      </c>
      <c r="AB151" s="57" cm="1">
        <f t="array" ref="AB151">VLOOKUP(B151,'Player Data'!$A1:$AE673,16,FALSE)*$Q151</f>
        <v>182.51999999999998</v>
      </c>
      <c r="AC151" s="57" cm="1">
        <f t="array" ref="AC151">VLOOKUP(B151,'Player Data'!$A1:$AE673,17,FALSE)*$Q151*IFERROR((VLOOKUP(P151,Settings!$E$28:$F$33,2,FALSE)+1),1)</f>
        <v>3.12</v>
      </c>
      <c r="AD151" s="57" cm="1">
        <f t="array" ref="AD151">VLOOKUP(B151,'Player Data'!$A1:$AE673,18,FALSE)*$Q151</f>
        <v>62.400000000000006</v>
      </c>
      <c r="AE151" s="57" cm="1">
        <f t="array" ref="AE151">VLOOKUP(B151,'Player Data'!$A1:$AE673,19,FALSE)*$Q151*IFERROR((VLOOKUP(P151,Settings!$E$28:$F$33,2,FALSE)+1),1)</f>
        <v>0</v>
      </c>
      <c r="AF151" s="57" cm="1">
        <f t="array" ref="AF151">VLOOKUP(B151,'Player Data'!$A1:$AE673,20,FALSE)*$Q151</f>
        <v>0</v>
      </c>
      <c r="AG151" s="57" cm="1">
        <f t="array" ref="AG151">VLOOKUP(B151,'Player Data'!$A1:$AE673,21,FALSE)*$Q151</f>
        <v>0</v>
      </c>
      <c r="AH151" s="59" cm="1">
        <f t="array" ref="AH151">VLOOKUP(B151,'Player Data'!$A1:$AE673,22,FALSE)</f>
        <v>0</v>
      </c>
      <c r="AI151" s="55"/>
      <c r="AJ151" s="57"/>
      <c r="AK151" s="57"/>
      <c r="AL151" s="57"/>
      <c r="AM151" s="57"/>
      <c r="AN151" s="57"/>
      <c r="AO151" s="57"/>
      <c r="AP151" s="57"/>
      <c r="AQ151" s="60"/>
      <c r="AR151" s="61"/>
      <c r="AS151" s="55"/>
    </row>
    <row r="152" spans="1:45" ht="21.25" customHeight="1" x14ac:dyDescent="0.15">
      <c r="A152" s="62">
        <f>RANK(K152,K$2:K$671)</f>
        <v>164</v>
      </c>
      <c r="B152" s="10" t="s">
        <v>284</v>
      </c>
      <c r="C152" s="47" t="s">
        <v>145</v>
      </c>
      <c r="D152" s="48" t="str" cm="1">
        <f t="array" ref="D152">VLOOKUP(B152,'Player Data'!A1:D673,4,FALSE)</f>
        <v>D</v>
      </c>
      <c r="E152" s="68" cm="1">
        <f t="array" ref="E152">VLOOKUP(B152,D!A1:C204,3,FALSE)</f>
        <v>65</v>
      </c>
      <c r="F152" s="56" t="str" cm="1">
        <f t="array" ref="F152">VLOOKUP(B152,'Player Data'!A1:B673,2,FALSE)</f>
        <v>PHI</v>
      </c>
      <c r="G152" s="71" cm="1">
        <f t="array" ref="G152">VLOOKUP(B152,'Player Data'!A1:D673,3,FALSE)</f>
        <v>24</v>
      </c>
      <c r="H152" s="51" cm="1">
        <f t="array" ref="H152">IFERROR(VLOOKUP(B152,ADP!A1:F671,6,FALSE)/1000000,VLOOKUP(B152,ADP!A1:F671,6,FALSE))</f>
        <v>6.5</v>
      </c>
      <c r="I152" s="52">
        <f>IF(Settings!$E$15="POINTS",((R152*Q152)*Settings!$B$12)+(S152*Settings!$B$2)+(T152*Settings!$B$3)+(U152*Settings!$B$4)+(V152*Settings!$B$5)+(X152*Settings!$B$9)+(AA152*Settings!$B$6)+(W152*Settings!$B$8)+(AB152*Settings!$B$7)+(AC152*Settings!$B$14)+(AD152*Settings!$B$15)+(AE152*Settings!$B$16)+(AF152*Settings!$B$17)+(AG152*Settings!$B$18)+(U152*Settings!$B$13)+(Y152*Settings!$B$10)+(Z152*Settings!$B$11),VLOOKUP(B152,'Standard Deviations'!A$1:C$672,3,FALSE))</f>
        <v>-1.1412151555754744</v>
      </c>
      <c r="J152" s="53" cm="1">
        <f t="array" ref="J152">IF(D152="G",I152/AJ152,I152/Q152)</f>
        <v>-1.4820976046434732E-2</v>
      </c>
      <c r="K152" s="52" cm="1">
        <f t="array" ref="K152">VLOOKUP(B152,D!A1:F204,6,FALSE)</f>
        <v>-1.7080660700930288</v>
      </c>
      <c r="L152" s="54" cm="1">
        <f t="array" ref="L152">IFERROR(K152/H152,"N/A")</f>
        <v>-0.26277939539892753</v>
      </c>
      <c r="M152" s="84" t="s">
        <v>828</v>
      </c>
      <c r="N152" s="84" t="str" cm="1">
        <f t="array" ref="N152">IFERROR(M152-A152,"N/A")</f>
        <v>N/A</v>
      </c>
      <c r="O152" s="55"/>
      <c r="P152" s="56" t="str" cm="1">
        <f t="array" ref="P152">_xlfn.XLOOKUP($B152,ADP!A2:A671,ADP!G2:G671)</f>
        <v>+ +</v>
      </c>
      <c r="Q152" s="57" cm="1">
        <f t="array" ref="Q152">IF(Settings!$E$12="YES",VLOOKUP(B152,'Player Data'!A1:E673,5,FALSE),84)</f>
        <v>77</v>
      </c>
      <c r="R152" s="55" cm="1">
        <f t="array" ref="R152">VLOOKUP(B152,'Player Data'!$A1:$AE673,6,FALSE)</f>
        <v>22</v>
      </c>
      <c r="S152" s="57" cm="1">
        <f t="array" ref="S152">VLOOKUP(B152,'Player Data'!$A1:$AE673,7,FALSE)*$Q152*IFERROR((VLOOKUP(P152,Settings!$E$28:$F$33,2,FALSE)+1),1)</f>
        <v>10.164000000000001</v>
      </c>
      <c r="T152" s="57" cm="1">
        <f t="array" ref="T152">VLOOKUP(B152,'Player Data'!$A1:$AE673,8,FALSE)*$Q152*IFERROR((VLOOKUP(P152,Settings!$E$28:$F$33,2,FALSE)+1),1)</f>
        <v>27.104000000000003</v>
      </c>
      <c r="U152" s="57" cm="1">
        <f t="array" ref="U152">SUM(S152:T152)</f>
        <v>37.268000000000001</v>
      </c>
      <c r="V152" s="57" cm="1">
        <f t="array" ref="V152">VLOOKUP(B152,'Player Data'!$A1:$AE673,10,FALSE)*$Q152*IFERROR(((VLOOKUP(P152,Settings!$E$28:$F$33,2,FALSE)/2)+1),1)</f>
        <v>112.38149999999999</v>
      </c>
      <c r="W152" s="57" cm="1">
        <f t="array" ref="W152">VLOOKUP(B152,'Player Data'!$A1:$AE673,11,FALSE)*$Q152*IFERROR((VLOOKUP(P152,Settings!$E$28:$F$33,2,FALSE)+1),1)</f>
        <v>2.5410000000000004</v>
      </c>
      <c r="X152" s="78" cm="1">
        <f t="array" ref="X152">VLOOKUP(B152,'Player Data'!$A1:$AE673,12,FALSE)*$Q152*IFERROR((VLOOKUP(P152,Settings!$E$28:$F$33,2,FALSE)+1),1)</f>
        <v>12.705</v>
      </c>
      <c r="Y152" s="57" cm="1">
        <f t="array" ref="Y152">VLOOKUP(B152,'Player Data'!$A1:$AE673,13,FALSE)*$Q152</f>
        <v>0</v>
      </c>
      <c r="Z152" s="57" cm="1">
        <f t="array" ref="Z152">VLOOKUP(B152,'Player Data'!$A1:$AE673,14,FALSE)*$Q152</f>
        <v>0</v>
      </c>
      <c r="AA152" s="57" cm="1">
        <f t="array" ref="AA152">VLOOKUP(B152,'Player Data'!$A1:$AE673,15,FALSE)*$Q152</f>
        <v>101.64</v>
      </c>
      <c r="AB152" s="57" cm="1">
        <f t="array" ref="AB152">VLOOKUP(B152,'Player Data'!$A1:$AE673,16,FALSE)*$Q152</f>
        <v>30.03</v>
      </c>
      <c r="AC152" s="57" cm="1">
        <f t="array" ref="AC152">VLOOKUP(B152,'Player Data'!$A1:$AE673,17,FALSE)*$Q152*IFERROR((VLOOKUP(P152,Settings!$E$28:$F$33,2,FALSE)+1),1)</f>
        <v>0</v>
      </c>
      <c r="AD152" s="57" cm="1">
        <f t="array" ref="AD152">VLOOKUP(B152,'Player Data'!$A1:$AE673,18,FALSE)*$Q152</f>
        <v>26.95</v>
      </c>
      <c r="AE152" s="57" cm="1">
        <f t="array" ref="AE152">VLOOKUP(B152,'Player Data'!$A1:$AE673,19,FALSE)*$Q152*IFERROR((VLOOKUP(P152,Settings!$E$28:$F$33,2,FALSE)+1),1)</f>
        <v>1.6940000000000002</v>
      </c>
      <c r="AF152" s="57" cm="1">
        <f t="array" ref="AF152">VLOOKUP(B152,'Player Data'!$A1:$AE673,20,FALSE)*$Q152</f>
        <v>0</v>
      </c>
      <c r="AG152" s="57" cm="1">
        <f t="array" ref="AG152">VLOOKUP(B152,'Player Data'!$A1:$AE673,21,FALSE)*$Q152</f>
        <v>0</v>
      </c>
      <c r="AH152" s="59" cm="1">
        <f t="array" ref="AH152">VLOOKUP(B152,'Player Data'!$A1:$AE673,22,FALSE)</f>
        <v>0</v>
      </c>
      <c r="AI152" s="55"/>
      <c r="AJ152" s="57"/>
      <c r="AK152" s="57"/>
      <c r="AL152" s="57"/>
      <c r="AM152" s="57"/>
      <c r="AN152" s="57"/>
      <c r="AO152" s="57"/>
      <c r="AP152" s="57"/>
      <c r="AQ152" s="60"/>
      <c r="AR152" s="61"/>
      <c r="AS152" s="55"/>
    </row>
    <row r="153" spans="1:45" ht="21.25" customHeight="1" x14ac:dyDescent="0.15">
      <c r="A153" s="62">
        <f>RANK(K153,K$2:K$671)</f>
        <v>166</v>
      </c>
      <c r="B153" s="10" t="s">
        <v>357</v>
      </c>
      <c r="C153" s="47" t="s">
        <v>145</v>
      </c>
      <c r="D153" s="48" t="str" cm="1">
        <f t="array" ref="D153">VLOOKUP(B153,'Player Data'!A1:D673,4,FALSE)</f>
        <v>D</v>
      </c>
      <c r="E153" s="68" cm="1">
        <f t="array" ref="E153">VLOOKUP(B153,D!A1:C204,3,FALSE)</f>
        <v>66</v>
      </c>
      <c r="F153" s="56" t="str" cm="1">
        <f t="array" ref="F153">VLOOKUP(B153,'Player Data'!A1:B673,2,FALSE)</f>
        <v>WSH</v>
      </c>
      <c r="G153" s="66" cm="1">
        <f t="array" ref="G153">VLOOKUP(B153,'Player Data'!A1:D673,3,FALSE)</f>
        <v>31</v>
      </c>
      <c r="H153" s="51" cm="1">
        <f t="array" ref="H153">IFERROR(VLOOKUP(B153,ADP!A1:F671,6,FALSE)/1000000,VLOOKUP(B153,ADP!A1:F671,6,FALSE))</f>
        <v>5.75</v>
      </c>
      <c r="I153" s="52">
        <f>IF(Settings!$E$15="POINTS",((R153*Q153)*Settings!$B$12)+(S153*Settings!$B$2)+(T153*Settings!$B$3)+(U153*Settings!$B$4)+(V153*Settings!$B$5)+(X153*Settings!$B$9)+(AA153*Settings!$B$6)+(W153*Settings!$B$8)+(AB153*Settings!$B$7)+(AC153*Settings!$B$14)+(AD153*Settings!$B$15)+(AE153*Settings!$B$16)+(AF153*Settings!$B$17)+(AG153*Settings!$B$18)+(U153*Settings!$B$13)+(Y153*Settings!$B$10)+(Z153*Settings!$B$11),VLOOKUP(B153,'Standard Deviations'!A$1:C$672,3,FALSE))</f>
        <v>-1.1761232896704377</v>
      </c>
      <c r="J153" s="53" cm="1">
        <f t="array" ref="J153">IF(D153="G",I153/AJ153,I153/Q153)</f>
        <v>-1.4342966947200459E-2</v>
      </c>
      <c r="K153" s="52" cm="1">
        <f t="array" ref="K153">VLOOKUP(B153,D!A1:F204,6,FALSE)</f>
        <v>-1.7429742041879921</v>
      </c>
      <c r="L153" s="54" cm="1">
        <f t="array" ref="L153">IFERROR(K153/H153,"N/A")</f>
        <v>-0.30312594855443342</v>
      </c>
      <c r="M153" s="84" t="s">
        <v>828</v>
      </c>
      <c r="N153" s="84" t="str" cm="1">
        <f t="array" ref="N153">IFERROR(M153-A153,"N/A")</f>
        <v>N/A</v>
      </c>
      <c r="O153" s="55"/>
      <c r="P153" s="56" cm="1">
        <f t="array" ref="P153">_xlfn.XLOOKUP($B153,ADP!A2:A671,ADP!G2:G671)</f>
        <v>0</v>
      </c>
      <c r="Q153" s="57" cm="1">
        <f t="array" ref="Q153">IF(Settings!$E$12="YES",VLOOKUP(B153,'Player Data'!A1:E673,5,FALSE),84)</f>
        <v>82</v>
      </c>
      <c r="R153" s="55" cm="1">
        <f t="array" ref="R153">VLOOKUP(B153,'Player Data'!$A1:$AE673,6,FALSE)</f>
        <v>20.399999999999999</v>
      </c>
      <c r="S153" s="57" cm="1">
        <f t="array" ref="S153">VLOOKUP(B153,'Player Data'!$A1:$AE673,7,FALSE)*$Q153*IFERROR((VLOOKUP(P153,Settings!$E$28:$F$33,2,FALSE)+1),1)</f>
        <v>3.2800000000000002</v>
      </c>
      <c r="T153" s="57" cm="1">
        <f t="array" ref="T153">VLOOKUP(B153,'Player Data'!$A1:$AE673,8,FALSE)*$Q153*IFERROR((VLOOKUP(P153,Settings!$E$28:$F$33,2,FALSE)+1),1)</f>
        <v>19.68</v>
      </c>
      <c r="U153" s="57" cm="1">
        <f t="array" ref="U153">SUM(S153:T153)</f>
        <v>22.96</v>
      </c>
      <c r="V153" s="57" cm="1">
        <f t="array" ref="V153">VLOOKUP(B153,'Player Data'!$A1:$AE673,10,FALSE)*$Q153*IFERROR(((VLOOKUP(P153,Settings!$E$28:$F$33,2,FALSE)/2)+1),1)</f>
        <v>99.22</v>
      </c>
      <c r="W153" s="57" cm="1">
        <f t="array" ref="W153">VLOOKUP(B153,'Player Data'!$A1:$AE673,11,FALSE)*$Q153*IFERROR((VLOOKUP(P153,Settings!$E$28:$F$33,2,FALSE)+1),1)</f>
        <v>0</v>
      </c>
      <c r="X153" s="57" cm="1">
        <f t="array" ref="X153">VLOOKUP(B153,'Player Data'!$A1:$AE673,12,FALSE)*$Q153*IFERROR((VLOOKUP(P153,Settings!$E$28:$F$33,2,FALSE)+1),1)</f>
        <v>0</v>
      </c>
      <c r="Y153" s="57" cm="1">
        <f t="array" ref="Y153">VLOOKUP(B153,'Player Data'!$A1:$AE673,13,FALSE)*$Q153</f>
        <v>0</v>
      </c>
      <c r="Z153" s="57" cm="1">
        <f t="array" ref="Z153">VLOOKUP(B153,'Player Data'!$A1:$AE673,14,FALSE)*$Q153</f>
        <v>0</v>
      </c>
      <c r="AA153" s="57" cm="1">
        <f t="array" ref="AA153">VLOOKUP(B153,'Player Data'!$A1:$AE673,15,FALSE)*$Q153</f>
        <v>145.96</v>
      </c>
      <c r="AB153" s="57" cm="1">
        <f t="array" ref="AB153">VLOOKUP(B153,'Player Data'!$A1:$AE673,16,FALSE)*$Q153</f>
        <v>117.25999999999999</v>
      </c>
      <c r="AC153" s="57" cm="1">
        <f t="array" ref="AC153">VLOOKUP(B153,'Player Data'!$A1:$AE673,17,FALSE)*$Q153*IFERROR((VLOOKUP(P153,Settings!$E$28:$F$33,2,FALSE)+1),1)</f>
        <v>4.1000000000000005</v>
      </c>
      <c r="AD153" s="57" cm="1">
        <f t="array" ref="AD153">VLOOKUP(B153,'Player Data'!$A1:$AE673,18,FALSE)*$Q153</f>
        <v>25.419999999999998</v>
      </c>
      <c r="AE153" s="57" cm="1">
        <f t="array" ref="AE153">VLOOKUP(B153,'Player Data'!$A1:$AE673,19,FALSE)*$Q153*IFERROR((VLOOKUP(P153,Settings!$E$28:$F$33,2,FALSE)+1),1)</f>
        <v>0.82000000000000006</v>
      </c>
      <c r="AF153" s="57" cm="1">
        <f t="array" ref="AF153">VLOOKUP(B153,'Player Data'!$A1:$AE673,20,FALSE)*$Q153</f>
        <v>0</v>
      </c>
      <c r="AG153" s="57" cm="1">
        <f t="array" ref="AG153">VLOOKUP(B153,'Player Data'!$A1:$AE673,21,FALSE)*$Q153</f>
        <v>0</v>
      </c>
      <c r="AH153" s="59" cm="1">
        <f t="array" ref="AH153">VLOOKUP(B153,'Player Data'!$A1:$AE673,22,FALSE)</f>
        <v>0</v>
      </c>
      <c r="AI153" s="55"/>
      <c r="AJ153" s="57"/>
      <c r="AK153" s="57"/>
      <c r="AL153" s="57"/>
      <c r="AM153" s="57"/>
      <c r="AN153" s="57"/>
      <c r="AO153" s="57"/>
      <c r="AP153" s="57"/>
      <c r="AQ153" s="60"/>
      <c r="AR153" s="61"/>
      <c r="AS153" s="55"/>
    </row>
    <row r="154" spans="1:45" ht="21.25" customHeight="1" x14ac:dyDescent="0.15">
      <c r="A154" s="62">
        <f>RANK(K154,K$2:K$671)</f>
        <v>128</v>
      </c>
      <c r="B154" s="10" t="s">
        <v>200</v>
      </c>
      <c r="C154" s="47" t="s">
        <v>145</v>
      </c>
      <c r="D154" s="48" t="str" cm="1">
        <f t="array" ref="D154">VLOOKUP(B154,'Player Data'!A1:D673,4,FALSE)</f>
        <v>C</v>
      </c>
      <c r="E154" s="49" cm="1">
        <f t="array" ref="E154">VLOOKUP(B154,'C'!A1:C210,3,FALSE)</f>
        <v>32</v>
      </c>
      <c r="F154" s="72" t="str" cm="1">
        <f t="array" ref="F154">VLOOKUP(B154,'Player Data'!A1:B673,2,FALSE)</f>
        <v>DET</v>
      </c>
      <c r="G154" s="11" cm="1">
        <f t="array" ref="G154">VLOOKUP(B154,'Player Data'!A1:D673,3,FALSE)</f>
        <v>30</v>
      </c>
      <c r="H154" s="51" cm="1">
        <f t="array" ref="H154">IFERROR(VLOOKUP(B154,ADP!A1:F671,6,FALSE)/1000000,VLOOKUP(B154,ADP!A1:F671,6,FALSE))</f>
        <v>8.6999999999999993</v>
      </c>
      <c r="I154" s="52">
        <f>IF(Settings!$E$15="POINTS",((R154*Q154)*Settings!$B$12)+(S154*Settings!$B$2)+(T154*Settings!$B$3)+(U154*Settings!$B$4)+(V154*Settings!$B$5)+(X154*Settings!$B$9)+(AA154*Settings!$B$6)+(W154*Settings!$B$8)+(AB154*Settings!$B$7)+(AC154*Settings!$B$14)+(AD154*Settings!$B$15)+(AE154*Settings!$B$16)+(AF154*Settings!$B$17)+(AG154*Settings!$B$18)+(Y154*Settings!$B$10)+(Z154*Settings!$B$11),VLOOKUP(B154,'Standard Deviations'!A$1:C$672,3,FALSE))</f>
        <v>5.5140939176584007</v>
      </c>
      <c r="J154" s="53" cm="1">
        <f t="array" ref="J154">IF(D154="G",I154/AJ154,I154/Q154)</f>
        <v>6.8075233551338279E-2</v>
      </c>
      <c r="K154" s="52" cm="1">
        <f t="array" ref="K154">IF(Settings!$E$18="C/LW/RW",VLOOKUP(B154,'C'!A1:F210,6,FALSE),VLOOKUP(B154,F!A1:F407,6,FALSE))</f>
        <v>-0.84591563995666341</v>
      </c>
      <c r="L154" s="54" cm="1">
        <f t="array" ref="L154">IFERROR(K154/H154,"N/A")</f>
        <v>-9.7231682753639484E-2</v>
      </c>
      <c r="M154" s="55">
        <v>93.3</v>
      </c>
      <c r="N154" s="55" cm="1">
        <f t="array" ref="N154">IFERROR(M154-A154,"N/A")</f>
        <v>-34.700000000000003</v>
      </c>
      <c r="O154" s="55"/>
      <c r="P154" s="56" cm="1">
        <f t="array" ref="P154">_xlfn.XLOOKUP($B154,ADP!A2:A671,ADP!G2:G671)</f>
        <v>0</v>
      </c>
      <c r="Q154" s="57" cm="1">
        <f t="array" ref="Q154">IF(Settings!$E$12="YES",VLOOKUP(B154,'Player Data'!A1:E673,5,FALSE),84)</f>
        <v>81</v>
      </c>
      <c r="R154" s="55" cm="1">
        <f t="array" ref="R154">VLOOKUP(B154,'Player Data'!$A1:$AE673,6,FALSE)</f>
        <v>20.3</v>
      </c>
      <c r="S154" s="57" cm="1">
        <f t="array" ref="S154">VLOOKUP(B154,'Player Data'!$A1:$AE673,7,FALSE)*$Q154*IFERROR((VLOOKUP(P154,Settings!$E$28:$F$33,2,FALSE)+1),1)</f>
        <v>33.21</v>
      </c>
      <c r="T154" s="57" cm="1">
        <f t="array" ref="T154">VLOOKUP(B154,'Player Data'!$A1:$AE673,8,FALSE)*$Q154*IFERROR((VLOOKUP(P154,Settings!$E$28:$F$33,2,FALSE)+1),1)</f>
        <v>38.07</v>
      </c>
      <c r="U154" s="57" cm="1">
        <f t="array" ref="U154">SUM(S154:T154)</f>
        <v>71.28</v>
      </c>
      <c r="V154" s="57" cm="1">
        <f t="array" ref="V154">VLOOKUP(B154,'Player Data'!$A1:$AE673,10,FALSE)*$Q154*IFERROR(((VLOOKUP(P154,Settings!$E$28:$F$33,2,FALSE)/2)+1),1)</f>
        <v>242.19000000000003</v>
      </c>
      <c r="W154" s="58" cm="1">
        <f t="array" ref="W154">VLOOKUP(B154,'Player Data'!$A1:$AE673,11,FALSE)*$Q154*IFERROR((VLOOKUP(P154,Settings!$E$28:$F$33,2,FALSE)+1),1)</f>
        <v>12.96</v>
      </c>
      <c r="X154" s="57" cm="1">
        <f t="array" ref="X154">VLOOKUP(B154,'Player Data'!$A1:$AE673,12,FALSE)*$Q154*IFERROR((VLOOKUP(P154,Settings!$E$28:$F$33,2,FALSE)+1),1)</f>
        <v>25.11</v>
      </c>
      <c r="Y154" s="57" cm="1">
        <f t="array" ref="Y154">VLOOKUP(B154,'Player Data'!$A1:$AE673,13,FALSE)*$Q154</f>
        <v>0.81</v>
      </c>
      <c r="Z154" s="57" cm="1">
        <f t="array" ref="Z154">VLOOKUP(B154,'Player Data'!$A1:$AE673,14,FALSE)*$Q154</f>
        <v>0.81</v>
      </c>
      <c r="AA154" s="57" cm="1">
        <f t="array" ref="AA154">VLOOKUP(B154,'Player Data'!$A1:$AE673,15,FALSE)*$Q154</f>
        <v>37.260000000000005</v>
      </c>
      <c r="AB154" s="57" cm="1">
        <f t="array" ref="AB154">VLOOKUP(B154,'Player Data'!$A1:$AE673,16,FALSE)*$Q154</f>
        <v>51.84</v>
      </c>
      <c r="AC154" s="57" cm="1">
        <f t="array" ref="AC154">VLOOKUP(B154,'Player Data'!$A1:$AE673,17,FALSE)*$Q154*IFERROR((VLOOKUP(P154,Settings!$E$28:$F$33,2,FALSE)+1),1)</f>
        <v>-1.62</v>
      </c>
      <c r="AD154" s="57" cm="1">
        <f t="array" ref="AD154">VLOOKUP(B154,'Player Data'!$A1:$AE673,18,FALSE)*$Q154</f>
        <v>39.69</v>
      </c>
      <c r="AE154" s="57" cm="1">
        <f t="array" ref="AE154">VLOOKUP(B154,'Player Data'!$A1:$AE673,19,FALSE)*$Q154*IFERROR((VLOOKUP(P154,Settings!$E$28:$F$33,2,FALSE)+1),1)</f>
        <v>4.8599999999999994</v>
      </c>
      <c r="AF154" s="57" cm="1">
        <f t="array" ref="AF154">VLOOKUP(B154,'Player Data'!$A1:$AE673,20,FALSE)*$Q154</f>
        <v>878.04</v>
      </c>
      <c r="AG154" s="57" cm="1">
        <f t="array" ref="AG154">VLOOKUP(B154,'Player Data'!$A1:$AE673,21,FALSE)*$Q154</f>
        <v>745.19999999999993</v>
      </c>
      <c r="AH154" s="59" cm="1">
        <f t="array" ref="AH154">VLOOKUP(B154,'Player Data'!$A1:$AE673,22,FALSE)</f>
        <v>0.54</v>
      </c>
      <c r="AI154" s="55"/>
      <c r="AJ154" s="57"/>
      <c r="AK154" s="57"/>
      <c r="AL154" s="57"/>
      <c r="AM154" s="57"/>
      <c r="AN154" s="57"/>
      <c r="AO154" s="57"/>
      <c r="AP154" s="57"/>
      <c r="AQ154" s="60"/>
      <c r="AR154" s="61"/>
      <c r="AS154" s="55"/>
    </row>
    <row r="155" spans="1:45" ht="21.25" customHeight="1" x14ac:dyDescent="0.15">
      <c r="A155" s="62">
        <f>RANK(K155,K$2:K$671)</f>
        <v>129</v>
      </c>
      <c r="B155" s="10" t="s">
        <v>163</v>
      </c>
      <c r="C155" s="47" t="s">
        <v>145</v>
      </c>
      <c r="D155" s="48" t="str" cm="1">
        <f t="array" ref="D155">VLOOKUP(B155,'Player Data'!A1:D673,4,FALSE)</f>
        <v>C</v>
      </c>
      <c r="E155" s="49" cm="1">
        <f t="array" ref="E155">VLOOKUP(B155,'C'!A1:C210,3,FALSE)</f>
        <v>33</v>
      </c>
      <c r="F155" s="50" t="str" cm="1">
        <f t="array" ref="F155">VLOOKUP(B155,'Player Data'!A1:B673,2,FALSE)</f>
        <v>ANA</v>
      </c>
      <c r="G155" s="71" cm="1">
        <f t="array" ref="G155">VLOOKUP(B155,'Player Data'!A1:D673,3,FALSE)</f>
        <v>21</v>
      </c>
      <c r="H155" s="51" cm="1">
        <f t="array" ref="H155">IFERROR(VLOOKUP(B155,ADP!A1:F671,6,FALSE)/1000000,VLOOKUP(B155,ADP!A1:F671,6,FALSE))</f>
        <v>18</v>
      </c>
      <c r="I155" s="52">
        <f>IF(Settings!$E$15="POINTS",((R155*Q155)*Settings!$B$12)+(S155*Settings!$B$2)+(T155*Settings!$B$3)+(U155*Settings!$B$4)+(V155*Settings!$B$5)+(X155*Settings!$B$9)+(AA155*Settings!$B$6)+(W155*Settings!$B$8)+(AB155*Settings!$B$7)+(AC155*Settings!$B$14)+(AD155*Settings!$B$15)+(AE155*Settings!$B$16)+(AF155*Settings!$B$17)+(AG155*Settings!$B$18)+(Y155*Settings!$B$10)+(Z155*Settings!$B$11),VLOOKUP(B155,'Standard Deviations'!A$1:C$672,3,FALSE))</f>
        <v>5.5113339978520228</v>
      </c>
      <c r="J155" s="53" cm="1">
        <f t="array" ref="J155">IF(D155="G",I155/AJ155,I155/Q155)</f>
        <v>7.065812817759004E-2</v>
      </c>
      <c r="K155" s="52" cm="1">
        <f t="array" ref="K155">IF(Settings!$E$18="C/LW/RW",VLOOKUP(B155,'C'!A1:F210,6,FALSE),VLOOKUP(B155,F!A1:F407,6,FALSE))</f>
        <v>-0.84867555976304132</v>
      </c>
      <c r="L155" s="54" cm="1">
        <f t="array" ref="L155">IFERROR(K155/H155,"N/A")</f>
        <v>-4.7148642209057852E-2</v>
      </c>
      <c r="M155" s="55">
        <v>43.3</v>
      </c>
      <c r="N155" s="55" cm="1">
        <f t="array" ref="N155">IFERROR(M155-A155,"N/A")</f>
        <v>-85.7</v>
      </c>
      <c r="O155" s="55"/>
      <c r="P155" s="56" t="str" cm="1">
        <f t="array" ref="P155">_xlfn.XLOOKUP($B155,ADP!A2:A671,ADP!G2:G671)</f>
        <v>+ +</v>
      </c>
      <c r="Q155" s="57" cm="1">
        <f t="array" ref="Q155">IF(Settings!$E$12="YES",VLOOKUP(B155,'Player Data'!A1:E673,5,FALSE),84)</f>
        <v>78</v>
      </c>
      <c r="R155" s="81" cm="1">
        <f t="array" ref="R155">VLOOKUP(B155,'Player Data'!$A1:$AE673,6,FALSE)</f>
        <v>21.7</v>
      </c>
      <c r="S155" s="57" cm="1">
        <f t="array" ref="S155">VLOOKUP(B155,'Player Data'!$A1:$AE673,7,FALSE)*$Q155*IFERROR((VLOOKUP(P155,Settings!$E$28:$F$33,2,FALSE)+1),1)</f>
        <v>36.894000000000005</v>
      </c>
      <c r="T155" s="57" cm="1">
        <f t="array" ref="T155">VLOOKUP(B155,'Player Data'!$A1:$AE673,8,FALSE)*$Q155*IFERROR((VLOOKUP(P155,Settings!$E$28:$F$33,2,FALSE)+1),1)</f>
        <v>48.048000000000009</v>
      </c>
      <c r="U155" s="57" cm="1">
        <f t="array" ref="U155">SUM(S155:T155)</f>
        <v>84.942000000000007</v>
      </c>
      <c r="V155" s="57" cm="1">
        <f t="array" ref="V155">VLOOKUP(B155,'Player Data'!$A1:$AE673,10,FALSE)*$Q155*IFERROR(((VLOOKUP(P155,Settings!$E$28:$F$33,2,FALSE)/2)+1),1)</f>
        <v>231.77700000000002</v>
      </c>
      <c r="W155" s="58" cm="1">
        <f t="array" ref="W155">VLOOKUP(B155,'Player Data'!$A1:$AE673,11,FALSE)*$Q155*IFERROR((VLOOKUP(P155,Settings!$E$28:$F$33,2,FALSE)+1),1)</f>
        <v>6.8640000000000008</v>
      </c>
      <c r="X155" s="57" cm="1">
        <f t="array" ref="X155">VLOOKUP(B155,'Player Data'!$A1:$AE673,12,FALSE)*$Q155*IFERROR((VLOOKUP(P155,Settings!$E$28:$F$33,2,FALSE)+1),1)</f>
        <v>21.450000000000003</v>
      </c>
      <c r="Y155" s="57" cm="1">
        <f t="array" ref="Y155">VLOOKUP(B155,'Player Data'!$A1:$AE673,13,FALSE)*$Q155</f>
        <v>2.34</v>
      </c>
      <c r="Z155" s="57" cm="1">
        <f t="array" ref="Z155">VLOOKUP(B155,'Player Data'!$A1:$AE673,14,FALSE)*$Q155</f>
        <v>3.9000000000000004</v>
      </c>
      <c r="AA155" s="57" cm="1">
        <f t="array" ref="AA155">VLOOKUP(B155,'Player Data'!$A1:$AE673,15,FALSE)*$Q155</f>
        <v>41.34</v>
      </c>
      <c r="AB155" s="57" cm="1">
        <f t="array" ref="AB155">VLOOKUP(B155,'Player Data'!$A1:$AE673,16,FALSE)*$Q155</f>
        <v>27.299999999999997</v>
      </c>
      <c r="AC155" s="57" cm="1">
        <f t="array" ref="AC155">VLOOKUP(B155,'Player Data'!$A1:$AE673,17,FALSE)*$Q155*IFERROR((VLOOKUP(P155,Settings!$E$28:$F$33,2,FALSE)+1),1)</f>
        <v>-1.7160000000000002</v>
      </c>
      <c r="AD155" s="57" cm="1">
        <f t="array" ref="AD155">VLOOKUP(B155,'Player Data'!$A1:$AE673,18,FALSE)*$Q155</f>
        <v>28.86</v>
      </c>
      <c r="AE155" s="57" cm="1">
        <f t="array" ref="AE155">VLOOKUP(B155,'Player Data'!$A1:$AE673,19,FALSE)*$Q155*IFERROR((VLOOKUP(P155,Settings!$E$28:$F$33,2,FALSE)+1),1)</f>
        <v>5.1479999999999997</v>
      </c>
      <c r="AF155" s="57" cm="1">
        <f t="array" ref="AF155">VLOOKUP(B155,'Player Data'!$A1:$AE673,20,FALSE)*$Q155</f>
        <v>482.82000000000005</v>
      </c>
      <c r="AG155" s="57" cm="1">
        <f t="array" ref="AG155">VLOOKUP(B155,'Player Data'!$A1:$AE673,21,FALSE)*$Q155</f>
        <v>684.83999999999992</v>
      </c>
      <c r="AH155" s="59" cm="1">
        <f t="array" ref="AH155">VLOOKUP(B155,'Player Data'!$A1:$AE673,22,FALSE)</f>
        <v>0.41</v>
      </c>
      <c r="AI155" s="55"/>
      <c r="AJ155" s="57"/>
      <c r="AK155" s="57"/>
      <c r="AL155" s="57"/>
      <c r="AM155" s="57"/>
      <c r="AN155" s="57"/>
      <c r="AO155" s="57"/>
      <c r="AP155" s="57"/>
      <c r="AQ155" s="60"/>
      <c r="AR155" s="61"/>
      <c r="AS155" s="55"/>
    </row>
    <row r="156" spans="1:45" ht="21.25" customHeight="1" x14ac:dyDescent="0.15">
      <c r="A156" s="62">
        <f>RANK(K156,K$2:K$671)</f>
        <v>156</v>
      </c>
      <c r="B156" s="10" t="s">
        <v>337</v>
      </c>
      <c r="C156" s="47" t="s">
        <v>145</v>
      </c>
      <c r="D156" s="48" t="str" cm="1">
        <f t="array" ref="D156">VLOOKUP(B156,'Player Data'!A1:D673,4,FALSE)</f>
        <v>G</v>
      </c>
      <c r="E156" s="76" cm="1">
        <f t="array" ref="E156">VLOOKUP(B156,G!A1:D66,3,FALSE)</f>
        <v>30</v>
      </c>
      <c r="F156" s="73" t="str" cm="1">
        <f t="array" ref="F156">VLOOKUP(B156,'Player Data'!A1:B673,2,FALSE)</f>
        <v>BUF</v>
      </c>
      <c r="G156" s="11" cm="1">
        <f t="array" ref="G156">VLOOKUP(B156,'Player Data'!A1:D673,3,FALSE)</f>
        <v>27</v>
      </c>
      <c r="H156" s="51" cm="1">
        <f t="array" ref="H156">IFERROR(VLOOKUP(B156,ADP!A1:F671,6,FALSE)/1000000,VLOOKUP(B156,ADP!A1:F671,6,FALSE))</f>
        <v>4.75</v>
      </c>
      <c r="I156" s="52">
        <f>IF(Settings!$E$15="POINTS",(AJ156*Settings!$B$29)+(AK156*Settings!$B$21)+(AL156*Settings!$B$22)+(AN156*Settings!$B$24)+(AO156*Settings!$B$25)+(AP156*Settings!$B$27)+(AM156*Settings!$B$23),VLOOKUP(B156,'Standard Deviations'!A$1:C$672,3,FALSE))</f>
        <v>0.44090306269764024</v>
      </c>
      <c r="J156" s="53" cm="1">
        <f t="array" ref="J156">IF(D156="G",I156/AJ156,I156/Q156)</f>
        <v>9.7978458377253382E-3</v>
      </c>
      <c r="K156" s="52" cm="1">
        <f t="array" ref="K156">VLOOKUP(B156,G!A1:F66,6,FALSE)</f>
        <v>-1.5972821964260346</v>
      </c>
      <c r="L156" s="54" cm="1">
        <f t="array" ref="L156">IFERROR(K156/H156,"N/A")</f>
        <v>-0.33626993608969152</v>
      </c>
      <c r="M156" s="55">
        <v>109.7</v>
      </c>
      <c r="N156" s="55" cm="1">
        <f t="array" ref="N156">IFERROR(M156-A156,"N/A")</f>
        <v>-46.3</v>
      </c>
      <c r="O156" s="55"/>
      <c r="P156" s="56" cm="1">
        <f t="array" ref="P156">_xlfn.XLOOKUP($B156,ADP!A2:A671,ADP!G2:G671)</f>
        <v>0</v>
      </c>
      <c r="Q156" s="57"/>
      <c r="R156" s="55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9"/>
      <c r="AI156" s="55"/>
      <c r="AJ156" s="77" cm="1">
        <f t="array" ref="AJ156">VLOOKUP(B156,'Player Data'!$A1:$AE673,24,FALSE)</f>
        <v>45</v>
      </c>
      <c r="AK156" s="57" cm="1">
        <f t="array" ref="AK156">VLOOKUP(B156,'Player Data'!$A1:$AE673,25,FALSE)*$AJ156*IFERROR((VLOOKUP(P156,Settings!$E$28:$F$33,2,FALSE)+1),1)</f>
        <v>23.400000000000002</v>
      </c>
      <c r="AL156" s="57" cm="1">
        <f t="array" ref="AL156">AJ156-AK156-AM156</f>
        <v>16.2</v>
      </c>
      <c r="AM156" s="57" cm="1">
        <f t="array" ref="AM156">VLOOKUP(B156,'Player Data'!$A1:$AE673,27,FALSE)*$AJ156</f>
        <v>5.3999999999999995</v>
      </c>
      <c r="AN156" s="57" cm="1">
        <f t="array" ref="AN156">VLOOKUP(B156,'Player Data'!$A1:$AE673,28,FALSE)*AJ156</f>
        <v>2.25</v>
      </c>
      <c r="AO156" s="57" cm="1">
        <f t="array" ref="AO156">VLOOKUP(B156,'Player Data'!$A1:$AE673,29,FALSE)*$AJ156*IFERROR((VLOOKUP(P156,Settings!$E$28:$F$33,2,FALSE)/4)+1,1)</f>
        <v>1138.5</v>
      </c>
      <c r="AP156" s="57" cm="1">
        <f t="array" ref="AP156">VLOOKUP(B156,'Player Data'!$A1:$AE673,31,FALSE)*$AJ156*(IFERROR(1-(VLOOKUP(P156,Settings!$E$28:$F$33,2,FALSE)/4),1))</f>
        <v>129.15</v>
      </c>
      <c r="AQ156" s="60" cm="1">
        <f t="array" ref="AQ156">1-(AP156/(AO156+AP156))</f>
        <v>0.89811856585019523</v>
      </c>
      <c r="AR156" s="61" cm="1">
        <f t="array" ref="AR156">AP156/AJ156</f>
        <v>2.87</v>
      </c>
      <c r="AS156" s="55"/>
    </row>
    <row r="157" spans="1:45" ht="21.25" customHeight="1" x14ac:dyDescent="0.15">
      <c r="A157" s="62">
        <f>RANK(K157,K$2:K$671)</f>
        <v>130</v>
      </c>
      <c r="B157" s="10" t="s">
        <v>316</v>
      </c>
      <c r="C157" s="47" t="s">
        <v>145</v>
      </c>
      <c r="D157" s="48" t="str" cm="1">
        <f t="array" ref="D157">VLOOKUP(B157,'Player Data'!A1:D673,4,FALSE)</f>
        <v>LW,RW</v>
      </c>
      <c r="E157" s="74" cm="1">
        <f t="array" ref="E157">VLOOKUP(B157,RW!A1:F210,3,FALSE)</f>
        <v>31</v>
      </c>
      <c r="F157" s="65" t="str" cm="1">
        <f t="array" ref="F157">VLOOKUP(B157,'Player Data'!A1:B673,2,FALSE)</f>
        <v>CAR</v>
      </c>
      <c r="G157" s="71" cm="1">
        <f t="array" ref="G157">VLOOKUP(B157,'Player Data'!A1:D673,3,FALSE)</f>
        <v>24</v>
      </c>
      <c r="H157" s="51" cm="1">
        <f t="array" ref="H157">IFERROR(VLOOKUP(B157,ADP!A1:F671,6,FALSE)/1000000,VLOOKUP(B157,ADP!A1:F671,6,FALSE))</f>
        <v>7.42</v>
      </c>
      <c r="I157" s="52">
        <f>IF(Settings!$E$15="POINTS",((R157*Q157)*Settings!$B$12)+(S157*Settings!$B$2)+(T157*Settings!$B$3)+(U157*Settings!$B$4)+(V157*Settings!$B$5)+(X157*Settings!$B$9)+(AA157*Settings!$B$6)+(W157*Settings!$B$8)+(AB157*Settings!$B$7)+(AC157*Settings!$B$14)+(AD157*Settings!$B$15)+(AE157*Settings!$B$16)+(AF157*Settings!$B$17)+(AG157*Settings!$B$18)+(Y157*Settings!$B$10)+(Z157*Settings!$B$11),VLOOKUP(B157,'Standard Deviations'!A$1:C$672,3,FALSE))</f>
        <v>6.0248230104492233</v>
      </c>
      <c r="J157" s="53" cm="1">
        <f t="array" ref="J157">IF(D157="G",I157/AJ157,I157/Q157)</f>
        <v>8.9922731499242139E-2</v>
      </c>
      <c r="K157" s="52" cm="1">
        <f t="array" ref="K157">IF(Settings!$E$18="C/LW/RW",VLOOKUP(B157,RW!A1:F210,6,FALSE),VLOOKUP(B157,F!A1:F407,6,FALSE))</f>
        <v>-0.86241159135985423</v>
      </c>
      <c r="L157" s="54" cm="1">
        <f t="array" ref="L157">IFERROR(K157/H157,"N/A")</f>
        <v>-0.11622797727221755</v>
      </c>
      <c r="M157" s="55">
        <v>125.6</v>
      </c>
      <c r="N157" s="55" cm="1">
        <f t="array" ref="N157">IFERROR(M157-A157,"N/A")</f>
        <v>-4.4000000000000057</v>
      </c>
      <c r="O157" s="55"/>
      <c r="P157" s="56" t="str" cm="1">
        <f t="array" ref="P157">_xlfn.XLOOKUP($B157,ADP!A2:A671,ADP!G2:G671)</f>
        <v>+</v>
      </c>
      <c r="Q157" s="57" cm="1">
        <f t="array" ref="Q157">IF(Settings!$E$12="YES",VLOOKUP(B157,'Player Data'!A1:E673,5,FALSE),84)</f>
        <v>67</v>
      </c>
      <c r="R157" s="55" cm="1">
        <f t="array" ref="R157">VLOOKUP(B157,'Player Data'!$A1:$AE673,6,FALSE)</f>
        <v>19.399999999999999</v>
      </c>
      <c r="S157" s="57" cm="1">
        <f t="array" ref="S157">VLOOKUP(B157,'Player Data'!$A1:$AE673,7,FALSE)*$Q157*IFERROR((VLOOKUP(P157,Settings!$E$28:$F$33,2,FALSE)+1),1)</f>
        <v>30.954000000000001</v>
      </c>
      <c r="T157" s="57" cm="1">
        <f t="array" ref="T157">VLOOKUP(B157,'Player Data'!$A1:$AE673,8,FALSE)*$Q157*IFERROR((VLOOKUP(P157,Settings!$E$28:$F$33,2,FALSE)+1),1)</f>
        <v>34.471499999999999</v>
      </c>
      <c r="U157" s="57" cm="1">
        <f t="array" ref="U157">SUM(S157:T157)</f>
        <v>65.4255</v>
      </c>
      <c r="V157" s="57" cm="1">
        <f t="array" ref="V157">VLOOKUP(B157,'Player Data'!$A1:$AE673,10,FALSE)*$Q157*IFERROR(((VLOOKUP(P157,Settings!$E$28:$F$33,2,FALSE)/2)+1),1)</f>
        <v>201.21775</v>
      </c>
      <c r="W157" s="58" cm="1">
        <f t="array" ref="W157">VLOOKUP(B157,'Player Data'!$A1:$AE673,11,FALSE)*$Q157*IFERROR((VLOOKUP(P157,Settings!$E$28:$F$33,2,FALSE)+1),1)</f>
        <v>6.3314999999999992</v>
      </c>
      <c r="X157" s="57" cm="1">
        <f t="array" ref="X157">VLOOKUP(B157,'Player Data'!$A1:$AE673,12,FALSE)*$Q157*IFERROR((VLOOKUP(P157,Settings!$E$28:$F$33,2,FALSE)+1),1)</f>
        <v>18.994500000000002</v>
      </c>
      <c r="Y157" s="57" cm="1">
        <f t="array" ref="Y157">VLOOKUP(B157,'Player Data'!$A1:$AE673,13,FALSE)*$Q157</f>
        <v>2.68</v>
      </c>
      <c r="Z157" s="57" cm="1">
        <f t="array" ref="Z157">VLOOKUP(B157,'Player Data'!$A1:$AE673,14,FALSE)*$Q157</f>
        <v>4.0199999999999996</v>
      </c>
      <c r="AA157" s="57" cm="1">
        <f t="array" ref="AA157">VLOOKUP(B157,'Player Data'!$A1:$AE673,15,FALSE)*$Q157</f>
        <v>34.17</v>
      </c>
      <c r="AB157" s="57" cm="1">
        <f t="array" ref="AB157">VLOOKUP(B157,'Player Data'!$A1:$AE673,16,FALSE)*$Q157</f>
        <v>80.399999999999991</v>
      </c>
      <c r="AC157" s="57" cm="1">
        <f t="array" ref="AC157">VLOOKUP(B157,'Player Data'!$A1:$AE673,17,FALSE)*$Q157*IFERROR((VLOOKUP(P157,Settings!$E$28:$F$33,2,FALSE)+1),1)</f>
        <v>6.3314999999999992</v>
      </c>
      <c r="AD157" s="57" cm="1">
        <f t="array" ref="AD157">VLOOKUP(B157,'Player Data'!$A1:$AE673,18,FALSE)*$Q157</f>
        <v>20.099999999999998</v>
      </c>
      <c r="AE157" s="57" cm="1">
        <f t="array" ref="AE157">VLOOKUP(B157,'Player Data'!$A1:$AE673,19,FALSE)*$Q157*IFERROR((VLOOKUP(P157,Settings!$E$28:$F$33,2,FALSE)+1),1)</f>
        <v>5.628000000000001</v>
      </c>
      <c r="AF157" s="57" cm="1">
        <f t="array" ref="AF157">VLOOKUP(B157,'Player Data'!$A1:$AE673,20,FALSE)*$Q157</f>
        <v>48.239999999999995</v>
      </c>
      <c r="AG157" s="57" cm="1">
        <f t="array" ref="AG157">VLOOKUP(B157,'Player Data'!$A1:$AE673,21,FALSE)*$Q157</f>
        <v>73.7</v>
      </c>
      <c r="AH157" s="59" cm="1">
        <f t="array" ref="AH157">VLOOKUP(B157,'Player Data'!$A1:$AE673,22,FALSE)</f>
        <v>0.4</v>
      </c>
      <c r="AI157" s="55"/>
      <c r="AJ157" s="57"/>
      <c r="AK157" s="57"/>
      <c r="AL157" s="57"/>
      <c r="AM157" s="57"/>
      <c r="AN157" s="57"/>
      <c r="AO157" s="57"/>
      <c r="AP157" s="57"/>
      <c r="AQ157" s="60"/>
      <c r="AR157" s="61"/>
      <c r="AS157" s="55"/>
    </row>
    <row r="158" spans="1:45" ht="21.25" customHeight="1" x14ac:dyDescent="0.15">
      <c r="A158" s="62">
        <f>RANK(K158,K$2:K$671)</f>
        <v>168</v>
      </c>
      <c r="B158" s="10" t="s">
        <v>378</v>
      </c>
      <c r="C158" s="47" t="s">
        <v>145</v>
      </c>
      <c r="D158" s="48" t="str" cm="1">
        <f t="array" ref="D158">VLOOKUP(B158,'Player Data'!A1:D673,4,FALSE)</f>
        <v>D</v>
      </c>
      <c r="E158" s="68" cm="1">
        <f t="array" ref="E158">VLOOKUP(B158,D!A1:C204,3,FALSE)</f>
        <v>67</v>
      </c>
      <c r="F158" s="69" t="str" cm="1">
        <f t="array" ref="F158">VLOOKUP(B158,'Player Data'!A1:B673,2,FALSE)</f>
        <v>TOR</v>
      </c>
      <c r="G158" s="66" cm="1">
        <f t="array" ref="G158">VLOOKUP(B158,'Player Data'!A1:D673,3,FALSE)</f>
        <v>35</v>
      </c>
      <c r="H158" s="51" cm="1">
        <f t="array" ref="H158">IFERROR(VLOOKUP(B158,ADP!A1:F671,6,FALSE)/1000000,VLOOKUP(B158,ADP!A1:F671,6,FALSE))</f>
        <v>3.5</v>
      </c>
      <c r="I158" s="52">
        <f>IF(Settings!$E$15="POINTS",((R158*Q158)*Settings!$B$12)+(S158*Settings!$B$2)+(T158*Settings!$B$3)+(U158*Settings!$B$4)+(V158*Settings!$B$5)+(X158*Settings!$B$9)+(AA158*Settings!$B$6)+(W158*Settings!$B$8)+(AB158*Settings!$B$7)+(AC158*Settings!$B$14)+(AD158*Settings!$B$15)+(AE158*Settings!$B$16)+(AF158*Settings!$B$17)+(AG158*Settings!$B$18)+(U158*Settings!$B$13)+(Y158*Settings!$B$10)+(Z158*Settings!$B$11),VLOOKUP(B158,'Standard Deviations'!A$1:C$672,3,FALSE))</f>
        <v>-1.2420021464094466</v>
      </c>
      <c r="J158" s="53" cm="1">
        <f t="array" ref="J158">IF(D158="G",I158/AJ158,I158/Q158)</f>
        <v>-1.5146367639139593E-2</v>
      </c>
      <c r="K158" s="52" cm="1">
        <f t="array" ref="K158">VLOOKUP(B158,D!A1:F204,6,FALSE)</f>
        <v>-1.808853060927001</v>
      </c>
      <c r="L158" s="54" cm="1">
        <f t="array" ref="L158">IFERROR(K158/H158,"N/A")</f>
        <v>-0.51681516026485741</v>
      </c>
      <c r="M158" s="55">
        <v>127.7</v>
      </c>
      <c r="N158" s="55" cm="1">
        <f t="array" ref="N158">IFERROR(M158-A158,"N/A")</f>
        <v>-40.299999999999997</v>
      </c>
      <c r="O158" s="55"/>
      <c r="P158" s="56" cm="1">
        <f t="array" ref="P158">_xlfn.XLOOKUP($B158,ADP!A2:A671,ADP!G2:G671)</f>
        <v>0</v>
      </c>
      <c r="Q158" s="57" cm="1">
        <f t="array" ref="Q158">IF(Settings!$E$12="YES",VLOOKUP(B158,'Player Data'!A1:E673,5,FALSE),84)</f>
        <v>82</v>
      </c>
      <c r="R158" s="83" cm="1">
        <f t="array" ref="R158">VLOOKUP(B158,'Player Data'!$A1:$AE673,6,FALSE)</f>
        <v>18.5</v>
      </c>
      <c r="S158" s="57" cm="1">
        <f t="array" ref="S158">VLOOKUP(B158,'Player Data'!$A1:$AE673,7,FALSE)*$Q158*IFERROR((VLOOKUP(P158,Settings!$E$28:$F$33,2,FALSE)+1),1)</f>
        <v>5.74</v>
      </c>
      <c r="T158" s="57" cm="1">
        <f t="array" ref="T158">VLOOKUP(B158,'Player Data'!$A1:$AE673,8,FALSE)*$Q158*IFERROR((VLOOKUP(P158,Settings!$E$28:$F$33,2,FALSE)+1),1)</f>
        <v>23.779999999999998</v>
      </c>
      <c r="U158" s="57" cm="1">
        <f t="array" ref="U158">SUM(S158:T158)</f>
        <v>29.519999999999996</v>
      </c>
      <c r="V158" s="57" cm="1">
        <f t="array" ref="V158">VLOOKUP(B158,'Player Data'!$A1:$AE673,10,FALSE)*$Q158*IFERROR(((VLOOKUP(P158,Settings!$E$28:$F$33,2,FALSE)/2)+1),1)</f>
        <v>108.24000000000001</v>
      </c>
      <c r="W158" s="57" cm="1">
        <f t="array" ref="W158">VLOOKUP(B158,'Player Data'!$A1:$AE673,11,FALSE)*$Q158*IFERROR((VLOOKUP(P158,Settings!$E$28:$F$33,2,FALSE)+1),1)</f>
        <v>0.82000000000000006</v>
      </c>
      <c r="X158" s="57" cm="1">
        <f t="array" ref="X158">VLOOKUP(B158,'Player Data'!$A1:$AE673,12,FALSE)*$Q158*IFERROR((VLOOKUP(P158,Settings!$E$28:$F$33,2,FALSE)+1),1)</f>
        <v>4.92</v>
      </c>
      <c r="Y158" s="57" cm="1">
        <f t="array" ref="Y158">VLOOKUP(B158,'Player Data'!$A1:$AE673,13,FALSE)*$Q158</f>
        <v>0</v>
      </c>
      <c r="Z158" s="57" cm="1">
        <f t="array" ref="Z158">VLOOKUP(B158,'Player Data'!$A1:$AE673,14,FALSE)*$Q158</f>
        <v>0</v>
      </c>
      <c r="AA158" s="57" cm="1">
        <f t="array" ref="AA158">VLOOKUP(B158,'Player Data'!$A1:$AE673,15,FALSE)*$Q158</f>
        <v>84.460000000000008</v>
      </c>
      <c r="AB158" s="57" cm="1">
        <f t="array" ref="AB158">VLOOKUP(B158,'Player Data'!$A1:$AE673,16,FALSE)*$Q158</f>
        <v>91.02000000000001</v>
      </c>
      <c r="AC158" s="57" cm="1">
        <f t="array" ref="AC158">VLOOKUP(B158,'Player Data'!$A1:$AE673,17,FALSE)*$Q158*IFERROR((VLOOKUP(P158,Settings!$E$28:$F$33,2,FALSE)+1),1)</f>
        <v>0.82000000000000006</v>
      </c>
      <c r="AD158" s="57" cm="1">
        <f t="array" ref="AD158">VLOOKUP(B158,'Player Data'!$A1:$AE673,18,FALSE)*$Q158</f>
        <v>51.660000000000004</v>
      </c>
      <c r="AE158" s="57" cm="1">
        <f t="array" ref="AE158">VLOOKUP(B158,'Player Data'!$A1:$AE673,19,FALSE)*$Q158*IFERROR((VLOOKUP(P158,Settings!$E$28:$F$33,2,FALSE)+1),1)</f>
        <v>0.82000000000000006</v>
      </c>
      <c r="AF158" s="57" cm="1">
        <f t="array" ref="AF158">VLOOKUP(B158,'Player Data'!$A1:$AE673,20,FALSE)*$Q158</f>
        <v>0</v>
      </c>
      <c r="AG158" s="57" cm="1">
        <f t="array" ref="AG158">VLOOKUP(B158,'Player Data'!$A1:$AE673,21,FALSE)*$Q158</f>
        <v>0</v>
      </c>
      <c r="AH158" s="59" cm="1">
        <f t="array" ref="AH158">VLOOKUP(B158,'Player Data'!$A1:$AE673,22,FALSE)</f>
        <v>0</v>
      </c>
      <c r="AI158" s="55"/>
      <c r="AJ158" s="57"/>
      <c r="AK158" s="57"/>
      <c r="AL158" s="57"/>
      <c r="AM158" s="57"/>
      <c r="AN158" s="57"/>
      <c r="AO158" s="57"/>
      <c r="AP158" s="57"/>
      <c r="AQ158" s="60"/>
      <c r="AR158" s="61"/>
      <c r="AS158" s="55"/>
    </row>
    <row r="159" spans="1:45" ht="21.25" customHeight="1" x14ac:dyDescent="0.15">
      <c r="A159" s="62">
        <f>RANK(K159,K$2:K$671)</f>
        <v>132</v>
      </c>
      <c r="B159" s="10" t="s">
        <v>280</v>
      </c>
      <c r="C159" s="47" t="s">
        <v>145</v>
      </c>
      <c r="D159" s="48" t="str" cm="1">
        <f t="array" ref="D159">VLOOKUP(B159,'Player Data'!A1:D673,4,FALSE)</f>
        <v>C,LW</v>
      </c>
      <c r="E159" s="74" cm="1">
        <f t="array" ref="E159">VLOOKUP(B159,LW!A1:C210,3,FALSE)</f>
        <v>29</v>
      </c>
      <c r="F159" s="63" t="str" cm="1">
        <f t="array" ref="F159">VLOOKUP(B159,'Player Data'!A1:B673,2,FALSE)</f>
        <v>VGK</v>
      </c>
      <c r="G159" s="66" cm="1">
        <f t="array" ref="G159">VLOOKUP(B159,'Player Data'!A1:D673,3,FALSE)</f>
        <v>32</v>
      </c>
      <c r="H159" s="51" cm="1">
        <f t="array" ref="H159">IFERROR(VLOOKUP(B159,ADP!A1:F671,6,FALSE)/1000000,VLOOKUP(B159,ADP!A1:F671,6,FALSE))</f>
        <v>6.75</v>
      </c>
      <c r="I159" s="52">
        <f>IF(Settings!$E$15="POINTS",((R159*Q159)*Settings!$B$12)+(S159*Settings!$B$2)+(T159*Settings!$B$3)+(U159*Settings!$B$4)+(V159*Settings!$B$5)+(X159*Settings!$B$9)+(AA159*Settings!$B$6)+(W159*Settings!$B$8)+(AB159*Settings!$B$7)+(AC159*Settings!$B$14)+(AD159*Settings!$B$15)+(AE159*Settings!$B$16)+(AF159*Settings!$B$17)+(AG159*Settings!$B$18)+(Y159*Settings!$B$10)+(Z159*Settings!$B$11),VLOOKUP(B159,'Standard Deviations'!A$1:C$672,3,FALSE))</f>
        <v>5.9468735902394814</v>
      </c>
      <c r="J159" s="53" cm="1">
        <f t="array" ref="J159">IF(D159="G",I159/AJ159,I159/Q159)</f>
        <v>7.4335919877993512E-2</v>
      </c>
      <c r="K159" s="52" cm="1">
        <f t="array" ref="K159">IF(Settings!$E$18="C/LW/RW",VLOOKUP(B159,LW!A1:F210,6,FALSE),VLOOKUP(B159,F!A1:F407,6,FALSE))</f>
        <v>-0.94751205415032835</v>
      </c>
      <c r="L159" s="54" cm="1">
        <f t="array" ref="L159">IFERROR(K159/H159,"N/A")</f>
        <v>-0.14037215617041901</v>
      </c>
      <c r="M159" s="55">
        <v>145.30000000000001</v>
      </c>
      <c r="N159" s="55" cm="1">
        <f t="array" ref="N159">IFERROR(M159-A159,"N/A")</f>
        <v>13.300000000000011</v>
      </c>
      <c r="O159" s="55"/>
      <c r="P159" s="56" cm="1">
        <f t="array" ref="P159">_xlfn.XLOOKUP($B159,ADP!A2:A671,ADP!G2:G671)</f>
        <v>0</v>
      </c>
      <c r="Q159" s="57" cm="1">
        <f t="array" ref="Q159">IF(Settings!$E$12="YES",VLOOKUP(B159,'Player Data'!A1:E673,5,FALSE),84)</f>
        <v>80</v>
      </c>
      <c r="R159" s="55" cm="1">
        <f t="array" ref="R159">VLOOKUP(B159,'Player Data'!$A1:$AE673,6,FALSE)</f>
        <v>17.2</v>
      </c>
      <c r="S159" s="57" cm="1">
        <f t="array" ref="S159">VLOOKUP(B159,'Player Data'!$A1:$AE673,7,FALSE)*$Q159*IFERROR((VLOOKUP(P159,Settings!$E$28:$F$33,2,FALSE)+1),1)</f>
        <v>27.200000000000003</v>
      </c>
      <c r="T159" s="57" cm="1">
        <f t="array" ref="T159">VLOOKUP(B159,'Player Data'!$A1:$AE673,8,FALSE)*$Q159*IFERROR((VLOOKUP(P159,Settings!$E$28:$F$33,2,FALSE)+1),1)</f>
        <v>32.799999999999997</v>
      </c>
      <c r="U159" s="57" cm="1">
        <f t="array" ref="U159">SUM(S159:T159)</f>
        <v>60</v>
      </c>
      <c r="V159" s="57" cm="1">
        <f t="array" ref="V159">VLOOKUP(B159,'Player Data'!$A1:$AE673,10,FALSE)*$Q159*IFERROR(((VLOOKUP(P159,Settings!$E$28:$F$33,2,FALSE)/2)+1),1)</f>
        <v>194.4</v>
      </c>
      <c r="W159" s="58" cm="1">
        <f t="array" ref="W159">VLOOKUP(B159,'Player Data'!$A1:$AE673,11,FALSE)*$Q159*IFERROR((VLOOKUP(P159,Settings!$E$28:$F$33,2,FALSE)+1),1)</f>
        <v>13.600000000000001</v>
      </c>
      <c r="X159" s="57" cm="1">
        <f t="array" ref="X159">VLOOKUP(B159,'Player Data'!$A1:$AE673,12,FALSE)*$Q159*IFERROR((VLOOKUP(P159,Settings!$E$28:$F$33,2,FALSE)+1),1)</f>
        <v>26.400000000000002</v>
      </c>
      <c r="Y159" s="57" cm="1">
        <f t="array" ref="Y159">VLOOKUP(B159,'Player Data'!$A1:$AE673,13,FALSE)*$Q159</f>
        <v>0</v>
      </c>
      <c r="Z159" s="57" cm="1">
        <f t="array" ref="Z159">VLOOKUP(B159,'Player Data'!$A1:$AE673,14,FALSE)*$Q159</f>
        <v>0</v>
      </c>
      <c r="AA159" s="57" cm="1">
        <f t="array" ref="AA159">VLOOKUP(B159,'Player Data'!$A1:$AE673,15,FALSE)*$Q159</f>
        <v>47.199999999999996</v>
      </c>
      <c r="AB159" s="57" cm="1">
        <f t="array" ref="AB159">VLOOKUP(B159,'Player Data'!$A1:$AE673,16,FALSE)*$Q159</f>
        <v>103.2</v>
      </c>
      <c r="AC159" s="57" cm="1">
        <f t="array" ref="AC159">VLOOKUP(B159,'Player Data'!$A1:$AE673,17,FALSE)*$Q159*IFERROR((VLOOKUP(P159,Settings!$E$28:$F$33,2,FALSE)+1),1)</f>
        <v>3.2</v>
      </c>
      <c r="AD159" s="57" cm="1">
        <f t="array" ref="AD159">VLOOKUP(B159,'Player Data'!$A1:$AE673,18,FALSE)*$Q159</f>
        <v>25.6</v>
      </c>
      <c r="AE159" s="57" cm="1">
        <f t="array" ref="AE159">VLOOKUP(B159,'Player Data'!$A1:$AE673,19,FALSE)*$Q159*IFERROR((VLOOKUP(P159,Settings!$E$28:$F$33,2,FALSE)+1),1)</f>
        <v>5.6000000000000005</v>
      </c>
      <c r="AF159" s="57" cm="1">
        <f t="array" ref="AF159">VLOOKUP(B159,'Player Data'!$A1:$AE673,20,FALSE)*$Q159</f>
        <v>689.59999999999991</v>
      </c>
      <c r="AG159" s="57" cm="1">
        <f t="array" ref="AG159">VLOOKUP(B159,'Player Data'!$A1:$AE673,21,FALSE)*$Q159</f>
        <v>515.20000000000005</v>
      </c>
      <c r="AH159" s="59" cm="1">
        <f t="array" ref="AH159">VLOOKUP(B159,'Player Data'!$A1:$AE673,22,FALSE)</f>
        <v>0.56999999999999995</v>
      </c>
      <c r="AI159" s="55"/>
      <c r="AJ159" s="57"/>
      <c r="AK159" s="57"/>
      <c r="AL159" s="57"/>
      <c r="AM159" s="57"/>
      <c r="AN159" s="57"/>
      <c r="AO159" s="57"/>
      <c r="AP159" s="57"/>
      <c r="AQ159" s="60"/>
      <c r="AR159" s="61"/>
      <c r="AS159" s="55"/>
    </row>
    <row r="160" spans="1:45" ht="21.25" customHeight="1" x14ac:dyDescent="0.15">
      <c r="A160" s="62">
        <f>RANK(K160,K$2:K$671)</f>
        <v>169</v>
      </c>
      <c r="B160" s="10" t="s">
        <v>322</v>
      </c>
      <c r="C160" s="47" t="s">
        <v>145</v>
      </c>
      <c r="D160" s="48" t="str" cm="1">
        <f t="array" ref="D160">VLOOKUP(B160,'Player Data'!A1:D673,4,FALSE)</f>
        <v>D</v>
      </c>
      <c r="E160" s="68" cm="1">
        <f t="array" ref="E160">VLOOKUP(B160,D!A1:C204,3,FALSE)</f>
        <v>68</v>
      </c>
      <c r="F160" s="69" t="str" cm="1">
        <f t="array" ref="F160">VLOOKUP(B160,'Player Data'!A1:B673,2,FALSE)</f>
        <v>CBJ</v>
      </c>
      <c r="G160" s="71" cm="1">
        <f t="array" ref="G160">VLOOKUP(B160,'Player Data'!A1:D673,3,FALSE)</f>
        <v>22</v>
      </c>
      <c r="H160" s="51" cm="1">
        <f t="array" ref="H160">IFERROR(VLOOKUP(B160,ADP!A1:F671,6,FALSE)/1000000,VLOOKUP(B160,ADP!A1:F671,6,FALSE))</f>
        <v>0.88666699999999998</v>
      </c>
      <c r="I160" s="52">
        <f>IF(Settings!$E$15="POINTS",((R160*Q160)*Settings!$B$12)+(S160*Settings!$B$2)+(T160*Settings!$B$3)+(U160*Settings!$B$4)+(V160*Settings!$B$5)+(X160*Settings!$B$9)+(AA160*Settings!$B$6)+(W160*Settings!$B$8)+(AB160*Settings!$B$7)+(AC160*Settings!$B$14)+(AD160*Settings!$B$15)+(AE160*Settings!$B$16)+(AF160*Settings!$B$17)+(AG160*Settings!$B$18)+(U160*Settings!$B$13)+(Y160*Settings!$B$10)+(Z160*Settings!$B$11),VLOOKUP(B160,'Standard Deviations'!A$1:C$672,3,FALSE))</f>
        <v>-1.2838139875313739</v>
      </c>
      <c r="J160" s="53" cm="1">
        <f t="array" ref="J160">IF(D160="G",I160/AJ160,I160/Q160)</f>
        <v>-1.6892289309623342E-2</v>
      </c>
      <c r="K160" s="52" cm="1">
        <f t="array" ref="K160">VLOOKUP(B160,D!A1:F204,6,FALSE)</f>
        <v>-1.8506649020489283</v>
      </c>
      <c r="L160" s="54" cm="1">
        <f t="array" ref="L160">IFERROR(K160/H160,"N/A")</f>
        <v>-2.0872152702750055</v>
      </c>
      <c r="M160" s="84" t="s">
        <v>828</v>
      </c>
      <c r="N160" s="84" t="str" cm="1">
        <f t="array" ref="N160">IFERROR(M160-A160,"N/A")</f>
        <v>N/A</v>
      </c>
      <c r="O160" s="55"/>
      <c r="P160" s="56" t="str" cm="1">
        <f t="array" ref="P160">_xlfn.XLOOKUP($B160,ADP!A2:A671,ADP!G2:G671)</f>
        <v>+</v>
      </c>
      <c r="Q160" s="57" cm="1">
        <f t="array" ref="Q160">IF(Settings!$E$12="YES",VLOOKUP(B160,'Player Data'!A1:E673,5,FALSE),84)</f>
        <v>76</v>
      </c>
      <c r="R160" s="81" cm="1">
        <f t="array" ref="R160">VLOOKUP(B160,'Player Data'!$A1:$AE673,6,FALSE)</f>
        <v>20.7</v>
      </c>
      <c r="S160" s="57" cm="1">
        <f t="array" ref="S160">VLOOKUP(B160,'Player Data'!$A1:$AE673,7,FALSE)*$Q160*IFERROR((VLOOKUP(P160,Settings!$E$28:$F$33,2,FALSE)+1),1)</f>
        <v>12.768000000000001</v>
      </c>
      <c r="T160" s="57" cm="1">
        <f t="array" ref="T160">VLOOKUP(B160,'Player Data'!$A1:$AE673,8,FALSE)*$Q160*IFERROR((VLOOKUP(P160,Settings!$E$28:$F$33,2,FALSE)+1),1)</f>
        <v>23.141999999999999</v>
      </c>
      <c r="U160" s="57" cm="1">
        <f t="array" ref="U160">SUM(S160:T160)</f>
        <v>35.909999999999997</v>
      </c>
      <c r="V160" s="57" cm="1">
        <f t="array" ref="V160">VLOOKUP(B160,'Player Data'!$A1:$AE673,10,FALSE)*$Q160*IFERROR(((VLOOKUP(P160,Settings!$E$28:$F$33,2,FALSE)/2)+1),1)</f>
        <v>103.607</v>
      </c>
      <c r="W160" s="57" cm="1">
        <f t="array" ref="W160">VLOOKUP(B160,'Player Data'!$A1:$AE673,11,FALSE)*$Q160*IFERROR((VLOOKUP(P160,Settings!$E$28:$F$33,2,FALSE)+1),1)</f>
        <v>1.5960000000000001</v>
      </c>
      <c r="X160" s="57" cm="1">
        <f t="array" ref="X160">VLOOKUP(B160,'Player Data'!$A1:$AE673,12,FALSE)*$Q160*IFERROR((VLOOKUP(P160,Settings!$E$28:$F$33,2,FALSE)+1),1)</f>
        <v>4.7879999999999994</v>
      </c>
      <c r="Y160" s="57" cm="1">
        <f t="array" ref="Y160">VLOOKUP(B160,'Player Data'!$A1:$AE673,13,FALSE)*$Q160</f>
        <v>0</v>
      </c>
      <c r="Z160" s="57" cm="1">
        <f t="array" ref="Z160">VLOOKUP(B160,'Player Data'!$A1:$AE673,14,FALSE)*$Q160</f>
        <v>0</v>
      </c>
      <c r="AA160" s="57" cm="1">
        <f t="array" ref="AA160">VLOOKUP(B160,'Player Data'!$A1:$AE673,15,FALSE)*$Q160</f>
        <v>108.67999999999999</v>
      </c>
      <c r="AB160" s="57" cm="1">
        <f t="array" ref="AB160">VLOOKUP(B160,'Player Data'!$A1:$AE673,16,FALSE)*$Q160</f>
        <v>44.839999999999996</v>
      </c>
      <c r="AC160" s="57" cm="1">
        <f t="array" ref="AC160">VLOOKUP(B160,'Player Data'!$A1:$AE673,17,FALSE)*$Q160*IFERROR((VLOOKUP(P160,Settings!$E$28:$F$33,2,FALSE)+1),1)</f>
        <v>2.3939999999999997</v>
      </c>
      <c r="AD160" s="57" cm="1">
        <f t="array" ref="AD160">VLOOKUP(B160,'Player Data'!$A1:$AE673,18,FALSE)*$Q160</f>
        <v>22.8</v>
      </c>
      <c r="AE160" s="57" cm="1">
        <f t="array" ref="AE160">VLOOKUP(B160,'Player Data'!$A1:$AE673,19,FALSE)*$Q160*IFERROR((VLOOKUP(P160,Settings!$E$28:$F$33,2,FALSE)+1),1)</f>
        <v>2.3939999999999997</v>
      </c>
      <c r="AF160" s="57" cm="1">
        <f t="array" ref="AF160">VLOOKUP(B160,'Player Data'!$A1:$AE673,20,FALSE)*$Q160</f>
        <v>0</v>
      </c>
      <c r="AG160" s="57" cm="1">
        <f t="array" ref="AG160">VLOOKUP(B160,'Player Data'!$A1:$AE673,21,FALSE)*$Q160</f>
        <v>0</v>
      </c>
      <c r="AH160" s="59" cm="1">
        <f t="array" ref="AH160">VLOOKUP(B160,'Player Data'!$A1:$AE673,22,FALSE)</f>
        <v>0</v>
      </c>
      <c r="AI160" s="55"/>
      <c r="AJ160" s="57"/>
      <c r="AK160" s="57"/>
      <c r="AL160" s="57"/>
      <c r="AM160" s="57"/>
      <c r="AN160" s="57"/>
      <c r="AO160" s="57"/>
      <c r="AP160" s="57"/>
      <c r="AQ160" s="60"/>
      <c r="AR160" s="61"/>
      <c r="AS160" s="55"/>
    </row>
    <row r="161" spans="1:45" ht="21.25" customHeight="1" x14ac:dyDescent="0.15">
      <c r="A161" s="62">
        <f>RANK(K161,K$2:K$671)</f>
        <v>170</v>
      </c>
      <c r="B161" s="10" t="s">
        <v>267</v>
      </c>
      <c r="C161" s="47" t="s">
        <v>145</v>
      </c>
      <c r="D161" s="48" t="str" cm="1">
        <f t="array" ref="D161">VLOOKUP(B161,'Player Data'!A1:D673,4,FALSE)</f>
        <v>D</v>
      </c>
      <c r="E161" s="68" cm="1">
        <f t="array" ref="E161">VLOOKUP(B161,D!A1:C204,3,FALSE)</f>
        <v>69</v>
      </c>
      <c r="F161" s="72" t="str" cm="1">
        <f t="array" ref="F161">VLOOKUP(B161,'Player Data'!A1:B673,2,FALSE)</f>
        <v>DET</v>
      </c>
      <c r="G161" s="66" cm="1">
        <f t="array" ref="G161">VLOOKUP(B161,'Player Data'!A1:D673,3,FALSE)</f>
        <v>34</v>
      </c>
      <c r="H161" s="67" cm="1">
        <f t="array" ref="H161">IFERROR(VLOOKUP(B161,ADP!A1:F671,6,FALSE)/1000000,VLOOKUP(B161,ADP!A1:F671,6,FALSE))</f>
        <v>6.5</v>
      </c>
      <c r="I161" s="52">
        <f>IF(Settings!$E$15="POINTS",((R161*Q161)*Settings!$B$12)+(S161*Settings!$B$2)+(T161*Settings!$B$3)+(U161*Settings!$B$4)+(V161*Settings!$B$5)+(X161*Settings!$B$9)+(AA161*Settings!$B$6)+(W161*Settings!$B$8)+(AB161*Settings!$B$7)+(AC161*Settings!$B$14)+(AD161*Settings!$B$15)+(AE161*Settings!$B$16)+(AF161*Settings!$B$17)+(AG161*Settings!$B$18)+(U161*Settings!$B$13)+(Y161*Settings!$B$10)+(Z161*Settings!$B$11),VLOOKUP(B161,'Standard Deviations'!A$1:C$672,3,FALSE))</f>
        <v>-1.2864003184628605</v>
      </c>
      <c r="J161" s="53" cm="1">
        <f t="array" ref="J161">IF(D161="G",I161/AJ161,I161/Q161)</f>
        <v>-1.5881485413121735E-2</v>
      </c>
      <c r="K161" s="52" cm="1">
        <f t="array" ref="K161">VLOOKUP(B161,D!A1:F204,6,FALSE)</f>
        <v>-1.8532512329804149</v>
      </c>
      <c r="L161" s="54" cm="1">
        <f t="array" ref="L161">IFERROR(K161/H161,"N/A")</f>
        <v>-0.28511557430467921</v>
      </c>
      <c r="M161" s="55">
        <v>140.4</v>
      </c>
      <c r="N161" s="55" cm="1">
        <f t="array" ref="N161">IFERROR(M161-A161,"N/A")</f>
        <v>-29.599999999999994</v>
      </c>
      <c r="O161" s="55"/>
      <c r="P161" s="56" cm="1">
        <f t="array" ref="P161">_xlfn.XLOOKUP($B161,ADP!A2:A671,ADP!G2:G671)</f>
        <v>0</v>
      </c>
      <c r="Q161" s="57" cm="1">
        <f t="array" ref="Q161">IF(Settings!$E$12="YES",VLOOKUP(B161,'Player Data'!A1:E673,5,FALSE),84)</f>
        <v>81</v>
      </c>
      <c r="R161" s="55" cm="1">
        <f t="array" ref="R161">VLOOKUP(B161,'Player Data'!$A1:$AE673,6,FALSE)</f>
        <v>21.8</v>
      </c>
      <c r="S161" s="57" cm="1">
        <f t="array" ref="S161">VLOOKUP(B161,'Player Data'!$A1:$AE673,7,FALSE)*$Q161*IFERROR((VLOOKUP(P161,Settings!$E$28:$F$33,2,FALSE)+1),1)</f>
        <v>8.1</v>
      </c>
      <c r="T161" s="57" cm="1">
        <f t="array" ref="T161">VLOOKUP(B161,'Player Data'!$A1:$AE673,8,FALSE)*$Q161*IFERROR((VLOOKUP(P161,Settings!$E$28:$F$33,2,FALSE)+1),1)</f>
        <v>26.73</v>
      </c>
      <c r="U161" s="57" cm="1">
        <f t="array" ref="U161">SUM(S161:T161)</f>
        <v>34.83</v>
      </c>
      <c r="V161" s="57" cm="1">
        <f t="array" ref="V161">VLOOKUP(B161,'Player Data'!$A1:$AE673,10,FALSE)*$Q161*IFERROR(((VLOOKUP(P161,Settings!$E$28:$F$33,2,FALSE)/2)+1),1)</f>
        <v>137.69999999999999</v>
      </c>
      <c r="W161" s="57" cm="1">
        <f t="array" ref="W161">VLOOKUP(B161,'Player Data'!$A1:$AE673,11,FALSE)*$Q161*IFERROR((VLOOKUP(P161,Settings!$E$28:$F$33,2,FALSE)+1),1)</f>
        <v>0.81</v>
      </c>
      <c r="X161" s="57" cm="1">
        <f t="array" ref="X161">VLOOKUP(B161,'Player Data'!$A1:$AE673,12,FALSE)*$Q161*IFERROR((VLOOKUP(P161,Settings!$E$28:$F$33,2,FALSE)+1),1)</f>
        <v>6.48</v>
      </c>
      <c r="Y161" s="57" cm="1">
        <f t="array" ref="Y161">VLOOKUP(B161,'Player Data'!$A1:$AE673,13,FALSE)*$Q161</f>
        <v>0</v>
      </c>
      <c r="Z161" s="57" cm="1">
        <f t="array" ref="Z161">VLOOKUP(B161,'Player Data'!$A1:$AE673,14,FALSE)*$Q161</f>
        <v>0.81</v>
      </c>
      <c r="AA161" s="57" cm="1">
        <f t="array" ref="AA161">VLOOKUP(B161,'Player Data'!$A1:$AE673,15,FALSE)*$Q161</f>
        <v>131.22</v>
      </c>
      <c r="AB161" s="57" cm="1">
        <f t="array" ref="AB161">VLOOKUP(B161,'Player Data'!$A1:$AE673,16,FALSE)*$Q161</f>
        <v>77.759999999999991</v>
      </c>
      <c r="AC161" s="57" cm="1">
        <f t="array" ref="AC161">VLOOKUP(B161,'Player Data'!$A1:$AE673,17,FALSE)*$Q161*IFERROR((VLOOKUP(P161,Settings!$E$28:$F$33,2,FALSE)+1),1)</f>
        <v>-3.24</v>
      </c>
      <c r="AD161" s="57" cm="1">
        <f t="array" ref="AD161">VLOOKUP(B161,'Player Data'!$A1:$AE673,18,FALSE)*$Q161</f>
        <v>38.879999999999995</v>
      </c>
      <c r="AE161" s="57" cm="1">
        <f t="array" ref="AE161">VLOOKUP(B161,'Player Data'!$A1:$AE673,19,FALSE)*$Q161*IFERROR((VLOOKUP(P161,Settings!$E$28:$F$33,2,FALSE)+1),1)</f>
        <v>1.62</v>
      </c>
      <c r="AF161" s="57" cm="1">
        <f t="array" ref="AF161">VLOOKUP(B161,'Player Data'!$A1:$AE673,20,FALSE)*$Q161</f>
        <v>0</v>
      </c>
      <c r="AG161" s="57" cm="1">
        <f t="array" ref="AG161">VLOOKUP(B161,'Player Data'!$A1:$AE673,21,FALSE)*$Q161</f>
        <v>0</v>
      </c>
      <c r="AH161" s="59" cm="1">
        <f t="array" ref="AH161">VLOOKUP(B161,'Player Data'!$A1:$AE673,22,FALSE)</f>
        <v>0</v>
      </c>
      <c r="AI161" s="55"/>
      <c r="AJ161" s="57"/>
      <c r="AK161" s="57"/>
      <c r="AL161" s="57"/>
      <c r="AM161" s="57"/>
      <c r="AN161" s="57"/>
      <c r="AO161" s="57"/>
      <c r="AP161" s="57"/>
      <c r="AQ161" s="60"/>
      <c r="AR161" s="61"/>
      <c r="AS161" s="55"/>
    </row>
    <row r="162" spans="1:45" ht="21.25" customHeight="1" x14ac:dyDescent="0.15">
      <c r="A162" s="62">
        <f>RANK(K162,K$2:K$671)</f>
        <v>160</v>
      </c>
      <c r="B162" s="10" t="s">
        <v>202</v>
      </c>
      <c r="C162" s="47" t="s">
        <v>145</v>
      </c>
      <c r="D162" s="48" t="str" cm="1">
        <f t="array" ref="D162">VLOOKUP(B162,'Player Data'!A1:D673,4,FALSE)</f>
        <v>G</v>
      </c>
      <c r="E162" s="76" cm="1">
        <f t="array" ref="E162">VLOOKUP(B162,G!A1:D66,3,FALSE)</f>
        <v>31</v>
      </c>
      <c r="F162" s="18" t="str" cm="1">
        <f t="array" ref="F162">VLOOKUP(B162,'Player Data'!A1:B673,2,FALSE)</f>
        <v>CGY</v>
      </c>
      <c r="G162" s="11" cm="1">
        <f t="array" ref="G162">VLOOKUP(B162,'Player Data'!A1:D673,3,FALSE)</f>
        <v>25</v>
      </c>
      <c r="H162" s="51" cm="1">
        <f t="array" ref="H162">IFERROR(VLOOKUP(B162,ADP!A1:F671,6,FALSE)/1000000,VLOOKUP(B162,ADP!A1:F671,6,FALSE))</f>
        <v>7.5</v>
      </c>
      <c r="I162" s="52">
        <f>IF(Settings!$E$15="POINTS",(AJ162*Settings!$B$29)+(AK162*Settings!$B$21)+(AL162*Settings!$B$22)+(AN162*Settings!$B$24)+(AO162*Settings!$B$25)+(AP162*Settings!$B$27)+(AM162*Settings!$B$23),VLOOKUP(B162,'Standard Deviations'!A$1:C$672,3,FALSE))</f>
        <v>0.37234967081110837</v>
      </c>
      <c r="J162" s="53" cm="1">
        <f t="array" ref="J162">IF(D162="G",I162/AJ162,I162/Q162)</f>
        <v>6.7699940147474252E-3</v>
      </c>
      <c r="K162" s="52" cm="1">
        <f t="array" ref="K162">VLOOKUP(B162,G!A1:F66,6,FALSE)</f>
        <v>-1.6658355883125666</v>
      </c>
      <c r="L162" s="54" cm="1">
        <f t="array" ref="L162">IFERROR(K162/H162,"N/A")</f>
        <v>-0.22211141177500887</v>
      </c>
      <c r="M162" s="55">
        <v>139.9</v>
      </c>
      <c r="N162" s="55" cm="1">
        <f t="array" ref="N162">IFERROR(M162-A162,"N/A")</f>
        <v>-20.099999999999994</v>
      </c>
      <c r="O162" s="55"/>
      <c r="P162" s="56" cm="1">
        <f t="array" ref="P162">_xlfn.XLOOKUP($B162,ADP!A2:A671,ADP!G2:G671)</f>
        <v>0</v>
      </c>
      <c r="Q162" s="57"/>
      <c r="R162" s="55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9"/>
      <c r="AI162" s="55"/>
      <c r="AJ162" s="77" cm="1">
        <f t="array" ref="AJ162">VLOOKUP(B162,'Player Data'!$A1:$AE673,24,FALSE)</f>
        <v>55</v>
      </c>
      <c r="AK162" s="57" cm="1">
        <f t="array" ref="AK162">VLOOKUP(B162,'Player Data'!$A1:$AE673,25,FALSE)*$AJ162*IFERROR((VLOOKUP(P162,Settings!$E$28:$F$33,2,FALSE)+1),1)</f>
        <v>19.8</v>
      </c>
      <c r="AL162" s="57" cm="1">
        <f t="array" ref="AL162">AJ162-AK162-AM162</f>
        <v>26.400000000000002</v>
      </c>
      <c r="AM162" s="57" cm="1">
        <f t="array" ref="AM162">VLOOKUP(B162,'Player Data'!$A1:$AE673,27,FALSE)*$AJ162</f>
        <v>8.8000000000000007</v>
      </c>
      <c r="AN162" s="57" cm="1">
        <f t="array" ref="AN162">VLOOKUP(B162,'Player Data'!$A1:$AE673,28,FALSE)*AJ162</f>
        <v>2.2000000000000002</v>
      </c>
      <c r="AO162" s="57" cm="1">
        <f t="array" ref="AO162">VLOOKUP(B162,'Player Data'!$A1:$AE673,29,FALSE)*$AJ162*IFERROR((VLOOKUP(P162,Settings!$E$28:$F$33,2,FALSE)/4)+1,1)</f>
        <v>1567.5</v>
      </c>
      <c r="AP162" s="57" cm="1">
        <f t="array" ref="AP162">VLOOKUP(B162,'Player Data'!$A1:$AE673,31,FALSE)*$AJ162*(IFERROR(1-(VLOOKUP(P162,Settings!$E$28:$F$33,2,FALSE)/4),1))</f>
        <v>164.45000000000002</v>
      </c>
      <c r="AQ162" s="60" cm="1">
        <f t="array" ref="AQ162">1-(AP162/(AO162+AP162))</f>
        <v>0.90504922197523019</v>
      </c>
      <c r="AR162" s="61" cm="1">
        <f t="array" ref="AR162">AP162/AJ162</f>
        <v>2.99</v>
      </c>
      <c r="AS162" s="55"/>
    </row>
    <row r="163" spans="1:45" ht="21.25" customHeight="1" x14ac:dyDescent="0.15">
      <c r="A163" s="62">
        <f>RANK(K163,K$2:K$671)</f>
        <v>134</v>
      </c>
      <c r="B163" s="10" t="s">
        <v>255</v>
      </c>
      <c r="C163" s="47" t="s">
        <v>145</v>
      </c>
      <c r="D163" s="48" t="str" cm="1">
        <f t="array" ref="D163">VLOOKUP(B163,'Player Data'!A1:D673,4,FALSE)</f>
        <v>C,LW,RW</v>
      </c>
      <c r="E163" s="74" cm="1">
        <f t="array" ref="E163">VLOOKUP(B163,RW!A1:F210,3,FALSE)</f>
        <v>32</v>
      </c>
      <c r="F163" s="56" t="str" cm="1">
        <f t="array" ref="F163">VLOOKUP(B163,'Player Data'!A1:B673,2,FALSE)</f>
        <v>NYR</v>
      </c>
      <c r="G163" s="66" cm="1">
        <f t="array" ref="G163">VLOOKUP(B163,'Player Data'!A1:D673,3,FALSE)</f>
        <v>33</v>
      </c>
      <c r="H163" s="51" cm="1">
        <f t="array" ref="H163">IFERROR(VLOOKUP(B163,ADP!A1:F671,6,FALSE)/1000000,VLOOKUP(B163,ADP!A1:F671,6,FALSE))</f>
        <v>8</v>
      </c>
      <c r="I163" s="52">
        <f>IF(Settings!$E$15="POINTS",((R163*Q163)*Settings!$B$12)+(S163*Settings!$B$2)+(T163*Settings!$B$3)+(U163*Settings!$B$4)+(V163*Settings!$B$5)+(X163*Settings!$B$9)+(AA163*Settings!$B$6)+(W163*Settings!$B$8)+(AB163*Settings!$B$7)+(AC163*Settings!$B$14)+(AD163*Settings!$B$15)+(AE163*Settings!$B$16)+(AF163*Settings!$B$17)+(AG163*Settings!$B$18)+(Y163*Settings!$B$10)+(Z163*Settings!$B$11),VLOOKUP(B163,'Standard Deviations'!A$1:C$672,3,FALSE))</f>
        <v>5.9317549820803022</v>
      </c>
      <c r="J163" s="53" cm="1">
        <f t="array" ref="J163">IF(D163="G",I163/AJ163,I163/Q163)</f>
        <v>7.4146937276003771E-2</v>
      </c>
      <c r="K163" s="52" cm="1">
        <f t="array" ref="K163">IF(Settings!$E$18="C/LW/RW",VLOOKUP(B163,RW!A1:F210,6,FALSE),VLOOKUP(B163,F!A1:F407,6,FALSE))</f>
        <v>-0.95547961972877538</v>
      </c>
      <c r="L163" s="54" cm="1">
        <f t="array" ref="L163">IFERROR(K163/H163,"N/A")</f>
        <v>-0.11943495246609692</v>
      </c>
      <c r="M163" s="55">
        <v>112.2</v>
      </c>
      <c r="N163" s="55" cm="1">
        <f t="array" ref="N163">IFERROR(M163-A163,"N/A")</f>
        <v>-21.799999999999997</v>
      </c>
      <c r="O163" s="55"/>
      <c r="P163" s="56" cm="1">
        <f t="array" ref="P163">_xlfn.XLOOKUP($B163,ADP!A2:A671,ADP!G2:G671)</f>
        <v>0</v>
      </c>
      <c r="Q163" s="57" cm="1">
        <f t="array" ref="Q163">IF(Settings!$E$12="YES",VLOOKUP(B163,'Player Data'!A1:E673,5,FALSE),84)</f>
        <v>80</v>
      </c>
      <c r="R163" s="55" cm="1">
        <f t="array" ref="R163">VLOOKUP(B163,'Player Data'!$A1:$AE673,6,FALSE)</f>
        <v>19.899999999999999</v>
      </c>
      <c r="S163" s="57" cm="1">
        <f t="array" ref="S163">VLOOKUP(B163,'Player Data'!$A1:$AE673,7,FALSE)*$Q163*IFERROR((VLOOKUP(P163,Settings!$E$28:$F$33,2,FALSE)+1),1)</f>
        <v>22.400000000000002</v>
      </c>
      <c r="T163" s="57" cm="1">
        <f t="array" ref="T163">VLOOKUP(B163,'Player Data'!$A1:$AE673,8,FALSE)*$Q163*IFERROR((VLOOKUP(P163,Settings!$E$28:$F$33,2,FALSE)+1),1)</f>
        <v>46.4</v>
      </c>
      <c r="U163" s="57" cm="1">
        <f t="array" ref="U163">SUM(S163:T163)</f>
        <v>68.8</v>
      </c>
      <c r="V163" s="57" cm="1">
        <f t="array" ref="V163">VLOOKUP(B163,'Player Data'!$A1:$AE673,10,FALSE)*$Q163*IFERROR(((VLOOKUP(P163,Settings!$E$28:$F$33,2,FALSE)/2)+1),1)</f>
        <v>169.60000000000002</v>
      </c>
      <c r="W163" s="58" cm="1">
        <f t="array" ref="W163">VLOOKUP(B163,'Player Data'!$A1:$AE673,11,FALSE)*$Q163*IFERROR((VLOOKUP(P163,Settings!$E$28:$F$33,2,FALSE)+1),1)</f>
        <v>6.4</v>
      </c>
      <c r="X163" s="57" cm="1">
        <f t="array" ref="X163">VLOOKUP(B163,'Player Data'!$A1:$AE673,12,FALSE)*$Q163*IFERROR((VLOOKUP(P163,Settings!$E$28:$F$33,2,FALSE)+1),1)</f>
        <v>22.400000000000002</v>
      </c>
      <c r="Y163" s="57" cm="1">
        <f t="array" ref="Y163">VLOOKUP(B163,'Player Data'!$A1:$AE673,13,FALSE)*$Q163</f>
        <v>0.8</v>
      </c>
      <c r="Z163" s="57" cm="1">
        <f t="array" ref="Z163">VLOOKUP(B163,'Player Data'!$A1:$AE673,14,FALSE)*$Q163</f>
        <v>2.4</v>
      </c>
      <c r="AA163" s="57" cm="1">
        <f t="array" ref="AA163">VLOOKUP(B163,'Player Data'!$A1:$AE673,15,FALSE)*$Q163</f>
        <v>47.199999999999996</v>
      </c>
      <c r="AB163" s="57" cm="1">
        <f t="array" ref="AB163">VLOOKUP(B163,'Player Data'!$A1:$AE673,16,FALSE)*$Q163</f>
        <v>153.6</v>
      </c>
      <c r="AC163" s="57" cm="1">
        <f t="array" ref="AC163">VLOOKUP(B163,'Player Data'!$A1:$AE673,17,FALSE)*$Q163*IFERROR((VLOOKUP(P163,Settings!$E$28:$F$33,2,FALSE)+1),1)</f>
        <v>0</v>
      </c>
      <c r="AD163" s="57" cm="1">
        <f t="array" ref="AD163">VLOOKUP(B163,'Player Data'!$A1:$AE673,18,FALSE)*$Q163</f>
        <v>49.6</v>
      </c>
      <c r="AE163" s="57" cm="1">
        <f t="array" ref="AE163">VLOOKUP(B163,'Player Data'!$A1:$AE673,19,FALSE)*$Q163*IFERROR((VLOOKUP(P163,Settings!$E$28:$F$33,2,FALSE)+1),1)</f>
        <v>3.2</v>
      </c>
      <c r="AF163" s="57" cm="1">
        <f t="array" ref="AF163">VLOOKUP(B163,'Player Data'!$A1:$AE673,20,FALSE)*$Q163</f>
        <v>675.19999999999993</v>
      </c>
      <c r="AG163" s="57" cm="1">
        <f t="array" ref="AG163">VLOOKUP(B163,'Player Data'!$A1:$AE673,21,FALSE)*$Q163</f>
        <v>468.8</v>
      </c>
      <c r="AH163" s="59" cm="1">
        <f t="array" ref="AH163">VLOOKUP(B163,'Player Data'!$A1:$AE673,22,FALSE)</f>
        <v>0.59</v>
      </c>
      <c r="AI163" s="55"/>
      <c r="AJ163" s="57"/>
      <c r="AK163" s="57"/>
      <c r="AL163" s="57"/>
      <c r="AM163" s="57"/>
      <c r="AN163" s="57"/>
      <c r="AO163" s="57"/>
      <c r="AP163" s="57"/>
      <c r="AQ163" s="60"/>
      <c r="AR163" s="61"/>
      <c r="AS163" s="55"/>
    </row>
    <row r="164" spans="1:45" ht="21.25" customHeight="1" x14ac:dyDescent="0.15">
      <c r="A164" s="62">
        <f>RANK(K164,K$2:K$671)</f>
        <v>172</v>
      </c>
      <c r="B164" s="10" t="s">
        <v>413</v>
      </c>
      <c r="C164" s="47" t="s">
        <v>145</v>
      </c>
      <c r="D164" s="48" t="str" cm="1">
        <f t="array" ref="D164">VLOOKUP(B164,'Player Data'!A1:D673,4,FALSE)</f>
        <v>D</v>
      </c>
      <c r="E164" s="68" cm="1">
        <f t="array" ref="E164">VLOOKUP(B164,D!A1:C204,3,FALSE)</f>
        <v>70</v>
      </c>
      <c r="F164" s="72" t="str" cm="1">
        <f t="array" ref="F164">VLOOKUP(B164,'Player Data'!A1:B673,2,FALSE)</f>
        <v>BOS</v>
      </c>
      <c r="G164" s="66" cm="1">
        <f t="array" ref="G164">VLOOKUP(B164,'Player Data'!A1:D673,3,FALSE)</f>
        <v>31</v>
      </c>
      <c r="H164" s="51" cm="1">
        <f t="array" ref="H164">IFERROR(VLOOKUP(B164,ADP!A1:F671,6,FALSE)/1000000,VLOOKUP(B164,ADP!A1:F671,6,FALSE))</f>
        <v>5</v>
      </c>
      <c r="I164" s="52">
        <f>IF(Settings!$E$15="POINTS",((R164*Q164)*Settings!$B$12)+(S164*Settings!$B$2)+(T164*Settings!$B$3)+(U164*Settings!$B$4)+(V164*Settings!$B$5)+(X164*Settings!$B$9)+(AA164*Settings!$B$6)+(W164*Settings!$B$8)+(AB164*Settings!$B$7)+(AC164*Settings!$B$14)+(AD164*Settings!$B$15)+(AE164*Settings!$B$16)+(AF164*Settings!$B$17)+(AG164*Settings!$B$18)+(U164*Settings!$B$13)+(Y164*Settings!$B$10)+(Z164*Settings!$B$11),VLOOKUP(B164,'Standard Deviations'!A$1:C$672,3,FALSE))</f>
        <v>-1.3332934161137575</v>
      </c>
      <c r="J164" s="53" cm="1">
        <f t="array" ref="J164">IF(D164="G",I164/AJ164,I164/Q164)</f>
        <v>-1.6063776097756114E-2</v>
      </c>
      <c r="K164" s="52" cm="1">
        <f t="array" ref="K164">VLOOKUP(B164,D!A1:F204,6,FALSE)</f>
        <v>-1.9001443306313119</v>
      </c>
      <c r="L164" s="54" cm="1">
        <f t="array" ref="L164">IFERROR(K164/H164,"N/A")</f>
        <v>-0.38002886612626241</v>
      </c>
      <c r="M164" s="84" t="s">
        <v>828</v>
      </c>
      <c r="N164" s="84" t="str" cm="1">
        <f t="array" ref="N164">IFERROR(M164-A164,"N/A")</f>
        <v>N/A</v>
      </c>
      <c r="O164" s="55"/>
      <c r="P164" s="56" cm="1">
        <f t="array" ref="P164">_xlfn.XLOOKUP($B164,ADP!A2:A671,ADP!G2:G671)</f>
        <v>0</v>
      </c>
      <c r="Q164" s="57" cm="1">
        <f t="array" ref="Q164">IF(Settings!$E$12="YES",VLOOKUP(B164,'Player Data'!A1:E673,5,FALSE),84)</f>
        <v>83</v>
      </c>
      <c r="R164" s="55" cm="1">
        <f t="array" ref="R164">VLOOKUP(B164,'Player Data'!$A1:$AE673,6,FALSE)</f>
        <v>20.5</v>
      </c>
      <c r="S164" s="57" cm="1">
        <f t="array" ref="S164">VLOOKUP(B164,'Player Data'!$A1:$AE673,7,FALSE)*$Q164*IFERROR((VLOOKUP(P164,Settings!$E$28:$F$33,2,FALSE)+1),1)</f>
        <v>2.4899999999999998</v>
      </c>
      <c r="T164" s="57" cm="1">
        <f t="array" ref="T164">VLOOKUP(B164,'Player Data'!$A1:$AE673,8,FALSE)*$Q164*IFERROR((VLOOKUP(P164,Settings!$E$28:$F$33,2,FALSE)+1),1)</f>
        <v>18.260000000000002</v>
      </c>
      <c r="U164" s="57" cm="1">
        <f t="array" ref="U164">SUM(S164:T164)</f>
        <v>20.75</v>
      </c>
      <c r="V164" s="57" cm="1">
        <f t="array" ref="V164">VLOOKUP(B164,'Player Data'!$A1:$AE673,10,FALSE)*$Q164*IFERROR(((VLOOKUP(P164,Settings!$E$28:$F$33,2,FALSE)/2)+1),1)</f>
        <v>96.279999999999987</v>
      </c>
      <c r="W164" s="57" cm="1">
        <f t="array" ref="W164">VLOOKUP(B164,'Player Data'!$A1:$AE673,11,FALSE)*$Q164*IFERROR((VLOOKUP(P164,Settings!$E$28:$F$33,2,FALSE)+1),1)</f>
        <v>0</v>
      </c>
      <c r="X164" s="57" cm="1">
        <f t="array" ref="X164">VLOOKUP(B164,'Player Data'!$A1:$AE673,12,FALSE)*$Q164*IFERROR((VLOOKUP(P164,Settings!$E$28:$F$33,2,FALSE)+1),1)</f>
        <v>0</v>
      </c>
      <c r="Y164" s="57" cm="1">
        <f t="array" ref="Y164">VLOOKUP(B164,'Player Data'!$A1:$AE673,13,FALSE)*$Q164</f>
        <v>0</v>
      </c>
      <c r="Z164" s="57" cm="1">
        <f t="array" ref="Z164">VLOOKUP(B164,'Player Data'!$A1:$AE673,14,FALSE)*$Q164</f>
        <v>0</v>
      </c>
      <c r="AA164" s="57" cm="1">
        <f t="array" ref="AA164">VLOOKUP(B164,'Player Data'!$A1:$AE673,15,FALSE)*$Q164</f>
        <v>109.56</v>
      </c>
      <c r="AB164" s="57" cm="1">
        <f t="array" ref="AB164">VLOOKUP(B164,'Player Data'!$A1:$AE673,16,FALSE)*$Q164</f>
        <v>181.76999999999998</v>
      </c>
      <c r="AC164" s="57" cm="1">
        <f t="array" ref="AC164">VLOOKUP(B164,'Player Data'!$A1:$AE673,17,FALSE)*$Q164*IFERROR((VLOOKUP(P164,Settings!$E$28:$F$33,2,FALSE)+1),1)</f>
        <v>-1.6600000000000001</v>
      </c>
      <c r="AD164" s="57" cm="1">
        <f t="array" ref="AD164">VLOOKUP(B164,'Player Data'!$A1:$AE673,18,FALSE)*$Q164</f>
        <v>104.58</v>
      </c>
      <c r="AE164" s="57" cm="1">
        <f t="array" ref="AE164">VLOOKUP(B164,'Player Data'!$A1:$AE673,19,FALSE)*$Q164*IFERROR((VLOOKUP(P164,Settings!$E$28:$F$33,2,FALSE)+1),1)</f>
        <v>0</v>
      </c>
      <c r="AF164" s="57" cm="1">
        <f t="array" ref="AF164">VLOOKUP(B164,'Player Data'!$A1:$AE673,20,FALSE)*$Q164</f>
        <v>0</v>
      </c>
      <c r="AG164" s="57" cm="1">
        <f t="array" ref="AG164">VLOOKUP(B164,'Player Data'!$A1:$AE673,21,FALSE)*$Q164</f>
        <v>0</v>
      </c>
      <c r="AH164" s="59" cm="1">
        <f t="array" ref="AH164">VLOOKUP(B164,'Player Data'!$A1:$AE673,22,FALSE)</f>
        <v>0</v>
      </c>
      <c r="AI164" s="55"/>
      <c r="AJ164" s="57"/>
      <c r="AK164" s="57"/>
      <c r="AL164" s="57"/>
      <c r="AM164" s="57"/>
      <c r="AN164" s="57"/>
      <c r="AO164" s="57"/>
      <c r="AP164" s="57"/>
      <c r="AQ164" s="60"/>
      <c r="AR164" s="61"/>
      <c r="AS164" s="55"/>
    </row>
    <row r="165" spans="1:45" ht="21.25" customHeight="1" x14ac:dyDescent="0.15">
      <c r="A165" s="62">
        <f>RANK(K165,K$2:K$671)</f>
        <v>173</v>
      </c>
      <c r="B165" s="10" t="s">
        <v>484</v>
      </c>
      <c r="C165" s="47" t="s">
        <v>145</v>
      </c>
      <c r="D165" s="48" t="str" cm="1">
        <f t="array" ref="D165">VLOOKUP(B165,'Player Data'!A1:D673,4,FALSE)</f>
        <v>D</v>
      </c>
      <c r="E165" s="68" cm="1">
        <f t="array" ref="E165">VLOOKUP(B165,D!A1:C204,3,FALSE)</f>
        <v>71</v>
      </c>
      <c r="F165" s="65" t="str" cm="1">
        <f t="array" ref="F165">VLOOKUP(B165,'Player Data'!A1:B673,2,FALSE)</f>
        <v>T.B</v>
      </c>
      <c r="G165" s="11" cm="1">
        <f t="array" ref="G165">VLOOKUP(B165,'Player Data'!A1:D673,3,FALSE)</f>
        <v>29</v>
      </c>
      <c r="H165" s="51" cm="1">
        <f t="array" ref="H165">IFERROR(VLOOKUP(B165,ADP!A1:F671,6,FALSE)/1000000,VLOOKUP(B165,ADP!A1:F671,6,FALSE))</f>
        <v>5.2</v>
      </c>
      <c r="I165" s="52">
        <f>IF(Settings!$E$15="POINTS",((R165*Q165)*Settings!$B$12)+(S165*Settings!$B$2)+(T165*Settings!$B$3)+(U165*Settings!$B$4)+(V165*Settings!$B$5)+(X165*Settings!$B$9)+(AA165*Settings!$B$6)+(W165*Settings!$B$8)+(AB165*Settings!$B$7)+(AC165*Settings!$B$14)+(AD165*Settings!$B$15)+(AE165*Settings!$B$16)+(AF165*Settings!$B$17)+(AG165*Settings!$B$18)+(U165*Settings!$B$13)+(Y165*Settings!$B$10)+(Z165*Settings!$B$11),VLOOKUP(B165,'Standard Deviations'!A$1:C$672,3,FALSE))</f>
        <v>-1.3341588110496614</v>
      </c>
      <c r="J165" s="53" cm="1">
        <f t="array" ref="J165">IF(D165="G",I165/AJ165,I165/Q165)</f>
        <v>-1.7104600141662325E-2</v>
      </c>
      <c r="K165" s="52" cm="1">
        <f t="array" ref="K165">VLOOKUP(B165,D!A1:F204,6,FALSE)</f>
        <v>-1.9010097255672158</v>
      </c>
      <c r="L165" s="54" cm="1">
        <f t="array" ref="L165">IFERROR(K165/H165,"N/A")</f>
        <v>-0.36557879337831073</v>
      </c>
      <c r="M165" s="84" t="s">
        <v>828</v>
      </c>
      <c r="N165" s="84" t="str" cm="1">
        <f t="array" ref="N165">IFERROR(M165-A165,"N/A")</f>
        <v>N/A</v>
      </c>
      <c r="O165" s="55"/>
      <c r="P165" s="56" cm="1">
        <f t="array" ref="P165">_xlfn.XLOOKUP($B165,ADP!A2:A671,ADP!G2:G671)</f>
        <v>0</v>
      </c>
      <c r="Q165" s="57" cm="1">
        <f t="array" ref="Q165">IF(Settings!$E$12="YES",VLOOKUP(B165,'Player Data'!A1:E673,5,FALSE),84)</f>
        <v>78</v>
      </c>
      <c r="R165" s="55" cm="1">
        <f t="array" ref="R165">VLOOKUP(B165,'Player Data'!$A1:$AE673,6,FALSE)</f>
        <v>18.3</v>
      </c>
      <c r="S165" s="57" cm="1">
        <f t="array" ref="S165">VLOOKUP(B165,'Player Data'!$A1:$AE673,7,FALSE)*$Q165*IFERROR((VLOOKUP(P165,Settings!$E$28:$F$33,2,FALSE)+1),1)</f>
        <v>2.34</v>
      </c>
      <c r="T165" s="57" cm="1">
        <f t="array" ref="T165">VLOOKUP(B165,'Player Data'!$A1:$AE673,8,FALSE)*$Q165*IFERROR((VLOOKUP(P165,Settings!$E$28:$F$33,2,FALSE)+1),1)</f>
        <v>14.04</v>
      </c>
      <c r="U165" s="57" cm="1">
        <f t="array" ref="U165">SUM(S165:T165)</f>
        <v>16.38</v>
      </c>
      <c r="V165" s="57" cm="1">
        <f t="array" ref="V165">VLOOKUP(B165,'Player Data'!$A1:$AE673,10,FALSE)*$Q165*IFERROR(((VLOOKUP(P165,Settings!$E$28:$F$33,2,FALSE)/2)+1),1)</f>
        <v>63.180000000000007</v>
      </c>
      <c r="W165" s="57" cm="1">
        <f t="array" ref="W165">VLOOKUP(B165,'Player Data'!$A1:$AE673,11,FALSE)*$Q165*IFERROR((VLOOKUP(P165,Settings!$E$28:$F$33,2,FALSE)+1),1)</f>
        <v>0</v>
      </c>
      <c r="X165" s="57" cm="1">
        <f t="array" ref="X165">VLOOKUP(B165,'Player Data'!$A1:$AE673,12,FALSE)*$Q165*IFERROR((VLOOKUP(P165,Settings!$E$28:$F$33,2,FALSE)+1),1)</f>
        <v>0</v>
      </c>
      <c r="Y165" s="57" cm="1">
        <f t="array" ref="Y165">VLOOKUP(B165,'Player Data'!$A1:$AE673,13,FALSE)*$Q165</f>
        <v>0</v>
      </c>
      <c r="Z165" s="57" cm="1">
        <f t="array" ref="Z165">VLOOKUP(B165,'Player Data'!$A1:$AE673,14,FALSE)*$Q165</f>
        <v>0.78</v>
      </c>
      <c r="AA165" s="57" cm="1">
        <f t="array" ref="AA165">VLOOKUP(B165,'Player Data'!$A1:$AE673,15,FALSE)*$Q165</f>
        <v>118.56</v>
      </c>
      <c r="AB165" s="57" cm="1">
        <f t="array" ref="AB165">VLOOKUP(B165,'Player Data'!$A1:$AE673,16,FALSE)*$Q165</f>
        <v>141.18</v>
      </c>
      <c r="AC165" s="57" cm="1">
        <f t="array" ref="AC165">VLOOKUP(B165,'Player Data'!$A1:$AE673,17,FALSE)*$Q165*IFERROR((VLOOKUP(P165,Settings!$E$28:$F$33,2,FALSE)+1),1)</f>
        <v>6.24</v>
      </c>
      <c r="AD165" s="57" cm="1">
        <f t="array" ref="AD165">VLOOKUP(B165,'Player Data'!$A1:$AE673,18,FALSE)*$Q165</f>
        <v>54.599999999999994</v>
      </c>
      <c r="AE165" s="57" cm="1">
        <f t="array" ref="AE165">VLOOKUP(B165,'Player Data'!$A1:$AE673,19,FALSE)*$Q165*IFERROR((VLOOKUP(P165,Settings!$E$28:$F$33,2,FALSE)+1),1)</f>
        <v>0.78</v>
      </c>
      <c r="AF165" s="57" cm="1">
        <f t="array" ref="AF165">VLOOKUP(B165,'Player Data'!$A1:$AE673,20,FALSE)*$Q165</f>
        <v>0</v>
      </c>
      <c r="AG165" s="57" cm="1">
        <f t="array" ref="AG165">VLOOKUP(B165,'Player Data'!$A1:$AE673,21,FALSE)*$Q165</f>
        <v>0</v>
      </c>
      <c r="AH165" s="59" cm="1">
        <f t="array" ref="AH165">VLOOKUP(B165,'Player Data'!$A1:$AE673,22,FALSE)</f>
        <v>0</v>
      </c>
      <c r="AI165" s="55"/>
      <c r="AJ165" s="57"/>
      <c r="AK165" s="57"/>
      <c r="AL165" s="57"/>
      <c r="AM165" s="57"/>
      <c r="AN165" s="57"/>
      <c r="AO165" s="57"/>
      <c r="AP165" s="57"/>
      <c r="AQ165" s="60"/>
      <c r="AR165" s="61"/>
      <c r="AS165" s="55"/>
    </row>
    <row r="166" spans="1:45" ht="21.25" customHeight="1" x14ac:dyDescent="0.15">
      <c r="A166" s="62">
        <f>RANK(K166,K$2:K$671)</f>
        <v>174</v>
      </c>
      <c r="B166" s="10" t="s">
        <v>321</v>
      </c>
      <c r="C166" s="47" t="s">
        <v>145</v>
      </c>
      <c r="D166" s="48" t="str" cm="1">
        <f t="array" ref="D166">VLOOKUP(B166,'Player Data'!A1:D673,4,FALSE)</f>
        <v>D</v>
      </c>
      <c r="E166" s="68" cm="1">
        <f t="array" ref="E166">VLOOKUP(B166,D!A1:C204,3,FALSE)</f>
        <v>72</v>
      </c>
      <c r="F166" s="63" t="str" cm="1">
        <f t="array" ref="F166">VLOOKUP(B166,'Player Data'!A1:B673,2,FALSE)</f>
        <v>EDM</v>
      </c>
      <c r="G166" s="11" cm="1">
        <f t="array" ref="G166">VLOOKUP(B166,'Player Data'!A1:D673,3,FALSE)</f>
        <v>30</v>
      </c>
      <c r="H166" s="51" cm="1">
        <f t="array" ref="H166">IFERROR(VLOOKUP(B166,ADP!A1:F671,6,FALSE)/1000000,VLOOKUP(B166,ADP!A1:F671,6,FALSE))</f>
        <v>7</v>
      </c>
      <c r="I166" s="52">
        <f>IF(Settings!$E$15="POINTS",((R166*Q166)*Settings!$B$12)+(S166*Settings!$B$2)+(T166*Settings!$B$3)+(U166*Settings!$B$4)+(V166*Settings!$B$5)+(X166*Settings!$B$9)+(AA166*Settings!$B$6)+(W166*Settings!$B$8)+(AB166*Settings!$B$7)+(AC166*Settings!$B$14)+(AD166*Settings!$B$15)+(AE166*Settings!$B$16)+(AF166*Settings!$B$17)+(AG166*Settings!$B$18)+(U166*Settings!$B$13)+(Y166*Settings!$B$10)+(Z166*Settings!$B$11),VLOOKUP(B166,'Standard Deviations'!A$1:C$672,3,FALSE))</f>
        <v>-1.3651195739972937</v>
      </c>
      <c r="J166" s="53" cm="1">
        <f t="array" ref="J166">IF(D166="G",I166/AJ166,I166/Q166)</f>
        <v>-1.8201594319963914E-2</v>
      </c>
      <c r="K166" s="52" cm="1">
        <f t="array" ref="K166">VLOOKUP(B166,D!A1:F204,6,FALSE)</f>
        <v>-1.9319704885148481</v>
      </c>
      <c r="L166" s="54" cm="1">
        <f t="array" ref="L166">IFERROR(K166/H166,"N/A")</f>
        <v>-0.27599578407354974</v>
      </c>
      <c r="M166" s="55">
        <v>127.6</v>
      </c>
      <c r="N166" s="55" cm="1">
        <f t="array" ref="N166">IFERROR(M166-A166,"N/A")</f>
        <v>-46.400000000000006</v>
      </c>
      <c r="O166" s="55"/>
      <c r="P166" s="56" cm="1">
        <f t="array" ref="P166">_xlfn.XLOOKUP($B166,ADP!A2:A671,ADP!G2:G671)</f>
        <v>0</v>
      </c>
      <c r="Q166" s="57" cm="1">
        <f t="array" ref="Q166">IF(Settings!$E$12="YES",VLOOKUP(B166,'Player Data'!A1:E673,5,FALSE),84)</f>
        <v>75</v>
      </c>
      <c r="R166" s="55" cm="1">
        <f t="array" ref="R166">VLOOKUP(B166,'Player Data'!$A1:$AE673,6,FALSE)</f>
        <v>18.7</v>
      </c>
      <c r="S166" s="57" cm="1">
        <f t="array" ref="S166">VLOOKUP(B166,'Player Data'!$A1:$AE673,7,FALSE)*$Q166*IFERROR((VLOOKUP(P166,Settings!$E$28:$F$33,2,FALSE)+1),1)</f>
        <v>8.25</v>
      </c>
      <c r="T166" s="57" cm="1">
        <f t="array" ref="T166">VLOOKUP(B166,'Player Data'!$A1:$AE673,8,FALSE)*$Q166*IFERROR((VLOOKUP(P166,Settings!$E$28:$F$33,2,FALSE)+1),1)</f>
        <v>21.000000000000004</v>
      </c>
      <c r="U166" s="57" cm="1">
        <f t="array" ref="U166">SUM(S166:T166)</f>
        <v>29.250000000000004</v>
      </c>
      <c r="V166" s="57" cm="1">
        <f t="array" ref="V166">VLOOKUP(B166,'Player Data'!$A1:$AE673,10,FALSE)*$Q166*IFERROR(((VLOOKUP(P166,Settings!$E$28:$F$33,2,FALSE)/2)+1),1)</f>
        <v>138</v>
      </c>
      <c r="W166" s="57" cm="1">
        <f t="array" ref="W166">VLOOKUP(B166,'Player Data'!$A1:$AE673,11,FALSE)*$Q166*IFERROR((VLOOKUP(P166,Settings!$E$28:$F$33,2,FALSE)+1),1)</f>
        <v>0</v>
      </c>
      <c r="X166" s="57" cm="1">
        <f t="array" ref="X166">VLOOKUP(B166,'Player Data'!$A1:$AE673,12,FALSE)*$Q166*IFERROR((VLOOKUP(P166,Settings!$E$28:$F$33,2,FALSE)+1),1)</f>
        <v>2.25</v>
      </c>
      <c r="Y166" s="57" cm="1">
        <f t="array" ref="Y166">VLOOKUP(B166,'Player Data'!$A1:$AE673,13,FALSE)*$Q166</f>
        <v>0.75</v>
      </c>
      <c r="Z166" s="57" cm="1">
        <f t="array" ref="Z166">VLOOKUP(B166,'Player Data'!$A1:$AE673,14,FALSE)*$Q166</f>
        <v>0.75</v>
      </c>
      <c r="AA166" s="57" cm="1">
        <f t="array" ref="AA166">VLOOKUP(B166,'Player Data'!$A1:$AE673,15,FALSE)*$Q166</f>
        <v>132.75</v>
      </c>
      <c r="AB166" s="57" cm="1">
        <f t="array" ref="AB166">VLOOKUP(B166,'Player Data'!$A1:$AE673,16,FALSE)*$Q166</f>
        <v>47.25</v>
      </c>
      <c r="AC166" s="57" cm="1">
        <f t="array" ref="AC166">VLOOKUP(B166,'Player Data'!$A1:$AE673,17,FALSE)*$Q166*IFERROR((VLOOKUP(P166,Settings!$E$28:$F$33,2,FALSE)+1),1)</f>
        <v>3</v>
      </c>
      <c r="AD166" s="57" cm="1">
        <f t="array" ref="AD166">VLOOKUP(B166,'Player Data'!$A1:$AE673,18,FALSE)*$Q166</f>
        <v>31.5</v>
      </c>
      <c r="AE166" s="57" cm="1">
        <f t="array" ref="AE166">VLOOKUP(B166,'Player Data'!$A1:$AE673,19,FALSE)*$Q166*IFERROR((VLOOKUP(P166,Settings!$E$28:$F$33,2,FALSE)+1),1)</f>
        <v>1.5</v>
      </c>
      <c r="AF166" s="57" cm="1">
        <f t="array" ref="AF166">VLOOKUP(B166,'Player Data'!$A1:$AE673,20,FALSE)*$Q166</f>
        <v>0</v>
      </c>
      <c r="AG166" s="57" cm="1">
        <f t="array" ref="AG166">VLOOKUP(B166,'Player Data'!$A1:$AE673,21,FALSE)*$Q166</f>
        <v>0</v>
      </c>
      <c r="AH166" s="59" cm="1">
        <f t="array" ref="AH166">VLOOKUP(B166,'Player Data'!$A1:$AE673,22,FALSE)</f>
        <v>0</v>
      </c>
      <c r="AI166" s="55"/>
      <c r="AJ166" s="57"/>
      <c r="AK166" s="57"/>
      <c r="AL166" s="57"/>
      <c r="AM166" s="57"/>
      <c r="AN166" s="57"/>
      <c r="AO166" s="57"/>
      <c r="AP166" s="57"/>
      <c r="AQ166" s="60"/>
      <c r="AR166" s="61"/>
      <c r="AS166" s="55"/>
    </row>
    <row r="167" spans="1:45" ht="21.25" customHeight="1" x14ac:dyDescent="0.15">
      <c r="A167" s="62">
        <f>RANK(K167,K$2:K$671)</f>
        <v>167</v>
      </c>
      <c r="B167" s="10" t="s">
        <v>431</v>
      </c>
      <c r="C167" s="47" t="s">
        <v>145</v>
      </c>
      <c r="D167" s="48" t="str" cm="1">
        <f t="array" ref="D167">VLOOKUP(B167,'Player Data'!A1:D673,4,FALSE)</f>
        <v>G</v>
      </c>
      <c r="E167" s="76" cm="1">
        <f t="array" ref="E167">VLOOKUP(B167,G!A1:D66,3,FALSE)</f>
        <v>32</v>
      </c>
      <c r="F167" s="70" t="str" cm="1">
        <f t="array" ref="F167">VLOOKUP(B167,'Player Data'!A1:B673,2,FALSE)</f>
        <v>L.A</v>
      </c>
      <c r="G167" s="66" cm="1">
        <f t="array" ref="G167">VLOOKUP(B167,'Player Data'!A1:D673,3,FALSE)</f>
        <v>36</v>
      </c>
      <c r="H167" s="67" cm="1">
        <f t="array" ref="H167">IFERROR(VLOOKUP(B167,ADP!A1:F671,6,FALSE)/1000000,VLOOKUP(B167,ADP!A1:F671,6,FALSE))</f>
        <v>5.25</v>
      </c>
      <c r="I167" s="52">
        <f>IF(Settings!$E$15="POINTS",(AJ167*Settings!$B$29)+(AK167*Settings!$B$21)+(AL167*Settings!$B$22)+(AN167*Settings!$B$24)+(AO167*Settings!$B$25)+(AP167*Settings!$B$27)+(AM167*Settings!$B$23),VLOOKUP(B167,'Standard Deviations'!A$1:C$672,3,FALSE))</f>
        <v>0.27440403092883425</v>
      </c>
      <c r="J167" s="53" cm="1">
        <f t="array" ref="J167">IF(D167="G",I167/AJ167,I167/Q167)</f>
        <v>7.8401151693952651E-3</v>
      </c>
      <c r="K167" s="52" cm="1">
        <f t="array" ref="K167">VLOOKUP(B167,G!A1:F66,6,FALSE)</f>
        <v>-1.7637812281948406</v>
      </c>
      <c r="L167" s="54" cm="1">
        <f t="array" ref="L167">IFERROR(K167/H167,"N/A")</f>
        <v>-0.33595832917996965</v>
      </c>
      <c r="M167" s="55">
        <v>147.69999999999999</v>
      </c>
      <c r="N167" s="55" cm="1">
        <f t="array" ref="N167">IFERROR(M167-A167,"N/A")</f>
        <v>-19.300000000000011</v>
      </c>
      <c r="O167" s="55"/>
      <c r="P167" s="56" cm="1">
        <f t="array" ref="P167">_xlfn.XLOOKUP($B167,ADP!A2:A671,ADP!G2:G671)</f>
        <v>0</v>
      </c>
      <c r="Q167" s="57"/>
      <c r="R167" s="55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9"/>
      <c r="AI167" s="55"/>
      <c r="AJ167" s="77" cm="1">
        <f t="array" ref="AJ167">VLOOKUP(B167,'Player Data'!$A1:$AE673,24,FALSE)</f>
        <v>35</v>
      </c>
      <c r="AK167" s="57" cm="1">
        <f t="array" ref="AK167">VLOOKUP(B167,'Player Data'!$A1:$AE673,25,FALSE)*$AJ167*IFERROR((VLOOKUP(P167,Settings!$E$28:$F$33,2,FALSE)+1),1)</f>
        <v>16.8</v>
      </c>
      <c r="AL167" s="57" cm="1">
        <f t="array" ref="AL167">AJ167-AK167-AM167</f>
        <v>13.649999999999999</v>
      </c>
      <c r="AM167" s="57" cm="1">
        <f t="array" ref="AM167">VLOOKUP(B167,'Player Data'!$A1:$AE673,27,FALSE)*$AJ167</f>
        <v>4.55</v>
      </c>
      <c r="AN167" s="57" cm="1">
        <f t="array" ref="AN167">VLOOKUP(B167,'Player Data'!$A1:$AE673,28,FALSE)*AJ167</f>
        <v>2.1</v>
      </c>
      <c r="AO167" s="57" cm="1">
        <f t="array" ref="AO167">VLOOKUP(B167,'Player Data'!$A1:$AE673,29,FALSE)*$AJ167*IFERROR((VLOOKUP(P167,Settings!$E$28:$F$33,2,FALSE)/4)+1,1)</f>
        <v>910</v>
      </c>
      <c r="AP167" s="57" cm="1">
        <f t="array" ref="AP167">VLOOKUP(B167,'Player Data'!$A1:$AE673,31,FALSE)*$AJ167*(IFERROR(1-(VLOOKUP(P167,Settings!$E$28:$F$33,2,FALSE)/4),1))</f>
        <v>98.699999999999989</v>
      </c>
      <c r="AQ167" s="60" cm="1">
        <f t="array" ref="AQ167">1-(AP167/(AO167+AP167))</f>
        <v>0.90215128383067311</v>
      </c>
      <c r="AR167" s="61" cm="1">
        <f t="array" ref="AR167">AP167/AJ167</f>
        <v>2.82</v>
      </c>
      <c r="AS167" s="55"/>
    </row>
    <row r="168" spans="1:45" ht="21.25" customHeight="1" x14ac:dyDescent="0.15">
      <c r="A168" s="62">
        <f>RANK(K168,K$2:K$671)</f>
        <v>176</v>
      </c>
      <c r="B168" s="10" t="s">
        <v>289</v>
      </c>
      <c r="C168" s="47" t="s">
        <v>145</v>
      </c>
      <c r="D168" s="48" t="str" cm="1">
        <f t="array" ref="D168">VLOOKUP(B168,'Player Data'!A1:D673,4,FALSE)</f>
        <v>D</v>
      </c>
      <c r="E168" s="68" cm="1">
        <f t="array" ref="E168">VLOOKUP(B168,D!A1:C204,3,FALSE)</f>
        <v>73</v>
      </c>
      <c r="F168" s="69" t="str" cm="1">
        <f t="array" ref="F168">VLOOKUP(B168,'Player Data'!A1:B673,2,FALSE)</f>
        <v>CBJ</v>
      </c>
      <c r="G168" s="11" cm="1">
        <f t="array" ref="G168">VLOOKUP(B168,'Player Data'!A1:D673,3,FALSE)</f>
        <v>29</v>
      </c>
      <c r="H168" s="51" cm="1">
        <f t="array" ref="H168">IFERROR(VLOOKUP(B168,ADP!A1:F671,6,FALSE)/1000000,VLOOKUP(B168,ADP!A1:F671,6,FALSE))</f>
        <v>8.5</v>
      </c>
      <c r="I168" s="52">
        <f>IF(Settings!$E$15="POINTS",((R168*Q168)*Settings!$B$12)+(S168*Settings!$B$2)+(T168*Settings!$B$3)+(U168*Settings!$B$4)+(V168*Settings!$B$5)+(X168*Settings!$B$9)+(AA168*Settings!$B$6)+(W168*Settings!$B$8)+(AB168*Settings!$B$7)+(AC168*Settings!$B$14)+(AD168*Settings!$B$15)+(AE168*Settings!$B$16)+(AF168*Settings!$B$17)+(AG168*Settings!$B$18)+(U168*Settings!$B$13)+(Y168*Settings!$B$10)+(Z168*Settings!$B$11),VLOOKUP(B168,'Standard Deviations'!A$1:C$672,3,FALSE))</f>
        <v>-1.4493035688006706</v>
      </c>
      <c r="J168" s="53" cm="1">
        <f t="array" ref="J168">IF(D168="G",I168/AJ168,I168/Q168)</f>
        <v>-1.7253613914293697E-2</v>
      </c>
      <c r="K168" s="52" cm="1">
        <f t="array" ref="K168">VLOOKUP(B168,D!A1:F204,6,FALSE)</f>
        <v>-2.0161544833182248</v>
      </c>
      <c r="L168" s="54" cm="1">
        <f t="array" ref="L168">IFERROR(K168/H168,"N/A")</f>
        <v>-0.23719464509626173</v>
      </c>
      <c r="M168" s="55">
        <v>144.19999999999999</v>
      </c>
      <c r="N168" s="55" cm="1">
        <f t="array" ref="N168">IFERROR(M168-A168,"N/A")</f>
        <v>-31.800000000000011</v>
      </c>
      <c r="O168" s="55"/>
      <c r="P168" s="56" cm="1">
        <f t="array" ref="P168">_xlfn.XLOOKUP($B168,ADP!A2:A671,ADP!G2:G671)</f>
        <v>0</v>
      </c>
      <c r="Q168" s="57" cm="1">
        <f t="array" ref="Q168">IF(Settings!$E$12="YES",VLOOKUP(B168,'Player Data'!A1:E673,5,FALSE),84)</f>
        <v>84</v>
      </c>
      <c r="R168" s="55" cm="1">
        <f t="array" ref="R168">VLOOKUP(B168,'Player Data'!$A1:$AE673,6,FALSE)</f>
        <v>24.4</v>
      </c>
      <c r="S168" s="57" cm="1">
        <f t="array" ref="S168">VLOOKUP(B168,'Player Data'!$A1:$AE673,7,FALSE)*$Q168*IFERROR((VLOOKUP(P168,Settings!$E$28:$F$33,2,FALSE)+1),1)</f>
        <v>6.72</v>
      </c>
      <c r="T168" s="57" cm="1">
        <f t="array" ref="T168">VLOOKUP(B168,'Player Data'!$A1:$AE673,8,FALSE)*$Q168*IFERROR((VLOOKUP(P168,Settings!$E$28:$F$33,2,FALSE)+1),1)</f>
        <v>26.04</v>
      </c>
      <c r="U168" s="57" cm="1">
        <f t="array" ref="U168">SUM(S168:T168)</f>
        <v>32.76</v>
      </c>
      <c r="V168" s="57" cm="1">
        <f t="array" ref="V168">VLOOKUP(B168,'Player Data'!$A1:$AE673,10,FALSE)*$Q168*IFERROR(((VLOOKUP(P168,Settings!$E$28:$F$33,2,FALSE)/2)+1),1)</f>
        <v>136.91999999999999</v>
      </c>
      <c r="W168" s="57" cm="1">
        <f t="array" ref="W168">VLOOKUP(B168,'Player Data'!$A1:$AE673,11,FALSE)*$Q168*IFERROR((VLOOKUP(P168,Settings!$E$28:$F$33,2,FALSE)+1),1)</f>
        <v>0.84</v>
      </c>
      <c r="X168" s="57" cm="1">
        <f t="array" ref="X168">VLOOKUP(B168,'Player Data'!$A1:$AE673,12,FALSE)*$Q168*IFERROR((VLOOKUP(P168,Settings!$E$28:$F$33,2,FALSE)+1),1)</f>
        <v>4.2</v>
      </c>
      <c r="Y168" s="57" cm="1">
        <f t="array" ref="Y168">VLOOKUP(B168,'Player Data'!$A1:$AE673,13,FALSE)*$Q168</f>
        <v>0</v>
      </c>
      <c r="Z168" s="57" cm="1">
        <f t="array" ref="Z168">VLOOKUP(B168,'Player Data'!$A1:$AE673,14,FALSE)*$Q168</f>
        <v>0.84</v>
      </c>
      <c r="AA168" s="57" cm="1">
        <f t="array" ref="AA168">VLOOKUP(B168,'Player Data'!$A1:$AE673,15,FALSE)*$Q168</f>
        <v>141.12</v>
      </c>
      <c r="AB168" s="57" cm="1">
        <f t="array" ref="AB168">VLOOKUP(B168,'Player Data'!$A1:$AE673,16,FALSE)*$Q168</f>
        <v>38.64</v>
      </c>
      <c r="AC168" s="57" cm="1">
        <f t="array" ref="AC168">VLOOKUP(B168,'Player Data'!$A1:$AE673,17,FALSE)*$Q168*IFERROR((VLOOKUP(P168,Settings!$E$28:$F$33,2,FALSE)+1),1)</f>
        <v>1.68</v>
      </c>
      <c r="AD168" s="57" cm="1">
        <f t="array" ref="AD168">VLOOKUP(B168,'Player Data'!$A1:$AE673,18,FALSE)*$Q168</f>
        <v>32.76</v>
      </c>
      <c r="AE168" s="57" cm="1">
        <f t="array" ref="AE168">VLOOKUP(B168,'Player Data'!$A1:$AE673,19,FALSE)*$Q168*IFERROR((VLOOKUP(P168,Settings!$E$28:$F$33,2,FALSE)+1),1)</f>
        <v>0.84</v>
      </c>
      <c r="AF168" s="57" cm="1">
        <f t="array" ref="AF168">VLOOKUP(B168,'Player Data'!$A1:$AE673,20,FALSE)*$Q168</f>
        <v>0</v>
      </c>
      <c r="AG168" s="57" cm="1">
        <f t="array" ref="AG168">VLOOKUP(B168,'Player Data'!$A1:$AE673,21,FALSE)*$Q168</f>
        <v>0</v>
      </c>
      <c r="AH168" s="59" cm="1">
        <f t="array" ref="AH168">VLOOKUP(B168,'Player Data'!$A1:$AE673,22,FALSE)</f>
        <v>0</v>
      </c>
      <c r="AI168" s="55"/>
      <c r="AJ168" s="57"/>
      <c r="AK168" s="57"/>
      <c r="AL168" s="57"/>
      <c r="AM168" s="57"/>
      <c r="AN168" s="57"/>
      <c r="AO168" s="57"/>
      <c r="AP168" s="57"/>
      <c r="AQ168" s="60"/>
      <c r="AR168" s="61"/>
      <c r="AS168" s="55"/>
    </row>
    <row r="169" spans="1:45" ht="21.25" customHeight="1" x14ac:dyDescent="0.15">
      <c r="A169" s="62">
        <f>RANK(K169,K$2:K$671)</f>
        <v>177</v>
      </c>
      <c r="B169" s="10" t="s">
        <v>287</v>
      </c>
      <c r="C169" s="47" t="s">
        <v>145</v>
      </c>
      <c r="D169" s="48" t="str" cm="1">
        <f t="array" ref="D169">VLOOKUP(B169,'Player Data'!A1:D673,4,FALSE)</f>
        <v>D</v>
      </c>
      <c r="E169" s="68" cm="1">
        <f t="array" ref="E169">VLOOKUP(B169,D!A1:C204,3,FALSE)</f>
        <v>74</v>
      </c>
      <c r="F169" s="72" t="str" cm="1">
        <f t="array" ref="F169">VLOOKUP(B169,'Player Data'!A1:B673,2,FALSE)</f>
        <v>DET</v>
      </c>
      <c r="G169" s="71" cm="1">
        <f t="array" ref="G169">VLOOKUP(B169,'Player Data'!A1:D673,3,FALSE)</f>
        <v>23</v>
      </c>
      <c r="H169" s="51" cm="1">
        <f t="array" ref="H169">IFERROR(VLOOKUP(B169,ADP!A1:F671,6,FALSE)/1000000,VLOOKUP(B169,ADP!A1:F671,6,FALSE))</f>
        <v>0</v>
      </c>
      <c r="I169" s="52">
        <f>IF(Settings!$E$15="POINTS",((R169*Q169)*Settings!$B$12)+(S169*Settings!$B$2)+(T169*Settings!$B$3)+(U169*Settings!$B$4)+(V169*Settings!$B$5)+(X169*Settings!$B$9)+(AA169*Settings!$B$6)+(W169*Settings!$B$8)+(AB169*Settings!$B$7)+(AC169*Settings!$B$14)+(AD169*Settings!$B$15)+(AE169*Settings!$B$16)+(AF169*Settings!$B$17)+(AG169*Settings!$B$18)+(U169*Settings!$B$13)+(Y169*Settings!$B$10)+(Z169*Settings!$B$11),VLOOKUP(B169,'Standard Deviations'!A$1:C$672,3,FALSE))</f>
        <v>-1.473051330241087</v>
      </c>
      <c r="J169" s="53" cm="1">
        <f t="array" ref="J169">IF(D169="G",I169/AJ169,I169/Q169)</f>
        <v>-1.8185818891865272E-2</v>
      </c>
      <c r="K169" s="52" cm="1">
        <f t="array" ref="K169">VLOOKUP(B169,D!A1:F204,6,FALSE)</f>
        <v>-2.0399022447586415</v>
      </c>
      <c r="L169" s="79" t="str" cm="1">
        <f t="array" ref="L169">IFERROR(K169/H169,"N/A")</f>
        <v>N/A</v>
      </c>
      <c r="M169" s="55">
        <v>134</v>
      </c>
      <c r="N169" s="55" cm="1">
        <f t="array" ref="N169">IFERROR(M169-A169,"N/A")</f>
        <v>-43</v>
      </c>
      <c r="O169" s="55"/>
      <c r="P169" s="56" cm="1">
        <f t="array" ref="P169">_xlfn.XLOOKUP($B169,ADP!A2:A671,ADP!G2:G671)</f>
        <v>0</v>
      </c>
      <c r="Q169" s="57" cm="1">
        <f t="array" ref="Q169">IF(Settings!$E$12="YES",VLOOKUP(B169,'Player Data'!A1:E673,5,FALSE),84)</f>
        <v>81</v>
      </c>
      <c r="R169" s="55" cm="1">
        <f t="array" ref="R169">VLOOKUP(B169,'Player Data'!$A1:$AE673,6,FALSE)</f>
        <v>22.6</v>
      </c>
      <c r="S169" s="57" cm="1">
        <f t="array" ref="S169">VLOOKUP(B169,'Player Data'!$A1:$AE673,7,FALSE)*$Q169*IFERROR((VLOOKUP(P169,Settings!$E$28:$F$33,2,FALSE)+1),1)</f>
        <v>9.7199999999999989</v>
      </c>
      <c r="T169" s="57" cm="1">
        <f t="array" ref="T169">VLOOKUP(B169,'Player Data'!$A1:$AE673,8,FALSE)*$Q169*IFERROR((VLOOKUP(P169,Settings!$E$28:$F$33,2,FALSE)+1),1)</f>
        <v>22.680000000000003</v>
      </c>
      <c r="U169" s="57" cm="1">
        <f t="array" ref="U169">SUM(S169:T169)</f>
        <v>32.400000000000006</v>
      </c>
      <c r="V169" s="57" cm="1">
        <f t="array" ref="V169">VLOOKUP(B169,'Player Data'!$A1:$AE673,10,FALSE)*$Q169*IFERROR(((VLOOKUP(P169,Settings!$E$28:$F$33,2,FALSE)/2)+1),1)</f>
        <v>106.11</v>
      </c>
      <c r="W169" s="57" cm="1">
        <f t="array" ref="W169">VLOOKUP(B169,'Player Data'!$A1:$AE673,11,FALSE)*$Q169*IFERROR((VLOOKUP(P169,Settings!$E$28:$F$33,2,FALSE)+1),1)</f>
        <v>0</v>
      </c>
      <c r="X169" s="57" cm="1">
        <f t="array" ref="X169">VLOOKUP(B169,'Player Data'!$A1:$AE673,12,FALSE)*$Q169*IFERROR((VLOOKUP(P169,Settings!$E$28:$F$33,2,FALSE)+1),1)</f>
        <v>0.81</v>
      </c>
      <c r="Y169" s="57" cm="1">
        <f t="array" ref="Y169">VLOOKUP(B169,'Player Data'!$A1:$AE673,13,FALSE)*$Q169</f>
        <v>0</v>
      </c>
      <c r="Z169" s="57" cm="1">
        <f t="array" ref="Z169">VLOOKUP(B169,'Player Data'!$A1:$AE673,14,FALSE)*$Q169</f>
        <v>0.81</v>
      </c>
      <c r="AA169" s="57" cm="1">
        <f t="array" ref="AA169">VLOOKUP(B169,'Player Data'!$A1:$AE673,15,FALSE)*$Q169</f>
        <v>157.94999999999999</v>
      </c>
      <c r="AB169" s="57" cm="1">
        <f t="array" ref="AB169">VLOOKUP(B169,'Player Data'!$A1:$AE673,16,FALSE)*$Q169</f>
        <v>94.77</v>
      </c>
      <c r="AC169" s="57" cm="1">
        <f t="array" ref="AC169">VLOOKUP(B169,'Player Data'!$A1:$AE673,17,FALSE)*$Q169*IFERROR((VLOOKUP(P169,Settings!$E$28:$F$33,2,FALSE)+1),1)</f>
        <v>0</v>
      </c>
      <c r="AD169" s="57" cm="1">
        <f t="array" ref="AD169">VLOOKUP(B169,'Player Data'!$A1:$AE673,18,FALSE)*$Q169</f>
        <v>59.94</v>
      </c>
      <c r="AE169" s="57" cm="1">
        <f t="array" ref="AE169">VLOOKUP(B169,'Player Data'!$A1:$AE673,19,FALSE)*$Q169*IFERROR((VLOOKUP(P169,Settings!$E$28:$F$33,2,FALSE)+1),1)</f>
        <v>1.62</v>
      </c>
      <c r="AF169" s="57" cm="1">
        <f t="array" ref="AF169">VLOOKUP(B169,'Player Data'!$A1:$AE673,20,FALSE)*$Q169</f>
        <v>0</v>
      </c>
      <c r="AG169" s="57" cm="1">
        <f t="array" ref="AG169">VLOOKUP(B169,'Player Data'!$A1:$AE673,21,FALSE)*$Q169</f>
        <v>0</v>
      </c>
      <c r="AH169" s="59" cm="1">
        <f t="array" ref="AH169">VLOOKUP(B169,'Player Data'!$A1:$AE673,22,FALSE)</f>
        <v>0</v>
      </c>
      <c r="AI169" s="55"/>
      <c r="AJ169" s="57"/>
      <c r="AK169" s="57"/>
      <c r="AL169" s="57"/>
      <c r="AM169" s="57"/>
      <c r="AN169" s="57"/>
      <c r="AO169" s="57"/>
      <c r="AP169" s="57"/>
      <c r="AQ169" s="60"/>
      <c r="AR169" s="61"/>
      <c r="AS169" s="55"/>
    </row>
    <row r="170" spans="1:45" ht="21.25" customHeight="1" x14ac:dyDescent="0.15">
      <c r="A170" s="62">
        <f>RANK(K170,K$2:K$671)</f>
        <v>179</v>
      </c>
      <c r="B170" s="10" t="s">
        <v>336</v>
      </c>
      <c r="C170" s="47" t="s">
        <v>145</v>
      </c>
      <c r="D170" s="48" t="str" cm="1">
        <f t="array" ref="D170">VLOOKUP(B170,'Player Data'!A1:D673,4,FALSE)</f>
        <v>D</v>
      </c>
      <c r="E170" s="68" cm="1">
        <f t="array" ref="E170">VLOOKUP(B170,D!A1:C204,3,FALSE)</f>
        <v>75</v>
      </c>
      <c r="F170" s="65" t="str" cm="1">
        <f t="array" ref="F170">VLOOKUP(B170,'Player Data'!A1:B673,2,FALSE)</f>
        <v>CAR</v>
      </c>
      <c r="G170" s="66" cm="1">
        <f t="array" ref="G170">VLOOKUP(B170,'Player Data'!A1:D673,3,FALSE)</f>
        <v>32</v>
      </c>
      <c r="H170" s="51" cm="1">
        <f t="array" ref="H170">IFERROR(VLOOKUP(B170,ADP!A1:F671,6,FALSE)/1000000,VLOOKUP(B170,ADP!A1:F671,6,FALSE))</f>
        <v>6.9349999999999996</v>
      </c>
      <c r="I170" s="52">
        <f>IF(Settings!$E$15="POINTS",((R170*Q170)*Settings!$B$12)+(S170*Settings!$B$2)+(T170*Settings!$B$3)+(U170*Settings!$B$4)+(V170*Settings!$B$5)+(X170*Settings!$B$9)+(AA170*Settings!$B$6)+(W170*Settings!$B$8)+(AB170*Settings!$B$7)+(AC170*Settings!$B$14)+(AD170*Settings!$B$15)+(AE170*Settings!$B$16)+(AF170*Settings!$B$17)+(AG170*Settings!$B$18)+(U170*Settings!$B$13)+(Y170*Settings!$B$10)+(Z170*Settings!$B$11),VLOOKUP(B170,'Standard Deviations'!A$1:C$672,3,FALSE))</f>
        <v>-1.5044322974091737</v>
      </c>
      <c r="J170" s="53" cm="1">
        <f t="array" ref="J170">IF(D170="G",I170/AJ170,I170/Q170)</f>
        <v>-1.8805403717614671E-2</v>
      </c>
      <c r="K170" s="52" cm="1">
        <f t="array" ref="K170">VLOOKUP(B170,D!A1:F204,6,FALSE)</f>
        <v>-2.0712832119267279</v>
      </c>
      <c r="L170" s="54" cm="1">
        <f t="array" ref="L170">IFERROR(K170/H170,"N/A")</f>
        <v>-0.29867097504350804</v>
      </c>
      <c r="M170" s="84" t="s">
        <v>828</v>
      </c>
      <c r="N170" s="84" t="str" cm="1">
        <f t="array" ref="N170">IFERROR(M170-A170,"N/A")</f>
        <v>N/A</v>
      </c>
      <c r="O170" s="55"/>
      <c r="P170" s="56" cm="1">
        <f t="array" ref="P170">_xlfn.XLOOKUP($B170,ADP!A2:A671,ADP!G2:G671)</f>
        <v>0</v>
      </c>
      <c r="Q170" s="57" cm="1">
        <f t="array" ref="Q170">IF(Settings!$E$12="YES",VLOOKUP(B170,'Player Data'!A1:E673,5,FALSE),84)</f>
        <v>80</v>
      </c>
      <c r="R170" s="55" cm="1">
        <f t="array" ref="R170">VLOOKUP(B170,'Player Data'!$A1:$AE673,6,FALSE)</f>
        <v>21.4</v>
      </c>
      <c r="S170" s="57" cm="1">
        <f t="array" ref="S170">VLOOKUP(B170,'Player Data'!$A1:$AE673,7,FALSE)*$Q170*IFERROR((VLOOKUP(P170,Settings!$E$28:$F$33,2,FALSE)+1),1)</f>
        <v>4.8</v>
      </c>
      <c r="T170" s="57" cm="1">
        <f t="array" ref="T170">VLOOKUP(B170,'Player Data'!$A1:$AE673,8,FALSE)*$Q170*IFERROR((VLOOKUP(P170,Settings!$E$28:$F$33,2,FALSE)+1),1)</f>
        <v>21.6</v>
      </c>
      <c r="U170" s="57" cm="1">
        <f t="array" ref="U170">SUM(S170:T170)</f>
        <v>26.400000000000002</v>
      </c>
      <c r="V170" s="57" cm="1">
        <f t="array" ref="V170">VLOOKUP(B170,'Player Data'!$A1:$AE673,10,FALSE)*$Q170*IFERROR(((VLOOKUP(P170,Settings!$E$28:$F$33,2,FALSE)/2)+1),1)</f>
        <v>119.2</v>
      </c>
      <c r="W170" s="57" cm="1">
        <f t="array" ref="W170">VLOOKUP(B170,'Player Data'!$A1:$AE673,11,FALSE)*$Q170*IFERROR((VLOOKUP(P170,Settings!$E$28:$F$33,2,FALSE)+1),1)</f>
        <v>0</v>
      </c>
      <c r="X170" s="57" cm="1">
        <f t="array" ref="X170">VLOOKUP(B170,'Player Data'!$A1:$AE673,12,FALSE)*$Q170*IFERROR((VLOOKUP(P170,Settings!$E$28:$F$33,2,FALSE)+1),1)</f>
        <v>0</v>
      </c>
      <c r="Y170" s="57" cm="1">
        <f t="array" ref="Y170">VLOOKUP(B170,'Player Data'!$A1:$AE673,13,FALSE)*$Q170</f>
        <v>0.8</v>
      </c>
      <c r="Z170" s="57" cm="1">
        <f t="array" ref="Z170">VLOOKUP(B170,'Player Data'!$A1:$AE673,14,FALSE)*$Q170</f>
        <v>2.4</v>
      </c>
      <c r="AA170" s="57" cm="1">
        <f t="array" ref="AA170">VLOOKUP(B170,'Player Data'!$A1:$AE673,15,FALSE)*$Q170</f>
        <v>125.60000000000001</v>
      </c>
      <c r="AB170" s="57" cm="1">
        <f t="array" ref="AB170">VLOOKUP(B170,'Player Data'!$A1:$AE673,16,FALSE)*$Q170</f>
        <v>37.599999999999994</v>
      </c>
      <c r="AC170" s="57" cm="1">
        <f t="array" ref="AC170">VLOOKUP(B170,'Player Data'!$A1:$AE673,17,FALSE)*$Q170*IFERROR((VLOOKUP(P170,Settings!$E$28:$F$33,2,FALSE)+1),1)</f>
        <v>7.1999999999999993</v>
      </c>
      <c r="AD170" s="57" cm="1">
        <f t="array" ref="AD170">VLOOKUP(B170,'Player Data'!$A1:$AE673,18,FALSE)*$Q170</f>
        <v>14.399999999999999</v>
      </c>
      <c r="AE170" s="57" cm="1">
        <f t="array" ref="AE170">VLOOKUP(B170,'Player Data'!$A1:$AE673,19,FALSE)*$Q170*IFERROR((VLOOKUP(P170,Settings!$E$28:$F$33,2,FALSE)+1),1)</f>
        <v>0.8</v>
      </c>
      <c r="AF170" s="57" cm="1">
        <f t="array" ref="AF170">VLOOKUP(B170,'Player Data'!$A1:$AE673,20,FALSE)*$Q170</f>
        <v>0</v>
      </c>
      <c r="AG170" s="57" cm="1">
        <f t="array" ref="AG170">VLOOKUP(B170,'Player Data'!$A1:$AE673,21,FALSE)*$Q170</f>
        <v>0</v>
      </c>
      <c r="AH170" s="59" cm="1">
        <f t="array" ref="AH170">VLOOKUP(B170,'Player Data'!$A1:$AE673,22,FALSE)</f>
        <v>0</v>
      </c>
      <c r="AI170" s="55"/>
      <c r="AJ170" s="57"/>
      <c r="AK170" s="57"/>
      <c r="AL170" s="57"/>
      <c r="AM170" s="57"/>
      <c r="AN170" s="57"/>
      <c r="AO170" s="57"/>
      <c r="AP170" s="57"/>
      <c r="AQ170" s="60"/>
      <c r="AR170" s="61"/>
      <c r="AS170" s="55"/>
    </row>
    <row r="171" spans="1:45" ht="21.25" customHeight="1" x14ac:dyDescent="0.15">
      <c r="A171" s="62">
        <f>RANK(K171,K$2:K$671)</f>
        <v>181</v>
      </c>
      <c r="B171" s="10" t="s">
        <v>351</v>
      </c>
      <c r="C171" s="47" t="s">
        <v>145</v>
      </c>
      <c r="D171" s="48" t="str" cm="1">
        <f t="array" ref="D171">VLOOKUP(B171,'Player Data'!A1:D673,4,FALSE)</f>
        <v>D</v>
      </c>
      <c r="E171" s="68" cm="1">
        <f t="array" ref="E171">VLOOKUP(B171,D!A1:C204,3,FALSE)</f>
        <v>76</v>
      </c>
      <c r="F171" s="56" t="str" cm="1">
        <f t="array" ref="F171">VLOOKUP(B171,'Player Data'!A1:B673,2,FALSE)</f>
        <v>WSH</v>
      </c>
      <c r="G171" s="11" cm="1">
        <f t="array" ref="G171">VLOOKUP(B171,'Player Data'!A1:D673,3,FALSE)</f>
        <v>26</v>
      </c>
      <c r="H171" s="51" cm="1">
        <f t="array" ref="H171">IFERROR(VLOOKUP(B171,ADP!A1:F671,6,FALSE)/1000000,VLOOKUP(B171,ADP!A1:F671,6,FALSE))</f>
        <v>6</v>
      </c>
      <c r="I171" s="52">
        <f>IF(Settings!$E$15="POINTS",((R171*Q171)*Settings!$B$12)+(S171*Settings!$B$2)+(T171*Settings!$B$3)+(U171*Settings!$B$4)+(V171*Settings!$B$5)+(X171*Settings!$B$9)+(AA171*Settings!$B$6)+(W171*Settings!$B$8)+(AB171*Settings!$B$7)+(AC171*Settings!$B$14)+(AD171*Settings!$B$15)+(AE171*Settings!$B$16)+(AF171*Settings!$B$17)+(AG171*Settings!$B$18)+(U171*Settings!$B$13)+(Y171*Settings!$B$10)+(Z171*Settings!$B$11),VLOOKUP(B171,'Standard Deviations'!A$1:C$672,3,FALSE))</f>
        <v>-1.51988016083345</v>
      </c>
      <c r="J171" s="53" cm="1">
        <f t="array" ref="J171">IF(D171="G",I171/AJ171,I171/Q171)</f>
        <v>-1.8535123912603049E-2</v>
      </c>
      <c r="K171" s="52" cm="1">
        <f t="array" ref="K171">VLOOKUP(B171,D!A1:F204,6,FALSE)</f>
        <v>-2.0867310753510044</v>
      </c>
      <c r="L171" s="54" cm="1">
        <f t="array" ref="L171">IFERROR(K171/H171,"N/A")</f>
        <v>-0.34778851255850074</v>
      </c>
      <c r="M171" s="55">
        <v>133.9</v>
      </c>
      <c r="N171" s="55" cm="1">
        <f t="array" ref="N171">IFERROR(M171-A171,"N/A")</f>
        <v>-47.099999999999994</v>
      </c>
      <c r="O171" s="55"/>
      <c r="P171" s="56" cm="1">
        <f t="array" ref="P171">_xlfn.XLOOKUP($B171,ADP!A2:A671,ADP!G2:G671)</f>
        <v>0</v>
      </c>
      <c r="Q171" s="57" cm="1">
        <f t="array" ref="Q171">IF(Settings!$E$12="YES",VLOOKUP(B171,'Player Data'!A1:E673,5,FALSE),84)</f>
        <v>82</v>
      </c>
      <c r="R171" s="55" cm="1">
        <f t="array" ref="R171">VLOOKUP(B171,'Player Data'!$A1:$AE673,6,FALSE)</f>
        <v>19.3</v>
      </c>
      <c r="S171" s="57" cm="1">
        <f t="array" ref="S171">VLOOKUP(B171,'Player Data'!$A1:$AE673,7,FALSE)*$Q171*IFERROR((VLOOKUP(P171,Settings!$E$28:$F$33,2,FALSE)+1),1)</f>
        <v>4.92</v>
      </c>
      <c r="T171" s="57" cm="1">
        <f t="array" ref="T171">VLOOKUP(B171,'Player Data'!$A1:$AE673,8,FALSE)*$Q171*IFERROR((VLOOKUP(P171,Settings!$E$28:$F$33,2,FALSE)+1),1)</f>
        <v>19.68</v>
      </c>
      <c r="U171" s="57" cm="1">
        <f t="array" ref="U171">SUM(S171:T171)</f>
        <v>24.6</v>
      </c>
      <c r="V171" s="57" cm="1">
        <f t="array" ref="V171">VLOOKUP(B171,'Player Data'!$A1:$AE673,10,FALSE)*$Q171*IFERROR(((VLOOKUP(P171,Settings!$E$28:$F$33,2,FALSE)/2)+1),1)</f>
        <v>76.260000000000005</v>
      </c>
      <c r="W171" s="57" cm="1">
        <f t="array" ref="W171">VLOOKUP(B171,'Player Data'!$A1:$AE673,11,FALSE)*$Q171*IFERROR((VLOOKUP(P171,Settings!$E$28:$F$33,2,FALSE)+1),1)</f>
        <v>0</v>
      </c>
      <c r="X171" s="57" cm="1">
        <f t="array" ref="X171">VLOOKUP(B171,'Player Data'!$A1:$AE673,12,FALSE)*$Q171*IFERROR((VLOOKUP(P171,Settings!$E$28:$F$33,2,FALSE)+1),1)</f>
        <v>0</v>
      </c>
      <c r="Y171" s="57" cm="1">
        <f t="array" ref="Y171">VLOOKUP(B171,'Player Data'!$A1:$AE673,13,FALSE)*$Q171</f>
        <v>0</v>
      </c>
      <c r="Z171" s="57" cm="1">
        <f t="array" ref="Z171">VLOOKUP(B171,'Player Data'!$A1:$AE673,14,FALSE)*$Q171</f>
        <v>0.82000000000000006</v>
      </c>
      <c r="AA171" s="57" cm="1">
        <f t="array" ref="AA171">VLOOKUP(B171,'Player Data'!$A1:$AE673,15,FALSE)*$Q171</f>
        <v>153.34</v>
      </c>
      <c r="AB171" s="57" cm="1">
        <f t="array" ref="AB171">VLOOKUP(B171,'Player Data'!$A1:$AE673,16,FALSE)*$Q171</f>
        <v>120.53999999999999</v>
      </c>
      <c r="AC171" s="57" cm="1">
        <f t="array" ref="AC171">VLOOKUP(B171,'Player Data'!$A1:$AE673,17,FALSE)*$Q171*IFERROR((VLOOKUP(P171,Settings!$E$28:$F$33,2,FALSE)+1),1)</f>
        <v>3.2800000000000002</v>
      </c>
      <c r="AD171" s="57" cm="1">
        <f t="array" ref="AD171">VLOOKUP(B171,'Player Data'!$A1:$AE673,18,FALSE)*$Q171</f>
        <v>29.52</v>
      </c>
      <c r="AE171" s="57" cm="1">
        <f t="array" ref="AE171">VLOOKUP(B171,'Player Data'!$A1:$AE673,19,FALSE)*$Q171*IFERROR((VLOOKUP(P171,Settings!$E$28:$F$33,2,FALSE)+1),1)</f>
        <v>0.82000000000000006</v>
      </c>
      <c r="AF171" s="57" cm="1">
        <f t="array" ref="AF171">VLOOKUP(B171,'Player Data'!$A1:$AE673,20,FALSE)*$Q171</f>
        <v>0</v>
      </c>
      <c r="AG171" s="57" cm="1">
        <f t="array" ref="AG171">VLOOKUP(B171,'Player Data'!$A1:$AE673,21,FALSE)*$Q171</f>
        <v>0</v>
      </c>
      <c r="AH171" s="59" cm="1">
        <f t="array" ref="AH171">VLOOKUP(B171,'Player Data'!$A1:$AE673,22,FALSE)</f>
        <v>0</v>
      </c>
      <c r="AI171" s="55"/>
      <c r="AJ171" s="57"/>
      <c r="AK171" s="57"/>
      <c r="AL171" s="57"/>
      <c r="AM171" s="57"/>
      <c r="AN171" s="57"/>
      <c r="AO171" s="57"/>
      <c r="AP171" s="57"/>
      <c r="AQ171" s="60"/>
      <c r="AR171" s="61"/>
      <c r="AS171" s="55"/>
    </row>
    <row r="172" spans="1:45" ht="21.25" customHeight="1" x14ac:dyDescent="0.15">
      <c r="A172" s="62">
        <f>RANK(K172,K$2:K$671)</f>
        <v>183</v>
      </c>
      <c r="B172" s="10" t="s">
        <v>581</v>
      </c>
      <c r="C172" s="47" t="s">
        <v>145</v>
      </c>
      <c r="D172" s="48" t="str" cm="1">
        <f t="array" ref="D172">VLOOKUP(B172,'Player Data'!A1:D673,4,FALSE)</f>
        <v>D</v>
      </c>
      <c r="E172" s="68" cm="1">
        <f t="array" ref="E172">VLOOKUP(B172,D!A1:C204,3,FALSE)</f>
        <v>77</v>
      </c>
      <c r="F172" s="63" t="str" cm="1">
        <f t="array" ref="F172">VLOOKUP(B172,'Player Data'!A1:B673,2,FALSE)</f>
        <v>DAL</v>
      </c>
      <c r="G172" s="71" cm="1">
        <f t="array" ref="G172">VLOOKUP(B172,'Player Data'!A1:D673,3,FALSE)</f>
        <v>22</v>
      </c>
      <c r="H172" s="51" cm="1">
        <f t="array" ref="H172">IFERROR(VLOOKUP(B172,ADP!A1:F671,6,FALSE)/1000000,VLOOKUP(B172,ADP!A1:F671,6,FALSE))</f>
        <v>0.91833299999999995</v>
      </c>
      <c r="I172" s="52">
        <f>IF(Settings!$E$15="POINTS",((R172*Q172)*Settings!$B$12)+(S172*Settings!$B$2)+(T172*Settings!$B$3)+(U172*Settings!$B$4)+(V172*Settings!$B$5)+(X172*Settings!$B$9)+(AA172*Settings!$B$6)+(W172*Settings!$B$8)+(AB172*Settings!$B$7)+(AC172*Settings!$B$14)+(AD172*Settings!$B$15)+(AE172*Settings!$B$16)+(AF172*Settings!$B$17)+(AG172*Settings!$B$18)+(U172*Settings!$B$13)+(Y172*Settings!$B$10)+(Z172*Settings!$B$11),VLOOKUP(B172,'Standard Deviations'!A$1:C$672,3,FALSE))</f>
        <v>-1.5581484641757304</v>
      </c>
      <c r="J172" s="53" cm="1">
        <f t="array" ref="J172">IF(D172="G",I172/AJ172,I172/Q172)</f>
        <v>-2.2581861799648266E-2</v>
      </c>
      <c r="K172" s="52" cm="1">
        <f t="array" ref="K172">VLOOKUP(B172,D!A1:F204,6,FALSE)</f>
        <v>-2.1249993786932846</v>
      </c>
      <c r="L172" s="54" cm="1">
        <f t="array" ref="L172">IFERROR(K172/H172,"N/A")</f>
        <v>-2.3139747550107472</v>
      </c>
      <c r="M172" s="84" t="s">
        <v>828</v>
      </c>
      <c r="N172" s="84" t="str" cm="1">
        <f t="array" ref="N172">IFERROR(M172-A172,"N/A")</f>
        <v>N/A</v>
      </c>
      <c r="O172" s="55"/>
      <c r="P172" s="56" cm="1">
        <f t="array" ref="P172">_xlfn.XLOOKUP($B172,ADP!A2:A671,ADP!G2:G671)</f>
        <v>0</v>
      </c>
      <c r="Q172" s="57" cm="1">
        <f t="array" ref="Q172">IF(Settings!$E$12="YES",VLOOKUP(B172,'Player Data'!A1:E673,5,FALSE),84)</f>
        <v>69</v>
      </c>
      <c r="R172" s="55" cm="1">
        <f t="array" ref="R172">VLOOKUP(B172,'Player Data'!$A1:$AE673,6,FALSE)</f>
        <v>15.2</v>
      </c>
      <c r="S172" s="57" cm="1">
        <f t="array" ref="S172">VLOOKUP(B172,'Player Data'!$A1:$AE673,7,FALSE)*$Q172*IFERROR((VLOOKUP(P172,Settings!$E$28:$F$33,2,FALSE)+1),1)</f>
        <v>6.21</v>
      </c>
      <c r="T172" s="57" cm="1">
        <f t="array" ref="T172">VLOOKUP(B172,'Player Data'!$A1:$AE673,8,FALSE)*$Q172*IFERROR((VLOOKUP(P172,Settings!$E$28:$F$33,2,FALSE)+1),1)</f>
        <v>8.9700000000000006</v>
      </c>
      <c r="U172" s="57" cm="1">
        <f t="array" ref="U172">SUM(S172:T172)</f>
        <v>15.18</v>
      </c>
      <c r="V172" s="57" cm="1">
        <f t="array" ref="V172">VLOOKUP(B172,'Player Data'!$A1:$AE673,10,FALSE)*$Q172*IFERROR(((VLOOKUP(P172,Settings!$E$28:$F$33,2,FALSE)/2)+1),1)</f>
        <v>52.44</v>
      </c>
      <c r="W172" s="57" cm="1">
        <f t="array" ref="W172">VLOOKUP(B172,'Player Data'!$A1:$AE673,11,FALSE)*$Q172*IFERROR((VLOOKUP(P172,Settings!$E$28:$F$33,2,FALSE)+1),1)</f>
        <v>0</v>
      </c>
      <c r="X172" s="57" cm="1">
        <f t="array" ref="X172">VLOOKUP(B172,'Player Data'!$A1:$AE673,12,FALSE)*$Q172*IFERROR((VLOOKUP(P172,Settings!$E$28:$F$33,2,FALSE)+1),1)</f>
        <v>0</v>
      </c>
      <c r="Y172" s="57" cm="1">
        <f t="array" ref="Y172">VLOOKUP(B172,'Player Data'!$A1:$AE673,13,FALSE)*$Q172</f>
        <v>0</v>
      </c>
      <c r="Z172" s="57" cm="1">
        <f t="array" ref="Z172">VLOOKUP(B172,'Player Data'!$A1:$AE673,14,FALSE)*$Q172</f>
        <v>0</v>
      </c>
      <c r="AA172" s="57" cm="1">
        <f t="array" ref="AA172">VLOOKUP(B172,'Player Data'!$A1:$AE673,15,FALSE)*$Q172</f>
        <v>62.79</v>
      </c>
      <c r="AB172" s="57" cm="1">
        <f t="array" ref="AB172">VLOOKUP(B172,'Player Data'!$A1:$AE673,16,FALSE)*$Q172</f>
        <v>160.07999999999998</v>
      </c>
      <c r="AC172" s="57" cm="1">
        <f t="array" ref="AC172">VLOOKUP(B172,'Player Data'!$A1:$AE673,17,FALSE)*$Q172*IFERROR((VLOOKUP(P172,Settings!$E$28:$F$33,2,FALSE)+1),1)</f>
        <v>4.1399999999999997</v>
      </c>
      <c r="AD172" s="57" cm="1">
        <f t="array" ref="AD172">VLOOKUP(B172,'Player Data'!$A1:$AE673,18,FALSE)*$Q172</f>
        <v>45.54</v>
      </c>
      <c r="AE172" s="57" cm="1">
        <f t="array" ref="AE172">VLOOKUP(B172,'Player Data'!$A1:$AE673,19,FALSE)*$Q172*IFERROR((VLOOKUP(P172,Settings!$E$28:$F$33,2,FALSE)+1),1)</f>
        <v>0.69000000000000006</v>
      </c>
      <c r="AF172" s="57" cm="1">
        <f t="array" ref="AF172">VLOOKUP(B172,'Player Data'!$A1:$AE673,20,FALSE)*$Q172</f>
        <v>0</v>
      </c>
      <c r="AG172" s="57" cm="1">
        <f t="array" ref="AG172">VLOOKUP(B172,'Player Data'!$A1:$AE673,21,FALSE)*$Q172</f>
        <v>0</v>
      </c>
      <c r="AH172" s="59" cm="1">
        <f t="array" ref="AH172">VLOOKUP(B172,'Player Data'!$A1:$AE673,22,FALSE)</f>
        <v>0</v>
      </c>
      <c r="AI172" s="55"/>
      <c r="AJ172" s="57"/>
      <c r="AK172" s="57"/>
      <c r="AL172" s="57"/>
      <c r="AM172" s="57"/>
      <c r="AN172" s="57"/>
      <c r="AO172" s="57"/>
      <c r="AP172" s="57"/>
      <c r="AQ172" s="60"/>
      <c r="AR172" s="61"/>
      <c r="AS172" s="55"/>
    </row>
    <row r="173" spans="1:45" ht="21.25" customHeight="1" x14ac:dyDescent="0.15">
      <c r="A173" s="62">
        <f>RANK(K173,K$2:K$671)</f>
        <v>186</v>
      </c>
      <c r="B173" s="10" t="s">
        <v>328</v>
      </c>
      <c r="C173" s="47" t="s">
        <v>145</v>
      </c>
      <c r="D173" s="48" t="str" cm="1">
        <f t="array" ref="D173">VLOOKUP(B173,'Player Data'!A1:D673,4,FALSE)</f>
        <v>D</v>
      </c>
      <c r="E173" s="68" cm="1">
        <f t="array" ref="E173">VLOOKUP(B173,D!A1:C204,3,FALSE)</f>
        <v>78</v>
      </c>
      <c r="F173" s="63" t="str" cm="1">
        <f t="array" ref="F173">VLOOKUP(B173,'Player Data'!A1:B673,2,FALSE)</f>
        <v>DAL</v>
      </c>
      <c r="G173" s="66" cm="1">
        <f t="array" ref="G173">VLOOKUP(B173,'Player Data'!A1:D673,3,FALSE)</f>
        <v>32</v>
      </c>
      <c r="H173" s="51" cm="1">
        <f t="array" ref="H173">IFERROR(VLOOKUP(B173,ADP!A1:F671,6,FALSE)/1000000,VLOOKUP(B173,ADP!A1:F671,6,FALSE))</f>
        <v>5.25</v>
      </c>
      <c r="I173" s="52">
        <f>IF(Settings!$E$15="POINTS",((R173*Q173)*Settings!$B$12)+(S173*Settings!$B$2)+(T173*Settings!$B$3)+(U173*Settings!$B$4)+(V173*Settings!$B$5)+(X173*Settings!$B$9)+(AA173*Settings!$B$6)+(W173*Settings!$B$8)+(AB173*Settings!$B$7)+(AC173*Settings!$B$14)+(AD173*Settings!$B$15)+(AE173*Settings!$B$16)+(AF173*Settings!$B$17)+(AG173*Settings!$B$18)+(U173*Settings!$B$13)+(Y173*Settings!$B$10)+(Z173*Settings!$B$11),VLOOKUP(B173,'Standard Deviations'!A$1:C$672,3,FALSE))</f>
        <v>-1.5731586942010809</v>
      </c>
      <c r="J173" s="53" cm="1">
        <f t="array" ref="J173">IF(D173="G",I173/AJ173,I173/Q173)</f>
        <v>-1.872807969287001E-2</v>
      </c>
      <c r="K173" s="52" cm="1">
        <f t="array" ref="K173">VLOOKUP(B173,D!A1:F204,6,FALSE)</f>
        <v>-2.1400096087186355</v>
      </c>
      <c r="L173" s="54" cm="1">
        <f t="array" ref="L173">IFERROR(K173/H173,"N/A")</f>
        <v>-0.40762087785116868</v>
      </c>
      <c r="M173" s="55">
        <v>139.6</v>
      </c>
      <c r="N173" s="55" cm="1">
        <f t="array" ref="N173">IFERROR(M173-A173,"N/A")</f>
        <v>-46.400000000000006</v>
      </c>
      <c r="O173" s="55"/>
      <c r="P173" s="56" cm="1">
        <f t="array" ref="P173">_xlfn.XLOOKUP($B173,ADP!A2:A671,ADP!G2:G671)</f>
        <v>0</v>
      </c>
      <c r="Q173" s="57" cm="1">
        <f t="array" ref="Q173">IF(Settings!$E$12="YES",VLOOKUP(B173,'Player Data'!A1:E673,5,FALSE),84)</f>
        <v>84</v>
      </c>
      <c r="R173" s="55" cm="1">
        <f t="array" ref="R173">VLOOKUP(B173,'Player Data'!$A1:$AE673,6,FALSE)</f>
        <v>22.5</v>
      </c>
      <c r="S173" s="57" cm="1">
        <f t="array" ref="S173">VLOOKUP(B173,'Player Data'!$A1:$AE673,7,FALSE)*$Q173*IFERROR((VLOOKUP(P173,Settings!$E$28:$F$33,2,FALSE)+1),1)</f>
        <v>3.36</v>
      </c>
      <c r="T173" s="57" cm="1">
        <f t="array" ref="T173">VLOOKUP(B173,'Player Data'!$A1:$AE673,8,FALSE)*$Q173*IFERROR((VLOOKUP(P173,Settings!$E$28:$F$33,2,FALSE)+1),1)</f>
        <v>22.68</v>
      </c>
      <c r="U173" s="57" cm="1">
        <f t="array" ref="U173">SUM(S173:T173)</f>
        <v>26.04</v>
      </c>
      <c r="V173" s="57" cm="1">
        <f t="array" ref="V173">VLOOKUP(B173,'Player Data'!$A1:$AE673,10,FALSE)*$Q173*IFERROR(((VLOOKUP(P173,Settings!$E$28:$F$33,2,FALSE)/2)+1),1)</f>
        <v>84</v>
      </c>
      <c r="W173" s="57" cm="1">
        <f t="array" ref="W173">VLOOKUP(B173,'Player Data'!$A1:$AE673,11,FALSE)*$Q173*IFERROR((VLOOKUP(P173,Settings!$E$28:$F$33,2,FALSE)+1),1)</f>
        <v>0</v>
      </c>
      <c r="X173" s="57" cm="1">
        <f t="array" ref="X173">VLOOKUP(B173,'Player Data'!$A1:$AE673,12,FALSE)*$Q173*IFERROR((VLOOKUP(P173,Settings!$E$28:$F$33,2,FALSE)+1),1)</f>
        <v>0.84</v>
      </c>
      <c r="Y173" s="57" cm="1">
        <f t="array" ref="Y173">VLOOKUP(B173,'Player Data'!$A1:$AE673,13,FALSE)*$Q173</f>
        <v>0</v>
      </c>
      <c r="Z173" s="57" cm="1">
        <f t="array" ref="Z173">VLOOKUP(B173,'Player Data'!$A1:$AE673,14,FALSE)*$Q173</f>
        <v>0.84</v>
      </c>
      <c r="AA173" s="57" cm="1">
        <f t="array" ref="AA173">VLOOKUP(B173,'Player Data'!$A1:$AE673,15,FALSE)*$Q173</f>
        <v>171.36</v>
      </c>
      <c r="AB173" s="57" cm="1">
        <f t="array" ref="AB173">VLOOKUP(B173,'Player Data'!$A1:$AE673,16,FALSE)*$Q173</f>
        <v>50.4</v>
      </c>
      <c r="AC173" s="57" cm="1">
        <f t="array" ref="AC173">VLOOKUP(B173,'Player Data'!$A1:$AE673,17,FALSE)*$Q173*IFERROR((VLOOKUP(P173,Settings!$E$28:$F$33,2,FALSE)+1),1)</f>
        <v>8.4</v>
      </c>
      <c r="AD173" s="57" cm="1">
        <f t="array" ref="AD173">VLOOKUP(B173,'Player Data'!$A1:$AE673,18,FALSE)*$Q173</f>
        <v>21</v>
      </c>
      <c r="AE173" s="57" cm="1">
        <f t="array" ref="AE173">VLOOKUP(B173,'Player Data'!$A1:$AE673,19,FALSE)*$Q173*IFERROR((VLOOKUP(P173,Settings!$E$28:$F$33,2,FALSE)+1),1)</f>
        <v>0.84</v>
      </c>
      <c r="AF173" s="57" cm="1">
        <f t="array" ref="AF173">VLOOKUP(B173,'Player Data'!$A1:$AE673,20,FALSE)*$Q173</f>
        <v>0</v>
      </c>
      <c r="AG173" s="57" cm="1">
        <f t="array" ref="AG173">VLOOKUP(B173,'Player Data'!$A1:$AE673,21,FALSE)*$Q173</f>
        <v>0</v>
      </c>
      <c r="AH173" s="59" cm="1">
        <f t="array" ref="AH173">VLOOKUP(B173,'Player Data'!$A1:$AE673,22,FALSE)</f>
        <v>0</v>
      </c>
      <c r="AI173" s="55"/>
      <c r="AJ173" s="57"/>
      <c r="AK173" s="57"/>
      <c r="AL173" s="57"/>
      <c r="AM173" s="57"/>
      <c r="AN173" s="57"/>
      <c r="AO173" s="57"/>
      <c r="AP173" s="57"/>
      <c r="AQ173" s="60"/>
      <c r="AR173" s="61"/>
      <c r="AS173" s="55"/>
    </row>
    <row r="174" spans="1:45" ht="21.25" customHeight="1" x14ac:dyDescent="0.15">
      <c r="A174" s="62">
        <f>RANK(K174,K$2:K$671)</f>
        <v>192</v>
      </c>
      <c r="B174" s="10" t="s">
        <v>466</v>
      </c>
      <c r="C174" s="47" t="s">
        <v>145</v>
      </c>
      <c r="D174" s="48" t="str" cm="1">
        <f t="array" ref="D174">VLOOKUP(B174,'Player Data'!A1:D673,4,FALSE)</f>
        <v>D</v>
      </c>
      <c r="E174" s="68" cm="1">
        <f t="array" ref="E174">VLOOKUP(B174,D!A1:C204,3,FALSE)</f>
        <v>79</v>
      </c>
      <c r="F174" s="63" t="str" cm="1">
        <f t="array" ref="F174">VLOOKUP(B174,'Player Data'!A1:B673,2,FALSE)</f>
        <v>EDM</v>
      </c>
      <c r="G174" s="11" cm="1">
        <f t="array" ref="G174">VLOOKUP(B174,'Player Data'!A1:D673,3,FALSE)</f>
        <v>26</v>
      </c>
      <c r="H174" s="67" cm="1">
        <f t="array" ref="H174">IFERROR(VLOOKUP(B174,ADP!A1:F671,6,FALSE)/1000000,VLOOKUP(B174,ADP!A1:F671,6,FALSE))</f>
        <v>1.3</v>
      </c>
      <c r="I174" s="52">
        <f>IF(Settings!$E$15="POINTS",((R174*Q174)*Settings!$B$12)+(S174*Settings!$B$2)+(T174*Settings!$B$3)+(U174*Settings!$B$4)+(V174*Settings!$B$5)+(X174*Settings!$B$9)+(AA174*Settings!$B$6)+(W174*Settings!$B$8)+(AB174*Settings!$B$7)+(AC174*Settings!$B$14)+(AD174*Settings!$B$15)+(AE174*Settings!$B$16)+(AF174*Settings!$B$17)+(AG174*Settings!$B$18)+(U174*Settings!$B$13)+(Y174*Settings!$B$10)+(Z174*Settings!$B$11),VLOOKUP(B174,'Standard Deviations'!A$1:C$672,3,FALSE))</f>
        <v>-1.7034893145515837</v>
      </c>
      <c r="J174" s="53" cm="1">
        <f t="array" ref="J174">IF(D174="G",I174/AJ174,I174/Q174)</f>
        <v>-2.1293616431894796E-2</v>
      </c>
      <c r="K174" s="52" cm="1">
        <f t="array" ref="K174">VLOOKUP(B174,D!A1:F204,6,FALSE)</f>
        <v>-2.2703402290691379</v>
      </c>
      <c r="L174" s="54" cm="1">
        <f t="array" ref="L174">IFERROR(K174/H174,"N/A")</f>
        <v>-1.7464155608224137</v>
      </c>
      <c r="M174" s="84" t="s">
        <v>828</v>
      </c>
      <c r="N174" s="84" t="str" cm="1">
        <f t="array" ref="N174">IFERROR(M174-A174,"N/A")</f>
        <v>N/A</v>
      </c>
      <c r="O174" s="55"/>
      <c r="P174" s="56" cm="1">
        <f t="array" ref="P174">_xlfn.XLOOKUP($B174,ADP!A2:A671,ADP!G2:G671)</f>
        <v>0</v>
      </c>
      <c r="Q174" s="57" cm="1">
        <f t="array" ref="Q174">IF(Settings!$E$12="YES",VLOOKUP(B174,'Player Data'!A1:E673,5,FALSE),84)</f>
        <v>80</v>
      </c>
      <c r="R174" s="81" cm="1">
        <f t="array" ref="R174">VLOOKUP(B174,'Player Data'!$A1:$AE673,6,FALSE)</f>
        <v>17.3</v>
      </c>
      <c r="S174" s="57" cm="1">
        <f t="array" ref="S174">VLOOKUP(B174,'Player Data'!$A1:$AE673,7,FALSE)*$Q174*IFERROR((VLOOKUP(P174,Settings!$E$28:$F$33,2,FALSE)+1),1)</f>
        <v>3.2</v>
      </c>
      <c r="T174" s="57" cm="1">
        <f t="array" ref="T174">VLOOKUP(B174,'Player Data'!$A1:$AE673,8,FALSE)*$Q174*IFERROR((VLOOKUP(P174,Settings!$E$28:$F$33,2,FALSE)+1),1)</f>
        <v>14.399999999999999</v>
      </c>
      <c r="U174" s="57" cm="1">
        <f t="array" ref="U174">SUM(S174:T174)</f>
        <v>17.599999999999998</v>
      </c>
      <c r="V174" s="57" cm="1">
        <f t="array" ref="V174">VLOOKUP(B174,'Player Data'!$A1:$AE673,10,FALSE)*$Q174*IFERROR(((VLOOKUP(P174,Settings!$E$28:$F$33,2,FALSE)/2)+1),1)</f>
        <v>67.2</v>
      </c>
      <c r="W174" s="57" cm="1">
        <f t="array" ref="W174">VLOOKUP(B174,'Player Data'!$A1:$AE673,11,FALSE)*$Q174*IFERROR((VLOOKUP(P174,Settings!$E$28:$F$33,2,FALSE)+1),1)</f>
        <v>0</v>
      </c>
      <c r="X174" s="57" cm="1">
        <f t="array" ref="X174">VLOOKUP(B174,'Player Data'!$A1:$AE673,12,FALSE)*$Q174*IFERROR((VLOOKUP(P174,Settings!$E$28:$F$33,2,FALSE)+1),1)</f>
        <v>0</v>
      </c>
      <c r="Y174" s="57" cm="1">
        <f t="array" ref="Y174">VLOOKUP(B174,'Player Data'!$A1:$AE673,13,FALSE)*$Q174</f>
        <v>0</v>
      </c>
      <c r="Z174" s="57" cm="1">
        <f t="array" ref="Z174">VLOOKUP(B174,'Player Data'!$A1:$AE673,14,FALSE)*$Q174</f>
        <v>0</v>
      </c>
      <c r="AA174" s="57" cm="1">
        <f t="array" ref="AA174">VLOOKUP(B174,'Player Data'!$A1:$AE673,15,FALSE)*$Q174</f>
        <v>118.4</v>
      </c>
      <c r="AB174" s="57" cm="1">
        <f t="array" ref="AB174">VLOOKUP(B174,'Player Data'!$A1:$AE673,16,FALSE)*$Q174</f>
        <v>129.60000000000002</v>
      </c>
      <c r="AC174" s="57" cm="1">
        <f t="array" ref="AC174">VLOOKUP(B174,'Player Data'!$A1:$AE673,17,FALSE)*$Q174*IFERROR((VLOOKUP(P174,Settings!$E$28:$F$33,2,FALSE)+1),1)</f>
        <v>4.8</v>
      </c>
      <c r="AD174" s="57" cm="1">
        <f t="array" ref="AD174">VLOOKUP(B174,'Player Data'!$A1:$AE673,18,FALSE)*$Q174</f>
        <v>26.400000000000002</v>
      </c>
      <c r="AE174" s="57" cm="1">
        <f t="array" ref="AE174">VLOOKUP(B174,'Player Data'!$A1:$AE673,19,FALSE)*$Q174*IFERROR((VLOOKUP(P174,Settings!$E$28:$F$33,2,FALSE)+1),1)</f>
        <v>0.8</v>
      </c>
      <c r="AF174" s="57" cm="1">
        <f t="array" ref="AF174">VLOOKUP(B174,'Player Data'!$A1:$AE673,20,FALSE)*$Q174</f>
        <v>0</v>
      </c>
      <c r="AG174" s="57" cm="1">
        <f t="array" ref="AG174">VLOOKUP(B174,'Player Data'!$A1:$AE673,21,FALSE)*$Q174</f>
        <v>0</v>
      </c>
      <c r="AH174" s="59" cm="1">
        <f t="array" ref="AH174">VLOOKUP(B174,'Player Data'!$A1:$AE673,22,FALSE)</f>
        <v>0</v>
      </c>
      <c r="AI174" s="55"/>
      <c r="AJ174" s="57"/>
      <c r="AK174" s="57"/>
      <c r="AL174" s="57"/>
      <c r="AM174" s="57"/>
      <c r="AN174" s="57"/>
      <c r="AO174" s="57"/>
      <c r="AP174" s="57"/>
      <c r="AQ174" s="60"/>
      <c r="AR174" s="61"/>
      <c r="AS174" s="55"/>
    </row>
    <row r="175" spans="1:45" ht="21.25" customHeight="1" x14ac:dyDescent="0.15">
      <c r="A175" s="62">
        <f>RANK(K175,K$2:K$671)</f>
        <v>148</v>
      </c>
      <c r="B175" s="10" t="s">
        <v>237</v>
      </c>
      <c r="C175" s="47" t="s">
        <v>145</v>
      </c>
      <c r="D175" s="48" t="str" cm="1">
        <f t="array" ref="D175">VLOOKUP(B175,'Player Data'!A1:D673,4,FALSE)</f>
        <v>LW,RW</v>
      </c>
      <c r="E175" s="74" cm="1">
        <f t="array" ref="E175">VLOOKUP(B175,RW!A1:F210,3,FALSE)</f>
        <v>33</v>
      </c>
      <c r="F175" s="56" t="str" cm="1">
        <f t="array" ref="F175">VLOOKUP(B175,'Player Data'!A1:B673,2,FALSE)</f>
        <v>NYR</v>
      </c>
      <c r="G175" s="11" cm="1">
        <f t="array" ref="G175">VLOOKUP(B175,'Player Data'!A1:D673,3,FALSE)</f>
        <v>25</v>
      </c>
      <c r="H175" s="51" cm="1">
        <f t="array" ref="H175">IFERROR(VLOOKUP(B175,ADP!A1:F671,6,FALSE)/1000000,VLOOKUP(B175,ADP!A1:F671,6,FALSE))</f>
        <v>11</v>
      </c>
      <c r="I175" s="52">
        <f>IF(Settings!$E$15="POINTS",((R175*Q175)*Settings!$B$12)+(S175*Settings!$B$2)+(T175*Settings!$B$3)+(U175*Settings!$B$4)+(V175*Settings!$B$5)+(X175*Settings!$B$9)+(AA175*Settings!$B$6)+(W175*Settings!$B$8)+(AB175*Settings!$B$7)+(AC175*Settings!$B$14)+(AD175*Settings!$B$15)+(AE175*Settings!$B$16)+(AF175*Settings!$B$17)+(AG175*Settings!$B$18)+(Y175*Settings!$B$10)+(Z175*Settings!$B$11),VLOOKUP(B175,'Standard Deviations'!A$1:C$672,3,FALSE))</f>
        <v>5.5469147970908184</v>
      </c>
      <c r="J175" s="53" cm="1">
        <f t="array" ref="J175">IF(D175="G",I175/AJ175,I175/Q175)</f>
        <v>6.848042959371381E-2</v>
      </c>
      <c r="K175" s="52" cm="1">
        <f t="array" ref="K175">IF(Settings!$E$18="C/LW/RW",VLOOKUP(B175,RW!A1:F210,6,FALSE),VLOOKUP(B175,F!A1:F407,6,FALSE))</f>
        <v>-1.3403198047182592</v>
      </c>
      <c r="L175" s="54" cm="1">
        <f t="array" ref="L175">IFERROR(K175/H175,"N/A")</f>
        <v>-0.1218472549743872</v>
      </c>
      <c r="M175" s="55">
        <v>70.599999999999994</v>
      </c>
      <c r="N175" s="55" cm="1">
        <f t="array" ref="N175">IFERROR(M175-A175,"N/A")</f>
        <v>-77.400000000000006</v>
      </c>
      <c r="O175" s="55"/>
      <c r="P175" s="56" cm="1">
        <f t="array" ref="P175">_xlfn.XLOOKUP($B175,ADP!A2:A671,ADP!G2:G671)</f>
        <v>0</v>
      </c>
      <c r="Q175" s="57" cm="1">
        <f t="array" ref="Q175">IF(Settings!$E$12="YES",VLOOKUP(B175,'Player Data'!A1:E673,5,FALSE),84)</f>
        <v>81</v>
      </c>
      <c r="R175" s="55" cm="1">
        <f t="array" ref="R175">VLOOKUP(B175,'Player Data'!$A1:$AE673,6,FALSE)</f>
        <v>17.600000000000001</v>
      </c>
      <c r="S175" s="57" cm="1">
        <f t="array" ref="S175">VLOOKUP(B175,'Player Data'!$A1:$AE673,7,FALSE)*$Q175*IFERROR((VLOOKUP(P175,Settings!$E$28:$F$33,2,FALSE)+1),1)</f>
        <v>37.260000000000005</v>
      </c>
      <c r="T175" s="57" cm="1">
        <f t="array" ref="T175">VLOOKUP(B175,'Player Data'!$A1:$AE673,8,FALSE)*$Q175*IFERROR((VLOOKUP(P175,Settings!$E$28:$F$33,2,FALSE)+1),1)</f>
        <v>26.73</v>
      </c>
      <c r="U175" s="57" cm="1">
        <f t="array" ref="U175">SUM(S175:T175)</f>
        <v>63.990000000000009</v>
      </c>
      <c r="V175" s="57" cm="1">
        <f t="array" ref="V175">VLOOKUP(B175,'Player Data'!$A1:$AE673,10,FALSE)*$Q175*IFERROR(((VLOOKUP(P175,Settings!$E$28:$F$33,2,FALSE)/2)+1),1)</f>
        <v>234.09</v>
      </c>
      <c r="W175" s="58" cm="1">
        <f t="array" ref="W175">VLOOKUP(B175,'Player Data'!$A1:$AE673,11,FALSE)*$Q175*IFERROR((VLOOKUP(P175,Settings!$E$28:$F$33,2,FALSE)+1),1)</f>
        <v>17.82</v>
      </c>
      <c r="X175" s="57" cm="1">
        <f t="array" ref="X175">VLOOKUP(B175,'Player Data'!$A1:$AE673,12,FALSE)*$Q175*IFERROR((VLOOKUP(P175,Settings!$E$28:$F$33,2,FALSE)+1),1)</f>
        <v>27.540000000000003</v>
      </c>
      <c r="Y175" s="57" cm="1">
        <f t="array" ref="Y175">VLOOKUP(B175,'Player Data'!$A1:$AE673,13,FALSE)*$Q175</f>
        <v>0</v>
      </c>
      <c r="Z175" s="57" cm="1">
        <f t="array" ref="Z175">VLOOKUP(B175,'Player Data'!$A1:$AE673,14,FALSE)*$Q175</f>
        <v>0</v>
      </c>
      <c r="AA175" s="57" cm="1">
        <f t="array" ref="AA175">VLOOKUP(B175,'Player Data'!$A1:$AE673,15,FALSE)*$Q175</f>
        <v>31.59</v>
      </c>
      <c r="AB175" s="57" cm="1">
        <f t="array" ref="AB175">VLOOKUP(B175,'Player Data'!$A1:$AE673,16,FALSE)*$Q175</f>
        <v>33.21</v>
      </c>
      <c r="AC175" s="57" cm="1">
        <f t="array" ref="AC175">VLOOKUP(B175,'Player Data'!$A1:$AE673,17,FALSE)*$Q175*IFERROR((VLOOKUP(P175,Settings!$E$28:$F$33,2,FALSE)+1),1)</f>
        <v>1.62</v>
      </c>
      <c r="AD175" s="57" cm="1">
        <f t="array" ref="AD175">VLOOKUP(B175,'Player Data'!$A1:$AE673,18,FALSE)*$Q175</f>
        <v>28.349999999999998</v>
      </c>
      <c r="AE175" s="57" cm="1">
        <f t="array" ref="AE175">VLOOKUP(B175,'Player Data'!$A1:$AE673,19,FALSE)*$Q175*IFERROR((VLOOKUP(P175,Settings!$E$28:$F$33,2,FALSE)+1),1)</f>
        <v>5.6700000000000008</v>
      </c>
      <c r="AF175" s="57" cm="1">
        <f t="array" ref="AF175">VLOOKUP(B175,'Player Data'!$A1:$AE673,20,FALSE)*$Q175</f>
        <v>0.81</v>
      </c>
      <c r="AG175" s="57" cm="1">
        <f t="array" ref="AG175">VLOOKUP(B175,'Player Data'!$A1:$AE673,21,FALSE)*$Q175</f>
        <v>3.24</v>
      </c>
      <c r="AH175" s="59" cm="1">
        <f t="array" ref="AH175">VLOOKUP(B175,'Player Data'!$A1:$AE673,22,FALSE)</f>
        <v>0.13</v>
      </c>
      <c r="AI175" s="55"/>
      <c r="AJ175" s="57"/>
      <c r="AK175" s="57"/>
      <c r="AL175" s="57"/>
      <c r="AM175" s="57"/>
      <c r="AN175" s="57"/>
      <c r="AO175" s="57"/>
      <c r="AP175" s="57"/>
      <c r="AQ175" s="60"/>
      <c r="AR175" s="61"/>
      <c r="AS175" s="55"/>
    </row>
    <row r="176" spans="1:45" ht="21.25" customHeight="1" x14ac:dyDescent="0.15">
      <c r="A176" s="62">
        <f>RANK(K176,K$2:K$671)</f>
        <v>193</v>
      </c>
      <c r="B176" s="10" t="s">
        <v>299</v>
      </c>
      <c r="C176" s="47" t="s">
        <v>145</v>
      </c>
      <c r="D176" s="48" t="str" cm="1">
        <f t="array" ref="D176">VLOOKUP(B176,'Player Data'!A1:D673,4,FALSE)</f>
        <v>D</v>
      </c>
      <c r="E176" s="68" cm="1">
        <f t="array" ref="E176">VLOOKUP(B176,D!A1:C204,3,FALSE)</f>
        <v>80</v>
      </c>
      <c r="F176" s="56" t="str" cm="1">
        <f t="array" ref="F176">VLOOKUP(B176,'Player Data'!A1:B673,2,FALSE)</f>
        <v>S.J</v>
      </c>
      <c r="G176" s="66" cm="1">
        <f t="array" ref="G176">VLOOKUP(B176,'Player Data'!A1:D673,3,FALSE)</f>
        <v>32</v>
      </c>
      <c r="H176" s="51" cm="1">
        <f t="array" ref="H176">IFERROR(VLOOKUP(B176,ADP!A1:F671,6,FALSE)/1000000,VLOOKUP(B176,ADP!A1:F671,6,FALSE))</f>
        <v>8.25</v>
      </c>
      <c r="I176" s="52">
        <f>IF(Settings!$E$15="POINTS",((R176*Q176)*Settings!$B$12)+(S176*Settings!$B$2)+(T176*Settings!$B$3)+(U176*Settings!$B$4)+(V176*Settings!$B$5)+(X176*Settings!$B$9)+(AA176*Settings!$B$6)+(W176*Settings!$B$8)+(AB176*Settings!$B$7)+(AC176*Settings!$B$14)+(AD176*Settings!$B$15)+(AE176*Settings!$B$16)+(AF176*Settings!$B$17)+(AG176*Settings!$B$18)+(U176*Settings!$B$13)+(Y176*Settings!$B$10)+(Z176*Settings!$B$11),VLOOKUP(B176,'Standard Deviations'!A$1:C$672,3,FALSE))</f>
        <v>-1.7299681226312149</v>
      </c>
      <c r="J176" s="53" cm="1">
        <f t="array" ref="J176">IF(D176="G",I176/AJ176,I176/Q176)</f>
        <v>-2.1097172227209939E-2</v>
      </c>
      <c r="K176" s="52" cm="1">
        <f t="array" ref="K176">VLOOKUP(B176,D!A1:F204,6,FALSE)</f>
        <v>-2.2968190371487696</v>
      </c>
      <c r="L176" s="54" cm="1">
        <f t="array" ref="L176">IFERROR(K176/H176,"N/A")</f>
        <v>-0.27840230753318418</v>
      </c>
      <c r="M176" s="55">
        <v>138.6</v>
      </c>
      <c r="N176" s="55" cm="1">
        <f t="array" ref="N176">IFERROR(M176-A176,"N/A")</f>
        <v>-54.400000000000006</v>
      </c>
      <c r="O176" s="55"/>
      <c r="P176" s="56" cm="1">
        <f t="array" ref="P176">_xlfn.XLOOKUP($B176,ADP!A2:A671,ADP!G2:G671)</f>
        <v>0</v>
      </c>
      <c r="Q176" s="57" cm="1">
        <f t="array" ref="Q176">IF(Settings!$E$12="YES",VLOOKUP(B176,'Player Data'!A1:E673,5,FALSE),84)</f>
        <v>82</v>
      </c>
      <c r="R176" s="55" cm="1">
        <f t="array" ref="R176">VLOOKUP(B176,'Player Data'!$A1:$AE673,6,FALSE)</f>
        <v>22.5</v>
      </c>
      <c r="S176" s="57" cm="1">
        <f t="array" ref="S176">VLOOKUP(B176,'Player Data'!$A1:$AE673,7,FALSE)*$Q176*IFERROR((VLOOKUP(P176,Settings!$E$28:$F$33,2,FALSE)+1),1)</f>
        <v>3.2800000000000002</v>
      </c>
      <c r="T176" s="57" cm="1">
        <f t="array" ref="T176">VLOOKUP(B176,'Player Data'!$A1:$AE673,8,FALSE)*$Q176*IFERROR((VLOOKUP(P176,Settings!$E$28:$F$33,2,FALSE)+1),1)</f>
        <v>19.68</v>
      </c>
      <c r="U176" s="57" cm="1">
        <f t="array" ref="U176">SUM(S176:T176)</f>
        <v>22.96</v>
      </c>
      <c r="V176" s="57" cm="1">
        <f t="array" ref="V176">VLOOKUP(B176,'Player Data'!$A1:$AE673,10,FALSE)*$Q176*IFERROR(((VLOOKUP(P176,Settings!$E$28:$F$33,2,FALSE)/2)+1),1)</f>
        <v>136.12</v>
      </c>
      <c r="W176" s="57" cm="1">
        <f t="array" ref="W176">VLOOKUP(B176,'Player Data'!$A1:$AE673,11,FALSE)*$Q176*IFERROR((VLOOKUP(P176,Settings!$E$28:$F$33,2,FALSE)+1),1)</f>
        <v>0</v>
      </c>
      <c r="X176" s="57" cm="1">
        <f t="array" ref="X176">VLOOKUP(B176,'Player Data'!$A1:$AE673,12,FALSE)*$Q176*IFERROR((VLOOKUP(P176,Settings!$E$28:$F$33,2,FALSE)+1),1)</f>
        <v>0</v>
      </c>
      <c r="Y176" s="57" cm="1">
        <f t="array" ref="Y176">VLOOKUP(B176,'Player Data'!$A1:$AE673,13,FALSE)*$Q176</f>
        <v>0</v>
      </c>
      <c r="Z176" s="57" cm="1">
        <f t="array" ref="Z176">VLOOKUP(B176,'Player Data'!$A1:$AE673,14,FALSE)*$Q176</f>
        <v>0.82000000000000006</v>
      </c>
      <c r="AA176" s="57" cm="1">
        <f t="array" ref="AA176">VLOOKUP(B176,'Player Data'!$A1:$AE673,15,FALSE)*$Q176</f>
        <v>171.38</v>
      </c>
      <c r="AB176" s="57" cm="1">
        <f t="array" ref="AB176">VLOOKUP(B176,'Player Data'!$A1:$AE673,16,FALSE)*$Q176</f>
        <v>145.96</v>
      </c>
      <c r="AC176" s="57" cm="1">
        <f t="array" ref="AC176">VLOOKUP(B176,'Player Data'!$A1:$AE673,17,FALSE)*$Q176*IFERROR((VLOOKUP(P176,Settings!$E$28:$F$33,2,FALSE)+1),1)</f>
        <v>-4.1000000000000005</v>
      </c>
      <c r="AD176" s="57" cm="1">
        <f t="array" ref="AD176">VLOOKUP(B176,'Player Data'!$A1:$AE673,18,FALSE)*$Q176</f>
        <v>51.660000000000004</v>
      </c>
      <c r="AE176" s="57" cm="1">
        <f t="array" ref="AE176">VLOOKUP(B176,'Player Data'!$A1:$AE673,19,FALSE)*$Q176*IFERROR((VLOOKUP(P176,Settings!$E$28:$F$33,2,FALSE)+1),1)</f>
        <v>0.82000000000000006</v>
      </c>
      <c r="AF176" s="57" cm="1">
        <f t="array" ref="AF176">VLOOKUP(B176,'Player Data'!$A1:$AE673,20,FALSE)*$Q176</f>
        <v>0</v>
      </c>
      <c r="AG176" s="57" cm="1">
        <f t="array" ref="AG176">VLOOKUP(B176,'Player Data'!$A1:$AE673,21,FALSE)*$Q176</f>
        <v>0</v>
      </c>
      <c r="AH176" s="59" cm="1">
        <f t="array" ref="AH176">VLOOKUP(B176,'Player Data'!$A1:$AE673,22,FALSE)</f>
        <v>0</v>
      </c>
      <c r="AI176" s="55"/>
      <c r="AJ176" s="57"/>
      <c r="AK176" s="57"/>
      <c r="AL176" s="57"/>
      <c r="AM176" s="57"/>
      <c r="AN176" s="57"/>
      <c r="AO176" s="57"/>
      <c r="AP176" s="57"/>
      <c r="AQ176" s="60"/>
      <c r="AR176" s="61"/>
      <c r="AS176" s="55"/>
    </row>
    <row r="177" spans="1:45" ht="21.25" customHeight="1" x14ac:dyDescent="0.15">
      <c r="A177" s="62">
        <f>RANK(K177,K$2:K$671)</f>
        <v>184</v>
      </c>
      <c r="B177" s="10" t="s">
        <v>222</v>
      </c>
      <c r="C177" s="47" t="s">
        <v>145</v>
      </c>
      <c r="D177" s="48" t="str" cm="1">
        <f t="array" ref="D177">VLOOKUP(B177,'Player Data'!A1:D673,4,FALSE)</f>
        <v>G</v>
      </c>
      <c r="E177" s="76" cm="1">
        <f t="array" ref="E177">VLOOKUP(B177,G!A1:D66,3,FALSE)</f>
        <v>33</v>
      </c>
      <c r="F177" s="50" t="str" cm="1">
        <f t="array" ref="F177">VLOOKUP(B177,'Player Data'!A1:B673,2,FALSE)</f>
        <v>ANA</v>
      </c>
      <c r="G177" s="11" cm="1">
        <f t="array" ref="G177">VLOOKUP(B177,'Player Data'!A1:D673,3,FALSE)</f>
        <v>26</v>
      </c>
      <c r="H177" s="51" cm="1">
        <f t="array" ref="H177">IFERROR(VLOOKUP(B177,ADP!A1:F671,6,FALSE)/1000000,VLOOKUP(B177,ADP!A1:F671,6,FALSE))</f>
        <v>6.5</v>
      </c>
      <c r="I177" s="52">
        <f>IF(Settings!$E$15="POINTS",(AJ177*Settings!$B$29)+(AK177*Settings!$B$21)+(AL177*Settings!$B$22)+(AN177*Settings!$B$24)+(AO177*Settings!$B$25)+(AP177*Settings!$B$27)+(AM177*Settings!$B$23),VLOOKUP(B177,'Standard Deviations'!A$1:C$672,3,FALSE))</f>
        <v>-8.6926641361576129E-2</v>
      </c>
      <c r="J177" s="53" cm="1">
        <f t="array" ref="J177">IF(D177="G",I177/AJ177,I177/Q177)</f>
        <v>-1.5804843883922932E-3</v>
      </c>
      <c r="K177" s="52" cm="1">
        <f t="array" ref="K177">VLOOKUP(B177,G!A1:F66,6,FALSE)</f>
        <v>-2.1251119004852512</v>
      </c>
      <c r="L177" s="54" cm="1">
        <f t="array" ref="L177">IFERROR(K177/H177,"N/A")</f>
        <v>-0.32694029238234634</v>
      </c>
      <c r="M177" s="55">
        <v>139.30000000000001</v>
      </c>
      <c r="N177" s="55" cm="1">
        <f t="array" ref="N177">IFERROR(M177-A177,"N/A")</f>
        <v>-44.699999999999989</v>
      </c>
      <c r="O177" s="55"/>
      <c r="P177" s="56" cm="1">
        <f t="array" ref="P177">_xlfn.XLOOKUP($B177,ADP!A2:A671,ADP!G2:G671)</f>
        <v>0</v>
      </c>
      <c r="Q177" s="57"/>
      <c r="R177" s="55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9"/>
      <c r="AI177" s="55"/>
      <c r="AJ177" s="77" cm="1">
        <f t="array" ref="AJ177">VLOOKUP(B177,'Player Data'!$A1:$AE673,24,FALSE)</f>
        <v>55</v>
      </c>
      <c r="AK177" s="57" cm="1">
        <f t="array" ref="AK177">VLOOKUP(B177,'Player Data'!$A1:$AE673,25,FALSE)*$AJ177*IFERROR((VLOOKUP(P177,Settings!$E$28:$F$33,2,FALSE)+1),1)</f>
        <v>25.849999999999998</v>
      </c>
      <c r="AL177" s="57" cm="1">
        <f t="array" ref="AL177">AJ177-AK177-AM177</f>
        <v>22</v>
      </c>
      <c r="AM177" s="57" cm="1">
        <f t="array" ref="AM177">VLOOKUP(B177,'Player Data'!$A1:$AE673,27,FALSE)*$AJ177</f>
        <v>7.15</v>
      </c>
      <c r="AN177" s="57" cm="1">
        <f t="array" ref="AN177">VLOOKUP(B177,'Player Data'!$A1:$AE673,28,FALSE)*AJ177</f>
        <v>2.2000000000000002</v>
      </c>
      <c r="AO177" s="57" cm="1">
        <f t="array" ref="AO177">VLOOKUP(B177,'Player Data'!$A1:$AE673,29,FALSE)*$AJ177*IFERROR((VLOOKUP(P177,Settings!$E$28:$F$33,2,FALSE)/4)+1,1)</f>
        <v>1507</v>
      </c>
      <c r="AP177" s="57" cm="1">
        <f t="array" ref="AP177">VLOOKUP(B177,'Player Data'!$A1:$AE673,31,FALSE)*$AJ177*(IFERROR(1-(VLOOKUP(P177,Settings!$E$28:$F$33,2,FALSE)/4),1))</f>
        <v>168.3</v>
      </c>
      <c r="AQ177" s="60" cm="1">
        <f t="array" ref="AQ177">1-(AP177/(AO177+AP177))</f>
        <v>0.89954038082731447</v>
      </c>
      <c r="AR177" s="61" cm="1">
        <f t="array" ref="AR177">AP177/AJ177</f>
        <v>3.06</v>
      </c>
      <c r="AS177" s="55"/>
    </row>
    <row r="178" spans="1:45" ht="21.25" customHeight="1" x14ac:dyDescent="0.15">
      <c r="A178" s="62">
        <f>RANK(K178,K$2:K$671)</f>
        <v>197</v>
      </c>
      <c r="B178" s="10" t="s">
        <v>304</v>
      </c>
      <c r="C178" s="47" t="s">
        <v>145</v>
      </c>
      <c r="D178" s="48" t="str" cm="1">
        <f t="array" ref="D178">VLOOKUP(B178,'Player Data'!A1:D673,4,FALSE)</f>
        <v>D</v>
      </c>
      <c r="E178" s="68" cm="1">
        <f t="array" ref="E178">VLOOKUP(B178,D!A1:C204,3,FALSE)</f>
        <v>81</v>
      </c>
      <c r="F178" s="65" t="str" cm="1">
        <f t="array" ref="F178">VLOOKUP(B178,'Player Data'!A1:B673,2,FALSE)</f>
        <v>NSH</v>
      </c>
      <c r="G178" s="66" cm="1">
        <f t="array" ref="G178">VLOOKUP(B178,'Player Data'!A1:D673,3,FALSE)</f>
        <v>32</v>
      </c>
      <c r="H178" s="51" cm="1">
        <f t="array" ref="H178">IFERROR(VLOOKUP(B178,ADP!A1:F671,6,FALSE)/1000000,VLOOKUP(B178,ADP!A1:F671,6,FALSE))</f>
        <v>7</v>
      </c>
      <c r="I178" s="52">
        <f>IF(Settings!$E$15="POINTS",((R178*Q178)*Settings!$B$12)+(S178*Settings!$B$2)+(T178*Settings!$B$3)+(U178*Settings!$B$4)+(V178*Settings!$B$5)+(X178*Settings!$B$9)+(AA178*Settings!$B$6)+(W178*Settings!$B$8)+(AB178*Settings!$B$7)+(AC178*Settings!$B$14)+(AD178*Settings!$B$15)+(AE178*Settings!$B$16)+(AF178*Settings!$B$17)+(AG178*Settings!$B$18)+(U178*Settings!$B$13)+(Y178*Settings!$B$10)+(Z178*Settings!$B$11),VLOOKUP(B178,'Standard Deviations'!A$1:C$672,3,FALSE))</f>
        <v>-1.7855443067375361</v>
      </c>
      <c r="J178" s="53" cm="1">
        <f t="array" ref="J178">IF(D178="G",I178/AJ178,I178/Q178)</f>
        <v>-2.1256479842113523E-2</v>
      </c>
      <c r="K178" s="52" cm="1">
        <f t="array" ref="K178">VLOOKUP(B178,D!A1:F204,6,FALSE)</f>
        <v>-2.3523952212550903</v>
      </c>
      <c r="L178" s="54" cm="1">
        <f t="array" ref="L178">IFERROR(K178/H178,"N/A")</f>
        <v>-0.33605646017929863</v>
      </c>
      <c r="M178" s="84" t="s">
        <v>828</v>
      </c>
      <c r="N178" s="84" t="str" cm="1">
        <f t="array" ref="N178">IFERROR(M178-A178,"N/A")</f>
        <v>N/A</v>
      </c>
      <c r="O178" s="55"/>
      <c r="P178" s="56" cm="1">
        <f t="array" ref="P178">_xlfn.XLOOKUP($B178,ADP!A2:A671,ADP!G2:G671)</f>
        <v>0</v>
      </c>
      <c r="Q178" s="57" cm="1">
        <f t="array" ref="Q178">IF(Settings!$E$12="YES",VLOOKUP(B178,'Player Data'!A1:E673,5,FALSE),84)</f>
        <v>84</v>
      </c>
      <c r="R178" s="55" cm="1">
        <f t="array" ref="R178">VLOOKUP(B178,'Player Data'!$A1:$AE673,6,FALSE)</f>
        <v>23</v>
      </c>
      <c r="S178" s="57" cm="1">
        <f t="array" ref="S178">VLOOKUP(B178,'Player Data'!$A1:$AE673,7,FALSE)*$Q178*IFERROR((VLOOKUP(P178,Settings!$E$28:$F$33,2,FALSE)+1),1)</f>
        <v>5.8800000000000008</v>
      </c>
      <c r="T178" s="57" cm="1">
        <f t="array" ref="T178">VLOOKUP(B178,'Player Data'!$A1:$AE673,8,FALSE)*$Q178*IFERROR((VLOOKUP(P178,Settings!$E$28:$F$33,2,FALSE)+1),1)</f>
        <v>26.04</v>
      </c>
      <c r="U178" s="57" cm="1">
        <f t="array" ref="U178">SUM(S178:T178)</f>
        <v>31.92</v>
      </c>
      <c r="V178" s="57" cm="1">
        <f t="array" ref="V178">VLOOKUP(B178,'Player Data'!$A1:$AE673,10,FALSE)*$Q178*IFERROR(((VLOOKUP(P178,Settings!$E$28:$F$33,2,FALSE)/2)+1),1)</f>
        <v>131.88</v>
      </c>
      <c r="W178" s="57" cm="1">
        <f t="array" ref="W178">VLOOKUP(B178,'Player Data'!$A1:$AE673,11,FALSE)*$Q178*IFERROR((VLOOKUP(P178,Settings!$E$28:$F$33,2,FALSE)+1),1)</f>
        <v>0.84</v>
      </c>
      <c r="X178" s="57" cm="1">
        <f t="array" ref="X178">VLOOKUP(B178,'Player Data'!$A1:$AE673,12,FALSE)*$Q178*IFERROR((VLOOKUP(P178,Settings!$E$28:$F$33,2,FALSE)+1),1)</f>
        <v>8.4</v>
      </c>
      <c r="Y178" s="57" cm="1">
        <f t="array" ref="Y178">VLOOKUP(B178,'Player Data'!$A1:$AE673,13,FALSE)*$Q178</f>
        <v>0.84</v>
      </c>
      <c r="Z178" s="57" cm="1">
        <f t="array" ref="Z178">VLOOKUP(B178,'Player Data'!$A1:$AE673,14,FALSE)*$Q178</f>
        <v>1.68</v>
      </c>
      <c r="AA178" s="57" cm="1">
        <f t="array" ref="AA178">VLOOKUP(B178,'Player Data'!$A1:$AE673,15,FALSE)*$Q178</f>
        <v>101.64</v>
      </c>
      <c r="AB178" s="57" cm="1">
        <f t="array" ref="AB178">VLOOKUP(B178,'Player Data'!$A1:$AE673,16,FALSE)*$Q178</f>
        <v>72.239999999999995</v>
      </c>
      <c r="AC178" s="57" cm="1">
        <f t="array" ref="AC178">VLOOKUP(B178,'Player Data'!$A1:$AE673,17,FALSE)*$Q178*IFERROR((VLOOKUP(P178,Settings!$E$28:$F$33,2,FALSE)+1),1)</f>
        <v>-4.2</v>
      </c>
      <c r="AD178" s="57" cm="1">
        <f t="array" ref="AD178">VLOOKUP(B178,'Player Data'!$A1:$AE673,18,FALSE)*$Q178</f>
        <v>43.68</v>
      </c>
      <c r="AE178" s="57" cm="1">
        <f t="array" ref="AE178">VLOOKUP(B178,'Player Data'!$A1:$AE673,19,FALSE)*$Q178*IFERROR((VLOOKUP(P178,Settings!$E$28:$F$33,2,FALSE)+1),1)</f>
        <v>0.84</v>
      </c>
      <c r="AF178" s="57" cm="1">
        <f t="array" ref="AF178">VLOOKUP(B178,'Player Data'!$A1:$AE673,20,FALSE)*$Q178</f>
        <v>0</v>
      </c>
      <c r="AG178" s="57" cm="1">
        <f t="array" ref="AG178">VLOOKUP(B178,'Player Data'!$A1:$AE673,21,FALSE)*$Q178</f>
        <v>0</v>
      </c>
      <c r="AH178" s="59" cm="1">
        <f t="array" ref="AH178">VLOOKUP(B178,'Player Data'!$A1:$AE673,22,FALSE)</f>
        <v>0</v>
      </c>
      <c r="AI178" s="55"/>
      <c r="AJ178" s="57"/>
      <c r="AK178" s="57"/>
      <c r="AL178" s="57"/>
      <c r="AM178" s="57"/>
      <c r="AN178" s="57"/>
      <c r="AO178" s="57"/>
      <c r="AP178" s="57"/>
      <c r="AQ178" s="60"/>
      <c r="AR178" s="61"/>
      <c r="AS178" s="55"/>
    </row>
    <row r="179" spans="1:45" ht="21.25" customHeight="1" x14ac:dyDescent="0.15">
      <c r="A179" s="62">
        <f>RANK(K179,K$2:K$671)</f>
        <v>199</v>
      </c>
      <c r="B179" s="10" t="s">
        <v>477</v>
      </c>
      <c r="C179" s="47" t="s">
        <v>145</v>
      </c>
      <c r="D179" s="48" t="str" cm="1">
        <f t="array" ref="D179">VLOOKUP(B179,'Player Data'!A1:D673,4,FALSE)</f>
        <v>D</v>
      </c>
      <c r="E179" s="68" cm="1">
        <f t="array" ref="E179">VLOOKUP(B179,D!A1:C204,3,FALSE)</f>
        <v>82</v>
      </c>
      <c r="F179" s="72" t="str" cm="1">
        <f t="array" ref="F179">VLOOKUP(B179,'Player Data'!A1:B673,2,FALSE)</f>
        <v>FLA</v>
      </c>
      <c r="G179" s="11" cm="1">
        <f t="array" ref="G179">VLOOKUP(B179,'Player Data'!A1:D673,3,FALSE)</f>
        <v>30</v>
      </c>
      <c r="H179" s="51" cm="1">
        <f t="array" ref="H179">IFERROR(VLOOKUP(B179,ADP!A1:F671,6,FALSE)/1000000,VLOOKUP(B179,ADP!A1:F671,6,FALSE))</f>
        <v>5</v>
      </c>
      <c r="I179" s="52">
        <f>IF(Settings!$E$15="POINTS",((R179*Q179)*Settings!$B$12)+(S179*Settings!$B$2)+(T179*Settings!$B$3)+(U179*Settings!$B$4)+(V179*Settings!$B$5)+(X179*Settings!$B$9)+(AA179*Settings!$B$6)+(W179*Settings!$B$8)+(AB179*Settings!$B$7)+(AC179*Settings!$B$14)+(AD179*Settings!$B$15)+(AE179*Settings!$B$16)+(AF179*Settings!$B$17)+(AG179*Settings!$B$18)+(U179*Settings!$B$13)+(Y179*Settings!$B$10)+(Z179*Settings!$B$11),VLOOKUP(B179,'Standard Deviations'!A$1:C$672,3,FALSE))</f>
        <v>-1.8474713846927537</v>
      </c>
      <c r="J179" s="53" cm="1">
        <f t="array" ref="J179">IF(D179="G",I179/AJ179,I179/Q179)</f>
        <v>-2.2808288699910539E-2</v>
      </c>
      <c r="K179" s="52" cm="1">
        <f t="array" ref="K179">VLOOKUP(B179,D!A1:F204,6,FALSE)</f>
        <v>-2.4143222992103084</v>
      </c>
      <c r="L179" s="54" cm="1">
        <f t="array" ref="L179">IFERROR(K179/H179,"N/A")</f>
        <v>-0.48286445984206167</v>
      </c>
      <c r="M179" s="84" t="s">
        <v>828</v>
      </c>
      <c r="N179" s="84" t="str" cm="1">
        <f t="array" ref="N179">IFERROR(M179-A179,"N/A")</f>
        <v>N/A</v>
      </c>
      <c r="O179" s="55"/>
      <c r="P179" s="56" cm="1">
        <f t="array" ref="P179">_xlfn.XLOOKUP($B179,ADP!A2:A671,ADP!G2:G671)</f>
        <v>0</v>
      </c>
      <c r="Q179" s="57" cm="1">
        <f t="array" ref="Q179">IF(Settings!$E$12="YES",VLOOKUP(B179,'Player Data'!A1:E673,5,FALSE),84)</f>
        <v>81</v>
      </c>
      <c r="R179" s="55" cm="1">
        <f t="array" ref="R179">VLOOKUP(B179,'Player Data'!$A1:$AE673,6,FALSE)</f>
        <v>19.899999999999999</v>
      </c>
      <c r="S179" s="57" cm="1">
        <f t="array" ref="S179">VLOOKUP(B179,'Player Data'!$A1:$AE673,7,FALSE)*$Q179*IFERROR((VLOOKUP(P179,Settings!$E$28:$F$33,2,FALSE)+1),1)</f>
        <v>3.24</v>
      </c>
      <c r="T179" s="57" cm="1">
        <f t="array" ref="T179">VLOOKUP(B179,'Player Data'!$A1:$AE673,8,FALSE)*$Q179*IFERROR((VLOOKUP(P179,Settings!$E$28:$F$33,2,FALSE)+1),1)</f>
        <v>12.96</v>
      </c>
      <c r="U179" s="57" cm="1">
        <f t="array" ref="U179">SUM(S179:T179)</f>
        <v>16.200000000000003</v>
      </c>
      <c r="V179" s="57" cm="1">
        <f t="array" ref="V179">VLOOKUP(B179,'Player Data'!$A1:$AE673,10,FALSE)*$Q179*IFERROR(((VLOOKUP(P179,Settings!$E$28:$F$33,2,FALSE)/2)+1),1)</f>
        <v>85.05</v>
      </c>
      <c r="W179" s="57" cm="1">
        <f t="array" ref="W179">VLOOKUP(B179,'Player Data'!$A1:$AE673,11,FALSE)*$Q179*IFERROR((VLOOKUP(P179,Settings!$E$28:$F$33,2,FALSE)+1),1)</f>
        <v>0</v>
      </c>
      <c r="X179" s="57" cm="1">
        <f t="array" ref="X179">VLOOKUP(B179,'Player Data'!$A1:$AE673,12,FALSE)*$Q179*IFERROR((VLOOKUP(P179,Settings!$E$28:$F$33,2,FALSE)+1),1)</f>
        <v>0</v>
      </c>
      <c r="Y179" s="57" cm="1">
        <f t="array" ref="Y179">VLOOKUP(B179,'Player Data'!$A1:$AE673,13,FALSE)*$Q179</f>
        <v>0</v>
      </c>
      <c r="Z179" s="57" cm="1">
        <f t="array" ref="Z179">VLOOKUP(B179,'Player Data'!$A1:$AE673,14,FALSE)*$Q179</f>
        <v>0</v>
      </c>
      <c r="AA179" s="57" cm="1">
        <f t="array" ref="AA179">VLOOKUP(B179,'Player Data'!$A1:$AE673,15,FALSE)*$Q179</f>
        <v>102.06</v>
      </c>
      <c r="AB179" s="57" cm="1">
        <f t="array" ref="AB179">VLOOKUP(B179,'Player Data'!$A1:$AE673,16,FALSE)*$Q179</f>
        <v>128.79000000000002</v>
      </c>
      <c r="AC179" s="57" cm="1">
        <f t="array" ref="AC179">VLOOKUP(B179,'Player Data'!$A1:$AE673,17,FALSE)*$Q179*IFERROR((VLOOKUP(P179,Settings!$E$28:$F$33,2,FALSE)+1),1)</f>
        <v>3.24</v>
      </c>
      <c r="AD179" s="57" cm="1">
        <f t="array" ref="AD179">VLOOKUP(B179,'Player Data'!$A1:$AE673,18,FALSE)*$Q179</f>
        <v>52.65</v>
      </c>
      <c r="AE179" s="57" cm="1">
        <f t="array" ref="AE179">VLOOKUP(B179,'Player Data'!$A1:$AE673,19,FALSE)*$Q179*IFERROR((VLOOKUP(P179,Settings!$E$28:$F$33,2,FALSE)+1),1)</f>
        <v>0.81</v>
      </c>
      <c r="AF179" s="57" cm="1">
        <f t="array" ref="AF179">VLOOKUP(B179,'Player Data'!$A1:$AE673,20,FALSE)*$Q179</f>
        <v>0</v>
      </c>
      <c r="AG179" s="57" cm="1">
        <f t="array" ref="AG179">VLOOKUP(B179,'Player Data'!$A1:$AE673,21,FALSE)*$Q179</f>
        <v>0</v>
      </c>
      <c r="AH179" s="59" cm="1">
        <f t="array" ref="AH179">VLOOKUP(B179,'Player Data'!$A1:$AE673,22,FALSE)</f>
        <v>0</v>
      </c>
      <c r="AI179" s="55"/>
      <c r="AJ179" s="57"/>
      <c r="AK179" s="57"/>
      <c r="AL179" s="57"/>
      <c r="AM179" s="57"/>
      <c r="AN179" s="57"/>
      <c r="AO179" s="57"/>
      <c r="AP179" s="57"/>
      <c r="AQ179" s="60"/>
      <c r="AR179" s="61"/>
      <c r="AS179" s="55"/>
    </row>
    <row r="180" spans="1:45" ht="21.25" customHeight="1" x14ac:dyDescent="0.15">
      <c r="A180" s="62">
        <f>RANK(K180,K$2:K$671)</f>
        <v>200</v>
      </c>
      <c r="B180" s="10" t="s">
        <v>302</v>
      </c>
      <c r="C180" s="47" t="s">
        <v>145</v>
      </c>
      <c r="D180" s="48" t="str" cm="1">
        <f t="array" ref="D180">VLOOKUP(B180,'Player Data'!A1:D673,4,FALSE)</f>
        <v>D</v>
      </c>
      <c r="E180" s="68" cm="1">
        <f t="array" ref="E180">VLOOKUP(B180,D!A1:C204,3,FALSE)</f>
        <v>83</v>
      </c>
      <c r="F180" s="69" t="str" cm="1">
        <f t="array" ref="F180">VLOOKUP(B180,'Player Data'!A1:B673,2,FALSE)</f>
        <v>TOR</v>
      </c>
      <c r="G180" s="66" cm="1">
        <f t="array" ref="G180">VLOOKUP(B180,'Player Data'!A1:D673,3,FALSE)</f>
        <v>32</v>
      </c>
      <c r="H180" s="51" cm="1">
        <f t="array" ref="H180">IFERROR(VLOOKUP(B180,ADP!A1:F671,6,FALSE)/1000000,VLOOKUP(B180,ADP!A1:F671,6,FALSE))</f>
        <v>7.5</v>
      </c>
      <c r="I180" s="52">
        <f>IF(Settings!$E$15="POINTS",((R180*Q180)*Settings!$B$12)+(S180*Settings!$B$2)+(T180*Settings!$B$3)+(U180*Settings!$B$4)+(V180*Settings!$B$5)+(X180*Settings!$B$9)+(AA180*Settings!$B$6)+(W180*Settings!$B$8)+(AB180*Settings!$B$7)+(AC180*Settings!$B$14)+(AD180*Settings!$B$15)+(AE180*Settings!$B$16)+(AF180*Settings!$B$17)+(AG180*Settings!$B$18)+(U180*Settings!$B$13)+(Y180*Settings!$B$10)+(Z180*Settings!$B$11),VLOOKUP(B180,'Standard Deviations'!A$1:C$672,3,FALSE))</f>
        <v>-1.8620814909425341</v>
      </c>
      <c r="J180" s="53" cm="1">
        <f t="array" ref="J180">IF(D180="G",I180/AJ180,I180/Q180)</f>
        <v>-2.2708310865152855E-2</v>
      </c>
      <c r="K180" s="52" cm="1">
        <f t="array" ref="K180">VLOOKUP(B180,D!A1:F204,6,FALSE)</f>
        <v>-2.4289324054600883</v>
      </c>
      <c r="L180" s="54" cm="1">
        <f t="array" ref="L180">IFERROR(K180/H180,"N/A")</f>
        <v>-0.32385765406134509</v>
      </c>
      <c r="M180" s="55">
        <v>130.30000000000001</v>
      </c>
      <c r="N180" s="55" cm="1">
        <f t="array" ref="N180">IFERROR(M180-A180,"N/A")</f>
        <v>-69.699999999999989</v>
      </c>
      <c r="O180" s="55"/>
      <c r="P180" s="56" cm="1">
        <f t="array" ref="P180">_xlfn.XLOOKUP($B180,ADP!A2:A671,ADP!G2:G671)</f>
        <v>0</v>
      </c>
      <c r="Q180" s="57" cm="1">
        <f t="array" ref="Q180">IF(Settings!$E$12="YES",VLOOKUP(B180,'Player Data'!A1:E673,5,FALSE),84)</f>
        <v>82</v>
      </c>
      <c r="R180" s="83" cm="1">
        <f t="array" ref="R180">VLOOKUP(B180,'Player Data'!$A1:$AE673,6,FALSE)</f>
        <v>18.899999999999999</v>
      </c>
      <c r="S180" s="57" cm="1">
        <f t="array" ref="S180">VLOOKUP(B180,'Player Data'!$A1:$AE673,7,FALSE)*$Q180*IFERROR((VLOOKUP(P180,Settings!$E$28:$F$33,2,FALSE)+1),1)</f>
        <v>6.5600000000000005</v>
      </c>
      <c r="T180" s="57" cm="1">
        <f t="array" ref="T180">VLOOKUP(B180,'Player Data'!$A1:$AE673,8,FALSE)*$Q180*IFERROR((VLOOKUP(P180,Settings!$E$28:$F$33,2,FALSE)+1),1)</f>
        <v>26.240000000000002</v>
      </c>
      <c r="U180" s="57" cm="1">
        <f t="array" ref="U180">SUM(S180:T180)</f>
        <v>32.800000000000004</v>
      </c>
      <c r="V180" s="57" cm="1">
        <f t="array" ref="V180">VLOOKUP(B180,'Player Data'!$A1:$AE673,10,FALSE)*$Q180*IFERROR(((VLOOKUP(P180,Settings!$E$28:$F$33,2,FALSE)/2)+1),1)</f>
        <v>120.53999999999999</v>
      </c>
      <c r="W180" s="57" cm="1">
        <f t="array" ref="W180">VLOOKUP(B180,'Player Data'!$A1:$AE673,11,FALSE)*$Q180*IFERROR((VLOOKUP(P180,Settings!$E$28:$F$33,2,FALSE)+1),1)</f>
        <v>0.82000000000000006</v>
      </c>
      <c r="X180" s="57" cm="1">
        <f t="array" ref="X180">VLOOKUP(B180,'Player Data'!$A1:$AE673,12,FALSE)*$Q180*IFERROR((VLOOKUP(P180,Settings!$E$28:$F$33,2,FALSE)+1),1)</f>
        <v>5.74</v>
      </c>
      <c r="Y180" s="57" cm="1">
        <f t="array" ref="Y180">VLOOKUP(B180,'Player Data'!$A1:$AE673,13,FALSE)*$Q180</f>
        <v>0</v>
      </c>
      <c r="Z180" s="57" cm="1">
        <f t="array" ref="Z180">VLOOKUP(B180,'Player Data'!$A1:$AE673,14,FALSE)*$Q180</f>
        <v>0</v>
      </c>
      <c r="AA180" s="57" cm="1">
        <f t="array" ref="AA180">VLOOKUP(B180,'Player Data'!$A1:$AE673,15,FALSE)*$Q180</f>
        <v>113.16</v>
      </c>
      <c r="AB180" s="57" cm="1">
        <f t="array" ref="AB180">VLOOKUP(B180,'Player Data'!$A1:$AE673,16,FALSE)*$Q180</f>
        <v>42.64</v>
      </c>
      <c r="AC180" s="57" cm="1">
        <f t="array" ref="AC180">VLOOKUP(B180,'Player Data'!$A1:$AE673,17,FALSE)*$Q180*IFERROR((VLOOKUP(P180,Settings!$E$28:$F$33,2,FALSE)+1),1)</f>
        <v>0</v>
      </c>
      <c r="AD180" s="57" cm="1">
        <f t="array" ref="AD180">VLOOKUP(B180,'Player Data'!$A1:$AE673,18,FALSE)*$Q180</f>
        <v>25.419999999999998</v>
      </c>
      <c r="AE180" s="57" cm="1">
        <f t="array" ref="AE180">VLOOKUP(B180,'Player Data'!$A1:$AE673,19,FALSE)*$Q180*IFERROR((VLOOKUP(P180,Settings!$E$28:$F$33,2,FALSE)+1),1)</f>
        <v>0.82000000000000006</v>
      </c>
      <c r="AF180" s="57" cm="1">
        <f t="array" ref="AF180">VLOOKUP(B180,'Player Data'!$A1:$AE673,20,FALSE)*$Q180</f>
        <v>0</v>
      </c>
      <c r="AG180" s="57" cm="1">
        <f t="array" ref="AG180">VLOOKUP(B180,'Player Data'!$A1:$AE673,21,FALSE)*$Q180</f>
        <v>0</v>
      </c>
      <c r="AH180" s="59" cm="1">
        <f t="array" ref="AH180">VLOOKUP(B180,'Player Data'!$A1:$AE673,22,FALSE)</f>
        <v>0</v>
      </c>
      <c r="AI180" s="55"/>
      <c r="AJ180" s="57"/>
      <c r="AK180" s="57"/>
      <c r="AL180" s="57"/>
      <c r="AM180" s="57"/>
      <c r="AN180" s="57"/>
      <c r="AO180" s="57"/>
      <c r="AP180" s="57"/>
      <c r="AQ180" s="60"/>
      <c r="AR180" s="61"/>
      <c r="AS180" s="55"/>
    </row>
    <row r="181" spans="1:45" ht="21.25" customHeight="1" x14ac:dyDescent="0.15">
      <c r="A181" s="62">
        <f>RANK(K181,K$2:K$671)</f>
        <v>153</v>
      </c>
      <c r="B181" s="10" t="s">
        <v>298</v>
      </c>
      <c r="C181" s="47" t="s">
        <v>145</v>
      </c>
      <c r="D181" s="48" t="str" cm="1">
        <f t="array" ref="D181">VLOOKUP(B181,'Player Data'!A1:D673,4,FALSE)</f>
        <v>C,LW</v>
      </c>
      <c r="E181" s="74" cm="1">
        <f t="array" ref="E181">VLOOKUP(B181,LW!A1:C210,3,FALSE)</f>
        <v>32</v>
      </c>
      <c r="F181" s="50" t="str" cm="1">
        <f t="array" ref="F181">VLOOKUP(B181,'Player Data'!A1:B673,2,FALSE)</f>
        <v>COL</v>
      </c>
      <c r="G181" s="66" cm="1">
        <f t="array" ref="G181">VLOOKUP(B181,'Player Data'!A1:D673,3,FALSE)</f>
        <v>35</v>
      </c>
      <c r="H181" s="51" cm="1">
        <f t="array" ref="H181">IFERROR(VLOOKUP(B181,ADP!A1:F671,6,FALSE)/1000000,VLOOKUP(B181,ADP!A1:F671,6,FALSE))</f>
        <v>5.6</v>
      </c>
      <c r="I181" s="52">
        <f>IF(Settings!$E$15="POINTS",((R181*Q181)*Settings!$B$12)+(S181*Settings!$B$2)+(T181*Settings!$B$3)+(U181*Settings!$B$4)+(V181*Settings!$B$5)+(X181*Settings!$B$9)+(AA181*Settings!$B$6)+(W181*Settings!$B$8)+(AB181*Settings!$B$7)+(AC181*Settings!$B$14)+(AD181*Settings!$B$15)+(AE181*Settings!$B$16)+(AF181*Settings!$B$17)+(AG181*Settings!$B$18)+(Y181*Settings!$B$10)+(Z181*Settings!$B$11),VLOOKUP(B181,'Standard Deviations'!A$1:C$672,3,FALSE))</f>
        <v>5.3390818852859141</v>
      </c>
      <c r="J181" s="53" cm="1">
        <f t="array" ref="J181">IF(D181="G",I181/AJ181,I181/Q181)</f>
        <v>6.432628777452909E-2</v>
      </c>
      <c r="K181" s="52" cm="1">
        <f t="array" ref="K181">IF(Settings!$E$18="C/LW/RW",VLOOKUP(B181,LW!A1:F210,6,FALSE),VLOOKUP(B181,F!A1:F407,6,FALSE))</f>
        <v>-1.5553037591038956</v>
      </c>
      <c r="L181" s="54" cm="1">
        <f t="array" ref="L181">IFERROR(K181/H181,"N/A")</f>
        <v>-0.27773281412569567</v>
      </c>
      <c r="M181" s="55">
        <v>145.9</v>
      </c>
      <c r="N181" s="55" cm="1">
        <f t="array" ref="N181">IFERROR(M181-A181,"N/A")</f>
        <v>-7.0999999999999943</v>
      </c>
      <c r="O181" s="55"/>
      <c r="P181" s="56" cm="1">
        <f t="array" ref="P181">_xlfn.XLOOKUP($B181,ADP!A2:A671,ADP!G2:G671)</f>
        <v>0</v>
      </c>
      <c r="Q181" s="57" cm="1">
        <f t="array" ref="Q181">IF(Settings!$E$12="YES",VLOOKUP(B181,'Player Data'!A1:E673,5,FALSE),84)</f>
        <v>83</v>
      </c>
      <c r="R181" s="83" cm="1">
        <f t="array" ref="R181">VLOOKUP(B181,'Player Data'!$A1:$AE673,6,FALSE)</f>
        <v>17.399999999999999</v>
      </c>
      <c r="S181" s="57" cm="1">
        <f t="array" ref="S181">VLOOKUP(B181,'Player Data'!$A1:$AE673,7,FALSE)*$Q181*IFERROR((VLOOKUP(P181,Settings!$E$28:$F$33,2,FALSE)+1),1)</f>
        <v>22.41</v>
      </c>
      <c r="T181" s="57" cm="1">
        <f t="array" ref="T181">VLOOKUP(B181,'Player Data'!$A1:$AE673,8,FALSE)*$Q181*IFERROR((VLOOKUP(P181,Settings!$E$28:$F$33,2,FALSE)+1),1)</f>
        <v>34.03</v>
      </c>
      <c r="U181" s="57" cm="1">
        <f t="array" ref="U181">SUM(S181:T181)</f>
        <v>56.44</v>
      </c>
      <c r="V181" s="57" cm="1">
        <f t="array" ref="V181">VLOOKUP(B181,'Player Data'!$A1:$AE673,10,FALSE)*$Q181*IFERROR(((VLOOKUP(P181,Settings!$E$28:$F$33,2,FALSE)/2)+1),1)</f>
        <v>230.73999999999998</v>
      </c>
      <c r="W181" s="58" cm="1">
        <f t="array" ref="W181">VLOOKUP(B181,'Player Data'!$A1:$AE673,11,FALSE)*$Q181*IFERROR((VLOOKUP(P181,Settings!$E$28:$F$33,2,FALSE)+1),1)</f>
        <v>7.47</v>
      </c>
      <c r="X181" s="57" cm="1">
        <f t="array" ref="X181">VLOOKUP(B181,'Player Data'!$A1:$AE673,12,FALSE)*$Q181*IFERROR((VLOOKUP(P181,Settings!$E$28:$F$33,2,FALSE)+1),1)</f>
        <v>22.41</v>
      </c>
      <c r="Y181" s="57" cm="1">
        <f t="array" ref="Y181">VLOOKUP(B181,'Player Data'!$A1:$AE673,13,FALSE)*$Q181</f>
        <v>0</v>
      </c>
      <c r="Z181" s="57" cm="1">
        <f t="array" ref="Z181">VLOOKUP(B181,'Player Data'!$A1:$AE673,14,FALSE)*$Q181</f>
        <v>0</v>
      </c>
      <c r="AA181" s="57" cm="1">
        <f t="array" ref="AA181">VLOOKUP(B181,'Player Data'!$A1:$AE673,15,FALSE)*$Q181</f>
        <v>30.71</v>
      </c>
      <c r="AB181" s="57" cm="1">
        <f t="array" ref="AB181">VLOOKUP(B181,'Player Data'!$A1:$AE673,16,FALSE)*$Q181</f>
        <v>53.95</v>
      </c>
      <c r="AC181" s="57" cm="1">
        <f t="array" ref="AC181">VLOOKUP(B181,'Player Data'!$A1:$AE673,17,FALSE)*$Q181*IFERROR((VLOOKUP(P181,Settings!$E$28:$F$33,2,FALSE)+1),1)</f>
        <v>5.8100000000000005</v>
      </c>
      <c r="AD181" s="57" cm="1">
        <f t="array" ref="AD181">VLOOKUP(B181,'Player Data'!$A1:$AE673,18,FALSE)*$Q181</f>
        <v>38.18</v>
      </c>
      <c r="AE181" s="57" cm="1">
        <f t="array" ref="AE181">VLOOKUP(B181,'Player Data'!$A1:$AE673,19,FALSE)*$Q181*IFERROR((VLOOKUP(P181,Settings!$E$28:$F$33,2,FALSE)+1),1)</f>
        <v>4.1500000000000004</v>
      </c>
      <c r="AF181" s="57" cm="1">
        <f t="array" ref="AF181">VLOOKUP(B181,'Player Data'!$A1:$AE673,20,FALSE)*$Q181</f>
        <v>499.65999999999997</v>
      </c>
      <c r="AG181" s="57" cm="1">
        <f t="array" ref="AG181">VLOOKUP(B181,'Player Data'!$A1:$AE673,21,FALSE)*$Q181</f>
        <v>558.59</v>
      </c>
      <c r="AH181" s="59" cm="1">
        <f t="array" ref="AH181">VLOOKUP(B181,'Player Data'!$A1:$AE673,22,FALSE)</f>
        <v>0.47</v>
      </c>
      <c r="AI181" s="55"/>
      <c r="AJ181" s="57"/>
      <c r="AK181" s="57"/>
      <c r="AL181" s="57"/>
      <c r="AM181" s="57"/>
      <c r="AN181" s="57"/>
      <c r="AO181" s="57"/>
      <c r="AP181" s="57"/>
      <c r="AQ181" s="60"/>
      <c r="AR181" s="61"/>
      <c r="AS181" s="55"/>
    </row>
    <row r="182" spans="1:45" ht="21.25" customHeight="1" x14ac:dyDescent="0.15">
      <c r="A182" s="62">
        <f>RANK(K182,K$2:K$671)</f>
        <v>202</v>
      </c>
      <c r="B182" s="10" t="s">
        <v>270</v>
      </c>
      <c r="C182" s="47" t="s">
        <v>145</v>
      </c>
      <c r="D182" s="48" t="str" cm="1">
        <f t="array" ref="D182">VLOOKUP(B182,'Player Data'!A1:D673,4,FALSE)</f>
        <v>D</v>
      </c>
      <c r="E182" s="68" cm="1">
        <f t="array" ref="E182">VLOOKUP(B182,D!A1:C204,3,FALSE)</f>
        <v>84</v>
      </c>
      <c r="F182" s="50" t="str" cm="1">
        <f t="array" ref="F182">VLOOKUP(B182,'Player Data'!A1:B673,2,FALSE)</f>
        <v>ANA</v>
      </c>
      <c r="G182" s="71" cm="1">
        <f t="array" ref="G182">VLOOKUP(B182,'Player Data'!A1:D673,3,FALSE)</f>
        <v>22</v>
      </c>
      <c r="H182" s="51" cm="1">
        <f t="array" ref="H182">IFERROR(VLOOKUP(B182,ADP!A1:F671,6,FALSE)/1000000,VLOOKUP(B182,ADP!A1:F671,6,FALSE))</f>
        <v>7.2</v>
      </c>
      <c r="I182" s="52">
        <f>IF(Settings!$E$15="POINTS",((R182*Q182)*Settings!$B$12)+(S182*Settings!$B$2)+(T182*Settings!$B$3)+(U182*Settings!$B$4)+(V182*Settings!$B$5)+(X182*Settings!$B$9)+(AA182*Settings!$B$6)+(W182*Settings!$B$8)+(AB182*Settings!$B$7)+(AC182*Settings!$B$14)+(AD182*Settings!$B$15)+(AE182*Settings!$B$16)+(AF182*Settings!$B$17)+(AG182*Settings!$B$18)+(U182*Settings!$B$13)+(Y182*Settings!$B$10)+(Z182*Settings!$B$11),VLOOKUP(B182,'Standard Deviations'!A$1:C$672,3,FALSE))</f>
        <v>-1.9097894544299547</v>
      </c>
      <c r="J182" s="53" cm="1">
        <f t="array" ref="J182">IF(D182="G",I182/AJ182,I182/Q182)</f>
        <v>-2.4174550056075376E-2</v>
      </c>
      <c r="K182" s="52" cm="1">
        <f t="array" ref="K182">VLOOKUP(B182,D!A1:F204,6,FALSE)</f>
        <v>-2.4766403689475092</v>
      </c>
      <c r="L182" s="54" cm="1">
        <f t="array" ref="L182">IFERROR(K182/H182,"N/A")</f>
        <v>-0.3439778290204874</v>
      </c>
      <c r="M182" s="84" t="s">
        <v>828</v>
      </c>
      <c r="N182" s="84" t="str" cm="1">
        <f t="array" ref="N182">IFERROR(M182-A182,"N/A")</f>
        <v>N/A</v>
      </c>
      <c r="O182" s="55"/>
      <c r="P182" s="56" t="str" cm="1">
        <f t="array" ref="P182">_xlfn.XLOOKUP($B182,ADP!A2:A671,ADP!G2:G671)</f>
        <v>+</v>
      </c>
      <c r="Q182" s="57" cm="1">
        <f t="array" ref="Q182">IF(Settings!$E$12="YES",VLOOKUP(B182,'Player Data'!A1:E673,5,FALSE),84)</f>
        <v>79</v>
      </c>
      <c r="R182" s="81" cm="1">
        <f t="array" ref="R182">VLOOKUP(B182,'Player Data'!$A1:$AE673,6,FALSE)</f>
        <v>22.2</v>
      </c>
      <c r="S182" s="57" cm="1">
        <f t="array" ref="S182">VLOOKUP(B182,'Player Data'!$A1:$AE673,7,FALSE)*$Q182*IFERROR((VLOOKUP(P182,Settings!$E$28:$F$33,2,FALSE)+1),1)</f>
        <v>9.9540000000000006</v>
      </c>
      <c r="T182" s="57" cm="1">
        <f t="array" ref="T182">VLOOKUP(B182,'Player Data'!$A1:$AE673,8,FALSE)*$Q182*IFERROR((VLOOKUP(P182,Settings!$E$28:$F$33,2,FALSE)+1),1)</f>
        <v>26.544000000000004</v>
      </c>
      <c r="U182" s="57" cm="1">
        <f t="array" ref="U182">SUM(S182:T182)</f>
        <v>36.498000000000005</v>
      </c>
      <c r="V182" s="57" cm="1">
        <f t="array" ref="V182">VLOOKUP(B182,'Player Data'!$A1:$AE673,10,FALSE)*$Q182*IFERROR(((VLOOKUP(P182,Settings!$E$28:$F$33,2,FALSE)/2)+1),1)</f>
        <v>115.79424999999999</v>
      </c>
      <c r="W182" s="57" cm="1">
        <f t="array" ref="W182">VLOOKUP(B182,'Player Data'!$A1:$AE673,11,FALSE)*$Q182*IFERROR((VLOOKUP(P182,Settings!$E$28:$F$33,2,FALSE)+1),1)</f>
        <v>0</v>
      </c>
      <c r="X182" s="57" cm="1">
        <f t="array" ref="X182">VLOOKUP(B182,'Player Data'!$A1:$AE673,12,FALSE)*$Q182*IFERROR((VLOOKUP(P182,Settings!$E$28:$F$33,2,FALSE)+1),1)</f>
        <v>6.636000000000001</v>
      </c>
      <c r="Y182" s="57" cm="1">
        <f t="array" ref="Y182">VLOOKUP(B182,'Player Data'!$A1:$AE673,13,FALSE)*$Q182</f>
        <v>0</v>
      </c>
      <c r="Z182" s="57" cm="1">
        <f t="array" ref="Z182">VLOOKUP(B182,'Player Data'!$A1:$AE673,14,FALSE)*$Q182</f>
        <v>0.79</v>
      </c>
      <c r="AA182" s="57" cm="1">
        <f t="array" ref="AA182">VLOOKUP(B182,'Player Data'!$A1:$AE673,15,FALSE)*$Q182</f>
        <v>135.09</v>
      </c>
      <c r="AB182" s="57" cm="1">
        <f t="array" ref="AB182">VLOOKUP(B182,'Player Data'!$A1:$AE673,16,FALSE)*$Q182</f>
        <v>75.05</v>
      </c>
      <c r="AC182" s="57" cm="1">
        <f t="array" ref="AC182">VLOOKUP(B182,'Player Data'!$A1:$AE673,17,FALSE)*$Q182*IFERROR((VLOOKUP(P182,Settings!$E$28:$F$33,2,FALSE)+1),1)</f>
        <v>-4.9770000000000003</v>
      </c>
      <c r="AD182" s="57" cm="1">
        <f t="array" ref="AD182">VLOOKUP(B182,'Player Data'!$A1:$AE673,18,FALSE)*$Q182</f>
        <v>30.02</v>
      </c>
      <c r="AE182" s="57" cm="1">
        <f t="array" ref="AE182">VLOOKUP(B182,'Player Data'!$A1:$AE673,19,FALSE)*$Q182*IFERROR((VLOOKUP(P182,Settings!$E$28:$F$33,2,FALSE)+1),1)</f>
        <v>1.6590000000000003</v>
      </c>
      <c r="AF182" s="57" cm="1">
        <f t="array" ref="AF182">VLOOKUP(B182,'Player Data'!$A1:$AE673,20,FALSE)*$Q182</f>
        <v>0</v>
      </c>
      <c r="AG182" s="57" cm="1">
        <f t="array" ref="AG182">VLOOKUP(B182,'Player Data'!$A1:$AE673,21,FALSE)*$Q182</f>
        <v>0</v>
      </c>
      <c r="AH182" s="59" cm="1">
        <f t="array" ref="AH182">VLOOKUP(B182,'Player Data'!$A1:$AE673,22,FALSE)</f>
        <v>0</v>
      </c>
      <c r="AI182" s="55"/>
      <c r="AJ182" s="57"/>
      <c r="AK182" s="57"/>
      <c r="AL182" s="57"/>
      <c r="AM182" s="57"/>
      <c r="AN182" s="57"/>
      <c r="AO182" s="57"/>
      <c r="AP182" s="57"/>
      <c r="AQ182" s="60"/>
      <c r="AR182" s="61"/>
      <c r="AS182" s="55"/>
    </row>
    <row r="183" spans="1:45" ht="21.25" customHeight="1" x14ac:dyDescent="0.15">
      <c r="A183" s="62">
        <f>RANK(K183,K$2:K$671)</f>
        <v>154</v>
      </c>
      <c r="B183" s="10" t="s">
        <v>246</v>
      </c>
      <c r="C183" s="47" t="s">
        <v>145</v>
      </c>
      <c r="D183" s="48" t="str" cm="1">
        <f t="array" ref="D183">VLOOKUP(B183,'Player Data'!A1:D673,4,FALSE)</f>
        <v>LW,RW</v>
      </c>
      <c r="E183" s="74" cm="1">
        <f t="array" ref="E183">VLOOKUP(B183,RW!A1:F210,3,FALSE)</f>
        <v>34</v>
      </c>
      <c r="F183" s="56" t="str" cm="1">
        <f t="array" ref="F183">VLOOKUP(B183,'Player Data'!A1:B673,2,FALSE)</f>
        <v>NYR</v>
      </c>
      <c r="G183" s="71" cm="1">
        <f t="array" ref="G183">VLOOKUP(B183,'Player Data'!A1:D673,3,FALSE)</f>
        <v>24</v>
      </c>
      <c r="H183" s="51" cm="1">
        <f t="array" ref="H183">IFERROR(VLOOKUP(B183,ADP!A1:F671,6,FALSE)/1000000,VLOOKUP(B183,ADP!A1:F671,6,FALSE))</f>
        <v>7.45</v>
      </c>
      <c r="I183" s="52">
        <f>IF(Settings!$E$15="POINTS",((R183*Q183)*Settings!$B$12)+(S183*Settings!$B$2)+(T183*Settings!$B$3)+(U183*Settings!$B$4)+(V183*Settings!$B$5)+(X183*Settings!$B$9)+(AA183*Settings!$B$6)+(W183*Settings!$B$8)+(AB183*Settings!$B$7)+(AC183*Settings!$B$14)+(AD183*Settings!$B$15)+(AE183*Settings!$B$16)+(AF183*Settings!$B$17)+(AG183*Settings!$B$18)+(Y183*Settings!$B$10)+(Z183*Settings!$B$11),VLOOKUP(B183,'Standard Deviations'!A$1:C$672,3,FALSE))</f>
        <v>5.315202374473964</v>
      </c>
      <c r="J183" s="53" cm="1">
        <f t="array" ref="J183">IF(D183="G",I183/AJ183,I183/Q183)</f>
        <v>6.3276218743737664E-2</v>
      </c>
      <c r="K183" s="52" cm="1">
        <f t="array" ref="K183">IF(Settings!$E$18="C/LW/RW",VLOOKUP(B183,RW!A1:F210,6,FALSE),VLOOKUP(B183,F!A1:F407,6,FALSE))</f>
        <v>-1.5720322273351135</v>
      </c>
      <c r="L183" s="54" cm="1">
        <f t="array" ref="L183">IFERROR(K183/H183,"N/A")</f>
        <v>-0.21101103722618972</v>
      </c>
      <c r="M183" s="55">
        <v>141.69999999999999</v>
      </c>
      <c r="N183" s="55" cm="1">
        <f t="array" ref="N183">IFERROR(M183-A183,"N/A")</f>
        <v>-12.300000000000011</v>
      </c>
      <c r="O183" s="55"/>
      <c r="P183" s="56" t="str" cm="1">
        <f t="array" ref="P183">_xlfn.XLOOKUP($B183,ADP!A2:A671,ADP!G2:G671)</f>
        <v>+</v>
      </c>
      <c r="Q183" s="57" cm="1">
        <f t="array" ref="Q183">IF(Settings!$E$12="YES",VLOOKUP(B183,'Player Data'!A1:E673,5,FALSE),84)</f>
        <v>84</v>
      </c>
      <c r="R183" s="81" cm="1">
        <f t="array" ref="R183">VLOOKUP(B183,'Player Data'!$A1:$AE673,6,FALSE)</f>
        <v>18.600000000000001</v>
      </c>
      <c r="S183" s="57" cm="1">
        <f t="array" ref="S183">VLOOKUP(B183,'Player Data'!$A1:$AE673,7,FALSE)*$Q183*IFERROR((VLOOKUP(P183,Settings!$E$28:$F$33,2,FALSE)+1),1)</f>
        <v>29.106000000000005</v>
      </c>
      <c r="T183" s="57" cm="1">
        <f t="array" ref="T183">VLOOKUP(B183,'Player Data'!$A1:$AE673,8,FALSE)*$Q183*IFERROR((VLOOKUP(P183,Settings!$E$28:$F$33,2,FALSE)+1),1)</f>
        <v>38.808</v>
      </c>
      <c r="U183" s="57" cm="1">
        <f t="array" ref="U183">SUM(S183:T183)</f>
        <v>67.914000000000001</v>
      </c>
      <c r="V183" s="57" cm="1">
        <f t="array" ref="V183">VLOOKUP(B183,'Player Data'!$A1:$AE673,10,FALSE)*$Q183*IFERROR(((VLOOKUP(P183,Settings!$E$28:$F$33,2,FALSE)/2)+1),1)</f>
        <v>198.89099999999996</v>
      </c>
      <c r="W183" s="58" cm="1">
        <f t="array" ref="W183">VLOOKUP(B183,'Player Data'!$A1:$AE673,11,FALSE)*$Q183*IFERROR((VLOOKUP(P183,Settings!$E$28:$F$33,2,FALSE)+1),1)</f>
        <v>10.584000000000001</v>
      </c>
      <c r="X183" s="57" cm="1">
        <f t="array" ref="X183">VLOOKUP(B183,'Player Data'!$A1:$AE673,12,FALSE)*$Q183*IFERROR((VLOOKUP(P183,Settings!$E$28:$F$33,2,FALSE)+1),1)</f>
        <v>20.286000000000001</v>
      </c>
      <c r="Y183" s="57" cm="1">
        <f t="array" ref="Y183">VLOOKUP(B183,'Player Data'!$A1:$AE673,13,FALSE)*$Q183</f>
        <v>0</v>
      </c>
      <c r="Z183" s="57" cm="1">
        <f t="array" ref="Z183">VLOOKUP(B183,'Player Data'!$A1:$AE673,14,FALSE)*$Q183</f>
        <v>0</v>
      </c>
      <c r="AA183" s="57" cm="1">
        <f t="array" ref="AA183">VLOOKUP(B183,'Player Data'!$A1:$AE673,15,FALSE)*$Q183</f>
        <v>37.800000000000004</v>
      </c>
      <c r="AB183" s="57" cm="1">
        <f t="array" ref="AB183">VLOOKUP(B183,'Player Data'!$A1:$AE673,16,FALSE)*$Q183</f>
        <v>93.240000000000009</v>
      </c>
      <c r="AC183" s="57" cm="1">
        <f t="array" ref="AC183">VLOOKUP(B183,'Player Data'!$A1:$AE673,17,FALSE)*$Q183*IFERROR((VLOOKUP(P183,Settings!$E$28:$F$33,2,FALSE)+1),1)</f>
        <v>0.88200000000000001</v>
      </c>
      <c r="AD183" s="57" cm="1">
        <f t="array" ref="AD183">VLOOKUP(B183,'Player Data'!$A1:$AE673,18,FALSE)*$Q183</f>
        <v>29.4</v>
      </c>
      <c r="AE183" s="57" cm="1">
        <f t="array" ref="AE183">VLOOKUP(B183,'Player Data'!$A1:$AE673,19,FALSE)*$Q183*IFERROR((VLOOKUP(P183,Settings!$E$28:$F$33,2,FALSE)+1),1)</f>
        <v>4.41</v>
      </c>
      <c r="AF183" s="57" cm="1">
        <f t="array" ref="AF183">VLOOKUP(B183,'Player Data'!$A1:$AE673,20,FALSE)*$Q183</f>
        <v>12.6</v>
      </c>
      <c r="AG183" s="57" cm="1">
        <f t="array" ref="AG183">VLOOKUP(B183,'Player Data'!$A1:$AE673,21,FALSE)*$Q183</f>
        <v>33.6</v>
      </c>
      <c r="AH183" s="59" cm="1">
        <f t="array" ref="AH183">VLOOKUP(B183,'Player Data'!$A1:$AE673,22,FALSE)</f>
        <v>0.27</v>
      </c>
      <c r="AI183" s="55"/>
      <c r="AJ183" s="57"/>
      <c r="AK183" s="57"/>
      <c r="AL183" s="57"/>
      <c r="AM183" s="57"/>
      <c r="AN183" s="57"/>
      <c r="AO183" s="57"/>
      <c r="AP183" s="57"/>
      <c r="AQ183" s="60"/>
      <c r="AR183" s="61"/>
      <c r="AS183" s="55"/>
    </row>
    <row r="184" spans="1:45" ht="21.25" customHeight="1" x14ac:dyDescent="0.15">
      <c r="A184" s="62">
        <f>RANK(K184,K$2:K$671)</f>
        <v>157</v>
      </c>
      <c r="B184" s="10" t="s">
        <v>275</v>
      </c>
      <c r="C184" s="47" t="s">
        <v>145</v>
      </c>
      <c r="D184" s="48" t="str" cm="1">
        <f t="array" ref="D184">VLOOKUP(B184,'Player Data'!A1:D673,4,FALSE)</f>
        <v>C,LW,RW</v>
      </c>
      <c r="E184" s="74" cm="1">
        <f t="array" ref="E184">VLOOKUP(B184,RW!A1:F210,3,FALSE)</f>
        <v>35</v>
      </c>
      <c r="F184" s="72" t="str" cm="1">
        <f t="array" ref="F184">VLOOKUP(B184,'Player Data'!A1:B673,2,FALSE)</f>
        <v>BOS</v>
      </c>
      <c r="G184" s="11" cm="1">
        <f t="array" ref="G184">VLOOKUP(B184,'Player Data'!A1:D673,3,FALSE)</f>
        <v>28</v>
      </c>
      <c r="H184" s="51" cm="1">
        <f t="array" ref="H184">IFERROR(VLOOKUP(B184,ADP!A1:F671,6,FALSE)/1000000,VLOOKUP(B184,ADP!A1:F671,6,FALSE))</f>
        <v>5.5</v>
      </c>
      <c r="I184" s="52">
        <f>IF(Settings!$E$15="POINTS",((R184*Q184)*Settings!$B$12)+(S184*Settings!$B$2)+(T184*Settings!$B$3)+(U184*Settings!$B$4)+(V184*Settings!$B$5)+(X184*Settings!$B$9)+(AA184*Settings!$B$6)+(W184*Settings!$B$8)+(AB184*Settings!$B$7)+(AC184*Settings!$B$14)+(AD184*Settings!$B$15)+(AE184*Settings!$B$16)+(AF184*Settings!$B$17)+(AG184*Settings!$B$18)+(Y184*Settings!$B$10)+(Z184*Settings!$B$11),VLOOKUP(B184,'Standard Deviations'!A$1:C$672,3,FALSE))</f>
        <v>5.2657629345430648</v>
      </c>
      <c r="J184" s="53" cm="1">
        <f t="array" ref="J184">IF(D184="G",I184/AJ184,I184/Q184)</f>
        <v>6.34429269222056E-2</v>
      </c>
      <c r="K184" s="52" cm="1">
        <f t="array" ref="K184">IF(Settings!$E$18="C/LW/RW",VLOOKUP(B184,RW!A1:F210,6,FALSE),VLOOKUP(B184,F!A1:F407,6,FALSE))</f>
        <v>-1.6214716672660128</v>
      </c>
      <c r="L184" s="54" cm="1">
        <f t="array" ref="L184">IFERROR(K184/H184,"N/A")</f>
        <v>-0.2948130304120023</v>
      </c>
      <c r="M184" s="55">
        <v>118.6</v>
      </c>
      <c r="N184" s="55" cm="1">
        <f t="array" ref="N184">IFERROR(M184-A184,"N/A")</f>
        <v>-38.400000000000006</v>
      </c>
      <c r="O184" s="55"/>
      <c r="P184" s="56" cm="1">
        <f t="array" ref="P184">_xlfn.XLOOKUP($B184,ADP!A2:A671,ADP!G2:G671)</f>
        <v>0</v>
      </c>
      <c r="Q184" s="57" cm="1">
        <f t="array" ref="Q184">IF(Settings!$E$12="YES",VLOOKUP(B184,'Player Data'!A1:E673,5,FALSE),84)</f>
        <v>83</v>
      </c>
      <c r="R184" s="55" cm="1">
        <f t="array" ref="R184">VLOOKUP(B184,'Player Data'!$A1:$AE673,6,FALSE)</f>
        <v>17.5</v>
      </c>
      <c r="S184" s="57" cm="1">
        <f t="array" ref="S184">VLOOKUP(B184,'Player Data'!$A1:$AE673,7,FALSE)*$Q184*IFERROR((VLOOKUP(P184,Settings!$E$28:$F$33,2,FALSE)+1),1)</f>
        <v>35.69</v>
      </c>
      <c r="T184" s="57" cm="1">
        <f t="array" ref="T184">VLOOKUP(B184,'Player Data'!$A1:$AE673,8,FALSE)*$Q184*IFERROR((VLOOKUP(P184,Settings!$E$28:$F$33,2,FALSE)+1),1)</f>
        <v>30.71</v>
      </c>
      <c r="U184" s="57" cm="1">
        <f t="array" ref="U184">SUM(S184:T184)</f>
        <v>66.400000000000006</v>
      </c>
      <c r="V184" s="57" cm="1">
        <f t="array" ref="V184">VLOOKUP(B184,'Player Data'!$A1:$AE673,10,FALSE)*$Q184*IFERROR(((VLOOKUP(P184,Settings!$E$28:$F$33,2,FALSE)/2)+1),1)</f>
        <v>182.60000000000002</v>
      </c>
      <c r="W184" s="58" cm="1">
        <f t="array" ref="W184">VLOOKUP(B184,'Player Data'!$A1:$AE673,11,FALSE)*$Q184*IFERROR((VLOOKUP(P184,Settings!$E$28:$F$33,2,FALSE)+1),1)</f>
        <v>9.9599999999999991</v>
      </c>
      <c r="X184" s="57" cm="1">
        <f t="array" ref="X184">VLOOKUP(B184,'Player Data'!$A1:$AE673,12,FALSE)*$Q184*IFERROR((VLOOKUP(P184,Settings!$E$28:$F$33,2,FALSE)+1),1)</f>
        <v>21.580000000000002</v>
      </c>
      <c r="Y184" s="57" cm="1">
        <f t="array" ref="Y184">VLOOKUP(B184,'Player Data'!$A1:$AE673,13,FALSE)*$Q184</f>
        <v>0</v>
      </c>
      <c r="Z184" s="57" cm="1">
        <f t="array" ref="Z184">VLOOKUP(B184,'Player Data'!$A1:$AE673,14,FALSE)*$Q184</f>
        <v>0</v>
      </c>
      <c r="AA184" s="57" cm="1">
        <f t="array" ref="AA184">VLOOKUP(B184,'Player Data'!$A1:$AE673,15,FALSE)*$Q184</f>
        <v>35.69</v>
      </c>
      <c r="AB184" s="57" cm="1">
        <f t="array" ref="AB184">VLOOKUP(B184,'Player Data'!$A1:$AE673,16,FALSE)*$Q184</f>
        <v>112.05000000000001</v>
      </c>
      <c r="AC184" s="57" cm="1">
        <f t="array" ref="AC184">VLOOKUP(B184,'Player Data'!$A1:$AE673,17,FALSE)*$Q184*IFERROR((VLOOKUP(P184,Settings!$E$28:$F$33,2,FALSE)+1),1)</f>
        <v>-0.83000000000000007</v>
      </c>
      <c r="AD184" s="57" cm="1">
        <f t="array" ref="AD184">VLOOKUP(B184,'Player Data'!$A1:$AE673,18,FALSE)*$Q184</f>
        <v>28.220000000000002</v>
      </c>
      <c r="AE184" s="57" cm="1">
        <f t="array" ref="AE184">VLOOKUP(B184,'Player Data'!$A1:$AE673,19,FALSE)*$Q184*IFERROR((VLOOKUP(P184,Settings!$E$28:$F$33,2,FALSE)+1),1)</f>
        <v>4.9799999999999995</v>
      </c>
      <c r="AF184" s="57" cm="1">
        <f t="array" ref="AF184">VLOOKUP(B184,'Player Data'!$A1:$AE673,20,FALSE)*$Q184</f>
        <v>129.48000000000002</v>
      </c>
      <c r="AG184" s="57" cm="1">
        <f t="array" ref="AG184">VLOOKUP(B184,'Player Data'!$A1:$AE673,21,FALSE)*$Q184</f>
        <v>152.72</v>
      </c>
      <c r="AH184" s="59" cm="1">
        <f t="array" ref="AH184">VLOOKUP(B184,'Player Data'!$A1:$AE673,22,FALSE)</f>
        <v>0.46</v>
      </c>
      <c r="AI184" s="55"/>
      <c r="AJ184" s="57"/>
      <c r="AK184" s="57"/>
      <c r="AL184" s="57"/>
      <c r="AM184" s="57"/>
      <c r="AN184" s="57"/>
      <c r="AO184" s="57"/>
      <c r="AP184" s="57"/>
      <c r="AQ184" s="60"/>
      <c r="AR184" s="61"/>
      <c r="AS184" s="55"/>
    </row>
    <row r="185" spans="1:45" ht="21.25" customHeight="1" x14ac:dyDescent="0.15">
      <c r="A185" s="62">
        <f>RANK(K185,K$2:K$671)</f>
        <v>205</v>
      </c>
      <c r="B185" s="10" t="s">
        <v>453</v>
      </c>
      <c r="C185" s="47" t="s">
        <v>145</v>
      </c>
      <c r="D185" s="48" t="str" cm="1">
        <f t="array" ref="D185">VLOOKUP(B185,'Player Data'!A1:D673,4,FALSE)</f>
        <v>D</v>
      </c>
      <c r="E185" s="68" cm="1">
        <f t="array" ref="E185">VLOOKUP(B185,D!A1:C204,3,FALSE)</f>
        <v>85</v>
      </c>
      <c r="F185" s="63" t="str" cm="1">
        <f t="array" ref="F185">VLOOKUP(B185,'Player Data'!A1:B673,2,FALSE)</f>
        <v>EDM</v>
      </c>
      <c r="G185" s="66" cm="1">
        <f t="array" ref="G185">VLOOKUP(B185,'Player Data'!A1:D673,3,FALSE)</f>
        <v>33</v>
      </c>
      <c r="H185" s="51" cm="1">
        <f t="array" ref="H185">IFERROR(VLOOKUP(B185,ADP!A1:F671,6,FALSE)/1000000,VLOOKUP(B185,ADP!A1:F671,6,FALSE))</f>
        <v>4.0999999999999996</v>
      </c>
      <c r="I185" s="52">
        <f>IF(Settings!$E$15="POINTS",((R185*Q185)*Settings!$B$12)+(S185*Settings!$B$2)+(T185*Settings!$B$3)+(U185*Settings!$B$4)+(V185*Settings!$B$5)+(X185*Settings!$B$9)+(AA185*Settings!$B$6)+(W185*Settings!$B$8)+(AB185*Settings!$B$7)+(AC185*Settings!$B$14)+(AD185*Settings!$B$15)+(AE185*Settings!$B$16)+(AF185*Settings!$B$17)+(AG185*Settings!$B$18)+(U185*Settings!$B$13)+(Y185*Settings!$B$10)+(Z185*Settings!$B$11),VLOOKUP(B185,'Standard Deviations'!A$1:C$672,3,FALSE))</f>
        <v>-2.0048193332843347</v>
      </c>
      <c r="J185" s="53" cm="1">
        <f t="array" ref="J185">IF(D185="G",I185/AJ185,I185/Q185)</f>
        <v>-2.5702811965183779E-2</v>
      </c>
      <c r="K185" s="52" cm="1">
        <f t="array" ref="K185">VLOOKUP(B185,D!A1:F204,6,FALSE)</f>
        <v>-2.5716702478018894</v>
      </c>
      <c r="L185" s="54" cm="1">
        <f t="array" ref="L185">IFERROR(K185/H185,"N/A")</f>
        <v>-0.62723664580533889</v>
      </c>
      <c r="M185" s="84" t="s">
        <v>828</v>
      </c>
      <c r="N185" s="84" t="str" cm="1">
        <f t="array" ref="N185">IFERROR(M185-A185,"N/A")</f>
        <v>N/A</v>
      </c>
      <c r="O185" s="55"/>
      <c r="P185" s="56" cm="1">
        <f t="array" ref="P185">_xlfn.XLOOKUP($B185,ADP!A2:A671,ADP!G2:G671)</f>
        <v>0</v>
      </c>
      <c r="Q185" s="57" cm="1">
        <f t="array" ref="Q185">IF(Settings!$E$12="YES",VLOOKUP(B185,'Player Data'!A1:E673,5,FALSE),84)</f>
        <v>78</v>
      </c>
      <c r="R185" s="81" cm="1">
        <f t="array" ref="R185">VLOOKUP(B185,'Player Data'!$A1:$AE673,6,FALSE)</f>
        <v>19.2</v>
      </c>
      <c r="S185" s="57" cm="1">
        <f t="array" ref="S185">VLOOKUP(B185,'Player Data'!$A1:$AE673,7,FALSE)*$Q185*IFERROR((VLOOKUP(P185,Settings!$E$28:$F$33,2,FALSE)+1),1)</f>
        <v>2.34</v>
      </c>
      <c r="T185" s="57" cm="1">
        <f t="array" ref="T185">VLOOKUP(B185,'Player Data'!$A1:$AE673,8,FALSE)*$Q185*IFERROR((VLOOKUP(P185,Settings!$E$28:$F$33,2,FALSE)+1),1)</f>
        <v>14.04</v>
      </c>
      <c r="U185" s="57" cm="1">
        <f t="array" ref="U185">SUM(S185:T185)</f>
        <v>16.38</v>
      </c>
      <c r="V185" s="57" cm="1">
        <f t="array" ref="V185">VLOOKUP(B185,'Player Data'!$A1:$AE673,10,FALSE)*$Q185*IFERROR(((VLOOKUP(P185,Settings!$E$28:$F$33,2,FALSE)/2)+1),1)</f>
        <v>74.88</v>
      </c>
      <c r="W185" s="57" cm="1">
        <f t="array" ref="W185">VLOOKUP(B185,'Player Data'!$A1:$AE673,11,FALSE)*$Q185*IFERROR((VLOOKUP(P185,Settings!$E$28:$F$33,2,FALSE)+1),1)</f>
        <v>0</v>
      </c>
      <c r="X185" s="57" cm="1">
        <f t="array" ref="X185">VLOOKUP(B185,'Player Data'!$A1:$AE673,12,FALSE)*$Q185*IFERROR((VLOOKUP(P185,Settings!$E$28:$F$33,2,FALSE)+1),1)</f>
        <v>0</v>
      </c>
      <c r="Y185" s="57" cm="1">
        <f t="array" ref="Y185">VLOOKUP(B185,'Player Data'!$A1:$AE673,13,FALSE)*$Q185</f>
        <v>0</v>
      </c>
      <c r="Z185" s="57" cm="1">
        <f t="array" ref="Z185">VLOOKUP(B185,'Player Data'!$A1:$AE673,14,FALSE)*$Q185</f>
        <v>0.78</v>
      </c>
      <c r="AA185" s="57" cm="1">
        <f t="array" ref="AA185">VLOOKUP(B185,'Player Data'!$A1:$AE673,15,FALSE)*$Q185</f>
        <v>152.1</v>
      </c>
      <c r="AB185" s="57" cm="1">
        <f t="array" ref="AB185">VLOOKUP(B185,'Player Data'!$A1:$AE673,16,FALSE)*$Q185</f>
        <v>106.86000000000001</v>
      </c>
      <c r="AC185" s="57" cm="1">
        <f t="array" ref="AC185">VLOOKUP(B185,'Player Data'!$A1:$AE673,17,FALSE)*$Q185*IFERROR((VLOOKUP(P185,Settings!$E$28:$F$33,2,FALSE)+1),1)</f>
        <v>5.4600000000000009</v>
      </c>
      <c r="AD185" s="57" cm="1">
        <f t="array" ref="AD185">VLOOKUP(B185,'Player Data'!$A1:$AE673,18,FALSE)*$Q185</f>
        <v>60.84</v>
      </c>
      <c r="AE185" s="57" cm="1">
        <f t="array" ref="AE185">VLOOKUP(B185,'Player Data'!$A1:$AE673,19,FALSE)*$Q185*IFERROR((VLOOKUP(P185,Settings!$E$28:$F$33,2,FALSE)+1),1)</f>
        <v>0</v>
      </c>
      <c r="AF185" s="57" cm="1">
        <f t="array" ref="AF185">VLOOKUP(B185,'Player Data'!$A1:$AE673,20,FALSE)*$Q185</f>
        <v>0</v>
      </c>
      <c r="AG185" s="57" cm="1">
        <f t="array" ref="AG185">VLOOKUP(B185,'Player Data'!$A1:$AE673,21,FALSE)*$Q185</f>
        <v>0</v>
      </c>
      <c r="AH185" s="59" cm="1">
        <f t="array" ref="AH185">VLOOKUP(B185,'Player Data'!$A1:$AE673,22,FALSE)</f>
        <v>0</v>
      </c>
      <c r="AI185" s="55"/>
      <c r="AJ185" s="57"/>
      <c r="AK185" s="57"/>
      <c r="AL185" s="57"/>
      <c r="AM185" s="57"/>
      <c r="AN185" s="57"/>
      <c r="AO185" s="57"/>
      <c r="AP185" s="57"/>
      <c r="AQ185" s="60"/>
      <c r="AR185" s="61"/>
      <c r="AS185" s="55"/>
    </row>
    <row r="186" spans="1:45" ht="21.25" customHeight="1" x14ac:dyDescent="0.15">
      <c r="A186" s="62">
        <f>RANK(K186,K$2:K$671)</f>
        <v>198</v>
      </c>
      <c r="B186" s="10" t="s">
        <v>510</v>
      </c>
      <c r="C186" s="47" t="s">
        <v>145</v>
      </c>
      <c r="D186" s="48" t="str" cm="1">
        <f t="array" ref="D186">VLOOKUP(B186,'Player Data'!A1:D673,4,FALSE)</f>
        <v>G</v>
      </c>
      <c r="E186" s="76" cm="1">
        <f t="array" ref="E186">VLOOKUP(B186,G!A1:D66,3,FALSE)</f>
        <v>34</v>
      </c>
      <c r="F186" s="63" t="str" cm="1">
        <f t="array" ref="F186">VLOOKUP(B186,'Player Data'!A1:B673,2,FALSE)</f>
        <v>EDM</v>
      </c>
      <c r="G186" s="66" cm="1">
        <f t="array" ref="G186">VLOOKUP(B186,'Player Data'!A1:D673,3,FALSE)</f>
        <v>36</v>
      </c>
      <c r="H186" s="67" cm="1">
        <f t="array" ref="H186">IFERROR(VLOOKUP(B186,ADP!A1:F671,6,FALSE)/1000000,VLOOKUP(B186,ADP!A1:F671,6,FALSE))</f>
        <v>1</v>
      </c>
      <c r="I186" s="52">
        <f>IF(Settings!$E$15="POINTS",(AJ186*Settings!$B$29)+(AK186*Settings!$B$21)+(AL186*Settings!$B$22)+(AN186*Settings!$B$24)+(AO186*Settings!$B$25)+(AP186*Settings!$B$27)+(AM186*Settings!$B$23),VLOOKUP(B186,'Standard Deviations'!A$1:C$672,3,FALSE))</f>
        <v>-0.3610573739256065</v>
      </c>
      <c r="J186" s="53" cm="1">
        <f t="array" ref="J186">IF(D186="G",I186/AJ186,I186/Q186)</f>
        <v>-1.0315924969303043E-2</v>
      </c>
      <c r="K186" s="52" cm="1">
        <f t="array" ref="K186">VLOOKUP(B186,G!A1:F66,6,FALSE)</f>
        <v>-2.3992426330492815</v>
      </c>
      <c r="L186" s="54" cm="1">
        <f t="array" ref="L186">IFERROR(K186/H186,"N/A")</f>
        <v>-2.3992426330492815</v>
      </c>
      <c r="M186" s="55">
        <v>133.30000000000001</v>
      </c>
      <c r="N186" s="55" cm="1">
        <f t="array" ref="N186">IFERROR(M186-A186,"N/A")</f>
        <v>-64.699999999999989</v>
      </c>
      <c r="O186" s="55"/>
      <c r="P186" s="56" cm="1">
        <f t="array" ref="P186">_xlfn.XLOOKUP($B186,ADP!A2:A671,ADP!G2:G671)</f>
        <v>0</v>
      </c>
      <c r="Q186" s="57"/>
      <c r="R186" s="55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9"/>
      <c r="AI186" s="55"/>
      <c r="AJ186" s="77" cm="1">
        <f t="array" ref="AJ186">VLOOKUP(B186,'Player Data'!$A1:$AE673,24,FALSE)</f>
        <v>35</v>
      </c>
      <c r="AK186" s="57" cm="1">
        <f t="array" ref="AK186">VLOOKUP(B186,'Player Data'!$A1:$AE673,25,FALSE)*$AJ186*IFERROR((VLOOKUP(P186,Settings!$E$28:$F$33,2,FALSE)+1),1)</f>
        <v>20.65</v>
      </c>
      <c r="AL186" s="57" cm="1">
        <f t="array" ref="AL186">AJ186-AK186-AM186</f>
        <v>10.850000000000001</v>
      </c>
      <c r="AM186" s="57" cm="1">
        <f t="array" ref="AM186">VLOOKUP(B186,'Player Data'!$A1:$AE673,27,FALSE)*$AJ186</f>
        <v>3.5</v>
      </c>
      <c r="AN186" s="57" cm="1">
        <f t="array" ref="AN186">VLOOKUP(B186,'Player Data'!$A1:$AE673,28,FALSE)*AJ186</f>
        <v>2.1</v>
      </c>
      <c r="AO186" s="57" cm="1">
        <f t="array" ref="AO186">VLOOKUP(B186,'Player Data'!$A1:$AE673,29,FALSE)*$AJ186*IFERROR((VLOOKUP(P186,Settings!$E$28:$F$33,2,FALSE)/4)+1,1)</f>
        <v>826</v>
      </c>
      <c r="AP186" s="57" cm="1">
        <f t="array" ref="AP186">VLOOKUP(B186,'Player Data'!$A1:$AE673,31,FALSE)*$AJ186*(IFERROR(1-(VLOOKUP(P186,Settings!$E$28:$F$33,2,FALSE)/4),1))</f>
        <v>97.65</v>
      </c>
      <c r="AQ186" s="60" cm="1">
        <f t="array" ref="AQ186">1-(AP186/(AO186+AP186))</f>
        <v>0.89427813565744596</v>
      </c>
      <c r="AR186" s="61" cm="1">
        <f t="array" ref="AR186">AP186/AJ186</f>
        <v>2.79</v>
      </c>
      <c r="AS186" s="55"/>
    </row>
    <row r="187" spans="1:45" ht="21.25" customHeight="1" x14ac:dyDescent="0.15">
      <c r="A187" s="62">
        <f>RANK(K187,K$2:K$671)</f>
        <v>158</v>
      </c>
      <c r="B187" s="10" t="s">
        <v>273</v>
      </c>
      <c r="C187" s="47" t="s">
        <v>145</v>
      </c>
      <c r="D187" s="48" t="str" cm="1">
        <f t="array" ref="D187">VLOOKUP(B187,'Player Data'!A1:D673,4,FALSE)</f>
        <v>RW</v>
      </c>
      <c r="E187" s="64" cm="1">
        <f t="array" ref="E187">VLOOKUP(B187,RW!A1:F210,3,FALSE)</f>
        <v>36</v>
      </c>
      <c r="F187" s="56" t="str" cm="1">
        <f t="array" ref="F187">VLOOKUP(B187,'Player Data'!A1:B673,2,FALSE)</f>
        <v>WSH</v>
      </c>
      <c r="G187" s="11" cm="1">
        <f t="array" ref="G187">VLOOKUP(B187,'Player Data'!A1:D673,3,FALSE)</f>
        <v>28</v>
      </c>
      <c r="H187" s="51" cm="1">
        <f t="array" ref="H187">IFERROR(VLOOKUP(B187,ADP!A1:F671,6,FALSE)/1000000,VLOOKUP(B187,ADP!A1:F671,6,FALSE))</f>
        <v>8.125</v>
      </c>
      <c r="I187" s="52">
        <f>IF(Settings!$E$15="POINTS",((R187*Q187)*Settings!$B$12)+(S187*Settings!$B$2)+(T187*Settings!$B$3)+(U187*Settings!$B$4)+(V187*Settings!$B$5)+(X187*Settings!$B$9)+(AA187*Settings!$B$6)+(W187*Settings!$B$8)+(AB187*Settings!$B$7)+(AC187*Settings!$B$14)+(AD187*Settings!$B$15)+(AE187*Settings!$B$16)+(AF187*Settings!$B$17)+(AG187*Settings!$B$18)+(Y187*Settings!$B$10)+(Z187*Settings!$B$11),VLOOKUP(B187,'Standard Deviations'!A$1:C$672,3,FALSE))</f>
        <v>5.2377229918545627</v>
      </c>
      <c r="J187" s="53" cm="1">
        <f t="array" ref="J187">IF(D187="G",I187/AJ187,I187/Q187)</f>
        <v>6.3874670632372718E-2</v>
      </c>
      <c r="K187" s="52" cm="1">
        <f t="array" ref="K187">IF(Settings!$E$18="C/LW/RW",VLOOKUP(B187,RW!A1:F210,6,FALSE),VLOOKUP(B187,F!A1:F407,6,FALSE))</f>
        <v>-1.6495116099545148</v>
      </c>
      <c r="L187" s="54" cm="1">
        <f t="array" ref="L187">IFERROR(K187/H187,"N/A")</f>
        <v>-0.20301681353286335</v>
      </c>
      <c r="M187" s="55">
        <v>144.5</v>
      </c>
      <c r="N187" s="55" cm="1">
        <f t="array" ref="N187">IFERROR(M187-A187,"N/A")</f>
        <v>-13.5</v>
      </c>
      <c r="O187" s="55"/>
      <c r="P187" s="56" t="str" cm="1">
        <f t="array" ref="P187">_xlfn.XLOOKUP($B187,ADP!A2:A671,ADP!G2:G671)</f>
        <v>+ +</v>
      </c>
      <c r="Q187" s="57" cm="1">
        <f t="array" ref="Q187">IF(Settings!$E$12="YES",VLOOKUP(B187,'Player Data'!A1:E673,5,FALSE),84)</f>
        <v>82</v>
      </c>
      <c r="R187" s="55" cm="1">
        <f t="array" ref="R187">VLOOKUP(B187,'Player Data'!$A1:$AE673,6,FALSE)</f>
        <v>16</v>
      </c>
      <c r="S187" s="57" cm="1">
        <f t="array" ref="S187">VLOOKUP(B187,'Player Data'!$A1:$AE673,7,FALSE)*$Q187*IFERROR((VLOOKUP(P187,Settings!$E$28:$F$33,2,FALSE)+1),1)</f>
        <v>28.864000000000004</v>
      </c>
      <c r="T187" s="57" cm="1">
        <f t="array" ref="T187">VLOOKUP(B187,'Player Data'!$A1:$AE673,8,FALSE)*$Q187*IFERROR((VLOOKUP(P187,Settings!$E$28:$F$33,2,FALSE)+1),1)</f>
        <v>35.178000000000004</v>
      </c>
      <c r="U187" s="57" cm="1">
        <f t="array" ref="U187">SUM(S187:T187)</f>
        <v>64.042000000000002</v>
      </c>
      <c r="V187" s="57" cm="1">
        <f t="array" ref="V187">VLOOKUP(B187,'Player Data'!$A1:$AE673,10,FALSE)*$Q187*IFERROR(((VLOOKUP(P187,Settings!$E$28:$F$33,2,FALSE)/2)+1),1)</f>
        <v>218.69400000000002</v>
      </c>
      <c r="W187" s="57" cm="1">
        <f t="array" ref="W187">VLOOKUP(B187,'Player Data'!$A1:$AE673,11,FALSE)*$Q187*IFERROR((VLOOKUP(P187,Settings!$E$28:$F$33,2,FALSE)+1),1)</f>
        <v>6.3140000000000009</v>
      </c>
      <c r="X187" s="78" cm="1">
        <f t="array" ref="X187">VLOOKUP(B187,'Player Data'!$A1:$AE673,12,FALSE)*$Q187*IFERROR((VLOOKUP(P187,Settings!$E$28:$F$33,2,FALSE)+1),1)</f>
        <v>18.040000000000003</v>
      </c>
      <c r="Y187" s="57" cm="1">
        <f t="array" ref="Y187">VLOOKUP(B187,'Player Data'!$A1:$AE673,13,FALSE)*$Q187</f>
        <v>0</v>
      </c>
      <c r="Z187" s="57" cm="1">
        <f t="array" ref="Z187">VLOOKUP(B187,'Player Data'!$A1:$AE673,14,FALSE)*$Q187</f>
        <v>0</v>
      </c>
      <c r="AA187" s="57" cm="1">
        <f t="array" ref="AA187">VLOOKUP(B187,'Player Data'!$A1:$AE673,15,FALSE)*$Q187</f>
        <v>34.44</v>
      </c>
      <c r="AB187" s="57" cm="1">
        <f t="array" ref="AB187">VLOOKUP(B187,'Player Data'!$A1:$AE673,16,FALSE)*$Q187</f>
        <v>30.34</v>
      </c>
      <c r="AC187" s="57" cm="1">
        <f t="array" ref="AC187">VLOOKUP(B187,'Player Data'!$A1:$AE673,17,FALSE)*$Q187*IFERROR((VLOOKUP(P187,Settings!$E$28:$F$33,2,FALSE)+1),1)</f>
        <v>7.2160000000000011</v>
      </c>
      <c r="AD187" s="57" cm="1">
        <f t="array" ref="AD187">VLOOKUP(B187,'Player Data'!$A1:$AE673,18,FALSE)*$Q187</f>
        <v>18.86</v>
      </c>
      <c r="AE187" s="57" cm="1">
        <f t="array" ref="AE187">VLOOKUP(B187,'Player Data'!$A1:$AE673,19,FALSE)*$Q187*IFERROR((VLOOKUP(P187,Settings!$E$28:$F$33,2,FALSE)+1),1)</f>
        <v>4.5100000000000007</v>
      </c>
      <c r="AF187" s="57" cm="1">
        <f t="array" ref="AF187">VLOOKUP(B187,'Player Data'!$A1:$AE673,20,FALSE)*$Q187</f>
        <v>3.2800000000000002</v>
      </c>
      <c r="AG187" s="57" cm="1">
        <f t="array" ref="AG187">VLOOKUP(B187,'Player Data'!$A1:$AE673,21,FALSE)*$Q187</f>
        <v>11.48</v>
      </c>
      <c r="AH187" s="59" cm="1">
        <f t="array" ref="AH187">VLOOKUP(B187,'Player Data'!$A1:$AE673,22,FALSE)</f>
        <v>0.24</v>
      </c>
      <c r="AI187" s="55"/>
      <c r="AJ187" s="57"/>
      <c r="AK187" s="57"/>
      <c r="AL187" s="57"/>
      <c r="AM187" s="57"/>
      <c r="AN187" s="57"/>
      <c r="AO187" s="57"/>
      <c r="AP187" s="57"/>
      <c r="AQ187" s="60"/>
      <c r="AR187" s="61"/>
      <c r="AS187" s="55"/>
    </row>
    <row r="188" spans="1:45" ht="21.25" customHeight="1" x14ac:dyDescent="0.15">
      <c r="A188" s="62">
        <f>RANK(K188,K$2:K$671)</f>
        <v>162</v>
      </c>
      <c r="B188" s="10" t="s">
        <v>283</v>
      </c>
      <c r="C188" s="47" t="s">
        <v>145</v>
      </c>
      <c r="D188" s="48" t="str" cm="1">
        <f t="array" ref="D188">VLOOKUP(B188,'Player Data'!A1:D673,4,FALSE)</f>
        <v>C</v>
      </c>
      <c r="E188" s="49" cm="1">
        <f t="array" ref="E188">VLOOKUP(B188,'C'!A1:C210,3,FALSE)</f>
        <v>37</v>
      </c>
      <c r="F188" s="50" t="str" cm="1">
        <f t="array" ref="F188">VLOOKUP(B188,'Player Data'!A1:B673,2,FALSE)</f>
        <v>COL</v>
      </c>
      <c r="G188" s="66" cm="1">
        <f t="array" ref="G188">VLOOKUP(B188,'Player Data'!A1:D673,3,FALSE)</f>
        <v>34</v>
      </c>
      <c r="H188" s="51" cm="1">
        <f t="array" ref="H188">IFERROR(VLOOKUP(B188,ADP!A1:F671,6,FALSE)/1000000,VLOOKUP(B188,ADP!A1:F671,6,FALSE))</f>
        <v>7.5</v>
      </c>
      <c r="I188" s="52">
        <f>IF(Settings!$E$15="POINTS",((R188*Q188)*Settings!$B$12)+(S188*Settings!$B$2)+(T188*Settings!$B$3)+(U188*Settings!$B$4)+(V188*Settings!$B$5)+(X188*Settings!$B$9)+(AA188*Settings!$B$6)+(W188*Settings!$B$8)+(AB188*Settings!$B$7)+(AC188*Settings!$B$14)+(AD188*Settings!$B$15)+(AE188*Settings!$B$16)+(AF188*Settings!$B$17)+(AG188*Settings!$B$18)+(Y188*Settings!$B$10)+(Z188*Settings!$B$11),VLOOKUP(B188,'Standard Deviations'!A$1:C$672,3,FALSE))</f>
        <v>4.6672198059600962</v>
      </c>
      <c r="J188" s="53" cm="1">
        <f t="array" ref="J188">IF(D188="G",I188/AJ188,I188/Q188)</f>
        <v>5.5562140547144E-2</v>
      </c>
      <c r="K188" s="52" cm="1">
        <f t="array" ref="K188">IF(Settings!$E$18="C/LW/RW",VLOOKUP(B188,'C'!A1:F210,6,FALSE),VLOOKUP(B188,F!A1:F407,6,FALSE))</f>
        <v>-1.6927897516549679</v>
      </c>
      <c r="L188" s="54" cm="1">
        <f t="array" ref="L188">IFERROR(K188/H188,"N/A")</f>
        <v>-0.2257053002206624</v>
      </c>
      <c r="M188" s="55">
        <v>136.30000000000001</v>
      </c>
      <c r="N188" s="55" cm="1">
        <f t="array" ref="N188">IFERROR(M188-A188,"N/A")</f>
        <v>-25.699999999999989</v>
      </c>
      <c r="O188" s="55"/>
      <c r="P188" s="56" cm="1">
        <f t="array" ref="P188">_xlfn.XLOOKUP($B188,ADP!A2:A671,ADP!G2:G671)</f>
        <v>0</v>
      </c>
      <c r="Q188" s="57" cm="1">
        <f t="array" ref="Q188">IF(Settings!$E$12="YES",VLOOKUP(B188,'Player Data'!A1:E673,5,FALSE),84)</f>
        <v>84</v>
      </c>
      <c r="R188" s="55" cm="1">
        <f t="array" ref="R188">VLOOKUP(B188,'Player Data'!$A1:$AE673,6,FALSE)</f>
        <v>18.8</v>
      </c>
      <c r="S188" s="57" cm="1">
        <f t="array" ref="S188">VLOOKUP(B188,'Player Data'!$A1:$AE673,7,FALSE)*$Q188*IFERROR((VLOOKUP(P188,Settings!$E$28:$F$33,2,FALSE)+1),1)</f>
        <v>27.720000000000002</v>
      </c>
      <c r="T188" s="57" cm="1">
        <f t="array" ref="T188">VLOOKUP(B188,'Player Data'!$A1:$AE673,8,FALSE)*$Q188*IFERROR((VLOOKUP(P188,Settings!$E$28:$F$33,2,FALSE)+1),1)</f>
        <v>30.24</v>
      </c>
      <c r="U188" s="57" cm="1">
        <f t="array" ref="U188">SUM(S188:T188)</f>
        <v>57.96</v>
      </c>
      <c r="V188" s="57" cm="1">
        <f t="array" ref="V188">VLOOKUP(B188,'Player Data'!$A1:$AE673,10,FALSE)*$Q188*IFERROR(((VLOOKUP(P188,Settings!$E$28:$F$33,2,FALSE)/2)+1),1)</f>
        <v>193.2</v>
      </c>
      <c r="W188" s="57" cm="1">
        <f t="array" ref="W188">VLOOKUP(B188,'Player Data'!$A1:$AE673,11,FALSE)*$Q188*IFERROR((VLOOKUP(P188,Settings!$E$28:$F$33,2,FALSE)+1),1)</f>
        <v>5.8800000000000008</v>
      </c>
      <c r="X188" s="78" cm="1">
        <f t="array" ref="X188">VLOOKUP(B188,'Player Data'!$A1:$AE673,12,FALSE)*$Q188*IFERROR((VLOOKUP(P188,Settings!$E$28:$F$33,2,FALSE)+1),1)</f>
        <v>12.6</v>
      </c>
      <c r="Y188" s="57" cm="1">
        <f t="array" ref="Y188">VLOOKUP(B188,'Player Data'!$A1:$AE673,13,FALSE)*$Q188</f>
        <v>0.84</v>
      </c>
      <c r="Z188" s="57" cm="1">
        <f t="array" ref="Z188">VLOOKUP(B188,'Player Data'!$A1:$AE673,14,FALSE)*$Q188</f>
        <v>2.52</v>
      </c>
      <c r="AA188" s="57" cm="1">
        <f t="array" ref="AA188">VLOOKUP(B188,'Player Data'!$A1:$AE673,15,FALSE)*$Q188</f>
        <v>58.8</v>
      </c>
      <c r="AB188" s="57" cm="1">
        <f t="array" ref="AB188">VLOOKUP(B188,'Player Data'!$A1:$AE673,16,FALSE)*$Q188</f>
        <v>42.84</v>
      </c>
      <c r="AC188" s="57" cm="1">
        <f t="array" ref="AC188">VLOOKUP(B188,'Player Data'!$A1:$AE673,17,FALSE)*$Q188*IFERROR((VLOOKUP(P188,Settings!$E$28:$F$33,2,FALSE)+1),1)</f>
        <v>10.08</v>
      </c>
      <c r="AD188" s="57" cm="1">
        <f t="array" ref="AD188">VLOOKUP(B188,'Player Data'!$A1:$AE673,18,FALSE)*$Q188</f>
        <v>31.08</v>
      </c>
      <c r="AE188" s="57" cm="1">
        <f t="array" ref="AE188">VLOOKUP(B188,'Player Data'!$A1:$AE673,19,FALSE)*$Q188*IFERROR((VLOOKUP(P188,Settings!$E$28:$F$33,2,FALSE)+1),1)</f>
        <v>5.04</v>
      </c>
      <c r="AF188" s="57" cm="1">
        <f t="array" ref="AF188">VLOOKUP(B188,'Player Data'!$A1:$AE673,20,FALSE)*$Q188</f>
        <v>664.44</v>
      </c>
      <c r="AG188" s="57" cm="1">
        <f t="array" ref="AG188">VLOOKUP(B188,'Player Data'!$A1:$AE673,21,FALSE)*$Q188</f>
        <v>669.48</v>
      </c>
      <c r="AH188" s="59" cm="1">
        <f t="array" ref="AH188">VLOOKUP(B188,'Player Data'!$A1:$AE673,22,FALSE)</f>
        <v>0.5</v>
      </c>
      <c r="AI188" s="55"/>
      <c r="AJ188" s="57"/>
      <c r="AK188" s="57"/>
      <c r="AL188" s="57"/>
      <c r="AM188" s="57"/>
      <c r="AN188" s="57"/>
      <c r="AO188" s="57"/>
      <c r="AP188" s="57"/>
      <c r="AQ188" s="60"/>
      <c r="AR188" s="61"/>
      <c r="AS188" s="55"/>
    </row>
    <row r="189" spans="1:45" ht="21.25" customHeight="1" x14ac:dyDescent="0.15">
      <c r="A189" s="62">
        <f>RANK(K189,K$2:K$671)</f>
        <v>206</v>
      </c>
      <c r="B189" s="10" t="s">
        <v>381</v>
      </c>
      <c r="C189" s="47" t="s">
        <v>145</v>
      </c>
      <c r="D189" s="48" t="str" cm="1">
        <f t="array" ref="D189">VLOOKUP(B189,'Player Data'!A1:D673,4,FALSE)</f>
        <v>D</v>
      </c>
      <c r="E189" s="68" cm="1">
        <f t="array" ref="E189">VLOOKUP(B189,D!A1:C204,3,FALSE)</f>
        <v>86</v>
      </c>
      <c r="F189" s="65" t="str" cm="1">
        <f t="array" ref="F189">VLOOKUP(B189,'Player Data'!A1:B673,2,FALSE)</f>
        <v>T.B</v>
      </c>
      <c r="G189" s="66" cm="1">
        <f t="array" ref="G189">VLOOKUP(B189,'Player Data'!A1:D673,3,FALSE)</f>
        <v>37</v>
      </c>
      <c r="H189" s="51" cm="1">
        <f t="array" ref="H189">IFERROR(VLOOKUP(B189,ADP!A1:F671,6,FALSE)/1000000,VLOOKUP(B189,ADP!A1:F671,6,FALSE))</f>
        <v>4.0999999999999996</v>
      </c>
      <c r="I189" s="52">
        <f>IF(Settings!$E$15="POINTS",((R189*Q189)*Settings!$B$12)+(S189*Settings!$B$2)+(T189*Settings!$B$3)+(U189*Settings!$B$4)+(V189*Settings!$B$5)+(X189*Settings!$B$9)+(AA189*Settings!$B$6)+(W189*Settings!$B$8)+(AB189*Settings!$B$7)+(AC189*Settings!$B$14)+(AD189*Settings!$B$15)+(AE189*Settings!$B$16)+(AF189*Settings!$B$17)+(AG189*Settings!$B$18)+(U189*Settings!$B$13)+(Y189*Settings!$B$10)+(Z189*Settings!$B$11),VLOOKUP(B189,'Standard Deviations'!A$1:C$672,3,FALSE))</f>
        <v>-2.0753947118254188</v>
      </c>
      <c r="J189" s="53" cm="1">
        <f t="array" ref="J189">IF(D189="G",I189/AJ189,I189/Q189)</f>
        <v>-2.6953178075654789E-2</v>
      </c>
      <c r="K189" s="52" cm="1">
        <f t="array" ref="K189">VLOOKUP(B189,D!A1:F204,6,FALSE)</f>
        <v>-2.642245626342973</v>
      </c>
      <c r="L189" s="54" cm="1">
        <f t="array" ref="L189">IFERROR(K189/H189,"N/A")</f>
        <v>-0.6444501527665788</v>
      </c>
      <c r="M189" s="84" t="s">
        <v>828</v>
      </c>
      <c r="N189" s="84" t="str" cm="1">
        <f t="array" ref="N189">IFERROR(M189-A189,"N/A")</f>
        <v>N/A</v>
      </c>
      <c r="O189" s="55"/>
      <c r="P189" s="56" cm="1">
        <f t="array" ref="P189">_xlfn.XLOOKUP($B189,ADP!A2:A671,ADP!G2:G671)</f>
        <v>0</v>
      </c>
      <c r="Q189" s="57" cm="1">
        <f t="array" ref="Q189">IF(Settings!$E$12="YES",VLOOKUP(B189,'Player Data'!A1:E673,5,FALSE),84)</f>
        <v>77</v>
      </c>
      <c r="R189" s="81" cm="1">
        <f t="array" ref="R189">VLOOKUP(B189,'Player Data'!$A1:$AE673,6,FALSE)</f>
        <v>20.2</v>
      </c>
      <c r="S189" s="57" cm="1">
        <f t="array" ref="S189">VLOOKUP(B189,'Player Data'!$A1:$AE673,7,FALSE)*$Q189*IFERROR((VLOOKUP(P189,Settings!$E$28:$F$33,2,FALSE)+1),1)</f>
        <v>3.85</v>
      </c>
      <c r="T189" s="57" cm="1">
        <f t="array" ref="T189">VLOOKUP(B189,'Player Data'!$A1:$AE673,8,FALSE)*$Q189*IFERROR((VLOOKUP(P189,Settings!$E$28:$F$33,2,FALSE)+1),1)</f>
        <v>21.560000000000002</v>
      </c>
      <c r="U189" s="57" cm="1">
        <f t="array" ref="U189">SUM(S189:T189)</f>
        <v>25.410000000000004</v>
      </c>
      <c r="V189" s="57" cm="1">
        <f t="array" ref="V189">VLOOKUP(B189,'Player Data'!$A1:$AE673,10,FALSE)*$Q189*IFERROR(((VLOOKUP(P189,Settings!$E$28:$F$33,2,FALSE)/2)+1),1)</f>
        <v>69.3</v>
      </c>
      <c r="W189" s="57" cm="1">
        <f t="array" ref="W189">VLOOKUP(B189,'Player Data'!$A1:$AE673,11,FALSE)*$Q189*IFERROR((VLOOKUP(P189,Settings!$E$28:$F$33,2,FALSE)+1),1)</f>
        <v>0</v>
      </c>
      <c r="X189" s="57" cm="1">
        <f t="array" ref="X189">VLOOKUP(B189,'Player Data'!$A1:$AE673,12,FALSE)*$Q189*IFERROR((VLOOKUP(P189,Settings!$E$28:$F$33,2,FALSE)+1),1)</f>
        <v>0</v>
      </c>
      <c r="Y189" s="57" cm="1">
        <f t="array" ref="Y189">VLOOKUP(B189,'Player Data'!$A1:$AE673,13,FALSE)*$Q189</f>
        <v>0</v>
      </c>
      <c r="Z189" s="57" cm="1">
        <f t="array" ref="Z189">VLOOKUP(B189,'Player Data'!$A1:$AE673,14,FALSE)*$Q189</f>
        <v>0.77</v>
      </c>
      <c r="AA189" s="57" cm="1">
        <f t="array" ref="AA189">VLOOKUP(B189,'Player Data'!$A1:$AE673,15,FALSE)*$Q189</f>
        <v>131.66999999999999</v>
      </c>
      <c r="AB189" s="57" cm="1">
        <f t="array" ref="AB189">VLOOKUP(B189,'Player Data'!$A1:$AE673,16,FALSE)*$Q189</f>
        <v>43.120000000000005</v>
      </c>
      <c r="AC189" s="57" cm="1">
        <f t="array" ref="AC189">VLOOKUP(B189,'Player Data'!$A1:$AE673,17,FALSE)*$Q189*IFERROR((VLOOKUP(P189,Settings!$E$28:$F$33,2,FALSE)+1),1)</f>
        <v>8.4700000000000006</v>
      </c>
      <c r="AD189" s="57" cm="1">
        <f t="array" ref="AD189">VLOOKUP(B189,'Player Data'!$A1:$AE673,18,FALSE)*$Q189</f>
        <v>21.560000000000002</v>
      </c>
      <c r="AE189" s="57" cm="1">
        <f t="array" ref="AE189">VLOOKUP(B189,'Player Data'!$A1:$AE673,19,FALSE)*$Q189*IFERROR((VLOOKUP(P189,Settings!$E$28:$F$33,2,FALSE)+1),1)</f>
        <v>0.77</v>
      </c>
      <c r="AF189" s="57" cm="1">
        <f t="array" ref="AF189">VLOOKUP(B189,'Player Data'!$A1:$AE673,20,FALSE)*$Q189</f>
        <v>0</v>
      </c>
      <c r="AG189" s="57" cm="1">
        <f t="array" ref="AG189">VLOOKUP(B189,'Player Data'!$A1:$AE673,21,FALSE)*$Q189</f>
        <v>0</v>
      </c>
      <c r="AH189" s="59" cm="1">
        <f t="array" ref="AH189">VLOOKUP(B189,'Player Data'!$A1:$AE673,22,FALSE)</f>
        <v>0</v>
      </c>
      <c r="AI189" s="55"/>
      <c r="AJ189" s="57"/>
      <c r="AK189" s="57"/>
      <c r="AL189" s="57"/>
      <c r="AM189" s="57"/>
      <c r="AN189" s="57"/>
      <c r="AO189" s="57"/>
      <c r="AP189" s="57"/>
      <c r="AQ189" s="60"/>
      <c r="AR189" s="61"/>
      <c r="AS189" s="55"/>
    </row>
    <row r="190" spans="1:45" ht="21.25" customHeight="1" x14ac:dyDescent="0.15">
      <c r="A190" s="62">
        <f>RANK(K190,K$2:K$671)</f>
        <v>207</v>
      </c>
      <c r="B190" s="10" t="s">
        <v>429</v>
      </c>
      <c r="C190" s="47" t="s">
        <v>145</v>
      </c>
      <c r="D190" s="48" t="str" cm="1">
        <f t="array" ref="D190">VLOOKUP(B190,'Player Data'!A1:D673,4,FALSE)</f>
        <v>D</v>
      </c>
      <c r="E190" s="68" cm="1">
        <f t="array" ref="E190">VLOOKUP(B190,D!A1:C204,3,FALSE)</f>
        <v>87</v>
      </c>
      <c r="F190" s="18" t="str" cm="1">
        <f t="array" ref="F190">VLOOKUP(B190,'Player Data'!A1:B673,2,FALSE)</f>
        <v>OTT</v>
      </c>
      <c r="G190" s="71" cm="1">
        <f t="array" ref="G190">VLOOKUP(B190,'Player Data'!A1:D673,3,FALSE)</f>
        <v>24</v>
      </c>
      <c r="H190" s="67" cm="1">
        <f t="array" ref="H190">IFERROR(VLOOKUP(B190,ADP!A1:F671,6,FALSE)/1000000,VLOOKUP(B190,ADP!A1:F671,6,FALSE))</f>
        <v>1.6</v>
      </c>
      <c r="I190" s="52">
        <f>IF(Settings!$E$15="POINTS",((R190*Q190)*Settings!$B$12)+(S190*Settings!$B$2)+(T190*Settings!$B$3)+(U190*Settings!$B$4)+(V190*Settings!$B$5)+(X190*Settings!$B$9)+(AA190*Settings!$B$6)+(W190*Settings!$B$8)+(AB190*Settings!$B$7)+(AC190*Settings!$B$14)+(AD190*Settings!$B$15)+(AE190*Settings!$B$16)+(AF190*Settings!$B$17)+(AG190*Settings!$B$18)+(U190*Settings!$B$13)+(Y190*Settings!$B$10)+(Z190*Settings!$B$11),VLOOKUP(B190,'Standard Deviations'!A$1:C$672,3,FALSE))</f>
        <v>-2.0762053887620375</v>
      </c>
      <c r="J190" s="53" cm="1">
        <f t="array" ref="J190">IF(D190="G",I190/AJ190,I190/Q190)</f>
        <v>-2.5952567359525468E-2</v>
      </c>
      <c r="K190" s="52" cm="1">
        <f t="array" ref="K190">VLOOKUP(B190,D!A1:F204,6,FALSE)</f>
        <v>-2.6430563032795922</v>
      </c>
      <c r="L190" s="54" cm="1">
        <f t="array" ref="L190">IFERROR(K190/H190,"N/A")</f>
        <v>-1.651910189549745</v>
      </c>
      <c r="M190" s="84" t="s">
        <v>828</v>
      </c>
      <c r="N190" s="84" t="str" cm="1">
        <f t="array" ref="N190">IFERROR(M190-A190,"N/A")</f>
        <v>N/A</v>
      </c>
      <c r="O190" s="55"/>
      <c r="P190" s="56" cm="1">
        <f t="array" ref="P190">_xlfn.XLOOKUP($B190,ADP!A2:A671,ADP!G2:G671)</f>
        <v>0</v>
      </c>
      <c r="Q190" s="57" cm="1">
        <f t="array" ref="Q190">IF(Settings!$E$12="YES",VLOOKUP(B190,'Player Data'!A1:E673,5,FALSE),84)</f>
        <v>80</v>
      </c>
      <c r="R190" s="55" cm="1">
        <f t="array" ref="R190">VLOOKUP(B190,'Player Data'!$A1:$AE673,6,FALSE)</f>
        <v>17.3</v>
      </c>
      <c r="S190" s="57" cm="1">
        <f t="array" ref="S190">VLOOKUP(B190,'Player Data'!$A1:$AE673,7,FALSE)*$Q190*IFERROR((VLOOKUP(P190,Settings!$E$28:$F$33,2,FALSE)+1),1)</f>
        <v>4</v>
      </c>
      <c r="T190" s="57" cm="1">
        <f t="array" ref="T190">VLOOKUP(B190,'Player Data'!$A1:$AE673,8,FALSE)*$Q190*IFERROR((VLOOKUP(P190,Settings!$E$28:$F$33,2,FALSE)+1),1)</f>
        <v>14.399999999999999</v>
      </c>
      <c r="U190" s="57" cm="1">
        <f t="array" ref="U190">SUM(S190:T190)</f>
        <v>18.399999999999999</v>
      </c>
      <c r="V190" s="57" cm="1">
        <f t="array" ref="V190">VLOOKUP(B190,'Player Data'!$A1:$AE673,10,FALSE)*$Q190*IFERROR(((VLOOKUP(P190,Settings!$E$28:$F$33,2,FALSE)/2)+1),1)</f>
        <v>96</v>
      </c>
      <c r="W190" s="57" cm="1">
        <f t="array" ref="W190">VLOOKUP(B190,'Player Data'!$A1:$AE673,11,FALSE)*$Q190*IFERROR((VLOOKUP(P190,Settings!$E$28:$F$33,2,FALSE)+1),1)</f>
        <v>0</v>
      </c>
      <c r="X190" s="57" cm="1">
        <f t="array" ref="X190">VLOOKUP(B190,'Player Data'!$A1:$AE673,12,FALSE)*$Q190*IFERROR((VLOOKUP(P190,Settings!$E$28:$F$33,2,FALSE)+1),1)</f>
        <v>0</v>
      </c>
      <c r="Y190" s="57" cm="1">
        <f t="array" ref="Y190">VLOOKUP(B190,'Player Data'!$A1:$AE673,13,FALSE)*$Q190</f>
        <v>0</v>
      </c>
      <c r="Z190" s="57" cm="1">
        <f t="array" ref="Z190">VLOOKUP(B190,'Player Data'!$A1:$AE673,14,FALSE)*$Q190</f>
        <v>1.6</v>
      </c>
      <c r="AA190" s="57" cm="1">
        <f t="array" ref="AA190">VLOOKUP(B190,'Player Data'!$A1:$AE673,15,FALSE)*$Q190</f>
        <v>110.39999999999999</v>
      </c>
      <c r="AB190" s="57" cm="1">
        <f t="array" ref="AB190">VLOOKUP(B190,'Player Data'!$A1:$AE673,16,FALSE)*$Q190</f>
        <v>125.60000000000001</v>
      </c>
      <c r="AC190" s="57" cm="1">
        <f t="array" ref="AC190">VLOOKUP(B190,'Player Data'!$A1:$AE673,17,FALSE)*$Q190*IFERROR((VLOOKUP(P190,Settings!$E$28:$F$33,2,FALSE)+1),1)</f>
        <v>0.8</v>
      </c>
      <c r="AD190" s="57" cm="1">
        <f t="array" ref="AD190">VLOOKUP(B190,'Player Data'!$A1:$AE673,18,FALSE)*$Q190</f>
        <v>40.799999999999997</v>
      </c>
      <c r="AE190" s="57" cm="1">
        <f t="array" ref="AE190">VLOOKUP(B190,'Player Data'!$A1:$AE673,19,FALSE)*$Q190*IFERROR((VLOOKUP(P190,Settings!$E$28:$F$33,2,FALSE)+1),1)</f>
        <v>0.8</v>
      </c>
      <c r="AF190" s="57" cm="1">
        <f t="array" ref="AF190">VLOOKUP(B190,'Player Data'!$A1:$AE673,20,FALSE)*$Q190</f>
        <v>0</v>
      </c>
      <c r="AG190" s="57" cm="1">
        <f t="array" ref="AG190">VLOOKUP(B190,'Player Data'!$A1:$AE673,21,FALSE)*$Q190</f>
        <v>0</v>
      </c>
      <c r="AH190" s="59" cm="1">
        <f t="array" ref="AH190">VLOOKUP(B190,'Player Data'!$A1:$AE673,22,FALSE)</f>
        <v>0</v>
      </c>
      <c r="AI190" s="55"/>
      <c r="AJ190" s="57"/>
      <c r="AK190" s="57"/>
      <c r="AL190" s="57"/>
      <c r="AM190" s="57"/>
      <c r="AN190" s="57"/>
      <c r="AO190" s="57"/>
      <c r="AP190" s="57"/>
      <c r="AQ190" s="60"/>
      <c r="AR190" s="61"/>
      <c r="AS190" s="55"/>
    </row>
    <row r="191" spans="1:45" ht="21.25" customHeight="1" x14ac:dyDescent="0.15">
      <c r="A191" s="62">
        <f>RANK(K191,K$2:K$671)</f>
        <v>208</v>
      </c>
      <c r="B191" s="10" t="s">
        <v>265</v>
      </c>
      <c r="C191" s="47" t="s">
        <v>145</v>
      </c>
      <c r="D191" s="48" t="str" cm="1">
        <f t="array" ref="D191">VLOOKUP(B191,'Player Data'!A1:D673,4,FALSE)</f>
        <v>D</v>
      </c>
      <c r="E191" s="68" cm="1">
        <f t="array" ref="E191">VLOOKUP(B191,D!A1:C204,3,FALSE)</f>
        <v>88</v>
      </c>
      <c r="F191" s="18" t="str" cm="1">
        <f t="array" ref="F191">VLOOKUP(B191,'Player Data'!A1:B673,2,FALSE)</f>
        <v>VAN</v>
      </c>
      <c r="G191" s="71" cm="1">
        <f t="array" ref="G191">VLOOKUP(B191,'Player Data'!A1:D673,3,FALSE)</f>
        <v>20</v>
      </c>
      <c r="H191" s="51" cm="1">
        <f t="array" ref="H191">IFERROR(VLOOKUP(B191,ADP!A1:F671,6,FALSE)/1000000,VLOOKUP(B191,ADP!A1:F671,6,FALSE))</f>
        <v>0.96650000000000003</v>
      </c>
      <c r="I191" s="52">
        <f>IF(Settings!$E$15="POINTS",((R191*Q191)*Settings!$B$12)+(S191*Settings!$B$2)+(T191*Settings!$B$3)+(U191*Settings!$B$4)+(V191*Settings!$B$5)+(X191*Settings!$B$9)+(AA191*Settings!$B$6)+(W191*Settings!$B$8)+(AB191*Settings!$B$7)+(AC191*Settings!$B$14)+(AD191*Settings!$B$15)+(AE191*Settings!$B$16)+(AF191*Settings!$B$17)+(AG191*Settings!$B$18)+(U191*Settings!$B$13)+(Y191*Settings!$B$10)+(Z191*Settings!$B$11),VLOOKUP(B191,'Standard Deviations'!A$1:C$672,3,FALSE))</f>
        <v>-2.0778155682660193</v>
      </c>
      <c r="J191" s="53" cm="1">
        <f t="array" ref="J191">IF(D191="G",I191/AJ191,I191/Q191)</f>
        <v>-2.5339214247146576E-2</v>
      </c>
      <c r="K191" s="52" cm="1">
        <f t="array" ref="K191">VLOOKUP(B191,D!A1:F204,6,FALSE)</f>
        <v>-2.644666482783574</v>
      </c>
      <c r="L191" s="54" cm="1">
        <f t="array" ref="L191">IFERROR(K191/H191,"N/A")</f>
        <v>-2.7363336604072157</v>
      </c>
      <c r="M191" s="55">
        <v>132.4</v>
      </c>
      <c r="N191" s="55" cm="1">
        <f t="array" ref="N191">IFERROR(M191-A191,"N/A")</f>
        <v>-75.599999999999994</v>
      </c>
      <c r="O191" s="55"/>
      <c r="P191" s="56" cm="1">
        <f t="array" ref="P191">_xlfn.XLOOKUP($B191,ADP!A2:A671,ADP!G2:G671)</f>
        <v>0</v>
      </c>
      <c r="Q191" s="57" cm="1">
        <f t="array" ref="Q191">IF(Settings!$E$12="YES",VLOOKUP(B191,'Player Data'!A1:E673,5,FALSE),84)</f>
        <v>82</v>
      </c>
      <c r="R191" s="81" cm="1">
        <f t="array" ref="R191">VLOOKUP(B191,'Player Data'!$A1:$AE673,6,FALSE)</f>
        <v>22.8</v>
      </c>
      <c r="S191" s="57" cm="1">
        <f t="array" ref="S191">VLOOKUP(B191,'Player Data'!$A1:$AE673,7,FALSE)*$Q191*IFERROR((VLOOKUP(P191,Settings!$E$28:$F$33,2,FALSE)+1),1)</f>
        <v>11.48</v>
      </c>
      <c r="T191" s="57" cm="1">
        <f t="array" ref="T191">VLOOKUP(B191,'Player Data'!$A1:$AE673,8,FALSE)*$Q191*IFERROR((VLOOKUP(P191,Settings!$E$28:$F$33,2,FALSE)+1),1)</f>
        <v>32.800000000000004</v>
      </c>
      <c r="U191" s="57" cm="1">
        <f t="array" ref="U191">SUM(S191:T191)</f>
        <v>44.28</v>
      </c>
      <c r="V191" s="57" cm="1">
        <f t="array" ref="V191">VLOOKUP(B191,'Player Data'!$A1:$AE673,10,FALSE)*$Q191*IFERROR(((VLOOKUP(P191,Settings!$E$28:$F$33,2,FALSE)/2)+1),1)</f>
        <v>109.06</v>
      </c>
      <c r="W191" s="58" cm="1">
        <f t="array" ref="W191">VLOOKUP(B191,'Player Data'!$A1:$AE673,11,FALSE)*$Q191*IFERROR((VLOOKUP(P191,Settings!$E$28:$F$33,2,FALSE)+1),1)</f>
        <v>5.74</v>
      </c>
      <c r="X191" s="57" cm="1">
        <f t="array" ref="X191">VLOOKUP(B191,'Player Data'!$A1:$AE673,12,FALSE)*$Q191*IFERROR((VLOOKUP(P191,Settings!$E$28:$F$33,2,FALSE)+1),1)</f>
        <v>21.32</v>
      </c>
      <c r="Y191" s="57" cm="1">
        <f t="array" ref="Y191">VLOOKUP(B191,'Player Data'!$A1:$AE673,13,FALSE)*$Q191</f>
        <v>0</v>
      </c>
      <c r="Z191" s="57" cm="1">
        <f t="array" ref="Z191">VLOOKUP(B191,'Player Data'!$A1:$AE673,14,FALSE)*$Q191</f>
        <v>0</v>
      </c>
      <c r="AA191" s="57" cm="1">
        <f t="array" ref="AA191">VLOOKUP(B191,'Player Data'!$A1:$AE673,15,FALSE)*$Q191</f>
        <v>84.460000000000008</v>
      </c>
      <c r="AB191" s="57" cm="1">
        <f t="array" ref="AB191">VLOOKUP(B191,'Player Data'!$A1:$AE673,16,FALSE)*$Q191</f>
        <v>49.199999999999996</v>
      </c>
      <c r="AC191" s="57" cm="1">
        <f t="array" ref="AC191">VLOOKUP(B191,'Player Data'!$A1:$AE673,17,FALSE)*$Q191*IFERROR((VLOOKUP(P191,Settings!$E$28:$F$33,2,FALSE)+1),1)</f>
        <v>-12.299999999999999</v>
      </c>
      <c r="AD191" s="57" cm="1">
        <f t="array" ref="AD191">VLOOKUP(B191,'Player Data'!$A1:$AE673,18,FALSE)*$Q191</f>
        <v>41</v>
      </c>
      <c r="AE191" s="57" cm="1">
        <f t="array" ref="AE191">VLOOKUP(B191,'Player Data'!$A1:$AE673,19,FALSE)*$Q191*IFERROR((VLOOKUP(P191,Settings!$E$28:$F$33,2,FALSE)+1),1)</f>
        <v>1.6400000000000001</v>
      </c>
      <c r="AF191" s="57" cm="1">
        <f t="array" ref="AF191">VLOOKUP(B191,'Player Data'!$A1:$AE673,20,FALSE)*$Q191</f>
        <v>0</v>
      </c>
      <c r="AG191" s="57" cm="1">
        <f t="array" ref="AG191">VLOOKUP(B191,'Player Data'!$A1:$AE673,21,FALSE)*$Q191</f>
        <v>0</v>
      </c>
      <c r="AH191" s="59" cm="1">
        <f t="array" ref="AH191">VLOOKUP(B191,'Player Data'!$A1:$AE673,22,FALSE)</f>
        <v>0</v>
      </c>
      <c r="AI191" s="55"/>
      <c r="AJ191" s="57"/>
      <c r="AK191" s="57"/>
      <c r="AL191" s="57"/>
      <c r="AM191" s="57"/>
      <c r="AN191" s="57"/>
      <c r="AO191" s="57"/>
      <c r="AP191" s="57"/>
      <c r="AQ191" s="60"/>
      <c r="AR191" s="61"/>
      <c r="AS191" s="55"/>
    </row>
    <row r="192" spans="1:45" ht="21.25" customHeight="1" x14ac:dyDescent="0.15">
      <c r="A192" s="62">
        <f>RANK(K192,K$2:K$671)</f>
        <v>165</v>
      </c>
      <c r="B192" s="10" t="s">
        <v>257</v>
      </c>
      <c r="C192" s="47" t="s">
        <v>145</v>
      </c>
      <c r="D192" s="48" t="str" cm="1">
        <f t="array" ref="D192">VLOOKUP(B192,'Player Data'!A1:D673,4,FALSE)</f>
        <v>RW</v>
      </c>
      <c r="E192" s="64" cm="1">
        <f t="array" ref="E192">VLOOKUP(B192,RW!A1:F210,3,FALSE)</f>
        <v>37</v>
      </c>
      <c r="F192" s="63" t="str" cm="1">
        <f t="array" ref="F192">VLOOKUP(B192,'Player Data'!A1:B673,2,FALSE)</f>
        <v>VGK</v>
      </c>
      <c r="G192" s="66" cm="1">
        <f t="array" ref="G192">VLOOKUP(B192,'Player Data'!A1:D673,3,FALSE)</f>
        <v>34</v>
      </c>
      <c r="H192" s="67" cm="1">
        <f t="array" ref="H192">IFERROR(VLOOKUP(B192,ADP!A1:F671,6,FALSE)/1000000,VLOOKUP(B192,ADP!A1:F671,6,FALSE))</f>
        <v>9.5</v>
      </c>
      <c r="I192" s="52">
        <f>IF(Settings!$E$15="POINTS",((R192*Q192)*Settings!$B$12)+(S192*Settings!$B$2)+(T192*Settings!$B$3)+(U192*Settings!$B$4)+(V192*Settings!$B$5)+(X192*Settings!$B$9)+(AA192*Settings!$B$6)+(W192*Settings!$B$8)+(AB192*Settings!$B$7)+(AC192*Settings!$B$14)+(AD192*Settings!$B$15)+(AE192*Settings!$B$16)+(AF192*Settings!$B$17)+(AG192*Settings!$B$18)+(Y192*Settings!$B$10)+(Z192*Settings!$B$11),VLOOKUP(B192,'Standard Deviations'!A$1:C$672,3,FALSE))</f>
        <v>5.1742099973617437</v>
      </c>
      <c r="J192" s="53" cm="1">
        <f t="array" ref="J192">IF(D192="G",I192/AJ192,I192/Q192)</f>
        <v>7.6091323490613871E-2</v>
      </c>
      <c r="K192" s="52" cm="1">
        <f t="array" ref="K192">IF(Settings!$E$18="C/LW/RW",VLOOKUP(B192,RW!A1:F210,6,FALSE),VLOOKUP(B192,F!A1:F407,6,FALSE))</f>
        <v>-1.7130246044473338</v>
      </c>
      <c r="L192" s="54" cm="1">
        <f t="array" ref="L192">IFERROR(K192/H192,"N/A")</f>
        <v>-0.18031837941550882</v>
      </c>
      <c r="M192" s="55">
        <v>106.1</v>
      </c>
      <c r="N192" s="55" cm="1">
        <f t="array" ref="N192">IFERROR(M192-A192,"N/A")</f>
        <v>-58.900000000000006</v>
      </c>
      <c r="O192" s="55"/>
      <c r="P192" s="56" cm="1">
        <f t="array" ref="P192">_xlfn.XLOOKUP($B192,ADP!A2:A671,ADP!G2:G671)</f>
        <v>0</v>
      </c>
      <c r="Q192" s="57" cm="1">
        <f t="array" ref="Q192">IF(Settings!$E$12="YES",VLOOKUP(B192,'Player Data'!A1:E673,5,FALSE),84)</f>
        <v>68</v>
      </c>
      <c r="R192" s="55" cm="1">
        <f t="array" ref="R192">VLOOKUP(B192,'Player Data'!$A1:$AE673,6,FALSE)</f>
        <v>19.5</v>
      </c>
      <c r="S192" s="57" cm="1">
        <f t="array" ref="S192">VLOOKUP(B192,'Player Data'!$A1:$AE673,7,FALSE)*$Q192*IFERROR((VLOOKUP(P192,Settings!$E$28:$F$33,2,FALSE)+1),1)</f>
        <v>23.799999999999997</v>
      </c>
      <c r="T192" s="57" cm="1">
        <f t="array" ref="T192">VLOOKUP(B192,'Player Data'!$A1:$AE673,8,FALSE)*$Q192*IFERROR((VLOOKUP(P192,Settings!$E$28:$F$33,2,FALSE)+1),1)</f>
        <v>46.919999999999995</v>
      </c>
      <c r="U192" s="57" cm="1">
        <f t="array" ref="U192">SUM(S192:T192)</f>
        <v>70.72</v>
      </c>
      <c r="V192" s="57" cm="1">
        <f t="array" ref="V192">VLOOKUP(B192,'Player Data'!$A1:$AE673,10,FALSE)*$Q192*IFERROR(((VLOOKUP(P192,Settings!$E$28:$F$33,2,FALSE)/2)+1),1)</f>
        <v>146.19999999999999</v>
      </c>
      <c r="W192" s="58" cm="1">
        <f t="array" ref="W192">VLOOKUP(B192,'Player Data'!$A1:$AE673,11,FALSE)*$Q192*IFERROR((VLOOKUP(P192,Settings!$E$28:$F$33,2,FALSE)+1),1)</f>
        <v>8.16</v>
      </c>
      <c r="X192" s="57" cm="1">
        <f t="array" ref="X192">VLOOKUP(B192,'Player Data'!$A1:$AE673,12,FALSE)*$Q192*IFERROR((VLOOKUP(P192,Settings!$E$28:$F$33,2,FALSE)+1),1)</f>
        <v>27.200000000000003</v>
      </c>
      <c r="Y192" s="57" cm="1">
        <f t="array" ref="Y192">VLOOKUP(B192,'Player Data'!$A1:$AE673,13,FALSE)*$Q192</f>
        <v>0.68</v>
      </c>
      <c r="Z192" s="57" cm="1">
        <f t="array" ref="Z192">VLOOKUP(B192,'Player Data'!$A1:$AE673,14,FALSE)*$Q192</f>
        <v>2.04</v>
      </c>
      <c r="AA192" s="57" cm="1">
        <f t="array" ref="AA192">VLOOKUP(B192,'Player Data'!$A1:$AE673,15,FALSE)*$Q192</f>
        <v>48.96</v>
      </c>
      <c r="AB192" s="57" cm="1">
        <f t="array" ref="AB192">VLOOKUP(B192,'Player Data'!$A1:$AE673,16,FALSE)*$Q192</f>
        <v>39.44</v>
      </c>
      <c r="AC192" s="57" cm="1">
        <f t="array" ref="AC192">VLOOKUP(B192,'Player Data'!$A1:$AE673,17,FALSE)*$Q192*IFERROR((VLOOKUP(P192,Settings!$E$28:$F$33,2,FALSE)+1),1)</f>
        <v>6.12</v>
      </c>
      <c r="AD192" s="57" cm="1">
        <f t="array" ref="AD192">VLOOKUP(B192,'Player Data'!$A1:$AE673,18,FALSE)*$Q192</f>
        <v>19.040000000000003</v>
      </c>
      <c r="AE192" s="57" cm="1">
        <f t="array" ref="AE192">VLOOKUP(B192,'Player Data'!$A1:$AE673,19,FALSE)*$Q192*IFERROR((VLOOKUP(P192,Settings!$E$28:$F$33,2,FALSE)+1),1)</f>
        <v>4.7600000000000007</v>
      </c>
      <c r="AF192" s="57" cm="1">
        <f t="array" ref="AF192">VLOOKUP(B192,'Player Data'!$A1:$AE673,20,FALSE)*$Q192</f>
        <v>3.4000000000000004</v>
      </c>
      <c r="AG192" s="57" cm="1">
        <f t="array" ref="AG192">VLOOKUP(B192,'Player Data'!$A1:$AE673,21,FALSE)*$Q192</f>
        <v>10.88</v>
      </c>
      <c r="AH192" s="59" cm="1">
        <f t="array" ref="AH192">VLOOKUP(B192,'Player Data'!$A1:$AE673,22,FALSE)</f>
        <v>0.24</v>
      </c>
      <c r="AI192" s="55"/>
      <c r="AJ192" s="57"/>
      <c r="AK192" s="57"/>
      <c r="AL192" s="57"/>
      <c r="AM192" s="57"/>
      <c r="AN192" s="57"/>
      <c r="AO192" s="57"/>
      <c r="AP192" s="57"/>
      <c r="AQ192" s="60"/>
      <c r="AR192" s="61"/>
      <c r="AS192" s="55"/>
    </row>
    <row r="193" spans="1:45" ht="21.25" customHeight="1" x14ac:dyDescent="0.15">
      <c r="A193" s="62">
        <f>RANK(K193,K$2:K$671)</f>
        <v>209</v>
      </c>
      <c r="B193" s="10" t="s">
        <v>387</v>
      </c>
      <c r="C193" s="47" t="s">
        <v>145</v>
      </c>
      <c r="D193" s="48" t="str" cm="1">
        <f t="array" ref="D193">VLOOKUP(B193,'Player Data'!A1:D673,4,FALSE)</f>
        <v>D</v>
      </c>
      <c r="E193" s="68" cm="1">
        <f t="array" ref="E193">VLOOKUP(B193,D!A1:C204,3,FALSE)</f>
        <v>89</v>
      </c>
      <c r="F193" s="56" t="str" cm="1">
        <f t="array" ref="F193">VLOOKUP(B193,'Player Data'!A1:B673,2,FALSE)</f>
        <v>WSH</v>
      </c>
      <c r="G193" s="11" cm="1">
        <f t="array" ref="G193">VLOOKUP(B193,'Player Data'!A1:D673,3,FALSE)</f>
        <v>26</v>
      </c>
      <c r="H193" s="51" cm="1">
        <f t="array" ref="H193">IFERROR(VLOOKUP(B193,ADP!A1:F671,6,FALSE)/1000000,VLOOKUP(B193,ADP!A1:F671,6,FALSE))</f>
        <v>4.5999999999999996</v>
      </c>
      <c r="I193" s="52">
        <f>IF(Settings!$E$15="POINTS",((R193*Q193)*Settings!$B$12)+(S193*Settings!$B$2)+(T193*Settings!$B$3)+(U193*Settings!$B$4)+(V193*Settings!$B$5)+(X193*Settings!$B$9)+(AA193*Settings!$B$6)+(W193*Settings!$B$8)+(AB193*Settings!$B$7)+(AC193*Settings!$B$14)+(AD193*Settings!$B$15)+(AE193*Settings!$B$16)+(AF193*Settings!$B$17)+(AG193*Settings!$B$18)+(U193*Settings!$B$13)+(Y193*Settings!$B$10)+(Z193*Settings!$B$11),VLOOKUP(B193,'Standard Deviations'!A$1:C$672,3,FALSE))</f>
        <v>-2.0994397831324347</v>
      </c>
      <c r="J193" s="53" cm="1">
        <f t="array" ref="J193">IF(D193="G",I193/AJ193,I193/Q193)</f>
        <v>-2.5919009668301664E-2</v>
      </c>
      <c r="K193" s="52" cm="1">
        <f t="array" ref="K193">VLOOKUP(B193,D!A1:F204,6,FALSE)</f>
        <v>-2.6662906976499894</v>
      </c>
      <c r="L193" s="54" cm="1">
        <f t="array" ref="L193">IFERROR(K193/H193,"N/A")</f>
        <v>-0.57962841253260644</v>
      </c>
      <c r="M193" s="84" t="s">
        <v>828</v>
      </c>
      <c r="N193" s="84" t="str" cm="1">
        <f t="array" ref="N193">IFERROR(M193-A193,"N/A")</f>
        <v>N/A</v>
      </c>
      <c r="O193" s="55"/>
      <c r="P193" s="56" cm="1">
        <f t="array" ref="P193">_xlfn.XLOOKUP($B193,ADP!A2:A671,ADP!G2:G671)</f>
        <v>0</v>
      </c>
      <c r="Q193" s="57" cm="1">
        <f t="array" ref="Q193">IF(Settings!$E$12="YES",VLOOKUP(B193,'Player Data'!A1:E673,5,FALSE),84)</f>
        <v>81</v>
      </c>
      <c r="R193" s="83" cm="1">
        <f t="array" ref="R193">VLOOKUP(B193,'Player Data'!$A1:$AE673,6,FALSE)</f>
        <v>17.5</v>
      </c>
      <c r="S193" s="57" cm="1">
        <f t="array" ref="S193">VLOOKUP(B193,'Player Data'!$A1:$AE673,7,FALSE)*$Q193*IFERROR((VLOOKUP(P193,Settings!$E$28:$F$33,2,FALSE)+1),1)</f>
        <v>4.05</v>
      </c>
      <c r="T193" s="57" cm="1">
        <f t="array" ref="T193">VLOOKUP(B193,'Player Data'!$A1:$AE673,8,FALSE)*$Q193*IFERROR((VLOOKUP(P193,Settings!$E$28:$F$33,2,FALSE)+1),1)</f>
        <v>19.439999999999998</v>
      </c>
      <c r="U193" s="57" cm="1">
        <f t="array" ref="U193">SUM(S193:T193)</f>
        <v>23.49</v>
      </c>
      <c r="V193" s="57" cm="1">
        <f t="array" ref="V193">VLOOKUP(B193,'Player Data'!$A1:$AE673,10,FALSE)*$Q193*IFERROR(((VLOOKUP(P193,Settings!$E$28:$F$33,2,FALSE)/2)+1),1)</f>
        <v>81.81</v>
      </c>
      <c r="W193" s="57" cm="1">
        <f t="array" ref="W193">VLOOKUP(B193,'Player Data'!$A1:$AE673,11,FALSE)*$Q193*IFERROR((VLOOKUP(P193,Settings!$E$28:$F$33,2,FALSE)+1),1)</f>
        <v>0</v>
      </c>
      <c r="X193" s="57" cm="1">
        <f t="array" ref="X193">VLOOKUP(B193,'Player Data'!$A1:$AE673,12,FALSE)*$Q193*IFERROR((VLOOKUP(P193,Settings!$E$28:$F$33,2,FALSE)+1),1)</f>
        <v>0.81</v>
      </c>
      <c r="Y193" s="57" cm="1">
        <f t="array" ref="Y193">VLOOKUP(B193,'Player Data'!$A1:$AE673,13,FALSE)*$Q193</f>
        <v>0</v>
      </c>
      <c r="Z193" s="57" cm="1">
        <f t="array" ref="Z193">VLOOKUP(B193,'Player Data'!$A1:$AE673,14,FALSE)*$Q193</f>
        <v>0</v>
      </c>
      <c r="AA193" s="57" cm="1">
        <f t="array" ref="AA193">VLOOKUP(B193,'Player Data'!$A1:$AE673,15,FALSE)*$Q193</f>
        <v>119.07</v>
      </c>
      <c r="AB193" s="57" cm="1">
        <f t="array" ref="AB193">VLOOKUP(B193,'Player Data'!$A1:$AE673,16,FALSE)*$Q193</f>
        <v>89.100000000000009</v>
      </c>
      <c r="AC193" s="57" cm="1">
        <f t="array" ref="AC193">VLOOKUP(B193,'Player Data'!$A1:$AE673,17,FALSE)*$Q193*IFERROR((VLOOKUP(P193,Settings!$E$28:$F$33,2,FALSE)+1),1)</f>
        <v>3.24</v>
      </c>
      <c r="AD193" s="57" cm="1">
        <f t="array" ref="AD193">VLOOKUP(B193,'Player Data'!$A1:$AE673,18,FALSE)*$Q193</f>
        <v>21.060000000000002</v>
      </c>
      <c r="AE193" s="57" cm="1">
        <f t="array" ref="AE193">VLOOKUP(B193,'Player Data'!$A1:$AE673,19,FALSE)*$Q193*IFERROR((VLOOKUP(P193,Settings!$E$28:$F$33,2,FALSE)+1),1)</f>
        <v>0.81</v>
      </c>
      <c r="AF193" s="57" cm="1">
        <f t="array" ref="AF193">VLOOKUP(B193,'Player Data'!$A1:$AE673,20,FALSE)*$Q193</f>
        <v>0</v>
      </c>
      <c r="AG193" s="57" cm="1">
        <f t="array" ref="AG193">VLOOKUP(B193,'Player Data'!$A1:$AE673,21,FALSE)*$Q193</f>
        <v>0</v>
      </c>
      <c r="AH193" s="59" cm="1">
        <f t="array" ref="AH193">VLOOKUP(B193,'Player Data'!$A1:$AE673,22,FALSE)</f>
        <v>0</v>
      </c>
      <c r="AI193" s="55"/>
      <c r="AJ193" s="57"/>
      <c r="AK193" s="57"/>
      <c r="AL193" s="57"/>
      <c r="AM193" s="57"/>
      <c r="AN193" s="57"/>
      <c r="AO193" s="57"/>
      <c r="AP193" s="57"/>
      <c r="AQ193" s="60"/>
      <c r="AR193" s="61"/>
      <c r="AS193" s="55"/>
    </row>
    <row r="194" spans="1:45" ht="21.25" customHeight="1" x14ac:dyDescent="0.15">
      <c r="A194" s="62">
        <f>RANK(K194,K$2:K$671)</f>
        <v>211</v>
      </c>
      <c r="B194" s="10" t="s">
        <v>557</v>
      </c>
      <c r="C194" s="47" t="s">
        <v>145</v>
      </c>
      <c r="D194" s="48" t="str" cm="1">
        <f t="array" ref="D194">VLOOKUP(B194,'Player Data'!A1:D673,4,FALSE)</f>
        <v>D</v>
      </c>
      <c r="E194" s="68" cm="1">
        <f t="array" ref="E194">VLOOKUP(B194,D!A1:C204,3,FALSE)</f>
        <v>90</v>
      </c>
      <c r="F194" s="65" t="str" cm="1">
        <f t="array" ref="F194">VLOOKUP(B194,'Player Data'!A1:B673,2,FALSE)</f>
        <v>T.B</v>
      </c>
      <c r="G194" s="11" cm="1">
        <f t="array" ref="G194">VLOOKUP(B194,'Player Data'!A1:D673,3,FALSE)</f>
        <v>25</v>
      </c>
      <c r="H194" s="67" cm="1">
        <f t="array" ref="H194">IFERROR(VLOOKUP(B194,ADP!A1:F671,6,FALSE)/1000000,VLOOKUP(B194,ADP!A1:F671,6,FALSE))</f>
        <v>0.82499999999999996</v>
      </c>
      <c r="I194" s="52">
        <f>IF(Settings!$E$15="POINTS",((R194*Q194)*Settings!$B$12)+(S194*Settings!$B$2)+(T194*Settings!$B$3)+(U194*Settings!$B$4)+(V194*Settings!$B$5)+(X194*Settings!$B$9)+(AA194*Settings!$B$6)+(W194*Settings!$B$8)+(AB194*Settings!$B$7)+(AC194*Settings!$B$14)+(AD194*Settings!$B$15)+(AE194*Settings!$B$16)+(AF194*Settings!$B$17)+(AG194*Settings!$B$18)+(U194*Settings!$B$13)+(Y194*Settings!$B$10)+(Z194*Settings!$B$11),VLOOKUP(B194,'Standard Deviations'!A$1:C$672,3,FALSE))</f>
        <v>-2.1172851606323126</v>
      </c>
      <c r="J194" s="53" cm="1">
        <f t="array" ref="J194">IF(D194="G",I194/AJ194,I194/Q194)</f>
        <v>-2.900390631003168E-2</v>
      </c>
      <c r="K194" s="52" cm="1">
        <f t="array" ref="K194">VLOOKUP(B194,D!A1:F204,6,FALSE)</f>
        <v>-2.6841360751498673</v>
      </c>
      <c r="L194" s="54" cm="1">
        <f t="array" ref="L194">IFERROR(K194/H194,"N/A")</f>
        <v>-3.2534982729089301</v>
      </c>
      <c r="M194" s="84" t="s">
        <v>828</v>
      </c>
      <c r="N194" s="84" t="str" cm="1">
        <f t="array" ref="N194">IFERROR(M194-A194,"N/A")</f>
        <v>N/A</v>
      </c>
      <c r="O194" s="55"/>
      <c r="P194" s="56" cm="1">
        <f t="array" ref="P194">_xlfn.XLOOKUP($B194,ADP!A2:A671,ADP!G2:G671)</f>
        <v>0</v>
      </c>
      <c r="Q194" s="57" cm="1">
        <f t="array" ref="Q194">IF(Settings!$E$12="YES",VLOOKUP(B194,'Player Data'!A1:E673,5,FALSE),84)</f>
        <v>73</v>
      </c>
      <c r="R194" s="83" cm="1">
        <f t="array" ref="R194">VLOOKUP(B194,'Player Data'!$A1:$AE673,6,FALSE)</f>
        <v>15.6</v>
      </c>
      <c r="S194" s="57" cm="1">
        <f t="array" ref="S194">VLOOKUP(B194,'Player Data'!$A1:$AE673,7,FALSE)*$Q194*IFERROR((VLOOKUP(P194,Settings!$E$28:$F$33,2,FALSE)+1),1)</f>
        <v>2.92</v>
      </c>
      <c r="T194" s="57" cm="1">
        <f t="array" ref="T194">VLOOKUP(B194,'Player Data'!$A1:$AE673,8,FALSE)*$Q194*IFERROR((VLOOKUP(P194,Settings!$E$28:$F$33,2,FALSE)+1),1)</f>
        <v>13.870000000000001</v>
      </c>
      <c r="U194" s="57" cm="1">
        <f t="array" ref="U194">SUM(S194:T194)</f>
        <v>16.79</v>
      </c>
      <c r="V194" s="57" cm="1">
        <f t="array" ref="V194">VLOOKUP(B194,'Player Data'!$A1:$AE673,10,FALSE)*$Q194*IFERROR(((VLOOKUP(P194,Settings!$E$28:$F$33,2,FALSE)/2)+1),1)</f>
        <v>56.940000000000005</v>
      </c>
      <c r="W194" s="57" cm="1">
        <f t="array" ref="W194">VLOOKUP(B194,'Player Data'!$A1:$AE673,11,FALSE)*$Q194*IFERROR((VLOOKUP(P194,Settings!$E$28:$F$33,2,FALSE)+1),1)</f>
        <v>0</v>
      </c>
      <c r="X194" s="57" cm="1">
        <f t="array" ref="X194">VLOOKUP(B194,'Player Data'!$A1:$AE673,12,FALSE)*$Q194*IFERROR((VLOOKUP(P194,Settings!$E$28:$F$33,2,FALSE)+1),1)</f>
        <v>0</v>
      </c>
      <c r="Y194" s="57" cm="1">
        <f t="array" ref="Y194">VLOOKUP(B194,'Player Data'!$A1:$AE673,13,FALSE)*$Q194</f>
        <v>0</v>
      </c>
      <c r="Z194" s="57" cm="1">
        <f t="array" ref="Z194">VLOOKUP(B194,'Player Data'!$A1:$AE673,14,FALSE)*$Q194</f>
        <v>0</v>
      </c>
      <c r="AA194" s="57" cm="1">
        <f t="array" ref="AA194">VLOOKUP(B194,'Player Data'!$A1:$AE673,15,FALSE)*$Q194</f>
        <v>67.89</v>
      </c>
      <c r="AB194" s="57" cm="1">
        <f t="array" ref="AB194">VLOOKUP(B194,'Player Data'!$A1:$AE673,16,FALSE)*$Q194</f>
        <v>110.23</v>
      </c>
      <c r="AC194" s="57" cm="1">
        <f t="array" ref="AC194">VLOOKUP(B194,'Player Data'!$A1:$AE673,17,FALSE)*$Q194*IFERROR((VLOOKUP(P194,Settings!$E$28:$F$33,2,FALSE)+1),1)</f>
        <v>5.84</v>
      </c>
      <c r="AD194" s="57" cm="1">
        <f t="array" ref="AD194">VLOOKUP(B194,'Player Data'!$A1:$AE673,18,FALSE)*$Q194</f>
        <v>62.78</v>
      </c>
      <c r="AE194" s="57" cm="1">
        <f t="array" ref="AE194">VLOOKUP(B194,'Player Data'!$A1:$AE673,19,FALSE)*$Q194*IFERROR((VLOOKUP(P194,Settings!$E$28:$F$33,2,FALSE)+1),1)</f>
        <v>0.73</v>
      </c>
      <c r="AF194" s="57" cm="1">
        <f t="array" ref="AF194">VLOOKUP(B194,'Player Data'!$A1:$AE673,20,FALSE)*$Q194</f>
        <v>0</v>
      </c>
      <c r="AG194" s="57" cm="1">
        <f t="array" ref="AG194">VLOOKUP(B194,'Player Data'!$A1:$AE673,21,FALSE)*$Q194</f>
        <v>0</v>
      </c>
      <c r="AH194" s="59" cm="1">
        <f t="array" ref="AH194">VLOOKUP(B194,'Player Data'!$A1:$AE673,22,FALSE)</f>
        <v>0</v>
      </c>
      <c r="AI194" s="55"/>
      <c r="AJ194" s="57"/>
      <c r="AK194" s="57"/>
      <c r="AL194" s="57"/>
      <c r="AM194" s="57"/>
      <c r="AN194" s="57"/>
      <c r="AO194" s="57"/>
      <c r="AP194" s="57"/>
      <c r="AQ194" s="60"/>
      <c r="AR194" s="61"/>
      <c r="AS194" s="55"/>
    </row>
    <row r="195" spans="1:45" ht="21.25" customHeight="1" x14ac:dyDescent="0.15">
      <c r="A195" s="62">
        <f>RANK(K195,K$2:K$671)</f>
        <v>212</v>
      </c>
      <c r="B195" s="10" t="s">
        <v>286</v>
      </c>
      <c r="C195" s="47" t="s">
        <v>145</v>
      </c>
      <c r="D195" s="48" t="str" cm="1">
        <f t="array" ref="D195">VLOOKUP(B195,'Player Data'!A1:D673,4,FALSE)</f>
        <v>D</v>
      </c>
      <c r="E195" s="68" cm="1">
        <f t="array" ref="E195">VLOOKUP(B195,D!A1:C204,3,FALSE)</f>
        <v>91</v>
      </c>
      <c r="F195" s="56" t="str" cm="1">
        <f t="array" ref="F195">VLOOKUP(B195,'Player Data'!A1:B673,2,FALSE)</f>
        <v>PHI</v>
      </c>
      <c r="G195" s="11" cm="1">
        <f t="array" ref="G195">VLOOKUP(B195,'Player Data'!A1:D673,3,FALSE)</f>
        <v>30</v>
      </c>
      <c r="H195" s="51" cm="1">
        <f t="array" ref="H195">IFERROR(VLOOKUP(B195,ADP!A1:F671,6,FALSE)/1000000,VLOOKUP(B195,ADP!A1:F671,6,FALSE))</f>
        <v>6.25</v>
      </c>
      <c r="I195" s="52">
        <f>IF(Settings!$E$15="POINTS",((R195*Q195)*Settings!$B$12)+(S195*Settings!$B$2)+(T195*Settings!$B$3)+(U195*Settings!$B$4)+(V195*Settings!$B$5)+(X195*Settings!$B$9)+(AA195*Settings!$B$6)+(W195*Settings!$B$8)+(AB195*Settings!$B$7)+(AC195*Settings!$B$14)+(AD195*Settings!$B$15)+(AE195*Settings!$B$16)+(AF195*Settings!$B$17)+(AG195*Settings!$B$18)+(U195*Settings!$B$13)+(Y195*Settings!$B$10)+(Z195*Settings!$B$11),VLOOKUP(B195,'Standard Deviations'!A$1:C$672,3,FALSE))</f>
        <v>-2.1227930208935586</v>
      </c>
      <c r="J195" s="53" cm="1">
        <f t="array" ref="J195">IF(D195="G",I195/AJ195,I195/Q195)</f>
        <v>-2.5271345486828078E-2</v>
      </c>
      <c r="K195" s="52" cm="1">
        <f t="array" ref="K195">VLOOKUP(B195,D!A1:F204,6,FALSE)</f>
        <v>-2.6896439354111132</v>
      </c>
      <c r="L195" s="54" cm="1">
        <f t="array" ref="L195">IFERROR(K195/H195,"N/A")</f>
        <v>-0.43034302966577814</v>
      </c>
      <c r="M195" s="55">
        <v>139.9</v>
      </c>
      <c r="N195" s="55" cm="1">
        <f t="array" ref="N195">IFERROR(M195-A195,"N/A")</f>
        <v>-72.099999999999994</v>
      </c>
      <c r="O195" s="55"/>
      <c r="P195" s="56" cm="1">
        <f t="array" ref="P195">_xlfn.XLOOKUP($B195,ADP!A2:A671,ADP!G2:G671)</f>
        <v>0</v>
      </c>
      <c r="Q195" s="57" cm="1">
        <f t="array" ref="Q195">IF(Settings!$E$12="YES",VLOOKUP(B195,'Player Data'!A1:E673,5,FALSE),84)</f>
        <v>84</v>
      </c>
      <c r="R195" s="55" cm="1">
        <f t="array" ref="R195">VLOOKUP(B195,'Player Data'!$A1:$AE673,6,FALSE)</f>
        <v>23.4</v>
      </c>
      <c r="S195" s="57" cm="1">
        <f t="array" ref="S195">VLOOKUP(B195,'Player Data'!$A1:$AE673,7,FALSE)*$Q195*IFERROR((VLOOKUP(P195,Settings!$E$28:$F$33,2,FALSE)+1),1)</f>
        <v>7.56</v>
      </c>
      <c r="T195" s="57" cm="1">
        <f t="array" ref="T195">VLOOKUP(B195,'Player Data'!$A1:$AE673,8,FALSE)*$Q195*IFERROR((VLOOKUP(P195,Settings!$E$28:$F$33,2,FALSE)+1),1)</f>
        <v>23.520000000000003</v>
      </c>
      <c r="U195" s="57" cm="1">
        <f t="array" ref="U195">SUM(S195:T195)</f>
        <v>31.080000000000002</v>
      </c>
      <c r="V195" s="57" cm="1">
        <f t="array" ref="V195">VLOOKUP(B195,'Player Data'!$A1:$AE673,10,FALSE)*$Q195*IFERROR(((VLOOKUP(P195,Settings!$E$28:$F$33,2,FALSE)/2)+1),1)</f>
        <v>107.52</v>
      </c>
      <c r="W195" s="57" cm="1">
        <f t="array" ref="W195">VLOOKUP(B195,'Player Data'!$A1:$AE673,11,FALSE)*$Q195*IFERROR((VLOOKUP(P195,Settings!$E$28:$F$33,2,FALSE)+1),1)</f>
        <v>0</v>
      </c>
      <c r="X195" s="57" cm="1">
        <f t="array" ref="X195">VLOOKUP(B195,'Player Data'!$A1:$AE673,12,FALSE)*$Q195*IFERROR((VLOOKUP(P195,Settings!$E$28:$F$33,2,FALSE)+1),1)</f>
        <v>0.84</v>
      </c>
      <c r="Y195" s="57" cm="1">
        <f t="array" ref="Y195">VLOOKUP(B195,'Player Data'!$A1:$AE673,13,FALSE)*$Q195</f>
        <v>0.84</v>
      </c>
      <c r="Z195" s="57" cm="1">
        <f t="array" ref="Z195">VLOOKUP(B195,'Player Data'!$A1:$AE673,14,FALSE)*$Q195</f>
        <v>2.52</v>
      </c>
      <c r="AA195" s="57" cm="1">
        <f t="array" ref="AA195">VLOOKUP(B195,'Player Data'!$A1:$AE673,15,FALSE)*$Q195</f>
        <v>153.72</v>
      </c>
      <c r="AB195" s="57" cm="1">
        <f t="array" ref="AB195">VLOOKUP(B195,'Player Data'!$A1:$AE673,16,FALSE)*$Q195</f>
        <v>60.48</v>
      </c>
      <c r="AC195" s="57" cm="1">
        <f t="array" ref="AC195">VLOOKUP(B195,'Player Data'!$A1:$AE673,17,FALSE)*$Q195*IFERROR((VLOOKUP(P195,Settings!$E$28:$F$33,2,FALSE)+1),1)</f>
        <v>0.84</v>
      </c>
      <c r="AD195" s="57" cm="1">
        <f t="array" ref="AD195">VLOOKUP(B195,'Player Data'!$A1:$AE673,18,FALSE)*$Q195</f>
        <v>35.28</v>
      </c>
      <c r="AE195" s="57" cm="1">
        <f t="array" ref="AE195">VLOOKUP(B195,'Player Data'!$A1:$AE673,19,FALSE)*$Q195*IFERROR((VLOOKUP(P195,Settings!$E$28:$F$33,2,FALSE)+1),1)</f>
        <v>0.84</v>
      </c>
      <c r="AF195" s="57" cm="1">
        <f t="array" ref="AF195">VLOOKUP(B195,'Player Data'!$A1:$AE673,20,FALSE)*$Q195</f>
        <v>0</v>
      </c>
      <c r="AG195" s="57" cm="1">
        <f t="array" ref="AG195">VLOOKUP(B195,'Player Data'!$A1:$AE673,21,FALSE)*$Q195</f>
        <v>0</v>
      </c>
      <c r="AH195" s="59" cm="1">
        <f t="array" ref="AH195">VLOOKUP(B195,'Player Data'!$A1:$AE673,22,FALSE)</f>
        <v>0</v>
      </c>
      <c r="AI195" s="55"/>
      <c r="AJ195" s="57"/>
      <c r="AK195" s="57"/>
      <c r="AL195" s="57"/>
      <c r="AM195" s="57"/>
      <c r="AN195" s="57"/>
      <c r="AO195" s="57"/>
      <c r="AP195" s="57"/>
      <c r="AQ195" s="60"/>
      <c r="AR195" s="61"/>
      <c r="AS195" s="55"/>
    </row>
    <row r="196" spans="1:45" ht="21.25" customHeight="1" x14ac:dyDescent="0.15">
      <c r="A196" s="62">
        <f>RANK(K196,K$2:K$671)</f>
        <v>213</v>
      </c>
      <c r="B196" s="10" t="s">
        <v>457</v>
      </c>
      <c r="C196" s="47" t="s">
        <v>145</v>
      </c>
      <c r="D196" s="48" t="str" cm="1">
        <f t="array" ref="D196">VLOOKUP(B196,'Player Data'!A1:D673,4,FALSE)</f>
        <v>D</v>
      </c>
      <c r="E196" s="68" cm="1">
        <f t="array" ref="E196">VLOOKUP(B196,D!A1:C204,3,FALSE)</f>
        <v>92</v>
      </c>
      <c r="F196" s="73" t="str" cm="1">
        <f t="array" ref="F196">VLOOKUP(B196,'Player Data'!A1:B673,2,FALSE)</f>
        <v>BUF</v>
      </c>
      <c r="G196" s="11" cm="1">
        <f t="array" ref="G196">VLOOKUP(B196,'Player Data'!A1:D673,3,FALSE)</f>
        <v>25</v>
      </c>
      <c r="H196" s="67" cm="1">
        <f t="array" ref="H196">IFERROR(VLOOKUP(B196,ADP!A1:F671,6,FALSE)/1000000,VLOOKUP(B196,ADP!A1:F671,6,FALSE))</f>
        <v>0.9</v>
      </c>
      <c r="I196" s="52">
        <f>IF(Settings!$E$15="POINTS",((R196*Q196)*Settings!$B$12)+(S196*Settings!$B$2)+(T196*Settings!$B$3)+(U196*Settings!$B$4)+(V196*Settings!$B$5)+(X196*Settings!$B$9)+(AA196*Settings!$B$6)+(W196*Settings!$B$8)+(AB196*Settings!$B$7)+(AC196*Settings!$B$14)+(AD196*Settings!$B$15)+(AE196*Settings!$B$16)+(AF196*Settings!$B$17)+(AG196*Settings!$B$18)+(U196*Settings!$B$13)+(Y196*Settings!$B$10)+(Z196*Settings!$B$11),VLOOKUP(B196,'Standard Deviations'!A$1:C$672,3,FALSE))</f>
        <v>-2.1519536494077642</v>
      </c>
      <c r="J196" s="53" cm="1">
        <f t="array" ref="J196">IF(D196="G",I196/AJ196,I196/Q196)</f>
        <v>-3.0309206329686821E-2</v>
      </c>
      <c r="K196" s="52" cm="1">
        <f t="array" ref="K196">VLOOKUP(B196,D!A1:F204,6,FALSE)</f>
        <v>-2.7188045639253184</v>
      </c>
      <c r="L196" s="54" cm="1">
        <f t="array" ref="L196">IFERROR(K196/H196,"N/A")</f>
        <v>-3.0208939599170206</v>
      </c>
      <c r="M196" s="84" t="s">
        <v>828</v>
      </c>
      <c r="N196" s="84" t="str" cm="1">
        <f t="array" ref="N196">IFERROR(M196-A196,"N/A")</f>
        <v>N/A</v>
      </c>
      <c r="O196" s="55"/>
      <c r="P196" s="56" cm="1">
        <f t="array" ref="P196">_xlfn.XLOOKUP($B196,ADP!A2:A671,ADP!G2:G671)</f>
        <v>0</v>
      </c>
      <c r="Q196" s="57" cm="1">
        <f t="array" ref="Q196">IF(Settings!$E$12="YES",VLOOKUP(B196,'Player Data'!A1:E673,5,FALSE),84)</f>
        <v>71</v>
      </c>
      <c r="R196" s="55" cm="1">
        <f t="array" ref="R196">VLOOKUP(B196,'Player Data'!$A1:$AE673,6,FALSE)</f>
        <v>17.3</v>
      </c>
      <c r="S196" s="57" cm="1">
        <f t="array" ref="S196">VLOOKUP(B196,'Player Data'!$A1:$AE673,7,FALSE)*$Q196*IFERROR((VLOOKUP(P196,Settings!$E$28:$F$33,2,FALSE)+1),1)</f>
        <v>6.39</v>
      </c>
      <c r="T196" s="57" cm="1">
        <f t="array" ref="T196">VLOOKUP(B196,'Player Data'!$A1:$AE673,8,FALSE)*$Q196*IFERROR((VLOOKUP(P196,Settings!$E$28:$F$33,2,FALSE)+1),1)</f>
        <v>15.62</v>
      </c>
      <c r="U196" s="57" cm="1">
        <f t="array" ref="U196">SUM(S196:T196)</f>
        <v>22.009999999999998</v>
      </c>
      <c r="V196" s="57" cm="1">
        <f t="array" ref="V196">VLOOKUP(B196,'Player Data'!$A1:$AE673,10,FALSE)*$Q196*IFERROR(((VLOOKUP(P196,Settings!$E$28:$F$33,2,FALSE)/2)+1),1)</f>
        <v>104.37</v>
      </c>
      <c r="W196" s="57" cm="1">
        <f t="array" ref="W196">VLOOKUP(B196,'Player Data'!$A1:$AE673,11,FALSE)*$Q196*IFERROR((VLOOKUP(P196,Settings!$E$28:$F$33,2,FALSE)+1),1)</f>
        <v>0</v>
      </c>
      <c r="X196" s="57" cm="1">
        <f t="array" ref="X196">VLOOKUP(B196,'Player Data'!$A1:$AE673,12,FALSE)*$Q196*IFERROR((VLOOKUP(P196,Settings!$E$28:$F$33,2,FALSE)+1),1)</f>
        <v>0</v>
      </c>
      <c r="Y196" s="57" cm="1">
        <f t="array" ref="Y196">VLOOKUP(B196,'Player Data'!$A1:$AE673,13,FALSE)*$Q196</f>
        <v>0.71</v>
      </c>
      <c r="Z196" s="57" cm="1">
        <f t="array" ref="Z196">VLOOKUP(B196,'Player Data'!$A1:$AE673,14,FALSE)*$Q196</f>
        <v>1.42</v>
      </c>
      <c r="AA196" s="57" cm="1">
        <f t="array" ref="AA196">VLOOKUP(B196,'Player Data'!$A1:$AE673,15,FALSE)*$Q196</f>
        <v>102.95</v>
      </c>
      <c r="AB196" s="57" cm="1">
        <f t="array" ref="AB196">VLOOKUP(B196,'Player Data'!$A1:$AE673,16,FALSE)*$Q196</f>
        <v>115.02000000000001</v>
      </c>
      <c r="AC196" s="57" cm="1">
        <f t="array" ref="AC196">VLOOKUP(B196,'Player Data'!$A1:$AE673,17,FALSE)*$Q196*IFERROR((VLOOKUP(P196,Settings!$E$28:$F$33,2,FALSE)+1),1)</f>
        <v>-0.71</v>
      </c>
      <c r="AD196" s="57" cm="1">
        <f t="array" ref="AD196">VLOOKUP(B196,'Player Data'!$A1:$AE673,18,FALSE)*$Q196</f>
        <v>36.21</v>
      </c>
      <c r="AE196" s="57" cm="1">
        <f t="array" ref="AE196">VLOOKUP(B196,'Player Data'!$A1:$AE673,19,FALSE)*$Q196*IFERROR((VLOOKUP(P196,Settings!$E$28:$F$33,2,FALSE)+1),1)</f>
        <v>0.71</v>
      </c>
      <c r="AF196" s="57" cm="1">
        <f t="array" ref="AF196">VLOOKUP(B196,'Player Data'!$A1:$AE673,20,FALSE)*$Q196</f>
        <v>0</v>
      </c>
      <c r="AG196" s="57" cm="1">
        <f t="array" ref="AG196">VLOOKUP(B196,'Player Data'!$A1:$AE673,21,FALSE)*$Q196</f>
        <v>0</v>
      </c>
      <c r="AH196" s="59" cm="1">
        <f t="array" ref="AH196">VLOOKUP(B196,'Player Data'!$A1:$AE673,22,FALSE)</f>
        <v>0</v>
      </c>
      <c r="AI196" s="55"/>
      <c r="AJ196" s="57"/>
      <c r="AK196" s="57"/>
      <c r="AL196" s="57"/>
      <c r="AM196" s="57"/>
      <c r="AN196" s="57"/>
      <c r="AO196" s="57"/>
      <c r="AP196" s="57"/>
      <c r="AQ196" s="60"/>
      <c r="AR196" s="61"/>
      <c r="AS196" s="55"/>
    </row>
    <row r="197" spans="1:45" ht="21.25" customHeight="1" x14ac:dyDescent="0.15">
      <c r="A197" s="62">
        <f>RANK(K197,K$2:K$671)</f>
        <v>215</v>
      </c>
      <c r="B197" s="10" t="s">
        <v>361</v>
      </c>
      <c r="C197" s="47" t="s">
        <v>145</v>
      </c>
      <c r="D197" s="48" t="str" cm="1">
        <f t="array" ref="D197">VLOOKUP(B197,'Player Data'!A1:D673,4,FALSE)</f>
        <v>D</v>
      </c>
      <c r="E197" s="68" cm="1">
        <f t="array" ref="E197">VLOOKUP(B197,D!A1:C204,3,FALSE)</f>
        <v>93</v>
      </c>
      <c r="F197" s="69" t="str" cm="1">
        <f t="array" ref="F197">VLOOKUP(B197,'Player Data'!A1:B673,2,FALSE)</f>
        <v>CBJ</v>
      </c>
      <c r="G197" s="66" cm="1">
        <f t="array" ref="G197">VLOOKUP(B197,'Player Data'!A1:D673,3,FALSE)</f>
        <v>32</v>
      </c>
      <c r="H197" s="51" cm="1">
        <f t="array" ref="H197">IFERROR(VLOOKUP(B197,ADP!A1:F671,6,FALSE)/1000000,VLOOKUP(B197,ADP!A1:F671,6,FALSE))</f>
        <v>6.25</v>
      </c>
      <c r="I197" s="52">
        <f>IF(Settings!$E$15="POINTS",((R197*Q197)*Settings!$B$12)+(S197*Settings!$B$2)+(T197*Settings!$B$3)+(U197*Settings!$B$4)+(V197*Settings!$B$5)+(X197*Settings!$B$9)+(AA197*Settings!$B$6)+(W197*Settings!$B$8)+(AB197*Settings!$B$7)+(AC197*Settings!$B$14)+(AD197*Settings!$B$15)+(AE197*Settings!$B$16)+(AF197*Settings!$B$17)+(AG197*Settings!$B$18)+(U197*Settings!$B$13)+(Y197*Settings!$B$10)+(Z197*Settings!$B$11),VLOOKUP(B197,'Standard Deviations'!A$1:C$672,3,FALSE))</f>
        <v>-2.1668262058937966</v>
      </c>
      <c r="J197" s="53" cm="1">
        <f t="array" ref="J197">IF(D197="G",I197/AJ197,I197/Q197)</f>
        <v>-2.7428179821440465E-2</v>
      </c>
      <c r="K197" s="52" cm="1">
        <f t="array" ref="K197">VLOOKUP(B197,D!A1:F204,6,FALSE)</f>
        <v>-2.7336771204113512</v>
      </c>
      <c r="L197" s="54" cm="1">
        <f t="array" ref="L197">IFERROR(K197/H197,"N/A")</f>
        <v>-0.43738833926581622</v>
      </c>
      <c r="M197" s="84" t="s">
        <v>828</v>
      </c>
      <c r="N197" s="84" t="str" cm="1">
        <f t="array" ref="N197">IFERROR(M197-A197,"N/A")</f>
        <v>N/A</v>
      </c>
      <c r="O197" s="55"/>
      <c r="P197" s="56" cm="1">
        <f t="array" ref="P197">_xlfn.XLOOKUP($B197,ADP!A2:A671,ADP!G2:G671)</f>
        <v>0</v>
      </c>
      <c r="Q197" s="57" cm="1">
        <f t="array" ref="Q197">IF(Settings!$E$12="YES",VLOOKUP(B197,'Player Data'!A1:E673,5,FALSE),84)</f>
        <v>79</v>
      </c>
      <c r="R197" s="83" cm="1">
        <f t="array" ref="R197">VLOOKUP(B197,'Player Data'!$A1:$AE673,6,FALSE)</f>
        <v>19.5</v>
      </c>
      <c r="S197" s="57" cm="1">
        <f t="array" ref="S197">VLOOKUP(B197,'Player Data'!$A1:$AE673,7,FALSE)*$Q197*IFERROR((VLOOKUP(P197,Settings!$E$28:$F$33,2,FALSE)+1),1)</f>
        <v>7.1099999999999994</v>
      </c>
      <c r="T197" s="57" cm="1">
        <f t="array" ref="T197">VLOOKUP(B197,'Player Data'!$A1:$AE673,8,FALSE)*$Q197*IFERROR((VLOOKUP(P197,Settings!$E$28:$F$33,2,FALSE)+1),1)</f>
        <v>21.330000000000002</v>
      </c>
      <c r="U197" s="57" cm="1">
        <f t="array" ref="U197">SUM(S197:T197)</f>
        <v>28.44</v>
      </c>
      <c r="V197" s="57" cm="1">
        <f t="array" ref="V197">VLOOKUP(B197,'Player Data'!$A1:$AE673,10,FALSE)*$Q197*IFERROR(((VLOOKUP(P197,Settings!$E$28:$F$33,2,FALSE)/2)+1),1)</f>
        <v>94.8</v>
      </c>
      <c r="W197" s="57" cm="1">
        <f t="array" ref="W197">VLOOKUP(B197,'Player Data'!$A1:$AE673,11,FALSE)*$Q197*IFERROR((VLOOKUP(P197,Settings!$E$28:$F$33,2,FALSE)+1),1)</f>
        <v>0</v>
      </c>
      <c r="X197" s="57" cm="1">
        <f t="array" ref="X197">VLOOKUP(B197,'Player Data'!$A1:$AE673,12,FALSE)*$Q197*IFERROR((VLOOKUP(P197,Settings!$E$28:$F$33,2,FALSE)+1),1)</f>
        <v>1.58</v>
      </c>
      <c r="Y197" s="57" cm="1">
        <f t="array" ref="Y197">VLOOKUP(B197,'Player Data'!$A1:$AE673,13,FALSE)*$Q197</f>
        <v>0</v>
      </c>
      <c r="Z197" s="57" cm="1">
        <f t="array" ref="Z197">VLOOKUP(B197,'Player Data'!$A1:$AE673,14,FALSE)*$Q197</f>
        <v>0</v>
      </c>
      <c r="AA197" s="57" cm="1">
        <f t="array" ref="AA197">VLOOKUP(B197,'Player Data'!$A1:$AE673,15,FALSE)*$Q197</f>
        <v>98.75</v>
      </c>
      <c r="AB197" s="57" cm="1">
        <f t="array" ref="AB197">VLOOKUP(B197,'Player Data'!$A1:$AE673,16,FALSE)*$Q197</f>
        <v>50.56</v>
      </c>
      <c r="AC197" s="57" cm="1">
        <f t="array" ref="AC197">VLOOKUP(B197,'Player Data'!$A1:$AE673,17,FALSE)*$Q197*IFERROR((VLOOKUP(P197,Settings!$E$28:$F$33,2,FALSE)+1),1)</f>
        <v>3.16</v>
      </c>
      <c r="AD197" s="57" cm="1">
        <f t="array" ref="AD197">VLOOKUP(B197,'Player Data'!$A1:$AE673,18,FALSE)*$Q197</f>
        <v>48.98</v>
      </c>
      <c r="AE197" s="57" cm="1">
        <f t="array" ref="AE197">VLOOKUP(B197,'Player Data'!$A1:$AE673,19,FALSE)*$Q197*IFERROR((VLOOKUP(P197,Settings!$E$28:$F$33,2,FALSE)+1),1)</f>
        <v>1.58</v>
      </c>
      <c r="AF197" s="57" cm="1">
        <f t="array" ref="AF197">VLOOKUP(B197,'Player Data'!$A1:$AE673,20,FALSE)*$Q197</f>
        <v>0</v>
      </c>
      <c r="AG197" s="57" cm="1">
        <f t="array" ref="AG197">VLOOKUP(B197,'Player Data'!$A1:$AE673,21,FALSE)*$Q197</f>
        <v>0</v>
      </c>
      <c r="AH197" s="59" cm="1">
        <f t="array" ref="AH197">VLOOKUP(B197,'Player Data'!$A1:$AE673,22,FALSE)</f>
        <v>0</v>
      </c>
      <c r="AI197" s="55"/>
      <c r="AJ197" s="57"/>
      <c r="AK197" s="57"/>
      <c r="AL197" s="57"/>
      <c r="AM197" s="57"/>
      <c r="AN197" s="57"/>
      <c r="AO197" s="57"/>
      <c r="AP197" s="57"/>
      <c r="AQ197" s="60"/>
      <c r="AR197" s="61"/>
      <c r="AS197" s="55"/>
    </row>
    <row r="198" spans="1:45" ht="21.25" customHeight="1" x14ac:dyDescent="0.15">
      <c r="A198" s="62">
        <f>RANK(K198,K$2:K$671)</f>
        <v>216</v>
      </c>
      <c r="B198" s="10" t="s">
        <v>463</v>
      </c>
      <c r="C198" s="47" t="s">
        <v>145</v>
      </c>
      <c r="D198" s="48" t="str" cm="1">
        <f t="array" ref="D198">VLOOKUP(B198,'Player Data'!A1:D673,4,FALSE)</f>
        <v>D</v>
      </c>
      <c r="E198" s="68" cm="1">
        <f t="array" ref="E198">VLOOKUP(B198,D!A1:C204,3,FALSE)</f>
        <v>94</v>
      </c>
      <c r="F198" s="65" t="str" cm="1">
        <f t="array" ref="F198">VLOOKUP(B198,'Player Data'!A1:B673,2,FALSE)</f>
        <v>CAR</v>
      </c>
      <c r="G198" s="11" cm="1">
        <f t="array" ref="G198">VLOOKUP(B198,'Player Data'!A1:D673,3,FALSE)</f>
        <v>30</v>
      </c>
      <c r="H198" s="67" cm="1">
        <f t="array" ref="H198">IFERROR(VLOOKUP(B198,ADP!A1:F671,6,FALSE)/1000000,VLOOKUP(B198,ADP!A1:F671,6,FALSE))</f>
        <v>3.0249999999999999</v>
      </c>
      <c r="I198" s="52">
        <f>IF(Settings!$E$15="POINTS",((R198*Q198)*Settings!$B$12)+(S198*Settings!$B$2)+(T198*Settings!$B$3)+(U198*Settings!$B$4)+(V198*Settings!$B$5)+(X198*Settings!$B$9)+(AA198*Settings!$B$6)+(W198*Settings!$B$8)+(AB198*Settings!$B$7)+(AC198*Settings!$B$14)+(AD198*Settings!$B$15)+(AE198*Settings!$B$16)+(AF198*Settings!$B$17)+(AG198*Settings!$B$18)+(U198*Settings!$B$13)+(Y198*Settings!$B$10)+(Z198*Settings!$B$11),VLOOKUP(B198,'Standard Deviations'!A$1:C$672,3,FALSE))</f>
        <v>-2.1832810922182682</v>
      </c>
      <c r="J198" s="53" cm="1">
        <f t="array" ref="J198">IF(D198="G",I198/AJ198,I198/Q198)</f>
        <v>-2.6954087558250225E-2</v>
      </c>
      <c r="K198" s="52" cm="1">
        <f t="array" ref="K198">VLOOKUP(B198,D!A1:F204,6,FALSE)</f>
        <v>-2.7501320067358224</v>
      </c>
      <c r="L198" s="54" cm="1">
        <f t="array" ref="L198">IFERROR(K198/H198,"N/A")</f>
        <v>-0.90913454768126367</v>
      </c>
      <c r="M198" s="84" t="s">
        <v>828</v>
      </c>
      <c r="N198" s="84" t="str" cm="1">
        <f t="array" ref="N198">IFERROR(M198-A198,"N/A")</f>
        <v>N/A</v>
      </c>
      <c r="O198" s="55"/>
      <c r="P198" s="56" cm="1">
        <f t="array" ref="P198">_xlfn.XLOOKUP($B198,ADP!A2:A671,ADP!G2:G671)</f>
        <v>0</v>
      </c>
      <c r="Q198" s="57" cm="1">
        <f t="array" ref="Q198">IF(Settings!$E$12="YES",VLOOKUP(B198,'Player Data'!A1:E673,5,FALSE),84)</f>
        <v>81</v>
      </c>
      <c r="R198" s="83" cm="1">
        <f t="array" ref="R198">VLOOKUP(B198,'Player Data'!$A1:$AE673,6,FALSE)</f>
        <v>19.100000000000001</v>
      </c>
      <c r="S198" s="57" cm="1">
        <f t="array" ref="S198">VLOOKUP(B198,'Player Data'!$A1:$AE673,7,FALSE)*$Q198*IFERROR((VLOOKUP(P198,Settings!$E$28:$F$33,2,FALSE)+1),1)</f>
        <v>4.05</v>
      </c>
      <c r="T198" s="57" cm="1">
        <f t="array" ref="T198">VLOOKUP(B198,'Player Data'!$A1:$AE673,8,FALSE)*$Q198*IFERROR((VLOOKUP(P198,Settings!$E$28:$F$33,2,FALSE)+1),1)</f>
        <v>14.58</v>
      </c>
      <c r="U198" s="57" cm="1">
        <f t="array" ref="U198">SUM(S198:T198)</f>
        <v>18.63</v>
      </c>
      <c r="V198" s="57" cm="1">
        <f t="array" ref="V198">VLOOKUP(B198,'Player Data'!$A1:$AE673,10,FALSE)*$Q198*IFERROR(((VLOOKUP(P198,Settings!$E$28:$F$33,2,FALSE)/2)+1),1)</f>
        <v>102.06</v>
      </c>
      <c r="W198" s="57" cm="1">
        <f t="array" ref="W198">VLOOKUP(B198,'Player Data'!$A1:$AE673,11,FALSE)*$Q198*IFERROR((VLOOKUP(P198,Settings!$E$28:$F$33,2,FALSE)+1),1)</f>
        <v>0</v>
      </c>
      <c r="X198" s="57" cm="1">
        <f t="array" ref="X198">VLOOKUP(B198,'Player Data'!$A1:$AE673,12,FALSE)*$Q198*IFERROR((VLOOKUP(P198,Settings!$E$28:$F$33,2,FALSE)+1),1)</f>
        <v>0</v>
      </c>
      <c r="Y198" s="57" cm="1">
        <f t="array" ref="Y198">VLOOKUP(B198,'Player Data'!$A1:$AE673,13,FALSE)*$Q198</f>
        <v>0</v>
      </c>
      <c r="Z198" s="57" cm="1">
        <f t="array" ref="Z198">VLOOKUP(B198,'Player Data'!$A1:$AE673,14,FALSE)*$Q198</f>
        <v>0.81</v>
      </c>
      <c r="AA198" s="57" cm="1">
        <f t="array" ref="AA198">VLOOKUP(B198,'Player Data'!$A1:$AE673,15,FALSE)*$Q198</f>
        <v>81.81</v>
      </c>
      <c r="AB198" s="57" cm="1">
        <f t="array" ref="AB198">VLOOKUP(B198,'Player Data'!$A1:$AE673,16,FALSE)*$Q198</f>
        <v>54.27</v>
      </c>
      <c r="AC198" s="57" cm="1">
        <f t="array" ref="AC198">VLOOKUP(B198,'Player Data'!$A1:$AE673,17,FALSE)*$Q198*IFERROR((VLOOKUP(P198,Settings!$E$28:$F$33,2,FALSE)+1),1)</f>
        <v>6.48</v>
      </c>
      <c r="AD198" s="57" cm="1">
        <f t="array" ref="AD198">VLOOKUP(B198,'Player Data'!$A1:$AE673,18,FALSE)*$Q198</f>
        <v>32.4</v>
      </c>
      <c r="AE198" s="57" cm="1">
        <f t="array" ref="AE198">VLOOKUP(B198,'Player Data'!$A1:$AE673,19,FALSE)*$Q198*IFERROR((VLOOKUP(P198,Settings!$E$28:$F$33,2,FALSE)+1),1)</f>
        <v>0.81</v>
      </c>
      <c r="AF198" s="57" cm="1">
        <f t="array" ref="AF198">VLOOKUP(B198,'Player Data'!$A1:$AE673,20,FALSE)*$Q198</f>
        <v>0</v>
      </c>
      <c r="AG198" s="57" cm="1">
        <f t="array" ref="AG198">VLOOKUP(B198,'Player Data'!$A1:$AE673,21,FALSE)*$Q198</f>
        <v>0</v>
      </c>
      <c r="AH198" s="59" cm="1">
        <f t="array" ref="AH198">VLOOKUP(B198,'Player Data'!$A1:$AE673,22,FALSE)</f>
        <v>0</v>
      </c>
      <c r="AI198" s="55"/>
      <c r="AJ198" s="57"/>
      <c r="AK198" s="57"/>
      <c r="AL198" s="57"/>
      <c r="AM198" s="57"/>
      <c r="AN198" s="57"/>
      <c r="AO198" s="57"/>
      <c r="AP198" s="57"/>
      <c r="AQ198" s="60"/>
      <c r="AR198" s="61"/>
      <c r="AS198" s="55"/>
    </row>
    <row r="199" spans="1:45" ht="21.25" customHeight="1" x14ac:dyDescent="0.15">
      <c r="A199" s="62">
        <f>RANK(K199,K$2:K$671)</f>
        <v>219</v>
      </c>
      <c r="B199" s="10" t="s">
        <v>380</v>
      </c>
      <c r="C199" s="47" t="s">
        <v>145</v>
      </c>
      <c r="D199" s="48" t="str" cm="1">
        <f t="array" ref="D199">VLOOKUP(B199,'Player Data'!A1:D673,4,FALSE)</f>
        <v>D</v>
      </c>
      <c r="E199" s="68" cm="1">
        <f t="array" ref="E199">VLOOKUP(B199,D!A1:C204,3,FALSE)</f>
        <v>95</v>
      </c>
      <c r="F199" s="70" t="str" cm="1">
        <f t="array" ref="F199">VLOOKUP(B199,'Player Data'!A1:B673,2,FALSE)</f>
        <v>L.A</v>
      </c>
      <c r="G199" s="66" cm="1">
        <f t="array" ref="G199">VLOOKUP(B199,'Player Data'!A1:D673,3,FALSE)</f>
        <v>36</v>
      </c>
      <c r="H199" s="67" cm="1">
        <f t="array" ref="H199">IFERROR(VLOOKUP(B199,ADP!A1:F671,6,FALSE)/1000000,VLOOKUP(B199,ADP!A1:F671,6,FALSE))</f>
        <v>11</v>
      </c>
      <c r="I199" s="52">
        <f>IF(Settings!$E$15="POINTS",((R199*Q199)*Settings!$B$12)+(S199*Settings!$B$2)+(T199*Settings!$B$3)+(U199*Settings!$B$4)+(V199*Settings!$B$5)+(X199*Settings!$B$9)+(AA199*Settings!$B$6)+(W199*Settings!$B$8)+(AB199*Settings!$B$7)+(AC199*Settings!$B$14)+(AD199*Settings!$B$15)+(AE199*Settings!$B$16)+(AF199*Settings!$B$17)+(AG199*Settings!$B$18)+(U199*Settings!$B$13)+(Y199*Settings!$B$10)+(Z199*Settings!$B$11),VLOOKUP(B199,'Standard Deviations'!A$1:C$672,3,FALSE))</f>
        <v>-2.2071457668993881</v>
      </c>
      <c r="J199" s="53" cm="1">
        <f t="array" ref="J199">IF(D199="G",I199/AJ199,I199/Q199)</f>
        <v>-2.9428610225325176E-2</v>
      </c>
      <c r="K199" s="52" cm="1">
        <f t="array" ref="K199">VLOOKUP(B199,D!A1:F204,6,FALSE)</f>
        <v>-2.7739966814169428</v>
      </c>
      <c r="L199" s="54" cm="1">
        <f t="array" ref="L199">IFERROR(K199/H199,"N/A")</f>
        <v>-0.25218151649244935</v>
      </c>
      <c r="M199" s="84" t="s">
        <v>828</v>
      </c>
      <c r="N199" s="84" t="str" cm="1">
        <f t="array" ref="N199">IFERROR(M199-A199,"N/A")</f>
        <v>N/A</v>
      </c>
      <c r="O199" s="55"/>
      <c r="P199" s="56" cm="1">
        <f t="array" ref="P199">_xlfn.XLOOKUP($B199,ADP!A2:A671,ADP!G2:G671)</f>
        <v>0</v>
      </c>
      <c r="Q199" s="57" cm="1">
        <f t="array" ref="Q199">IF(Settings!$E$12="YES",VLOOKUP(B199,'Player Data'!A1:E673,5,FALSE),84)</f>
        <v>75</v>
      </c>
      <c r="R199" s="55" cm="1">
        <f t="array" ref="R199">VLOOKUP(B199,'Player Data'!$A1:$AE673,6,FALSE)</f>
        <v>22.9</v>
      </c>
      <c r="S199" s="57" cm="1">
        <f t="array" ref="S199">VLOOKUP(B199,'Player Data'!$A1:$AE673,7,FALSE)*$Q199*IFERROR((VLOOKUP(P199,Settings!$E$28:$F$33,2,FALSE)+1),1)</f>
        <v>5.2500000000000009</v>
      </c>
      <c r="T199" s="57" cm="1">
        <f t="array" ref="T199">VLOOKUP(B199,'Player Data'!$A1:$AE673,8,FALSE)*$Q199*IFERROR((VLOOKUP(P199,Settings!$E$28:$F$33,2,FALSE)+1),1)</f>
        <v>21.000000000000004</v>
      </c>
      <c r="U199" s="57" cm="1">
        <f t="array" ref="U199">SUM(S199:T199)</f>
        <v>26.250000000000004</v>
      </c>
      <c r="V199" s="57" cm="1">
        <f t="array" ref="V199">VLOOKUP(B199,'Player Data'!$A1:$AE673,10,FALSE)*$Q199*IFERROR(((VLOOKUP(P199,Settings!$E$28:$F$33,2,FALSE)/2)+1),1)</f>
        <v>99</v>
      </c>
      <c r="W199" s="57" cm="1">
        <f t="array" ref="W199">VLOOKUP(B199,'Player Data'!$A1:$AE673,11,FALSE)*$Q199*IFERROR((VLOOKUP(P199,Settings!$E$28:$F$33,2,FALSE)+1),1)</f>
        <v>0.75</v>
      </c>
      <c r="X199" s="57" cm="1">
        <f t="array" ref="X199">VLOOKUP(B199,'Player Data'!$A1:$AE673,12,FALSE)*$Q199*IFERROR((VLOOKUP(P199,Settings!$E$28:$F$33,2,FALSE)+1),1)</f>
        <v>4.5</v>
      </c>
      <c r="Y199" s="57" cm="1">
        <f t="array" ref="Y199">VLOOKUP(B199,'Player Data'!$A1:$AE673,13,FALSE)*$Q199</f>
        <v>0</v>
      </c>
      <c r="Z199" s="57" cm="1">
        <f t="array" ref="Z199">VLOOKUP(B199,'Player Data'!$A1:$AE673,14,FALSE)*$Q199</f>
        <v>0</v>
      </c>
      <c r="AA199" s="57" cm="1">
        <f t="array" ref="AA199">VLOOKUP(B199,'Player Data'!$A1:$AE673,15,FALSE)*$Q199</f>
        <v>91.5</v>
      </c>
      <c r="AB199" s="57" cm="1">
        <f t="array" ref="AB199">VLOOKUP(B199,'Player Data'!$A1:$AE673,16,FALSE)*$Q199</f>
        <v>58.5</v>
      </c>
      <c r="AC199" s="57" cm="1">
        <f t="array" ref="AC199">VLOOKUP(B199,'Player Data'!$A1:$AE673,17,FALSE)*$Q199*IFERROR((VLOOKUP(P199,Settings!$E$28:$F$33,2,FALSE)+1),1)</f>
        <v>1.5</v>
      </c>
      <c r="AD199" s="57" cm="1">
        <f t="array" ref="AD199">VLOOKUP(B199,'Player Data'!$A1:$AE673,18,FALSE)*$Q199</f>
        <v>40.5</v>
      </c>
      <c r="AE199" s="57" cm="1">
        <f t="array" ref="AE199">VLOOKUP(B199,'Player Data'!$A1:$AE673,19,FALSE)*$Q199*IFERROR((VLOOKUP(P199,Settings!$E$28:$F$33,2,FALSE)+1),1)</f>
        <v>0.75</v>
      </c>
      <c r="AF199" s="57" cm="1">
        <f t="array" ref="AF199">VLOOKUP(B199,'Player Data'!$A1:$AE673,20,FALSE)*$Q199</f>
        <v>0</v>
      </c>
      <c r="AG199" s="57" cm="1">
        <f t="array" ref="AG199">VLOOKUP(B199,'Player Data'!$A1:$AE673,21,FALSE)*$Q199</f>
        <v>0</v>
      </c>
      <c r="AH199" s="59" cm="1">
        <f t="array" ref="AH199">VLOOKUP(B199,'Player Data'!$A1:$AE673,22,FALSE)</f>
        <v>0</v>
      </c>
      <c r="AI199" s="55"/>
      <c r="AJ199" s="57"/>
      <c r="AK199" s="57"/>
      <c r="AL199" s="57"/>
      <c r="AM199" s="57"/>
      <c r="AN199" s="57"/>
      <c r="AO199" s="57"/>
      <c r="AP199" s="57"/>
      <c r="AQ199" s="60"/>
      <c r="AR199" s="61"/>
      <c r="AS199" s="55"/>
    </row>
    <row r="200" spans="1:45" ht="21.25" customHeight="1" x14ac:dyDescent="0.15">
      <c r="A200" s="62">
        <f>RANK(K200,K$2:K$671)</f>
        <v>171</v>
      </c>
      <c r="B200" s="10" t="s">
        <v>403</v>
      </c>
      <c r="C200" s="47" t="s">
        <v>145</v>
      </c>
      <c r="D200" s="48" t="str" cm="1">
        <f t="array" ref="D200">VLOOKUP(B200,'Player Data'!A1:D673,4,FALSE)</f>
        <v>LW,RW</v>
      </c>
      <c r="E200" s="74" cm="1">
        <f t="array" ref="E200">VLOOKUP(B200,RW!A1:F210,3,FALSE)</f>
        <v>38</v>
      </c>
      <c r="F200" s="56" t="str" cm="1">
        <f t="array" ref="F200">VLOOKUP(B200,'Player Data'!A1:B673,2,FALSE)</f>
        <v>NYR</v>
      </c>
      <c r="G200" s="71" cm="1">
        <f t="array" ref="G200">VLOOKUP(B200,'Player Data'!A1:D673,3,FALSE)</f>
        <v>24</v>
      </c>
      <c r="H200" s="67" cm="1">
        <f t="array" ref="H200">IFERROR(VLOOKUP(B200,ADP!A1:F671,6,FALSE)/1000000,VLOOKUP(B200,ADP!A1:F671,6,FALSE))</f>
        <v>3.9</v>
      </c>
      <c r="I200" s="52">
        <f>IF(Settings!$E$15="POINTS",((R200*Q200)*Settings!$B$12)+(S200*Settings!$B$2)+(T200*Settings!$B$3)+(U200*Settings!$B$4)+(V200*Settings!$B$5)+(X200*Settings!$B$9)+(AA200*Settings!$B$6)+(W200*Settings!$B$8)+(AB200*Settings!$B$7)+(AC200*Settings!$B$14)+(AD200*Settings!$B$15)+(AE200*Settings!$B$16)+(AF200*Settings!$B$17)+(AG200*Settings!$B$18)+(Y200*Settings!$B$10)+(Z200*Settings!$B$11),VLOOKUP(B200,'Standard Deviations'!A$1:C$672,3,FALSE))</f>
        <v>5.0264346670579334</v>
      </c>
      <c r="J200" s="53" cm="1">
        <f t="array" ref="J200">IF(D200="G",I200/AJ200,I200/Q200)</f>
        <v>5.9838507941165874E-2</v>
      </c>
      <c r="K200" s="52" cm="1">
        <f t="array" ref="K200">IF(Settings!$E$18="C/LW/RW",VLOOKUP(B200,RW!A1:F210,6,FALSE),VLOOKUP(B200,F!A1:F407,6,FALSE))</f>
        <v>-1.8607999347511441</v>
      </c>
      <c r="L200" s="54" cm="1">
        <f t="array" ref="L200">IFERROR(K200/H200,"N/A")</f>
        <v>-0.4771281883977293</v>
      </c>
      <c r="M200" s="84" t="s">
        <v>828</v>
      </c>
      <c r="N200" s="84" t="str" cm="1">
        <f t="array" ref="N200">IFERROR(M200-A200,"N/A")</f>
        <v>N/A</v>
      </c>
      <c r="O200" s="55"/>
      <c r="P200" s="56" cm="1">
        <f t="array" ref="P200">_xlfn.XLOOKUP($B200,ADP!A2:A671,ADP!G2:G671)</f>
        <v>0</v>
      </c>
      <c r="Q200" s="57" cm="1">
        <f t="array" ref="Q200">IF(Settings!$E$12="YES",VLOOKUP(B200,'Player Data'!A1:E673,5,FALSE),84)</f>
        <v>84</v>
      </c>
      <c r="R200" s="55" cm="1">
        <f t="array" ref="R200">VLOOKUP(B200,'Player Data'!$A1:$AE673,6,FALSE)</f>
        <v>16.7</v>
      </c>
      <c r="S200" s="57" cm="1">
        <f t="array" ref="S200">VLOOKUP(B200,'Player Data'!$A1:$AE673,7,FALSE)*$Q200*IFERROR((VLOOKUP(P200,Settings!$E$28:$F$33,2,FALSE)+1),1)</f>
        <v>21</v>
      </c>
      <c r="T200" s="57" cm="1">
        <f t="array" ref="T200">VLOOKUP(B200,'Player Data'!$A1:$AE673,8,FALSE)*$Q200*IFERROR((VLOOKUP(P200,Settings!$E$28:$F$33,2,FALSE)+1),1)</f>
        <v>22.68</v>
      </c>
      <c r="U200" s="57" cm="1">
        <f t="array" ref="U200">SUM(S200:T200)</f>
        <v>43.68</v>
      </c>
      <c r="V200" s="57" cm="1">
        <f t="array" ref="V200">VLOOKUP(B200,'Player Data'!$A1:$AE673,10,FALSE)*$Q200*IFERROR(((VLOOKUP(P200,Settings!$E$28:$F$33,2,FALSE)/2)+1),1)</f>
        <v>160.44</v>
      </c>
      <c r="W200" s="57" cm="1">
        <f t="array" ref="W200">VLOOKUP(B200,'Player Data'!$A1:$AE673,11,FALSE)*$Q200*IFERROR((VLOOKUP(P200,Settings!$E$28:$F$33,2,FALSE)+1),1)</f>
        <v>3.36</v>
      </c>
      <c r="X200" s="57" cm="1">
        <f t="array" ref="X200">VLOOKUP(B200,'Player Data'!$A1:$AE673,12,FALSE)*$Q200*IFERROR((VLOOKUP(P200,Settings!$E$28:$F$33,2,FALSE)+1),1)</f>
        <v>7.56</v>
      </c>
      <c r="Y200" s="57" cm="1">
        <f t="array" ref="Y200">VLOOKUP(B200,'Player Data'!$A1:$AE673,13,FALSE)*$Q200</f>
        <v>0.84</v>
      </c>
      <c r="Z200" s="57" cm="1">
        <f t="array" ref="Z200">VLOOKUP(B200,'Player Data'!$A1:$AE673,14,FALSE)*$Q200</f>
        <v>1.68</v>
      </c>
      <c r="AA200" s="57" cm="1">
        <f t="array" ref="AA200">VLOOKUP(B200,'Player Data'!$A1:$AE673,15,FALSE)*$Q200</f>
        <v>60.48</v>
      </c>
      <c r="AB200" s="57" cm="1">
        <f t="array" ref="AB200">VLOOKUP(B200,'Player Data'!$A1:$AE673,16,FALSE)*$Q200</f>
        <v>278.04000000000002</v>
      </c>
      <c r="AC200" s="57" cm="1">
        <f t="array" ref="AC200">VLOOKUP(B200,'Player Data'!$A1:$AE673,17,FALSE)*$Q200*IFERROR((VLOOKUP(P200,Settings!$E$28:$F$33,2,FALSE)+1),1)</f>
        <v>0</v>
      </c>
      <c r="AD200" s="57" cm="1">
        <f t="array" ref="AD200">VLOOKUP(B200,'Player Data'!$A1:$AE673,18,FALSE)*$Q200</f>
        <v>56.28</v>
      </c>
      <c r="AE200" s="57" cm="1">
        <f t="array" ref="AE200">VLOOKUP(B200,'Player Data'!$A1:$AE673,19,FALSE)*$Q200*IFERROR((VLOOKUP(P200,Settings!$E$28:$F$33,2,FALSE)+1),1)</f>
        <v>3.36</v>
      </c>
      <c r="AF200" s="57" cm="1">
        <f t="array" ref="AF200">VLOOKUP(B200,'Player Data'!$A1:$AE673,20,FALSE)*$Q200</f>
        <v>26.88</v>
      </c>
      <c r="AG200" s="57" cm="1">
        <f t="array" ref="AG200">VLOOKUP(B200,'Player Data'!$A1:$AE673,21,FALSE)*$Q200</f>
        <v>46.2</v>
      </c>
      <c r="AH200" s="59" cm="1">
        <f t="array" ref="AH200">VLOOKUP(B200,'Player Data'!$A1:$AE673,22,FALSE)</f>
        <v>0.37</v>
      </c>
      <c r="AI200" s="55"/>
      <c r="AJ200" s="57"/>
      <c r="AK200" s="57"/>
      <c r="AL200" s="57"/>
      <c r="AM200" s="57"/>
      <c r="AN200" s="57"/>
      <c r="AO200" s="57"/>
      <c r="AP200" s="57"/>
      <c r="AQ200" s="60"/>
      <c r="AR200" s="61"/>
      <c r="AS200" s="55"/>
    </row>
    <row r="201" spans="1:45" ht="21.25" customHeight="1" x14ac:dyDescent="0.15">
      <c r="A201" s="62">
        <f>RANK(K201,K$2:K$671)</f>
        <v>223</v>
      </c>
      <c r="B201" s="10" t="s">
        <v>348</v>
      </c>
      <c r="C201" s="47" t="s">
        <v>145</v>
      </c>
      <c r="D201" s="48" t="str" cm="1">
        <f t="array" ref="D201">VLOOKUP(B201,'Player Data'!A1:D673,4,FALSE)</f>
        <v>D</v>
      </c>
      <c r="E201" s="68" cm="1">
        <f t="array" ref="E201">VLOOKUP(B201,D!A1:C204,3,FALSE)</f>
        <v>96</v>
      </c>
      <c r="F201" s="69" t="str" cm="1">
        <f t="array" ref="F201">VLOOKUP(B201,'Player Data'!A1:B673,2,FALSE)</f>
        <v>TOR</v>
      </c>
      <c r="G201" s="66" cm="1">
        <f t="array" ref="G201">VLOOKUP(B201,'Player Data'!A1:D673,3,FALSE)</f>
        <v>32</v>
      </c>
      <c r="H201" s="51" cm="1">
        <f t="array" ref="H201">IFERROR(VLOOKUP(B201,ADP!A1:F671,6,FALSE)/1000000,VLOOKUP(B201,ADP!A1:F671,6,FALSE))</f>
        <v>4.4909999999999997</v>
      </c>
      <c r="I201" s="52">
        <f>IF(Settings!$E$15="POINTS",((R201*Q201)*Settings!$B$12)+(S201*Settings!$B$2)+(T201*Settings!$B$3)+(U201*Settings!$B$4)+(V201*Settings!$B$5)+(X201*Settings!$B$9)+(AA201*Settings!$B$6)+(W201*Settings!$B$8)+(AB201*Settings!$B$7)+(AC201*Settings!$B$14)+(AD201*Settings!$B$15)+(AE201*Settings!$B$16)+(AF201*Settings!$B$17)+(AG201*Settings!$B$18)+(U201*Settings!$B$13)+(Y201*Settings!$B$10)+(Z201*Settings!$B$11),VLOOKUP(B201,'Standard Deviations'!A$1:C$672,3,FALSE))</f>
        <v>-2.3092236280933003</v>
      </c>
      <c r="J201" s="53" cm="1">
        <f t="array" ref="J201">IF(D201="G",I201/AJ201,I201/Q201)</f>
        <v>-2.8508933680164199E-2</v>
      </c>
      <c r="K201" s="52" cm="1">
        <f t="array" ref="K201">VLOOKUP(B201,D!A1:F204,6,FALSE)</f>
        <v>-2.8760745426108549</v>
      </c>
      <c r="L201" s="54" cm="1">
        <f t="array" ref="L201">IFERROR(K201/H201,"N/A")</f>
        <v>-0.64040849312198955</v>
      </c>
      <c r="M201" s="84" t="s">
        <v>828</v>
      </c>
      <c r="N201" s="84" t="str" cm="1">
        <f t="array" ref="N201">IFERROR(M201-A201,"N/A")</f>
        <v>N/A</v>
      </c>
      <c r="O201" s="55"/>
      <c r="P201" s="56" cm="1">
        <f t="array" ref="P201">_xlfn.XLOOKUP($B201,ADP!A2:A671,ADP!G2:G671)</f>
        <v>0</v>
      </c>
      <c r="Q201" s="57" cm="1">
        <f t="array" ref="Q201">IF(Settings!$E$12="YES",VLOOKUP(B201,'Player Data'!A1:E673,5,FALSE),84)</f>
        <v>81</v>
      </c>
      <c r="R201" s="55" cm="1">
        <f t="array" ref="R201">VLOOKUP(B201,'Player Data'!$A1:$AE673,6,FALSE)</f>
        <v>22.2</v>
      </c>
      <c r="S201" s="57" cm="1">
        <f t="array" ref="S201">VLOOKUP(B201,'Player Data'!$A1:$AE673,7,FALSE)*$Q201*IFERROR((VLOOKUP(P201,Settings!$E$28:$F$33,2,FALSE)+1),1)</f>
        <v>3.24</v>
      </c>
      <c r="T201" s="57" cm="1">
        <f t="array" ref="T201">VLOOKUP(B201,'Player Data'!$A1:$AE673,8,FALSE)*$Q201*IFERROR((VLOOKUP(P201,Settings!$E$28:$F$33,2,FALSE)+1),1)</f>
        <v>21.060000000000002</v>
      </c>
      <c r="U201" s="57" cm="1">
        <f t="array" ref="U201">SUM(S201:T201)</f>
        <v>24.300000000000004</v>
      </c>
      <c r="V201" s="57" cm="1">
        <f t="array" ref="V201">VLOOKUP(B201,'Player Data'!$A1:$AE673,10,FALSE)*$Q201*IFERROR(((VLOOKUP(P201,Settings!$E$28:$F$33,2,FALSE)/2)+1),1)</f>
        <v>71.28</v>
      </c>
      <c r="W201" s="57" cm="1">
        <f t="array" ref="W201">VLOOKUP(B201,'Player Data'!$A1:$AE673,11,FALSE)*$Q201*IFERROR((VLOOKUP(P201,Settings!$E$28:$F$33,2,FALSE)+1),1)</f>
        <v>0</v>
      </c>
      <c r="X201" s="57" cm="1">
        <f t="array" ref="X201">VLOOKUP(B201,'Player Data'!$A1:$AE673,12,FALSE)*$Q201*IFERROR((VLOOKUP(P201,Settings!$E$28:$F$33,2,FALSE)+1),1)</f>
        <v>0</v>
      </c>
      <c r="Y201" s="57" cm="1">
        <f t="array" ref="Y201">VLOOKUP(B201,'Player Data'!$A1:$AE673,13,FALSE)*$Q201</f>
        <v>0</v>
      </c>
      <c r="Z201" s="57" cm="1">
        <f t="array" ref="Z201">VLOOKUP(B201,'Player Data'!$A1:$AE673,14,FALSE)*$Q201</f>
        <v>0.81</v>
      </c>
      <c r="AA201" s="57" cm="1">
        <f t="array" ref="AA201">VLOOKUP(B201,'Player Data'!$A1:$AE673,15,FALSE)*$Q201</f>
        <v>174.15</v>
      </c>
      <c r="AB201" s="57" cm="1">
        <f t="array" ref="AB201">VLOOKUP(B201,'Player Data'!$A1:$AE673,16,FALSE)*$Q201</f>
        <v>115.83</v>
      </c>
      <c r="AC201" s="57" cm="1">
        <f t="array" ref="AC201">VLOOKUP(B201,'Player Data'!$A1:$AE673,17,FALSE)*$Q201*IFERROR((VLOOKUP(P201,Settings!$E$28:$F$33,2,FALSE)+1),1)</f>
        <v>0.81</v>
      </c>
      <c r="AD201" s="57" cm="1">
        <f t="array" ref="AD201">VLOOKUP(B201,'Player Data'!$A1:$AE673,18,FALSE)*$Q201</f>
        <v>54.27</v>
      </c>
      <c r="AE201" s="57" cm="1">
        <f t="array" ref="AE201">VLOOKUP(B201,'Player Data'!$A1:$AE673,19,FALSE)*$Q201*IFERROR((VLOOKUP(P201,Settings!$E$28:$F$33,2,FALSE)+1),1)</f>
        <v>0.81</v>
      </c>
      <c r="AF201" s="57" cm="1">
        <f t="array" ref="AF201">VLOOKUP(B201,'Player Data'!$A1:$AE673,20,FALSE)*$Q201</f>
        <v>0</v>
      </c>
      <c r="AG201" s="57" cm="1">
        <f t="array" ref="AG201">VLOOKUP(B201,'Player Data'!$A1:$AE673,21,FALSE)*$Q201</f>
        <v>0</v>
      </c>
      <c r="AH201" s="59" cm="1">
        <f t="array" ref="AH201">VLOOKUP(B201,'Player Data'!$A1:$AE673,22,FALSE)</f>
        <v>0</v>
      </c>
      <c r="AI201" s="55"/>
      <c r="AJ201" s="57"/>
      <c r="AK201" s="57"/>
      <c r="AL201" s="57"/>
      <c r="AM201" s="57"/>
      <c r="AN201" s="57"/>
      <c r="AO201" s="57"/>
      <c r="AP201" s="57"/>
      <c r="AQ201" s="60"/>
      <c r="AR201" s="61"/>
      <c r="AS201" s="55"/>
    </row>
    <row r="202" spans="1:45" ht="21.25" customHeight="1" x14ac:dyDescent="0.15">
      <c r="A202" s="62">
        <f>RANK(K202,K$2:K$671)</f>
        <v>226</v>
      </c>
      <c r="B202" s="10" t="s">
        <v>350</v>
      </c>
      <c r="C202" s="47" t="s">
        <v>145</v>
      </c>
      <c r="D202" s="48" t="str" cm="1">
        <f t="array" ref="D202">VLOOKUP(B202,'Player Data'!A1:D673,4,FALSE)</f>
        <v>D</v>
      </c>
      <c r="E202" s="68" cm="1">
        <f t="array" ref="E202">VLOOKUP(B202,D!A1:C204,3,FALSE)</f>
        <v>97</v>
      </c>
      <c r="F202" s="63" t="str" cm="1">
        <f t="array" ref="F202">VLOOKUP(B202,'Player Data'!A1:B673,2,FALSE)</f>
        <v>WPG</v>
      </c>
      <c r="G202" s="11" cm="1">
        <f t="array" ref="G202">VLOOKUP(B202,'Player Data'!A1:D673,3,FALSE)</f>
        <v>27</v>
      </c>
      <c r="H202" s="51" cm="1">
        <f t="array" ref="H202">IFERROR(VLOOKUP(B202,ADP!A1:F671,6,FALSE)/1000000,VLOOKUP(B202,ADP!A1:F671,6,FALSE))</f>
        <v>5.75</v>
      </c>
      <c r="I202" s="52">
        <f>IF(Settings!$E$15="POINTS",((R202*Q202)*Settings!$B$12)+(S202*Settings!$B$2)+(T202*Settings!$B$3)+(U202*Settings!$B$4)+(V202*Settings!$B$5)+(X202*Settings!$B$9)+(AA202*Settings!$B$6)+(W202*Settings!$B$8)+(AB202*Settings!$B$7)+(AC202*Settings!$B$14)+(AD202*Settings!$B$15)+(AE202*Settings!$B$16)+(AF202*Settings!$B$17)+(AG202*Settings!$B$18)+(U202*Settings!$B$13)+(Y202*Settings!$B$10)+(Z202*Settings!$B$11),VLOOKUP(B202,'Standard Deviations'!A$1:C$672,3,FALSE))</f>
        <v>-2.3399505800285914</v>
      </c>
      <c r="J202" s="53" cm="1">
        <f t="array" ref="J202">IF(D202="G",I202/AJ202,I202/Q202)</f>
        <v>-2.9999366410622966E-2</v>
      </c>
      <c r="K202" s="52" cm="1">
        <f t="array" ref="K202">VLOOKUP(B202,D!A1:F204,6,FALSE)</f>
        <v>-2.906801494546146</v>
      </c>
      <c r="L202" s="54" cm="1">
        <f t="array" ref="L202">IFERROR(K202/H202,"N/A")</f>
        <v>-0.50553069470367762</v>
      </c>
      <c r="M202" s="84" t="s">
        <v>828</v>
      </c>
      <c r="N202" s="84" t="str" cm="1">
        <f t="array" ref="N202">IFERROR(M202-A202,"N/A")</f>
        <v>N/A</v>
      </c>
      <c r="O202" s="55"/>
      <c r="P202" s="56" cm="1">
        <f t="array" ref="P202">_xlfn.XLOOKUP($B202,ADP!A2:A671,ADP!G2:G671)</f>
        <v>0</v>
      </c>
      <c r="Q202" s="57" cm="1">
        <f t="array" ref="Q202">IF(Settings!$E$12="YES",VLOOKUP(B202,'Player Data'!A1:E673,5,FALSE),84)</f>
        <v>78</v>
      </c>
      <c r="R202" s="55" cm="1">
        <f t="array" ref="R202">VLOOKUP(B202,'Player Data'!$A1:$AE673,6,FALSE)</f>
        <v>22</v>
      </c>
      <c r="S202" s="57" cm="1">
        <f t="array" ref="S202">VLOOKUP(B202,'Player Data'!$A1:$AE673,7,FALSE)*$Q202*IFERROR((VLOOKUP(P202,Settings!$E$28:$F$33,2,FALSE)+1),1)</f>
        <v>3.9000000000000004</v>
      </c>
      <c r="T202" s="57" cm="1">
        <f t="array" ref="T202">VLOOKUP(B202,'Player Data'!$A1:$AE673,8,FALSE)*$Q202*IFERROR((VLOOKUP(P202,Settings!$E$28:$F$33,2,FALSE)+1),1)</f>
        <v>18.72</v>
      </c>
      <c r="U202" s="57" cm="1">
        <f t="array" ref="U202">SUM(S202:T202)</f>
        <v>22.619999999999997</v>
      </c>
      <c r="V202" s="57" cm="1">
        <f t="array" ref="V202">VLOOKUP(B202,'Player Data'!$A1:$AE673,10,FALSE)*$Q202*IFERROR(((VLOOKUP(P202,Settings!$E$28:$F$33,2,FALSE)/2)+1),1)</f>
        <v>109.19999999999999</v>
      </c>
      <c r="W202" s="57" cm="1">
        <f t="array" ref="W202">VLOOKUP(B202,'Player Data'!$A1:$AE673,11,FALSE)*$Q202*IFERROR((VLOOKUP(P202,Settings!$E$28:$F$33,2,FALSE)+1),1)</f>
        <v>0</v>
      </c>
      <c r="X202" s="57" cm="1">
        <f t="array" ref="X202">VLOOKUP(B202,'Player Data'!$A1:$AE673,12,FALSE)*$Q202*IFERROR((VLOOKUP(P202,Settings!$E$28:$F$33,2,FALSE)+1),1)</f>
        <v>0</v>
      </c>
      <c r="Y202" s="57" cm="1">
        <f t="array" ref="Y202">VLOOKUP(B202,'Player Data'!$A1:$AE673,13,FALSE)*$Q202</f>
        <v>0</v>
      </c>
      <c r="Z202" s="57" cm="1">
        <f t="array" ref="Z202">VLOOKUP(B202,'Player Data'!$A1:$AE673,14,FALSE)*$Q202</f>
        <v>0</v>
      </c>
      <c r="AA202" s="57" cm="1">
        <f t="array" ref="AA202">VLOOKUP(B202,'Player Data'!$A1:$AE673,15,FALSE)*$Q202</f>
        <v>142.74</v>
      </c>
      <c r="AB202" s="57" cm="1">
        <f t="array" ref="AB202">VLOOKUP(B202,'Player Data'!$A1:$AE673,16,FALSE)*$Q202</f>
        <v>70.98</v>
      </c>
      <c r="AC202" s="57" cm="1">
        <f t="array" ref="AC202">VLOOKUP(B202,'Player Data'!$A1:$AE673,17,FALSE)*$Q202*IFERROR((VLOOKUP(P202,Settings!$E$28:$F$33,2,FALSE)+1),1)</f>
        <v>2.34</v>
      </c>
      <c r="AD202" s="57" cm="1">
        <f t="array" ref="AD202">VLOOKUP(B202,'Player Data'!$A1:$AE673,18,FALSE)*$Q202</f>
        <v>28.08</v>
      </c>
      <c r="AE202" s="57" cm="1">
        <f t="array" ref="AE202">VLOOKUP(B202,'Player Data'!$A1:$AE673,19,FALSE)*$Q202*IFERROR((VLOOKUP(P202,Settings!$E$28:$F$33,2,FALSE)+1),1)</f>
        <v>0.78</v>
      </c>
      <c r="AF202" s="57" cm="1">
        <f t="array" ref="AF202">VLOOKUP(B202,'Player Data'!$A1:$AE673,20,FALSE)*$Q202</f>
        <v>0</v>
      </c>
      <c r="AG202" s="57" cm="1">
        <f t="array" ref="AG202">VLOOKUP(B202,'Player Data'!$A1:$AE673,21,FALSE)*$Q202</f>
        <v>0</v>
      </c>
      <c r="AH202" s="59" cm="1">
        <f t="array" ref="AH202">VLOOKUP(B202,'Player Data'!$A1:$AE673,22,FALSE)</f>
        <v>0</v>
      </c>
      <c r="AI202" s="55"/>
      <c r="AJ202" s="57"/>
      <c r="AK202" s="57"/>
      <c r="AL202" s="57"/>
      <c r="AM202" s="57"/>
      <c r="AN202" s="57"/>
      <c r="AO202" s="57"/>
      <c r="AP202" s="57"/>
      <c r="AQ202" s="60"/>
      <c r="AR202" s="61"/>
      <c r="AS202" s="55"/>
    </row>
    <row r="203" spans="1:45" ht="21.25" customHeight="1" x14ac:dyDescent="0.15">
      <c r="A203" s="62">
        <f>RANK(K203,K$2:K$671)</f>
        <v>175</v>
      </c>
      <c r="B203" s="10" t="s">
        <v>249</v>
      </c>
      <c r="C203" s="47" t="s">
        <v>145</v>
      </c>
      <c r="D203" s="48" t="str" cm="1">
        <f t="array" ref="D203">VLOOKUP(B203,'Player Data'!A1:D673,4,FALSE)</f>
        <v>LW,RW</v>
      </c>
      <c r="E203" s="74" cm="1">
        <f t="array" ref="E203">VLOOKUP(B203,RW!A1:F210,3,FALSE)</f>
        <v>39</v>
      </c>
      <c r="F203" s="56" t="str" cm="1">
        <f t="array" ref="F203">VLOOKUP(B203,'Player Data'!A1:B673,2,FALSE)</f>
        <v>WSH</v>
      </c>
      <c r="G203" s="11" cm="1">
        <f t="array" ref="G203">VLOOKUP(B203,'Player Data'!A1:D673,3,FALSE)</f>
        <v>30</v>
      </c>
      <c r="H203" s="51" cm="1">
        <f t="array" ref="H203">IFERROR(VLOOKUP(B203,ADP!A1:F671,6,FALSE)/1000000,VLOOKUP(B203,ADP!A1:F671,6,FALSE))</f>
        <v>10.5</v>
      </c>
      <c r="I203" s="52">
        <f>IF(Settings!$E$15="POINTS",((R203*Q203)*Settings!$B$12)+(S203*Settings!$B$2)+(T203*Settings!$B$3)+(U203*Settings!$B$4)+(V203*Settings!$B$5)+(X203*Settings!$B$9)+(AA203*Settings!$B$6)+(W203*Settings!$B$8)+(AB203*Settings!$B$7)+(AC203*Settings!$B$14)+(AD203*Settings!$B$15)+(AE203*Settings!$B$16)+(AF203*Settings!$B$17)+(AG203*Settings!$B$18)+(Y203*Settings!$B$10)+(Z203*Settings!$B$11),VLOOKUP(B203,'Standard Deviations'!A$1:C$672,3,FALSE))</f>
        <v>4.911093154500719</v>
      </c>
      <c r="J203" s="53" cm="1">
        <f t="array" ref="J203">IF(D203="G",I203/AJ203,I203/Q203)</f>
        <v>5.9169797042177341E-2</v>
      </c>
      <c r="K203" s="52" cm="1">
        <f t="array" ref="K203">IF(Settings!$E$18="C/LW/RW",VLOOKUP(B203,RW!A1:F210,6,FALSE),VLOOKUP(B203,F!A1:F407,6,FALSE))</f>
        <v>-1.9761414473083585</v>
      </c>
      <c r="L203" s="54" cm="1">
        <f t="array" ref="L203">IFERROR(K203/H203,"N/A")</f>
        <v>-0.1882039473627008</v>
      </c>
      <c r="M203" s="55">
        <v>101.3</v>
      </c>
      <c r="N203" s="55" cm="1">
        <f t="array" ref="N203">IFERROR(M203-A203,"N/A")</f>
        <v>-73.7</v>
      </c>
      <c r="O203" s="55"/>
      <c r="P203" s="56" cm="1">
        <f t="array" ref="P203">_xlfn.XLOOKUP($B203,ADP!A2:A671,ADP!G2:G671)</f>
        <v>0</v>
      </c>
      <c r="Q203" s="57" cm="1">
        <f t="array" ref="Q203">IF(Settings!$E$12="YES",VLOOKUP(B203,'Player Data'!A1:E673,5,FALSE),84)</f>
        <v>83</v>
      </c>
      <c r="R203" s="55" cm="1">
        <f t="array" ref="R203">VLOOKUP(B203,'Player Data'!$A1:$AE673,6,FALSE)</f>
        <v>18.899999999999999</v>
      </c>
      <c r="S203" s="57" cm="1">
        <f t="array" ref="S203">VLOOKUP(B203,'Player Data'!$A1:$AE673,7,FALSE)*$Q203*IFERROR((VLOOKUP(P203,Settings!$E$28:$F$33,2,FALSE)+1),1)</f>
        <v>30.71</v>
      </c>
      <c r="T203" s="57" cm="1">
        <f t="array" ref="T203">VLOOKUP(B203,'Player Data'!$A1:$AE673,8,FALSE)*$Q203*IFERROR((VLOOKUP(P203,Settings!$E$28:$F$33,2,FALSE)+1),1)</f>
        <v>33.200000000000003</v>
      </c>
      <c r="U203" s="57" cm="1">
        <f t="array" ref="U203">SUM(S203:T203)</f>
        <v>63.910000000000004</v>
      </c>
      <c r="V203" s="57" cm="1">
        <f t="array" ref="V203">VLOOKUP(B203,'Player Data'!$A1:$AE673,10,FALSE)*$Q203*IFERROR(((VLOOKUP(P203,Settings!$E$28:$F$33,2,FALSE)/2)+1),1)</f>
        <v>204.18</v>
      </c>
      <c r="W203" s="57" cm="1">
        <f t="array" ref="W203">VLOOKUP(B203,'Player Data'!$A1:$AE673,11,FALSE)*$Q203*IFERROR((VLOOKUP(P203,Settings!$E$28:$F$33,2,FALSE)+1),1)</f>
        <v>4.1500000000000004</v>
      </c>
      <c r="X203" s="57" cm="1">
        <f t="array" ref="X203">VLOOKUP(B203,'Player Data'!$A1:$AE673,12,FALSE)*$Q203*IFERROR((VLOOKUP(P203,Settings!$E$28:$F$33,2,FALSE)+1),1)</f>
        <v>9.1300000000000008</v>
      </c>
      <c r="Y203" s="57" cm="1">
        <f t="array" ref="Y203">VLOOKUP(B203,'Player Data'!$A1:$AE673,13,FALSE)*$Q203</f>
        <v>3.3200000000000003</v>
      </c>
      <c r="Z203" s="57" cm="1">
        <f t="array" ref="Z203">VLOOKUP(B203,'Player Data'!$A1:$AE673,14,FALSE)*$Q203</f>
        <v>4.1500000000000004</v>
      </c>
      <c r="AA203" s="57" cm="1">
        <f t="array" ref="AA203">VLOOKUP(B203,'Player Data'!$A1:$AE673,15,FALSE)*$Q203</f>
        <v>96.279999999999987</v>
      </c>
      <c r="AB203" s="57" cm="1">
        <f t="array" ref="AB203">VLOOKUP(B203,'Player Data'!$A1:$AE673,16,FALSE)*$Q203</f>
        <v>83</v>
      </c>
      <c r="AC203" s="57" cm="1">
        <f t="array" ref="AC203">VLOOKUP(B203,'Player Data'!$A1:$AE673,17,FALSE)*$Q203*IFERROR((VLOOKUP(P203,Settings!$E$28:$F$33,2,FALSE)+1),1)</f>
        <v>5.8100000000000005</v>
      </c>
      <c r="AD203" s="57" cm="1">
        <f t="array" ref="AD203">VLOOKUP(B203,'Player Data'!$A1:$AE673,18,FALSE)*$Q203</f>
        <v>45.650000000000006</v>
      </c>
      <c r="AE203" s="57" cm="1">
        <f t="array" ref="AE203">VLOOKUP(B203,'Player Data'!$A1:$AE673,19,FALSE)*$Q203*IFERROR((VLOOKUP(P203,Settings!$E$28:$F$33,2,FALSE)+1),1)</f>
        <v>4.9799999999999995</v>
      </c>
      <c r="AF203" s="57" cm="1">
        <f t="array" ref="AF203">VLOOKUP(B203,'Player Data'!$A1:$AE673,20,FALSE)*$Q203</f>
        <v>50.629999999999995</v>
      </c>
      <c r="AG203" s="57" cm="1">
        <f t="array" ref="AG203">VLOOKUP(B203,'Player Data'!$A1:$AE673,21,FALSE)*$Q203</f>
        <v>66.400000000000006</v>
      </c>
      <c r="AH203" s="59" cm="1">
        <f t="array" ref="AH203">VLOOKUP(B203,'Player Data'!$A1:$AE673,22,FALSE)</f>
        <v>0.43</v>
      </c>
      <c r="AI203" s="55"/>
      <c r="AJ203" s="57"/>
      <c r="AK203" s="57"/>
      <c r="AL203" s="57"/>
      <c r="AM203" s="57"/>
      <c r="AN203" s="57"/>
      <c r="AO203" s="57"/>
      <c r="AP203" s="57"/>
      <c r="AQ203" s="60"/>
      <c r="AR203" s="61"/>
      <c r="AS203" s="55"/>
    </row>
    <row r="204" spans="1:45" ht="21.25" customHeight="1" x14ac:dyDescent="0.15">
      <c r="A204" s="62">
        <f>RANK(K204,K$2:K$671)</f>
        <v>228</v>
      </c>
      <c r="B204" s="10" t="s">
        <v>464</v>
      </c>
      <c r="C204" s="47" t="s">
        <v>145</v>
      </c>
      <c r="D204" s="48" t="str" cm="1">
        <f t="array" ref="D204">VLOOKUP(B204,'Player Data'!A1:D673,4,FALSE)</f>
        <v>D</v>
      </c>
      <c r="E204" s="68" cm="1">
        <f t="array" ref="E204">VLOOKUP(B204,D!A1:C204,3,FALSE)</f>
        <v>98</v>
      </c>
      <c r="F204" s="63" t="str" cm="1">
        <f t="array" ref="F204">VLOOKUP(B204,'Player Data'!A1:B673,2,FALSE)</f>
        <v>WPG</v>
      </c>
      <c r="G204" s="66" cm="1">
        <f t="array" ref="G204">VLOOKUP(B204,'Player Data'!A1:D673,3,FALSE)</f>
        <v>33</v>
      </c>
      <c r="H204" s="51" cm="1">
        <f t="array" ref="H204">IFERROR(VLOOKUP(B204,ADP!A1:F671,6,FALSE)/1000000,VLOOKUP(B204,ADP!A1:F671,6,FALSE))</f>
        <v>4.9000000000000004</v>
      </c>
      <c r="I204" s="52">
        <f>IF(Settings!$E$15="POINTS",((R204*Q204)*Settings!$B$12)+(S204*Settings!$B$2)+(T204*Settings!$B$3)+(U204*Settings!$B$4)+(V204*Settings!$B$5)+(X204*Settings!$B$9)+(AA204*Settings!$B$6)+(W204*Settings!$B$8)+(AB204*Settings!$B$7)+(AC204*Settings!$B$14)+(AD204*Settings!$B$15)+(AE204*Settings!$B$16)+(AF204*Settings!$B$17)+(AG204*Settings!$B$18)+(U204*Settings!$B$13)+(Y204*Settings!$B$10)+(Z204*Settings!$B$11),VLOOKUP(B204,'Standard Deviations'!A$1:C$672,3,FALSE))</f>
        <v>-2.3542040481268138</v>
      </c>
      <c r="J204" s="53" cm="1">
        <f t="array" ref="J204">IF(D204="G",I204/AJ204,I204/Q204)</f>
        <v>-2.8026238668176356E-2</v>
      </c>
      <c r="K204" s="52" cm="1">
        <f t="array" ref="K204">VLOOKUP(B204,D!A1:F204,6,FALSE)</f>
        <v>-2.9210549626443685</v>
      </c>
      <c r="L204" s="54" cm="1">
        <f t="array" ref="L204">IFERROR(K204/H204,"N/A")</f>
        <v>-0.59613366584578942</v>
      </c>
      <c r="M204" s="84" t="s">
        <v>828</v>
      </c>
      <c r="N204" s="84" t="str" cm="1">
        <f t="array" ref="N204">IFERROR(M204-A204,"N/A")</f>
        <v>N/A</v>
      </c>
      <c r="O204" s="55"/>
      <c r="P204" s="56" cm="1">
        <f t="array" ref="P204">_xlfn.XLOOKUP($B204,ADP!A2:A671,ADP!G2:G671)</f>
        <v>0</v>
      </c>
      <c r="Q204" s="57" cm="1">
        <f t="array" ref="Q204">IF(Settings!$E$12="YES",VLOOKUP(B204,'Player Data'!A1:E673,5,FALSE),84)</f>
        <v>84</v>
      </c>
      <c r="R204" s="55" cm="1">
        <f t="array" ref="R204">VLOOKUP(B204,'Player Data'!$A1:$AE673,6,FALSE)</f>
        <v>21.4</v>
      </c>
      <c r="S204" s="57" cm="1">
        <f t="array" ref="S204">VLOOKUP(B204,'Player Data'!$A1:$AE673,7,FALSE)*$Q204*IFERROR((VLOOKUP(P204,Settings!$E$28:$F$33,2,FALSE)+1),1)</f>
        <v>0.84</v>
      </c>
      <c r="T204" s="57" cm="1">
        <f t="array" ref="T204">VLOOKUP(B204,'Player Data'!$A1:$AE673,8,FALSE)*$Q204*IFERROR((VLOOKUP(P204,Settings!$E$28:$F$33,2,FALSE)+1),1)</f>
        <v>17.64</v>
      </c>
      <c r="U204" s="57" cm="1">
        <f t="array" ref="U204">SUM(S204:T204)</f>
        <v>18.48</v>
      </c>
      <c r="V204" s="57" cm="1">
        <f t="array" ref="V204">VLOOKUP(B204,'Player Data'!$A1:$AE673,10,FALSE)*$Q204*IFERROR(((VLOOKUP(P204,Settings!$E$28:$F$33,2,FALSE)/2)+1),1)</f>
        <v>61.32</v>
      </c>
      <c r="W204" s="57" cm="1">
        <f t="array" ref="W204">VLOOKUP(B204,'Player Data'!$A1:$AE673,11,FALSE)*$Q204*IFERROR((VLOOKUP(P204,Settings!$E$28:$F$33,2,FALSE)+1),1)</f>
        <v>0</v>
      </c>
      <c r="X204" s="57" cm="1">
        <f t="array" ref="X204">VLOOKUP(B204,'Player Data'!$A1:$AE673,12,FALSE)*$Q204*IFERROR((VLOOKUP(P204,Settings!$E$28:$F$33,2,FALSE)+1),1)</f>
        <v>0</v>
      </c>
      <c r="Y204" s="57" cm="1">
        <f t="array" ref="Y204">VLOOKUP(B204,'Player Data'!$A1:$AE673,13,FALSE)*$Q204</f>
        <v>0</v>
      </c>
      <c r="Z204" s="57" cm="1">
        <f t="array" ref="Z204">VLOOKUP(B204,'Player Data'!$A1:$AE673,14,FALSE)*$Q204</f>
        <v>0.84</v>
      </c>
      <c r="AA204" s="57" cm="1">
        <f t="array" ref="AA204">VLOOKUP(B204,'Player Data'!$A1:$AE673,15,FALSE)*$Q204</f>
        <v>118.44</v>
      </c>
      <c r="AB204" s="57" cm="1">
        <f t="array" ref="AB204">VLOOKUP(B204,'Player Data'!$A1:$AE673,16,FALSE)*$Q204</f>
        <v>118.44</v>
      </c>
      <c r="AC204" s="57" cm="1">
        <f t="array" ref="AC204">VLOOKUP(B204,'Player Data'!$A1:$AE673,17,FALSE)*$Q204*IFERROR((VLOOKUP(P204,Settings!$E$28:$F$33,2,FALSE)+1),1)</f>
        <v>3.36</v>
      </c>
      <c r="AD204" s="57" cm="1">
        <f t="array" ref="AD204">VLOOKUP(B204,'Player Data'!$A1:$AE673,18,FALSE)*$Q204</f>
        <v>39.479999999999997</v>
      </c>
      <c r="AE204" s="57" cm="1">
        <f t="array" ref="AE204">VLOOKUP(B204,'Player Data'!$A1:$AE673,19,FALSE)*$Q204*IFERROR((VLOOKUP(P204,Settings!$E$28:$F$33,2,FALSE)+1),1)</f>
        <v>0</v>
      </c>
      <c r="AF204" s="57" cm="1">
        <f t="array" ref="AF204">VLOOKUP(B204,'Player Data'!$A1:$AE673,20,FALSE)*$Q204</f>
        <v>0</v>
      </c>
      <c r="AG204" s="57" cm="1">
        <f t="array" ref="AG204">VLOOKUP(B204,'Player Data'!$A1:$AE673,21,FALSE)*$Q204</f>
        <v>0</v>
      </c>
      <c r="AH204" s="59" cm="1">
        <f t="array" ref="AH204">VLOOKUP(B204,'Player Data'!$A1:$AE673,22,FALSE)</f>
        <v>0</v>
      </c>
      <c r="AI204" s="55"/>
      <c r="AJ204" s="57"/>
      <c r="AK204" s="57"/>
      <c r="AL204" s="57"/>
      <c r="AM204" s="57"/>
      <c r="AN204" s="57"/>
      <c r="AO204" s="57"/>
      <c r="AP204" s="57"/>
      <c r="AQ204" s="60"/>
      <c r="AR204" s="61"/>
      <c r="AS204" s="55"/>
    </row>
    <row r="205" spans="1:45" ht="21.25" customHeight="1" x14ac:dyDescent="0.15">
      <c r="A205" s="62">
        <f>RANK(K205,K$2:K$671)</f>
        <v>230</v>
      </c>
      <c r="B205" s="10" t="s">
        <v>349</v>
      </c>
      <c r="C205" s="47" t="s">
        <v>145</v>
      </c>
      <c r="D205" s="48" t="str" cm="1">
        <f t="array" ref="D205">VLOOKUP(B205,'Player Data'!A1:D673,4,FALSE)</f>
        <v>D</v>
      </c>
      <c r="E205" s="68" cm="1">
        <f t="array" ref="E205">VLOOKUP(B205,D!A1:C204,3,FALSE)</f>
        <v>99</v>
      </c>
      <c r="F205" s="73" t="str" cm="1">
        <f t="array" ref="F205">VLOOKUP(B205,'Player Data'!A1:B673,2,FALSE)</f>
        <v>BUF</v>
      </c>
      <c r="G205" s="71" cm="1">
        <f t="array" ref="G205">VLOOKUP(B205,'Player Data'!A1:D673,3,FALSE)</f>
        <v>23</v>
      </c>
      <c r="H205" s="51" cm="1">
        <f t="array" ref="H205">IFERROR(VLOOKUP(B205,ADP!A1:F671,6,FALSE)/1000000,VLOOKUP(B205,ADP!A1:F671,6,FALSE))</f>
        <v>3.1</v>
      </c>
      <c r="I205" s="52">
        <f>IF(Settings!$E$15="POINTS",((R205*Q205)*Settings!$B$12)+(S205*Settings!$B$2)+(T205*Settings!$B$3)+(U205*Settings!$B$4)+(V205*Settings!$B$5)+(X205*Settings!$B$9)+(AA205*Settings!$B$6)+(W205*Settings!$B$8)+(AB205*Settings!$B$7)+(AC205*Settings!$B$14)+(AD205*Settings!$B$15)+(AE205*Settings!$B$16)+(AF205*Settings!$B$17)+(AG205*Settings!$B$18)+(U205*Settings!$B$13)+(Y205*Settings!$B$10)+(Z205*Settings!$B$11),VLOOKUP(B205,'Standard Deviations'!A$1:C$672,3,FALSE))</f>
        <v>-2.3695499270096234</v>
      </c>
      <c r="J205" s="53" cm="1">
        <f t="array" ref="J205">IF(D205="G",I205/AJ205,I205/Q205)</f>
        <v>-3.0378845218072097E-2</v>
      </c>
      <c r="K205" s="52" cm="1">
        <f t="array" ref="K205">VLOOKUP(B205,D!A1:F204,6,FALSE)</f>
        <v>-2.9364008415271776</v>
      </c>
      <c r="L205" s="54" cm="1">
        <f t="array" ref="L205">IFERROR(K205/H205,"N/A")</f>
        <v>-0.94722607791199276</v>
      </c>
      <c r="M205" s="84" t="s">
        <v>828</v>
      </c>
      <c r="N205" s="84" t="str" cm="1">
        <f t="array" ref="N205">IFERROR(M205-A205,"N/A")</f>
        <v>N/A</v>
      </c>
      <c r="O205" s="55"/>
      <c r="P205" s="56" cm="1">
        <f t="array" ref="P205">_xlfn.XLOOKUP($B205,ADP!A2:A671,ADP!G2:G671)</f>
        <v>0</v>
      </c>
      <c r="Q205" s="57" cm="1">
        <f t="array" ref="Q205">IF(Settings!$E$12="YES",VLOOKUP(B205,'Player Data'!A1:E673,5,FALSE),84)</f>
        <v>78</v>
      </c>
      <c r="R205" s="81" cm="1">
        <f t="array" ref="R205">VLOOKUP(B205,'Player Data'!$A1:$AE673,6,FALSE)</f>
        <v>19.3</v>
      </c>
      <c r="S205" s="57" cm="1">
        <f t="array" ref="S205">VLOOKUP(B205,'Player Data'!$A1:$AE673,7,FALSE)*$Q205*IFERROR((VLOOKUP(P205,Settings!$E$28:$F$33,2,FALSE)+1),1)</f>
        <v>7.02</v>
      </c>
      <c r="T205" s="57" cm="1">
        <f t="array" ref="T205">VLOOKUP(B205,'Player Data'!$A1:$AE673,8,FALSE)*$Q205*IFERROR((VLOOKUP(P205,Settings!$E$28:$F$33,2,FALSE)+1),1)</f>
        <v>15.600000000000001</v>
      </c>
      <c r="U205" s="57" cm="1">
        <f t="array" ref="U205">SUM(S205:T205)</f>
        <v>22.62</v>
      </c>
      <c r="V205" s="57" cm="1">
        <f t="array" ref="V205">VLOOKUP(B205,'Player Data'!$A1:$AE673,10,FALSE)*$Q205*IFERROR(((VLOOKUP(P205,Settings!$E$28:$F$33,2,FALSE)/2)+1),1)</f>
        <v>123.24000000000001</v>
      </c>
      <c r="W205" s="57" cm="1">
        <f t="array" ref="W205">VLOOKUP(B205,'Player Data'!$A1:$AE673,11,FALSE)*$Q205*IFERROR((VLOOKUP(P205,Settings!$E$28:$F$33,2,FALSE)+1),1)</f>
        <v>0</v>
      </c>
      <c r="X205" s="57" cm="1">
        <f t="array" ref="X205">VLOOKUP(B205,'Player Data'!$A1:$AE673,12,FALSE)*$Q205*IFERROR((VLOOKUP(P205,Settings!$E$28:$F$33,2,FALSE)+1),1)</f>
        <v>1.56</v>
      </c>
      <c r="Y205" s="57" cm="1">
        <f t="array" ref="Y205">VLOOKUP(B205,'Player Data'!$A1:$AE673,13,FALSE)*$Q205</f>
        <v>0</v>
      </c>
      <c r="Z205" s="57" cm="1">
        <f t="array" ref="Z205">VLOOKUP(B205,'Player Data'!$A1:$AE673,14,FALSE)*$Q205</f>
        <v>0</v>
      </c>
      <c r="AA205" s="57" cm="1">
        <f t="array" ref="AA205">VLOOKUP(B205,'Player Data'!$A1:$AE673,15,FALSE)*$Q205</f>
        <v>95.94</v>
      </c>
      <c r="AB205" s="57" cm="1">
        <f t="array" ref="AB205">VLOOKUP(B205,'Player Data'!$A1:$AE673,16,FALSE)*$Q205</f>
        <v>53.819999999999993</v>
      </c>
      <c r="AC205" s="57" cm="1">
        <f t="array" ref="AC205">VLOOKUP(B205,'Player Data'!$A1:$AE673,17,FALSE)*$Q205*IFERROR((VLOOKUP(P205,Settings!$E$28:$F$33,2,FALSE)+1),1)</f>
        <v>1.56</v>
      </c>
      <c r="AD205" s="57" cm="1">
        <f t="array" ref="AD205">VLOOKUP(B205,'Player Data'!$A1:$AE673,18,FALSE)*$Q205</f>
        <v>34.32</v>
      </c>
      <c r="AE205" s="57" cm="1">
        <f t="array" ref="AE205">VLOOKUP(B205,'Player Data'!$A1:$AE673,19,FALSE)*$Q205*IFERROR((VLOOKUP(P205,Settings!$E$28:$F$33,2,FALSE)+1),1)</f>
        <v>0.78</v>
      </c>
      <c r="AF205" s="57" cm="1">
        <f t="array" ref="AF205">VLOOKUP(B205,'Player Data'!$A1:$AE673,20,FALSE)*$Q205</f>
        <v>0</v>
      </c>
      <c r="AG205" s="57" cm="1">
        <f t="array" ref="AG205">VLOOKUP(B205,'Player Data'!$A1:$AE673,21,FALSE)*$Q205</f>
        <v>0</v>
      </c>
      <c r="AH205" s="59" cm="1">
        <f t="array" ref="AH205">VLOOKUP(B205,'Player Data'!$A1:$AE673,22,FALSE)</f>
        <v>0</v>
      </c>
      <c r="AI205" s="55"/>
      <c r="AJ205" s="57"/>
      <c r="AK205" s="57"/>
      <c r="AL205" s="57"/>
      <c r="AM205" s="57"/>
      <c r="AN205" s="57"/>
      <c r="AO205" s="57"/>
      <c r="AP205" s="57"/>
      <c r="AQ205" s="60"/>
      <c r="AR205" s="61"/>
      <c r="AS205" s="55"/>
    </row>
    <row r="206" spans="1:45" ht="21.25" customHeight="1" x14ac:dyDescent="0.15">
      <c r="A206" s="62">
        <f>RANK(K206,K$2:K$671)</f>
        <v>233</v>
      </c>
      <c r="B206" s="10" t="s">
        <v>391</v>
      </c>
      <c r="C206" s="47" t="s">
        <v>145</v>
      </c>
      <c r="D206" s="48" t="str" cm="1">
        <f t="array" ref="D206">VLOOKUP(B206,'Player Data'!A1:D673,4,FALSE)</f>
        <v>D</v>
      </c>
      <c r="E206" s="68" cm="1">
        <f t="array" ref="E206">VLOOKUP(B206,D!A1:C204,3,FALSE)</f>
        <v>100</v>
      </c>
      <c r="F206" s="56" t="str" cm="1">
        <f t="array" ref="F206">VLOOKUP(B206,'Player Data'!A1:B673,2,FALSE)</f>
        <v>NYR</v>
      </c>
      <c r="G206" s="71" cm="1">
        <f t="array" ref="G206">VLOOKUP(B206,'Player Data'!A1:D673,3,FALSE)</f>
        <v>25</v>
      </c>
      <c r="H206" s="67" cm="1">
        <f t="array" ref="H206">IFERROR(VLOOKUP(B206,ADP!A1:F671,6,FALSE)/1000000,VLOOKUP(B206,ADP!A1:F671,6,FALSE))</f>
        <v>5.5</v>
      </c>
      <c r="I206" s="52">
        <f>IF(Settings!$E$15="POINTS",((R206*Q206)*Settings!$B$12)+(S206*Settings!$B$2)+(T206*Settings!$B$3)+(U206*Settings!$B$4)+(V206*Settings!$B$5)+(X206*Settings!$B$9)+(AA206*Settings!$B$6)+(W206*Settings!$B$8)+(AB206*Settings!$B$7)+(AC206*Settings!$B$14)+(AD206*Settings!$B$15)+(AE206*Settings!$B$16)+(AF206*Settings!$B$17)+(AG206*Settings!$B$18)+(U206*Settings!$B$13)+(Y206*Settings!$B$10)+(Z206*Settings!$B$11),VLOOKUP(B206,'Standard Deviations'!A$1:C$672,3,FALSE))</f>
        <v>-2.4048401050308819</v>
      </c>
      <c r="J206" s="53" cm="1">
        <f t="array" ref="J206">IF(D206="G",I206/AJ206,I206/Q206)</f>
        <v>-2.8629048869415259E-2</v>
      </c>
      <c r="K206" s="52" cm="1">
        <f t="array" ref="K206">VLOOKUP(B206,D!A1:F204,6,FALSE)</f>
        <v>-2.9716910195484365</v>
      </c>
      <c r="L206" s="54" cm="1">
        <f t="array" ref="L206">IFERROR(K206/H206,"N/A")</f>
        <v>-0.5403074580997157</v>
      </c>
      <c r="M206" s="84" t="s">
        <v>828</v>
      </c>
      <c r="N206" s="84" t="str" cm="1">
        <f t="array" ref="N206">IFERROR(M206-A206,"N/A")</f>
        <v>N/A</v>
      </c>
      <c r="O206" s="55"/>
      <c r="P206" s="56" cm="1">
        <f t="array" ref="P206">_xlfn.XLOOKUP($B206,ADP!A2:A671,ADP!G2:G671)</f>
        <v>0</v>
      </c>
      <c r="Q206" s="57" cm="1">
        <f t="array" ref="Q206">IF(Settings!$E$12="YES",VLOOKUP(B206,'Player Data'!A1:E673,5,FALSE),84)</f>
        <v>84</v>
      </c>
      <c r="R206" s="83" cm="1">
        <f t="array" ref="R206">VLOOKUP(B206,'Player Data'!$A1:$AE673,6,FALSE)</f>
        <v>17.899999999999999</v>
      </c>
      <c r="S206" s="57" cm="1">
        <f t="array" ref="S206">VLOOKUP(B206,'Player Data'!$A1:$AE673,7,FALSE)*$Q206*IFERROR((VLOOKUP(P206,Settings!$E$28:$F$33,2,FALSE)+1),1)</f>
        <v>4.2</v>
      </c>
      <c r="T206" s="57" cm="1">
        <f t="array" ref="T206">VLOOKUP(B206,'Player Data'!$A1:$AE673,8,FALSE)*$Q206*IFERROR((VLOOKUP(P206,Settings!$E$28:$F$33,2,FALSE)+1),1)</f>
        <v>15.96</v>
      </c>
      <c r="U206" s="57" cm="1">
        <f t="array" ref="U206">SUM(S206:T206)</f>
        <v>20.16</v>
      </c>
      <c r="V206" s="57" cm="1">
        <f t="array" ref="V206">VLOOKUP(B206,'Player Data'!$A1:$AE673,10,FALSE)*$Q206*IFERROR(((VLOOKUP(P206,Settings!$E$28:$F$33,2,FALSE)/2)+1),1)</f>
        <v>95.759999999999991</v>
      </c>
      <c r="W206" s="57" cm="1">
        <f t="array" ref="W206">VLOOKUP(B206,'Player Data'!$A1:$AE673,11,FALSE)*$Q206*IFERROR((VLOOKUP(P206,Settings!$E$28:$F$33,2,FALSE)+1),1)</f>
        <v>0</v>
      </c>
      <c r="X206" s="57" cm="1">
        <f t="array" ref="X206">VLOOKUP(B206,'Player Data'!$A1:$AE673,12,FALSE)*$Q206*IFERROR((VLOOKUP(P206,Settings!$E$28:$F$33,2,FALSE)+1),1)</f>
        <v>0</v>
      </c>
      <c r="Y206" s="57" cm="1">
        <f t="array" ref="Y206">VLOOKUP(B206,'Player Data'!$A1:$AE673,13,FALSE)*$Q206</f>
        <v>0.84</v>
      </c>
      <c r="Z206" s="57" cm="1">
        <f t="array" ref="Z206">VLOOKUP(B206,'Player Data'!$A1:$AE673,14,FALSE)*$Q206</f>
        <v>0.84</v>
      </c>
      <c r="AA206" s="57" cm="1">
        <f t="array" ref="AA206">VLOOKUP(B206,'Player Data'!$A1:$AE673,15,FALSE)*$Q206</f>
        <v>131.04</v>
      </c>
      <c r="AB206" s="57" cm="1">
        <f t="array" ref="AB206">VLOOKUP(B206,'Player Data'!$A1:$AE673,16,FALSE)*$Q206</f>
        <v>138.6</v>
      </c>
      <c r="AC206" s="57" cm="1">
        <f t="array" ref="AC206">VLOOKUP(B206,'Player Data'!$A1:$AE673,17,FALSE)*$Q206*IFERROR((VLOOKUP(P206,Settings!$E$28:$F$33,2,FALSE)+1),1)</f>
        <v>-2.52</v>
      </c>
      <c r="AD206" s="57" cm="1">
        <f t="array" ref="AD206">VLOOKUP(B206,'Player Data'!$A1:$AE673,18,FALSE)*$Q206</f>
        <v>23.520000000000003</v>
      </c>
      <c r="AE206" s="57" cm="1">
        <f t="array" ref="AE206">VLOOKUP(B206,'Player Data'!$A1:$AE673,19,FALSE)*$Q206*IFERROR((VLOOKUP(P206,Settings!$E$28:$F$33,2,FALSE)+1),1)</f>
        <v>0.84</v>
      </c>
      <c r="AF206" s="57" cm="1">
        <f t="array" ref="AF206">VLOOKUP(B206,'Player Data'!$A1:$AE673,20,FALSE)*$Q206</f>
        <v>0</v>
      </c>
      <c r="AG206" s="57" cm="1">
        <f t="array" ref="AG206">VLOOKUP(B206,'Player Data'!$A1:$AE673,21,FALSE)*$Q206</f>
        <v>0</v>
      </c>
      <c r="AH206" s="59" cm="1">
        <f t="array" ref="AH206">VLOOKUP(B206,'Player Data'!$A1:$AE673,22,FALSE)</f>
        <v>0</v>
      </c>
      <c r="AI206" s="55"/>
      <c r="AJ206" s="57"/>
      <c r="AK206" s="57"/>
      <c r="AL206" s="57"/>
      <c r="AM206" s="57"/>
      <c r="AN206" s="57"/>
      <c r="AO206" s="57"/>
      <c r="AP206" s="57"/>
      <c r="AQ206" s="60"/>
      <c r="AR206" s="61"/>
      <c r="AS206" s="55"/>
    </row>
    <row r="207" spans="1:45" ht="21.25" customHeight="1" x14ac:dyDescent="0.15">
      <c r="A207" s="62">
        <f>RANK(K207,K$2:K$671)</f>
        <v>220</v>
      </c>
      <c r="B207" s="10" t="s">
        <v>449</v>
      </c>
      <c r="C207" s="47" t="s">
        <v>145</v>
      </c>
      <c r="D207" s="48" t="str" cm="1">
        <f t="array" ref="D207">VLOOKUP(B207,'Player Data'!A1:D673,4,FALSE)</f>
        <v>G</v>
      </c>
      <c r="E207" s="76" cm="1">
        <f t="array" ref="E207">VLOOKUP(B207,G!A1:D66,3,FALSE)</f>
        <v>35</v>
      </c>
      <c r="F207" s="73" t="str" cm="1">
        <f t="array" ref="F207">VLOOKUP(B207,'Player Data'!A1:B673,2,FALSE)</f>
        <v>BUF</v>
      </c>
      <c r="G207" s="66" cm="1">
        <f t="array" ref="G207">VLOOKUP(B207,'Player Data'!A1:D673,3,FALSE)</f>
        <v>33</v>
      </c>
      <c r="H207" s="67" cm="1">
        <f t="array" ref="H207">IFERROR(VLOOKUP(B207,ADP!A1:F671,6,FALSE)/1000000,VLOOKUP(B207,ADP!A1:F671,6,FALSE))</f>
        <v>1.5</v>
      </c>
      <c r="I207" s="52">
        <f>IF(Settings!$E$15="POINTS",(AJ207*Settings!$B$29)+(AK207*Settings!$B$21)+(AL207*Settings!$B$22)+(AN207*Settings!$B$24)+(AO207*Settings!$B$25)+(AP207*Settings!$B$27)+(AM207*Settings!$B$23),VLOOKUP(B207,'Standard Deviations'!A$1:C$672,3,FALSE))</f>
        <v>-0.75042631972709206</v>
      </c>
      <c r="J207" s="53" cm="1">
        <f t="array" ref="J207">IF(D207="G",I207/AJ207,I207/Q207)</f>
        <v>-2.144075199220263E-2</v>
      </c>
      <c r="K207" s="52" cm="1">
        <f t="array" ref="K207">VLOOKUP(B207,G!A1:F66,6,FALSE)</f>
        <v>-2.7886115788507668</v>
      </c>
      <c r="L207" s="54" cm="1">
        <f t="array" ref="L207">IFERROR(K207/H207,"N/A")</f>
        <v>-1.8590743859005112</v>
      </c>
      <c r="M207" s="55">
        <v>153.30000000000001</v>
      </c>
      <c r="N207" s="55" cm="1">
        <f t="array" ref="N207">IFERROR(M207-A207,"N/A")</f>
        <v>-66.699999999999989</v>
      </c>
      <c r="O207" s="55"/>
      <c r="P207" s="56" cm="1">
        <f t="array" ref="P207">_xlfn.XLOOKUP($B207,ADP!A2:A671,ADP!G2:G671)</f>
        <v>0</v>
      </c>
      <c r="Q207" s="57"/>
      <c r="R207" s="55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9"/>
      <c r="AI207" s="55"/>
      <c r="AJ207" s="77" cm="1">
        <f t="array" ref="AJ207">VLOOKUP(B207,'Player Data'!$A1:$AE673,24,FALSE)</f>
        <v>35</v>
      </c>
      <c r="AK207" s="57" cm="1">
        <f t="array" ref="AK207">VLOOKUP(B207,'Player Data'!$A1:$AE673,25,FALSE)*$AJ207*IFERROR((VLOOKUP(P207,Settings!$E$28:$F$33,2,FALSE)+1),1)</f>
        <v>18.2</v>
      </c>
      <c r="AL207" s="57" cm="1">
        <f t="array" ref="AL207">AJ207-AK207-AM207</f>
        <v>12.600000000000001</v>
      </c>
      <c r="AM207" s="57" cm="1">
        <f t="array" ref="AM207">VLOOKUP(B207,'Player Data'!$A1:$AE673,27,FALSE)*$AJ207</f>
        <v>4.2</v>
      </c>
      <c r="AN207" s="57" cm="1">
        <f t="array" ref="AN207">VLOOKUP(B207,'Player Data'!$A1:$AE673,28,FALSE)*AJ207</f>
        <v>1.75</v>
      </c>
      <c r="AO207" s="57" cm="1">
        <f t="array" ref="AO207">VLOOKUP(B207,'Player Data'!$A1:$AE673,29,FALSE)*$AJ207*IFERROR((VLOOKUP(P207,Settings!$E$28:$F$33,2,FALSE)/4)+1,1)</f>
        <v>906.5</v>
      </c>
      <c r="AP207" s="57" cm="1">
        <f t="array" ref="AP207">VLOOKUP(B207,'Player Data'!$A1:$AE673,31,FALSE)*$AJ207*(IFERROR(1-(VLOOKUP(P207,Settings!$E$28:$F$33,2,FALSE)/4),1))</f>
        <v>101.15</v>
      </c>
      <c r="AQ207" s="60" cm="1">
        <f t="array" ref="AQ207">1-(AP207/(AO207+AP207))</f>
        <v>0.89961792288989229</v>
      </c>
      <c r="AR207" s="61" cm="1">
        <f t="array" ref="AR207">AP207/AJ207</f>
        <v>2.89</v>
      </c>
      <c r="AS207" s="55"/>
    </row>
    <row r="208" spans="1:45" ht="21.25" customHeight="1" x14ac:dyDescent="0.15">
      <c r="A208" s="62">
        <f>RANK(K208,K$2:K$671)</f>
        <v>178</v>
      </c>
      <c r="B208" s="10" t="s">
        <v>259</v>
      </c>
      <c r="C208" s="47" t="s">
        <v>145</v>
      </c>
      <c r="D208" s="48" t="str" cm="1">
        <f t="array" ref="D208">VLOOKUP(B208,'Player Data'!A1:D673,4,FALSE)</f>
        <v>C</v>
      </c>
      <c r="E208" s="49" cm="1">
        <f t="array" ref="E208">VLOOKUP(B208,'C'!A1:C210,3,FALSE)</f>
        <v>40</v>
      </c>
      <c r="F208" s="70" t="str" cm="1">
        <f t="array" ref="F208">VLOOKUP(B208,'Player Data'!A1:B673,2,FALSE)</f>
        <v>L.A</v>
      </c>
      <c r="G208" s="71" cm="1">
        <f t="array" ref="G208">VLOOKUP(B208,'Player Data'!A1:D673,3,FALSE)</f>
        <v>24</v>
      </c>
      <c r="H208" s="51" cm="1">
        <f t="array" ref="H208">IFERROR(VLOOKUP(B208,ADP!A1:F671,6,FALSE)/1000000,VLOOKUP(B208,ADP!A1:F671,6,FALSE))</f>
        <v>6.25</v>
      </c>
      <c r="I208" s="52">
        <f>IF(Settings!$E$15="POINTS",((R208*Q208)*Settings!$B$12)+(S208*Settings!$B$2)+(T208*Settings!$B$3)+(U208*Settings!$B$4)+(V208*Settings!$B$5)+(X208*Settings!$B$9)+(AA208*Settings!$B$6)+(W208*Settings!$B$8)+(AB208*Settings!$B$7)+(AC208*Settings!$B$14)+(AD208*Settings!$B$15)+(AE208*Settings!$B$16)+(AF208*Settings!$B$17)+(AG208*Settings!$B$18)+(Y208*Settings!$B$10)+(Z208*Settings!$B$11),VLOOKUP(B208,'Standard Deviations'!A$1:C$672,3,FALSE))</f>
        <v>4.2911657462044595</v>
      </c>
      <c r="J208" s="53" cm="1">
        <f t="array" ref="J208">IF(D208="G",I208/AJ208,I208/Q208)</f>
        <v>5.1700792122945295E-2</v>
      </c>
      <c r="K208" s="52" cm="1">
        <f t="array" ref="K208">IF(Settings!$E$18="C/LW/RW",VLOOKUP(B208,'C'!A1:F210,6,FALSE),VLOOKUP(B208,F!A1:F407,6,FALSE))</f>
        <v>-2.0688438114106047</v>
      </c>
      <c r="L208" s="54" cm="1">
        <f t="array" ref="L208">IFERROR(K208/H208,"N/A")</f>
        <v>-0.33101500982569676</v>
      </c>
      <c r="M208" s="55">
        <v>132.6</v>
      </c>
      <c r="N208" s="55" cm="1">
        <f t="array" ref="N208">IFERROR(M208-A208,"N/A")</f>
        <v>-45.400000000000006</v>
      </c>
      <c r="O208" s="55"/>
      <c r="P208" s="56" cm="1">
        <f t="array" ref="P208">_xlfn.XLOOKUP($B208,ADP!A2:A671,ADP!G2:G671)</f>
        <v>0</v>
      </c>
      <c r="Q208" s="57" cm="1">
        <f t="array" ref="Q208">IF(Settings!$E$12="YES",VLOOKUP(B208,'Player Data'!A1:E673,5,FALSE),84)</f>
        <v>83</v>
      </c>
      <c r="R208" s="55" cm="1">
        <f t="array" ref="R208">VLOOKUP(B208,'Player Data'!$A1:$AE673,6,FALSE)</f>
        <v>20.7</v>
      </c>
      <c r="S208" s="57" cm="1">
        <f t="array" ref="S208">VLOOKUP(B208,'Player Data'!$A1:$AE673,7,FALSE)*$Q208*IFERROR((VLOOKUP(P208,Settings!$E$28:$F$33,2,FALSE)+1),1)</f>
        <v>27.39</v>
      </c>
      <c r="T208" s="57" cm="1">
        <f t="array" ref="T208">VLOOKUP(B208,'Player Data'!$A1:$AE673,8,FALSE)*$Q208*IFERROR((VLOOKUP(P208,Settings!$E$28:$F$33,2,FALSE)+1),1)</f>
        <v>35.69</v>
      </c>
      <c r="U208" s="57" cm="1">
        <f t="array" ref="U208">SUM(S208:T208)</f>
        <v>63.08</v>
      </c>
      <c r="V208" s="57" cm="1">
        <f t="array" ref="V208">VLOOKUP(B208,'Player Data'!$A1:$AE673,10,FALSE)*$Q208*IFERROR(((VLOOKUP(P208,Settings!$E$28:$F$33,2,FALSE)/2)+1),1)</f>
        <v>201.69000000000003</v>
      </c>
      <c r="W208" s="58" cm="1">
        <f t="array" ref="W208">VLOOKUP(B208,'Player Data'!$A1:$AE673,11,FALSE)*$Q208*IFERROR((VLOOKUP(P208,Settings!$E$28:$F$33,2,FALSE)+1),1)</f>
        <v>6.6400000000000006</v>
      </c>
      <c r="X208" s="57" cm="1">
        <f t="array" ref="X208">VLOOKUP(B208,'Player Data'!$A1:$AE673,12,FALSE)*$Q208*IFERROR((VLOOKUP(P208,Settings!$E$28:$F$33,2,FALSE)+1),1)</f>
        <v>15.77</v>
      </c>
      <c r="Y208" s="57" cm="1">
        <f t="array" ref="Y208">VLOOKUP(B208,'Player Data'!$A1:$AE673,13,FALSE)*$Q208</f>
        <v>0.83000000000000007</v>
      </c>
      <c r="Z208" s="57" cm="1">
        <f t="array" ref="Z208">VLOOKUP(B208,'Player Data'!$A1:$AE673,14,FALSE)*$Q208</f>
        <v>0.83000000000000007</v>
      </c>
      <c r="AA208" s="57" cm="1">
        <f t="array" ref="AA208">VLOOKUP(B208,'Player Data'!$A1:$AE673,15,FALSE)*$Q208</f>
        <v>43.160000000000004</v>
      </c>
      <c r="AB208" s="57" cm="1">
        <f t="array" ref="AB208">VLOOKUP(B208,'Player Data'!$A1:$AE673,16,FALSE)*$Q208</f>
        <v>73.87</v>
      </c>
      <c r="AC208" s="57" cm="1">
        <f t="array" ref="AC208">VLOOKUP(B208,'Player Data'!$A1:$AE673,17,FALSE)*$Q208*IFERROR((VLOOKUP(P208,Settings!$E$28:$F$33,2,FALSE)+1),1)</f>
        <v>1.6600000000000001</v>
      </c>
      <c r="AD208" s="57" cm="1">
        <f t="array" ref="AD208">VLOOKUP(B208,'Player Data'!$A1:$AE673,18,FALSE)*$Q208</f>
        <v>48.139999999999993</v>
      </c>
      <c r="AE208" s="57" cm="1">
        <f t="array" ref="AE208">VLOOKUP(B208,'Player Data'!$A1:$AE673,19,FALSE)*$Q208*IFERROR((VLOOKUP(P208,Settings!$E$28:$F$33,2,FALSE)+1),1)</f>
        <v>4.1500000000000004</v>
      </c>
      <c r="AF208" s="57" cm="1">
        <f t="array" ref="AF208">VLOOKUP(B208,'Player Data'!$A1:$AE673,20,FALSE)*$Q208</f>
        <v>474.76</v>
      </c>
      <c r="AG208" s="57" cm="1">
        <f t="array" ref="AG208">VLOOKUP(B208,'Player Data'!$A1:$AE673,21,FALSE)*$Q208</f>
        <v>578.51</v>
      </c>
      <c r="AH208" s="59" cm="1">
        <f t="array" ref="AH208">VLOOKUP(B208,'Player Data'!$A1:$AE673,22,FALSE)</f>
        <v>0.45</v>
      </c>
      <c r="AI208" s="55"/>
      <c r="AJ208" s="57"/>
      <c r="AK208" s="57"/>
      <c r="AL208" s="57"/>
      <c r="AM208" s="57"/>
      <c r="AN208" s="57"/>
      <c r="AO208" s="57"/>
      <c r="AP208" s="57"/>
      <c r="AQ208" s="60"/>
      <c r="AR208" s="61"/>
      <c r="AS208" s="55"/>
    </row>
    <row r="209" spans="1:45" ht="21.25" customHeight="1" x14ac:dyDescent="0.15">
      <c r="A209" s="62">
        <f>RANK(K209,K$2:K$671)</f>
        <v>234</v>
      </c>
      <c r="B209" s="10" t="s">
        <v>303</v>
      </c>
      <c r="C209" s="47" t="s">
        <v>145</v>
      </c>
      <c r="D209" s="48" t="str" cm="1">
        <f t="array" ref="D209">VLOOKUP(B209,'Player Data'!A1:D673,4,FALSE)</f>
        <v>D</v>
      </c>
      <c r="E209" s="68" cm="1">
        <f t="array" ref="E209">VLOOKUP(B209,D!A1:C204,3,FALSE)</f>
        <v>101</v>
      </c>
      <c r="F209" s="56" t="str" cm="1">
        <f t="array" ref="F209">VLOOKUP(B209,'Player Data'!A1:B673,2,FALSE)</f>
        <v>PHI</v>
      </c>
      <c r="G209" s="11" cm="1">
        <f t="array" ref="G209">VLOOKUP(B209,'Player Data'!A1:D673,3,FALSE)</f>
        <v>25</v>
      </c>
      <c r="H209" s="51" cm="1">
        <f t="array" ref="H209">IFERROR(VLOOKUP(B209,ADP!A1:F671,6,FALSE)/1000000,VLOOKUP(B209,ADP!A1:F671,6,FALSE))</f>
        <v>5.15</v>
      </c>
      <c r="I209" s="52">
        <f>IF(Settings!$E$15="POINTS",((R209*Q209)*Settings!$B$12)+(S209*Settings!$B$2)+(T209*Settings!$B$3)+(U209*Settings!$B$4)+(V209*Settings!$B$5)+(X209*Settings!$B$9)+(AA209*Settings!$B$6)+(W209*Settings!$B$8)+(AB209*Settings!$B$7)+(AC209*Settings!$B$14)+(AD209*Settings!$B$15)+(AE209*Settings!$B$16)+(AF209*Settings!$B$17)+(AG209*Settings!$B$18)+(U209*Settings!$B$13)+(Y209*Settings!$B$10)+(Z209*Settings!$B$11),VLOOKUP(B209,'Standard Deviations'!A$1:C$672,3,FALSE))</f>
        <v>-2.4303901657655169</v>
      </c>
      <c r="J209" s="53" cm="1">
        <f t="array" ref="J209">IF(D209="G",I209/AJ209,I209/Q209)</f>
        <v>-3.0379877072068961E-2</v>
      </c>
      <c r="K209" s="52" cm="1">
        <f t="array" ref="K209">VLOOKUP(B209,D!A1:F204,6,FALSE)</f>
        <v>-2.9972410802830716</v>
      </c>
      <c r="L209" s="54" cm="1">
        <f t="array" ref="L209">IFERROR(K209/H209,"N/A")</f>
        <v>-0.58198855927826632</v>
      </c>
      <c r="M209" s="84" t="s">
        <v>828</v>
      </c>
      <c r="N209" s="84" t="str" cm="1">
        <f t="array" ref="N209">IFERROR(M209-A209,"N/A")</f>
        <v>N/A</v>
      </c>
      <c r="O209" s="55"/>
      <c r="P209" s="56" cm="1">
        <f t="array" ref="P209">_xlfn.XLOOKUP($B209,ADP!A2:A671,ADP!G2:G671)</f>
        <v>0</v>
      </c>
      <c r="Q209" s="57" cm="1">
        <f t="array" ref="Q209">IF(Settings!$E$12="YES",VLOOKUP(B209,'Player Data'!A1:E673,5,FALSE),84)</f>
        <v>80</v>
      </c>
      <c r="R209" s="55" cm="1">
        <f t="array" ref="R209">VLOOKUP(B209,'Player Data'!$A1:$AE673,6,FALSE)</f>
        <v>22.2</v>
      </c>
      <c r="S209" s="57" cm="1">
        <f t="array" ref="S209">VLOOKUP(B209,'Player Data'!$A1:$AE673,7,FALSE)*$Q209*IFERROR((VLOOKUP(P209,Settings!$E$28:$F$33,2,FALSE)+1),1)</f>
        <v>6.4</v>
      </c>
      <c r="T209" s="57" cm="1">
        <f t="array" ref="T209">VLOOKUP(B209,'Player Data'!$A1:$AE673,8,FALSE)*$Q209*IFERROR((VLOOKUP(P209,Settings!$E$28:$F$33,2,FALSE)+1),1)</f>
        <v>21.6</v>
      </c>
      <c r="U209" s="57" cm="1">
        <f t="array" ref="U209">SUM(S209:T209)</f>
        <v>28</v>
      </c>
      <c r="V209" s="57" cm="1">
        <f t="array" ref="V209">VLOOKUP(B209,'Player Data'!$A1:$AE673,10,FALSE)*$Q209*IFERROR(((VLOOKUP(P209,Settings!$E$28:$F$33,2,FALSE)/2)+1),1)</f>
        <v>100</v>
      </c>
      <c r="W209" s="57" cm="1">
        <f t="array" ref="W209">VLOOKUP(B209,'Player Data'!$A1:$AE673,11,FALSE)*$Q209*IFERROR((VLOOKUP(P209,Settings!$E$28:$F$33,2,FALSE)+1),1)</f>
        <v>0.8</v>
      </c>
      <c r="X209" s="57" cm="1">
        <f t="array" ref="X209">VLOOKUP(B209,'Player Data'!$A1:$AE673,12,FALSE)*$Q209*IFERROR((VLOOKUP(P209,Settings!$E$28:$F$33,2,FALSE)+1),1)</f>
        <v>5.6000000000000005</v>
      </c>
      <c r="Y209" s="57" cm="1">
        <f t="array" ref="Y209">VLOOKUP(B209,'Player Data'!$A1:$AE673,13,FALSE)*$Q209</f>
        <v>0</v>
      </c>
      <c r="Z209" s="57" cm="1">
        <f t="array" ref="Z209">VLOOKUP(B209,'Player Data'!$A1:$AE673,14,FALSE)*$Q209</f>
        <v>0.8</v>
      </c>
      <c r="AA209" s="57" cm="1">
        <f t="array" ref="AA209">VLOOKUP(B209,'Player Data'!$A1:$AE673,15,FALSE)*$Q209</f>
        <v>148.80000000000001</v>
      </c>
      <c r="AB209" s="57" cm="1">
        <f t="array" ref="AB209">VLOOKUP(B209,'Player Data'!$A1:$AE673,16,FALSE)*$Q209</f>
        <v>49.6</v>
      </c>
      <c r="AC209" s="57" cm="1">
        <f t="array" ref="AC209">VLOOKUP(B209,'Player Data'!$A1:$AE673,17,FALSE)*$Q209*IFERROR((VLOOKUP(P209,Settings!$E$28:$F$33,2,FALSE)+1),1)</f>
        <v>0</v>
      </c>
      <c r="AD209" s="57" cm="1">
        <f t="array" ref="AD209">VLOOKUP(B209,'Player Data'!$A1:$AE673,18,FALSE)*$Q209</f>
        <v>36.800000000000004</v>
      </c>
      <c r="AE209" s="57" cm="1">
        <f t="array" ref="AE209">VLOOKUP(B209,'Player Data'!$A1:$AE673,19,FALSE)*$Q209*IFERROR((VLOOKUP(P209,Settings!$E$28:$F$33,2,FALSE)+1),1)</f>
        <v>0.8</v>
      </c>
      <c r="AF209" s="57" cm="1">
        <f t="array" ref="AF209">VLOOKUP(B209,'Player Data'!$A1:$AE673,20,FALSE)*$Q209</f>
        <v>0</v>
      </c>
      <c r="AG209" s="57" cm="1">
        <f t="array" ref="AG209">VLOOKUP(B209,'Player Data'!$A1:$AE673,21,FALSE)*$Q209</f>
        <v>0</v>
      </c>
      <c r="AH209" s="59" cm="1">
        <f t="array" ref="AH209">VLOOKUP(B209,'Player Data'!$A1:$AE673,22,FALSE)</f>
        <v>0</v>
      </c>
      <c r="AI209" s="55"/>
      <c r="AJ209" s="57"/>
      <c r="AK209" s="57"/>
      <c r="AL209" s="57"/>
      <c r="AM209" s="57"/>
      <c r="AN209" s="57"/>
      <c r="AO209" s="57"/>
      <c r="AP209" s="57"/>
      <c r="AQ209" s="60"/>
      <c r="AR209" s="61"/>
      <c r="AS209" s="55"/>
    </row>
    <row r="210" spans="1:45" ht="21.25" customHeight="1" x14ac:dyDescent="0.15">
      <c r="A210" s="62">
        <f>RANK(K210,K$2:K$671)</f>
        <v>235</v>
      </c>
      <c r="B210" s="10" t="s">
        <v>320</v>
      </c>
      <c r="C210" s="47" t="s">
        <v>145</v>
      </c>
      <c r="D210" s="48" t="str" cm="1">
        <f t="array" ref="D210">VLOOKUP(B210,'Player Data'!A1:D673,4,FALSE)</f>
        <v>D</v>
      </c>
      <c r="E210" s="68" cm="1">
        <f t="array" ref="E210">VLOOKUP(B210,D!A1:C204,3,FALSE)</f>
        <v>102</v>
      </c>
      <c r="F210" s="65" t="str" cm="1">
        <f t="array" ref="F210">VLOOKUP(B210,'Player Data'!A1:B673,2,FALSE)</f>
        <v>STL</v>
      </c>
      <c r="G210" s="66" cm="1">
        <f t="array" ref="G210">VLOOKUP(B210,'Player Data'!A1:D673,3,FALSE)</f>
        <v>33</v>
      </c>
      <c r="H210" s="51" cm="1">
        <f t="array" ref="H210">IFERROR(VLOOKUP(B210,ADP!A1:F671,6,FALSE)/1000000,VLOOKUP(B210,ADP!A1:F671,6,FALSE))</f>
        <v>6.5</v>
      </c>
      <c r="I210" s="52">
        <f>IF(Settings!$E$15="POINTS",((R210*Q210)*Settings!$B$12)+(S210*Settings!$B$2)+(T210*Settings!$B$3)+(U210*Settings!$B$4)+(V210*Settings!$B$5)+(X210*Settings!$B$9)+(AA210*Settings!$B$6)+(W210*Settings!$B$8)+(AB210*Settings!$B$7)+(AC210*Settings!$B$14)+(AD210*Settings!$B$15)+(AE210*Settings!$B$16)+(AF210*Settings!$B$17)+(AG210*Settings!$B$18)+(U210*Settings!$B$13)+(Y210*Settings!$B$10)+(Z210*Settings!$B$11),VLOOKUP(B210,'Standard Deviations'!A$1:C$672,3,FALSE))</f>
        <v>-2.4544795669667749</v>
      </c>
      <c r="J210" s="53" cm="1">
        <f t="array" ref="J210">IF(D210="G",I210/AJ210,I210/Q210)</f>
        <v>-3.0302216876133024E-2</v>
      </c>
      <c r="K210" s="52" cm="1">
        <f t="array" ref="K210">VLOOKUP(B210,D!A1:F204,6,FALSE)</f>
        <v>-3.0213304814843296</v>
      </c>
      <c r="L210" s="54" cm="1">
        <f t="array" ref="L210">IFERROR(K210/H210,"N/A")</f>
        <v>-0.46482007407451226</v>
      </c>
      <c r="M210" s="55">
        <v>129</v>
      </c>
      <c r="N210" s="55" cm="1">
        <f t="array" ref="N210">IFERROR(M210-A210,"N/A")</f>
        <v>-106</v>
      </c>
      <c r="O210" s="55"/>
      <c r="P210" s="56" cm="1">
        <f t="array" ref="P210">_xlfn.XLOOKUP($B210,ADP!A2:A671,ADP!G2:G671)</f>
        <v>0</v>
      </c>
      <c r="Q210" s="57" cm="1">
        <f t="array" ref="Q210">IF(Settings!$E$12="YES",VLOOKUP(B210,'Player Data'!A1:E673,5,FALSE),84)</f>
        <v>81</v>
      </c>
      <c r="R210" s="55" cm="1">
        <f t="array" ref="R210">VLOOKUP(B210,'Player Data'!$A1:$AE673,6,FALSE)</f>
        <v>22.1</v>
      </c>
      <c r="S210" s="57" cm="1">
        <f t="array" ref="S210">VLOOKUP(B210,'Player Data'!$A1:$AE673,7,FALSE)*$Q210*IFERROR((VLOOKUP(P210,Settings!$E$28:$F$33,2,FALSE)+1),1)</f>
        <v>7.29</v>
      </c>
      <c r="T210" s="57" cm="1">
        <f t="array" ref="T210">VLOOKUP(B210,'Player Data'!$A1:$AE673,8,FALSE)*$Q210*IFERROR((VLOOKUP(P210,Settings!$E$28:$F$33,2,FALSE)+1),1)</f>
        <v>15.39</v>
      </c>
      <c r="U210" s="57" cm="1">
        <f t="array" ref="U210">SUM(S210:T210)</f>
        <v>22.68</v>
      </c>
      <c r="V210" s="57" cm="1">
        <f t="array" ref="V210">VLOOKUP(B210,'Player Data'!$A1:$AE673,10,FALSE)*$Q210*IFERROR(((VLOOKUP(P210,Settings!$E$28:$F$33,2,FALSE)/2)+1),1)</f>
        <v>114.21</v>
      </c>
      <c r="W210" s="57" cm="1">
        <f t="array" ref="W210">VLOOKUP(B210,'Player Data'!$A1:$AE673,11,FALSE)*$Q210*IFERROR((VLOOKUP(P210,Settings!$E$28:$F$33,2,FALSE)+1),1)</f>
        <v>0</v>
      </c>
      <c r="X210" s="57" cm="1">
        <f t="array" ref="X210">VLOOKUP(B210,'Player Data'!$A1:$AE673,12,FALSE)*$Q210*IFERROR((VLOOKUP(P210,Settings!$E$28:$F$33,2,FALSE)+1),1)</f>
        <v>0</v>
      </c>
      <c r="Y210" s="57" cm="1">
        <f t="array" ref="Y210">VLOOKUP(B210,'Player Data'!$A1:$AE673,13,FALSE)*$Q210</f>
        <v>0</v>
      </c>
      <c r="Z210" s="57" cm="1">
        <f t="array" ref="Z210">VLOOKUP(B210,'Player Data'!$A1:$AE673,14,FALSE)*$Q210</f>
        <v>0.81</v>
      </c>
      <c r="AA210" s="57" cm="1">
        <f t="array" ref="AA210">VLOOKUP(B210,'Player Data'!$A1:$AE673,15,FALSE)*$Q210</f>
        <v>171.72</v>
      </c>
      <c r="AB210" s="57" cm="1">
        <f t="array" ref="AB210">VLOOKUP(B210,'Player Data'!$A1:$AE673,16,FALSE)*$Q210</f>
        <v>98.009999999999991</v>
      </c>
      <c r="AC210" s="57" cm="1">
        <f t="array" ref="AC210">VLOOKUP(B210,'Player Data'!$A1:$AE673,17,FALSE)*$Q210*IFERROR((VLOOKUP(P210,Settings!$E$28:$F$33,2,FALSE)+1),1)</f>
        <v>-1.62</v>
      </c>
      <c r="AD210" s="57" cm="1">
        <f t="array" ref="AD210">VLOOKUP(B210,'Player Data'!$A1:$AE673,18,FALSE)*$Q210</f>
        <v>22.680000000000003</v>
      </c>
      <c r="AE210" s="57" cm="1">
        <f t="array" ref="AE210">VLOOKUP(B210,'Player Data'!$A1:$AE673,19,FALSE)*$Q210*IFERROR((VLOOKUP(P210,Settings!$E$28:$F$33,2,FALSE)+1),1)</f>
        <v>0.81</v>
      </c>
      <c r="AF210" s="57" cm="1">
        <f t="array" ref="AF210">VLOOKUP(B210,'Player Data'!$A1:$AE673,20,FALSE)*$Q210</f>
        <v>0</v>
      </c>
      <c r="AG210" s="57" cm="1">
        <f t="array" ref="AG210">VLOOKUP(B210,'Player Data'!$A1:$AE673,21,FALSE)*$Q210</f>
        <v>0</v>
      </c>
      <c r="AH210" s="59" cm="1">
        <f t="array" ref="AH210">VLOOKUP(B210,'Player Data'!$A1:$AE673,22,FALSE)</f>
        <v>0</v>
      </c>
      <c r="AI210" s="55"/>
      <c r="AJ210" s="57"/>
      <c r="AK210" s="57"/>
      <c r="AL210" s="57"/>
      <c r="AM210" s="57"/>
      <c r="AN210" s="57"/>
      <c r="AO210" s="57"/>
      <c r="AP210" s="57"/>
      <c r="AQ210" s="60"/>
      <c r="AR210" s="61"/>
      <c r="AS210" s="55"/>
    </row>
    <row r="211" spans="1:45" ht="21.25" customHeight="1" x14ac:dyDescent="0.15">
      <c r="A211" s="62">
        <f>RANK(K211,K$2:K$671)</f>
        <v>180</v>
      </c>
      <c r="B211" s="10" t="s">
        <v>277</v>
      </c>
      <c r="C211" s="47" t="s">
        <v>145</v>
      </c>
      <c r="D211" s="48" t="str" cm="1">
        <f t="array" ref="D211">VLOOKUP(B211,'Player Data'!A1:D673,4,FALSE)</f>
        <v>LW,RW</v>
      </c>
      <c r="E211" s="74" cm="1">
        <f t="array" ref="E211">VLOOKUP(B211,RW!A1:F210,3,FALSE)</f>
        <v>40</v>
      </c>
      <c r="F211" s="69" t="str" cm="1">
        <f t="array" ref="F211">VLOOKUP(B211,'Player Data'!A1:B673,2,FALSE)</f>
        <v>TOR</v>
      </c>
      <c r="G211" s="71" cm="1">
        <f t="array" ref="G211">VLOOKUP(B211,'Player Data'!A1:D673,3,FALSE)</f>
        <v>23</v>
      </c>
      <c r="H211" s="51" cm="1">
        <f t="array" ref="H211">IFERROR(VLOOKUP(B211,ADP!A1:F671,6,FALSE)/1000000,VLOOKUP(B211,ADP!A1:F671,6,FALSE))</f>
        <v>7.75</v>
      </c>
      <c r="I211" s="52">
        <f>IF(Settings!$E$15="POINTS",((R211*Q211)*Settings!$B$12)+(S211*Settings!$B$2)+(T211*Settings!$B$3)+(U211*Settings!$B$4)+(V211*Settings!$B$5)+(X211*Settings!$B$9)+(AA211*Settings!$B$6)+(W211*Settings!$B$8)+(AB211*Settings!$B$7)+(AC211*Settings!$B$14)+(AD211*Settings!$B$15)+(AE211*Settings!$B$16)+(AF211*Settings!$B$17)+(AG211*Settings!$B$18)+(Y211*Settings!$B$10)+(Z211*Settings!$B$11),VLOOKUP(B211,'Standard Deviations'!A$1:C$672,3,FALSE))</f>
        <v>4.8039094606699768</v>
      </c>
      <c r="J211" s="53" cm="1">
        <f t="array" ref="J211">IF(D211="G",I211/AJ211,I211/Q211)</f>
        <v>5.7878427236987676E-2</v>
      </c>
      <c r="K211" s="52" cm="1">
        <f t="array" ref="K211">IF(Settings!$E$18="C/LW/RW",VLOOKUP(B211,RW!A1:F210,6,FALSE),VLOOKUP(B211,F!A1:F407,6,FALSE))</f>
        <v>-2.0833251411391007</v>
      </c>
      <c r="L211" s="54" cm="1">
        <f t="array" ref="L211">IFERROR(K211/H211,"N/A")</f>
        <v>-0.26881614724375491</v>
      </c>
      <c r="M211" s="55">
        <v>119</v>
      </c>
      <c r="N211" s="55" cm="1">
        <f t="array" ref="N211">IFERROR(M211-A211,"N/A")</f>
        <v>-61</v>
      </c>
      <c r="O211" s="55"/>
      <c r="P211" s="56" cm="1">
        <f t="array" ref="P211">_xlfn.XLOOKUP($B211,ADP!A2:A671,ADP!G2:G671)</f>
        <v>0</v>
      </c>
      <c r="Q211" s="57" cm="1">
        <f t="array" ref="Q211">IF(Settings!$E$12="YES",VLOOKUP(B211,'Player Data'!A1:E673,5,FALSE),84)</f>
        <v>83</v>
      </c>
      <c r="R211" s="55" cm="1">
        <f t="array" ref="R211">VLOOKUP(B211,'Player Data'!$A1:$AE673,6,FALSE)</f>
        <v>19</v>
      </c>
      <c r="S211" s="57" cm="1">
        <f t="array" ref="S211">VLOOKUP(B211,'Player Data'!$A1:$AE673,7,FALSE)*$Q211*IFERROR((VLOOKUP(P211,Settings!$E$28:$F$33,2,FALSE)+1),1)</f>
        <v>26.560000000000002</v>
      </c>
      <c r="T211" s="57" cm="1">
        <f t="array" ref="T211">VLOOKUP(B211,'Player Data'!$A1:$AE673,8,FALSE)*$Q211*IFERROR((VLOOKUP(P211,Settings!$E$28:$F$33,2,FALSE)+1),1)</f>
        <v>39.01</v>
      </c>
      <c r="U211" s="57" cm="1">
        <f t="array" ref="U211">SUM(S211:T211)</f>
        <v>65.569999999999993</v>
      </c>
      <c r="V211" s="57" cm="1">
        <f t="array" ref="V211">VLOOKUP(B211,'Player Data'!$A1:$AE673,10,FALSE)*$Q211*IFERROR(((VLOOKUP(P211,Settings!$E$28:$F$33,2,FALSE)/2)+1),1)</f>
        <v>154.38</v>
      </c>
      <c r="W211" s="58" cm="1">
        <f t="array" ref="W211">VLOOKUP(B211,'Player Data'!$A1:$AE673,11,FALSE)*$Q211*IFERROR((VLOOKUP(P211,Settings!$E$28:$F$33,2,FALSE)+1),1)</f>
        <v>4.9799999999999995</v>
      </c>
      <c r="X211" s="57" cm="1">
        <f t="array" ref="X211">VLOOKUP(B211,'Player Data'!$A1:$AE673,12,FALSE)*$Q211*IFERROR((VLOOKUP(P211,Settings!$E$28:$F$33,2,FALSE)+1),1)</f>
        <v>14.94</v>
      </c>
      <c r="Y211" s="57" cm="1">
        <f t="array" ref="Y211">VLOOKUP(B211,'Player Data'!$A1:$AE673,13,FALSE)*$Q211</f>
        <v>0.83000000000000007</v>
      </c>
      <c r="Z211" s="57" cm="1">
        <f t="array" ref="Z211">VLOOKUP(B211,'Player Data'!$A1:$AE673,14,FALSE)*$Q211</f>
        <v>0.83000000000000007</v>
      </c>
      <c r="AA211" s="57" cm="1">
        <f t="array" ref="AA211">VLOOKUP(B211,'Player Data'!$A1:$AE673,15,FALSE)*$Q211</f>
        <v>37.35</v>
      </c>
      <c r="AB211" s="57" cm="1">
        <f t="array" ref="AB211">VLOOKUP(B211,'Player Data'!$A1:$AE673,16,FALSE)*$Q211</f>
        <v>161.85</v>
      </c>
      <c r="AC211" s="57" cm="1">
        <f t="array" ref="AC211">VLOOKUP(B211,'Player Data'!$A1:$AE673,17,FALSE)*$Q211*IFERROR((VLOOKUP(P211,Settings!$E$28:$F$33,2,FALSE)+1),1)</f>
        <v>-0.83000000000000007</v>
      </c>
      <c r="AD211" s="57" cm="1">
        <f t="array" ref="AD211">VLOOKUP(B211,'Player Data'!$A1:$AE673,18,FALSE)*$Q211</f>
        <v>41.5</v>
      </c>
      <c r="AE211" s="57" cm="1">
        <f t="array" ref="AE211">VLOOKUP(B211,'Player Data'!$A1:$AE673,19,FALSE)*$Q211*IFERROR((VLOOKUP(P211,Settings!$E$28:$F$33,2,FALSE)+1),1)</f>
        <v>3.3200000000000003</v>
      </c>
      <c r="AF211" s="57" cm="1">
        <f t="array" ref="AF211">VLOOKUP(B211,'Player Data'!$A1:$AE673,20,FALSE)*$Q211</f>
        <v>0</v>
      </c>
      <c r="AG211" s="57" cm="1">
        <f t="array" ref="AG211">VLOOKUP(B211,'Player Data'!$A1:$AE673,21,FALSE)*$Q211</f>
        <v>4.9799999999999995</v>
      </c>
      <c r="AH211" s="59" cm="1">
        <f t="array" ref="AH211">VLOOKUP(B211,'Player Data'!$A1:$AE673,22,FALSE)</f>
        <v>7.0000000000000007E-2</v>
      </c>
      <c r="AI211" s="55"/>
      <c r="AJ211" s="57"/>
      <c r="AK211" s="57"/>
      <c r="AL211" s="57"/>
      <c r="AM211" s="57"/>
      <c r="AN211" s="57"/>
      <c r="AO211" s="57"/>
      <c r="AP211" s="57"/>
      <c r="AQ211" s="60"/>
      <c r="AR211" s="61"/>
      <c r="AS211" s="55"/>
    </row>
    <row r="212" spans="1:45" ht="21.25" customHeight="1" x14ac:dyDescent="0.15">
      <c r="A212" s="62">
        <f>RANK(K212,K$2:K$671)</f>
        <v>185</v>
      </c>
      <c r="B212" s="10" t="s">
        <v>248</v>
      </c>
      <c r="C212" s="47" t="s">
        <v>145</v>
      </c>
      <c r="D212" s="48" t="str" cm="1">
        <f t="array" ref="D212">VLOOKUP(B212,'Player Data'!A1:D673,4,FALSE)</f>
        <v>C</v>
      </c>
      <c r="E212" s="49" cm="1">
        <f t="array" ref="E212">VLOOKUP(B212,'C'!A1:C210,3,FALSE)</f>
        <v>41</v>
      </c>
      <c r="F212" s="56" t="str" cm="1">
        <f t="array" ref="F212">VLOOKUP(B212,'Player Data'!A1:B673,2,FALSE)</f>
        <v>WSH</v>
      </c>
      <c r="G212" s="11" cm="1">
        <f t="array" ref="G212">VLOOKUP(B212,'Player Data'!A1:D673,3,FALSE)</f>
        <v>29</v>
      </c>
      <c r="H212" s="51" cm="1">
        <f t="array" ref="H212">IFERROR(VLOOKUP(B212,ADP!A1:F671,6,FALSE)/1000000,VLOOKUP(B212,ADP!A1:F671,6,FALSE))</f>
        <v>5</v>
      </c>
      <c r="I212" s="52">
        <f>IF(Settings!$E$15="POINTS",((R212*Q212)*Settings!$B$12)+(S212*Settings!$B$2)+(T212*Settings!$B$3)+(U212*Settings!$B$4)+(V212*Settings!$B$5)+(X212*Settings!$B$9)+(AA212*Settings!$B$6)+(W212*Settings!$B$8)+(AB212*Settings!$B$7)+(AC212*Settings!$B$14)+(AD212*Settings!$B$15)+(AE212*Settings!$B$16)+(AF212*Settings!$B$17)+(AG212*Settings!$B$18)+(Y212*Settings!$B$10)+(Z212*Settings!$B$11),VLOOKUP(B212,'Standard Deviations'!A$1:C$672,3,FALSE))</f>
        <v>4.2291310170733647</v>
      </c>
      <c r="J212" s="53" cm="1">
        <f t="array" ref="J212">IF(D212="G",I212/AJ212,I212/Q212)</f>
        <v>5.0346797822301961E-2</v>
      </c>
      <c r="K212" s="52" cm="1">
        <f t="array" ref="K212">IF(Settings!$E$18="C/LW/RW",VLOOKUP(B212,'C'!A1:F210,6,FALSE),VLOOKUP(B212,F!A1:F407,6,FALSE))</f>
        <v>-2.1308785405416995</v>
      </c>
      <c r="L212" s="54" cm="1">
        <f t="array" ref="L212">IFERROR(K212/H212,"N/A")</f>
        <v>-0.42617570810833988</v>
      </c>
      <c r="M212" s="55">
        <v>144.9</v>
      </c>
      <c r="N212" s="55" cm="1">
        <f t="array" ref="N212">IFERROR(M212-A212,"N/A")</f>
        <v>-40.099999999999994</v>
      </c>
      <c r="O212" s="55"/>
      <c r="P212" s="56" cm="1">
        <f t="array" ref="P212">_xlfn.XLOOKUP($B212,ADP!A2:A671,ADP!G2:G671)</f>
        <v>0</v>
      </c>
      <c r="Q212" s="57" cm="1">
        <f t="array" ref="Q212">IF(Settings!$E$12="YES",VLOOKUP(B212,'Player Data'!A1:E673,5,FALSE),84)</f>
        <v>84</v>
      </c>
      <c r="R212" s="55" cm="1">
        <f t="array" ref="R212">VLOOKUP(B212,'Player Data'!$A1:$AE673,6,FALSE)</f>
        <v>17.899999999999999</v>
      </c>
      <c r="S212" s="57" cm="1">
        <f t="array" ref="S212">VLOOKUP(B212,'Player Data'!$A1:$AE673,7,FALSE)*$Q212*IFERROR((VLOOKUP(P212,Settings!$E$28:$F$33,2,FALSE)+1),1)</f>
        <v>24.36</v>
      </c>
      <c r="T212" s="57" cm="1">
        <f t="array" ref="T212">VLOOKUP(B212,'Player Data'!$A1:$AE673,8,FALSE)*$Q212*IFERROR((VLOOKUP(P212,Settings!$E$28:$F$33,2,FALSE)+1),1)</f>
        <v>43.68</v>
      </c>
      <c r="U212" s="57" cm="1">
        <f t="array" ref="U212">SUM(S212:T212)</f>
        <v>68.039999999999992</v>
      </c>
      <c r="V212" s="57" cm="1">
        <f t="array" ref="V212">VLOOKUP(B212,'Player Data'!$A1:$AE673,10,FALSE)*$Q212*IFERROR(((VLOOKUP(P212,Settings!$E$28:$F$33,2,FALSE)/2)+1),1)</f>
        <v>157.08000000000001</v>
      </c>
      <c r="W212" s="58" cm="1">
        <f t="array" ref="W212">VLOOKUP(B212,'Player Data'!$A1:$AE673,11,FALSE)*$Q212*IFERROR((VLOOKUP(P212,Settings!$E$28:$F$33,2,FALSE)+1),1)</f>
        <v>6.72</v>
      </c>
      <c r="X212" s="57" cm="1">
        <f t="array" ref="X212">VLOOKUP(B212,'Player Data'!$A1:$AE673,12,FALSE)*$Q212*IFERROR((VLOOKUP(P212,Settings!$E$28:$F$33,2,FALSE)+1),1)</f>
        <v>25.2</v>
      </c>
      <c r="Y212" s="57" cm="1">
        <f t="array" ref="Y212">VLOOKUP(B212,'Player Data'!$A1:$AE673,13,FALSE)*$Q212</f>
        <v>0</v>
      </c>
      <c r="Z212" s="57" cm="1">
        <f t="array" ref="Z212">VLOOKUP(B212,'Player Data'!$A1:$AE673,14,FALSE)*$Q212</f>
        <v>0</v>
      </c>
      <c r="AA212" s="57" cm="1">
        <f t="array" ref="AA212">VLOOKUP(B212,'Player Data'!$A1:$AE673,15,FALSE)*$Q212</f>
        <v>54.6</v>
      </c>
      <c r="AB212" s="57" cm="1">
        <f t="array" ref="AB212">VLOOKUP(B212,'Player Data'!$A1:$AE673,16,FALSE)*$Q212</f>
        <v>22.68</v>
      </c>
      <c r="AC212" s="57" cm="1">
        <f t="array" ref="AC212">VLOOKUP(B212,'Player Data'!$A1:$AE673,17,FALSE)*$Q212*IFERROR((VLOOKUP(P212,Settings!$E$28:$F$33,2,FALSE)+1),1)</f>
        <v>4.2</v>
      </c>
      <c r="AD212" s="57" cm="1">
        <f t="array" ref="AD212">VLOOKUP(B212,'Player Data'!$A1:$AE673,18,FALSE)*$Q212</f>
        <v>34.44</v>
      </c>
      <c r="AE212" s="57" cm="1">
        <f t="array" ref="AE212">VLOOKUP(B212,'Player Data'!$A1:$AE673,19,FALSE)*$Q212*IFERROR((VLOOKUP(P212,Settings!$E$28:$F$33,2,FALSE)+1),1)</f>
        <v>3.36</v>
      </c>
      <c r="AF212" s="57" cm="1">
        <f t="array" ref="AF212">VLOOKUP(B212,'Player Data'!$A1:$AE673,20,FALSE)*$Q212</f>
        <v>765.24</v>
      </c>
      <c r="AG212" s="57" cm="1">
        <f t="array" ref="AG212">VLOOKUP(B212,'Player Data'!$A1:$AE673,21,FALSE)*$Q212</f>
        <v>617.4</v>
      </c>
      <c r="AH212" s="59" cm="1">
        <f t="array" ref="AH212">VLOOKUP(B212,'Player Data'!$A1:$AE673,22,FALSE)</f>
        <v>0.55000000000000004</v>
      </c>
      <c r="AI212" s="55"/>
      <c r="AJ212" s="57"/>
      <c r="AK212" s="57"/>
      <c r="AL212" s="57"/>
      <c r="AM212" s="57"/>
      <c r="AN212" s="57"/>
      <c r="AO212" s="57"/>
      <c r="AP212" s="57"/>
      <c r="AQ212" s="60"/>
      <c r="AR212" s="61"/>
      <c r="AS212" s="55"/>
    </row>
    <row r="213" spans="1:45" ht="21.25" customHeight="1" x14ac:dyDescent="0.15">
      <c r="A213" s="62">
        <f>RANK(K213,K$2:K$671)</f>
        <v>237</v>
      </c>
      <c r="B213" s="10" t="s">
        <v>343</v>
      </c>
      <c r="C213" s="47" t="s">
        <v>145</v>
      </c>
      <c r="D213" s="48" t="str" cm="1">
        <f t="array" ref="D213">VLOOKUP(B213,'Player Data'!A1:D673,4,FALSE)</f>
        <v>D</v>
      </c>
      <c r="E213" s="68" cm="1">
        <f t="array" ref="E213">VLOOKUP(B213,D!A1:C204,3,FALSE)</f>
        <v>103</v>
      </c>
      <c r="F213" s="56" t="str" cm="1">
        <f t="array" ref="F213">VLOOKUP(B213,'Player Data'!A1:B673,2,FALSE)</f>
        <v>NYR</v>
      </c>
      <c r="G213" s="11" cm="1">
        <f t="array" ref="G213">VLOOKUP(B213,'Player Data'!A1:D673,3,FALSE)</f>
        <v>27</v>
      </c>
      <c r="H213" s="51" cm="1">
        <f t="array" ref="H213">IFERROR(VLOOKUP(B213,ADP!A1:F671,6,FALSE)/1000000,VLOOKUP(B213,ADP!A1:F671,6,FALSE))</f>
        <v>6</v>
      </c>
      <c r="I213" s="52">
        <f>IF(Settings!$E$15="POINTS",((R213*Q213)*Settings!$B$12)+(S213*Settings!$B$2)+(T213*Settings!$B$3)+(U213*Settings!$B$4)+(V213*Settings!$B$5)+(X213*Settings!$B$9)+(AA213*Settings!$B$6)+(W213*Settings!$B$8)+(AB213*Settings!$B$7)+(AC213*Settings!$B$14)+(AD213*Settings!$B$15)+(AE213*Settings!$B$16)+(AF213*Settings!$B$17)+(AG213*Settings!$B$18)+(U213*Settings!$B$13)+(Y213*Settings!$B$10)+(Z213*Settings!$B$11),VLOOKUP(B213,'Standard Deviations'!A$1:C$672,3,FALSE))</f>
        <v>-2.4873347975026681</v>
      </c>
      <c r="J213" s="53" cm="1">
        <f t="array" ref="J213">IF(D213="G",I213/AJ213,I213/Q213)</f>
        <v>-3.4546316631981502E-2</v>
      </c>
      <c r="K213" s="52" cm="1">
        <f t="array" ref="K213">VLOOKUP(B213,D!A1:F204,6,FALSE)</f>
        <v>-3.0541857120202227</v>
      </c>
      <c r="L213" s="54" cm="1">
        <f t="array" ref="L213">IFERROR(K213/H213,"N/A")</f>
        <v>-0.50903095200337045</v>
      </c>
      <c r="M213" s="84" t="s">
        <v>828</v>
      </c>
      <c r="N213" s="84" t="str" cm="1">
        <f t="array" ref="N213">IFERROR(M213-A213,"N/A")</f>
        <v>N/A</v>
      </c>
      <c r="O213" s="55"/>
      <c r="P213" s="56" cm="1">
        <f t="array" ref="P213">_xlfn.XLOOKUP($B213,ADP!A2:A671,ADP!G2:G671)</f>
        <v>0</v>
      </c>
      <c r="Q213" s="57" cm="1">
        <f t="array" ref="Q213">IF(Settings!$E$12="YES",VLOOKUP(B213,'Player Data'!A1:E673,5,FALSE),84)</f>
        <v>72</v>
      </c>
      <c r="R213" s="81" cm="1">
        <f t="array" ref="R213">VLOOKUP(B213,'Player Data'!$A1:$AE673,6,FALSE)</f>
        <v>20.3</v>
      </c>
      <c r="S213" s="57" cm="1">
        <f t="array" ref="S213">VLOOKUP(B213,'Player Data'!$A1:$AE673,7,FALSE)*$Q213*IFERROR((VLOOKUP(P213,Settings!$E$28:$F$33,2,FALSE)+1),1)</f>
        <v>6.4799999999999995</v>
      </c>
      <c r="T213" s="57" cm="1">
        <f t="array" ref="T213">VLOOKUP(B213,'Player Data'!$A1:$AE673,8,FALSE)*$Q213*IFERROR((VLOOKUP(P213,Settings!$E$28:$F$33,2,FALSE)+1),1)</f>
        <v>23.04</v>
      </c>
      <c r="U213" s="57" cm="1">
        <f t="array" ref="U213">SUM(S213:T213)</f>
        <v>29.52</v>
      </c>
      <c r="V213" s="57" cm="1">
        <f t="array" ref="V213">VLOOKUP(B213,'Player Data'!$A1:$AE673,10,FALSE)*$Q213*IFERROR(((VLOOKUP(P213,Settings!$E$28:$F$33,2,FALSE)/2)+1),1)</f>
        <v>100.8</v>
      </c>
      <c r="W213" s="57" cm="1">
        <f t="array" ref="W213">VLOOKUP(B213,'Player Data'!$A1:$AE673,11,FALSE)*$Q213*IFERROR((VLOOKUP(P213,Settings!$E$28:$F$33,2,FALSE)+1),1)</f>
        <v>0.72</v>
      </c>
      <c r="X213" s="57" cm="1">
        <f t="array" ref="X213">VLOOKUP(B213,'Player Data'!$A1:$AE673,12,FALSE)*$Q213*IFERROR((VLOOKUP(P213,Settings!$E$28:$F$33,2,FALSE)+1),1)</f>
        <v>4.32</v>
      </c>
      <c r="Y213" s="57" cm="1">
        <f t="array" ref="Y213">VLOOKUP(B213,'Player Data'!$A1:$AE673,13,FALSE)*$Q213</f>
        <v>0</v>
      </c>
      <c r="Z213" s="57" cm="1">
        <f t="array" ref="Z213">VLOOKUP(B213,'Player Data'!$A1:$AE673,14,FALSE)*$Q213</f>
        <v>0</v>
      </c>
      <c r="AA213" s="57" cm="1">
        <f t="array" ref="AA213">VLOOKUP(B213,'Player Data'!$A1:$AE673,15,FALSE)*$Q213</f>
        <v>110.88</v>
      </c>
      <c r="AB213" s="57" cm="1">
        <f t="array" ref="AB213">VLOOKUP(B213,'Player Data'!$A1:$AE673,16,FALSE)*$Q213</f>
        <v>54.72</v>
      </c>
      <c r="AC213" s="57" cm="1">
        <f t="array" ref="AC213">VLOOKUP(B213,'Player Data'!$A1:$AE673,17,FALSE)*$Q213*IFERROR((VLOOKUP(P213,Settings!$E$28:$F$33,2,FALSE)+1),1)</f>
        <v>-0.72</v>
      </c>
      <c r="AD213" s="57" cm="1">
        <f t="array" ref="AD213">VLOOKUP(B213,'Player Data'!$A1:$AE673,18,FALSE)*$Q213</f>
        <v>40.320000000000007</v>
      </c>
      <c r="AE213" s="57" cm="1">
        <f t="array" ref="AE213">VLOOKUP(B213,'Player Data'!$A1:$AE673,19,FALSE)*$Q213*IFERROR((VLOOKUP(P213,Settings!$E$28:$F$33,2,FALSE)+1),1)</f>
        <v>0.72</v>
      </c>
      <c r="AF213" s="57" cm="1">
        <f t="array" ref="AF213">VLOOKUP(B213,'Player Data'!$A1:$AE673,20,FALSE)*$Q213</f>
        <v>0</v>
      </c>
      <c r="AG213" s="57" cm="1">
        <f t="array" ref="AG213">VLOOKUP(B213,'Player Data'!$A1:$AE673,21,FALSE)*$Q213</f>
        <v>0</v>
      </c>
      <c r="AH213" s="59" cm="1">
        <f t="array" ref="AH213">VLOOKUP(B213,'Player Data'!$A1:$AE673,22,FALSE)</f>
        <v>0</v>
      </c>
      <c r="AI213" s="55"/>
      <c r="AJ213" s="57"/>
      <c r="AK213" s="57"/>
      <c r="AL213" s="57"/>
      <c r="AM213" s="57"/>
      <c r="AN213" s="57"/>
      <c r="AO213" s="57"/>
      <c r="AP213" s="57"/>
      <c r="AQ213" s="60"/>
      <c r="AR213" s="61"/>
      <c r="AS213" s="55"/>
    </row>
    <row r="214" spans="1:45" ht="21.25" customHeight="1" x14ac:dyDescent="0.15">
      <c r="A214" s="62">
        <f>RANK(K214,K$2:K$671)</f>
        <v>182</v>
      </c>
      <c r="B214" s="10" t="s">
        <v>356</v>
      </c>
      <c r="C214" s="47" t="s">
        <v>145</v>
      </c>
      <c r="D214" s="48" t="str" cm="1">
        <f t="array" ref="D214">VLOOKUP(B214,'Player Data'!A1:D673,4,FALSE)</f>
        <v>LW,RW</v>
      </c>
      <c r="E214" s="74" cm="1">
        <f t="array" ref="E214">VLOOKUP(B214,RW!A1:F210,3,FALSE)</f>
        <v>41</v>
      </c>
      <c r="F214" s="56" t="str" cm="1">
        <f t="array" ref="F214">VLOOKUP(B214,'Player Data'!A1:B673,2,FALSE)</f>
        <v>WSH</v>
      </c>
      <c r="G214" s="66" cm="1">
        <f t="array" ref="G214">VLOOKUP(B214,'Player Data'!A1:D673,3,FALSE)</f>
        <v>41</v>
      </c>
      <c r="H214" s="67" cm="1">
        <f t="array" ref="H214">IFERROR(VLOOKUP(B214,ADP!A1:F671,6,FALSE)/1000000,VLOOKUP(B214,ADP!A1:F671,6,FALSE))</f>
        <v>4.25</v>
      </c>
      <c r="I214" s="52">
        <f>IF(Settings!$E$15="POINTS",((R214*Q214)*Settings!$B$12)+(S214*Settings!$B$2)+(T214*Settings!$B$3)+(U214*Settings!$B$4)+(V214*Settings!$B$5)+(X214*Settings!$B$9)+(AA214*Settings!$B$6)+(W214*Settings!$B$8)+(AB214*Settings!$B$7)+(AC214*Settings!$B$14)+(AD214*Settings!$B$15)+(AE214*Settings!$B$16)+(AF214*Settings!$B$17)+(AG214*Settings!$B$18)+(Y214*Settings!$B$10)+(Z214*Settings!$B$11),VLOOKUP(B214,'Standard Deviations'!A$1:C$672,3,FALSE))</f>
        <v>4.7696262282094164</v>
      </c>
      <c r="J214" s="53" cm="1">
        <f t="array" ref="J214">IF(D214="G",I214/AJ214,I214/Q214)</f>
        <v>5.8884274422338477E-2</v>
      </c>
      <c r="K214" s="52" cm="1">
        <f t="array" ref="K214">IF(Settings!$E$18="C/LW/RW",VLOOKUP(B214,RW!A1:F210,6,FALSE),VLOOKUP(B214,F!A1:F407,6,FALSE))</f>
        <v>-2.1176083735996611</v>
      </c>
      <c r="L214" s="54" cm="1">
        <f t="array" ref="L214">IFERROR(K214/H214,"N/A")</f>
        <v>-0.49826079378815558</v>
      </c>
      <c r="M214" s="55">
        <v>94</v>
      </c>
      <c r="N214" s="55" cm="1">
        <f t="array" ref="N214">IFERROR(M214-A214,"N/A")</f>
        <v>-88</v>
      </c>
      <c r="O214" s="55"/>
      <c r="P214" s="56" cm="1">
        <f t="array" ref="P214">_xlfn.XLOOKUP($B214,ADP!A2:A671,ADP!G2:G671)</f>
        <v>0</v>
      </c>
      <c r="Q214" s="57" cm="1">
        <f t="array" ref="Q214">IF(Settings!$E$12="YES",VLOOKUP(B214,'Player Data'!A1:E673,5,FALSE),84)</f>
        <v>81</v>
      </c>
      <c r="R214" s="83" cm="1">
        <f t="array" ref="R214">VLOOKUP(B214,'Player Data'!$A1:$AE673,6,FALSE)</f>
        <v>14.9</v>
      </c>
      <c r="S214" s="57" cm="1">
        <f t="array" ref="S214">VLOOKUP(B214,'Player Data'!$A1:$AE673,7,FALSE)*$Q214*IFERROR((VLOOKUP(P214,Settings!$E$28:$F$33,2,FALSE)+1),1)</f>
        <v>28.349999999999998</v>
      </c>
      <c r="T214" s="57" cm="1">
        <f t="array" ref="T214">VLOOKUP(B214,'Player Data'!$A1:$AE673,8,FALSE)*$Q214*IFERROR((VLOOKUP(P214,Settings!$E$28:$F$33,2,FALSE)+1),1)</f>
        <v>24.3</v>
      </c>
      <c r="U214" s="57" cm="1">
        <f t="array" ref="U214">SUM(S214:T214)</f>
        <v>52.65</v>
      </c>
      <c r="V214" s="57" cm="1">
        <f t="array" ref="V214">VLOOKUP(B214,'Player Data'!$A1:$AE673,10,FALSE)*$Q214*IFERROR(((VLOOKUP(P214,Settings!$E$28:$F$33,2,FALSE)/2)+1),1)</f>
        <v>200.07000000000002</v>
      </c>
      <c r="W214" s="57" cm="1">
        <f t="array" ref="W214">VLOOKUP(B214,'Player Data'!$A1:$AE673,11,FALSE)*$Q214*IFERROR((VLOOKUP(P214,Settings!$E$28:$F$33,2,FALSE)+1),1)</f>
        <v>5.6700000000000008</v>
      </c>
      <c r="X214" s="78" cm="1">
        <f t="array" ref="X214">VLOOKUP(B214,'Player Data'!$A1:$AE673,12,FALSE)*$Q214*IFERROR((VLOOKUP(P214,Settings!$E$28:$F$33,2,FALSE)+1),1)</f>
        <v>13.770000000000001</v>
      </c>
      <c r="Y214" s="57" cm="1">
        <f t="array" ref="Y214">VLOOKUP(B214,'Player Data'!$A1:$AE673,13,FALSE)*$Q214</f>
        <v>0</v>
      </c>
      <c r="Z214" s="57" cm="1">
        <f t="array" ref="Z214">VLOOKUP(B214,'Player Data'!$A1:$AE673,14,FALSE)*$Q214</f>
        <v>0</v>
      </c>
      <c r="AA214" s="57" cm="1">
        <f t="array" ref="AA214">VLOOKUP(B214,'Player Data'!$A1:$AE673,15,FALSE)*$Q214</f>
        <v>17.82</v>
      </c>
      <c r="AB214" s="57" cm="1">
        <f t="array" ref="AB214">VLOOKUP(B214,'Player Data'!$A1:$AE673,16,FALSE)*$Q214</f>
        <v>117.45</v>
      </c>
      <c r="AC214" s="57" cm="1">
        <f t="array" ref="AC214">VLOOKUP(B214,'Player Data'!$A1:$AE673,17,FALSE)*$Q214*IFERROR((VLOOKUP(P214,Settings!$E$28:$F$33,2,FALSE)+1),1)</f>
        <v>4.05</v>
      </c>
      <c r="AD214" s="57" cm="1">
        <f t="array" ref="AD214">VLOOKUP(B214,'Player Data'!$A1:$AE673,18,FALSE)*$Q214</f>
        <v>20.25</v>
      </c>
      <c r="AE214" s="57" cm="1">
        <f t="array" ref="AE214">VLOOKUP(B214,'Player Data'!$A1:$AE673,19,FALSE)*$Q214*IFERROR((VLOOKUP(P214,Settings!$E$28:$F$33,2,FALSE)+1),1)</f>
        <v>4.05</v>
      </c>
      <c r="AF214" s="57" cm="1">
        <f t="array" ref="AF214">VLOOKUP(B214,'Player Data'!$A1:$AE673,20,FALSE)*$Q214</f>
        <v>0.81</v>
      </c>
      <c r="AG214" s="57" cm="1">
        <f t="array" ref="AG214">VLOOKUP(B214,'Player Data'!$A1:$AE673,21,FALSE)*$Q214</f>
        <v>2.4299999999999997</v>
      </c>
      <c r="AH214" s="59" cm="1">
        <f t="array" ref="AH214">VLOOKUP(B214,'Player Data'!$A1:$AE673,22,FALSE)</f>
        <v>0.22</v>
      </c>
      <c r="AI214" s="55"/>
      <c r="AJ214" s="57"/>
      <c r="AK214" s="57"/>
      <c r="AL214" s="57"/>
      <c r="AM214" s="57"/>
      <c r="AN214" s="57"/>
      <c r="AO214" s="57"/>
      <c r="AP214" s="57"/>
      <c r="AQ214" s="60"/>
      <c r="AR214" s="61"/>
      <c r="AS214" s="55"/>
    </row>
    <row r="215" spans="1:45" ht="21.25" customHeight="1" x14ac:dyDescent="0.15">
      <c r="A215" s="62">
        <f>RANK(K215,K$2:K$671)</f>
        <v>239</v>
      </c>
      <c r="B215" s="10" t="s">
        <v>471</v>
      </c>
      <c r="C215" s="47" t="s">
        <v>145</v>
      </c>
      <c r="D215" s="48" t="str" cm="1">
        <f t="array" ref="D215">VLOOKUP(B215,'Player Data'!A1:D673,4,FALSE)</f>
        <v>D</v>
      </c>
      <c r="E215" s="68" cm="1">
        <f t="array" ref="E215">VLOOKUP(B215,D!A1:C204,3,FALSE)</f>
        <v>104</v>
      </c>
      <c r="F215" s="56" t="str" cm="1">
        <f t="array" ref="F215">VLOOKUP(B215,'Player Data'!A1:B673,2,FALSE)</f>
        <v>UTA</v>
      </c>
      <c r="G215" s="66" cm="1">
        <f t="array" ref="G215">VLOOKUP(B215,'Player Data'!A1:D673,3,FALSE)</f>
        <v>35</v>
      </c>
      <c r="H215" s="51" cm="1">
        <f t="array" ref="H215">IFERROR(VLOOKUP(B215,ADP!A1:F671,6,FALSE)/1000000,VLOOKUP(B215,ADP!A1:F671,6,FALSE))</f>
        <v>3.5</v>
      </c>
      <c r="I215" s="52">
        <f>IF(Settings!$E$15="POINTS",((R215*Q215)*Settings!$B$12)+(S215*Settings!$B$2)+(T215*Settings!$B$3)+(U215*Settings!$B$4)+(V215*Settings!$B$5)+(X215*Settings!$B$9)+(AA215*Settings!$B$6)+(W215*Settings!$B$8)+(AB215*Settings!$B$7)+(AC215*Settings!$B$14)+(AD215*Settings!$B$15)+(AE215*Settings!$B$16)+(AF215*Settings!$B$17)+(AG215*Settings!$B$18)+(U215*Settings!$B$13)+(Y215*Settings!$B$10)+(Z215*Settings!$B$11),VLOOKUP(B215,'Standard Deviations'!A$1:C$672,3,FALSE))</f>
        <v>-2.5268462063975461</v>
      </c>
      <c r="J215" s="53" cm="1">
        <f t="array" ref="J215">IF(D215="G",I215/AJ215,I215/Q215)</f>
        <v>-3.0815197638994464E-2</v>
      </c>
      <c r="K215" s="52" cm="1">
        <f t="array" ref="K215">VLOOKUP(B215,D!A1:F204,6,FALSE)</f>
        <v>-3.0936971209151007</v>
      </c>
      <c r="L215" s="54" cm="1">
        <f t="array" ref="L215">IFERROR(K215/H215,"N/A")</f>
        <v>-0.8839134631186002</v>
      </c>
      <c r="M215" s="84" t="s">
        <v>828</v>
      </c>
      <c r="N215" s="84" t="str" cm="1">
        <f t="array" ref="N215">IFERROR(M215-A215,"N/A")</f>
        <v>N/A</v>
      </c>
      <c r="O215" s="55"/>
      <c r="P215" s="56" cm="1">
        <f t="array" ref="P215">_xlfn.XLOOKUP($B215,ADP!A2:A671,ADP!G2:G671)</f>
        <v>0</v>
      </c>
      <c r="Q215" s="57" cm="1">
        <f t="array" ref="Q215">IF(Settings!$E$12="YES",VLOOKUP(B215,'Player Data'!A1:E673,5,FALSE),84)</f>
        <v>82</v>
      </c>
      <c r="R215" s="55" cm="1">
        <f t="array" ref="R215">VLOOKUP(B215,'Player Data'!$A1:$AE673,6,FALSE)</f>
        <v>19.2</v>
      </c>
      <c r="S215" s="57" cm="1">
        <f t="array" ref="S215">VLOOKUP(B215,'Player Data'!$A1:$AE673,7,FALSE)*$Q215*IFERROR((VLOOKUP(P215,Settings!$E$28:$F$33,2,FALSE)+1),1)</f>
        <v>4.1000000000000005</v>
      </c>
      <c r="T215" s="57" cm="1">
        <f t="array" ref="T215">VLOOKUP(B215,'Player Data'!$A1:$AE673,8,FALSE)*$Q215*IFERROR((VLOOKUP(P215,Settings!$E$28:$F$33,2,FALSE)+1),1)</f>
        <v>13.940000000000001</v>
      </c>
      <c r="U215" s="57" cm="1">
        <f t="array" ref="U215">SUM(S215:T215)</f>
        <v>18.040000000000003</v>
      </c>
      <c r="V215" s="57" cm="1">
        <f t="array" ref="V215">VLOOKUP(B215,'Player Data'!$A1:$AE673,10,FALSE)*$Q215*IFERROR(((VLOOKUP(P215,Settings!$E$28:$F$33,2,FALSE)/2)+1),1)</f>
        <v>79.539999999999992</v>
      </c>
      <c r="W215" s="57" cm="1">
        <f t="array" ref="W215">VLOOKUP(B215,'Player Data'!$A1:$AE673,11,FALSE)*$Q215*IFERROR((VLOOKUP(P215,Settings!$E$28:$F$33,2,FALSE)+1),1)</f>
        <v>0</v>
      </c>
      <c r="X215" s="57" cm="1">
        <f t="array" ref="X215">VLOOKUP(B215,'Player Data'!$A1:$AE673,12,FALSE)*$Q215*IFERROR((VLOOKUP(P215,Settings!$E$28:$F$33,2,FALSE)+1),1)</f>
        <v>0</v>
      </c>
      <c r="Y215" s="57" cm="1">
        <f t="array" ref="Y215">VLOOKUP(B215,'Player Data'!$A1:$AE673,13,FALSE)*$Q215</f>
        <v>0</v>
      </c>
      <c r="Z215" s="57" cm="1">
        <f t="array" ref="Z215">VLOOKUP(B215,'Player Data'!$A1:$AE673,14,FALSE)*$Q215</f>
        <v>0</v>
      </c>
      <c r="AA215" s="57" cm="1">
        <f t="array" ref="AA215">VLOOKUP(B215,'Player Data'!$A1:$AE673,15,FALSE)*$Q215</f>
        <v>101.67999999999999</v>
      </c>
      <c r="AB215" s="57" cm="1">
        <f t="array" ref="AB215">VLOOKUP(B215,'Player Data'!$A1:$AE673,16,FALSE)*$Q215</f>
        <v>83.64</v>
      </c>
      <c r="AC215" s="57" cm="1">
        <f t="array" ref="AC215">VLOOKUP(B215,'Player Data'!$A1:$AE673,17,FALSE)*$Q215*IFERROR((VLOOKUP(P215,Settings!$E$28:$F$33,2,FALSE)+1),1)</f>
        <v>4.1000000000000005</v>
      </c>
      <c r="AD215" s="57" cm="1">
        <f t="array" ref="AD215">VLOOKUP(B215,'Player Data'!$A1:$AE673,18,FALSE)*$Q215</f>
        <v>28.7</v>
      </c>
      <c r="AE215" s="57" cm="1">
        <f t="array" ref="AE215">VLOOKUP(B215,'Player Data'!$A1:$AE673,19,FALSE)*$Q215*IFERROR((VLOOKUP(P215,Settings!$E$28:$F$33,2,FALSE)+1),1)</f>
        <v>0.82000000000000006</v>
      </c>
      <c r="AF215" s="57" cm="1">
        <f t="array" ref="AF215">VLOOKUP(B215,'Player Data'!$A1:$AE673,20,FALSE)*$Q215</f>
        <v>0</v>
      </c>
      <c r="AG215" s="57" cm="1">
        <f t="array" ref="AG215">VLOOKUP(B215,'Player Data'!$A1:$AE673,21,FALSE)*$Q215</f>
        <v>0</v>
      </c>
      <c r="AH215" s="59" cm="1">
        <f t="array" ref="AH215">VLOOKUP(B215,'Player Data'!$A1:$AE673,22,FALSE)</f>
        <v>0</v>
      </c>
      <c r="AI215" s="55"/>
      <c r="AJ215" s="57"/>
      <c r="AK215" s="57"/>
      <c r="AL215" s="57"/>
      <c r="AM215" s="57"/>
      <c r="AN215" s="57"/>
      <c r="AO215" s="57"/>
      <c r="AP215" s="57"/>
      <c r="AQ215" s="60"/>
      <c r="AR215" s="61"/>
      <c r="AS215" s="55"/>
    </row>
    <row r="216" spans="1:45" ht="21.25" customHeight="1" x14ac:dyDescent="0.15">
      <c r="A216" s="62">
        <f>RANK(K216,K$2:K$671)</f>
        <v>188</v>
      </c>
      <c r="B216" s="10" t="s">
        <v>342</v>
      </c>
      <c r="C216" s="47" t="s">
        <v>145</v>
      </c>
      <c r="D216" s="48" t="str" cm="1">
        <f t="array" ref="D216">VLOOKUP(B216,'Player Data'!A1:D673,4,FALSE)</f>
        <v>C</v>
      </c>
      <c r="E216" s="49" cm="1">
        <f t="array" ref="E216">VLOOKUP(B216,'C'!A1:C210,3,FALSE)</f>
        <v>42</v>
      </c>
      <c r="F216" s="72" t="str" cm="1">
        <f t="array" ref="F216">VLOOKUP(B216,'Player Data'!A1:B673,2,FALSE)</f>
        <v>FLA</v>
      </c>
      <c r="G216" s="11" cm="1">
        <f t="array" ref="G216">VLOOKUP(B216,'Player Data'!A1:D673,3,FALSE)</f>
        <v>30</v>
      </c>
      <c r="H216" s="51" cm="1">
        <f t="array" ref="H216">IFERROR(VLOOKUP(B216,ADP!A1:F671,6,FALSE)/1000000,VLOOKUP(B216,ADP!A1:F671,6,FALSE))</f>
        <v>8</v>
      </c>
      <c r="I216" s="52">
        <f>IF(Settings!$E$15="POINTS",((R216*Q216)*Settings!$B$12)+(S216*Settings!$B$2)+(T216*Settings!$B$3)+(U216*Settings!$B$4)+(V216*Settings!$B$5)+(X216*Settings!$B$9)+(AA216*Settings!$B$6)+(W216*Settings!$B$8)+(AB216*Settings!$B$7)+(AC216*Settings!$B$14)+(AD216*Settings!$B$15)+(AE216*Settings!$B$16)+(AF216*Settings!$B$17)+(AG216*Settings!$B$18)+(Y216*Settings!$B$10)+(Z216*Settings!$B$11),VLOOKUP(B216,'Standard Deviations'!A$1:C$672,3,FALSE))</f>
        <v>4.1645746272694888</v>
      </c>
      <c r="J216" s="53" cm="1">
        <f t="array" ref="J216">IF(D216="G",I216/AJ216,I216/Q216)</f>
        <v>5.1414501571228254E-2</v>
      </c>
      <c r="K216" s="52" cm="1">
        <f t="array" ref="K216">IF(Settings!$E$18="C/LW/RW",VLOOKUP(B216,'C'!A1:F210,6,FALSE),VLOOKUP(B216,F!A1:F407,6,FALSE))</f>
        <v>-2.1954349303455754</v>
      </c>
      <c r="L216" s="54" cm="1">
        <f t="array" ref="L216">IFERROR(K216/H216,"N/A")</f>
        <v>-0.27442936629319692</v>
      </c>
      <c r="M216" s="55">
        <v>135.19999999999999</v>
      </c>
      <c r="N216" s="55" cm="1">
        <f t="array" ref="N216">IFERROR(M216-A216,"N/A")</f>
        <v>-52.800000000000011</v>
      </c>
      <c r="O216" s="55"/>
      <c r="P216" s="56" cm="1">
        <f t="array" ref="P216">_xlfn.XLOOKUP($B216,ADP!A2:A671,ADP!G2:G671)</f>
        <v>0</v>
      </c>
      <c r="Q216" s="57" cm="1">
        <f t="array" ref="Q216">IF(Settings!$E$12="YES",VLOOKUP(B216,'Player Data'!A1:E673,5,FALSE),84)</f>
        <v>81</v>
      </c>
      <c r="R216" s="83" cm="1">
        <f t="array" ref="R216">VLOOKUP(B216,'Player Data'!$A1:$AE673,6,FALSE)</f>
        <v>16.8</v>
      </c>
      <c r="S216" s="57" cm="1">
        <f t="array" ref="S216">VLOOKUP(B216,'Player Data'!$A1:$AE673,7,FALSE)*$Q216*IFERROR((VLOOKUP(P216,Settings!$E$28:$F$33,2,FALSE)+1),1)</f>
        <v>23.49</v>
      </c>
      <c r="T216" s="57" cm="1">
        <f t="array" ref="T216">VLOOKUP(B216,'Player Data'!$A1:$AE673,8,FALSE)*$Q216*IFERROR((VLOOKUP(P216,Settings!$E$28:$F$33,2,FALSE)+1),1)</f>
        <v>27.540000000000003</v>
      </c>
      <c r="U216" s="57" cm="1">
        <f t="array" ref="U216">SUM(S216:T216)</f>
        <v>51.03</v>
      </c>
      <c r="V216" s="57" cm="1">
        <f t="array" ref="V216">VLOOKUP(B216,'Player Data'!$A1:$AE673,10,FALSE)*$Q216*IFERROR(((VLOOKUP(P216,Settings!$E$28:$F$33,2,FALSE)/2)+1),1)</f>
        <v>197.64</v>
      </c>
      <c r="W216" s="57" cm="1">
        <f t="array" ref="W216">VLOOKUP(B216,'Player Data'!$A1:$AE673,11,FALSE)*$Q216*IFERROR((VLOOKUP(P216,Settings!$E$28:$F$33,2,FALSE)+1),1)</f>
        <v>4.05</v>
      </c>
      <c r="X216" s="57" cm="1">
        <f t="array" ref="X216">VLOOKUP(B216,'Player Data'!$A1:$AE673,12,FALSE)*$Q216*IFERROR((VLOOKUP(P216,Settings!$E$28:$F$33,2,FALSE)+1),1)</f>
        <v>8.91</v>
      </c>
      <c r="Y216" s="57" cm="1">
        <f t="array" ref="Y216">VLOOKUP(B216,'Player Data'!$A1:$AE673,13,FALSE)*$Q216</f>
        <v>0</v>
      </c>
      <c r="Z216" s="57" cm="1">
        <f t="array" ref="Z216">VLOOKUP(B216,'Player Data'!$A1:$AE673,14,FALSE)*$Q216</f>
        <v>0</v>
      </c>
      <c r="AA216" s="57" cm="1">
        <f t="array" ref="AA216">VLOOKUP(B216,'Player Data'!$A1:$AE673,15,FALSE)*$Q216</f>
        <v>38.07</v>
      </c>
      <c r="AB216" s="57" cm="1">
        <f t="array" ref="AB216">VLOOKUP(B216,'Player Data'!$A1:$AE673,16,FALSE)*$Q216</f>
        <v>126.36</v>
      </c>
      <c r="AC216" s="57" cm="1">
        <f t="array" ref="AC216">VLOOKUP(B216,'Player Data'!$A1:$AE673,17,FALSE)*$Q216*IFERROR((VLOOKUP(P216,Settings!$E$28:$F$33,2,FALSE)+1),1)</f>
        <v>4.05</v>
      </c>
      <c r="AD216" s="57" cm="1">
        <f t="array" ref="AD216">VLOOKUP(B216,'Player Data'!$A1:$AE673,18,FALSE)*$Q216</f>
        <v>64.8</v>
      </c>
      <c r="AE216" s="57" cm="1">
        <f t="array" ref="AE216">VLOOKUP(B216,'Player Data'!$A1:$AE673,19,FALSE)*$Q216*IFERROR((VLOOKUP(P216,Settings!$E$28:$F$33,2,FALSE)+1),1)</f>
        <v>4.05</v>
      </c>
      <c r="AF216" s="57" cm="1">
        <f t="array" ref="AF216">VLOOKUP(B216,'Player Data'!$A1:$AE673,20,FALSE)*$Q216</f>
        <v>485.19</v>
      </c>
      <c r="AG216" s="57" cm="1">
        <f t="array" ref="AG216">VLOOKUP(B216,'Player Data'!$A1:$AE673,21,FALSE)*$Q216</f>
        <v>553.23</v>
      </c>
      <c r="AH216" s="59" cm="1">
        <f t="array" ref="AH216">VLOOKUP(B216,'Player Data'!$A1:$AE673,22,FALSE)</f>
        <v>0.47</v>
      </c>
      <c r="AI216" s="55"/>
      <c r="AJ216" s="57"/>
      <c r="AK216" s="57"/>
      <c r="AL216" s="57"/>
      <c r="AM216" s="57"/>
      <c r="AN216" s="57"/>
      <c r="AO216" s="57"/>
      <c r="AP216" s="57"/>
      <c r="AQ216" s="60"/>
      <c r="AR216" s="61"/>
      <c r="AS216" s="55"/>
    </row>
    <row r="217" spans="1:45" ht="21.25" customHeight="1" x14ac:dyDescent="0.15">
      <c r="A217" s="62">
        <f>RANK(K217,K$2:K$671)</f>
        <v>229</v>
      </c>
      <c r="B217" s="10" t="s">
        <v>493</v>
      </c>
      <c r="C217" s="47" t="s">
        <v>145</v>
      </c>
      <c r="D217" s="48" t="str" cm="1">
        <f t="array" ref="D217">VLOOKUP(B217,'Player Data'!A1:D673,4,FALSE)</f>
        <v>G</v>
      </c>
      <c r="E217" s="76" cm="1">
        <f t="array" ref="E217">VLOOKUP(B217,G!A1:D66,3,FALSE)</f>
        <v>36</v>
      </c>
      <c r="F217" s="69" t="str" cm="1">
        <f t="array" ref="F217">VLOOKUP(B217,'Player Data'!A1:B673,2,FALSE)</f>
        <v>N.J</v>
      </c>
      <c r="G217" s="11" cm="1">
        <f t="array" ref="G217">VLOOKUP(B217,'Player Data'!A1:D673,3,FALSE)</f>
        <v>25</v>
      </c>
      <c r="H217" s="51" cm="1">
        <f t="array" ref="H217">IFERROR(VLOOKUP(B217,ADP!A1:F671,6,FALSE)/1000000,VLOOKUP(B217,ADP!A1:F671,6,FALSE))</f>
        <v>1.1000000000000001</v>
      </c>
      <c r="I217" s="52">
        <f>IF(Settings!$E$15="POINTS",(AJ217*Settings!$B$29)+(AK217*Settings!$B$21)+(AL217*Settings!$B$22)+(AN217*Settings!$B$24)+(AO217*Settings!$B$25)+(AP217*Settings!$B$27)+(AM217*Settings!$B$23),VLOOKUP(B217,'Standard Deviations'!A$1:C$672,3,FALSE))</f>
        <v>-0.8849475461662496</v>
      </c>
      <c r="J217" s="53" cm="1">
        <f t="array" ref="J217">IF(D217="G",I217/AJ217,I217/Q217)</f>
        <v>-2.5284215604749988E-2</v>
      </c>
      <c r="K217" s="52" cm="1">
        <f t="array" ref="K217">VLOOKUP(B217,G!A1:F66,6,FALSE)</f>
        <v>-2.9231328052899244</v>
      </c>
      <c r="L217" s="54" cm="1">
        <f t="array" ref="L217">IFERROR(K217/H217,"N/A")</f>
        <v>-2.6573934593544766</v>
      </c>
      <c r="M217" s="84" t="s">
        <v>828</v>
      </c>
      <c r="N217" s="84" t="str" cm="1">
        <f t="array" ref="N217">IFERROR(M217-A217,"N/A")</f>
        <v>N/A</v>
      </c>
      <c r="O217" s="55"/>
      <c r="P217" s="56" cm="1">
        <f t="array" ref="P217">_xlfn.XLOOKUP($B217,ADP!A2:A671,ADP!G2:G671)</f>
        <v>0</v>
      </c>
      <c r="Q217" s="57"/>
      <c r="R217" s="55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9"/>
      <c r="AI217" s="55"/>
      <c r="AJ217" s="77" cm="1">
        <f t="array" ref="AJ217">VLOOKUP(B217,'Player Data'!$A1:$AE673,24,FALSE)</f>
        <v>35</v>
      </c>
      <c r="AK217" s="57" cm="1">
        <f t="array" ref="AK217">VLOOKUP(B217,'Player Data'!$A1:$AE673,25,FALSE)*$AJ217*IFERROR((VLOOKUP(P217,Settings!$E$28:$F$33,2,FALSE)+1),1)</f>
        <v>17.850000000000001</v>
      </c>
      <c r="AL217" s="57" cm="1">
        <f t="array" ref="AL217">AJ217-AK217-AM217</f>
        <v>12.95</v>
      </c>
      <c r="AM217" s="57" cm="1">
        <f t="array" ref="AM217">VLOOKUP(B217,'Player Data'!$A1:$AE673,27,FALSE)*$AJ217</f>
        <v>4.2</v>
      </c>
      <c r="AN217" s="57" cm="1">
        <f t="array" ref="AN217">VLOOKUP(B217,'Player Data'!$A1:$AE673,28,FALSE)*AJ217</f>
        <v>1.75</v>
      </c>
      <c r="AO217" s="57" cm="1">
        <f t="array" ref="AO217">VLOOKUP(B217,'Player Data'!$A1:$AE673,29,FALSE)*$AJ217*IFERROR((VLOOKUP(P217,Settings!$E$28:$F$33,2,FALSE)/4)+1,1)</f>
        <v>864.5</v>
      </c>
      <c r="AP217" s="57" cm="1">
        <f t="array" ref="AP217">VLOOKUP(B217,'Player Data'!$A1:$AE673,31,FALSE)*$AJ217*(IFERROR(1-(VLOOKUP(P217,Settings!$E$28:$F$33,2,FALSE)/4),1))</f>
        <v>99.05</v>
      </c>
      <c r="AQ217" s="60" cm="1">
        <f t="array" ref="AQ217">1-(AP217/(AO217+AP217))</f>
        <v>0.89720305121685429</v>
      </c>
      <c r="AR217" s="61" cm="1">
        <f t="array" ref="AR217">AP217/AJ217</f>
        <v>2.83</v>
      </c>
      <c r="AS217" s="55"/>
    </row>
    <row r="218" spans="1:45" ht="21.25" customHeight="1" x14ac:dyDescent="0.15">
      <c r="A218" s="62">
        <f>RANK(K218,K$2:K$671)</f>
        <v>240</v>
      </c>
      <c r="B218" s="10" t="s">
        <v>393</v>
      </c>
      <c r="C218" s="47" t="s">
        <v>145</v>
      </c>
      <c r="D218" s="48" t="str" cm="1">
        <f t="array" ref="D218">VLOOKUP(B218,'Player Data'!A1:D673,4,FALSE)</f>
        <v>D</v>
      </c>
      <c r="E218" s="68" cm="1">
        <f t="array" ref="E218">VLOOKUP(B218,D!A1:C204,3,FALSE)</f>
        <v>105</v>
      </c>
      <c r="F218" s="18" t="str" cm="1">
        <f t="array" ref="F218">VLOOKUP(B218,'Player Data'!A1:B673,2,FALSE)</f>
        <v>OTT</v>
      </c>
      <c r="G218" s="11" cm="1">
        <f t="array" ref="G218">VLOOKUP(B218,'Player Data'!A1:D673,3,FALSE)</f>
        <v>29</v>
      </c>
      <c r="H218" s="67" cm="1">
        <f t="array" ref="H218">IFERROR(VLOOKUP(B218,ADP!A1:F671,6,FALSE)/1000000,VLOOKUP(B218,ADP!A1:F671,6,FALSE))</f>
        <v>4.5999999999999996</v>
      </c>
      <c r="I218" s="52">
        <f>IF(Settings!$E$15="POINTS",((R218*Q218)*Settings!$B$12)+(S218*Settings!$B$2)+(T218*Settings!$B$3)+(U218*Settings!$B$4)+(V218*Settings!$B$5)+(X218*Settings!$B$9)+(AA218*Settings!$B$6)+(W218*Settings!$B$8)+(AB218*Settings!$B$7)+(AC218*Settings!$B$14)+(AD218*Settings!$B$15)+(AE218*Settings!$B$16)+(AF218*Settings!$B$17)+(AG218*Settings!$B$18)+(U218*Settings!$B$13)+(Y218*Settings!$B$10)+(Z218*Settings!$B$11),VLOOKUP(B218,'Standard Deviations'!A$1:C$672,3,FALSE))</f>
        <v>-2.547194612210478</v>
      </c>
      <c r="J218" s="53" cm="1">
        <f t="array" ref="J218">IF(D218="G",I218/AJ218,I218/Q218)</f>
        <v>-3.224296977481618E-2</v>
      </c>
      <c r="K218" s="52" cm="1">
        <f t="array" ref="K218">VLOOKUP(B218,D!A1:F204,6,FALSE)</f>
        <v>-3.1140455267280327</v>
      </c>
      <c r="L218" s="54" cm="1">
        <f t="array" ref="L218">IFERROR(K218/H218,"N/A")</f>
        <v>-0.67696641885392017</v>
      </c>
      <c r="M218" s="84" t="s">
        <v>828</v>
      </c>
      <c r="N218" s="84" t="str" cm="1">
        <f t="array" ref="N218">IFERROR(M218-A218,"N/A")</f>
        <v>N/A</v>
      </c>
      <c r="O218" s="55"/>
      <c r="P218" s="56" cm="1">
        <f t="array" ref="P218">_xlfn.XLOOKUP($B218,ADP!A2:A671,ADP!G2:G671)</f>
        <v>0</v>
      </c>
      <c r="Q218" s="57" cm="1">
        <f t="array" ref="Q218">IF(Settings!$E$12="YES",VLOOKUP(B218,'Player Data'!A1:E673,5,FALSE),84)</f>
        <v>79</v>
      </c>
      <c r="R218" s="55" cm="1">
        <f t="array" ref="R218">VLOOKUP(B218,'Player Data'!$A1:$AE673,6,FALSE)</f>
        <v>20.8</v>
      </c>
      <c r="S218" s="57" cm="1">
        <f t="array" ref="S218">VLOOKUP(B218,'Player Data'!$A1:$AE673,7,FALSE)*$Q218*IFERROR((VLOOKUP(P218,Settings!$E$28:$F$33,2,FALSE)+1),1)</f>
        <v>3.16</v>
      </c>
      <c r="T218" s="57" cm="1">
        <f t="array" ref="T218">VLOOKUP(B218,'Player Data'!$A1:$AE673,8,FALSE)*$Q218*IFERROR((VLOOKUP(P218,Settings!$E$28:$F$33,2,FALSE)+1),1)</f>
        <v>19.75</v>
      </c>
      <c r="U218" s="57" cm="1">
        <f t="array" ref="U218">SUM(S218:T218)</f>
        <v>22.91</v>
      </c>
      <c r="V218" s="57" cm="1">
        <f t="array" ref="V218">VLOOKUP(B218,'Player Data'!$A1:$AE673,10,FALSE)*$Q218*IFERROR(((VLOOKUP(P218,Settings!$E$28:$F$33,2,FALSE)/2)+1),1)</f>
        <v>82.16</v>
      </c>
      <c r="W218" s="57" cm="1">
        <f t="array" ref="W218">VLOOKUP(B218,'Player Data'!$A1:$AE673,11,FALSE)*$Q218*IFERROR((VLOOKUP(P218,Settings!$E$28:$F$33,2,FALSE)+1),1)</f>
        <v>0</v>
      </c>
      <c r="X218" s="57" cm="1">
        <f t="array" ref="X218">VLOOKUP(B218,'Player Data'!$A1:$AE673,12,FALSE)*$Q218*IFERROR((VLOOKUP(P218,Settings!$E$28:$F$33,2,FALSE)+1),1)</f>
        <v>0</v>
      </c>
      <c r="Y218" s="57" cm="1">
        <f t="array" ref="Y218">VLOOKUP(B218,'Player Data'!$A1:$AE673,13,FALSE)*$Q218</f>
        <v>0</v>
      </c>
      <c r="Z218" s="57" cm="1">
        <f t="array" ref="Z218">VLOOKUP(B218,'Player Data'!$A1:$AE673,14,FALSE)*$Q218</f>
        <v>0.79</v>
      </c>
      <c r="AA218" s="57" cm="1">
        <f t="array" ref="AA218">VLOOKUP(B218,'Player Data'!$A1:$AE673,15,FALSE)*$Q218</f>
        <v>127.98</v>
      </c>
      <c r="AB218" s="57" cm="1">
        <f t="array" ref="AB218">VLOOKUP(B218,'Player Data'!$A1:$AE673,16,FALSE)*$Q218</f>
        <v>75.05</v>
      </c>
      <c r="AC218" s="57" cm="1">
        <f t="array" ref="AC218">VLOOKUP(B218,'Player Data'!$A1:$AE673,17,FALSE)*$Q218*IFERROR((VLOOKUP(P218,Settings!$E$28:$F$33,2,FALSE)+1),1)</f>
        <v>3.16</v>
      </c>
      <c r="AD218" s="57" cm="1">
        <f t="array" ref="AD218">VLOOKUP(B218,'Player Data'!$A1:$AE673,18,FALSE)*$Q218</f>
        <v>47.4</v>
      </c>
      <c r="AE218" s="57" cm="1">
        <f t="array" ref="AE218">VLOOKUP(B218,'Player Data'!$A1:$AE673,19,FALSE)*$Q218*IFERROR((VLOOKUP(P218,Settings!$E$28:$F$33,2,FALSE)+1),1)</f>
        <v>0.79</v>
      </c>
      <c r="AF218" s="57" cm="1">
        <f t="array" ref="AF218">VLOOKUP(B218,'Player Data'!$A1:$AE673,20,FALSE)*$Q218</f>
        <v>0</v>
      </c>
      <c r="AG218" s="57" cm="1">
        <f t="array" ref="AG218">VLOOKUP(B218,'Player Data'!$A1:$AE673,21,FALSE)*$Q218</f>
        <v>0</v>
      </c>
      <c r="AH218" s="59" cm="1">
        <f t="array" ref="AH218">VLOOKUP(B218,'Player Data'!$A1:$AE673,22,FALSE)</f>
        <v>0</v>
      </c>
      <c r="AI218" s="55"/>
      <c r="AJ218" s="57"/>
      <c r="AK218" s="57"/>
      <c r="AL218" s="57"/>
      <c r="AM218" s="57"/>
      <c r="AN218" s="57"/>
      <c r="AO218" s="57"/>
      <c r="AP218" s="57"/>
      <c r="AQ218" s="60"/>
      <c r="AR218" s="61"/>
      <c r="AS218" s="55"/>
    </row>
    <row r="219" spans="1:45" ht="21.25" customHeight="1" x14ac:dyDescent="0.15">
      <c r="A219" s="62">
        <f>RANK(K219,K$2:K$671)</f>
        <v>187</v>
      </c>
      <c r="B219" s="10" t="s">
        <v>263</v>
      </c>
      <c r="C219" s="47" t="s">
        <v>145</v>
      </c>
      <c r="D219" s="48" t="str" cm="1">
        <f t="array" ref="D219">VLOOKUP(B219,'Player Data'!A1:D673,4,FALSE)</f>
        <v>C,RW</v>
      </c>
      <c r="E219" s="74" cm="1">
        <f t="array" ref="E219">VLOOKUP(B219,RW!A1:F210,3,FALSE)</f>
        <v>42</v>
      </c>
      <c r="F219" s="65" t="str" cm="1">
        <f t="array" ref="F219">VLOOKUP(B219,'Player Data'!A1:B673,2,FALSE)</f>
        <v>NSH</v>
      </c>
      <c r="G219" s="66" cm="1">
        <f t="array" ref="G219">VLOOKUP(B219,'Player Data'!A1:D673,3,FALSE)</f>
        <v>36</v>
      </c>
      <c r="H219" s="51" cm="1">
        <f t="array" ref="H219">IFERROR(VLOOKUP(B219,ADP!A1:F671,6,FALSE)/1000000,VLOOKUP(B219,ADP!A1:F671,6,FALSE))</f>
        <v>8</v>
      </c>
      <c r="I219" s="52">
        <f>IF(Settings!$E$15="POINTS",((R219*Q219)*Settings!$B$12)+(S219*Settings!$B$2)+(T219*Settings!$B$3)+(U219*Settings!$B$4)+(V219*Settings!$B$5)+(X219*Settings!$B$9)+(AA219*Settings!$B$6)+(W219*Settings!$B$8)+(AB219*Settings!$B$7)+(AC219*Settings!$B$14)+(AD219*Settings!$B$15)+(AE219*Settings!$B$16)+(AF219*Settings!$B$17)+(AG219*Settings!$B$18)+(Y219*Settings!$B$10)+(Z219*Settings!$B$11),VLOOKUP(B219,'Standard Deviations'!A$1:C$672,3,FALSE))</f>
        <v>4.7106056162291967</v>
      </c>
      <c r="J219" s="53" cm="1">
        <f t="array" ref="J219">IF(D219="G",I219/AJ219,I219/Q219)</f>
        <v>5.6078638288442818E-2</v>
      </c>
      <c r="K219" s="52" cm="1">
        <f t="array" ref="K219">IF(Settings!$E$18="C/LW/RW",VLOOKUP(B219,RW!A1:F210,6,FALSE),VLOOKUP(B219,F!A1:F407,6,FALSE))</f>
        <v>-2.1766289855798808</v>
      </c>
      <c r="L219" s="54" cm="1">
        <f t="array" ref="L219">IFERROR(K219/H219,"N/A")</f>
        <v>-0.2720786231974851</v>
      </c>
      <c r="M219" s="55">
        <v>125.8</v>
      </c>
      <c r="N219" s="55" cm="1">
        <f t="array" ref="N219">IFERROR(M219-A219,"N/A")</f>
        <v>-61.2</v>
      </c>
      <c r="O219" s="55"/>
      <c r="P219" s="56" cm="1">
        <f t="array" ref="P219">_xlfn.XLOOKUP($B219,ADP!A2:A671,ADP!G2:G671)</f>
        <v>0</v>
      </c>
      <c r="Q219" s="57" cm="1">
        <f t="array" ref="Q219">IF(Settings!$E$12="YES",VLOOKUP(B219,'Player Data'!A1:E673,5,FALSE),84)</f>
        <v>84</v>
      </c>
      <c r="R219" s="55" cm="1">
        <f t="array" ref="R219">VLOOKUP(B219,'Player Data'!$A1:$AE673,6,FALSE)</f>
        <v>17.8</v>
      </c>
      <c r="S219" s="57" cm="1">
        <f t="array" ref="S219">VLOOKUP(B219,'Player Data'!$A1:$AE673,7,FALSE)*$Q219*IFERROR((VLOOKUP(P219,Settings!$E$28:$F$33,2,FALSE)+1),1)</f>
        <v>35.28</v>
      </c>
      <c r="T219" s="57" cm="1">
        <f t="array" ref="T219">VLOOKUP(B219,'Player Data'!$A1:$AE673,8,FALSE)*$Q219*IFERROR((VLOOKUP(P219,Settings!$E$28:$F$33,2,FALSE)+1),1)</f>
        <v>27.720000000000002</v>
      </c>
      <c r="U219" s="57" cm="1">
        <f t="array" ref="U219">SUM(S219:T219)</f>
        <v>63</v>
      </c>
      <c r="V219" s="57" cm="1">
        <f t="array" ref="V219">VLOOKUP(B219,'Player Data'!$A1:$AE673,10,FALSE)*$Q219*IFERROR(((VLOOKUP(P219,Settings!$E$28:$F$33,2,FALSE)/2)+1),1)</f>
        <v>210</v>
      </c>
      <c r="W219" s="58" cm="1">
        <f t="array" ref="W219">VLOOKUP(B219,'Player Data'!$A1:$AE673,11,FALSE)*$Q219*IFERROR((VLOOKUP(P219,Settings!$E$28:$F$33,2,FALSE)+1),1)</f>
        <v>13.44</v>
      </c>
      <c r="X219" s="57" cm="1">
        <f t="array" ref="X219">VLOOKUP(B219,'Player Data'!$A1:$AE673,12,FALSE)*$Q219*IFERROR((VLOOKUP(P219,Settings!$E$28:$F$33,2,FALSE)+1),1)</f>
        <v>25.2</v>
      </c>
      <c r="Y219" s="57" cm="1">
        <f t="array" ref="Y219">VLOOKUP(B219,'Player Data'!$A1:$AE673,13,FALSE)*$Q219</f>
        <v>0</v>
      </c>
      <c r="Z219" s="57" cm="1">
        <f t="array" ref="Z219">VLOOKUP(B219,'Player Data'!$A1:$AE673,14,FALSE)*$Q219</f>
        <v>0</v>
      </c>
      <c r="AA219" s="57" cm="1">
        <f t="array" ref="AA219">VLOOKUP(B219,'Player Data'!$A1:$AE673,15,FALSE)*$Q219</f>
        <v>40.32</v>
      </c>
      <c r="AB219" s="57" cm="1">
        <f t="array" ref="AB219">VLOOKUP(B219,'Player Data'!$A1:$AE673,16,FALSE)*$Q219</f>
        <v>83.16</v>
      </c>
      <c r="AC219" s="57" cm="1">
        <f t="array" ref="AC219">VLOOKUP(B219,'Player Data'!$A1:$AE673,17,FALSE)*$Q219*IFERROR((VLOOKUP(P219,Settings!$E$28:$F$33,2,FALSE)+1),1)</f>
        <v>-3.36</v>
      </c>
      <c r="AD219" s="57" cm="1">
        <f t="array" ref="AD219">VLOOKUP(B219,'Player Data'!$A1:$AE673,18,FALSE)*$Q219</f>
        <v>43.68</v>
      </c>
      <c r="AE219" s="57" cm="1">
        <f t="array" ref="AE219">VLOOKUP(B219,'Player Data'!$A1:$AE673,19,FALSE)*$Q219*IFERROR((VLOOKUP(P219,Settings!$E$28:$F$33,2,FALSE)+1),1)</f>
        <v>5.04</v>
      </c>
      <c r="AF219" s="57" cm="1">
        <f t="array" ref="AF219">VLOOKUP(B219,'Player Data'!$A1:$AE673,20,FALSE)*$Q219</f>
        <v>337.67999999999995</v>
      </c>
      <c r="AG219" s="57" cm="1">
        <f t="array" ref="AG219">VLOOKUP(B219,'Player Data'!$A1:$AE673,21,FALSE)*$Q219</f>
        <v>283.08</v>
      </c>
      <c r="AH219" s="59" cm="1">
        <f t="array" ref="AH219">VLOOKUP(B219,'Player Data'!$A1:$AE673,22,FALSE)</f>
        <v>0.54</v>
      </c>
      <c r="AI219" s="55"/>
      <c r="AJ219" s="57"/>
      <c r="AK219" s="57"/>
      <c r="AL219" s="57"/>
      <c r="AM219" s="57"/>
      <c r="AN219" s="57"/>
      <c r="AO219" s="57"/>
      <c r="AP219" s="57"/>
      <c r="AQ219" s="60"/>
      <c r="AR219" s="61"/>
      <c r="AS219" s="55"/>
    </row>
    <row r="220" spans="1:45" ht="21.25" customHeight="1" x14ac:dyDescent="0.15">
      <c r="A220" s="62">
        <f>RANK(K220,K$2:K$671)</f>
        <v>231</v>
      </c>
      <c r="B220" s="10" t="s">
        <v>196</v>
      </c>
      <c r="C220" s="47" t="s">
        <v>145</v>
      </c>
      <c r="D220" s="48" t="str" cm="1">
        <f t="array" ref="D220">VLOOKUP(B220,'Player Data'!A1:D673,4,FALSE)</f>
        <v>G</v>
      </c>
      <c r="E220" s="76" cm="1">
        <f t="array" ref="E220">VLOOKUP(B220,G!A1:D66,3,FALSE)</f>
        <v>37</v>
      </c>
      <c r="F220" s="56" t="str" cm="1">
        <f t="array" ref="F220">VLOOKUP(B220,'Player Data'!A1:B673,2,FALSE)</f>
        <v>CHI</v>
      </c>
      <c r="G220" s="11" cm="1">
        <f t="array" ref="G220">VLOOKUP(B220,'Player Data'!A1:D673,3,FALSE)</f>
        <v>25</v>
      </c>
      <c r="H220" s="51" cm="1">
        <f t="array" ref="H220">IFERROR(VLOOKUP(B220,ADP!A1:F671,6,FALSE)/1000000,VLOOKUP(B220,ADP!A1:F671,6,FALSE))</f>
        <v>5.8330000000000002</v>
      </c>
      <c r="I220" s="52">
        <f>IF(Settings!$E$15="POINTS",(AJ220*Settings!$B$29)+(AK220*Settings!$B$21)+(AL220*Settings!$B$22)+(AN220*Settings!$B$24)+(AO220*Settings!$B$25)+(AP220*Settings!$B$27)+(AM220*Settings!$B$23),VLOOKUP(B220,'Standard Deviations'!A$1:C$672,3,FALSE))</f>
        <v>-0.90742921711536095</v>
      </c>
      <c r="J220" s="53" cm="1">
        <f t="array" ref="J220">IF(D220="G",I220/AJ220,I220/Q220)</f>
        <v>-1.6498713038461107E-2</v>
      </c>
      <c r="K220" s="52" cm="1">
        <f t="array" ref="K220">VLOOKUP(B220,G!A1:F66,6,FALSE)</f>
        <v>-2.9456144762390357</v>
      </c>
      <c r="L220" s="54" cm="1">
        <f t="array" ref="L220">IFERROR(K220/H220,"N/A")</f>
        <v>-0.50499133828887977</v>
      </c>
      <c r="M220" s="55">
        <v>135.4</v>
      </c>
      <c r="N220" s="55" cm="1">
        <f t="array" ref="N220">IFERROR(M220-A220,"N/A")</f>
        <v>-95.6</v>
      </c>
      <c r="O220" s="55"/>
      <c r="P220" s="56" cm="1">
        <f t="array" ref="P220">_xlfn.XLOOKUP($B220,ADP!A2:A671,ADP!G2:G671)</f>
        <v>0</v>
      </c>
      <c r="Q220" s="57"/>
      <c r="R220" s="55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9"/>
      <c r="AI220" s="55"/>
      <c r="AJ220" s="77" cm="1">
        <f t="array" ref="AJ220">VLOOKUP(B220,'Player Data'!$A1:$AE673,24,FALSE)</f>
        <v>55</v>
      </c>
      <c r="AK220" s="57" cm="1">
        <f t="array" ref="AK220">VLOOKUP(B220,'Player Data'!$A1:$AE673,25,FALSE)*$AJ220*IFERROR((VLOOKUP(P220,Settings!$E$28:$F$33,2,FALSE)+1),1)</f>
        <v>21.45</v>
      </c>
      <c r="AL220" s="57" cm="1">
        <f t="array" ref="AL220">AJ220-AK220-AM220</f>
        <v>25.299999999999997</v>
      </c>
      <c r="AM220" s="57" cm="1">
        <f t="array" ref="AM220">VLOOKUP(B220,'Player Data'!$A1:$AE673,27,FALSE)*$AJ220</f>
        <v>8.25</v>
      </c>
      <c r="AN220" s="57" cm="1">
        <f t="array" ref="AN220">VLOOKUP(B220,'Player Data'!$A1:$AE673,28,FALSE)*AJ220</f>
        <v>1.65</v>
      </c>
      <c r="AO220" s="57" cm="1">
        <f t="array" ref="AO220">VLOOKUP(B220,'Player Data'!$A1:$AE673,29,FALSE)*$AJ220*IFERROR((VLOOKUP(P220,Settings!$E$28:$F$33,2,FALSE)/4)+1,1)</f>
        <v>1617</v>
      </c>
      <c r="AP220" s="57" cm="1">
        <f t="array" ref="AP220">VLOOKUP(B220,'Player Data'!$A1:$AE673,31,FALSE)*$AJ220*(IFERROR(1-(VLOOKUP(P220,Settings!$E$28:$F$33,2,FALSE)/4),1))</f>
        <v>171.6</v>
      </c>
      <c r="AQ220" s="60" cm="1">
        <f t="array" ref="AQ220">1-(AP220/(AO220+AP220))</f>
        <v>0.90405904059040587</v>
      </c>
      <c r="AR220" s="61" cm="1">
        <f t="array" ref="AR220">AP220/AJ220</f>
        <v>3.12</v>
      </c>
      <c r="AS220" s="55"/>
    </row>
    <row r="221" spans="1:45" ht="21.25" customHeight="1" x14ac:dyDescent="0.15">
      <c r="A221" s="62">
        <f>RANK(K221,K$2:K$671)</f>
        <v>241</v>
      </c>
      <c r="B221" s="10" t="s">
        <v>341</v>
      </c>
      <c r="C221" s="47" t="s">
        <v>145</v>
      </c>
      <c r="D221" s="48" t="str" cm="1">
        <f t="array" ref="D221">VLOOKUP(B221,'Player Data'!A1:D673,4,FALSE)</f>
        <v>D</v>
      </c>
      <c r="E221" s="68" cm="1">
        <f t="array" ref="E221">VLOOKUP(B221,D!A1:C204,3,FALSE)</f>
        <v>106</v>
      </c>
      <c r="F221" s="56" t="str" cm="1">
        <f t="array" ref="F221">VLOOKUP(B221,'Player Data'!A1:B673,2,FALSE)</f>
        <v>NYR</v>
      </c>
      <c r="G221" s="11" cm="1">
        <f t="array" ref="G221">VLOOKUP(B221,'Player Data'!A1:D673,3,FALSE)</f>
        <v>30</v>
      </c>
      <c r="H221" s="51" cm="1">
        <f t="array" ref="H221">IFERROR(VLOOKUP(B221,ADP!A1:F671,6,FALSE)/1000000,VLOOKUP(B221,ADP!A1:F671,6,FALSE))</f>
        <v>7</v>
      </c>
      <c r="I221" s="52">
        <f>IF(Settings!$E$15="POINTS",((R221*Q221)*Settings!$B$12)+(S221*Settings!$B$2)+(T221*Settings!$B$3)+(U221*Settings!$B$4)+(V221*Settings!$B$5)+(X221*Settings!$B$9)+(AA221*Settings!$B$6)+(W221*Settings!$B$8)+(AB221*Settings!$B$7)+(AC221*Settings!$B$14)+(AD221*Settings!$B$15)+(AE221*Settings!$B$16)+(AF221*Settings!$B$17)+(AG221*Settings!$B$18)+(U221*Settings!$B$13)+(Y221*Settings!$B$10)+(Z221*Settings!$B$11),VLOOKUP(B221,'Standard Deviations'!A$1:C$672,3,FALSE))</f>
        <v>-2.5748821480741038</v>
      </c>
      <c r="J221" s="53" cm="1">
        <f t="array" ref="J221">IF(D221="G",I221/AJ221,I221/Q221)</f>
        <v>-3.0653358905644093E-2</v>
      </c>
      <c r="K221" s="52" cm="1">
        <f t="array" ref="K221">VLOOKUP(B221,D!A1:F204,6,FALSE)</f>
        <v>-3.1417330625916584</v>
      </c>
      <c r="L221" s="54" cm="1">
        <f t="array" ref="L221">IFERROR(K221/H221,"N/A")</f>
        <v>-0.44881900894166549</v>
      </c>
      <c r="M221" s="55">
        <v>140.5</v>
      </c>
      <c r="N221" s="55" cm="1">
        <f t="array" ref="N221">IFERROR(M221-A221,"N/A")</f>
        <v>-100.5</v>
      </c>
      <c r="O221" s="55"/>
      <c r="P221" s="56" cm="1">
        <f t="array" ref="P221">_xlfn.XLOOKUP($B221,ADP!A2:A671,ADP!G2:G671)</f>
        <v>0</v>
      </c>
      <c r="Q221" s="57" cm="1">
        <f t="array" ref="Q221">IF(Settings!$E$12="YES",VLOOKUP(B221,'Player Data'!A1:E673,5,FALSE),84)</f>
        <v>84</v>
      </c>
      <c r="R221" s="55" cm="1">
        <f t="array" ref="R221">VLOOKUP(B221,'Player Data'!$A1:$AE673,6,FALSE)</f>
        <v>22.8</v>
      </c>
      <c r="S221" s="57" cm="1">
        <f t="array" ref="S221">VLOOKUP(B221,'Player Data'!$A1:$AE673,7,FALSE)*$Q221*IFERROR((VLOOKUP(P221,Settings!$E$28:$F$33,2,FALSE)+1),1)</f>
        <v>6.72</v>
      </c>
      <c r="T221" s="57" cm="1">
        <f t="array" ref="T221">VLOOKUP(B221,'Player Data'!$A1:$AE673,8,FALSE)*$Q221*IFERROR((VLOOKUP(P221,Settings!$E$28:$F$33,2,FALSE)+1),1)</f>
        <v>21.84</v>
      </c>
      <c r="U221" s="57" cm="1">
        <f t="array" ref="U221">SUM(S221:T221)</f>
        <v>28.56</v>
      </c>
      <c r="V221" s="57" cm="1">
        <f t="array" ref="V221">VLOOKUP(B221,'Player Data'!$A1:$AE673,10,FALSE)*$Q221*IFERROR(((VLOOKUP(P221,Settings!$E$28:$F$33,2,FALSE)/2)+1),1)</f>
        <v>112.56</v>
      </c>
      <c r="W221" s="57" cm="1">
        <f t="array" ref="W221">VLOOKUP(B221,'Player Data'!$A1:$AE673,11,FALSE)*$Q221*IFERROR((VLOOKUP(P221,Settings!$E$28:$F$33,2,FALSE)+1),1)</f>
        <v>0</v>
      </c>
      <c r="X221" s="57" cm="1">
        <f t="array" ref="X221">VLOOKUP(B221,'Player Data'!$A1:$AE673,12,FALSE)*$Q221*IFERROR((VLOOKUP(P221,Settings!$E$28:$F$33,2,FALSE)+1),1)</f>
        <v>0.84</v>
      </c>
      <c r="Y221" s="57" cm="1">
        <f t="array" ref="Y221">VLOOKUP(B221,'Player Data'!$A1:$AE673,13,FALSE)*$Q221</f>
        <v>0</v>
      </c>
      <c r="Z221" s="57" cm="1">
        <f t="array" ref="Z221">VLOOKUP(B221,'Player Data'!$A1:$AE673,14,FALSE)*$Q221</f>
        <v>0.84</v>
      </c>
      <c r="AA221" s="57" cm="1">
        <f t="array" ref="AA221">VLOOKUP(B221,'Player Data'!$A1:$AE673,15,FALSE)*$Q221</f>
        <v>119.28</v>
      </c>
      <c r="AB221" s="57" cm="1">
        <f t="array" ref="AB221">VLOOKUP(B221,'Player Data'!$A1:$AE673,16,FALSE)*$Q221</f>
        <v>52.92</v>
      </c>
      <c r="AC221" s="57" cm="1">
        <f t="array" ref="AC221">VLOOKUP(B221,'Player Data'!$A1:$AE673,17,FALSE)*$Q221*IFERROR((VLOOKUP(P221,Settings!$E$28:$F$33,2,FALSE)+1),1)</f>
        <v>0</v>
      </c>
      <c r="AD221" s="57" cm="1">
        <f t="array" ref="AD221">VLOOKUP(B221,'Player Data'!$A1:$AE673,18,FALSE)*$Q221</f>
        <v>38.64</v>
      </c>
      <c r="AE221" s="57" cm="1">
        <f t="array" ref="AE221">VLOOKUP(B221,'Player Data'!$A1:$AE673,19,FALSE)*$Q221*IFERROR((VLOOKUP(P221,Settings!$E$28:$F$33,2,FALSE)+1),1)</f>
        <v>0.84</v>
      </c>
      <c r="AF221" s="57" cm="1">
        <f t="array" ref="AF221">VLOOKUP(B221,'Player Data'!$A1:$AE673,20,FALSE)*$Q221</f>
        <v>0</v>
      </c>
      <c r="AG221" s="57" cm="1">
        <f t="array" ref="AG221">VLOOKUP(B221,'Player Data'!$A1:$AE673,21,FALSE)*$Q221</f>
        <v>0</v>
      </c>
      <c r="AH221" s="59" cm="1">
        <f t="array" ref="AH221">VLOOKUP(B221,'Player Data'!$A1:$AE673,22,FALSE)</f>
        <v>0</v>
      </c>
      <c r="AI221" s="55"/>
      <c r="AJ221" s="57"/>
      <c r="AK221" s="57"/>
      <c r="AL221" s="57"/>
      <c r="AM221" s="57"/>
      <c r="AN221" s="57"/>
      <c r="AO221" s="57"/>
      <c r="AP221" s="57"/>
      <c r="AQ221" s="60"/>
      <c r="AR221" s="61"/>
      <c r="AS221" s="55"/>
    </row>
    <row r="222" spans="1:45" ht="21.25" customHeight="1" x14ac:dyDescent="0.15">
      <c r="A222" s="62">
        <f>RANK(K222,K$2:K$671)</f>
        <v>242</v>
      </c>
      <c r="B222" s="10" t="s">
        <v>314</v>
      </c>
      <c r="C222" s="47" t="s">
        <v>145</v>
      </c>
      <c r="D222" s="48" t="str" cm="1">
        <f t="array" ref="D222">VLOOKUP(B222,'Player Data'!A1:D673,4,FALSE)</f>
        <v>D</v>
      </c>
      <c r="E222" s="68" cm="1">
        <f t="array" ref="E222">VLOOKUP(B222,D!A1:C204,3,FALSE)</f>
        <v>107</v>
      </c>
      <c r="F222" s="69" t="str" cm="1">
        <f t="array" ref="F222">VLOOKUP(B222,'Player Data'!A1:B673,2,FALSE)</f>
        <v>MTL</v>
      </c>
      <c r="G222" s="66" cm="1">
        <f t="array" ref="G222">VLOOKUP(B222,'Player Data'!A1:D673,3,FALSE)</f>
        <v>32</v>
      </c>
      <c r="H222" s="51" cm="1">
        <f t="array" ref="H222">IFERROR(VLOOKUP(B222,ADP!A1:F671,6,FALSE)/1000000,VLOOKUP(B222,ADP!A1:F671,6,FALSE))</f>
        <v>6</v>
      </c>
      <c r="I222" s="52">
        <f>IF(Settings!$E$15="POINTS",((R222*Q222)*Settings!$B$12)+(S222*Settings!$B$2)+(T222*Settings!$B$3)+(U222*Settings!$B$4)+(V222*Settings!$B$5)+(X222*Settings!$B$9)+(AA222*Settings!$B$6)+(W222*Settings!$B$8)+(AB222*Settings!$B$7)+(AC222*Settings!$B$14)+(AD222*Settings!$B$15)+(AE222*Settings!$B$16)+(AF222*Settings!$B$17)+(AG222*Settings!$B$18)+(U222*Settings!$B$13)+(Y222*Settings!$B$10)+(Z222*Settings!$B$11),VLOOKUP(B222,'Standard Deviations'!A$1:C$672,3,FALSE))</f>
        <v>-2.6018382251666341</v>
      </c>
      <c r="J222" s="53" cm="1">
        <f t="array" ref="J222">IF(D222="G",I222/AJ222,I222/Q222)</f>
        <v>-3.1347448495983546E-2</v>
      </c>
      <c r="K222" s="52" cm="1">
        <f t="array" ref="K222">VLOOKUP(B222,D!A1:F204,6,FALSE)</f>
        <v>-3.1686891396841883</v>
      </c>
      <c r="L222" s="54" cm="1">
        <f t="array" ref="L222">IFERROR(K222/H222,"N/A")</f>
        <v>-0.52811485661403135</v>
      </c>
      <c r="M222" s="55">
        <v>135.4</v>
      </c>
      <c r="N222" s="55" cm="1">
        <f t="array" ref="N222">IFERROR(M222-A222,"N/A")</f>
        <v>-106.6</v>
      </c>
      <c r="O222" s="55"/>
      <c r="P222" s="56" cm="1">
        <f t="array" ref="P222">_xlfn.XLOOKUP($B222,ADP!A2:A671,ADP!G2:G671)</f>
        <v>0</v>
      </c>
      <c r="Q222" s="57" cm="1">
        <f t="array" ref="Q222">IF(Settings!$E$12="YES",VLOOKUP(B222,'Player Data'!A1:E673,5,FALSE),84)</f>
        <v>83</v>
      </c>
      <c r="R222" s="83" cm="1">
        <f t="array" ref="R222">VLOOKUP(B222,'Player Data'!$A1:$AE673,6,FALSE)</f>
        <v>22.4</v>
      </c>
      <c r="S222" s="57" cm="1">
        <f t="array" ref="S222">VLOOKUP(B222,'Player Data'!$A1:$AE673,7,FALSE)*$Q222*IFERROR((VLOOKUP(P222,Settings!$E$28:$F$33,2,FALSE)+1),1)</f>
        <v>4.1500000000000004</v>
      </c>
      <c r="T222" s="57" cm="1">
        <f t="array" ref="T222">VLOOKUP(B222,'Player Data'!$A1:$AE673,8,FALSE)*$Q222*IFERROR((VLOOKUP(P222,Settings!$E$28:$F$33,2,FALSE)+1),1)</f>
        <v>22.41</v>
      </c>
      <c r="U222" s="57" cm="1">
        <f t="array" ref="U222">SUM(S222:T222)</f>
        <v>26.560000000000002</v>
      </c>
      <c r="V222" s="57" cm="1">
        <f t="array" ref="V222">VLOOKUP(B222,'Player Data'!$A1:$AE673,10,FALSE)*$Q222*IFERROR(((VLOOKUP(P222,Settings!$E$28:$F$33,2,FALSE)/2)+1),1)</f>
        <v>109.56</v>
      </c>
      <c r="W222" s="57" cm="1">
        <f t="array" ref="W222">VLOOKUP(B222,'Player Data'!$A1:$AE673,11,FALSE)*$Q222*IFERROR((VLOOKUP(P222,Settings!$E$28:$F$33,2,FALSE)+1),1)</f>
        <v>0</v>
      </c>
      <c r="X222" s="57" cm="1">
        <f t="array" ref="X222">VLOOKUP(B222,'Player Data'!$A1:$AE673,12,FALSE)*$Q222*IFERROR((VLOOKUP(P222,Settings!$E$28:$F$33,2,FALSE)+1),1)</f>
        <v>0.83000000000000007</v>
      </c>
      <c r="Y222" s="57" cm="1">
        <f t="array" ref="Y222">VLOOKUP(B222,'Player Data'!$A1:$AE673,13,FALSE)*$Q222</f>
        <v>0</v>
      </c>
      <c r="Z222" s="57" cm="1">
        <f t="array" ref="Z222">VLOOKUP(B222,'Player Data'!$A1:$AE673,14,FALSE)*$Q222</f>
        <v>0.83000000000000007</v>
      </c>
      <c r="AA222" s="57" cm="1">
        <f t="array" ref="AA222">VLOOKUP(B222,'Player Data'!$A1:$AE673,15,FALSE)*$Q222</f>
        <v>153.55000000000001</v>
      </c>
      <c r="AB222" s="57" cm="1">
        <f t="array" ref="AB222">VLOOKUP(B222,'Player Data'!$A1:$AE673,16,FALSE)*$Q222</f>
        <v>64.740000000000009</v>
      </c>
      <c r="AC222" s="57" cm="1">
        <f t="array" ref="AC222">VLOOKUP(B222,'Player Data'!$A1:$AE673,17,FALSE)*$Q222*IFERROR((VLOOKUP(P222,Settings!$E$28:$F$33,2,FALSE)+1),1)</f>
        <v>0</v>
      </c>
      <c r="AD222" s="57" cm="1">
        <f t="array" ref="AD222">VLOOKUP(B222,'Player Data'!$A1:$AE673,18,FALSE)*$Q222</f>
        <v>40.67</v>
      </c>
      <c r="AE222" s="57" cm="1">
        <f t="array" ref="AE222">VLOOKUP(B222,'Player Data'!$A1:$AE673,19,FALSE)*$Q222*IFERROR((VLOOKUP(P222,Settings!$E$28:$F$33,2,FALSE)+1),1)</f>
        <v>0.83000000000000007</v>
      </c>
      <c r="AF222" s="57" cm="1">
        <f t="array" ref="AF222">VLOOKUP(B222,'Player Data'!$A1:$AE673,20,FALSE)*$Q222</f>
        <v>0</v>
      </c>
      <c r="AG222" s="57" cm="1">
        <f t="array" ref="AG222">VLOOKUP(B222,'Player Data'!$A1:$AE673,21,FALSE)*$Q222</f>
        <v>0</v>
      </c>
      <c r="AH222" s="59" cm="1">
        <f t="array" ref="AH222">VLOOKUP(B222,'Player Data'!$A1:$AE673,22,FALSE)</f>
        <v>0</v>
      </c>
      <c r="AI222" s="55"/>
      <c r="AJ222" s="57"/>
      <c r="AK222" s="57"/>
      <c r="AL222" s="57"/>
      <c r="AM222" s="57"/>
      <c r="AN222" s="57"/>
      <c r="AO222" s="57"/>
      <c r="AP222" s="57"/>
      <c r="AQ222" s="60"/>
      <c r="AR222" s="61"/>
      <c r="AS222" s="55"/>
    </row>
    <row r="223" spans="1:45" ht="21.25" customHeight="1" x14ac:dyDescent="0.15">
      <c r="A223" s="62">
        <f>RANK(K223,K$2:K$671)</f>
        <v>244</v>
      </c>
      <c r="B223" s="10" t="s">
        <v>402</v>
      </c>
      <c r="C223" s="47" t="s">
        <v>145</v>
      </c>
      <c r="D223" s="48" t="str" cm="1">
        <f t="array" ref="D223">VLOOKUP(B223,'Player Data'!A1:D673,4,FALSE)</f>
        <v>D</v>
      </c>
      <c r="E223" s="68" cm="1">
        <f t="array" ref="E223">VLOOKUP(B223,D!A1:C204,3,FALSE)</f>
        <v>108</v>
      </c>
      <c r="F223" s="56" t="str" cm="1">
        <f t="array" ref="F223">VLOOKUP(B223,'Player Data'!A1:B673,2,FALSE)</f>
        <v>S.J</v>
      </c>
      <c r="G223" s="11" cm="1">
        <f t="array" ref="G223">VLOOKUP(B223,'Player Data'!A1:D673,3,FALSE)</f>
        <v>26</v>
      </c>
      <c r="H223" s="51" cm="1">
        <f t="array" ref="H223">IFERROR(VLOOKUP(B223,ADP!A1:F671,6,FALSE)/1000000,VLOOKUP(B223,ADP!A1:F671,6,FALSE))</f>
        <v>4.5</v>
      </c>
      <c r="I223" s="52">
        <f>IF(Settings!$E$15="POINTS",((R223*Q223)*Settings!$B$12)+(S223*Settings!$B$2)+(T223*Settings!$B$3)+(U223*Settings!$B$4)+(V223*Settings!$B$5)+(X223*Settings!$B$9)+(AA223*Settings!$B$6)+(W223*Settings!$B$8)+(AB223*Settings!$B$7)+(AC223*Settings!$B$14)+(AD223*Settings!$B$15)+(AE223*Settings!$B$16)+(AF223*Settings!$B$17)+(AG223*Settings!$B$18)+(U223*Settings!$B$13)+(Y223*Settings!$B$10)+(Z223*Settings!$B$11),VLOOKUP(B223,'Standard Deviations'!A$1:C$672,3,FALSE))</f>
        <v>-2.6139858737426063</v>
      </c>
      <c r="J223" s="53" cm="1">
        <f t="array" ref="J223">IF(D223="G",I223/AJ223,I223/Q223)</f>
        <v>-3.5324133428954137E-2</v>
      </c>
      <c r="K223" s="52" cm="1">
        <f t="array" ref="K223">VLOOKUP(B223,D!A1:F204,6,FALSE)</f>
        <v>-3.1808367882601605</v>
      </c>
      <c r="L223" s="54" cm="1">
        <f t="array" ref="L223">IFERROR(K223/H223,"N/A")</f>
        <v>-0.70685261961336898</v>
      </c>
      <c r="M223" s="84" t="s">
        <v>828</v>
      </c>
      <c r="N223" s="84" t="str" cm="1">
        <f t="array" ref="N223">IFERROR(M223-A223,"N/A")</f>
        <v>N/A</v>
      </c>
      <c r="O223" s="55"/>
      <c r="P223" s="56" cm="1">
        <f t="array" ref="P223">_xlfn.XLOOKUP($B223,ADP!A2:A671,ADP!G2:G671)</f>
        <v>0</v>
      </c>
      <c r="Q223" s="57" cm="1">
        <f t="array" ref="Q223">IF(Settings!$E$12="YES",VLOOKUP(B223,'Player Data'!A1:E673,5,FALSE),84)</f>
        <v>74</v>
      </c>
      <c r="R223" s="81" cm="1">
        <f t="array" ref="R223">VLOOKUP(B223,'Player Data'!$A1:$AE673,6,FALSE)</f>
        <v>18.5</v>
      </c>
      <c r="S223" s="57" cm="1">
        <f t="array" ref="S223">VLOOKUP(B223,'Player Data'!$A1:$AE673,7,FALSE)*$Q223*IFERROR((VLOOKUP(P223,Settings!$E$28:$F$33,2,FALSE)+1),1)</f>
        <v>5.1800000000000006</v>
      </c>
      <c r="T223" s="57" cm="1">
        <f t="array" ref="T223">VLOOKUP(B223,'Player Data'!$A1:$AE673,8,FALSE)*$Q223*IFERROR((VLOOKUP(P223,Settings!$E$28:$F$33,2,FALSE)+1),1)</f>
        <v>17.759999999999998</v>
      </c>
      <c r="U223" s="57" cm="1">
        <f t="array" ref="U223">SUM(S223:T223)</f>
        <v>22.939999999999998</v>
      </c>
      <c r="V223" s="57" cm="1">
        <f t="array" ref="V223">VLOOKUP(B223,'Player Data'!$A1:$AE673,10,FALSE)*$Q223*IFERROR(((VLOOKUP(P223,Settings!$E$28:$F$33,2,FALSE)/2)+1),1)</f>
        <v>122.83999999999999</v>
      </c>
      <c r="W223" s="57" cm="1">
        <f t="array" ref="W223">VLOOKUP(B223,'Player Data'!$A1:$AE673,11,FALSE)*$Q223*IFERROR((VLOOKUP(P223,Settings!$E$28:$F$33,2,FALSE)+1),1)</f>
        <v>0</v>
      </c>
      <c r="X223" s="57" cm="1">
        <f t="array" ref="X223">VLOOKUP(B223,'Player Data'!$A1:$AE673,12,FALSE)*$Q223*IFERROR((VLOOKUP(P223,Settings!$E$28:$F$33,2,FALSE)+1),1)</f>
        <v>0</v>
      </c>
      <c r="Y223" s="57" cm="1">
        <f t="array" ref="Y223">VLOOKUP(B223,'Player Data'!$A1:$AE673,13,FALSE)*$Q223</f>
        <v>0</v>
      </c>
      <c r="Z223" s="57" cm="1">
        <f t="array" ref="Z223">VLOOKUP(B223,'Player Data'!$A1:$AE673,14,FALSE)*$Q223</f>
        <v>0</v>
      </c>
      <c r="AA223" s="57" cm="1">
        <f t="array" ref="AA223">VLOOKUP(B223,'Player Data'!$A1:$AE673,15,FALSE)*$Q223</f>
        <v>100.64</v>
      </c>
      <c r="AB223" s="57" cm="1">
        <f t="array" ref="AB223">VLOOKUP(B223,'Player Data'!$A1:$AE673,16,FALSE)*$Q223</f>
        <v>83.61999999999999</v>
      </c>
      <c r="AC223" s="57" cm="1">
        <f t="array" ref="AC223">VLOOKUP(B223,'Player Data'!$A1:$AE673,17,FALSE)*$Q223*IFERROR((VLOOKUP(P223,Settings!$E$28:$F$33,2,FALSE)+1),1)</f>
        <v>-1.48</v>
      </c>
      <c r="AD223" s="57" cm="1">
        <f t="array" ref="AD223">VLOOKUP(B223,'Player Data'!$A1:$AE673,18,FALSE)*$Q223</f>
        <v>68.820000000000007</v>
      </c>
      <c r="AE223" s="57" cm="1">
        <f t="array" ref="AE223">VLOOKUP(B223,'Player Data'!$A1:$AE673,19,FALSE)*$Q223*IFERROR((VLOOKUP(P223,Settings!$E$28:$F$33,2,FALSE)+1),1)</f>
        <v>0.74</v>
      </c>
      <c r="AF223" s="57" cm="1">
        <f t="array" ref="AF223">VLOOKUP(B223,'Player Data'!$A1:$AE673,20,FALSE)*$Q223</f>
        <v>0</v>
      </c>
      <c r="AG223" s="57" cm="1">
        <f t="array" ref="AG223">VLOOKUP(B223,'Player Data'!$A1:$AE673,21,FALSE)*$Q223</f>
        <v>0</v>
      </c>
      <c r="AH223" s="59" cm="1">
        <f t="array" ref="AH223">VLOOKUP(B223,'Player Data'!$A1:$AE673,22,FALSE)</f>
        <v>0</v>
      </c>
      <c r="AI223" s="55"/>
      <c r="AJ223" s="57"/>
      <c r="AK223" s="57"/>
      <c r="AL223" s="57"/>
      <c r="AM223" s="57"/>
      <c r="AN223" s="57"/>
      <c r="AO223" s="57"/>
      <c r="AP223" s="57"/>
      <c r="AQ223" s="60"/>
      <c r="AR223" s="61"/>
      <c r="AS223" s="55"/>
    </row>
    <row r="224" spans="1:45" ht="21.25" customHeight="1" x14ac:dyDescent="0.15">
      <c r="A224" s="62">
        <f>RANK(K224,K$2:K$671)</f>
        <v>189</v>
      </c>
      <c r="B224" s="10" t="s">
        <v>254</v>
      </c>
      <c r="C224" s="47" t="s">
        <v>145</v>
      </c>
      <c r="D224" s="48" t="str" cm="1">
        <f t="array" ref="D224">VLOOKUP(B224,'Player Data'!A1:D673,4,FALSE)</f>
        <v>RW</v>
      </c>
      <c r="E224" s="64" cm="1">
        <f t="array" ref="E224">VLOOKUP(B224,RW!A1:F210,3,FALSE)</f>
        <v>43</v>
      </c>
      <c r="F224" s="69" t="str" cm="1">
        <f t="array" ref="F224">VLOOKUP(B224,'Player Data'!A1:B673,2,FALSE)</f>
        <v>MTL</v>
      </c>
      <c r="G224" s="71" cm="1">
        <f t="array" ref="G224">VLOOKUP(B224,'Player Data'!A1:D673,3,FALSE)</f>
        <v>20</v>
      </c>
      <c r="H224" s="51" cm="1">
        <f t="array" ref="H224">IFERROR(VLOOKUP(B224,ADP!A1:F671,6,FALSE)/1000000,VLOOKUP(B224,ADP!A1:F671,6,FALSE))</f>
        <v>0.94083300000000003</v>
      </c>
      <c r="I224" s="52">
        <f>IF(Settings!$E$15="POINTS",((R224*Q224)*Settings!$B$12)+(S224*Settings!$B$2)+(T224*Settings!$B$3)+(U224*Settings!$B$4)+(V224*Settings!$B$5)+(X224*Settings!$B$9)+(AA224*Settings!$B$6)+(W224*Settings!$B$8)+(AB224*Settings!$B$7)+(AC224*Settings!$B$14)+(AD224*Settings!$B$15)+(AE224*Settings!$B$16)+(AF224*Settings!$B$17)+(AG224*Settings!$B$18)+(Y224*Settings!$B$10)+(Z224*Settings!$B$11),VLOOKUP(B224,'Standard Deviations'!A$1:C$672,3,FALSE))</f>
        <v>4.6441614712014792</v>
      </c>
      <c r="J224" s="53" cm="1">
        <f t="array" ref="J224">IF(D224="G",I224/AJ224,I224/Q224)</f>
        <v>5.5953752665078064E-2</v>
      </c>
      <c r="K224" s="52" cm="1">
        <f t="array" ref="K224">IF(Settings!$E$18="C/LW/RW",VLOOKUP(B224,RW!A1:F210,6,FALSE),VLOOKUP(B224,F!A1:F407,6,FALSE))</f>
        <v>-2.2430731306075984</v>
      </c>
      <c r="L224" s="54" cm="1">
        <f t="array" ref="L224">IFERROR(K224/H224,"N/A")</f>
        <v>-2.3841352616326152</v>
      </c>
      <c r="M224" s="55">
        <v>84.8</v>
      </c>
      <c r="N224" s="55" cm="1">
        <f t="array" ref="N224">IFERROR(M224-A224,"N/A")</f>
        <v>-104.2</v>
      </c>
      <c r="O224" s="55"/>
      <c r="P224" s="56" t="str" cm="1">
        <f t="array" ref="P224">_xlfn.XLOOKUP($B224,ADP!A2:A671,ADP!G2:G671)</f>
        <v>+</v>
      </c>
      <c r="Q224" s="57" cm="1">
        <f t="array" ref="Q224">IF(Settings!$E$12="YES",VLOOKUP(B224,'Player Data'!A1:E673,5,FALSE),84)</f>
        <v>83</v>
      </c>
      <c r="R224" s="81" cm="1">
        <f t="array" ref="R224">VLOOKUP(B224,'Player Data'!$A1:$AE673,6,FALSE)</f>
        <v>17.3</v>
      </c>
      <c r="S224" s="57" cm="1">
        <f t="array" ref="S224">VLOOKUP(B224,'Player Data'!$A1:$AE673,7,FALSE)*$Q224*IFERROR((VLOOKUP(P224,Settings!$E$28:$F$33,2,FALSE)+1),1)</f>
        <v>24.402000000000005</v>
      </c>
      <c r="T224" s="57" cm="1">
        <f t="array" ref="T224">VLOOKUP(B224,'Player Data'!$A1:$AE673,8,FALSE)*$Q224*IFERROR((VLOOKUP(P224,Settings!$E$28:$F$33,2,FALSE)+1),1)</f>
        <v>48.804000000000009</v>
      </c>
      <c r="U224" s="57" cm="1">
        <f t="array" ref="U224">SUM(S224:T224)</f>
        <v>73.206000000000017</v>
      </c>
      <c r="V224" s="57" cm="1">
        <f t="array" ref="V224">VLOOKUP(B224,'Player Data'!$A1:$AE673,10,FALSE)*$Q224*IFERROR(((VLOOKUP(P224,Settings!$E$28:$F$33,2,FALSE)/2)+1),1)</f>
        <v>152.28424999999999</v>
      </c>
      <c r="W224" s="58" cm="1">
        <f t="array" ref="W224">VLOOKUP(B224,'Player Data'!$A1:$AE673,11,FALSE)*$Q224*IFERROR((VLOOKUP(P224,Settings!$E$28:$F$33,2,FALSE)+1),1)</f>
        <v>8.7150000000000016</v>
      </c>
      <c r="X224" s="57" cm="1">
        <f t="array" ref="X224">VLOOKUP(B224,'Player Data'!$A1:$AE673,12,FALSE)*$Q224*IFERROR((VLOOKUP(P224,Settings!$E$28:$F$33,2,FALSE)+1),1)</f>
        <v>24.402000000000005</v>
      </c>
      <c r="Y224" s="57" cm="1">
        <f t="array" ref="Y224">VLOOKUP(B224,'Player Data'!$A1:$AE673,13,FALSE)*$Q224</f>
        <v>0</v>
      </c>
      <c r="Z224" s="57" cm="1">
        <f t="array" ref="Z224">VLOOKUP(B224,'Player Data'!$A1:$AE673,14,FALSE)*$Q224</f>
        <v>0</v>
      </c>
      <c r="AA224" s="57" cm="1">
        <f t="array" ref="AA224">VLOOKUP(B224,'Player Data'!$A1:$AE673,15,FALSE)*$Q224</f>
        <v>30.71</v>
      </c>
      <c r="AB224" s="57" cm="1">
        <f t="array" ref="AB224">VLOOKUP(B224,'Player Data'!$A1:$AE673,16,FALSE)*$Q224</f>
        <v>40.67</v>
      </c>
      <c r="AC224" s="57" cm="1">
        <f t="array" ref="AC224">VLOOKUP(B224,'Player Data'!$A1:$AE673,17,FALSE)*$Q224*IFERROR((VLOOKUP(P224,Settings!$E$28:$F$33,2,FALSE)+1),1)</f>
        <v>3.4860000000000007</v>
      </c>
      <c r="AD224" s="57" cm="1">
        <f t="array" ref="AD224">VLOOKUP(B224,'Player Data'!$A1:$AE673,18,FALSE)*$Q224</f>
        <v>36.520000000000003</v>
      </c>
      <c r="AE224" s="57" cm="1">
        <f t="array" ref="AE224">VLOOKUP(B224,'Player Data'!$A1:$AE673,19,FALSE)*$Q224*IFERROR((VLOOKUP(P224,Settings!$E$28:$F$33,2,FALSE)+1),1)</f>
        <v>4.3575000000000008</v>
      </c>
      <c r="AF224" s="57" cm="1">
        <f t="array" ref="AF224">VLOOKUP(B224,'Player Data'!$A1:$AE673,20,FALSE)*$Q224</f>
        <v>0</v>
      </c>
      <c r="AG224" s="57" cm="1">
        <f t="array" ref="AG224">VLOOKUP(B224,'Player Data'!$A1:$AE673,21,FALSE)*$Q224</f>
        <v>0</v>
      </c>
      <c r="AH224" s="59" cm="1">
        <f t="array" ref="AH224">VLOOKUP(B224,'Player Data'!$A1:$AE673,22,FALSE)</f>
        <v>0</v>
      </c>
      <c r="AI224" s="55"/>
      <c r="AJ224" s="57"/>
      <c r="AK224" s="57"/>
      <c r="AL224" s="57"/>
      <c r="AM224" s="57"/>
      <c r="AN224" s="57"/>
      <c r="AO224" s="57"/>
      <c r="AP224" s="57"/>
      <c r="AQ224" s="60"/>
      <c r="AR224" s="61"/>
      <c r="AS224" s="55"/>
    </row>
    <row r="225" spans="1:45" ht="21.25" customHeight="1" x14ac:dyDescent="0.15">
      <c r="A225" s="62">
        <f>RANK(K225,K$2:K$671)</f>
        <v>190</v>
      </c>
      <c r="B225" s="10" t="s">
        <v>344</v>
      </c>
      <c r="C225" s="47" t="s">
        <v>145</v>
      </c>
      <c r="D225" s="48" t="str" cm="1">
        <f t="array" ref="D225">VLOOKUP(B225,'Player Data'!A1:D673,4,FALSE)</f>
        <v>LW,RW</v>
      </c>
      <c r="E225" s="74" cm="1">
        <f t="array" ref="E225">VLOOKUP(B225,RW!A1:F210,3,FALSE)</f>
        <v>44</v>
      </c>
      <c r="F225" s="56" t="str" cm="1">
        <f t="array" ref="F225">VLOOKUP(B225,'Player Data'!A1:B673,2,FALSE)</f>
        <v>PHI</v>
      </c>
      <c r="G225" s="11" cm="1">
        <f t="array" ref="G225">VLOOKUP(B225,'Player Data'!A1:D673,3,FALSE)</f>
        <v>27</v>
      </c>
      <c r="H225" s="51" cm="1">
        <f t="array" ref="H225">IFERROR(VLOOKUP(B225,ADP!A1:F671,6,FALSE)/1000000,VLOOKUP(B225,ADP!A1:F671,6,FALSE))</f>
        <v>6.2</v>
      </c>
      <c r="I225" s="52">
        <f>IF(Settings!$E$15="POINTS",((R225*Q225)*Settings!$B$12)+(S225*Settings!$B$2)+(T225*Settings!$B$3)+(U225*Settings!$B$4)+(V225*Settings!$B$5)+(X225*Settings!$B$9)+(AA225*Settings!$B$6)+(W225*Settings!$B$8)+(AB225*Settings!$B$7)+(AC225*Settings!$B$14)+(AD225*Settings!$B$15)+(AE225*Settings!$B$16)+(AF225*Settings!$B$17)+(AG225*Settings!$B$18)+(Y225*Settings!$B$10)+(Z225*Settings!$B$11),VLOOKUP(B225,'Standard Deviations'!A$1:C$672,3,FALSE))</f>
        <v>4.6336823797787394</v>
      </c>
      <c r="J225" s="53" cm="1">
        <f t="array" ref="J225">IF(D225="G",I225/AJ225,I225/Q225)</f>
        <v>5.5827498551551079E-2</v>
      </c>
      <c r="K225" s="52" cm="1">
        <f t="array" ref="K225">IF(Settings!$E$18="C/LW/RW",VLOOKUP(B225,RW!A1:F210,6,FALSE),VLOOKUP(B225,F!A1:F407,6,FALSE))</f>
        <v>-2.2535522220303381</v>
      </c>
      <c r="L225" s="54" cm="1">
        <f t="array" ref="L225">IFERROR(K225/H225,"N/A")</f>
        <v>-0.3634761648436029</v>
      </c>
      <c r="M225" s="84" t="s">
        <v>828</v>
      </c>
      <c r="N225" s="84" t="str" cm="1">
        <f t="array" ref="N225">IFERROR(M225-A225,"N/A")</f>
        <v>N/A</v>
      </c>
      <c r="O225" s="55"/>
      <c r="P225" s="56" cm="1">
        <f t="array" ref="P225">_xlfn.XLOOKUP($B225,ADP!A2:A671,ADP!G2:G671)</f>
        <v>0</v>
      </c>
      <c r="Q225" s="57" cm="1">
        <f t="array" ref="Q225">IF(Settings!$E$12="YES",VLOOKUP(B225,'Player Data'!A1:E673,5,FALSE),84)</f>
        <v>83</v>
      </c>
      <c r="R225" s="55" cm="1">
        <f t="array" ref="R225">VLOOKUP(B225,'Player Data'!$A1:$AE673,6,FALSE)</f>
        <v>16.100000000000001</v>
      </c>
      <c r="S225" s="57" cm="1">
        <f t="array" ref="S225">VLOOKUP(B225,'Player Data'!$A1:$AE673,7,FALSE)*$Q225*IFERROR((VLOOKUP(P225,Settings!$E$28:$F$33,2,FALSE)+1),1)</f>
        <v>25.73</v>
      </c>
      <c r="T225" s="57" cm="1">
        <f t="array" ref="T225">VLOOKUP(B225,'Player Data'!$A1:$AE673,8,FALSE)*$Q225*IFERROR((VLOOKUP(P225,Settings!$E$28:$F$33,2,FALSE)+1),1)</f>
        <v>25.73</v>
      </c>
      <c r="U225" s="57" cm="1">
        <f t="array" ref="U225">SUM(S225:T225)</f>
        <v>51.46</v>
      </c>
      <c r="V225" s="57" cm="1">
        <f t="array" ref="V225">VLOOKUP(B225,'Player Data'!$A1:$AE673,10,FALSE)*$Q225*IFERROR(((VLOOKUP(P225,Settings!$E$28:$F$33,2,FALSE)/2)+1),1)</f>
        <v>227.42000000000002</v>
      </c>
      <c r="W225" s="57" cm="1">
        <f t="array" ref="W225">VLOOKUP(B225,'Player Data'!$A1:$AE673,11,FALSE)*$Q225*IFERROR((VLOOKUP(P225,Settings!$E$28:$F$33,2,FALSE)+1),1)</f>
        <v>2.4899999999999998</v>
      </c>
      <c r="X225" s="57" cm="1">
        <f t="array" ref="X225">VLOOKUP(B225,'Player Data'!$A1:$AE673,12,FALSE)*$Q225*IFERROR((VLOOKUP(P225,Settings!$E$28:$F$33,2,FALSE)+1),1)</f>
        <v>8.3000000000000007</v>
      </c>
      <c r="Y225" s="57" cm="1">
        <f t="array" ref="Y225">VLOOKUP(B225,'Player Data'!$A1:$AE673,13,FALSE)*$Q225</f>
        <v>0.83000000000000007</v>
      </c>
      <c r="Z225" s="57" cm="1">
        <f t="array" ref="Z225">VLOOKUP(B225,'Player Data'!$A1:$AE673,14,FALSE)*$Q225</f>
        <v>0.83000000000000007</v>
      </c>
      <c r="AA225" s="57" cm="1">
        <f t="array" ref="AA225">VLOOKUP(B225,'Player Data'!$A1:$AE673,15,FALSE)*$Q225</f>
        <v>53.95</v>
      </c>
      <c r="AB225" s="57" cm="1">
        <f t="array" ref="AB225">VLOOKUP(B225,'Player Data'!$A1:$AE673,16,FALSE)*$Q225</f>
        <v>147.74</v>
      </c>
      <c r="AC225" s="57" cm="1">
        <f t="array" ref="AC225">VLOOKUP(B225,'Player Data'!$A1:$AE673,17,FALSE)*$Q225*IFERROR((VLOOKUP(P225,Settings!$E$28:$F$33,2,FALSE)+1),1)</f>
        <v>1.6600000000000001</v>
      </c>
      <c r="AD225" s="57" cm="1">
        <f t="array" ref="AD225">VLOOKUP(B225,'Player Data'!$A1:$AE673,18,FALSE)*$Q225</f>
        <v>20.75</v>
      </c>
      <c r="AE225" s="57" cm="1">
        <f t="array" ref="AE225">VLOOKUP(B225,'Player Data'!$A1:$AE673,19,FALSE)*$Q225*IFERROR((VLOOKUP(P225,Settings!$E$28:$F$33,2,FALSE)+1),1)</f>
        <v>4.1500000000000004</v>
      </c>
      <c r="AF225" s="57" cm="1">
        <f t="array" ref="AF225">VLOOKUP(B225,'Player Data'!$A1:$AE673,20,FALSE)*$Q225</f>
        <v>10.790000000000001</v>
      </c>
      <c r="AG225" s="57" cm="1">
        <f t="array" ref="AG225">VLOOKUP(B225,'Player Data'!$A1:$AE673,21,FALSE)*$Q225</f>
        <v>19.919999999999998</v>
      </c>
      <c r="AH225" s="59" cm="1">
        <f t="array" ref="AH225">VLOOKUP(B225,'Player Data'!$A1:$AE673,22,FALSE)</f>
        <v>0.36</v>
      </c>
      <c r="AI225" s="55"/>
      <c r="AJ225" s="57"/>
      <c r="AK225" s="57"/>
      <c r="AL225" s="57"/>
      <c r="AM225" s="57"/>
      <c r="AN225" s="57"/>
      <c r="AO225" s="57"/>
      <c r="AP225" s="57"/>
      <c r="AQ225" s="60"/>
      <c r="AR225" s="61"/>
      <c r="AS225" s="55"/>
    </row>
    <row r="226" spans="1:45" ht="21.25" customHeight="1" x14ac:dyDescent="0.15">
      <c r="A226" s="62">
        <f>RANK(K226,K$2:K$671)</f>
        <v>191</v>
      </c>
      <c r="B226" s="10" t="s">
        <v>221</v>
      </c>
      <c r="C226" s="47" t="s">
        <v>145</v>
      </c>
      <c r="D226" s="48" t="str" cm="1">
        <f t="array" ref="D226">VLOOKUP(B226,'Player Data'!A1:D673,4,FALSE)</f>
        <v>LW,RW</v>
      </c>
      <c r="E226" s="74" cm="1">
        <f t="array" ref="E226">VLOOKUP(B226,RW!A1:F210,3,FALSE)</f>
        <v>45</v>
      </c>
      <c r="F226" s="56" t="str" cm="1">
        <f t="array" ref="F226">VLOOKUP(B226,'Player Data'!A1:B673,2,FALSE)</f>
        <v>S.J</v>
      </c>
      <c r="G226" s="71" cm="1">
        <f t="array" ref="G226">VLOOKUP(B226,'Player Data'!A1:D673,3,FALSE)</f>
        <v>21</v>
      </c>
      <c r="H226" s="51" cm="1">
        <f t="array" ref="H226">IFERROR(VLOOKUP(B226,ADP!A1:F671,6,FALSE)/1000000,VLOOKUP(B226,ADP!A1:F671,6,FALSE))</f>
        <v>0.95</v>
      </c>
      <c r="I226" s="52">
        <f>IF(Settings!$E$15="POINTS",((R226*Q226)*Settings!$B$12)+(S226*Settings!$B$2)+(T226*Settings!$B$3)+(U226*Settings!$B$4)+(V226*Settings!$B$5)+(X226*Settings!$B$9)+(AA226*Settings!$B$6)+(W226*Settings!$B$8)+(AB226*Settings!$B$7)+(AC226*Settings!$B$14)+(AD226*Settings!$B$15)+(AE226*Settings!$B$16)+(AF226*Settings!$B$17)+(AG226*Settings!$B$18)+(Y226*Settings!$B$10)+(Z226*Settings!$B$11),VLOOKUP(B226,'Standard Deviations'!A$1:C$672,3,FALSE))</f>
        <v>4.6309781540389636</v>
      </c>
      <c r="J226" s="53" cm="1">
        <f t="array" ref="J226">IF(D226="G",I226/AJ226,I226/Q226)</f>
        <v>5.7887226925487048E-2</v>
      </c>
      <c r="K226" s="52" cm="1">
        <f t="array" ref="K226">IF(Settings!$E$18="C/LW/RW",VLOOKUP(B226,RW!A1:F210,6,FALSE),VLOOKUP(B226,F!A1:F407,6,FALSE))</f>
        <v>-2.2562564477701139</v>
      </c>
      <c r="L226" s="54" cm="1">
        <f t="array" ref="L226">IFERROR(K226/H226,"N/A")</f>
        <v>-2.375006787126436</v>
      </c>
      <c r="M226" s="55">
        <v>63.4</v>
      </c>
      <c r="N226" s="55" cm="1">
        <f t="array" ref="N226">IFERROR(M226-A226,"N/A")</f>
        <v>-127.6</v>
      </c>
      <c r="O226" s="55"/>
      <c r="P226" s="56" t="str" cm="1">
        <f t="array" ref="P226">_xlfn.XLOOKUP($B226,ADP!A2:A671,ADP!G2:G671)</f>
        <v>+ +</v>
      </c>
      <c r="Q226" s="57" cm="1">
        <f t="array" ref="Q226">IF(Settings!$E$12="YES",VLOOKUP(B226,'Player Data'!A1:E673,5,FALSE),84)</f>
        <v>80</v>
      </c>
      <c r="R226" s="55" cm="1">
        <f t="array" ref="R226">VLOOKUP(B226,'Player Data'!$A1:$AE673,6,FALSE)</f>
        <v>19.100000000000001</v>
      </c>
      <c r="S226" s="57" cm="1">
        <f t="array" ref="S226">VLOOKUP(B226,'Player Data'!$A1:$AE673,7,FALSE)*$Q226*IFERROR((VLOOKUP(P226,Settings!$E$28:$F$33,2,FALSE)+1),1)</f>
        <v>31.68</v>
      </c>
      <c r="T226" s="57" cm="1">
        <f t="array" ref="T226">VLOOKUP(B226,'Player Data'!$A1:$AE673,8,FALSE)*$Q226*IFERROR((VLOOKUP(P226,Settings!$E$28:$F$33,2,FALSE)+1),1)</f>
        <v>45.760000000000005</v>
      </c>
      <c r="U226" s="57" cm="1">
        <f t="array" ref="U226">SUM(S226:T226)</f>
        <v>77.44</v>
      </c>
      <c r="V226" s="57" cm="1">
        <f t="array" ref="V226">VLOOKUP(B226,'Player Data'!$A1:$AE673,10,FALSE)*$Q226*IFERROR(((VLOOKUP(P226,Settings!$E$28:$F$33,2,FALSE)/2)+1),1)</f>
        <v>207.48000000000005</v>
      </c>
      <c r="W226" s="58" cm="1">
        <f t="array" ref="W226">VLOOKUP(B226,'Player Data'!$A1:$AE673,11,FALSE)*$Q226*IFERROR((VLOOKUP(P226,Settings!$E$28:$F$33,2,FALSE)+1),1)</f>
        <v>9.6800000000000015</v>
      </c>
      <c r="X226" s="57" cm="1">
        <f t="array" ref="X226">VLOOKUP(B226,'Player Data'!$A1:$AE673,12,FALSE)*$Q226*IFERROR((VLOOKUP(P226,Settings!$E$28:$F$33,2,FALSE)+1),1)</f>
        <v>23.760000000000005</v>
      </c>
      <c r="Y226" s="57" cm="1">
        <f t="array" ref="Y226">VLOOKUP(B226,'Player Data'!$A1:$AE673,13,FALSE)*$Q226</f>
        <v>0</v>
      </c>
      <c r="Z226" s="57" cm="1">
        <f t="array" ref="Z226">VLOOKUP(B226,'Player Data'!$A1:$AE673,14,FALSE)*$Q226</f>
        <v>0</v>
      </c>
      <c r="AA226" s="57" cm="1">
        <f t="array" ref="AA226">VLOOKUP(B226,'Player Data'!$A1:$AE673,15,FALSE)*$Q226</f>
        <v>20</v>
      </c>
      <c r="AB226" s="57" cm="1">
        <f t="array" ref="AB226">VLOOKUP(B226,'Player Data'!$A1:$AE673,16,FALSE)*$Q226</f>
        <v>27.200000000000003</v>
      </c>
      <c r="AC226" s="57" cm="1">
        <f t="array" ref="AC226">VLOOKUP(B226,'Player Data'!$A1:$AE673,17,FALSE)*$Q226*IFERROR((VLOOKUP(P226,Settings!$E$28:$F$33,2,FALSE)+1),1)</f>
        <v>-1.7600000000000002</v>
      </c>
      <c r="AD226" s="57" cm="1">
        <f t="array" ref="AD226">VLOOKUP(B226,'Player Data'!$A1:$AE673,18,FALSE)*$Q226</f>
        <v>24.8</v>
      </c>
      <c r="AE226" s="57" cm="1">
        <f t="array" ref="AE226">VLOOKUP(B226,'Player Data'!$A1:$AE673,19,FALSE)*$Q226*IFERROR((VLOOKUP(P226,Settings!$E$28:$F$33,2,FALSE)+1),1)</f>
        <v>4.4000000000000004</v>
      </c>
      <c r="AF226" s="57" cm="1">
        <f t="array" ref="AF226">VLOOKUP(B226,'Player Data'!$A1:$AE673,20,FALSE)*$Q226</f>
        <v>28</v>
      </c>
      <c r="AG226" s="57" cm="1">
        <f t="array" ref="AG226">VLOOKUP(B226,'Player Data'!$A1:$AE673,21,FALSE)*$Q226</f>
        <v>58.4</v>
      </c>
      <c r="AH226" s="59" cm="1">
        <f t="array" ref="AH226">VLOOKUP(B226,'Player Data'!$A1:$AE673,22,FALSE)</f>
        <v>0.32</v>
      </c>
      <c r="AI226" s="55"/>
      <c r="AJ226" s="57"/>
      <c r="AK226" s="57"/>
      <c r="AL226" s="57"/>
      <c r="AM226" s="57"/>
      <c r="AN226" s="57"/>
      <c r="AO226" s="57"/>
      <c r="AP226" s="57"/>
      <c r="AQ226" s="60"/>
      <c r="AR226" s="61"/>
      <c r="AS226" s="55"/>
    </row>
    <row r="227" spans="1:45" ht="21.25" customHeight="1" x14ac:dyDescent="0.15">
      <c r="A227" s="62">
        <f>RANK(K227,K$2:K$671)</f>
        <v>246</v>
      </c>
      <c r="B227" s="10" t="s">
        <v>447</v>
      </c>
      <c r="C227" s="47" t="s">
        <v>145</v>
      </c>
      <c r="D227" s="48" t="str" cm="1">
        <f t="array" ref="D227">VLOOKUP(B227,'Player Data'!A1:D673,4,FALSE)</f>
        <v>D</v>
      </c>
      <c r="E227" s="68" cm="1">
        <f t="array" ref="E227">VLOOKUP(B227,D!A1:C204,3,FALSE)</f>
        <v>109</v>
      </c>
      <c r="F227" s="63" t="str" cm="1">
        <f t="array" ref="F227">VLOOKUP(B227,'Player Data'!A1:B673,2,FALSE)</f>
        <v>DAL</v>
      </c>
      <c r="G227" s="66" cm="1">
        <f t="array" ref="G227">VLOOKUP(B227,'Player Data'!A1:D673,3,FALSE)</f>
        <v>36</v>
      </c>
      <c r="H227" s="67" cm="1">
        <f t="array" ref="H227">IFERROR(VLOOKUP(B227,ADP!A1:F671,6,FALSE)/1000000,VLOOKUP(B227,ADP!A1:F671,6,FALSE))</f>
        <v>1.5</v>
      </c>
      <c r="I227" s="52">
        <f>IF(Settings!$E$15="POINTS",((R227*Q227)*Settings!$B$12)+(S227*Settings!$B$2)+(T227*Settings!$B$3)+(U227*Settings!$B$4)+(V227*Settings!$B$5)+(X227*Settings!$B$9)+(AA227*Settings!$B$6)+(W227*Settings!$B$8)+(AB227*Settings!$B$7)+(AC227*Settings!$B$14)+(AD227*Settings!$B$15)+(AE227*Settings!$B$16)+(AF227*Settings!$B$17)+(AG227*Settings!$B$18)+(U227*Settings!$B$13)+(Y227*Settings!$B$10)+(Z227*Settings!$B$11),VLOOKUP(B227,'Standard Deviations'!A$1:C$672,3,FALSE))</f>
        <v>-2.6495466779575656</v>
      </c>
      <c r="J227" s="53" cm="1">
        <f t="array" ref="J227">IF(D227="G",I227/AJ227,I227/Q227)</f>
        <v>-3.3119333474469569E-2</v>
      </c>
      <c r="K227" s="52" cm="1">
        <f t="array" ref="K227">VLOOKUP(B227,D!A1:F204,6,FALSE)</f>
        <v>-3.2163975924751202</v>
      </c>
      <c r="L227" s="54" cm="1">
        <f t="array" ref="L227">IFERROR(K227/H227,"N/A")</f>
        <v>-2.14426506165008</v>
      </c>
      <c r="M227" s="84" t="s">
        <v>828</v>
      </c>
      <c r="N227" s="84" t="str" cm="1">
        <f t="array" ref="N227">IFERROR(M227-A227,"N/A")</f>
        <v>N/A</v>
      </c>
      <c r="O227" s="55"/>
      <c r="P227" s="56" cm="1">
        <f t="array" ref="P227">_xlfn.XLOOKUP($B227,ADP!A2:A671,ADP!G2:G671)</f>
        <v>0</v>
      </c>
      <c r="Q227" s="57" cm="1">
        <f t="array" ref="Q227">IF(Settings!$E$12="YES",VLOOKUP(B227,'Player Data'!A1:E673,5,FALSE),84)</f>
        <v>80</v>
      </c>
      <c r="R227" s="83" cm="1">
        <f t="array" ref="R227">VLOOKUP(B227,'Player Data'!$A1:$AE673,6,FALSE)</f>
        <v>18</v>
      </c>
      <c r="S227" s="57" cm="1">
        <f t="array" ref="S227">VLOOKUP(B227,'Player Data'!$A1:$AE673,7,FALSE)*$Q227*IFERROR((VLOOKUP(P227,Settings!$E$28:$F$33,2,FALSE)+1),1)</f>
        <v>3.2</v>
      </c>
      <c r="T227" s="57" cm="1">
        <f t="array" ref="T227">VLOOKUP(B227,'Player Data'!$A1:$AE673,8,FALSE)*$Q227*IFERROR((VLOOKUP(P227,Settings!$E$28:$F$33,2,FALSE)+1),1)</f>
        <v>14.399999999999999</v>
      </c>
      <c r="U227" s="57" cm="1">
        <f t="array" ref="U227">SUM(S227:T227)</f>
        <v>17.599999999999998</v>
      </c>
      <c r="V227" s="57" cm="1">
        <f t="array" ref="V227">VLOOKUP(B227,'Player Data'!$A1:$AE673,10,FALSE)*$Q227*IFERROR(((VLOOKUP(P227,Settings!$E$28:$F$33,2,FALSE)/2)+1),1)</f>
        <v>80</v>
      </c>
      <c r="W227" s="57" cm="1">
        <f t="array" ref="W227">VLOOKUP(B227,'Player Data'!$A1:$AE673,11,FALSE)*$Q227*IFERROR((VLOOKUP(P227,Settings!$E$28:$F$33,2,FALSE)+1),1)</f>
        <v>0</v>
      </c>
      <c r="X227" s="57" cm="1">
        <f t="array" ref="X227">VLOOKUP(B227,'Player Data'!$A1:$AE673,12,FALSE)*$Q227*IFERROR((VLOOKUP(P227,Settings!$E$28:$F$33,2,FALSE)+1),1)</f>
        <v>0</v>
      </c>
      <c r="Y227" s="57" cm="1">
        <f t="array" ref="Y227">VLOOKUP(B227,'Player Data'!$A1:$AE673,13,FALSE)*$Q227</f>
        <v>0.8</v>
      </c>
      <c r="Z227" s="57" cm="1">
        <f t="array" ref="Z227">VLOOKUP(B227,'Player Data'!$A1:$AE673,14,FALSE)*$Q227</f>
        <v>0.8</v>
      </c>
      <c r="AA227" s="57" cm="1">
        <f t="array" ref="AA227">VLOOKUP(B227,'Player Data'!$A1:$AE673,15,FALSE)*$Q227</f>
        <v>121.6</v>
      </c>
      <c r="AB227" s="57" cm="1">
        <f t="array" ref="AB227">VLOOKUP(B227,'Player Data'!$A1:$AE673,16,FALSE)*$Q227</f>
        <v>89.600000000000009</v>
      </c>
      <c r="AC227" s="57" cm="1">
        <f t="array" ref="AC227">VLOOKUP(B227,'Player Data'!$A1:$AE673,17,FALSE)*$Q227*IFERROR((VLOOKUP(P227,Settings!$E$28:$F$33,2,FALSE)+1),1)</f>
        <v>3.2</v>
      </c>
      <c r="AD227" s="57" cm="1">
        <f t="array" ref="AD227">VLOOKUP(B227,'Player Data'!$A1:$AE673,18,FALSE)*$Q227</f>
        <v>55.199999999999996</v>
      </c>
      <c r="AE227" s="57" cm="1">
        <f t="array" ref="AE227">VLOOKUP(B227,'Player Data'!$A1:$AE673,19,FALSE)*$Q227*IFERROR((VLOOKUP(P227,Settings!$E$28:$F$33,2,FALSE)+1),1)</f>
        <v>0.8</v>
      </c>
      <c r="AF227" s="57" cm="1">
        <f t="array" ref="AF227">VLOOKUP(B227,'Player Data'!$A1:$AE673,20,FALSE)*$Q227</f>
        <v>0</v>
      </c>
      <c r="AG227" s="57" cm="1">
        <f t="array" ref="AG227">VLOOKUP(B227,'Player Data'!$A1:$AE673,21,FALSE)*$Q227</f>
        <v>0</v>
      </c>
      <c r="AH227" s="59" cm="1">
        <f t="array" ref="AH227">VLOOKUP(B227,'Player Data'!$A1:$AE673,22,FALSE)</f>
        <v>0</v>
      </c>
      <c r="AI227" s="55"/>
      <c r="AJ227" s="57"/>
      <c r="AK227" s="57"/>
      <c r="AL227" s="57"/>
      <c r="AM227" s="57"/>
      <c r="AN227" s="57"/>
      <c r="AO227" s="57"/>
      <c r="AP227" s="57"/>
      <c r="AQ227" s="60"/>
      <c r="AR227" s="61"/>
      <c r="AS227" s="55"/>
    </row>
    <row r="228" spans="1:45" ht="21.25" customHeight="1" x14ac:dyDescent="0.15">
      <c r="A228" s="62">
        <f>RANK(K228,K$2:K$671)</f>
        <v>236</v>
      </c>
      <c r="B228" s="10" t="s">
        <v>610</v>
      </c>
      <c r="C228" s="47" t="s">
        <v>145</v>
      </c>
      <c r="D228" s="48" t="str" cm="1">
        <f t="array" ref="D228">VLOOKUP(B228,'Player Data'!A1:D673,4,FALSE)</f>
        <v>G</v>
      </c>
      <c r="E228" s="76" cm="1">
        <f t="array" ref="E228">VLOOKUP(B228,G!A1:D66,3,FALSE)</f>
        <v>38</v>
      </c>
      <c r="F228" s="63" t="str" cm="1">
        <f t="array" ref="F228">VLOOKUP(B228,'Player Data'!A1:B673,2,FALSE)</f>
        <v>DAL</v>
      </c>
      <c r="G228" s="66" cm="1">
        <f t="array" ref="G228">VLOOKUP(B228,'Player Data'!A1:D673,3,FALSE)</f>
        <v>35</v>
      </c>
      <c r="H228" s="67" cm="1">
        <f t="array" ref="H228">IFERROR(VLOOKUP(B228,ADP!A1:F671,6,FALSE)/1000000,VLOOKUP(B228,ADP!A1:F671,6,FALSE))</f>
        <v>1.016</v>
      </c>
      <c r="I228" s="52">
        <f>IF(Settings!$E$15="POINTS",(AJ228*Settings!$B$29)+(AK228*Settings!$B$21)+(AL228*Settings!$B$22)+(AN228*Settings!$B$24)+(AO228*Settings!$B$25)+(AP228*Settings!$B$27)+(AM228*Settings!$B$23),VLOOKUP(B228,'Standard Deviations'!A$1:C$672,3,FALSE))</f>
        <v>-1.0001945427794134</v>
      </c>
      <c r="J228" s="53" cm="1">
        <f t="array" ref="J228">IF(D228="G",I228/AJ228,I228/Q228)</f>
        <v>-4.000778171117654E-2</v>
      </c>
      <c r="K228" s="52" cm="1">
        <f t="array" ref="K228">VLOOKUP(B228,G!A1:F66,6,FALSE)</f>
        <v>-3.0383798019030883</v>
      </c>
      <c r="L228" s="54" cm="1">
        <f t="array" ref="L228">IFERROR(K228/H228,"N/A")</f>
        <v>-2.9905313010857166</v>
      </c>
      <c r="M228" s="84" t="s">
        <v>828</v>
      </c>
      <c r="N228" s="84" t="str" cm="1">
        <f t="array" ref="N228">IFERROR(M228-A228,"N/A")</f>
        <v>N/A</v>
      </c>
      <c r="O228" s="55"/>
      <c r="P228" s="56" cm="1">
        <f t="array" ref="P228">_xlfn.XLOOKUP($B228,ADP!A2:A671,ADP!G2:G671)</f>
        <v>0</v>
      </c>
      <c r="Q228" s="57"/>
      <c r="R228" s="55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9"/>
      <c r="AI228" s="55"/>
      <c r="AJ228" s="77" cm="1">
        <f t="array" ref="AJ228">VLOOKUP(B228,'Player Data'!$A1:$AE673,24,FALSE)</f>
        <v>25</v>
      </c>
      <c r="AK228" s="57" cm="1">
        <f t="array" ref="AK228">VLOOKUP(B228,'Player Data'!$A1:$AE673,25,FALSE)*$AJ228*IFERROR((VLOOKUP(P228,Settings!$E$28:$F$33,2,FALSE)+1),1)</f>
        <v>14.249999999999998</v>
      </c>
      <c r="AL228" s="57" cm="1">
        <f t="array" ref="AL228">AJ228-AK228-AM228</f>
        <v>8.0000000000000018</v>
      </c>
      <c r="AM228" s="57" cm="1">
        <f t="array" ref="AM228">VLOOKUP(B228,'Player Data'!$A1:$AE673,27,FALSE)*$AJ228</f>
        <v>2.75</v>
      </c>
      <c r="AN228" s="57" cm="1">
        <f t="array" ref="AN228">VLOOKUP(B228,'Player Data'!$A1:$AE673,28,FALSE)*AJ228</f>
        <v>1.5</v>
      </c>
      <c r="AO228" s="57" cm="1">
        <f t="array" ref="AO228">VLOOKUP(B228,'Player Data'!$A1:$AE673,29,FALSE)*$AJ228*IFERROR((VLOOKUP(P228,Settings!$E$28:$F$33,2,FALSE)/4)+1,1)</f>
        <v>622.5</v>
      </c>
      <c r="AP228" s="57" cm="1">
        <f t="array" ref="AP228">VLOOKUP(B228,'Player Data'!$A1:$AE673,31,FALSE)*$AJ228*(IFERROR(1-(VLOOKUP(P228,Settings!$E$28:$F$33,2,FALSE)/4),1))</f>
        <v>69.5</v>
      </c>
      <c r="AQ228" s="60" cm="1">
        <f t="array" ref="AQ228">1-(AP228/(AO228+AP228))</f>
        <v>0.89956647398843925</v>
      </c>
      <c r="AR228" s="61" cm="1">
        <f t="array" ref="AR228">AP228/AJ228</f>
        <v>2.78</v>
      </c>
      <c r="AS228" s="55"/>
    </row>
    <row r="229" spans="1:45" ht="21.25" customHeight="1" x14ac:dyDescent="0.15">
      <c r="A229" s="62">
        <f>RANK(K229,K$2:K$671)</f>
        <v>195</v>
      </c>
      <c r="B229" s="10" t="s">
        <v>219</v>
      </c>
      <c r="C229" s="47" t="s">
        <v>145</v>
      </c>
      <c r="D229" s="48" t="str" cm="1">
        <f t="array" ref="D229">VLOOKUP(B229,'Player Data'!A1:D673,4,FALSE)</f>
        <v>C</v>
      </c>
      <c r="E229" s="49" cm="1">
        <f t="array" ref="E229">VLOOKUP(B229,'C'!A1:C210,3,FALSE)</f>
        <v>44</v>
      </c>
      <c r="F229" s="65" t="str" cm="1">
        <f t="array" ref="F229">VLOOKUP(B229,'Player Data'!A1:B673,2,FALSE)</f>
        <v>STL</v>
      </c>
      <c r="G229" s="11" cm="1">
        <f t="array" ref="G229">VLOOKUP(B229,'Player Data'!A1:D673,3,FALSE)</f>
        <v>27</v>
      </c>
      <c r="H229" s="51" cm="1">
        <f t="array" ref="H229">IFERROR(VLOOKUP(B229,ADP!A1:F671,6,FALSE)/1000000,VLOOKUP(B229,ADP!A1:F671,6,FALSE))</f>
        <v>8.125</v>
      </c>
      <c r="I229" s="52">
        <f>IF(Settings!$E$15="POINTS",((R229*Q229)*Settings!$B$12)+(S229*Settings!$B$2)+(T229*Settings!$B$3)+(U229*Settings!$B$4)+(V229*Settings!$B$5)+(X229*Settings!$B$9)+(AA229*Settings!$B$6)+(W229*Settings!$B$8)+(AB229*Settings!$B$7)+(AC229*Settings!$B$14)+(AD229*Settings!$B$15)+(AE229*Settings!$B$16)+(AF229*Settings!$B$17)+(AG229*Settings!$B$18)+(Y229*Settings!$B$10)+(Z229*Settings!$B$11),VLOOKUP(B229,'Standard Deviations'!A$1:C$672,3,FALSE))</f>
        <v>4.0355525585880336</v>
      </c>
      <c r="J229" s="53" cm="1">
        <f t="array" ref="J229">IF(D229="G",I229/AJ229,I229/Q229)</f>
        <v>5.1082943779595359E-2</v>
      </c>
      <c r="K229" s="52" cm="1">
        <f t="array" ref="K229">IF(Settings!$E$18="C/LW/RW",VLOOKUP(B229,'C'!A1:F210,6,FALSE),VLOOKUP(B229,F!A1:F407,6,FALSE))</f>
        <v>-2.3244569990270305</v>
      </c>
      <c r="L229" s="54" cm="1">
        <f t="array" ref="L229">IFERROR(K229/H229,"N/A")</f>
        <v>-0.2860870152648653</v>
      </c>
      <c r="M229" s="55">
        <v>74</v>
      </c>
      <c r="N229" s="55" cm="1">
        <f t="array" ref="N229">IFERROR(M229-A229,"N/A")</f>
        <v>-121</v>
      </c>
      <c r="O229" s="55"/>
      <c r="P229" s="56" cm="1">
        <f t="array" ref="P229">_xlfn.XLOOKUP($B229,ADP!A2:A671,ADP!G2:G671)</f>
        <v>0</v>
      </c>
      <c r="Q229" s="57" cm="1">
        <f t="array" ref="Q229">IF(Settings!$E$12="YES",VLOOKUP(B229,'Player Data'!A1:E673,5,FALSE),84)</f>
        <v>79</v>
      </c>
      <c r="R229" s="55" cm="1">
        <f t="array" ref="R229">VLOOKUP(B229,'Player Data'!$A1:$AE673,6,FALSE)</f>
        <v>19.100000000000001</v>
      </c>
      <c r="S229" s="57" cm="1">
        <f t="array" ref="S229">VLOOKUP(B229,'Player Data'!$A1:$AE673,7,FALSE)*$Q229*IFERROR((VLOOKUP(P229,Settings!$E$28:$F$33,2,FALSE)+1),1)</f>
        <v>26.860000000000003</v>
      </c>
      <c r="T229" s="57" cm="1">
        <f t="array" ref="T229">VLOOKUP(B229,'Player Data'!$A1:$AE673,8,FALSE)*$Q229*IFERROR((VLOOKUP(P229,Settings!$E$28:$F$33,2,FALSE)+1),1)</f>
        <v>52.93</v>
      </c>
      <c r="U229" s="57" cm="1">
        <f t="array" ref="U229">SUM(S229:T229)</f>
        <v>79.790000000000006</v>
      </c>
      <c r="V229" s="57" cm="1">
        <f t="array" ref="V229">VLOOKUP(B229,'Player Data'!$A1:$AE673,10,FALSE)*$Q229*IFERROR(((VLOOKUP(P229,Settings!$E$28:$F$33,2,FALSE)/2)+1),1)</f>
        <v>144.57</v>
      </c>
      <c r="W229" s="57" cm="1">
        <f t="array" ref="W229">VLOOKUP(B229,'Player Data'!$A1:$AE673,11,FALSE)*$Q229*IFERROR((VLOOKUP(P229,Settings!$E$28:$F$33,2,FALSE)+1),1)</f>
        <v>4.74</v>
      </c>
      <c r="X229" s="78" cm="1">
        <f t="array" ref="X229">VLOOKUP(B229,'Player Data'!$A1:$AE673,12,FALSE)*$Q229*IFERROR((VLOOKUP(P229,Settings!$E$28:$F$33,2,FALSE)+1),1)</f>
        <v>20.54</v>
      </c>
      <c r="Y229" s="57" cm="1">
        <f t="array" ref="Y229">VLOOKUP(B229,'Player Data'!$A1:$AE673,13,FALSE)*$Q229</f>
        <v>0.79</v>
      </c>
      <c r="Z229" s="57" cm="1">
        <f t="array" ref="Z229">VLOOKUP(B229,'Player Data'!$A1:$AE673,14,FALSE)*$Q229</f>
        <v>1.58</v>
      </c>
      <c r="AA229" s="57" cm="1">
        <f t="array" ref="AA229">VLOOKUP(B229,'Player Data'!$A1:$AE673,15,FALSE)*$Q229</f>
        <v>46.61</v>
      </c>
      <c r="AB229" s="57" cm="1">
        <f t="array" ref="AB229">VLOOKUP(B229,'Player Data'!$A1:$AE673,16,FALSE)*$Q229</f>
        <v>22.12</v>
      </c>
      <c r="AC229" s="57" cm="1">
        <f t="array" ref="AC229">VLOOKUP(B229,'Player Data'!$A1:$AE673,17,FALSE)*$Q229*IFERROR((VLOOKUP(P229,Settings!$E$28:$F$33,2,FALSE)+1),1)</f>
        <v>2.37</v>
      </c>
      <c r="AD229" s="57" cm="1">
        <f t="array" ref="AD229">VLOOKUP(B229,'Player Data'!$A1:$AE673,18,FALSE)*$Q229</f>
        <v>30.02</v>
      </c>
      <c r="AE229" s="57" cm="1">
        <f t="array" ref="AE229">VLOOKUP(B229,'Player Data'!$A1:$AE673,19,FALSE)*$Q229*IFERROR((VLOOKUP(P229,Settings!$E$28:$F$33,2,FALSE)+1),1)</f>
        <v>3.95</v>
      </c>
      <c r="AF229" s="57" cm="1">
        <f t="array" ref="AF229">VLOOKUP(B229,'Player Data'!$A1:$AE673,20,FALSE)*$Q229</f>
        <v>712.57999999999993</v>
      </c>
      <c r="AG229" s="57" cm="1">
        <f t="array" ref="AG229">VLOOKUP(B229,'Player Data'!$A1:$AE673,21,FALSE)*$Q229</f>
        <v>627.26</v>
      </c>
      <c r="AH229" s="59" cm="1">
        <f t="array" ref="AH229">VLOOKUP(B229,'Player Data'!$A1:$AE673,22,FALSE)</f>
        <v>0.53</v>
      </c>
      <c r="AI229" s="55"/>
      <c r="AJ229" s="57"/>
      <c r="AK229" s="57"/>
      <c r="AL229" s="57"/>
      <c r="AM229" s="57"/>
      <c r="AN229" s="57"/>
      <c r="AO229" s="57"/>
      <c r="AP229" s="57"/>
      <c r="AQ229" s="60"/>
      <c r="AR229" s="61"/>
      <c r="AS229" s="55"/>
    </row>
    <row r="230" spans="1:45" ht="21.25" customHeight="1" x14ac:dyDescent="0.15">
      <c r="A230" s="62">
        <f>RANK(K230,K$2:K$671)</f>
        <v>247</v>
      </c>
      <c r="B230" s="10" t="s">
        <v>399</v>
      </c>
      <c r="C230" s="47" t="s">
        <v>145</v>
      </c>
      <c r="D230" s="48" t="str" cm="1">
        <f t="array" ref="D230">VLOOKUP(B230,'Player Data'!A1:D673,4,FALSE)</f>
        <v>D</v>
      </c>
      <c r="E230" s="68" cm="1">
        <f t="array" ref="E230">VLOOKUP(B230,D!A1:C204,3,FALSE)</f>
        <v>110</v>
      </c>
      <c r="F230" s="70" t="str" cm="1">
        <f t="array" ref="F230">VLOOKUP(B230,'Player Data'!A1:B673,2,FALSE)</f>
        <v>L.A</v>
      </c>
      <c r="G230" s="11" cm="1">
        <f t="array" ref="G230">VLOOKUP(B230,'Player Data'!A1:D673,3,FALSE)</f>
        <v>27</v>
      </c>
      <c r="H230" s="51" cm="1">
        <f t="array" ref="H230">IFERROR(VLOOKUP(B230,ADP!A1:F671,6,FALSE)/1000000,VLOOKUP(B230,ADP!A1:F671,6,FALSE))</f>
        <v>4.125</v>
      </c>
      <c r="I230" s="52">
        <f>IF(Settings!$E$15="POINTS",((R230*Q230)*Settings!$B$12)+(S230*Settings!$B$2)+(T230*Settings!$B$3)+(U230*Settings!$B$4)+(V230*Settings!$B$5)+(X230*Settings!$B$9)+(AA230*Settings!$B$6)+(W230*Settings!$B$8)+(AB230*Settings!$B$7)+(AC230*Settings!$B$14)+(AD230*Settings!$B$15)+(AE230*Settings!$B$16)+(AF230*Settings!$B$17)+(AG230*Settings!$B$18)+(U230*Settings!$B$13)+(Y230*Settings!$B$10)+(Z230*Settings!$B$11),VLOOKUP(B230,'Standard Deviations'!A$1:C$672,3,FALSE))</f>
        <v>-2.675686829595342</v>
      </c>
      <c r="J230" s="53" cm="1">
        <f t="array" ref="J230">IF(D230="G",I230/AJ230,I230/Q230)</f>
        <v>-3.2630327190187096E-2</v>
      </c>
      <c r="K230" s="52" cm="1">
        <f t="array" ref="K230">VLOOKUP(B230,D!A1:F204,6,FALSE)</f>
        <v>-3.2425377441128962</v>
      </c>
      <c r="L230" s="54" cm="1">
        <f t="array" ref="L230">IFERROR(K230/H230,"N/A")</f>
        <v>-0.78606975614858088</v>
      </c>
      <c r="M230" s="84" t="s">
        <v>828</v>
      </c>
      <c r="N230" s="84" t="str" cm="1">
        <f t="array" ref="N230">IFERROR(M230-A230,"N/A")</f>
        <v>N/A</v>
      </c>
      <c r="O230" s="55"/>
      <c r="P230" s="56" cm="1">
        <f t="array" ref="P230">_xlfn.XLOOKUP($B230,ADP!A2:A671,ADP!G2:G671)</f>
        <v>0</v>
      </c>
      <c r="Q230" s="57" cm="1">
        <f t="array" ref="Q230">IF(Settings!$E$12="YES",VLOOKUP(B230,'Player Data'!A1:E673,5,FALSE),84)</f>
        <v>82</v>
      </c>
      <c r="R230" s="55" cm="1">
        <f t="array" ref="R230">VLOOKUP(B230,'Player Data'!$A1:$AE673,6,FALSE)</f>
        <v>20.6</v>
      </c>
      <c r="S230" s="57" cm="1">
        <f t="array" ref="S230">VLOOKUP(B230,'Player Data'!$A1:$AE673,7,FALSE)*$Q230*IFERROR((VLOOKUP(P230,Settings!$E$28:$F$33,2,FALSE)+1),1)</f>
        <v>4.1000000000000005</v>
      </c>
      <c r="T230" s="57" cm="1">
        <f t="array" ref="T230">VLOOKUP(B230,'Player Data'!$A1:$AE673,8,FALSE)*$Q230*IFERROR((VLOOKUP(P230,Settings!$E$28:$F$33,2,FALSE)+1),1)</f>
        <v>18.04</v>
      </c>
      <c r="U230" s="57" cm="1">
        <f t="array" ref="U230">SUM(S230:T230)</f>
        <v>22.14</v>
      </c>
      <c r="V230" s="57" cm="1">
        <f t="array" ref="V230">VLOOKUP(B230,'Player Data'!$A1:$AE673,10,FALSE)*$Q230*IFERROR(((VLOOKUP(P230,Settings!$E$28:$F$33,2,FALSE)/2)+1),1)</f>
        <v>74.62</v>
      </c>
      <c r="W230" s="57" cm="1">
        <f t="array" ref="W230">VLOOKUP(B230,'Player Data'!$A1:$AE673,11,FALSE)*$Q230*IFERROR((VLOOKUP(P230,Settings!$E$28:$F$33,2,FALSE)+1),1)</f>
        <v>0</v>
      </c>
      <c r="X230" s="57" cm="1">
        <f t="array" ref="X230">VLOOKUP(B230,'Player Data'!$A1:$AE673,12,FALSE)*$Q230*IFERROR((VLOOKUP(P230,Settings!$E$28:$F$33,2,FALSE)+1),1)</f>
        <v>0</v>
      </c>
      <c r="Y230" s="57" cm="1">
        <f t="array" ref="Y230">VLOOKUP(B230,'Player Data'!$A1:$AE673,13,FALSE)*$Q230</f>
        <v>0</v>
      </c>
      <c r="Z230" s="57" cm="1">
        <f t="array" ref="Z230">VLOOKUP(B230,'Player Data'!$A1:$AE673,14,FALSE)*$Q230</f>
        <v>0</v>
      </c>
      <c r="AA230" s="57" cm="1">
        <f t="array" ref="AA230">VLOOKUP(B230,'Player Data'!$A1:$AE673,15,FALSE)*$Q230</f>
        <v>132.02000000000001</v>
      </c>
      <c r="AB230" s="57" cm="1">
        <f t="array" ref="AB230">VLOOKUP(B230,'Player Data'!$A1:$AE673,16,FALSE)*$Q230</f>
        <v>109.88000000000001</v>
      </c>
      <c r="AC230" s="57" cm="1">
        <f t="array" ref="AC230">VLOOKUP(B230,'Player Data'!$A1:$AE673,17,FALSE)*$Q230*IFERROR((VLOOKUP(P230,Settings!$E$28:$F$33,2,FALSE)+1),1)</f>
        <v>0</v>
      </c>
      <c r="AD230" s="57" cm="1">
        <f t="array" ref="AD230">VLOOKUP(B230,'Player Data'!$A1:$AE673,18,FALSE)*$Q230</f>
        <v>26.240000000000002</v>
      </c>
      <c r="AE230" s="57" cm="1">
        <f t="array" ref="AE230">VLOOKUP(B230,'Player Data'!$A1:$AE673,19,FALSE)*$Q230*IFERROR((VLOOKUP(P230,Settings!$E$28:$F$33,2,FALSE)+1),1)</f>
        <v>0.82000000000000006</v>
      </c>
      <c r="AF230" s="57" cm="1">
        <f t="array" ref="AF230">VLOOKUP(B230,'Player Data'!$A1:$AE673,20,FALSE)*$Q230</f>
        <v>0</v>
      </c>
      <c r="AG230" s="57" cm="1">
        <f t="array" ref="AG230">VLOOKUP(B230,'Player Data'!$A1:$AE673,21,FALSE)*$Q230</f>
        <v>0</v>
      </c>
      <c r="AH230" s="59" cm="1">
        <f t="array" ref="AH230">VLOOKUP(B230,'Player Data'!$A1:$AE673,22,FALSE)</f>
        <v>0</v>
      </c>
      <c r="AI230" s="55"/>
      <c r="AJ230" s="57"/>
      <c r="AK230" s="57"/>
      <c r="AL230" s="57"/>
      <c r="AM230" s="57"/>
      <c r="AN230" s="57"/>
      <c r="AO230" s="57"/>
      <c r="AP230" s="57"/>
      <c r="AQ230" s="60"/>
      <c r="AR230" s="61"/>
      <c r="AS230" s="55"/>
    </row>
    <row r="231" spans="1:45" ht="21.25" customHeight="1" x14ac:dyDescent="0.15">
      <c r="A231" s="62">
        <f>RANK(K231,K$2:K$671)</f>
        <v>194</v>
      </c>
      <c r="B231" s="10" t="s">
        <v>264</v>
      </c>
      <c r="C231" s="47" t="s">
        <v>145</v>
      </c>
      <c r="D231" s="48" t="str" cm="1">
        <f t="array" ref="D231">VLOOKUP(B231,'Player Data'!A1:D673,4,FALSE)</f>
        <v>C,LW,RW</v>
      </c>
      <c r="E231" s="74" cm="1">
        <f t="array" ref="E231">VLOOKUP(B231,RW!A1:F210,3,FALSE)</f>
        <v>46</v>
      </c>
      <c r="F231" s="72" t="str" cm="1">
        <f t="array" ref="F231">VLOOKUP(B231,'Player Data'!A1:B673,2,FALSE)</f>
        <v>PIT</v>
      </c>
      <c r="G231" s="66" cm="1">
        <f t="array" ref="G231">VLOOKUP(B231,'Player Data'!A1:D673,3,FALSE)</f>
        <v>33</v>
      </c>
      <c r="H231" s="51" cm="1">
        <f t="array" ref="H231">IFERROR(VLOOKUP(B231,ADP!A1:F671,6,FALSE)/1000000,VLOOKUP(B231,ADP!A1:F671,6,FALSE))</f>
        <v>5</v>
      </c>
      <c r="I231" s="52">
        <f>IF(Settings!$E$15="POINTS",((R231*Q231)*Settings!$B$12)+(S231*Settings!$B$2)+(T231*Settings!$B$3)+(U231*Settings!$B$4)+(V231*Settings!$B$5)+(X231*Settings!$B$9)+(AA231*Settings!$B$6)+(W231*Settings!$B$8)+(AB231*Settings!$B$7)+(AC231*Settings!$B$14)+(AD231*Settings!$B$15)+(AE231*Settings!$B$16)+(AF231*Settings!$B$17)+(AG231*Settings!$B$18)+(Y231*Settings!$B$10)+(Z231*Settings!$B$11),VLOOKUP(B231,'Standard Deviations'!A$1:C$672,3,FALSE))</f>
        <v>4.5813572957295028</v>
      </c>
      <c r="J231" s="53" cm="1">
        <f t="array" ref="J231">IF(D231="G",I231/AJ231,I231/Q231)</f>
        <v>5.7991864502905097E-2</v>
      </c>
      <c r="K231" s="52" cm="1">
        <f t="array" ref="K231">IF(Settings!$E$18="C/LW/RW",VLOOKUP(B231,RW!A1:F210,6,FALSE),VLOOKUP(B231,F!A1:F407,6,FALSE))</f>
        <v>-2.3058773060795748</v>
      </c>
      <c r="L231" s="54" cm="1">
        <f t="array" ref="L231">IFERROR(K231/H231,"N/A")</f>
        <v>-0.46117546121591496</v>
      </c>
      <c r="M231" s="55">
        <v>133.4</v>
      </c>
      <c r="N231" s="55" cm="1">
        <f t="array" ref="N231">IFERROR(M231-A231,"N/A")</f>
        <v>-60.599999999999994</v>
      </c>
      <c r="O231" s="55"/>
      <c r="P231" s="56" cm="1">
        <f t="array" ref="P231">_xlfn.XLOOKUP($B231,ADP!A2:A671,ADP!G2:G671)</f>
        <v>0</v>
      </c>
      <c r="Q231" s="57" cm="1">
        <f t="array" ref="Q231">IF(Settings!$E$12="YES",VLOOKUP(B231,'Player Data'!A1:E673,5,FALSE),84)</f>
        <v>79</v>
      </c>
      <c r="R231" s="55" cm="1">
        <f t="array" ref="R231">VLOOKUP(B231,'Player Data'!$A1:$AE673,6,FALSE)</f>
        <v>19.100000000000001</v>
      </c>
      <c r="S231" s="57" cm="1">
        <f t="array" ref="S231">VLOOKUP(B231,'Player Data'!$A1:$AE673,7,FALSE)*$Q231*IFERROR((VLOOKUP(P231,Settings!$E$28:$F$33,2,FALSE)+1),1)</f>
        <v>28.439999999999998</v>
      </c>
      <c r="T231" s="57" cm="1">
        <f t="array" ref="T231">VLOOKUP(B231,'Player Data'!$A1:$AE673,8,FALSE)*$Q231*IFERROR((VLOOKUP(P231,Settings!$E$28:$F$33,2,FALSE)+1),1)</f>
        <v>30.810000000000002</v>
      </c>
      <c r="U231" s="57" cm="1">
        <f t="array" ref="U231">SUM(S231:T231)</f>
        <v>59.25</v>
      </c>
      <c r="V231" s="57" cm="1">
        <f t="array" ref="V231">VLOOKUP(B231,'Player Data'!$A1:$AE673,10,FALSE)*$Q231*IFERROR(((VLOOKUP(P231,Settings!$E$28:$F$33,2,FALSE)/2)+1),1)</f>
        <v>206.19</v>
      </c>
      <c r="W231" s="58" cm="1">
        <f t="array" ref="W231">VLOOKUP(B231,'Player Data'!$A1:$AE673,11,FALSE)*$Q231*IFERROR((VLOOKUP(P231,Settings!$E$28:$F$33,2,FALSE)+1),1)</f>
        <v>7.1099999999999994</v>
      </c>
      <c r="X231" s="57" cm="1">
        <f t="array" ref="X231">VLOOKUP(B231,'Player Data'!$A1:$AE673,12,FALSE)*$Q231*IFERROR((VLOOKUP(P231,Settings!$E$28:$F$33,2,FALSE)+1),1)</f>
        <v>17.38</v>
      </c>
      <c r="Y231" s="57" cm="1">
        <f t="array" ref="Y231">VLOOKUP(B231,'Player Data'!$A1:$AE673,13,FALSE)*$Q231</f>
        <v>0.79</v>
      </c>
      <c r="Z231" s="57" cm="1">
        <f t="array" ref="Z231">VLOOKUP(B231,'Player Data'!$A1:$AE673,14,FALSE)*$Q231</f>
        <v>2.37</v>
      </c>
      <c r="AA231" s="57" cm="1">
        <f t="array" ref="AA231">VLOOKUP(B231,'Player Data'!$A1:$AE673,15,FALSE)*$Q231</f>
        <v>60.83</v>
      </c>
      <c r="AB231" s="57" cm="1">
        <f t="array" ref="AB231">VLOOKUP(B231,'Player Data'!$A1:$AE673,16,FALSE)*$Q231</f>
        <v>97.17</v>
      </c>
      <c r="AC231" s="57" cm="1">
        <f t="array" ref="AC231">VLOOKUP(B231,'Player Data'!$A1:$AE673,17,FALSE)*$Q231*IFERROR((VLOOKUP(P231,Settings!$E$28:$F$33,2,FALSE)+1),1)</f>
        <v>0.79</v>
      </c>
      <c r="AD231" s="57" cm="1">
        <f t="array" ref="AD231">VLOOKUP(B231,'Player Data'!$A1:$AE673,18,FALSE)*$Q231</f>
        <v>19.75</v>
      </c>
      <c r="AE231" s="57" cm="1">
        <f t="array" ref="AE231">VLOOKUP(B231,'Player Data'!$A1:$AE673,19,FALSE)*$Q231*IFERROR((VLOOKUP(P231,Settings!$E$28:$F$33,2,FALSE)+1),1)</f>
        <v>3.95</v>
      </c>
      <c r="AF231" s="57" cm="1">
        <f t="array" ref="AF231">VLOOKUP(B231,'Player Data'!$A1:$AE673,20,FALSE)*$Q231</f>
        <v>75.84</v>
      </c>
      <c r="AG231" s="57" cm="1">
        <f t="array" ref="AG231">VLOOKUP(B231,'Player Data'!$A1:$AE673,21,FALSE)*$Q231</f>
        <v>135.88</v>
      </c>
      <c r="AH231" s="59" cm="1">
        <f t="array" ref="AH231">VLOOKUP(B231,'Player Data'!$A1:$AE673,22,FALSE)</f>
        <v>0.36</v>
      </c>
      <c r="AI231" s="55"/>
      <c r="AJ231" s="57"/>
      <c r="AK231" s="57"/>
      <c r="AL231" s="57"/>
      <c r="AM231" s="57"/>
      <c r="AN231" s="57"/>
      <c r="AO231" s="57"/>
      <c r="AP231" s="57"/>
      <c r="AQ231" s="60"/>
      <c r="AR231" s="61"/>
      <c r="AS231" s="55"/>
    </row>
    <row r="232" spans="1:45" ht="21.25" customHeight="1" x14ac:dyDescent="0.15">
      <c r="A232" s="62">
        <f>RANK(K232,K$2:K$671)</f>
        <v>248</v>
      </c>
      <c r="B232" s="10" t="s">
        <v>459</v>
      </c>
      <c r="C232" s="47" t="s">
        <v>145</v>
      </c>
      <c r="D232" s="48" t="str" cm="1">
        <f t="array" ref="D232">VLOOKUP(B232,'Player Data'!A1:D673,4,FALSE)</f>
        <v>D</v>
      </c>
      <c r="E232" s="68" cm="1">
        <f t="array" ref="E232">VLOOKUP(B232,D!A1:C204,3,FALSE)</f>
        <v>111</v>
      </c>
      <c r="F232" s="72" t="str" cm="1">
        <f t="array" ref="F232">VLOOKUP(B232,'Player Data'!A1:B673,2,FALSE)</f>
        <v>PIT</v>
      </c>
      <c r="G232" s="11" cm="1">
        <f t="array" ref="G232">VLOOKUP(B232,'Player Data'!A1:D673,3,FALSE)</f>
        <v>25</v>
      </c>
      <c r="H232" s="51" cm="1">
        <f t="array" ref="H232">IFERROR(VLOOKUP(B232,ADP!A1:F671,6,FALSE)/1000000,VLOOKUP(B232,ADP!A1:F671,6,FALSE))</f>
        <v>3.25</v>
      </c>
      <c r="I232" s="52">
        <f>IF(Settings!$E$15="POINTS",((R232*Q232)*Settings!$B$12)+(S232*Settings!$B$2)+(T232*Settings!$B$3)+(U232*Settings!$B$4)+(V232*Settings!$B$5)+(X232*Settings!$B$9)+(AA232*Settings!$B$6)+(W232*Settings!$B$8)+(AB232*Settings!$B$7)+(AC232*Settings!$B$14)+(AD232*Settings!$B$15)+(AE232*Settings!$B$16)+(AF232*Settings!$B$17)+(AG232*Settings!$B$18)+(U232*Settings!$B$13)+(Y232*Settings!$B$10)+(Z232*Settings!$B$11),VLOOKUP(B232,'Standard Deviations'!A$1:C$672,3,FALSE))</f>
        <v>-2.6854161634096889</v>
      </c>
      <c r="J232" s="53" cm="1">
        <f t="array" ref="J232">IF(D232="G",I232/AJ232,I232/Q232)</f>
        <v>-3.7297446714023456E-2</v>
      </c>
      <c r="K232" s="52" cm="1">
        <f t="array" ref="K232">VLOOKUP(B232,D!A1:F204,6,FALSE)</f>
        <v>-3.2522670779272431</v>
      </c>
      <c r="L232" s="54" cm="1">
        <f t="array" ref="L232">IFERROR(K232/H232,"N/A")</f>
        <v>-1.0006975624391516</v>
      </c>
      <c r="M232" s="84" t="s">
        <v>828</v>
      </c>
      <c r="N232" s="84" t="str" cm="1">
        <f t="array" ref="N232">IFERROR(M232-A232,"N/A")</f>
        <v>N/A</v>
      </c>
      <c r="O232" s="55"/>
      <c r="P232" s="56" cm="1">
        <f t="array" ref="P232">_xlfn.XLOOKUP($B232,ADP!A2:A671,ADP!G2:G671)</f>
        <v>0</v>
      </c>
      <c r="Q232" s="57" cm="1">
        <f t="array" ref="Q232">IF(Settings!$E$12="YES",VLOOKUP(B232,'Player Data'!A1:E673,5,FALSE),84)</f>
        <v>72</v>
      </c>
      <c r="R232" s="81" cm="1">
        <f t="array" ref="R232">VLOOKUP(B232,'Player Data'!$A1:$AE673,6,FALSE)</f>
        <v>19</v>
      </c>
      <c r="S232" s="57" cm="1">
        <f t="array" ref="S232">VLOOKUP(B232,'Player Data'!$A1:$AE673,7,FALSE)*$Q232*IFERROR((VLOOKUP(P232,Settings!$E$28:$F$33,2,FALSE)+1),1)</f>
        <v>3.6</v>
      </c>
      <c r="T232" s="57" cm="1">
        <f t="array" ref="T232">VLOOKUP(B232,'Player Data'!$A1:$AE673,8,FALSE)*$Q232*IFERROR((VLOOKUP(P232,Settings!$E$28:$F$33,2,FALSE)+1),1)</f>
        <v>17.28</v>
      </c>
      <c r="U232" s="57" cm="1">
        <f t="array" ref="U232">SUM(S232:T232)</f>
        <v>20.880000000000003</v>
      </c>
      <c r="V232" s="57" cm="1">
        <f t="array" ref="V232">VLOOKUP(B232,'Player Data'!$A1:$AE673,10,FALSE)*$Q232*IFERROR(((VLOOKUP(P232,Settings!$E$28:$F$33,2,FALSE)/2)+1),1)</f>
        <v>72.72</v>
      </c>
      <c r="W232" s="57" cm="1">
        <f t="array" ref="W232">VLOOKUP(B232,'Player Data'!$A1:$AE673,11,FALSE)*$Q232*IFERROR((VLOOKUP(P232,Settings!$E$28:$F$33,2,FALSE)+1),1)</f>
        <v>0</v>
      </c>
      <c r="X232" s="57" cm="1">
        <f t="array" ref="X232">VLOOKUP(B232,'Player Data'!$A1:$AE673,12,FALSE)*$Q232*IFERROR((VLOOKUP(P232,Settings!$E$28:$F$33,2,FALSE)+1),1)</f>
        <v>0</v>
      </c>
      <c r="Y232" s="57" cm="1">
        <f t="array" ref="Y232">VLOOKUP(B232,'Player Data'!$A1:$AE673,13,FALSE)*$Q232</f>
        <v>0</v>
      </c>
      <c r="Z232" s="57" cm="1">
        <f t="array" ref="Z232">VLOOKUP(B232,'Player Data'!$A1:$AE673,14,FALSE)*$Q232</f>
        <v>0</v>
      </c>
      <c r="AA232" s="57" cm="1">
        <f t="array" ref="AA232">VLOOKUP(B232,'Player Data'!$A1:$AE673,15,FALSE)*$Q232</f>
        <v>102.24</v>
      </c>
      <c r="AB232" s="57" cm="1">
        <f t="array" ref="AB232">VLOOKUP(B232,'Player Data'!$A1:$AE673,16,FALSE)*$Q232</f>
        <v>100.8</v>
      </c>
      <c r="AC232" s="57" cm="1">
        <f t="array" ref="AC232">VLOOKUP(B232,'Player Data'!$A1:$AE673,17,FALSE)*$Q232*IFERROR((VLOOKUP(P232,Settings!$E$28:$F$33,2,FALSE)+1),1)</f>
        <v>1.44</v>
      </c>
      <c r="AD232" s="57" cm="1">
        <f t="array" ref="AD232">VLOOKUP(B232,'Player Data'!$A1:$AE673,18,FALSE)*$Q232</f>
        <v>25.919999999999998</v>
      </c>
      <c r="AE232" s="57" cm="1">
        <f t="array" ref="AE232">VLOOKUP(B232,'Player Data'!$A1:$AE673,19,FALSE)*$Q232*IFERROR((VLOOKUP(P232,Settings!$E$28:$F$33,2,FALSE)+1),1)</f>
        <v>0.72</v>
      </c>
      <c r="AF232" s="57" cm="1">
        <f t="array" ref="AF232">VLOOKUP(B232,'Player Data'!$A1:$AE673,20,FALSE)*$Q232</f>
        <v>0</v>
      </c>
      <c r="AG232" s="57" cm="1">
        <f t="array" ref="AG232">VLOOKUP(B232,'Player Data'!$A1:$AE673,21,FALSE)*$Q232</f>
        <v>0</v>
      </c>
      <c r="AH232" s="59" cm="1">
        <f t="array" ref="AH232">VLOOKUP(B232,'Player Data'!$A1:$AE673,22,FALSE)</f>
        <v>0</v>
      </c>
      <c r="AI232" s="55"/>
      <c r="AJ232" s="57"/>
      <c r="AK232" s="57"/>
      <c r="AL232" s="57"/>
      <c r="AM232" s="57"/>
      <c r="AN232" s="57"/>
      <c r="AO232" s="57"/>
      <c r="AP232" s="57"/>
      <c r="AQ232" s="60"/>
      <c r="AR232" s="61"/>
      <c r="AS232" s="55"/>
    </row>
    <row r="233" spans="1:45" ht="21.25" customHeight="1" x14ac:dyDescent="0.15">
      <c r="A233" s="62">
        <f>RANK(K233,K$2:K$671)</f>
        <v>238</v>
      </c>
      <c r="B233" s="10" t="s">
        <v>506</v>
      </c>
      <c r="C233" s="47" t="s">
        <v>145</v>
      </c>
      <c r="D233" s="48" t="str" cm="1">
        <f t="array" ref="D233">VLOOKUP(B233,'Player Data'!A1:D673,4,FALSE)</f>
        <v>G</v>
      </c>
      <c r="E233" s="76" cm="1">
        <f t="array" ref="E233">VLOOKUP(B233,G!A1:D66,3,FALSE)</f>
        <v>39</v>
      </c>
      <c r="F233" s="63" t="str" cm="1">
        <f t="array" ref="F233">VLOOKUP(B233,'Player Data'!A1:B673,2,FALSE)</f>
        <v>EDM</v>
      </c>
      <c r="G233" s="66" cm="1">
        <f t="array" ref="G233">VLOOKUP(B233,'Player Data'!A1:D673,3,FALSE)</f>
        <v>31</v>
      </c>
      <c r="H233" s="51" cm="1">
        <f t="array" ref="H233">IFERROR(VLOOKUP(B233,ADP!A1:F671,6,FALSE)/1000000,VLOOKUP(B233,ADP!A1:F671,6,FALSE))</f>
        <v>5.375</v>
      </c>
      <c r="I233" s="52">
        <f>IF(Settings!$E$15="POINTS",(AJ233*Settings!$B$29)+(AK233*Settings!$B$21)+(AL233*Settings!$B$22)+(AN233*Settings!$B$24)+(AO233*Settings!$B$25)+(AP233*Settings!$B$27)+(AM233*Settings!$B$23),VLOOKUP(B233,'Standard Deviations'!A$1:C$672,3,FALSE))</f>
        <v>-1.0343114584657329</v>
      </c>
      <c r="J233" s="53" cm="1">
        <f t="array" ref="J233">IF(D233="G",I233/AJ233,I233/Q233)</f>
        <v>-2.9551755956163796E-2</v>
      </c>
      <c r="K233" s="52" cm="1">
        <f t="array" ref="K233">VLOOKUP(B233,G!A1:F66,6,FALSE)</f>
        <v>-3.0724967175894076</v>
      </c>
      <c r="L233" s="54" cm="1">
        <f t="array" ref="L233">IFERROR(K233/H233,"N/A")</f>
        <v>-0.57162729629570375</v>
      </c>
      <c r="M233" s="84" t="s">
        <v>828</v>
      </c>
      <c r="N233" s="84" t="str" cm="1">
        <f t="array" ref="N233">IFERROR(M233-A233,"N/A")</f>
        <v>N/A</v>
      </c>
      <c r="O233" s="55"/>
      <c r="P233" s="56" cm="1">
        <f t="array" ref="P233">_xlfn.XLOOKUP($B233,ADP!A2:A671,ADP!G2:G671)</f>
        <v>0</v>
      </c>
      <c r="Q233" s="57"/>
      <c r="R233" s="55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9"/>
      <c r="AI233" s="55"/>
      <c r="AJ233" s="77" cm="1">
        <f t="array" ref="AJ233">VLOOKUP(B233,'Player Data'!$A1:$AE673,24,FALSE)</f>
        <v>35</v>
      </c>
      <c r="AK233" s="57" cm="1">
        <f t="array" ref="AK233">VLOOKUP(B233,'Player Data'!$A1:$AE673,25,FALSE)*$AJ233*IFERROR((VLOOKUP(P233,Settings!$E$28:$F$33,2,FALSE)+1),1)</f>
        <v>20.299999999999997</v>
      </c>
      <c r="AL233" s="57" cm="1">
        <f t="array" ref="AL233">AJ233-AK233-AM233</f>
        <v>11.200000000000003</v>
      </c>
      <c r="AM233" s="57" cm="1">
        <f t="array" ref="AM233">VLOOKUP(B233,'Player Data'!$A1:$AE673,27,FALSE)*$AJ233</f>
        <v>3.5</v>
      </c>
      <c r="AN233" s="57" cm="1">
        <f t="array" ref="AN233">VLOOKUP(B233,'Player Data'!$A1:$AE673,28,FALSE)*AJ233</f>
        <v>1.75</v>
      </c>
      <c r="AO233" s="57" cm="1">
        <f t="array" ref="AO233">VLOOKUP(B233,'Player Data'!$A1:$AE673,29,FALSE)*$AJ233*IFERROR((VLOOKUP(P233,Settings!$E$28:$F$33,2,FALSE)/4)+1,1)</f>
        <v>843.5</v>
      </c>
      <c r="AP233" s="57" cm="1">
        <f t="array" ref="AP233">VLOOKUP(B233,'Player Data'!$A1:$AE673,31,FALSE)*$AJ233*(IFERROR(1-(VLOOKUP(P233,Settings!$E$28:$F$33,2,FALSE)/4),1))</f>
        <v>99.399999999999991</v>
      </c>
      <c r="AQ233" s="60" cm="1">
        <f t="array" ref="AQ233">1-(AP233/(AO233+AP233))</f>
        <v>0.89458054936896803</v>
      </c>
      <c r="AR233" s="61" cm="1">
        <f t="array" ref="AR233">AP233/AJ233</f>
        <v>2.84</v>
      </c>
      <c r="AS233" s="55"/>
    </row>
    <row r="234" spans="1:45" ht="21.25" customHeight="1" x14ac:dyDescent="0.15">
      <c r="A234" s="62">
        <f>RANK(K234,K$2:K$671)</f>
        <v>196</v>
      </c>
      <c r="B234" s="10" t="s">
        <v>292</v>
      </c>
      <c r="C234" s="47" t="s">
        <v>145</v>
      </c>
      <c r="D234" s="48" t="str" cm="1">
        <f t="array" ref="D234">VLOOKUP(B234,'Player Data'!A1:D673,4,FALSE)</f>
        <v>RW</v>
      </c>
      <c r="E234" s="64" cm="1">
        <f t="array" ref="E234">VLOOKUP(B234,RW!A1:F210,3,FALSE)</f>
        <v>47</v>
      </c>
      <c r="F234" s="56" t="str" cm="1">
        <f t="array" ref="F234">VLOOKUP(B234,'Player Data'!A1:B673,2,FALSE)</f>
        <v>PHI</v>
      </c>
      <c r="G234" s="71" cm="1">
        <f t="array" ref="G234">VLOOKUP(B234,'Player Data'!A1:D673,3,FALSE)</f>
        <v>19</v>
      </c>
      <c r="H234" s="51" cm="1">
        <f t="array" ref="H234">IFERROR(VLOOKUP(B234,ADP!A1:F671,6,FALSE)/1000000,VLOOKUP(B234,ADP!A1:F671,6,FALSE))</f>
        <v>0.96666700000000005</v>
      </c>
      <c r="I234" s="52">
        <f>IF(Settings!$E$15="POINTS",((R234*Q234)*Settings!$B$12)+(S234*Settings!$B$2)+(T234*Settings!$B$3)+(U234*Settings!$B$4)+(V234*Settings!$B$5)+(X234*Settings!$B$9)+(AA234*Settings!$B$6)+(W234*Settings!$B$8)+(AB234*Settings!$B$7)+(AC234*Settings!$B$14)+(AD234*Settings!$B$15)+(AE234*Settings!$B$16)+(AF234*Settings!$B$17)+(AG234*Settings!$B$18)+(Y234*Settings!$B$10)+(Z234*Settings!$B$11),VLOOKUP(B234,'Standard Deviations'!A$1:C$672,3,FALSE))</f>
        <v>4.5387165069534134</v>
      </c>
      <c r="J234" s="53" cm="1">
        <f t="array" ref="J234">IF(D234="G",I234/AJ234,I234/Q234)</f>
        <v>5.8188673166069405E-2</v>
      </c>
      <c r="K234" s="52" cm="1">
        <f t="array" ref="K234">IF(Settings!$E$18="C/LW/RW",VLOOKUP(B234,RW!A1:F210,6,FALSE),VLOOKUP(B234,F!A1:F407,6,FALSE))</f>
        <v>-2.3485180948556641</v>
      </c>
      <c r="L234" s="54" cm="1">
        <f t="array" ref="L234">IFERROR(K234/H234,"N/A")</f>
        <v>-2.4295006396780523</v>
      </c>
      <c r="M234" s="55">
        <v>69.099999999999994</v>
      </c>
      <c r="N234" s="55" cm="1">
        <f t="array" ref="N234">IFERROR(M234-A234,"N/A")</f>
        <v>-126.9</v>
      </c>
      <c r="O234" s="55"/>
      <c r="P234" s="56" t="str" cm="1">
        <f t="array" ref="P234">_xlfn.XLOOKUP($B234,ADP!A2:A671,ADP!G2:G671)</f>
        <v>- -</v>
      </c>
      <c r="Q234" s="57" cm="1">
        <f t="array" ref="Q234">IF(Settings!$E$12="YES",VLOOKUP(B234,'Player Data'!A1:E673,5,FALSE),84)</f>
        <v>78</v>
      </c>
      <c r="R234" s="55" cm="1">
        <f t="array" ref="R234">VLOOKUP(B234,'Player Data'!$A1:$AE673,6,FALSE)</f>
        <v>16.899999999999999</v>
      </c>
      <c r="S234" s="57" cm="1">
        <f t="array" ref="S234">VLOOKUP(B234,'Player Data'!$A1:$AE673,7,FALSE)*$Q234*IFERROR((VLOOKUP(P234,Settings!$E$28:$F$33,2,FALSE)+1),1)</f>
        <v>24.569999999999997</v>
      </c>
      <c r="T234" s="57" cm="1">
        <f t="array" ref="T234">VLOOKUP(B234,'Player Data'!$A1:$AE673,8,FALSE)*$Q234*IFERROR((VLOOKUP(P234,Settings!$E$28:$F$33,2,FALSE)+1),1)</f>
        <v>34.398000000000003</v>
      </c>
      <c r="U234" s="57" cm="1">
        <f t="array" ref="U234">SUM(S234:T234)</f>
        <v>58.968000000000004</v>
      </c>
      <c r="V234" s="57" cm="1">
        <f t="array" ref="V234">VLOOKUP(B234,'Player Data'!$A1:$AE673,10,FALSE)*$Q234*IFERROR(((VLOOKUP(P234,Settings!$E$28:$F$33,2,FALSE)/2)+1),1)</f>
        <v>197.10599999999999</v>
      </c>
      <c r="W234" s="57" cm="1">
        <f t="array" ref="W234">VLOOKUP(B234,'Player Data'!$A1:$AE673,11,FALSE)*$Q234*IFERROR((VLOOKUP(P234,Settings!$E$28:$F$33,2,FALSE)+1),1)</f>
        <v>8.4239999999999995</v>
      </c>
      <c r="X234" s="78" cm="1">
        <f t="array" ref="X234">VLOOKUP(B234,'Player Data'!$A1:$AE673,12,FALSE)*$Q234*IFERROR((VLOOKUP(P234,Settings!$E$28:$F$33,2,FALSE)+1),1)</f>
        <v>19.656000000000002</v>
      </c>
      <c r="Y234" s="57" cm="1">
        <f t="array" ref="Y234">VLOOKUP(B234,'Player Data'!$A1:$AE673,13,FALSE)*$Q234</f>
        <v>0</v>
      </c>
      <c r="Z234" s="57" cm="1">
        <f t="array" ref="Z234">VLOOKUP(B234,'Player Data'!$A1:$AE673,14,FALSE)*$Q234</f>
        <v>0</v>
      </c>
      <c r="AA234" s="57" cm="1">
        <f t="array" ref="AA234">VLOOKUP(B234,'Player Data'!$A1:$AE673,15,FALSE)*$Q234</f>
        <v>29.64</v>
      </c>
      <c r="AB234" s="57" cm="1">
        <f t="array" ref="AB234">VLOOKUP(B234,'Player Data'!$A1:$AE673,16,FALSE)*$Q234</f>
        <v>99.06</v>
      </c>
      <c r="AC234" s="57" cm="1">
        <f t="array" ref="AC234">VLOOKUP(B234,'Player Data'!$A1:$AE673,17,FALSE)*$Q234*IFERROR((VLOOKUP(P234,Settings!$E$28:$F$33,2,FALSE)+1),1)</f>
        <v>0.70200000000000007</v>
      </c>
      <c r="AD234" s="57" cm="1">
        <f t="array" ref="AD234">VLOOKUP(B234,'Player Data'!$A1:$AE673,18,FALSE)*$Q234</f>
        <v>34.32</v>
      </c>
      <c r="AE234" s="57" cm="1">
        <f t="array" ref="AE234">VLOOKUP(B234,'Player Data'!$A1:$AE673,19,FALSE)*$Q234*IFERROR((VLOOKUP(P234,Settings!$E$28:$F$33,2,FALSE)+1),1)</f>
        <v>4.2119999999999997</v>
      </c>
      <c r="AF234" s="57" cm="1">
        <f t="array" ref="AF234">VLOOKUP(B234,'Player Data'!$A1:$AE673,20,FALSE)*$Q234</f>
        <v>8.58</v>
      </c>
      <c r="AG234" s="57" cm="1">
        <f t="array" ref="AG234">VLOOKUP(B234,'Player Data'!$A1:$AE673,21,FALSE)*$Q234</f>
        <v>17.16</v>
      </c>
      <c r="AH234" s="59" cm="1">
        <f t="array" ref="AH234">VLOOKUP(B234,'Player Data'!$A1:$AE673,22,FALSE)</f>
        <v>0.33</v>
      </c>
      <c r="AI234" s="55"/>
      <c r="AJ234" s="57"/>
      <c r="AK234" s="57"/>
      <c r="AL234" s="57"/>
      <c r="AM234" s="57"/>
      <c r="AN234" s="57"/>
      <c r="AO234" s="57"/>
      <c r="AP234" s="57"/>
      <c r="AQ234" s="60"/>
      <c r="AR234" s="61"/>
      <c r="AS234" s="55"/>
    </row>
    <row r="235" spans="1:45" ht="21.25" customHeight="1" x14ac:dyDescent="0.15">
      <c r="A235" s="62">
        <f>RANK(K235,K$2:K$671)</f>
        <v>250</v>
      </c>
      <c r="B235" s="10" t="s">
        <v>427</v>
      </c>
      <c r="C235" s="47" t="s">
        <v>145</v>
      </c>
      <c r="D235" s="48" t="str" cm="1">
        <f t="array" ref="D235">VLOOKUP(B235,'Player Data'!A1:D673,4,FALSE)</f>
        <v>D</v>
      </c>
      <c r="E235" s="68" cm="1">
        <f t="array" ref="E235">VLOOKUP(B235,D!A1:C204,3,FALSE)</f>
        <v>112</v>
      </c>
      <c r="F235" s="69" t="str" cm="1">
        <f t="array" ref="F235">VLOOKUP(B235,'Player Data'!A1:B673,2,FALSE)</f>
        <v>MTL</v>
      </c>
      <c r="G235" s="71" cm="1">
        <f t="array" ref="G235">VLOOKUP(B235,'Player Data'!A1:D673,3,FALSE)</f>
        <v>24</v>
      </c>
      <c r="H235" s="51" cm="1">
        <f t="array" ref="H235">IFERROR(VLOOKUP(B235,ADP!A1:F671,6,FALSE)/1000000,VLOOKUP(B235,ADP!A1:F671,6,FALSE))</f>
        <v>5.5</v>
      </c>
      <c r="I235" s="52">
        <f>IF(Settings!$E$15="POINTS",((R235*Q235)*Settings!$B$12)+(S235*Settings!$B$2)+(T235*Settings!$B$3)+(U235*Settings!$B$4)+(V235*Settings!$B$5)+(X235*Settings!$B$9)+(AA235*Settings!$B$6)+(W235*Settings!$B$8)+(AB235*Settings!$B$7)+(AC235*Settings!$B$14)+(AD235*Settings!$B$15)+(AE235*Settings!$B$16)+(AF235*Settings!$B$17)+(AG235*Settings!$B$18)+(U235*Settings!$B$13)+(Y235*Settings!$B$10)+(Z235*Settings!$B$11),VLOOKUP(B235,'Standard Deviations'!A$1:C$672,3,FALSE))</f>
        <v>-2.7285767253543241</v>
      </c>
      <c r="J235" s="53" cm="1">
        <f t="array" ref="J235">IF(D235="G",I235/AJ235,I235/Q235)</f>
        <v>-4.0725025751557078E-2</v>
      </c>
      <c r="K235" s="52" cm="1">
        <f t="array" ref="K235">VLOOKUP(B235,D!A1:F204,6,FALSE)</f>
        <v>-3.2954276398718783</v>
      </c>
      <c r="L235" s="54" cm="1">
        <f t="array" ref="L235">IFERROR(K235/H235,"N/A")</f>
        <v>-0.59916866179488693</v>
      </c>
      <c r="M235" s="84" t="s">
        <v>828</v>
      </c>
      <c r="N235" s="84" t="str" cm="1">
        <f t="array" ref="N235">IFERROR(M235-A235,"N/A")</f>
        <v>N/A</v>
      </c>
      <c r="O235" s="55"/>
      <c r="P235" s="56" cm="1">
        <f t="array" ref="P235">_xlfn.XLOOKUP($B235,ADP!A2:A671,ADP!G2:G671)</f>
        <v>0</v>
      </c>
      <c r="Q235" s="57" cm="1">
        <f t="array" ref="Q235">IF(Settings!$E$12="YES",VLOOKUP(B235,'Player Data'!A1:E673,5,FALSE),84)</f>
        <v>67</v>
      </c>
      <c r="R235" s="55" cm="1">
        <f t="array" ref="R235">VLOOKUP(B235,'Player Data'!$A1:$AE673,6,FALSE)</f>
        <v>18.5</v>
      </c>
      <c r="S235" s="57" cm="1">
        <f t="array" ref="S235">VLOOKUP(B235,'Player Data'!$A1:$AE673,7,FALSE)*$Q235*IFERROR((VLOOKUP(P235,Settings!$E$28:$F$33,2,FALSE)+1),1)</f>
        <v>4.6900000000000004</v>
      </c>
      <c r="T235" s="57" cm="1">
        <f t="array" ref="T235">VLOOKUP(B235,'Player Data'!$A1:$AE673,8,FALSE)*$Q235*IFERROR((VLOOKUP(P235,Settings!$E$28:$F$33,2,FALSE)+1),1)</f>
        <v>14.07</v>
      </c>
      <c r="U235" s="57" cm="1">
        <f t="array" ref="U235">SUM(S235:T235)</f>
        <v>18.760000000000002</v>
      </c>
      <c r="V235" s="57" cm="1">
        <f t="array" ref="V235">VLOOKUP(B235,'Player Data'!$A1:$AE673,10,FALSE)*$Q235*IFERROR(((VLOOKUP(P235,Settings!$E$28:$F$33,2,FALSE)/2)+1),1)</f>
        <v>73.03</v>
      </c>
      <c r="W235" s="57" cm="1">
        <f t="array" ref="W235">VLOOKUP(B235,'Player Data'!$A1:$AE673,11,FALSE)*$Q235*IFERROR((VLOOKUP(P235,Settings!$E$28:$F$33,2,FALSE)+1),1)</f>
        <v>0</v>
      </c>
      <c r="X235" s="57" cm="1">
        <f t="array" ref="X235">VLOOKUP(B235,'Player Data'!$A1:$AE673,12,FALSE)*$Q235*IFERROR((VLOOKUP(P235,Settings!$E$28:$F$33,2,FALSE)+1),1)</f>
        <v>0</v>
      </c>
      <c r="Y235" s="57" cm="1">
        <f t="array" ref="Y235">VLOOKUP(B235,'Player Data'!$A1:$AE673,13,FALSE)*$Q235</f>
        <v>0</v>
      </c>
      <c r="Z235" s="57" cm="1">
        <f t="array" ref="Z235">VLOOKUP(B235,'Player Data'!$A1:$AE673,14,FALSE)*$Q235</f>
        <v>0.67</v>
      </c>
      <c r="AA235" s="57" cm="1">
        <f t="array" ref="AA235">VLOOKUP(B235,'Player Data'!$A1:$AE673,15,FALSE)*$Q235</f>
        <v>109.21</v>
      </c>
      <c r="AB235" s="57" cm="1">
        <f t="array" ref="AB235">VLOOKUP(B235,'Player Data'!$A1:$AE673,16,FALSE)*$Q235</f>
        <v>105.19</v>
      </c>
      <c r="AC235" s="57" cm="1">
        <f t="array" ref="AC235">VLOOKUP(B235,'Player Data'!$A1:$AE673,17,FALSE)*$Q235*IFERROR((VLOOKUP(P235,Settings!$E$28:$F$33,2,FALSE)+1),1)</f>
        <v>1.34</v>
      </c>
      <c r="AD235" s="57" cm="1">
        <f t="array" ref="AD235">VLOOKUP(B235,'Player Data'!$A1:$AE673,18,FALSE)*$Q235</f>
        <v>44.22</v>
      </c>
      <c r="AE235" s="57" cm="1">
        <f t="array" ref="AE235">VLOOKUP(B235,'Player Data'!$A1:$AE673,19,FALSE)*$Q235*IFERROR((VLOOKUP(P235,Settings!$E$28:$F$33,2,FALSE)+1),1)</f>
        <v>0.67</v>
      </c>
      <c r="AF235" s="57" cm="1">
        <f t="array" ref="AF235">VLOOKUP(B235,'Player Data'!$A1:$AE673,20,FALSE)*$Q235</f>
        <v>0</v>
      </c>
      <c r="AG235" s="57" cm="1">
        <f t="array" ref="AG235">VLOOKUP(B235,'Player Data'!$A1:$AE673,21,FALSE)*$Q235</f>
        <v>0</v>
      </c>
      <c r="AH235" s="59" cm="1">
        <f t="array" ref="AH235">VLOOKUP(B235,'Player Data'!$A1:$AE673,22,FALSE)</f>
        <v>0</v>
      </c>
      <c r="AI235" s="55"/>
      <c r="AJ235" s="57"/>
      <c r="AK235" s="57"/>
      <c r="AL235" s="57"/>
      <c r="AM235" s="57"/>
      <c r="AN235" s="57"/>
      <c r="AO235" s="57"/>
      <c r="AP235" s="57"/>
      <c r="AQ235" s="60"/>
      <c r="AR235" s="61"/>
      <c r="AS235" s="55"/>
    </row>
    <row r="236" spans="1:45" ht="21.25" customHeight="1" x14ac:dyDescent="0.15">
      <c r="A236" s="62">
        <f>RANK(K236,K$2:K$671)</f>
        <v>251</v>
      </c>
      <c r="B236" s="10" t="s">
        <v>461</v>
      </c>
      <c r="C236" s="47" t="s">
        <v>145</v>
      </c>
      <c r="D236" s="48" t="str" cm="1">
        <f t="array" ref="D236">VLOOKUP(B236,'Player Data'!A1:D673,4,FALSE)</f>
        <v>D</v>
      </c>
      <c r="E236" s="68" cm="1">
        <f t="array" ref="E236">VLOOKUP(B236,D!A1:C204,3,FALSE)</f>
        <v>113</v>
      </c>
      <c r="F236" s="56" t="str" cm="1">
        <f t="array" ref="F236">VLOOKUP(B236,'Player Data'!A1:B673,2,FALSE)</f>
        <v>NYR</v>
      </c>
      <c r="G236" s="11" cm="1">
        <f t="array" ref="G236">VLOOKUP(B236,'Player Data'!A1:D673,3,FALSE)</f>
        <v>25</v>
      </c>
      <c r="H236" s="67" cm="1">
        <f t="array" ref="H236">IFERROR(VLOOKUP(B236,ADP!A1:F671,6,FALSE)/1000000,VLOOKUP(B236,ADP!A1:F671,6,FALSE))</f>
        <v>0.8125</v>
      </c>
      <c r="I236" s="52">
        <f>IF(Settings!$E$15="POINTS",((R236*Q236)*Settings!$B$12)+(S236*Settings!$B$2)+(T236*Settings!$B$3)+(U236*Settings!$B$4)+(V236*Settings!$B$5)+(X236*Settings!$B$9)+(AA236*Settings!$B$6)+(W236*Settings!$B$8)+(AB236*Settings!$B$7)+(AC236*Settings!$B$14)+(AD236*Settings!$B$15)+(AE236*Settings!$B$16)+(AF236*Settings!$B$17)+(AG236*Settings!$B$18)+(U236*Settings!$B$13)+(Y236*Settings!$B$10)+(Z236*Settings!$B$11),VLOOKUP(B236,'Standard Deviations'!A$1:C$672,3,FALSE))</f>
        <v>-2.7412341880818731</v>
      </c>
      <c r="J236" s="53" cm="1">
        <f t="array" ref="J236">IF(D236="G",I236/AJ236,I236/Q236)</f>
        <v>-3.4265427351023413E-2</v>
      </c>
      <c r="K236" s="52" cm="1">
        <f t="array" ref="K236">VLOOKUP(B236,D!A1:F204,6,FALSE)</f>
        <v>-3.3080851025994278</v>
      </c>
      <c r="L236" s="54" cm="1">
        <f t="array" ref="L236">IFERROR(K236/H236,"N/A")</f>
        <v>-4.0714893570454498</v>
      </c>
      <c r="M236" s="84" t="s">
        <v>828</v>
      </c>
      <c r="N236" s="84" t="str" cm="1">
        <f t="array" ref="N236">IFERROR(M236-A236,"N/A")</f>
        <v>N/A</v>
      </c>
      <c r="O236" s="55"/>
      <c r="P236" s="56" cm="1">
        <f t="array" ref="P236">_xlfn.XLOOKUP($B236,ADP!A2:A671,ADP!G2:G671)</f>
        <v>0</v>
      </c>
      <c r="Q236" s="57" cm="1">
        <f t="array" ref="Q236">IF(Settings!$E$12="YES",VLOOKUP(B236,'Player Data'!A1:E673,5,FALSE),84)</f>
        <v>80</v>
      </c>
      <c r="R236" s="55" cm="1">
        <f t="array" ref="R236">VLOOKUP(B236,'Player Data'!$A1:$AE673,6,FALSE)</f>
        <v>17.399999999999999</v>
      </c>
      <c r="S236" s="57" cm="1">
        <f t="array" ref="S236">VLOOKUP(B236,'Player Data'!$A1:$AE673,7,FALSE)*$Q236*IFERROR((VLOOKUP(P236,Settings!$E$28:$F$33,2,FALSE)+1),1)</f>
        <v>5.6000000000000005</v>
      </c>
      <c r="T236" s="57" cm="1">
        <f t="array" ref="T236">VLOOKUP(B236,'Player Data'!$A1:$AE673,8,FALSE)*$Q236*IFERROR((VLOOKUP(P236,Settings!$E$28:$F$33,2,FALSE)+1),1)</f>
        <v>14.399999999999999</v>
      </c>
      <c r="U236" s="57" cm="1">
        <f t="array" ref="U236">SUM(S236:T236)</f>
        <v>20</v>
      </c>
      <c r="V236" s="57" cm="1">
        <f t="array" ref="V236">VLOOKUP(B236,'Player Data'!$A1:$AE673,10,FALSE)*$Q236*IFERROR(((VLOOKUP(P236,Settings!$E$28:$F$33,2,FALSE)/2)+1),1)</f>
        <v>86.4</v>
      </c>
      <c r="W236" s="57" cm="1">
        <f t="array" ref="W236">VLOOKUP(B236,'Player Data'!$A1:$AE673,11,FALSE)*$Q236*IFERROR((VLOOKUP(P236,Settings!$E$28:$F$33,2,FALSE)+1),1)</f>
        <v>0</v>
      </c>
      <c r="X236" s="57" cm="1">
        <f t="array" ref="X236">VLOOKUP(B236,'Player Data'!$A1:$AE673,12,FALSE)*$Q236*IFERROR((VLOOKUP(P236,Settings!$E$28:$F$33,2,FALSE)+1),1)</f>
        <v>0</v>
      </c>
      <c r="Y236" s="57" cm="1">
        <f t="array" ref="Y236">VLOOKUP(B236,'Player Data'!$A1:$AE673,13,FALSE)*$Q236</f>
        <v>0</v>
      </c>
      <c r="Z236" s="57" cm="1">
        <f t="array" ref="Z236">VLOOKUP(B236,'Player Data'!$A1:$AE673,14,FALSE)*$Q236</f>
        <v>0</v>
      </c>
      <c r="AA236" s="57" cm="1">
        <f t="array" ref="AA236">VLOOKUP(B236,'Player Data'!$A1:$AE673,15,FALSE)*$Q236</f>
        <v>93.6</v>
      </c>
      <c r="AB236" s="57" cm="1">
        <f t="array" ref="AB236">VLOOKUP(B236,'Player Data'!$A1:$AE673,16,FALSE)*$Q236</f>
        <v>110.39999999999999</v>
      </c>
      <c r="AC236" s="57" cm="1">
        <f t="array" ref="AC236">VLOOKUP(B236,'Player Data'!$A1:$AE673,17,FALSE)*$Q236*IFERROR((VLOOKUP(P236,Settings!$E$28:$F$33,2,FALSE)+1),1)</f>
        <v>-0.8</v>
      </c>
      <c r="AD236" s="57" cm="1">
        <f t="array" ref="AD236">VLOOKUP(B236,'Player Data'!$A1:$AE673,18,FALSE)*$Q236</f>
        <v>38.4</v>
      </c>
      <c r="AE236" s="57" cm="1">
        <f t="array" ref="AE236">VLOOKUP(B236,'Player Data'!$A1:$AE673,19,FALSE)*$Q236*IFERROR((VLOOKUP(P236,Settings!$E$28:$F$33,2,FALSE)+1),1)</f>
        <v>0.8</v>
      </c>
      <c r="AF236" s="57" cm="1">
        <f t="array" ref="AF236">VLOOKUP(B236,'Player Data'!$A1:$AE673,20,FALSE)*$Q236</f>
        <v>0</v>
      </c>
      <c r="AG236" s="57" cm="1">
        <f t="array" ref="AG236">VLOOKUP(B236,'Player Data'!$A1:$AE673,21,FALSE)*$Q236</f>
        <v>0</v>
      </c>
      <c r="AH236" s="59" cm="1">
        <f t="array" ref="AH236">VLOOKUP(B236,'Player Data'!$A1:$AE673,22,FALSE)</f>
        <v>0</v>
      </c>
      <c r="AI236" s="55"/>
      <c r="AJ236" s="57"/>
      <c r="AK236" s="57"/>
      <c r="AL236" s="57"/>
      <c r="AM236" s="57"/>
      <c r="AN236" s="57"/>
      <c r="AO236" s="57"/>
      <c r="AP236" s="57"/>
      <c r="AQ236" s="60"/>
      <c r="AR236" s="61"/>
      <c r="AS236" s="55"/>
    </row>
    <row r="237" spans="1:45" ht="21.25" customHeight="1" x14ac:dyDescent="0.15">
      <c r="A237" s="62">
        <f>RANK(K237,K$2:K$671)</f>
        <v>253</v>
      </c>
      <c r="B237" s="10" t="s">
        <v>445</v>
      </c>
      <c r="C237" s="47" t="s">
        <v>145</v>
      </c>
      <c r="D237" s="48" t="str" cm="1">
        <f t="array" ref="D237">VLOOKUP(B237,'Player Data'!A1:D673,4,FALSE)</f>
        <v>D</v>
      </c>
      <c r="E237" s="68" cm="1">
        <f t="array" ref="E237">VLOOKUP(B237,D!A1:C204,3,FALSE)</f>
        <v>114</v>
      </c>
      <c r="F237" s="63" t="str" cm="1">
        <f t="array" ref="F237">VLOOKUP(B237,'Player Data'!A1:B673,2,FALSE)</f>
        <v>WPG</v>
      </c>
      <c r="G237" s="11" cm="1">
        <f t="array" ref="G237">VLOOKUP(B237,'Player Data'!A1:D673,3,FALSE)</f>
        <v>28</v>
      </c>
      <c r="H237" s="51" cm="1">
        <f t="array" ref="H237">IFERROR(VLOOKUP(B237,ADP!A1:F671,6,FALSE)/1000000,VLOOKUP(B237,ADP!A1:F671,6,FALSE))</f>
        <v>4</v>
      </c>
      <c r="I237" s="52">
        <f>IF(Settings!$E$15="POINTS",((R237*Q237)*Settings!$B$12)+(S237*Settings!$B$2)+(T237*Settings!$B$3)+(U237*Settings!$B$4)+(V237*Settings!$B$5)+(X237*Settings!$B$9)+(AA237*Settings!$B$6)+(W237*Settings!$B$8)+(AB237*Settings!$B$7)+(AC237*Settings!$B$14)+(AD237*Settings!$B$15)+(AE237*Settings!$B$16)+(AF237*Settings!$B$17)+(AG237*Settings!$B$18)+(U237*Settings!$B$13)+(Y237*Settings!$B$10)+(Z237*Settings!$B$11),VLOOKUP(B237,'Standard Deviations'!A$1:C$672,3,FALSE))</f>
        <v>-2.7685360900502136</v>
      </c>
      <c r="J237" s="53" cm="1">
        <f t="array" ref="J237">IF(D237="G",I237/AJ237,I237/Q237)</f>
        <v>-3.3355856506629082E-2</v>
      </c>
      <c r="K237" s="52" cm="1">
        <f t="array" ref="K237">VLOOKUP(B237,D!A1:F204,6,FALSE)</f>
        <v>-3.3353870045677683</v>
      </c>
      <c r="L237" s="54" cm="1">
        <f t="array" ref="L237">IFERROR(K237/H237,"N/A")</f>
        <v>-0.83384675114194207</v>
      </c>
      <c r="M237" s="84" t="s">
        <v>828</v>
      </c>
      <c r="N237" s="84" t="str" cm="1">
        <f t="array" ref="N237">IFERROR(M237-A237,"N/A")</f>
        <v>N/A</v>
      </c>
      <c r="O237" s="80"/>
      <c r="P237" s="56" cm="1">
        <f t="array" ref="P237">_xlfn.XLOOKUP($B237,ADP!A2:A671,ADP!G2:G671)</f>
        <v>0</v>
      </c>
      <c r="Q237" s="57" cm="1">
        <f t="array" ref="Q237">IF(Settings!$E$12="YES",VLOOKUP(B237,'Player Data'!A1:E673,5,FALSE),84)</f>
        <v>83</v>
      </c>
      <c r="R237" s="83" cm="1">
        <f t="array" ref="R237">VLOOKUP(B237,'Player Data'!$A1:$AE673,6,FALSE)</f>
        <v>18.100000000000001</v>
      </c>
      <c r="S237" s="57" cm="1">
        <f t="array" ref="S237">VLOOKUP(B237,'Player Data'!$A1:$AE673,7,FALSE)*$Q237*IFERROR((VLOOKUP(P237,Settings!$E$28:$F$33,2,FALSE)+1),1)</f>
        <v>4.1500000000000004</v>
      </c>
      <c r="T237" s="57" cm="1">
        <f t="array" ref="T237">VLOOKUP(B237,'Player Data'!$A1:$AE673,8,FALSE)*$Q237*IFERROR((VLOOKUP(P237,Settings!$E$28:$F$33,2,FALSE)+1),1)</f>
        <v>13.280000000000001</v>
      </c>
      <c r="U237" s="57" cm="1">
        <f t="array" ref="U237">SUM(S237:T237)</f>
        <v>17.43</v>
      </c>
      <c r="V237" s="57" cm="1">
        <f t="array" ref="V237">VLOOKUP(B237,'Player Data'!$A1:$AE673,10,FALSE)*$Q237*IFERROR(((VLOOKUP(P237,Settings!$E$28:$F$33,2,FALSE)/2)+1),1)</f>
        <v>78.849999999999994</v>
      </c>
      <c r="W237" s="57" cm="1">
        <f t="array" ref="W237">VLOOKUP(B237,'Player Data'!$A1:$AE673,11,FALSE)*$Q237*IFERROR((VLOOKUP(P237,Settings!$E$28:$F$33,2,FALSE)+1),1)</f>
        <v>0</v>
      </c>
      <c r="X237" s="57" cm="1">
        <f t="array" ref="X237">VLOOKUP(B237,'Player Data'!$A1:$AE673,12,FALSE)*$Q237*IFERROR((VLOOKUP(P237,Settings!$E$28:$F$33,2,FALSE)+1),1)</f>
        <v>0</v>
      </c>
      <c r="Y237" s="57" cm="1">
        <f t="array" ref="Y237">VLOOKUP(B237,'Player Data'!$A1:$AE673,13,FALSE)*$Q237</f>
        <v>0</v>
      </c>
      <c r="Z237" s="57" cm="1">
        <f t="array" ref="Z237">VLOOKUP(B237,'Player Data'!$A1:$AE673,14,FALSE)*$Q237</f>
        <v>0</v>
      </c>
      <c r="AA237" s="57" cm="1">
        <f t="array" ref="AA237">VLOOKUP(B237,'Player Data'!$A1:$AE673,15,FALSE)*$Q237</f>
        <v>126.99000000000001</v>
      </c>
      <c r="AB237" s="57" cm="1">
        <f t="array" ref="AB237">VLOOKUP(B237,'Player Data'!$A1:$AE673,16,FALSE)*$Q237</f>
        <v>117.86</v>
      </c>
      <c r="AC237" s="57" cm="1">
        <f t="array" ref="AC237">VLOOKUP(B237,'Player Data'!$A1:$AE673,17,FALSE)*$Q237*IFERROR((VLOOKUP(P237,Settings!$E$28:$F$33,2,FALSE)+1),1)</f>
        <v>0</v>
      </c>
      <c r="AD237" s="57" cm="1">
        <f t="array" ref="AD237">VLOOKUP(B237,'Player Data'!$A1:$AE673,18,FALSE)*$Q237</f>
        <v>35.69</v>
      </c>
      <c r="AE237" s="57" cm="1">
        <f t="array" ref="AE237">VLOOKUP(B237,'Player Data'!$A1:$AE673,19,FALSE)*$Q237*IFERROR((VLOOKUP(P237,Settings!$E$28:$F$33,2,FALSE)+1),1)</f>
        <v>0.83000000000000007</v>
      </c>
      <c r="AF237" s="57" cm="1">
        <f t="array" ref="AF237">VLOOKUP(B237,'Player Data'!$A1:$AE673,20,FALSE)*$Q237</f>
        <v>0</v>
      </c>
      <c r="AG237" s="57" cm="1">
        <f t="array" ref="AG237">VLOOKUP(B237,'Player Data'!$A1:$AE673,21,FALSE)*$Q237</f>
        <v>0</v>
      </c>
      <c r="AH237" s="59" cm="1">
        <f t="array" ref="AH237">VLOOKUP(B237,'Player Data'!$A1:$AE673,22,FALSE)</f>
        <v>0</v>
      </c>
      <c r="AI237" s="55"/>
      <c r="AJ237" s="57"/>
      <c r="AK237" s="57"/>
      <c r="AL237" s="57"/>
      <c r="AM237" s="57"/>
      <c r="AN237" s="57"/>
      <c r="AO237" s="57"/>
      <c r="AP237" s="57"/>
      <c r="AQ237" s="60"/>
      <c r="AR237" s="61"/>
      <c r="AS237" s="55"/>
    </row>
    <row r="238" spans="1:45" ht="21.25" customHeight="1" x14ac:dyDescent="0.15">
      <c r="A238" s="62">
        <f>RANK(K238,K$2:K$671)</f>
        <v>254</v>
      </c>
      <c r="B238" s="10" t="s">
        <v>534</v>
      </c>
      <c r="C238" s="47" t="s">
        <v>145</v>
      </c>
      <c r="D238" s="48" t="str" cm="1">
        <f t="array" ref="D238">VLOOKUP(B238,'Player Data'!A1:D673,4,FALSE)</f>
        <v>D</v>
      </c>
      <c r="E238" s="68" cm="1">
        <f t="array" ref="E238">VLOOKUP(B238,D!A1:C204,3,FALSE)</f>
        <v>115</v>
      </c>
      <c r="F238" s="63" t="str" cm="1">
        <f t="array" ref="F238">VLOOKUP(B238,'Player Data'!A1:B673,2,FALSE)</f>
        <v>VGK</v>
      </c>
      <c r="G238" s="11" cm="1">
        <f t="array" ref="G238">VLOOKUP(B238,'Player Data'!A1:D673,3,FALSE)</f>
        <v>29</v>
      </c>
      <c r="H238" s="67" cm="1">
        <f t="array" ref="H238">IFERROR(VLOOKUP(B238,ADP!A1:F671,6,FALSE)/1000000,VLOOKUP(B238,ADP!A1:F671,6,FALSE))</f>
        <v>1</v>
      </c>
      <c r="I238" s="52">
        <f>IF(Settings!$E$15="POINTS",((R238*Q238)*Settings!$B$12)+(S238*Settings!$B$2)+(T238*Settings!$B$3)+(U238*Settings!$B$4)+(V238*Settings!$B$5)+(X238*Settings!$B$9)+(AA238*Settings!$B$6)+(W238*Settings!$B$8)+(AB238*Settings!$B$7)+(AC238*Settings!$B$14)+(AD238*Settings!$B$15)+(AE238*Settings!$B$16)+(AF238*Settings!$B$17)+(AG238*Settings!$B$18)+(U238*Settings!$B$13)+(Y238*Settings!$B$10)+(Z238*Settings!$B$11),VLOOKUP(B238,'Standard Deviations'!A$1:C$672,3,FALSE))</f>
        <v>-2.7823816098331582</v>
      </c>
      <c r="J238" s="53" cm="1">
        <f t="array" ref="J238">IF(D238="G",I238/AJ238,I238/Q238)</f>
        <v>-3.6610284339909975E-2</v>
      </c>
      <c r="K238" s="52" cm="1">
        <f t="array" ref="K238">VLOOKUP(B238,D!A1:F204,6,FALSE)</f>
        <v>-3.3492325243507128</v>
      </c>
      <c r="L238" s="54" cm="1">
        <f t="array" ref="L238">IFERROR(K238/H238,"N/A")</f>
        <v>-3.3492325243507128</v>
      </c>
      <c r="M238" s="84" t="s">
        <v>828</v>
      </c>
      <c r="N238" s="84" t="str" cm="1">
        <f t="array" ref="N238">IFERROR(M238-A238,"N/A")</f>
        <v>N/A</v>
      </c>
      <c r="O238" s="82"/>
      <c r="P238" s="56" cm="1">
        <f t="array" ref="P238">_xlfn.XLOOKUP($B238,ADP!A2:A671,ADP!G2:G671)</f>
        <v>0</v>
      </c>
      <c r="Q238" s="57" cm="1">
        <f t="array" ref="Q238">IF(Settings!$E$12="YES",VLOOKUP(B238,'Player Data'!A1:E673,5,FALSE),84)</f>
        <v>76</v>
      </c>
      <c r="R238" s="83" cm="1">
        <f t="array" ref="R238">VLOOKUP(B238,'Player Data'!$A1:$AE673,6,FALSE)</f>
        <v>16.899999999999999</v>
      </c>
      <c r="S238" s="57" cm="1">
        <f t="array" ref="S238">VLOOKUP(B238,'Player Data'!$A1:$AE673,7,FALSE)*$Q238*IFERROR((VLOOKUP(P238,Settings!$E$28:$F$33,2,FALSE)+1),1)</f>
        <v>1.52</v>
      </c>
      <c r="T238" s="57" cm="1">
        <f t="array" ref="T238">VLOOKUP(B238,'Player Data'!$A1:$AE673,8,FALSE)*$Q238*IFERROR((VLOOKUP(P238,Settings!$E$28:$F$33,2,FALSE)+1),1)</f>
        <v>15.200000000000001</v>
      </c>
      <c r="U238" s="57" cm="1">
        <f t="array" ref="U238">SUM(S238:T238)</f>
        <v>16.720000000000002</v>
      </c>
      <c r="V238" s="57" cm="1">
        <f t="array" ref="V238">VLOOKUP(B238,'Player Data'!$A1:$AE673,10,FALSE)*$Q238*IFERROR(((VLOOKUP(P238,Settings!$E$28:$F$33,2,FALSE)/2)+1),1)</f>
        <v>50.92</v>
      </c>
      <c r="W238" s="57" cm="1">
        <f t="array" ref="W238">VLOOKUP(B238,'Player Data'!$A1:$AE673,11,FALSE)*$Q238*IFERROR((VLOOKUP(P238,Settings!$E$28:$F$33,2,FALSE)+1),1)</f>
        <v>0</v>
      </c>
      <c r="X238" s="57" cm="1">
        <f t="array" ref="X238">VLOOKUP(B238,'Player Data'!$A1:$AE673,12,FALSE)*$Q238*IFERROR((VLOOKUP(P238,Settings!$E$28:$F$33,2,FALSE)+1),1)</f>
        <v>0</v>
      </c>
      <c r="Y238" s="57" cm="1">
        <f t="array" ref="Y238">VLOOKUP(B238,'Player Data'!$A1:$AE673,13,FALSE)*$Q238</f>
        <v>0</v>
      </c>
      <c r="Z238" s="57" cm="1">
        <f t="array" ref="Z238">VLOOKUP(B238,'Player Data'!$A1:$AE673,14,FALSE)*$Q238</f>
        <v>0.76</v>
      </c>
      <c r="AA238" s="57" cm="1">
        <f t="array" ref="AA238">VLOOKUP(B238,'Player Data'!$A1:$AE673,15,FALSE)*$Q238</f>
        <v>89.679999999999993</v>
      </c>
      <c r="AB238" s="57" cm="1">
        <f t="array" ref="AB238">VLOOKUP(B238,'Player Data'!$A1:$AE673,16,FALSE)*$Q238</f>
        <v>114.76</v>
      </c>
      <c r="AC238" s="57" cm="1">
        <f t="array" ref="AC238">VLOOKUP(B238,'Player Data'!$A1:$AE673,17,FALSE)*$Q238*IFERROR((VLOOKUP(P238,Settings!$E$28:$F$33,2,FALSE)+1),1)</f>
        <v>3.04</v>
      </c>
      <c r="AD238" s="57" cm="1">
        <f t="array" ref="AD238">VLOOKUP(B238,'Player Data'!$A1:$AE673,18,FALSE)*$Q238</f>
        <v>32.68</v>
      </c>
      <c r="AE238" s="57" cm="1">
        <f t="array" ref="AE238">VLOOKUP(B238,'Player Data'!$A1:$AE673,19,FALSE)*$Q238*IFERROR((VLOOKUP(P238,Settings!$E$28:$F$33,2,FALSE)+1),1)</f>
        <v>0</v>
      </c>
      <c r="AF238" s="57" cm="1">
        <f t="array" ref="AF238">VLOOKUP(B238,'Player Data'!$A1:$AE673,20,FALSE)*$Q238</f>
        <v>0</v>
      </c>
      <c r="AG238" s="57" cm="1">
        <f t="array" ref="AG238">VLOOKUP(B238,'Player Data'!$A1:$AE673,21,FALSE)*$Q238</f>
        <v>0</v>
      </c>
      <c r="AH238" s="59" cm="1">
        <f t="array" ref="AH238">VLOOKUP(B238,'Player Data'!$A1:$AE673,22,FALSE)</f>
        <v>0</v>
      </c>
      <c r="AI238" s="55"/>
      <c r="AJ238" s="57"/>
      <c r="AK238" s="57"/>
      <c r="AL238" s="57"/>
      <c r="AM238" s="57"/>
      <c r="AN238" s="57"/>
      <c r="AO238" s="57"/>
      <c r="AP238" s="57"/>
      <c r="AQ238" s="60"/>
      <c r="AR238" s="61"/>
      <c r="AS238" s="55"/>
    </row>
    <row r="239" spans="1:45" ht="21.25" customHeight="1" x14ac:dyDescent="0.15">
      <c r="A239" s="62">
        <f>RANK(K239,K$2:K$671)</f>
        <v>255</v>
      </c>
      <c r="B239" s="10" t="s">
        <v>436</v>
      </c>
      <c r="C239" s="47" t="s">
        <v>145</v>
      </c>
      <c r="D239" s="48" t="str" cm="1">
        <f t="array" ref="D239">VLOOKUP(B239,'Player Data'!A1:D673,4,FALSE)</f>
        <v>D</v>
      </c>
      <c r="E239" s="68" cm="1">
        <f t="array" ref="E239">VLOOKUP(B239,D!A1:C204,3,FALSE)</f>
        <v>116</v>
      </c>
      <c r="F239" s="56" t="str" cm="1">
        <f t="array" ref="F239">VLOOKUP(B239,'Player Data'!A1:B673,2,FALSE)</f>
        <v>PHI</v>
      </c>
      <c r="G239" s="66" cm="1">
        <f t="array" ref="G239">VLOOKUP(B239,'Player Data'!A1:D673,3,FALSE)</f>
        <v>33</v>
      </c>
      <c r="H239" s="51" cm="1">
        <f t="array" ref="H239">IFERROR(VLOOKUP(B239,ADP!A1:F671,6,FALSE)/1000000,VLOOKUP(B239,ADP!A1:F671,6,FALSE))</f>
        <v>2.7</v>
      </c>
      <c r="I239" s="52">
        <f>IF(Settings!$E$15="POINTS",((R239*Q239)*Settings!$B$12)+(S239*Settings!$B$2)+(T239*Settings!$B$3)+(U239*Settings!$B$4)+(V239*Settings!$B$5)+(X239*Settings!$B$9)+(AA239*Settings!$B$6)+(W239*Settings!$B$8)+(AB239*Settings!$B$7)+(AC239*Settings!$B$14)+(AD239*Settings!$B$15)+(AE239*Settings!$B$16)+(AF239*Settings!$B$17)+(AG239*Settings!$B$18)+(U239*Settings!$B$13)+(Y239*Settings!$B$10)+(Z239*Settings!$B$11),VLOOKUP(B239,'Standard Deviations'!A$1:C$672,3,FALSE))</f>
        <v>-2.8051136230632716</v>
      </c>
      <c r="J239" s="53" cm="1">
        <f t="array" ref="J239">IF(D239="G",I239/AJ239,I239/Q239)</f>
        <v>-3.4208702720283798E-2</v>
      </c>
      <c r="K239" s="52" cm="1">
        <f t="array" ref="K239">VLOOKUP(B239,D!A1:F204,6,FALSE)</f>
        <v>-3.3719645375808263</v>
      </c>
      <c r="L239" s="54" cm="1">
        <f t="array" ref="L239">IFERROR(K239/H239,"N/A")</f>
        <v>-1.2488757546595652</v>
      </c>
      <c r="M239" s="84" t="s">
        <v>828</v>
      </c>
      <c r="N239" s="84" t="str" cm="1">
        <f t="array" ref="N239">IFERROR(M239-A239,"N/A")</f>
        <v>N/A</v>
      </c>
      <c r="O239" s="55"/>
      <c r="P239" s="56" cm="1">
        <f t="array" ref="P239">_xlfn.XLOOKUP($B239,ADP!A2:A671,ADP!G2:G671)</f>
        <v>0</v>
      </c>
      <c r="Q239" s="57" cm="1">
        <f t="array" ref="Q239">IF(Settings!$E$12="YES",VLOOKUP(B239,'Player Data'!A1:E673,5,FALSE),84)</f>
        <v>82</v>
      </c>
      <c r="R239" s="55" cm="1">
        <f t="array" ref="R239">VLOOKUP(B239,'Player Data'!$A1:$AE673,6,FALSE)</f>
        <v>17.600000000000001</v>
      </c>
      <c r="S239" s="57" cm="1">
        <f t="array" ref="S239">VLOOKUP(B239,'Player Data'!$A1:$AE673,7,FALSE)*$Q239*IFERROR((VLOOKUP(P239,Settings!$E$28:$F$33,2,FALSE)+1),1)</f>
        <v>1.6400000000000001</v>
      </c>
      <c r="T239" s="57" cm="1">
        <f t="array" ref="T239">VLOOKUP(B239,'Player Data'!$A1:$AE673,8,FALSE)*$Q239*IFERROR((VLOOKUP(P239,Settings!$E$28:$F$33,2,FALSE)+1),1)</f>
        <v>11.48</v>
      </c>
      <c r="U239" s="57" cm="1">
        <f t="array" ref="U239">SUM(S239:T239)</f>
        <v>13.120000000000001</v>
      </c>
      <c r="V239" s="57" cm="1">
        <f t="array" ref="V239">VLOOKUP(B239,'Player Data'!$A1:$AE673,10,FALSE)*$Q239*IFERROR(((VLOOKUP(P239,Settings!$E$28:$F$33,2,FALSE)/2)+1),1)</f>
        <v>81.179999999999993</v>
      </c>
      <c r="W239" s="57" cm="1">
        <f t="array" ref="W239">VLOOKUP(B239,'Player Data'!$A1:$AE673,11,FALSE)*$Q239*IFERROR((VLOOKUP(P239,Settings!$E$28:$F$33,2,FALSE)+1),1)</f>
        <v>0</v>
      </c>
      <c r="X239" s="57" cm="1">
        <f t="array" ref="X239">VLOOKUP(B239,'Player Data'!$A1:$AE673,12,FALSE)*$Q239*IFERROR((VLOOKUP(P239,Settings!$E$28:$F$33,2,FALSE)+1),1)</f>
        <v>0</v>
      </c>
      <c r="Y239" s="57" cm="1">
        <f t="array" ref="Y239">VLOOKUP(B239,'Player Data'!$A1:$AE673,13,FALSE)*$Q239</f>
        <v>0</v>
      </c>
      <c r="Z239" s="57" cm="1">
        <f t="array" ref="Z239">VLOOKUP(B239,'Player Data'!$A1:$AE673,14,FALSE)*$Q239</f>
        <v>0.82000000000000006</v>
      </c>
      <c r="AA239" s="57" cm="1">
        <f t="array" ref="AA239">VLOOKUP(B239,'Player Data'!$A1:$AE673,15,FALSE)*$Q239</f>
        <v>159.9</v>
      </c>
      <c r="AB239" s="57" cm="1">
        <f t="array" ref="AB239">VLOOKUP(B239,'Player Data'!$A1:$AE673,16,FALSE)*$Q239</f>
        <v>123.82000000000001</v>
      </c>
      <c r="AC239" s="57" cm="1">
        <f t="array" ref="AC239">VLOOKUP(B239,'Player Data'!$A1:$AE673,17,FALSE)*$Q239*IFERROR((VLOOKUP(P239,Settings!$E$28:$F$33,2,FALSE)+1),1)</f>
        <v>0.82000000000000006</v>
      </c>
      <c r="AD239" s="57" cm="1">
        <f t="array" ref="AD239">VLOOKUP(B239,'Player Data'!$A1:$AE673,18,FALSE)*$Q239</f>
        <v>41</v>
      </c>
      <c r="AE239" s="57" cm="1">
        <f t="array" ref="AE239">VLOOKUP(B239,'Player Data'!$A1:$AE673,19,FALSE)*$Q239*IFERROR((VLOOKUP(P239,Settings!$E$28:$F$33,2,FALSE)+1),1)</f>
        <v>0</v>
      </c>
      <c r="AF239" s="57" cm="1">
        <f t="array" ref="AF239">VLOOKUP(B239,'Player Data'!$A1:$AE673,20,FALSE)*$Q239</f>
        <v>0</v>
      </c>
      <c r="AG239" s="57" cm="1">
        <f t="array" ref="AG239">VLOOKUP(B239,'Player Data'!$A1:$AE673,21,FALSE)*$Q239</f>
        <v>0</v>
      </c>
      <c r="AH239" s="59" cm="1">
        <f t="array" ref="AH239">VLOOKUP(B239,'Player Data'!$A1:$AE673,22,FALSE)</f>
        <v>0</v>
      </c>
      <c r="AI239" s="55"/>
      <c r="AJ239" s="57"/>
      <c r="AK239" s="57"/>
      <c r="AL239" s="57"/>
      <c r="AM239" s="57"/>
      <c r="AN239" s="57"/>
      <c r="AO239" s="57"/>
      <c r="AP239" s="57"/>
      <c r="AQ239" s="60"/>
      <c r="AR239" s="61"/>
      <c r="AS239" s="55"/>
    </row>
    <row r="240" spans="1:45" ht="21.25" customHeight="1" x14ac:dyDescent="0.15">
      <c r="A240" s="62">
        <f>RANK(K240,K$2:K$671)</f>
        <v>203</v>
      </c>
      <c r="B240" s="10" t="s">
        <v>281</v>
      </c>
      <c r="C240" s="47" t="s">
        <v>145</v>
      </c>
      <c r="D240" s="48" t="str" cm="1">
        <f t="array" ref="D240">VLOOKUP(B240,'Player Data'!A1:D673,4,FALSE)</f>
        <v>LW</v>
      </c>
      <c r="E240" s="75" cm="1">
        <f t="array" ref="E240">VLOOKUP(B240,LW!A1:C210,3,FALSE)</f>
        <v>42</v>
      </c>
      <c r="F240" s="73" t="str" cm="1">
        <f t="array" ref="F240">VLOOKUP(B240,'Player Data'!A1:B673,2,FALSE)</f>
        <v>BUF</v>
      </c>
      <c r="G240" s="71" cm="1">
        <f t="array" ref="G240">VLOOKUP(B240,'Player Data'!A1:D673,3,FALSE)</f>
        <v>21</v>
      </c>
      <c r="H240" s="51" cm="1">
        <f t="array" ref="H240">IFERROR(VLOOKUP(B240,ADP!A1:F671,6,FALSE)/1000000,VLOOKUP(B240,ADP!A1:F671,6,FALSE))</f>
        <v>7.5</v>
      </c>
      <c r="I240" s="52">
        <f>IF(Settings!$E$15="POINTS",((R240*Q240)*Settings!$B$12)+(S240*Settings!$B$2)+(T240*Settings!$B$3)+(U240*Settings!$B$4)+(V240*Settings!$B$5)+(X240*Settings!$B$9)+(AA240*Settings!$B$6)+(W240*Settings!$B$8)+(AB240*Settings!$B$7)+(AC240*Settings!$B$14)+(AD240*Settings!$B$15)+(AE240*Settings!$B$16)+(AF240*Settings!$B$17)+(AG240*Settings!$B$18)+(Y240*Settings!$B$10)+(Z240*Settings!$B$11),VLOOKUP(B240,'Standard Deviations'!A$1:C$672,3,FALSE))</f>
        <v>4.403269154391638</v>
      </c>
      <c r="J240" s="53" cm="1">
        <f t="array" ref="J240">IF(D240="G",I240/AJ240,I240/Q240)</f>
        <v>5.5737584232805545E-2</v>
      </c>
      <c r="K240" s="52" cm="1">
        <f t="array" ref="K240">IF(Settings!$E$18="C/LW/RW",VLOOKUP(B240,LW!A1:F210,6,FALSE),VLOOKUP(B240,F!A1:F407,6,FALSE))</f>
        <v>-2.4911164899981717</v>
      </c>
      <c r="L240" s="54" cm="1">
        <f t="array" ref="L240">IFERROR(K240/H240,"N/A")</f>
        <v>-0.33214886533308957</v>
      </c>
      <c r="M240" s="55">
        <v>147.69999999999999</v>
      </c>
      <c r="N240" s="55" cm="1">
        <f t="array" ref="N240">IFERROR(M240-A240,"N/A")</f>
        <v>-55.300000000000011</v>
      </c>
      <c r="O240" s="80"/>
      <c r="P240" s="56" t="str" cm="1">
        <f t="array" ref="P240">_xlfn.XLOOKUP($B240,ADP!A2:A671,ADP!G2:G671)</f>
        <v>+ + +</v>
      </c>
      <c r="Q240" s="57" cm="1">
        <f t="array" ref="Q240">IF(Settings!$E$12="YES",VLOOKUP(B240,'Player Data'!A1:E673,5,FALSE),84)</f>
        <v>79</v>
      </c>
      <c r="R240" s="81" cm="1">
        <f t="array" ref="R240">VLOOKUP(B240,'Player Data'!$A1:$AE673,6,FALSE)</f>
        <v>18.8</v>
      </c>
      <c r="S240" s="57" cm="1">
        <f t="array" ref="S240">VLOOKUP(B240,'Player Data'!$A1:$AE673,7,FALSE)*$Q240*IFERROR((VLOOKUP(P240,Settings!$E$28:$F$33,2,FALSE)+1),1)</f>
        <v>22.751999999999999</v>
      </c>
      <c r="T240" s="57" cm="1">
        <f t="array" ref="T240">VLOOKUP(B240,'Player Data'!$A1:$AE673,8,FALSE)*$Q240*IFERROR((VLOOKUP(P240,Settings!$E$28:$F$33,2,FALSE)+1),1)</f>
        <v>43.608000000000004</v>
      </c>
      <c r="U240" s="57" cm="1">
        <f t="array" ref="U240">SUM(S240:T240)</f>
        <v>66.36</v>
      </c>
      <c r="V240" s="57" cm="1">
        <f t="array" ref="V240">VLOOKUP(B240,'Player Data'!$A1:$AE673,10,FALSE)*$Q240*IFERROR(((VLOOKUP(P240,Settings!$E$28:$F$33,2,FALSE)/2)+1),1)</f>
        <v>185.96600000000001</v>
      </c>
      <c r="W240" s="58" cm="1">
        <f t="array" ref="W240">VLOOKUP(B240,'Player Data'!$A1:$AE673,11,FALSE)*$Q240*IFERROR((VLOOKUP(P240,Settings!$E$28:$F$33,2,FALSE)+1),1)</f>
        <v>5.6879999999999997</v>
      </c>
      <c r="X240" s="57" cm="1">
        <f t="array" ref="X240">VLOOKUP(B240,'Player Data'!$A1:$AE673,12,FALSE)*$Q240*IFERROR((VLOOKUP(P240,Settings!$E$28:$F$33,2,FALSE)+1),1)</f>
        <v>16.116</v>
      </c>
      <c r="Y240" s="57" cm="1">
        <f t="array" ref="Y240">VLOOKUP(B240,'Player Data'!$A1:$AE673,13,FALSE)*$Q240</f>
        <v>0.79</v>
      </c>
      <c r="Z240" s="57" cm="1">
        <f t="array" ref="Z240">VLOOKUP(B240,'Player Data'!$A1:$AE673,14,FALSE)*$Q240</f>
        <v>1.58</v>
      </c>
      <c r="AA240" s="57" cm="1">
        <f t="array" ref="AA240">VLOOKUP(B240,'Player Data'!$A1:$AE673,15,FALSE)*$Q240</f>
        <v>35.550000000000004</v>
      </c>
      <c r="AB240" s="57" cm="1">
        <f t="array" ref="AB240">VLOOKUP(B240,'Player Data'!$A1:$AE673,16,FALSE)*$Q240</f>
        <v>53.720000000000006</v>
      </c>
      <c r="AC240" s="57" cm="1">
        <f t="array" ref="AC240">VLOOKUP(B240,'Player Data'!$A1:$AE673,17,FALSE)*$Q240*IFERROR((VLOOKUP(P240,Settings!$E$28:$F$33,2,FALSE)+1),1)</f>
        <v>4.74</v>
      </c>
      <c r="AD240" s="57" cm="1">
        <f t="array" ref="AD240">VLOOKUP(B240,'Player Data'!$A1:$AE673,18,FALSE)*$Q240</f>
        <v>49.77</v>
      </c>
      <c r="AE240" s="57" cm="1">
        <f t="array" ref="AE240">VLOOKUP(B240,'Player Data'!$A1:$AE673,19,FALSE)*$Q240*IFERROR((VLOOKUP(P240,Settings!$E$28:$F$33,2,FALSE)+1),1)</f>
        <v>3.7919999999999998</v>
      </c>
      <c r="AF240" s="57" cm="1">
        <f t="array" ref="AF240">VLOOKUP(B240,'Player Data'!$A1:$AE673,20,FALSE)*$Q240</f>
        <v>7.1099999999999994</v>
      </c>
      <c r="AG240" s="57" cm="1">
        <f t="array" ref="AG240">VLOOKUP(B240,'Player Data'!$A1:$AE673,21,FALSE)*$Q240</f>
        <v>15.8</v>
      </c>
      <c r="AH240" s="59" cm="1">
        <f t="array" ref="AH240">VLOOKUP(B240,'Player Data'!$A1:$AE673,22,FALSE)</f>
        <v>0.33</v>
      </c>
      <c r="AI240" s="55"/>
      <c r="AJ240" s="57"/>
      <c r="AK240" s="57"/>
      <c r="AL240" s="57"/>
      <c r="AM240" s="57"/>
      <c r="AN240" s="57"/>
      <c r="AO240" s="57"/>
      <c r="AP240" s="57"/>
      <c r="AQ240" s="60"/>
      <c r="AR240" s="61"/>
      <c r="AS240" s="55"/>
    </row>
    <row r="241" spans="1:45" ht="21.25" customHeight="1" x14ac:dyDescent="0.15">
      <c r="A241" s="62">
        <f>RANK(K241,K$2:K$671)</f>
        <v>201</v>
      </c>
      <c r="B241" s="10" t="s">
        <v>388</v>
      </c>
      <c r="C241" s="47" t="s">
        <v>145</v>
      </c>
      <c r="D241" s="48" t="str" cm="1">
        <f t="array" ref="D241">VLOOKUP(B241,'Player Data'!A1:D673,4,FALSE)</f>
        <v>RW</v>
      </c>
      <c r="E241" s="64" cm="1">
        <f t="array" ref="E241">VLOOKUP(B241,RW!A1:F210,3,FALSE)</f>
        <v>48</v>
      </c>
      <c r="F241" s="56" t="str" cm="1">
        <f t="array" ref="F241">VLOOKUP(B241,'Player Data'!A1:B673,2,FALSE)</f>
        <v>WSH</v>
      </c>
      <c r="G241" s="71" cm="1">
        <f t="array" ref="G241">VLOOKUP(B241,'Player Data'!A1:D673,3,FALSE)</f>
        <v>21</v>
      </c>
      <c r="H241" s="51" cm="1">
        <f t="array" ref="H241">IFERROR(VLOOKUP(B241,ADP!A1:F671,6,FALSE)/1000000,VLOOKUP(B241,ADP!A1:F671,6,FALSE))</f>
        <v>0.95</v>
      </c>
      <c r="I241" s="52">
        <f>IF(Settings!$E$15="POINTS",((R241*Q241)*Settings!$B$12)+(S241*Settings!$B$2)+(T241*Settings!$B$3)+(U241*Settings!$B$4)+(V241*Settings!$B$5)+(X241*Settings!$B$9)+(AA241*Settings!$B$6)+(W241*Settings!$B$8)+(AB241*Settings!$B$7)+(AC241*Settings!$B$14)+(AD241*Settings!$B$15)+(AE241*Settings!$B$16)+(AF241*Settings!$B$17)+(AG241*Settings!$B$18)+(Y241*Settings!$B$10)+(Z241*Settings!$B$11),VLOOKUP(B241,'Standard Deviations'!A$1:C$672,3,FALSE))</f>
        <v>4.4531089924854896</v>
      </c>
      <c r="J241" s="53" cm="1">
        <f t="array" ref="J241">IF(D241="G",I241/AJ241,I241/Q241)</f>
        <v>5.8593539374809073E-2</v>
      </c>
      <c r="K241" s="52" cm="1">
        <f t="array" ref="K241">IF(Settings!$E$18="C/LW/RW",VLOOKUP(B241,RW!A1:F210,6,FALSE),VLOOKUP(B241,F!A1:F407,6,FALSE))</f>
        <v>-2.4341256093235879</v>
      </c>
      <c r="L241" s="54" cm="1">
        <f t="array" ref="L241">IFERROR(K241/H241,"N/A")</f>
        <v>-2.5622374834985138</v>
      </c>
      <c r="M241" s="55">
        <v>131.1</v>
      </c>
      <c r="N241" s="55" cm="1">
        <f t="array" ref="N241">IFERROR(M241-A241,"N/A")</f>
        <v>-69.900000000000006</v>
      </c>
      <c r="O241" s="82"/>
      <c r="P241" s="56" t="str" cm="1">
        <f t="array" ref="P241">_xlfn.XLOOKUP($B241,ADP!A2:A671,ADP!G2:G671)</f>
        <v>+</v>
      </c>
      <c r="Q241" s="57" cm="1">
        <f t="array" ref="Q241">IF(Settings!$E$12="YES",VLOOKUP(B241,'Player Data'!A1:E673,5,FALSE),84)</f>
        <v>76</v>
      </c>
      <c r="R241" s="81" cm="1">
        <f t="array" ref="R241">VLOOKUP(B241,'Player Data'!$A1:$AE673,6,FALSE)</f>
        <v>15.5</v>
      </c>
      <c r="S241" s="57" cm="1">
        <f t="array" ref="S241">VLOOKUP(B241,'Player Data'!$A1:$AE673,7,FALSE)*$Q241*IFERROR((VLOOKUP(P241,Settings!$E$28:$F$33,2,FALSE)+1),1)</f>
        <v>23.141999999999999</v>
      </c>
      <c r="T241" s="57" cm="1">
        <f t="array" ref="T241">VLOOKUP(B241,'Player Data'!$A1:$AE673,8,FALSE)*$Q241*IFERROR((VLOOKUP(P241,Settings!$E$28:$F$33,2,FALSE)+1),1)</f>
        <v>28.728000000000002</v>
      </c>
      <c r="U241" s="57" cm="1">
        <f t="array" ref="U241">SUM(S241:T241)</f>
        <v>51.870000000000005</v>
      </c>
      <c r="V241" s="57" cm="1">
        <f t="array" ref="V241">VLOOKUP(B241,'Player Data'!$A1:$AE673,10,FALSE)*$Q241*IFERROR(((VLOOKUP(P241,Settings!$E$28:$F$33,2,FALSE)/2)+1),1)</f>
        <v>170.60099999999997</v>
      </c>
      <c r="W241" s="57" cm="1">
        <f t="array" ref="W241">VLOOKUP(B241,'Player Data'!$A1:$AE673,11,FALSE)*$Q241*IFERROR((VLOOKUP(P241,Settings!$E$28:$F$33,2,FALSE)+1),1)</f>
        <v>4.7879999999999994</v>
      </c>
      <c r="X241" s="78" cm="1">
        <f t="array" ref="X241">VLOOKUP(B241,'Player Data'!$A1:$AE673,12,FALSE)*$Q241*IFERROR((VLOOKUP(P241,Settings!$E$28:$F$33,2,FALSE)+1),1)</f>
        <v>15.960000000000003</v>
      </c>
      <c r="Y241" s="57" cm="1">
        <f t="array" ref="Y241">VLOOKUP(B241,'Player Data'!$A1:$AE673,13,FALSE)*$Q241</f>
        <v>0</v>
      </c>
      <c r="Z241" s="57" cm="1">
        <f t="array" ref="Z241">VLOOKUP(B241,'Player Data'!$A1:$AE673,14,FALSE)*$Q241</f>
        <v>0</v>
      </c>
      <c r="AA241" s="57" cm="1">
        <f t="array" ref="AA241">VLOOKUP(B241,'Player Data'!$A1:$AE673,15,FALSE)*$Q241</f>
        <v>29.64</v>
      </c>
      <c r="AB241" s="57" cm="1">
        <f t="array" ref="AB241">VLOOKUP(B241,'Player Data'!$A1:$AE673,16,FALSE)*$Q241</f>
        <v>126.91999999999999</v>
      </c>
      <c r="AC241" s="57" cm="1">
        <f t="array" ref="AC241">VLOOKUP(B241,'Player Data'!$A1:$AE673,17,FALSE)*$Q241*IFERROR((VLOOKUP(P241,Settings!$E$28:$F$33,2,FALSE)+1),1)</f>
        <v>3.9900000000000007</v>
      </c>
      <c r="AD241" s="57" cm="1">
        <f t="array" ref="AD241">VLOOKUP(B241,'Player Data'!$A1:$AE673,18,FALSE)*$Q241</f>
        <v>44.08</v>
      </c>
      <c r="AE241" s="57" cm="1">
        <f t="array" ref="AE241">VLOOKUP(B241,'Player Data'!$A1:$AE673,19,FALSE)*$Q241*IFERROR((VLOOKUP(P241,Settings!$E$28:$F$33,2,FALSE)+1),1)</f>
        <v>3.1920000000000002</v>
      </c>
      <c r="AF241" s="57" cm="1">
        <f t="array" ref="AF241">VLOOKUP(B241,'Player Data'!$A1:$AE673,20,FALSE)*$Q241</f>
        <v>6.84</v>
      </c>
      <c r="AG241" s="57" cm="1">
        <f t="array" ref="AG241">VLOOKUP(B241,'Player Data'!$A1:$AE673,21,FALSE)*$Q241</f>
        <v>4.5599999999999996</v>
      </c>
      <c r="AH241" s="59" cm="1">
        <f t="array" ref="AH241">VLOOKUP(B241,'Player Data'!$A1:$AE673,22,FALSE)</f>
        <v>0.59</v>
      </c>
      <c r="AI241" s="55"/>
      <c r="AJ241" s="57"/>
      <c r="AK241" s="57"/>
      <c r="AL241" s="57"/>
      <c r="AM241" s="57"/>
      <c r="AN241" s="57"/>
      <c r="AO241" s="57"/>
      <c r="AP241" s="57"/>
      <c r="AQ241" s="60"/>
      <c r="AR241" s="61"/>
      <c r="AS241" s="55"/>
    </row>
    <row r="242" spans="1:45" ht="21.25" customHeight="1" x14ac:dyDescent="0.15">
      <c r="A242" s="62">
        <f>RANK(K242,K$2:K$671)</f>
        <v>258</v>
      </c>
      <c r="B242" s="10" t="s">
        <v>605</v>
      </c>
      <c r="C242" s="47" t="s">
        <v>145</v>
      </c>
      <c r="D242" s="48" t="str" cm="1">
        <f t="array" ref="D242">VLOOKUP(B242,'Player Data'!A1:D673,4,FALSE)</f>
        <v>D</v>
      </c>
      <c r="E242" s="68" cm="1">
        <f t="array" ref="E242">VLOOKUP(B242,D!A1:C204,3,FALSE)</f>
        <v>117</v>
      </c>
      <c r="F242" s="69" t="str" cm="1">
        <f t="array" ref="F242">VLOOKUP(B242,'Player Data'!A1:B673,2,FALSE)</f>
        <v>MTL</v>
      </c>
      <c r="G242" s="71" cm="1">
        <f t="array" ref="G242">VLOOKUP(B242,'Player Data'!A1:D673,3,FALSE)</f>
        <v>25</v>
      </c>
      <c r="H242" s="67" cm="1">
        <f t="array" ref="H242">IFERROR(VLOOKUP(B242,ADP!A1:F671,6,FALSE)/1000000,VLOOKUP(B242,ADP!A1:F671,6,FALSE))</f>
        <v>1.4119999999999999</v>
      </c>
      <c r="I242" s="52">
        <f>IF(Settings!$E$15="POINTS",((R242*Q242)*Settings!$B$12)+(S242*Settings!$B$2)+(T242*Settings!$B$3)+(U242*Settings!$B$4)+(V242*Settings!$B$5)+(X242*Settings!$B$9)+(AA242*Settings!$B$6)+(W242*Settings!$B$8)+(AB242*Settings!$B$7)+(AC242*Settings!$B$14)+(AD242*Settings!$B$15)+(AE242*Settings!$B$16)+(AF242*Settings!$B$17)+(AG242*Settings!$B$18)+(U242*Settings!$B$13)+(Y242*Settings!$B$10)+(Z242*Settings!$B$11),VLOOKUP(B242,'Standard Deviations'!A$1:C$672,3,FALSE))</f>
        <v>-2.8424598738455358</v>
      </c>
      <c r="J242" s="53" cm="1">
        <f t="array" ref="J242">IF(D242="G",I242/AJ242,I242/Q242)</f>
        <v>-3.8411619916831563E-2</v>
      </c>
      <c r="K242" s="52" cm="1">
        <f t="array" ref="K242">VLOOKUP(B242,D!A1:F204,6,FALSE)</f>
        <v>-3.40931078836309</v>
      </c>
      <c r="L242" s="54" cm="1">
        <f t="array" ref="L242">IFERROR(K242/H242,"N/A")</f>
        <v>-2.4145260540815086</v>
      </c>
      <c r="M242" s="84" t="s">
        <v>828</v>
      </c>
      <c r="N242" s="84" t="str" cm="1">
        <f t="array" ref="N242">IFERROR(M242-A242,"N/A")</f>
        <v>N/A</v>
      </c>
      <c r="O242" s="55"/>
      <c r="P242" s="56" cm="1">
        <f t="array" ref="P242">_xlfn.XLOOKUP($B242,ADP!A2:A671,ADP!G2:G671)</f>
        <v>0</v>
      </c>
      <c r="Q242" s="57" cm="1">
        <f t="array" ref="Q242">IF(Settings!$E$12="YES",VLOOKUP(B242,'Player Data'!A1:E673,5,FALSE),84)</f>
        <v>74</v>
      </c>
      <c r="R242" s="55" cm="1">
        <f t="array" ref="R242">VLOOKUP(B242,'Player Data'!$A1:$AE673,6,FALSE)</f>
        <v>13.9</v>
      </c>
      <c r="S242" s="57" cm="1">
        <f t="array" ref="S242">VLOOKUP(B242,'Player Data'!$A1:$AE673,7,FALSE)*$Q242*IFERROR((VLOOKUP(P242,Settings!$E$28:$F$33,2,FALSE)+1),1)</f>
        <v>2.96</v>
      </c>
      <c r="T242" s="57" cm="1">
        <f t="array" ref="T242">VLOOKUP(B242,'Player Data'!$A1:$AE673,8,FALSE)*$Q242*IFERROR((VLOOKUP(P242,Settings!$E$28:$F$33,2,FALSE)+1),1)</f>
        <v>11.84</v>
      </c>
      <c r="U242" s="57" cm="1">
        <f t="array" ref="U242">SUM(S242:T242)</f>
        <v>14.8</v>
      </c>
      <c r="V242" s="57" cm="1">
        <f t="array" ref="V242">VLOOKUP(B242,'Player Data'!$A1:$AE673,10,FALSE)*$Q242*IFERROR(((VLOOKUP(P242,Settings!$E$28:$F$33,2,FALSE)/2)+1),1)</f>
        <v>47.36</v>
      </c>
      <c r="W242" s="57" cm="1">
        <f t="array" ref="W242">VLOOKUP(B242,'Player Data'!$A1:$AE673,11,FALSE)*$Q242*IFERROR((VLOOKUP(P242,Settings!$E$28:$F$33,2,FALSE)+1),1)</f>
        <v>0</v>
      </c>
      <c r="X242" s="57" cm="1">
        <f t="array" ref="X242">VLOOKUP(B242,'Player Data'!$A1:$AE673,12,FALSE)*$Q242*IFERROR((VLOOKUP(P242,Settings!$E$28:$F$33,2,FALSE)+1),1)</f>
        <v>0</v>
      </c>
      <c r="Y242" s="57" cm="1">
        <f t="array" ref="Y242">VLOOKUP(B242,'Player Data'!$A1:$AE673,13,FALSE)*$Q242</f>
        <v>0</v>
      </c>
      <c r="Z242" s="57" cm="1">
        <f t="array" ref="Z242">VLOOKUP(B242,'Player Data'!$A1:$AE673,14,FALSE)*$Q242</f>
        <v>0</v>
      </c>
      <c r="AA242" s="57" cm="1">
        <f t="array" ref="AA242">VLOOKUP(B242,'Player Data'!$A1:$AE673,15,FALSE)*$Q242</f>
        <v>55.5</v>
      </c>
      <c r="AB242" s="57" cm="1">
        <f t="array" ref="AB242">VLOOKUP(B242,'Player Data'!$A1:$AE673,16,FALSE)*$Q242</f>
        <v>128.02000000000001</v>
      </c>
      <c r="AC242" s="57" cm="1">
        <f t="array" ref="AC242">VLOOKUP(B242,'Player Data'!$A1:$AE673,17,FALSE)*$Q242*IFERROR((VLOOKUP(P242,Settings!$E$28:$F$33,2,FALSE)+1),1)</f>
        <v>2.2199999999999998</v>
      </c>
      <c r="AD242" s="57" cm="1">
        <f t="array" ref="AD242">VLOOKUP(B242,'Player Data'!$A1:$AE673,18,FALSE)*$Q242</f>
        <v>41.440000000000005</v>
      </c>
      <c r="AE242" s="57" cm="1">
        <f t="array" ref="AE242">VLOOKUP(B242,'Player Data'!$A1:$AE673,19,FALSE)*$Q242*IFERROR((VLOOKUP(P242,Settings!$E$28:$F$33,2,FALSE)+1),1)</f>
        <v>0.74</v>
      </c>
      <c r="AF242" s="57" cm="1">
        <f t="array" ref="AF242">VLOOKUP(B242,'Player Data'!$A1:$AE673,20,FALSE)*$Q242</f>
        <v>0</v>
      </c>
      <c r="AG242" s="57" cm="1">
        <f t="array" ref="AG242">VLOOKUP(B242,'Player Data'!$A1:$AE673,21,FALSE)*$Q242</f>
        <v>0</v>
      </c>
      <c r="AH242" s="59" cm="1">
        <f t="array" ref="AH242">VLOOKUP(B242,'Player Data'!$A1:$AE673,22,FALSE)</f>
        <v>0</v>
      </c>
      <c r="AI242" s="55"/>
      <c r="AJ242" s="57"/>
      <c r="AK242" s="57"/>
      <c r="AL242" s="57"/>
      <c r="AM242" s="57"/>
      <c r="AN242" s="57"/>
      <c r="AO242" s="57"/>
      <c r="AP242" s="57"/>
      <c r="AQ242" s="60"/>
      <c r="AR242" s="61"/>
      <c r="AS242" s="55"/>
    </row>
    <row r="243" spans="1:45" ht="21.25" customHeight="1" x14ac:dyDescent="0.15">
      <c r="A243" s="62">
        <f>RANK(K243,K$2:K$671)</f>
        <v>259</v>
      </c>
      <c r="B243" s="10" t="s">
        <v>417</v>
      </c>
      <c r="C243" s="47" t="s">
        <v>145</v>
      </c>
      <c r="D243" s="48" t="str" cm="1">
        <f t="array" ref="D243">VLOOKUP(B243,'Player Data'!A1:D673,4,FALSE)</f>
        <v>D</v>
      </c>
      <c r="E243" s="68" cm="1">
        <f t="array" ref="E243">VLOOKUP(B243,D!A1:C204,3,FALSE)</f>
        <v>118</v>
      </c>
      <c r="F243" s="72" t="str" cm="1">
        <f t="array" ref="F243">VLOOKUP(B243,'Player Data'!A1:B673,2,FALSE)</f>
        <v>BOS</v>
      </c>
      <c r="G243" s="11" cm="1">
        <f t="array" ref="G243">VLOOKUP(B243,'Player Data'!A1:D673,3,FALSE)</f>
        <v>29</v>
      </c>
      <c r="H243" s="51" cm="1">
        <f t="array" ref="H243">IFERROR(VLOOKUP(B243,ADP!A1:F671,6,FALSE)/1000000,VLOOKUP(B243,ADP!A1:F671,6,FALSE))</f>
        <v>4.0999999999999996</v>
      </c>
      <c r="I243" s="52">
        <f>IF(Settings!$E$15="POINTS",((R243*Q243)*Settings!$B$12)+(S243*Settings!$B$2)+(T243*Settings!$B$3)+(U243*Settings!$B$4)+(V243*Settings!$B$5)+(X243*Settings!$B$9)+(AA243*Settings!$B$6)+(W243*Settings!$B$8)+(AB243*Settings!$B$7)+(AC243*Settings!$B$14)+(AD243*Settings!$B$15)+(AE243*Settings!$B$16)+(AF243*Settings!$B$17)+(AG243*Settings!$B$18)+(U243*Settings!$B$13)+(Y243*Settings!$B$10)+(Z243*Settings!$B$11),VLOOKUP(B243,'Standard Deviations'!A$1:C$672,3,FALSE))</f>
        <v>-2.8639861159048223</v>
      </c>
      <c r="J243" s="53" cm="1">
        <f t="array" ref="J243">IF(D243="G",I243/AJ243,I243/Q243)</f>
        <v>-3.4505856818130391E-2</v>
      </c>
      <c r="K243" s="52" cm="1">
        <f t="array" ref="K243">VLOOKUP(B243,D!A1:F204,6,FALSE)</f>
        <v>-3.430837030422377</v>
      </c>
      <c r="L243" s="54" cm="1">
        <f t="array" ref="L243">IFERROR(K243/H243,"N/A")</f>
        <v>-0.83678951961521397</v>
      </c>
      <c r="M243" s="84" t="s">
        <v>828</v>
      </c>
      <c r="N243" s="84" t="str" cm="1">
        <f t="array" ref="N243">IFERROR(M243-A243,"N/A")</f>
        <v>N/A</v>
      </c>
      <c r="O243" s="55"/>
      <c r="P243" s="56" cm="1">
        <f t="array" ref="P243">_xlfn.XLOOKUP($B243,ADP!A2:A671,ADP!G2:G671)</f>
        <v>0</v>
      </c>
      <c r="Q243" s="57" cm="1">
        <f t="array" ref="Q243">IF(Settings!$E$12="YES",VLOOKUP(B243,'Player Data'!A1:E673,5,FALSE),84)</f>
        <v>83</v>
      </c>
      <c r="R243" s="81" cm="1">
        <f t="array" ref="R243">VLOOKUP(B243,'Player Data'!$A1:$AE673,6,FALSE)</f>
        <v>19.100000000000001</v>
      </c>
      <c r="S243" s="57" cm="1">
        <f t="array" ref="S243">VLOOKUP(B243,'Player Data'!$A1:$AE673,7,FALSE)*$Q243*IFERROR((VLOOKUP(P243,Settings!$E$28:$F$33,2,FALSE)+1),1)</f>
        <v>4.9799999999999995</v>
      </c>
      <c r="T243" s="57" cm="1">
        <f t="array" ref="T243">VLOOKUP(B243,'Player Data'!$A1:$AE673,8,FALSE)*$Q243*IFERROR((VLOOKUP(P243,Settings!$E$28:$F$33,2,FALSE)+1),1)</f>
        <v>14.94</v>
      </c>
      <c r="U243" s="57" cm="1">
        <f t="array" ref="U243">SUM(S243:T243)</f>
        <v>19.919999999999998</v>
      </c>
      <c r="V243" s="57" cm="1">
        <f t="array" ref="V243">VLOOKUP(B243,'Player Data'!$A1:$AE673,10,FALSE)*$Q243*IFERROR(((VLOOKUP(P243,Settings!$E$28:$F$33,2,FALSE)/2)+1),1)</f>
        <v>87.15</v>
      </c>
      <c r="W243" s="57" cm="1">
        <f t="array" ref="W243">VLOOKUP(B243,'Player Data'!$A1:$AE673,11,FALSE)*$Q243*IFERROR((VLOOKUP(P243,Settings!$E$28:$F$33,2,FALSE)+1),1)</f>
        <v>0</v>
      </c>
      <c r="X243" s="57" cm="1">
        <f t="array" ref="X243">VLOOKUP(B243,'Player Data'!$A1:$AE673,12,FALSE)*$Q243*IFERROR((VLOOKUP(P243,Settings!$E$28:$F$33,2,FALSE)+1),1)</f>
        <v>0</v>
      </c>
      <c r="Y243" s="57" cm="1">
        <f t="array" ref="Y243">VLOOKUP(B243,'Player Data'!$A1:$AE673,13,FALSE)*$Q243</f>
        <v>0</v>
      </c>
      <c r="Z243" s="57" cm="1">
        <f t="array" ref="Z243">VLOOKUP(B243,'Player Data'!$A1:$AE673,14,FALSE)*$Q243</f>
        <v>0</v>
      </c>
      <c r="AA243" s="57" cm="1">
        <f t="array" ref="AA243">VLOOKUP(B243,'Player Data'!$A1:$AE673,15,FALSE)*$Q243</f>
        <v>120.35</v>
      </c>
      <c r="AB243" s="57" cm="1">
        <f t="array" ref="AB243">VLOOKUP(B243,'Player Data'!$A1:$AE673,16,FALSE)*$Q243</f>
        <v>122.84</v>
      </c>
      <c r="AC243" s="57" cm="1">
        <f t="array" ref="AC243">VLOOKUP(B243,'Player Data'!$A1:$AE673,17,FALSE)*$Q243*IFERROR((VLOOKUP(P243,Settings!$E$28:$F$33,2,FALSE)+1),1)</f>
        <v>-2.4899999999999998</v>
      </c>
      <c r="AD243" s="57" cm="1">
        <f t="array" ref="AD243">VLOOKUP(B243,'Player Data'!$A1:$AE673,18,FALSE)*$Q243</f>
        <v>45.650000000000006</v>
      </c>
      <c r="AE243" s="57" cm="1">
        <f t="array" ref="AE243">VLOOKUP(B243,'Player Data'!$A1:$AE673,19,FALSE)*$Q243*IFERROR((VLOOKUP(P243,Settings!$E$28:$F$33,2,FALSE)+1),1)</f>
        <v>0.83000000000000007</v>
      </c>
      <c r="AF243" s="57" cm="1">
        <f t="array" ref="AF243">VLOOKUP(B243,'Player Data'!$A1:$AE673,20,FALSE)*$Q243</f>
        <v>0</v>
      </c>
      <c r="AG243" s="57" cm="1">
        <f t="array" ref="AG243">VLOOKUP(B243,'Player Data'!$A1:$AE673,21,FALSE)*$Q243</f>
        <v>0</v>
      </c>
      <c r="AH243" s="59" cm="1">
        <f t="array" ref="AH243">VLOOKUP(B243,'Player Data'!$A1:$AE673,22,FALSE)</f>
        <v>0</v>
      </c>
      <c r="AI243" s="55"/>
      <c r="AJ243" s="57"/>
      <c r="AK243" s="57"/>
      <c r="AL243" s="57"/>
      <c r="AM243" s="57"/>
      <c r="AN243" s="57"/>
      <c r="AO243" s="57"/>
      <c r="AP243" s="57"/>
      <c r="AQ243" s="60"/>
      <c r="AR243" s="61"/>
      <c r="AS243" s="55"/>
    </row>
    <row r="244" spans="1:45" ht="21.25" customHeight="1" x14ac:dyDescent="0.15">
      <c r="A244" s="62">
        <f>RANK(K244,K$2:K$671)</f>
        <v>204</v>
      </c>
      <c r="B244" s="10" t="s">
        <v>243</v>
      </c>
      <c r="C244" s="47" t="s">
        <v>145</v>
      </c>
      <c r="D244" s="48" t="str" cm="1">
        <f t="array" ref="D244">VLOOKUP(B244,'Player Data'!A1:D673,4,FALSE)</f>
        <v>C,RW</v>
      </c>
      <c r="E244" s="74" cm="1">
        <f t="array" ref="E244">VLOOKUP(B244,RW!A1:F210,3,FALSE)</f>
        <v>49</v>
      </c>
      <c r="F244" s="56" t="str" cm="1">
        <f t="array" ref="F244">VLOOKUP(B244,'Player Data'!A1:B673,2,FALSE)</f>
        <v>UTA</v>
      </c>
      <c r="G244" s="11" cm="1">
        <f t="array" ref="G244">VLOOKUP(B244,'Player Data'!A1:D673,3,FALSE)</f>
        <v>30</v>
      </c>
      <c r="H244" s="51" cm="1">
        <f t="array" ref="H244">IFERROR(VLOOKUP(B244,ADP!A1:F671,6,FALSE)/1000000,VLOOKUP(B244,ADP!A1:F671,6,FALSE))</f>
        <v>8</v>
      </c>
      <c r="I244" s="52">
        <f>IF(Settings!$E$15="POINTS",((R244*Q244)*Settings!$B$12)+(S244*Settings!$B$2)+(T244*Settings!$B$3)+(U244*Settings!$B$4)+(V244*Settings!$B$5)+(X244*Settings!$B$9)+(AA244*Settings!$B$6)+(W244*Settings!$B$8)+(AB244*Settings!$B$7)+(AC244*Settings!$B$14)+(AD244*Settings!$B$15)+(AE244*Settings!$B$16)+(AF244*Settings!$B$17)+(AG244*Settings!$B$18)+(Y244*Settings!$B$10)+(Z244*Settings!$B$11),VLOOKUP(B244,'Standard Deviations'!A$1:C$672,3,FALSE))</f>
        <v>4.3916714033430972</v>
      </c>
      <c r="J244" s="53" cm="1">
        <f t="array" ref="J244">IF(D244="G",I244/AJ244,I244/Q244)</f>
        <v>5.2281802420751158E-2</v>
      </c>
      <c r="K244" s="52" cm="1">
        <f t="array" ref="K244">IF(Settings!$E$18="C/LW/RW",VLOOKUP(B244,RW!A1:F210,6,FALSE),VLOOKUP(B244,F!A1:F407,6,FALSE))</f>
        <v>-2.4955631984659803</v>
      </c>
      <c r="L244" s="54" cm="1">
        <f t="array" ref="L244">IFERROR(K244/H244,"N/A")</f>
        <v>-0.31194539980824754</v>
      </c>
      <c r="M244" s="55">
        <v>102</v>
      </c>
      <c r="N244" s="55" cm="1">
        <f t="array" ref="N244">IFERROR(M244-A244,"N/A")</f>
        <v>-102</v>
      </c>
      <c r="O244" s="55"/>
      <c r="P244" s="56" t="str" cm="1">
        <f t="array" ref="P244">_xlfn.XLOOKUP($B244,ADP!A2:A671,ADP!G2:G671)</f>
        <v>+</v>
      </c>
      <c r="Q244" s="57" cm="1">
        <f t="array" ref="Q244">IF(Settings!$E$12="YES",VLOOKUP(B244,'Player Data'!A1:E673,5,FALSE),84)</f>
        <v>84</v>
      </c>
      <c r="R244" s="55" cm="1">
        <f t="array" ref="R244">VLOOKUP(B244,'Player Data'!$A1:$AE673,6,FALSE)</f>
        <v>18.899999999999999</v>
      </c>
      <c r="S244" s="57" cm="1">
        <f t="array" ref="S244">VLOOKUP(B244,'Player Data'!$A1:$AE673,7,FALSE)*$Q244*IFERROR((VLOOKUP(P244,Settings!$E$28:$F$33,2,FALSE)+1),1)</f>
        <v>27.341999999999999</v>
      </c>
      <c r="T244" s="57" cm="1">
        <f t="array" ref="T244">VLOOKUP(B244,'Player Data'!$A1:$AE673,8,FALSE)*$Q244*IFERROR((VLOOKUP(P244,Settings!$E$28:$F$33,2,FALSE)+1),1)</f>
        <v>41.454000000000001</v>
      </c>
      <c r="U244" s="57" cm="1">
        <f t="array" ref="U244">SUM(S244:T244)</f>
        <v>68.795999999999992</v>
      </c>
      <c r="V244" s="57" cm="1">
        <f t="array" ref="V244">VLOOKUP(B244,'Player Data'!$A1:$AE673,10,FALSE)*$Q244*IFERROR(((VLOOKUP(P244,Settings!$E$28:$F$33,2,FALSE)/2)+1),1)</f>
        <v>196.30799999999996</v>
      </c>
      <c r="W244" s="58" cm="1">
        <f t="array" ref="W244">VLOOKUP(B244,'Player Data'!$A1:$AE673,11,FALSE)*$Q244*IFERROR((VLOOKUP(P244,Settings!$E$28:$F$33,2,FALSE)+1),1)</f>
        <v>9.702</v>
      </c>
      <c r="X244" s="57" cm="1">
        <f t="array" ref="X244">VLOOKUP(B244,'Player Data'!$A1:$AE673,12,FALSE)*$Q244*IFERROR((VLOOKUP(P244,Settings!$E$28:$F$33,2,FALSE)+1),1)</f>
        <v>21.168000000000003</v>
      </c>
      <c r="Y244" s="57" cm="1">
        <f t="array" ref="Y244">VLOOKUP(B244,'Player Data'!$A1:$AE673,13,FALSE)*$Q244</f>
        <v>1.68</v>
      </c>
      <c r="Z244" s="57" cm="1">
        <f t="array" ref="Z244">VLOOKUP(B244,'Player Data'!$A1:$AE673,14,FALSE)*$Q244</f>
        <v>1.68</v>
      </c>
      <c r="AA244" s="57" cm="1">
        <f t="array" ref="AA244">VLOOKUP(B244,'Player Data'!$A1:$AE673,15,FALSE)*$Q244</f>
        <v>50.4</v>
      </c>
      <c r="AB244" s="57" cm="1">
        <f t="array" ref="AB244">VLOOKUP(B244,'Player Data'!$A1:$AE673,16,FALSE)*$Q244</f>
        <v>26.88</v>
      </c>
      <c r="AC244" s="57" cm="1">
        <f t="array" ref="AC244">VLOOKUP(B244,'Player Data'!$A1:$AE673,17,FALSE)*$Q244*IFERROR((VLOOKUP(P244,Settings!$E$28:$F$33,2,FALSE)+1),1)</f>
        <v>2.6460000000000004</v>
      </c>
      <c r="AD244" s="57" cm="1">
        <f t="array" ref="AD244">VLOOKUP(B244,'Player Data'!$A1:$AE673,18,FALSE)*$Q244</f>
        <v>23.520000000000003</v>
      </c>
      <c r="AE244" s="57" cm="1">
        <f t="array" ref="AE244">VLOOKUP(B244,'Player Data'!$A1:$AE673,19,FALSE)*$Q244*IFERROR((VLOOKUP(P244,Settings!$E$28:$F$33,2,FALSE)+1),1)</f>
        <v>4.41</v>
      </c>
      <c r="AF244" s="57" cm="1">
        <f t="array" ref="AF244">VLOOKUP(B244,'Player Data'!$A1:$AE673,20,FALSE)*$Q244</f>
        <v>368.76</v>
      </c>
      <c r="AG244" s="57" cm="1">
        <f t="array" ref="AG244">VLOOKUP(B244,'Player Data'!$A1:$AE673,21,FALSE)*$Q244</f>
        <v>435.96000000000004</v>
      </c>
      <c r="AH244" s="59" cm="1">
        <f t="array" ref="AH244">VLOOKUP(B244,'Player Data'!$A1:$AE673,22,FALSE)</f>
        <v>0.46</v>
      </c>
      <c r="AI244" s="55"/>
      <c r="AJ244" s="57"/>
      <c r="AK244" s="57"/>
      <c r="AL244" s="57"/>
      <c r="AM244" s="57"/>
      <c r="AN244" s="57"/>
      <c r="AO244" s="57"/>
      <c r="AP244" s="57"/>
      <c r="AQ244" s="60"/>
      <c r="AR244" s="61"/>
      <c r="AS244" s="55"/>
    </row>
    <row r="245" spans="1:45" ht="21.25" customHeight="1" x14ac:dyDescent="0.15">
      <c r="A245" s="62">
        <f>RANK(K245,K$2:K$671)</f>
        <v>249</v>
      </c>
      <c r="B245" s="10" t="s">
        <v>308</v>
      </c>
      <c r="C245" s="47" t="s">
        <v>145</v>
      </c>
      <c r="D245" s="48" t="str" cm="1">
        <f t="array" ref="D245">VLOOKUP(B245,'Player Data'!A1:D673,4,FALSE)</f>
        <v>G</v>
      </c>
      <c r="E245" s="76" cm="1">
        <f t="array" ref="E245">VLOOKUP(B245,G!A1:D66,3,FALSE)</f>
        <v>40</v>
      </c>
      <c r="F245" s="18" t="str" cm="1">
        <f t="array" ref="F245">VLOOKUP(B245,'Player Data'!A1:B673,2,FALSE)</f>
        <v>SEA</v>
      </c>
      <c r="G245" s="11" cm="1">
        <f t="array" ref="G245">VLOOKUP(B245,'Player Data'!A1:D673,3,FALSE)</f>
        <v>30</v>
      </c>
      <c r="H245" s="51" cm="1">
        <f t="array" ref="H245">IFERROR(VLOOKUP(B245,ADP!A1:F671,6,FALSE)/1000000,VLOOKUP(B245,ADP!A1:F671,6,FALSE))</f>
        <v>5</v>
      </c>
      <c r="I245" s="52">
        <f>IF(Settings!$E$15="POINTS",(AJ245*Settings!$B$29)+(AK245*Settings!$B$21)+(AL245*Settings!$B$22)+(AN245*Settings!$B$24)+(AO245*Settings!$B$25)+(AP245*Settings!$B$27)+(AM245*Settings!$B$23),VLOOKUP(B245,'Standard Deviations'!A$1:C$672,3,FALSE))</f>
        <v>-1.2312141468279973</v>
      </c>
      <c r="J245" s="53" cm="1">
        <f t="array" ref="J245">IF(D245="G",I245/AJ245,I245/Q245)</f>
        <v>-2.7360314373955495E-2</v>
      </c>
      <c r="K245" s="52" cm="1">
        <f t="array" ref="K245">VLOOKUP(B245,G!A1:F66,6,FALSE)</f>
        <v>-3.2693994059516722</v>
      </c>
      <c r="L245" s="54" cm="1">
        <f t="array" ref="L245">IFERROR(K245/H245,"N/A")</f>
        <v>-0.65387988119033447</v>
      </c>
      <c r="M245" s="55">
        <v>149.1</v>
      </c>
      <c r="N245" s="55" cm="1">
        <f t="array" ref="N245">IFERROR(M245-A245,"N/A")</f>
        <v>-99.9</v>
      </c>
      <c r="O245" s="55"/>
      <c r="P245" s="56" cm="1">
        <f t="array" ref="P245">_xlfn.XLOOKUP($B245,ADP!A2:A671,ADP!G2:G671)</f>
        <v>0</v>
      </c>
      <c r="Q245" s="57"/>
      <c r="R245" s="55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9"/>
      <c r="AI245" s="55"/>
      <c r="AJ245" s="77" cm="1">
        <f t="array" ref="AJ245">VLOOKUP(B245,'Player Data'!$A1:$AE673,24,FALSE)</f>
        <v>45</v>
      </c>
      <c r="AK245" s="57" cm="1">
        <f t="array" ref="AK245">VLOOKUP(B245,'Player Data'!$A1:$AE673,25,FALSE)*$AJ245*IFERROR((VLOOKUP(P245,Settings!$E$28:$F$33,2,FALSE)+1),1)</f>
        <v>17.55</v>
      </c>
      <c r="AL245" s="57" cm="1">
        <f t="array" ref="AL245">AJ245-AK245-AM245</f>
        <v>20.7</v>
      </c>
      <c r="AM245" s="57" cm="1">
        <f t="array" ref="AM245">VLOOKUP(B245,'Player Data'!$A1:$AE673,27,FALSE)*$AJ245</f>
        <v>6.75</v>
      </c>
      <c r="AN245" s="57" cm="1">
        <f t="array" ref="AN245">VLOOKUP(B245,'Player Data'!$A1:$AE673,28,FALSE)*AJ245</f>
        <v>1.8</v>
      </c>
      <c r="AO245" s="57" cm="1">
        <f t="array" ref="AO245">VLOOKUP(B245,'Player Data'!$A1:$AE673,29,FALSE)*$AJ245*IFERROR((VLOOKUP(P245,Settings!$E$28:$F$33,2,FALSE)/4)+1,1)</f>
        <v>1251</v>
      </c>
      <c r="AP245" s="57" cm="1">
        <f t="array" ref="AP245">VLOOKUP(B245,'Player Data'!$A1:$AE673,31,FALSE)*$AJ245*(IFERROR(1-(VLOOKUP(P245,Settings!$E$28:$F$33,2,FALSE)/4),1))</f>
        <v>136.35</v>
      </c>
      <c r="AQ245" s="60" cm="1">
        <f t="array" ref="AQ245">1-(AP245/(AO245+AP245))</f>
        <v>0.90171910476808304</v>
      </c>
      <c r="AR245" s="61" cm="1">
        <f t="array" ref="AR245">AP245/AJ245</f>
        <v>3.03</v>
      </c>
      <c r="AS245" s="55"/>
    </row>
    <row r="246" spans="1:45" ht="21.25" customHeight="1" x14ac:dyDescent="0.15">
      <c r="A246" s="62">
        <f>RANK(K246,K$2:K$671)</f>
        <v>260</v>
      </c>
      <c r="B246" s="10" t="s">
        <v>432</v>
      </c>
      <c r="C246" s="47" t="s">
        <v>145</v>
      </c>
      <c r="D246" s="48" t="str" cm="1">
        <f t="array" ref="D246">VLOOKUP(B246,'Player Data'!A1:D673,4,FALSE)</f>
        <v>D</v>
      </c>
      <c r="E246" s="68" cm="1">
        <f t="array" ref="E246">VLOOKUP(B246,D!A1:C204,3,FALSE)</f>
        <v>119</v>
      </c>
      <c r="F246" s="70" t="str" cm="1">
        <f t="array" ref="F246">VLOOKUP(B246,'Player Data'!A1:B673,2,FALSE)</f>
        <v>MIN</v>
      </c>
      <c r="G246" s="66" cm="1">
        <f t="array" ref="G246">VLOOKUP(B246,'Player Data'!A1:D673,3,FALSE)</f>
        <v>36</v>
      </c>
      <c r="H246" s="67" cm="1">
        <f t="array" ref="H246">IFERROR(VLOOKUP(B246,ADP!A1:F671,6,FALSE)/1000000,VLOOKUP(B246,ADP!A1:F671,6,FALSE))</f>
        <v>7.5750000000000002</v>
      </c>
      <c r="I246" s="52">
        <f>IF(Settings!$E$15="POINTS",((R246*Q246)*Settings!$B$12)+(S246*Settings!$B$2)+(T246*Settings!$B$3)+(U246*Settings!$B$4)+(V246*Settings!$B$5)+(X246*Settings!$B$9)+(AA246*Settings!$B$6)+(W246*Settings!$B$8)+(AB246*Settings!$B$7)+(AC246*Settings!$B$14)+(AD246*Settings!$B$15)+(AE246*Settings!$B$16)+(AF246*Settings!$B$17)+(AG246*Settings!$B$18)+(U246*Settings!$B$13)+(Y246*Settings!$B$10)+(Z246*Settings!$B$11),VLOOKUP(B246,'Standard Deviations'!A$1:C$672,3,FALSE))</f>
        <v>-2.8987760749906974</v>
      </c>
      <c r="J246" s="53" cm="1">
        <f t="array" ref="J246">IF(D246="G",I246/AJ246,I246/Q246)</f>
        <v>-3.8650347666542635E-2</v>
      </c>
      <c r="K246" s="52" cm="1">
        <f t="array" ref="K246">VLOOKUP(B246,D!A1:F204,6,FALSE)</f>
        <v>-3.4656269895082517</v>
      </c>
      <c r="L246" s="54" cm="1">
        <f t="array" ref="L246">IFERROR(K246/H246,"N/A")</f>
        <v>-0.45750851346643584</v>
      </c>
      <c r="M246" s="84" t="s">
        <v>828</v>
      </c>
      <c r="N246" s="84" t="str" cm="1">
        <f t="array" ref="N246">IFERROR(M246-A246,"N/A")</f>
        <v>N/A</v>
      </c>
      <c r="O246" s="55"/>
      <c r="P246" s="56" cm="1">
        <f t="array" ref="P246">_xlfn.XLOOKUP($B246,ADP!A2:A671,ADP!G2:G671)</f>
        <v>0</v>
      </c>
      <c r="Q246" s="57" cm="1">
        <f t="array" ref="Q246">IF(Settings!$E$12="YES",VLOOKUP(B246,'Player Data'!A1:E673,5,FALSE),84)</f>
        <v>75</v>
      </c>
      <c r="R246" s="55" cm="1">
        <f t="array" ref="R246">VLOOKUP(B246,'Player Data'!$A1:$AE673,6,FALSE)</f>
        <v>19.2</v>
      </c>
      <c r="S246" s="57" cm="1">
        <f t="array" ref="S246">VLOOKUP(B246,'Player Data'!$A1:$AE673,7,FALSE)*$Q246*IFERROR((VLOOKUP(P246,Settings!$E$28:$F$33,2,FALSE)+1),1)</f>
        <v>2.25</v>
      </c>
      <c r="T246" s="57" cm="1">
        <f t="array" ref="T246">VLOOKUP(B246,'Player Data'!$A1:$AE673,8,FALSE)*$Q246*IFERROR((VLOOKUP(P246,Settings!$E$28:$F$33,2,FALSE)+1),1)</f>
        <v>14.25</v>
      </c>
      <c r="U246" s="57" cm="1">
        <f t="array" ref="U246">SUM(S246:T246)</f>
        <v>16.5</v>
      </c>
      <c r="V246" s="57" cm="1">
        <f t="array" ref="V246">VLOOKUP(B246,'Player Data'!$A1:$AE673,10,FALSE)*$Q246*IFERROR(((VLOOKUP(P246,Settings!$E$28:$F$33,2,FALSE)/2)+1),1)</f>
        <v>75.75</v>
      </c>
      <c r="W246" s="57" cm="1">
        <f t="array" ref="W246">VLOOKUP(B246,'Player Data'!$A1:$AE673,11,FALSE)*$Q246*IFERROR((VLOOKUP(P246,Settings!$E$28:$F$33,2,FALSE)+1),1)</f>
        <v>0</v>
      </c>
      <c r="X246" s="57" cm="1">
        <f t="array" ref="X246">VLOOKUP(B246,'Player Data'!$A1:$AE673,12,FALSE)*$Q246*IFERROR((VLOOKUP(P246,Settings!$E$28:$F$33,2,FALSE)+1),1)</f>
        <v>2.25</v>
      </c>
      <c r="Y246" s="57" cm="1">
        <f t="array" ref="Y246">VLOOKUP(B246,'Player Data'!$A1:$AE673,13,FALSE)*$Q246</f>
        <v>0</v>
      </c>
      <c r="Z246" s="57" cm="1">
        <f t="array" ref="Z246">VLOOKUP(B246,'Player Data'!$A1:$AE673,14,FALSE)*$Q246</f>
        <v>0</v>
      </c>
      <c r="AA246" s="57" cm="1">
        <f t="array" ref="AA246">VLOOKUP(B246,'Player Data'!$A1:$AE673,15,FALSE)*$Q246</f>
        <v>125.25</v>
      </c>
      <c r="AB246" s="57" cm="1">
        <f t="array" ref="AB246">VLOOKUP(B246,'Player Data'!$A1:$AE673,16,FALSE)*$Q246</f>
        <v>77.25</v>
      </c>
      <c r="AC246" s="57" cm="1">
        <f t="array" ref="AC246">VLOOKUP(B246,'Player Data'!$A1:$AE673,17,FALSE)*$Q246*IFERROR((VLOOKUP(P246,Settings!$E$28:$F$33,2,FALSE)+1),1)</f>
        <v>3</v>
      </c>
      <c r="AD246" s="57" cm="1">
        <f t="array" ref="AD246">VLOOKUP(B246,'Player Data'!$A1:$AE673,18,FALSE)*$Q246</f>
        <v>18</v>
      </c>
      <c r="AE246" s="57" cm="1">
        <f t="array" ref="AE246">VLOOKUP(B246,'Player Data'!$A1:$AE673,19,FALSE)*$Q246*IFERROR((VLOOKUP(P246,Settings!$E$28:$F$33,2,FALSE)+1),1)</f>
        <v>0.75</v>
      </c>
      <c r="AF246" s="57" cm="1">
        <f t="array" ref="AF246">VLOOKUP(B246,'Player Data'!$A1:$AE673,20,FALSE)*$Q246</f>
        <v>0</v>
      </c>
      <c r="AG246" s="57" cm="1">
        <f t="array" ref="AG246">VLOOKUP(B246,'Player Data'!$A1:$AE673,21,FALSE)*$Q246</f>
        <v>0</v>
      </c>
      <c r="AH246" s="59" cm="1">
        <f t="array" ref="AH246">VLOOKUP(B246,'Player Data'!$A1:$AE673,22,FALSE)</f>
        <v>0</v>
      </c>
      <c r="AI246" s="55"/>
      <c r="AJ246" s="57"/>
      <c r="AK246" s="57"/>
      <c r="AL246" s="57"/>
      <c r="AM246" s="57"/>
      <c r="AN246" s="57"/>
      <c r="AO246" s="57"/>
      <c r="AP246" s="57"/>
      <c r="AQ246" s="60"/>
      <c r="AR246" s="61"/>
      <c r="AS246" s="55"/>
    </row>
    <row r="247" spans="1:45" ht="21.25" customHeight="1" x14ac:dyDescent="0.15">
      <c r="A247" s="62">
        <f>RANK(K247,K$2:K$671)</f>
        <v>261</v>
      </c>
      <c r="B247" s="10" t="s">
        <v>549</v>
      </c>
      <c r="C247" s="47" t="s">
        <v>145</v>
      </c>
      <c r="D247" s="48" t="str" cm="1">
        <f t="array" ref="D247">VLOOKUP(B247,'Player Data'!A1:D673,4,FALSE)</f>
        <v>D</v>
      </c>
      <c r="E247" s="68" cm="1">
        <f t="array" ref="E247">VLOOKUP(B247,D!A1:C204,3,FALSE)</f>
        <v>120</v>
      </c>
      <c r="F247" s="72" t="str" cm="1">
        <f t="array" ref="F247">VLOOKUP(B247,'Player Data'!A1:B673,2,FALSE)</f>
        <v>FLA</v>
      </c>
      <c r="G247" s="66" cm="1">
        <f t="array" ref="G247">VLOOKUP(B247,'Player Data'!A1:D673,3,FALSE)</f>
        <v>35</v>
      </c>
      <c r="H247" s="51" cm="1">
        <f t="array" ref="H247">IFERROR(VLOOKUP(B247,ADP!A1:F671,6,FALSE)/1000000,VLOOKUP(B247,ADP!A1:F671,6,FALSE))</f>
        <v>1.1519999999999999</v>
      </c>
      <c r="I247" s="52">
        <f>IF(Settings!$E$15="POINTS",((R247*Q247)*Settings!$B$12)+(S247*Settings!$B$2)+(T247*Settings!$B$3)+(U247*Settings!$B$4)+(V247*Settings!$B$5)+(X247*Settings!$B$9)+(AA247*Settings!$B$6)+(W247*Settings!$B$8)+(AB247*Settings!$B$7)+(AC247*Settings!$B$14)+(AD247*Settings!$B$15)+(AE247*Settings!$B$16)+(AF247*Settings!$B$17)+(AG247*Settings!$B$18)+(U247*Settings!$B$13)+(Y247*Settings!$B$10)+(Z247*Settings!$B$11),VLOOKUP(B247,'Standard Deviations'!A$1:C$672,3,FALSE))</f>
        <v>-2.9027931141239889</v>
      </c>
      <c r="J247" s="53" cm="1">
        <f t="array" ref="J247">IF(D247="G",I247/AJ247,I247/Q247)</f>
        <v>-3.7215296334922932E-2</v>
      </c>
      <c r="K247" s="52" cm="1">
        <f t="array" ref="K247">VLOOKUP(B247,D!A1:F204,6,FALSE)</f>
        <v>-3.4696440286415431</v>
      </c>
      <c r="L247" s="54" cm="1">
        <f t="array" ref="L247">IFERROR(K247/H247,"N/A")</f>
        <v>-3.0118437748624509</v>
      </c>
      <c r="M247" s="84" t="s">
        <v>828</v>
      </c>
      <c r="N247" s="84" t="str" cm="1">
        <f t="array" ref="N247">IFERROR(M247-A247,"N/A")</f>
        <v>N/A</v>
      </c>
      <c r="O247" s="55"/>
      <c r="P247" s="56" cm="1">
        <f t="array" ref="P247">_xlfn.XLOOKUP($B247,ADP!A2:A671,ADP!G2:G671)</f>
        <v>0</v>
      </c>
      <c r="Q247" s="57" cm="1">
        <f t="array" ref="Q247">IF(Settings!$E$12="YES",VLOOKUP(B247,'Player Data'!A1:E673,5,FALSE),84)</f>
        <v>78</v>
      </c>
      <c r="R247" s="55" cm="1">
        <f t="array" ref="R247">VLOOKUP(B247,'Player Data'!$A1:$AE673,6,FALSE)</f>
        <v>17.3</v>
      </c>
      <c r="S247" s="57" cm="1">
        <f t="array" ref="S247">VLOOKUP(B247,'Player Data'!$A1:$AE673,7,FALSE)*$Q247*IFERROR((VLOOKUP(P247,Settings!$E$28:$F$33,2,FALSE)+1),1)</f>
        <v>2.34</v>
      </c>
      <c r="T247" s="57" cm="1">
        <f t="array" ref="T247">VLOOKUP(B247,'Player Data'!$A1:$AE673,8,FALSE)*$Q247*IFERROR((VLOOKUP(P247,Settings!$E$28:$F$33,2,FALSE)+1),1)</f>
        <v>11.7</v>
      </c>
      <c r="U247" s="57" cm="1">
        <f t="array" ref="U247">SUM(S247:T247)</f>
        <v>14.04</v>
      </c>
      <c r="V247" s="57" cm="1">
        <f t="array" ref="V247">VLOOKUP(B247,'Player Data'!$A1:$AE673,10,FALSE)*$Q247*IFERROR(((VLOOKUP(P247,Settings!$E$28:$F$33,2,FALSE)/2)+1),1)</f>
        <v>65.52</v>
      </c>
      <c r="W247" s="57" cm="1">
        <f t="array" ref="W247">VLOOKUP(B247,'Player Data'!$A1:$AE673,11,FALSE)*$Q247*IFERROR((VLOOKUP(P247,Settings!$E$28:$F$33,2,FALSE)+1),1)</f>
        <v>0</v>
      </c>
      <c r="X247" s="57" cm="1">
        <f t="array" ref="X247">VLOOKUP(B247,'Player Data'!$A1:$AE673,12,FALSE)*$Q247*IFERROR((VLOOKUP(P247,Settings!$E$28:$F$33,2,FALSE)+1),1)</f>
        <v>0</v>
      </c>
      <c r="Y247" s="57" cm="1">
        <f t="array" ref="Y247">VLOOKUP(B247,'Player Data'!$A1:$AE673,13,FALSE)*$Q247</f>
        <v>0</v>
      </c>
      <c r="Z247" s="57" cm="1">
        <f t="array" ref="Z247">VLOOKUP(B247,'Player Data'!$A1:$AE673,14,FALSE)*$Q247</f>
        <v>0</v>
      </c>
      <c r="AA247" s="57" cm="1">
        <f t="array" ref="AA247">VLOOKUP(B247,'Player Data'!$A1:$AE673,15,FALSE)*$Q247</f>
        <v>81.900000000000006</v>
      </c>
      <c r="AB247" s="57" cm="1">
        <f t="array" ref="AB247">VLOOKUP(B247,'Player Data'!$A1:$AE673,16,FALSE)*$Q247</f>
        <v>103.74000000000001</v>
      </c>
      <c r="AC247" s="57" cm="1">
        <f t="array" ref="AC247">VLOOKUP(B247,'Player Data'!$A1:$AE673,17,FALSE)*$Q247*IFERROR((VLOOKUP(P247,Settings!$E$28:$F$33,2,FALSE)+1),1)</f>
        <v>3.12</v>
      </c>
      <c r="AD247" s="57" cm="1">
        <f t="array" ref="AD247">VLOOKUP(B247,'Player Data'!$A1:$AE673,18,FALSE)*$Q247</f>
        <v>35.1</v>
      </c>
      <c r="AE247" s="57" cm="1">
        <f t="array" ref="AE247">VLOOKUP(B247,'Player Data'!$A1:$AE673,19,FALSE)*$Q247*IFERROR((VLOOKUP(P247,Settings!$E$28:$F$33,2,FALSE)+1),1)</f>
        <v>0.78</v>
      </c>
      <c r="AF247" s="57" cm="1">
        <f t="array" ref="AF247">VLOOKUP(B247,'Player Data'!$A1:$AE673,20,FALSE)*$Q247</f>
        <v>0</v>
      </c>
      <c r="AG247" s="57" cm="1">
        <f t="array" ref="AG247">VLOOKUP(B247,'Player Data'!$A1:$AE673,21,FALSE)*$Q247</f>
        <v>0</v>
      </c>
      <c r="AH247" s="59" cm="1">
        <f t="array" ref="AH247">VLOOKUP(B247,'Player Data'!$A1:$AE673,22,FALSE)</f>
        <v>0</v>
      </c>
      <c r="AI247" s="55"/>
      <c r="AJ247" s="57"/>
      <c r="AK247" s="57"/>
      <c r="AL247" s="57"/>
      <c r="AM247" s="57"/>
      <c r="AN247" s="57"/>
      <c r="AO247" s="57"/>
      <c r="AP247" s="57"/>
      <c r="AQ247" s="60"/>
      <c r="AR247" s="61"/>
      <c r="AS247" s="55"/>
    </row>
    <row r="248" spans="1:45" ht="21.25" customHeight="1" x14ac:dyDescent="0.15">
      <c r="A248" s="62">
        <f>RANK(K248,K$2:K$671)</f>
        <v>264</v>
      </c>
      <c r="B248" s="10" t="s">
        <v>523</v>
      </c>
      <c r="C248" s="47" t="s">
        <v>145</v>
      </c>
      <c r="D248" s="48" t="str" cm="1">
        <f t="array" ref="D248">VLOOKUP(B248,'Player Data'!A1:D673,4,FALSE)</f>
        <v>D</v>
      </c>
      <c r="E248" s="68" cm="1">
        <f t="array" ref="E248">VLOOKUP(B248,D!A1:C204,3,FALSE)</f>
        <v>121</v>
      </c>
      <c r="F248" s="63" t="str" cm="1">
        <f t="array" ref="F248">VLOOKUP(B248,'Player Data'!A1:B673,2,FALSE)</f>
        <v>EDM</v>
      </c>
      <c r="G248" s="11" cm="1">
        <f t="array" ref="G248">VLOOKUP(B248,'Player Data'!A1:D673,3,FALSE)</f>
        <v>29</v>
      </c>
      <c r="H248" s="51" cm="1">
        <f t="array" ref="H248">IFERROR(VLOOKUP(B248,ADP!A1:F671,6,FALSE)/1000000,VLOOKUP(B248,ADP!A1:F671,6,FALSE))</f>
        <v>4</v>
      </c>
      <c r="I248" s="52">
        <f>IF(Settings!$E$15="POINTS",((R248*Q248)*Settings!$B$12)+(S248*Settings!$B$2)+(T248*Settings!$B$3)+(U248*Settings!$B$4)+(V248*Settings!$B$5)+(X248*Settings!$B$9)+(AA248*Settings!$B$6)+(W248*Settings!$B$8)+(AB248*Settings!$B$7)+(AC248*Settings!$B$14)+(AD248*Settings!$B$15)+(AE248*Settings!$B$16)+(AF248*Settings!$B$17)+(AG248*Settings!$B$18)+(U248*Settings!$B$13)+(Y248*Settings!$B$10)+(Z248*Settings!$B$11),VLOOKUP(B248,'Standard Deviations'!A$1:C$672,3,FALSE))</f>
        <v>-2.9451739568244015</v>
      </c>
      <c r="J248" s="53" cm="1">
        <f t="array" ref="J248">IF(D248="G",I248/AJ248,I248/Q248)</f>
        <v>-4.0344848723621936E-2</v>
      </c>
      <c r="K248" s="52" cm="1">
        <f t="array" ref="K248">VLOOKUP(B248,D!A1:F204,6,FALSE)</f>
        <v>-3.5120248713419562</v>
      </c>
      <c r="L248" s="54" cm="1">
        <f t="array" ref="L248">IFERROR(K248/H248,"N/A")</f>
        <v>-0.87800621783548904</v>
      </c>
      <c r="M248" s="84" t="s">
        <v>828</v>
      </c>
      <c r="N248" s="84" t="str" cm="1">
        <f t="array" ref="N248">IFERROR(M248-A248,"N/A")</f>
        <v>N/A</v>
      </c>
      <c r="O248" s="80"/>
      <c r="P248" s="56" cm="1">
        <f t="array" ref="P248">_xlfn.XLOOKUP($B248,ADP!A2:A671,ADP!G2:G671)</f>
        <v>0</v>
      </c>
      <c r="Q248" s="57" cm="1">
        <f t="array" ref="Q248">IF(Settings!$E$12="YES",VLOOKUP(B248,'Player Data'!A1:E673,5,FALSE),84)</f>
        <v>73</v>
      </c>
      <c r="R248" s="83" cm="1">
        <f t="array" ref="R248">VLOOKUP(B248,'Player Data'!$A1:$AE673,6,FALSE)</f>
        <v>17.5</v>
      </c>
      <c r="S248" s="57" cm="1">
        <f t="array" ref="S248">VLOOKUP(B248,'Player Data'!$A1:$AE673,7,FALSE)*$Q248*IFERROR((VLOOKUP(P248,Settings!$E$28:$F$33,2,FALSE)+1),1)</f>
        <v>4.38</v>
      </c>
      <c r="T248" s="57" cm="1">
        <f t="array" ref="T248">VLOOKUP(B248,'Player Data'!$A1:$AE673,8,FALSE)*$Q248*IFERROR((VLOOKUP(P248,Settings!$E$28:$F$33,2,FALSE)+1),1)</f>
        <v>18.25</v>
      </c>
      <c r="U248" s="57" cm="1">
        <f t="array" ref="U248">SUM(S248:T248)</f>
        <v>22.63</v>
      </c>
      <c r="V248" s="57" cm="1">
        <f t="array" ref="V248">VLOOKUP(B248,'Player Data'!$A1:$AE673,10,FALSE)*$Q248*IFERROR(((VLOOKUP(P248,Settings!$E$28:$F$33,2,FALSE)/2)+1),1)</f>
        <v>66.430000000000007</v>
      </c>
      <c r="W248" s="57" cm="1">
        <f t="array" ref="W248">VLOOKUP(B248,'Player Data'!$A1:$AE673,11,FALSE)*$Q248*IFERROR((VLOOKUP(P248,Settings!$E$28:$F$33,2,FALSE)+1),1)</f>
        <v>0</v>
      </c>
      <c r="X248" s="57" cm="1">
        <f t="array" ref="X248">VLOOKUP(B248,'Player Data'!$A1:$AE673,12,FALSE)*$Q248*IFERROR((VLOOKUP(P248,Settings!$E$28:$F$33,2,FALSE)+1),1)</f>
        <v>0</v>
      </c>
      <c r="Y248" s="57" cm="1">
        <f t="array" ref="Y248">VLOOKUP(B248,'Player Data'!$A1:$AE673,13,FALSE)*$Q248</f>
        <v>0</v>
      </c>
      <c r="Z248" s="57" cm="1">
        <f t="array" ref="Z248">VLOOKUP(B248,'Player Data'!$A1:$AE673,14,FALSE)*$Q248</f>
        <v>0</v>
      </c>
      <c r="AA248" s="57" cm="1">
        <f t="array" ref="AA248">VLOOKUP(B248,'Player Data'!$A1:$AE673,15,FALSE)*$Q248</f>
        <v>94.9</v>
      </c>
      <c r="AB248" s="57" cm="1">
        <f t="array" ref="AB248">VLOOKUP(B248,'Player Data'!$A1:$AE673,16,FALSE)*$Q248</f>
        <v>47.45</v>
      </c>
      <c r="AC248" s="57" cm="1">
        <f t="array" ref="AC248">VLOOKUP(B248,'Player Data'!$A1:$AE673,17,FALSE)*$Q248*IFERROR((VLOOKUP(P248,Settings!$E$28:$F$33,2,FALSE)+1),1)</f>
        <v>5.1100000000000003</v>
      </c>
      <c r="AD248" s="57" cm="1">
        <f t="array" ref="AD248">VLOOKUP(B248,'Player Data'!$A1:$AE673,18,FALSE)*$Q248</f>
        <v>18.98</v>
      </c>
      <c r="AE248" s="57" cm="1">
        <f t="array" ref="AE248">VLOOKUP(B248,'Player Data'!$A1:$AE673,19,FALSE)*$Q248*IFERROR((VLOOKUP(P248,Settings!$E$28:$F$33,2,FALSE)+1),1)</f>
        <v>0.73</v>
      </c>
      <c r="AF248" s="57" cm="1">
        <f t="array" ref="AF248">VLOOKUP(B248,'Player Data'!$A1:$AE673,20,FALSE)*$Q248</f>
        <v>0</v>
      </c>
      <c r="AG248" s="57" cm="1">
        <f t="array" ref="AG248">VLOOKUP(B248,'Player Data'!$A1:$AE673,21,FALSE)*$Q248</f>
        <v>0</v>
      </c>
      <c r="AH248" s="59" cm="1">
        <f t="array" ref="AH248">VLOOKUP(B248,'Player Data'!$A1:$AE673,22,FALSE)</f>
        <v>0</v>
      </c>
      <c r="AI248" s="55"/>
      <c r="AJ248" s="57"/>
      <c r="AK248" s="57"/>
      <c r="AL248" s="57"/>
      <c r="AM248" s="57"/>
      <c r="AN248" s="57"/>
      <c r="AO248" s="57"/>
      <c r="AP248" s="57"/>
      <c r="AQ248" s="60"/>
      <c r="AR248" s="61"/>
      <c r="AS248" s="55"/>
    </row>
    <row r="249" spans="1:45" ht="21.25" customHeight="1" x14ac:dyDescent="0.15">
      <c r="A249" s="62">
        <f>RANK(K249,K$2:K$671)</f>
        <v>265</v>
      </c>
      <c r="B249" s="10" t="s">
        <v>253</v>
      </c>
      <c r="C249" s="47" t="s">
        <v>145</v>
      </c>
      <c r="D249" s="48" t="str" cm="1">
        <f t="array" ref="D249">VLOOKUP(B249,'Player Data'!A1:D673,4,FALSE)</f>
        <v>D</v>
      </c>
      <c r="E249" s="68" cm="1">
        <f t="array" ref="E249">VLOOKUP(B249,D!A1:C204,3,FALSE)</f>
        <v>122</v>
      </c>
      <c r="F249" s="63" t="str" cm="1">
        <f t="array" ref="F249">VLOOKUP(B249,'Player Data'!A1:B673,2,FALSE)</f>
        <v>CGY</v>
      </c>
      <c r="G249" s="71" cm="1">
        <f t="array" ref="G249">VLOOKUP(B249,'Player Data'!A1:D673,3,FALSE)</f>
        <v>22</v>
      </c>
      <c r="H249" s="51" cm="1">
        <f t="array" ref="H249">IFERROR(VLOOKUP(B249,ADP!A1:F671,6,FALSE)/1000000,VLOOKUP(B249,ADP!A1:F671,6,FALSE))</f>
        <v>7.25</v>
      </c>
      <c r="I249" s="52">
        <f>IF(Settings!$E$15="POINTS",((R249*Q249)*Settings!$B$12)+(S249*Settings!$B$2)+(T249*Settings!$B$3)+(U249*Settings!$B$4)+(V249*Settings!$B$5)+(X249*Settings!$B$9)+(AA249*Settings!$B$6)+(W249*Settings!$B$8)+(AB249*Settings!$B$7)+(AC249*Settings!$B$14)+(AD249*Settings!$B$15)+(AE249*Settings!$B$16)+(AF249*Settings!$B$17)+(AG249*Settings!$B$18)+(U249*Settings!$B$13)+(Y249*Settings!$B$10)+(Z249*Settings!$B$11),VLOOKUP(B249,'Standard Deviations'!A$1:C$672,3,FALSE))</f>
        <v>-2.9482075529377969</v>
      </c>
      <c r="J249" s="53" cm="1">
        <f t="array" ref="J249">IF(D249="G",I249/AJ249,I249/Q249)</f>
        <v>-4.0947327124136068E-2</v>
      </c>
      <c r="K249" s="52" cm="1">
        <f t="array" ref="K249">VLOOKUP(B249,D!A1:F204,6,FALSE)</f>
        <v>-3.5150584674553516</v>
      </c>
      <c r="L249" s="54" cm="1">
        <f t="array" ref="L249">IFERROR(K249/H249,"N/A")</f>
        <v>-0.48483565068349677</v>
      </c>
      <c r="M249" s="55">
        <v>143.19999999999999</v>
      </c>
      <c r="N249" s="55" cm="1">
        <f t="array" ref="N249">IFERROR(M249-A249,"N/A")</f>
        <v>-121.80000000000001</v>
      </c>
      <c r="O249" s="82"/>
      <c r="P249" s="56" t="str" cm="1">
        <f t="array" ref="P249">_xlfn.XLOOKUP($B249,ADP!A2:A671,ADP!G2:G671)</f>
        <v>+</v>
      </c>
      <c r="Q249" s="57" cm="1">
        <f t="array" ref="Q249">IF(Settings!$E$12="YES",VLOOKUP(B249,'Player Data'!A1:E673,5,FALSE),84)</f>
        <v>72</v>
      </c>
      <c r="R249" s="81" cm="1">
        <f t="array" ref="R249">VLOOKUP(B249,'Player Data'!$A1:$AE673,6,FALSE)</f>
        <v>23.6</v>
      </c>
      <c r="S249" s="57" cm="1">
        <f t="array" ref="S249">VLOOKUP(B249,'Player Data'!$A1:$AE673,7,FALSE)*$Q249*IFERROR((VLOOKUP(P249,Settings!$E$28:$F$33,2,FALSE)+1),1)</f>
        <v>11.34</v>
      </c>
      <c r="T249" s="57" cm="1">
        <f t="array" ref="T249">VLOOKUP(B249,'Player Data'!$A1:$AE673,8,FALSE)*$Q249*IFERROR((VLOOKUP(P249,Settings!$E$28:$F$33,2,FALSE)+1),1)</f>
        <v>25.704000000000001</v>
      </c>
      <c r="U249" s="57" cm="1">
        <f t="array" ref="U249">SUM(S249:T249)</f>
        <v>37.043999999999997</v>
      </c>
      <c r="V249" s="57" cm="1">
        <f t="array" ref="V249">VLOOKUP(B249,'Player Data'!$A1:$AE673,10,FALSE)*$Q249*IFERROR(((VLOOKUP(P249,Settings!$E$28:$F$33,2,FALSE)/2)+1),1)</f>
        <v>137.268</v>
      </c>
      <c r="W249" s="57" cm="1">
        <f t="array" ref="W249">VLOOKUP(B249,'Player Data'!$A1:$AE673,11,FALSE)*$Q249*IFERROR((VLOOKUP(P249,Settings!$E$28:$F$33,2,FALSE)+1),1)</f>
        <v>1.512</v>
      </c>
      <c r="X249" s="78" cm="1">
        <f t="array" ref="X249">VLOOKUP(B249,'Player Data'!$A1:$AE673,12,FALSE)*$Q249*IFERROR((VLOOKUP(P249,Settings!$E$28:$F$33,2,FALSE)+1),1)</f>
        <v>9.072000000000001</v>
      </c>
      <c r="Y249" s="57" cm="1">
        <f t="array" ref="Y249">VLOOKUP(B249,'Player Data'!$A1:$AE673,13,FALSE)*$Q249</f>
        <v>0</v>
      </c>
      <c r="Z249" s="57" cm="1">
        <f t="array" ref="Z249">VLOOKUP(B249,'Player Data'!$A1:$AE673,14,FALSE)*$Q249</f>
        <v>0</v>
      </c>
      <c r="AA249" s="57" cm="1">
        <f t="array" ref="AA249">VLOOKUP(B249,'Player Data'!$A1:$AE673,15,FALSE)*$Q249</f>
        <v>118.8</v>
      </c>
      <c r="AB249" s="57" cm="1">
        <f t="array" ref="AB249">VLOOKUP(B249,'Player Data'!$A1:$AE673,16,FALSE)*$Q249</f>
        <v>33.839999999999996</v>
      </c>
      <c r="AC249" s="57" cm="1">
        <f t="array" ref="AC249">VLOOKUP(B249,'Player Data'!$A1:$AE673,17,FALSE)*$Q249*IFERROR((VLOOKUP(P249,Settings!$E$28:$F$33,2,FALSE)+1),1)</f>
        <v>-9.072000000000001</v>
      </c>
      <c r="AD249" s="57" cm="1">
        <f t="array" ref="AD249">VLOOKUP(B249,'Player Data'!$A1:$AE673,18,FALSE)*$Q249</f>
        <v>40.320000000000007</v>
      </c>
      <c r="AE249" s="57" cm="1">
        <f t="array" ref="AE249">VLOOKUP(B249,'Player Data'!$A1:$AE673,19,FALSE)*$Q249*IFERROR((VLOOKUP(P249,Settings!$E$28:$F$33,2,FALSE)+1),1)</f>
        <v>1.512</v>
      </c>
      <c r="AF249" s="57" cm="1">
        <f t="array" ref="AF249">VLOOKUP(B249,'Player Data'!$A1:$AE673,20,FALSE)*$Q249</f>
        <v>0</v>
      </c>
      <c r="AG249" s="57" cm="1">
        <f t="array" ref="AG249">VLOOKUP(B249,'Player Data'!$A1:$AE673,21,FALSE)*$Q249</f>
        <v>0</v>
      </c>
      <c r="AH249" s="59" cm="1">
        <f t="array" ref="AH249">VLOOKUP(B249,'Player Data'!$A1:$AE673,22,FALSE)</f>
        <v>0</v>
      </c>
      <c r="AI249" s="55"/>
      <c r="AJ249" s="57"/>
      <c r="AK249" s="57"/>
      <c r="AL249" s="57"/>
      <c r="AM249" s="57"/>
      <c r="AN249" s="57"/>
      <c r="AO249" s="57"/>
      <c r="AP249" s="57"/>
      <c r="AQ249" s="60"/>
      <c r="AR249" s="61"/>
      <c r="AS249" s="55"/>
    </row>
    <row r="250" spans="1:45" ht="21.25" customHeight="1" x14ac:dyDescent="0.15">
      <c r="A250" s="62">
        <f>RANK(K250,K$2:K$671)</f>
        <v>269</v>
      </c>
      <c r="B250" s="10" t="s">
        <v>422</v>
      </c>
      <c r="C250" s="47" t="s">
        <v>145</v>
      </c>
      <c r="D250" s="48" t="str" cm="1">
        <f t="array" ref="D250">VLOOKUP(B250,'Player Data'!A1:D673,4,FALSE)</f>
        <v>D</v>
      </c>
      <c r="E250" s="68" cm="1">
        <f t="array" ref="E250">VLOOKUP(B250,D!A1:C204,3,FALSE)</f>
        <v>123</v>
      </c>
      <c r="F250" s="56" t="str" cm="1">
        <f t="array" ref="F250">VLOOKUP(B250,'Player Data'!A1:B673,2,FALSE)</f>
        <v>UTA</v>
      </c>
      <c r="G250" s="11" cm="1">
        <f t="array" ref="G250">VLOOKUP(B250,'Player Data'!A1:D673,3,FALSE)</f>
        <v>29</v>
      </c>
      <c r="H250" s="51" cm="1">
        <f t="array" ref="H250">IFERROR(VLOOKUP(B250,ADP!A1:F671,6,FALSE)/1000000,VLOOKUP(B250,ADP!A1:F671,6,FALSE))</f>
        <v>4.4000000000000004</v>
      </c>
      <c r="I250" s="52">
        <f>IF(Settings!$E$15="POINTS",((R250*Q250)*Settings!$B$12)+(S250*Settings!$B$2)+(T250*Settings!$B$3)+(U250*Settings!$B$4)+(V250*Settings!$B$5)+(X250*Settings!$B$9)+(AA250*Settings!$B$6)+(W250*Settings!$B$8)+(AB250*Settings!$B$7)+(AC250*Settings!$B$14)+(AD250*Settings!$B$15)+(AE250*Settings!$B$16)+(AF250*Settings!$B$17)+(AG250*Settings!$B$18)+(U250*Settings!$B$13)+(Y250*Settings!$B$10)+(Z250*Settings!$B$11),VLOOKUP(B250,'Standard Deviations'!A$1:C$672,3,FALSE))</f>
        <v>-2.9919964507200811</v>
      </c>
      <c r="J250" s="53" cm="1">
        <f t="array" ref="J250">IF(D250="G",I250/AJ250,I250/Q250)</f>
        <v>-3.8857096762598457E-2</v>
      </c>
      <c r="K250" s="52" cm="1">
        <f t="array" ref="K250">VLOOKUP(B250,D!A1:F204,6,FALSE)</f>
        <v>-3.5588473652376358</v>
      </c>
      <c r="L250" s="54" cm="1">
        <f t="array" ref="L250">IFERROR(K250/H250,"N/A")</f>
        <v>-0.80882894664491711</v>
      </c>
      <c r="M250" s="55">
        <v>132.19999999999999</v>
      </c>
      <c r="N250" s="55" cm="1">
        <f t="array" ref="N250">IFERROR(M250-A250,"N/A")</f>
        <v>-136.80000000000001</v>
      </c>
      <c r="O250" s="55"/>
      <c r="P250" s="56" cm="1">
        <f t="array" ref="P250">_xlfn.XLOOKUP($B250,ADP!A2:A671,ADP!G2:G671)</f>
        <v>0</v>
      </c>
      <c r="Q250" s="57" cm="1">
        <f t="array" ref="Q250">IF(Settings!$E$12="YES",VLOOKUP(B250,'Player Data'!A1:E673,5,FALSE),84)</f>
        <v>77</v>
      </c>
      <c r="R250" s="55" cm="1">
        <f t="array" ref="R250">VLOOKUP(B250,'Player Data'!$A1:$AE673,6,FALSE)</f>
        <v>20.7</v>
      </c>
      <c r="S250" s="57" cm="1">
        <f t="array" ref="S250">VLOOKUP(B250,'Player Data'!$A1:$AE673,7,FALSE)*$Q250*IFERROR((VLOOKUP(P250,Settings!$E$28:$F$33,2,FALSE)+1),1)</f>
        <v>3.85</v>
      </c>
      <c r="T250" s="57" cm="1">
        <f t="array" ref="T250">VLOOKUP(B250,'Player Data'!$A1:$AE673,8,FALSE)*$Q250*IFERROR((VLOOKUP(P250,Settings!$E$28:$F$33,2,FALSE)+1),1)</f>
        <v>26.180000000000003</v>
      </c>
      <c r="U250" s="57" cm="1">
        <f t="array" ref="U250">SUM(S250:T250)</f>
        <v>30.030000000000005</v>
      </c>
      <c r="V250" s="57" cm="1">
        <f t="array" ref="V250">VLOOKUP(B250,'Player Data'!$A1:$AE673,10,FALSE)*$Q250*IFERROR(((VLOOKUP(P250,Settings!$E$28:$F$33,2,FALSE)/2)+1),1)</f>
        <v>60.06</v>
      </c>
      <c r="W250" s="57" cm="1">
        <f t="array" ref="W250">VLOOKUP(B250,'Player Data'!$A1:$AE673,11,FALSE)*$Q250*IFERROR((VLOOKUP(P250,Settings!$E$28:$F$33,2,FALSE)+1),1)</f>
        <v>0</v>
      </c>
      <c r="X250" s="57" cm="1">
        <f t="array" ref="X250">VLOOKUP(B250,'Player Data'!$A1:$AE673,12,FALSE)*$Q250*IFERROR((VLOOKUP(P250,Settings!$E$28:$F$33,2,FALSE)+1),1)</f>
        <v>0</v>
      </c>
      <c r="Y250" s="57" cm="1">
        <f t="array" ref="Y250">VLOOKUP(B250,'Player Data'!$A1:$AE673,13,FALSE)*$Q250</f>
        <v>0</v>
      </c>
      <c r="Z250" s="57" cm="1">
        <f t="array" ref="Z250">VLOOKUP(B250,'Player Data'!$A1:$AE673,14,FALSE)*$Q250</f>
        <v>0.77</v>
      </c>
      <c r="AA250" s="57" cm="1">
        <f t="array" ref="AA250">VLOOKUP(B250,'Player Data'!$A1:$AE673,15,FALSE)*$Q250</f>
        <v>84.7</v>
      </c>
      <c r="AB250" s="57" cm="1">
        <f t="array" ref="AB250">VLOOKUP(B250,'Player Data'!$A1:$AE673,16,FALSE)*$Q250</f>
        <v>39.270000000000003</v>
      </c>
      <c r="AC250" s="57" cm="1">
        <f t="array" ref="AC250">VLOOKUP(B250,'Player Data'!$A1:$AE673,17,FALSE)*$Q250*IFERROR((VLOOKUP(P250,Settings!$E$28:$F$33,2,FALSE)+1),1)</f>
        <v>3.85</v>
      </c>
      <c r="AD250" s="57" cm="1">
        <f t="array" ref="AD250">VLOOKUP(B250,'Player Data'!$A1:$AE673,18,FALSE)*$Q250</f>
        <v>22.33</v>
      </c>
      <c r="AE250" s="57" cm="1">
        <f t="array" ref="AE250">VLOOKUP(B250,'Player Data'!$A1:$AE673,19,FALSE)*$Q250*IFERROR((VLOOKUP(P250,Settings!$E$28:$F$33,2,FALSE)+1),1)</f>
        <v>0.77</v>
      </c>
      <c r="AF250" s="57" cm="1">
        <f t="array" ref="AF250">VLOOKUP(B250,'Player Data'!$A1:$AE673,20,FALSE)*$Q250</f>
        <v>0</v>
      </c>
      <c r="AG250" s="57" cm="1">
        <f t="array" ref="AG250">VLOOKUP(B250,'Player Data'!$A1:$AE673,21,FALSE)*$Q250</f>
        <v>0</v>
      </c>
      <c r="AH250" s="59" cm="1">
        <f t="array" ref="AH250">VLOOKUP(B250,'Player Data'!$A1:$AE673,22,FALSE)</f>
        <v>0</v>
      </c>
      <c r="AI250" s="55"/>
      <c r="AJ250" s="57"/>
      <c r="AK250" s="57"/>
      <c r="AL250" s="57"/>
      <c r="AM250" s="57"/>
      <c r="AN250" s="57"/>
      <c r="AO250" s="57"/>
      <c r="AP250" s="57"/>
      <c r="AQ250" s="60"/>
      <c r="AR250" s="61"/>
      <c r="AS250" s="55"/>
    </row>
    <row r="251" spans="1:45" ht="21.25" customHeight="1" x14ac:dyDescent="0.15">
      <c r="A251" s="62">
        <f>RANK(K251,K$2:K$671)</f>
        <v>271</v>
      </c>
      <c r="B251" s="10" t="s">
        <v>525</v>
      </c>
      <c r="C251" s="47" t="s">
        <v>145</v>
      </c>
      <c r="D251" s="48" t="str" cm="1">
        <f t="array" ref="D251">VLOOKUP(B251,'Player Data'!A1:D673,4,FALSE)</f>
        <v>D</v>
      </c>
      <c r="E251" s="68" cm="1">
        <f t="array" ref="E251">VLOOKUP(B251,D!A1:C204,3,FALSE)</f>
        <v>124</v>
      </c>
      <c r="F251" s="63" t="str" cm="1">
        <f t="array" ref="F251">VLOOKUP(B251,'Player Data'!A1:B673,2,FALSE)</f>
        <v>DAL</v>
      </c>
      <c r="G251" s="11" cm="1">
        <f t="array" ref="G251">VLOOKUP(B251,'Player Data'!A1:D673,3,FALSE)</f>
        <v>26</v>
      </c>
      <c r="H251" s="51" cm="1">
        <f t="array" ref="H251">IFERROR(VLOOKUP(B251,ADP!A1:F671,6,FALSE)/1000000,VLOOKUP(B251,ADP!A1:F671,6,FALSE))</f>
        <v>1.75</v>
      </c>
      <c r="I251" s="52">
        <f>IF(Settings!$E$15="POINTS",((R251*Q251)*Settings!$B$12)+(S251*Settings!$B$2)+(T251*Settings!$B$3)+(U251*Settings!$B$4)+(V251*Settings!$B$5)+(X251*Settings!$B$9)+(AA251*Settings!$B$6)+(W251*Settings!$B$8)+(AB251*Settings!$B$7)+(AC251*Settings!$B$14)+(AD251*Settings!$B$15)+(AE251*Settings!$B$16)+(AF251*Settings!$B$17)+(AG251*Settings!$B$18)+(U251*Settings!$B$13)+(Y251*Settings!$B$10)+(Z251*Settings!$B$11),VLOOKUP(B251,'Standard Deviations'!A$1:C$672,3,FALSE))</f>
        <v>-3.043051253406885</v>
      </c>
      <c r="J251" s="53" cm="1">
        <f t="array" ref="J251">IF(D251="G",I251/AJ251,I251/Q251)</f>
        <v>-4.34721607629555E-2</v>
      </c>
      <c r="K251" s="52" cm="1">
        <f t="array" ref="K251">VLOOKUP(B251,D!A1:F204,6,FALSE)</f>
        <v>-3.6099021679244396</v>
      </c>
      <c r="L251" s="54" cm="1">
        <f t="array" ref="L251">IFERROR(K251/H251,"N/A")</f>
        <v>-2.0628012388139654</v>
      </c>
      <c r="M251" s="84" t="s">
        <v>828</v>
      </c>
      <c r="N251" s="84" t="str" cm="1">
        <f t="array" ref="N251">IFERROR(M251-A251,"N/A")</f>
        <v>N/A</v>
      </c>
      <c r="O251" s="55"/>
      <c r="P251" s="56" cm="1">
        <f t="array" ref="P251">_xlfn.XLOOKUP($B251,ADP!A2:A671,ADP!G2:G671)</f>
        <v>0</v>
      </c>
      <c r="Q251" s="57" cm="1">
        <f t="array" ref="Q251">IF(Settings!$E$12="YES",VLOOKUP(B251,'Player Data'!A1:E673,5,FALSE),84)</f>
        <v>70</v>
      </c>
      <c r="R251" s="55" cm="1">
        <f t="array" ref="R251">VLOOKUP(B251,'Player Data'!$A1:$AE673,6,FALSE)</f>
        <v>16.399999999999999</v>
      </c>
      <c r="S251" s="57" cm="1">
        <f t="array" ref="S251">VLOOKUP(B251,'Player Data'!$A1:$AE673,7,FALSE)*$Q251*IFERROR((VLOOKUP(P251,Settings!$E$28:$F$33,2,FALSE)+1),1)</f>
        <v>2.8000000000000003</v>
      </c>
      <c r="T251" s="57" cm="1">
        <f t="array" ref="T251">VLOOKUP(B251,'Player Data'!$A1:$AE673,8,FALSE)*$Q251*IFERROR((VLOOKUP(P251,Settings!$E$28:$F$33,2,FALSE)+1),1)</f>
        <v>14</v>
      </c>
      <c r="U251" s="57" cm="1">
        <f t="array" ref="U251">SUM(S251:T251)</f>
        <v>16.8</v>
      </c>
      <c r="V251" s="57" cm="1">
        <f t="array" ref="V251">VLOOKUP(B251,'Player Data'!$A1:$AE673,10,FALSE)*$Q251*IFERROR(((VLOOKUP(P251,Settings!$E$28:$F$33,2,FALSE)/2)+1),1)</f>
        <v>74.2</v>
      </c>
      <c r="W251" s="57" cm="1">
        <f t="array" ref="W251">VLOOKUP(B251,'Player Data'!$A1:$AE673,11,FALSE)*$Q251*IFERROR((VLOOKUP(P251,Settings!$E$28:$F$33,2,FALSE)+1),1)</f>
        <v>0</v>
      </c>
      <c r="X251" s="57" cm="1">
        <f t="array" ref="X251">VLOOKUP(B251,'Player Data'!$A1:$AE673,12,FALSE)*$Q251*IFERROR((VLOOKUP(P251,Settings!$E$28:$F$33,2,FALSE)+1),1)</f>
        <v>0</v>
      </c>
      <c r="Y251" s="57" cm="1">
        <f t="array" ref="Y251">VLOOKUP(B251,'Player Data'!$A1:$AE673,13,FALSE)*$Q251</f>
        <v>0</v>
      </c>
      <c r="Z251" s="57" cm="1">
        <f t="array" ref="Z251">VLOOKUP(B251,'Player Data'!$A1:$AE673,14,FALSE)*$Q251</f>
        <v>0</v>
      </c>
      <c r="AA251" s="57" cm="1">
        <f t="array" ref="AA251">VLOOKUP(B251,'Player Data'!$A1:$AE673,15,FALSE)*$Q251</f>
        <v>71.400000000000006</v>
      </c>
      <c r="AB251" s="57" cm="1">
        <f t="array" ref="AB251">VLOOKUP(B251,'Player Data'!$A1:$AE673,16,FALSE)*$Q251</f>
        <v>53.2</v>
      </c>
      <c r="AC251" s="57" cm="1">
        <f t="array" ref="AC251">VLOOKUP(B251,'Player Data'!$A1:$AE673,17,FALSE)*$Q251*IFERROR((VLOOKUP(P251,Settings!$E$28:$F$33,2,FALSE)+1),1)</f>
        <v>5.6000000000000005</v>
      </c>
      <c r="AD251" s="57" cm="1">
        <f t="array" ref="AD251">VLOOKUP(B251,'Player Data'!$A1:$AE673,18,FALSE)*$Q251</f>
        <v>26.6</v>
      </c>
      <c r="AE251" s="57" cm="1">
        <f t="array" ref="AE251">VLOOKUP(B251,'Player Data'!$A1:$AE673,19,FALSE)*$Q251*IFERROR((VLOOKUP(P251,Settings!$E$28:$F$33,2,FALSE)+1),1)</f>
        <v>0.70000000000000007</v>
      </c>
      <c r="AF251" s="57" cm="1">
        <f t="array" ref="AF251">VLOOKUP(B251,'Player Data'!$A1:$AE673,20,FALSE)*$Q251</f>
        <v>0</v>
      </c>
      <c r="AG251" s="57" cm="1">
        <f t="array" ref="AG251">VLOOKUP(B251,'Player Data'!$A1:$AE673,21,FALSE)*$Q251</f>
        <v>0</v>
      </c>
      <c r="AH251" s="59" cm="1">
        <f t="array" ref="AH251">VLOOKUP(B251,'Player Data'!$A1:$AE673,22,FALSE)</f>
        <v>0</v>
      </c>
      <c r="AI251" s="55"/>
      <c r="AJ251" s="57"/>
      <c r="AK251" s="57"/>
      <c r="AL251" s="57"/>
      <c r="AM251" s="57"/>
      <c r="AN251" s="57"/>
      <c r="AO251" s="57"/>
      <c r="AP251" s="57"/>
      <c r="AQ251" s="60"/>
      <c r="AR251" s="61"/>
      <c r="AS251" s="55"/>
    </row>
    <row r="252" spans="1:45" ht="21.25" customHeight="1" x14ac:dyDescent="0.15">
      <c r="A252" s="62">
        <f>RANK(K252,K$2:K$671)</f>
        <v>214</v>
      </c>
      <c r="B252" s="10" t="s">
        <v>297</v>
      </c>
      <c r="C252" s="47" t="s">
        <v>145</v>
      </c>
      <c r="D252" s="48" t="str" cm="1">
        <f t="array" ref="D252">VLOOKUP(B252,'Player Data'!A1:D673,4,FALSE)</f>
        <v>LW</v>
      </c>
      <c r="E252" s="75" cm="1">
        <f t="array" ref="E252">VLOOKUP(B252,LW!A1:C210,3,FALSE)</f>
        <v>44</v>
      </c>
      <c r="F252" s="69" t="str" cm="1">
        <f t="array" ref="F252">VLOOKUP(B252,'Player Data'!A1:B673,2,FALSE)</f>
        <v>TOR</v>
      </c>
      <c r="G252" s="71" cm="1">
        <f t="array" ref="G252">VLOOKUP(B252,'Player Data'!A1:D673,3,FALSE)</f>
        <v>18</v>
      </c>
      <c r="H252" s="51" cm="1">
        <f t="array" ref="H252">IFERROR(VLOOKUP(B252,ADP!A1:F671,6,FALSE)/1000000,VLOOKUP(B252,ADP!A1:F671,6,FALSE))</f>
        <v>1.075</v>
      </c>
      <c r="I252" s="52">
        <f>IF(Settings!$E$15="POINTS",((R252*Q252)*Settings!$B$12)+(S252*Settings!$B$2)+(T252*Settings!$B$3)+(U252*Settings!$B$4)+(V252*Settings!$B$5)+(X252*Settings!$B$9)+(AA252*Settings!$B$6)+(W252*Settings!$B$8)+(AB252*Settings!$B$7)+(AC252*Settings!$B$14)+(AD252*Settings!$B$15)+(AE252*Settings!$B$16)+(AF252*Settings!$B$17)+(AG252*Settings!$B$18)+(Y252*Settings!$B$10)+(Z252*Settings!$B$11),VLOOKUP(B252,'Standard Deviations'!A$1:C$672,3,FALSE))</f>
        <v>4.1615007158622008</v>
      </c>
      <c r="J252" s="53" cm="1">
        <f t="array" ref="J252">IF(D252="G",I252/AJ252,I252/Q252)</f>
        <v>5.201875894827751E-2</v>
      </c>
      <c r="K252" s="52" cm="1">
        <f t="array" ref="K252">IF(Settings!$E$18="C/LW/RW",VLOOKUP(B252,LW!A1:F210,6,FALSE),VLOOKUP(B252,F!A1:F407,6,FALSE))</f>
        <v>-2.7328849285276089</v>
      </c>
      <c r="L252" s="54" cm="1">
        <f t="array" ref="L252">IFERROR(K252/H252,"N/A")</f>
        <v>-2.5422185381652178</v>
      </c>
      <c r="M252" s="55">
        <v>93.6</v>
      </c>
      <c r="N252" s="55" cm="1">
        <f t="array" ref="N252">IFERROR(M252-A252,"N/A")</f>
        <v>-120.4</v>
      </c>
      <c r="O252" s="55"/>
      <c r="P252" s="56" t="str" cm="1">
        <f t="array" ref="P252">_xlfn.XLOOKUP($B252,ADP!A2:A671,ADP!G2:G671)</f>
        <v>- -</v>
      </c>
      <c r="Q252" s="57" cm="1">
        <f t="array" ref="Q252">IF(Settings!$E$12="YES",VLOOKUP(B252,'Player Data'!A1:E673,5,FALSE),84)</f>
        <v>80</v>
      </c>
      <c r="R252" s="55" cm="1">
        <f t="array" ref="R252">VLOOKUP(B252,'Player Data'!$A1:$AE673,6,FALSE)</f>
        <v>17</v>
      </c>
      <c r="S252" s="57" cm="1">
        <f t="array" ref="S252">VLOOKUP(B252,'Player Data'!$A1:$AE673,7,FALSE)*$Q252*IFERROR((VLOOKUP(P252,Settings!$E$28:$F$33,2,FALSE)+1),1)</f>
        <v>22.32</v>
      </c>
      <c r="T252" s="57" cm="1">
        <f t="array" ref="T252">VLOOKUP(B252,'Player Data'!$A1:$AE673,8,FALSE)*$Q252*IFERROR((VLOOKUP(P252,Settings!$E$28:$F$33,2,FALSE)+1),1)</f>
        <v>42.48</v>
      </c>
      <c r="U252" s="57" cm="1">
        <f t="array" ref="U252">SUM(S252:T252)</f>
        <v>64.8</v>
      </c>
      <c r="V252" s="57" cm="1">
        <f t="array" ref="V252">VLOOKUP(B252,'Player Data'!$A1:$AE673,10,FALSE)*$Q252*IFERROR(((VLOOKUP(P252,Settings!$E$28:$F$33,2,FALSE)/2)+1),1)</f>
        <v>171</v>
      </c>
      <c r="W252" s="57" cm="1">
        <f t="array" ref="W252">VLOOKUP(B252,'Player Data'!$A1:$AE673,11,FALSE)*$Q252*IFERROR((VLOOKUP(P252,Settings!$E$28:$F$33,2,FALSE)+1),1)</f>
        <v>7.2</v>
      </c>
      <c r="X252" s="57" cm="1">
        <f t="array" ref="X252">VLOOKUP(B252,'Player Data'!$A1:$AE673,12,FALSE)*$Q252*IFERROR((VLOOKUP(P252,Settings!$E$28:$F$33,2,FALSE)+1),1)</f>
        <v>19.440000000000001</v>
      </c>
      <c r="Y252" s="57" cm="1">
        <f t="array" ref="Y252">VLOOKUP(B252,'Player Data'!$A1:$AE673,13,FALSE)*$Q252</f>
        <v>0</v>
      </c>
      <c r="Z252" s="57" cm="1">
        <f t="array" ref="Z252">VLOOKUP(B252,'Player Data'!$A1:$AE673,14,FALSE)*$Q252</f>
        <v>0</v>
      </c>
      <c r="AA252" s="57" cm="1">
        <f t="array" ref="AA252">VLOOKUP(B252,'Player Data'!$A1:$AE673,15,FALSE)*$Q252</f>
        <v>35.200000000000003</v>
      </c>
      <c r="AB252" s="57" cm="1">
        <f t="array" ref="AB252">VLOOKUP(B252,'Player Data'!$A1:$AE673,16,FALSE)*$Q252</f>
        <v>94.399999999999991</v>
      </c>
      <c r="AC252" s="57" cm="1">
        <f t="array" ref="AC252">VLOOKUP(B252,'Player Data'!$A1:$AE673,17,FALSE)*$Q252*IFERROR((VLOOKUP(P252,Settings!$E$28:$F$33,2,FALSE)+1),1)</f>
        <v>0</v>
      </c>
      <c r="AD252" s="57" cm="1">
        <f t="array" ref="AD252">VLOOKUP(B252,'Player Data'!$A1:$AE673,18,FALSE)*$Q252</f>
        <v>32</v>
      </c>
      <c r="AE252" s="57" cm="1">
        <f t="array" ref="AE252">VLOOKUP(B252,'Player Data'!$A1:$AE673,19,FALSE)*$Q252*IFERROR((VLOOKUP(P252,Settings!$E$28:$F$33,2,FALSE)+1),1)</f>
        <v>2.8800000000000003</v>
      </c>
      <c r="AF252" s="57" cm="1">
        <f t="array" ref="AF252">VLOOKUP(B252,'Player Data'!$A1:$AE673,20,FALSE)*$Q252</f>
        <v>0</v>
      </c>
      <c r="AG252" s="57" cm="1">
        <f t="array" ref="AG252">VLOOKUP(B252,'Player Data'!$A1:$AE673,21,FALSE)*$Q252</f>
        <v>0</v>
      </c>
      <c r="AH252" s="59" cm="1">
        <f t="array" ref="AH252">VLOOKUP(B252,'Player Data'!$A1:$AE673,22,FALSE)</f>
        <v>0.4</v>
      </c>
      <c r="AI252" s="55"/>
      <c r="AJ252" s="57"/>
      <c r="AK252" s="57"/>
      <c r="AL252" s="57"/>
      <c r="AM252" s="57"/>
      <c r="AN252" s="57"/>
      <c r="AO252" s="57"/>
      <c r="AP252" s="57"/>
      <c r="AQ252" s="60"/>
      <c r="AR252" s="61"/>
      <c r="AS252" s="55"/>
    </row>
    <row r="253" spans="1:45" ht="21.25" customHeight="1" x14ac:dyDescent="0.15">
      <c r="A253" s="62">
        <f>RANK(K253,K$2:K$671)</f>
        <v>210</v>
      </c>
      <c r="B253" s="10" t="s">
        <v>472</v>
      </c>
      <c r="C253" s="47" t="s">
        <v>145</v>
      </c>
      <c r="D253" s="48" t="str" cm="1">
        <f t="array" ref="D253">VLOOKUP(B253,'Player Data'!A1:D673,4,FALSE)</f>
        <v>LW,RW</v>
      </c>
      <c r="E253" s="74" cm="1">
        <f t="array" ref="E253">VLOOKUP(B253,RW!A1:F210,3,FALSE)</f>
        <v>50</v>
      </c>
      <c r="F253" s="56" t="str" cm="1">
        <f t="array" ref="F253">VLOOKUP(B253,'Player Data'!A1:B673,2,FALSE)</f>
        <v>S.J</v>
      </c>
      <c r="G253" s="66" cm="1">
        <f t="array" ref="G253">VLOOKUP(B253,'Player Data'!A1:D673,3,FALSE)</f>
        <v>31</v>
      </c>
      <c r="H253" s="51" cm="1">
        <f t="array" ref="H253">IFERROR(VLOOKUP(B253,ADP!A1:F671,6,FALSE)/1000000,VLOOKUP(B253,ADP!A1:F671,6,FALSE))</f>
        <v>5.75</v>
      </c>
      <c r="I253" s="52">
        <f>IF(Settings!$E$15="POINTS",((R253*Q253)*Settings!$B$12)+(S253*Settings!$B$2)+(T253*Settings!$B$3)+(U253*Settings!$B$4)+(V253*Settings!$B$5)+(X253*Settings!$B$9)+(AA253*Settings!$B$6)+(W253*Settings!$B$8)+(AB253*Settings!$B$7)+(AC253*Settings!$B$14)+(AD253*Settings!$B$15)+(AE253*Settings!$B$16)+(AF253*Settings!$B$17)+(AG253*Settings!$B$18)+(Y253*Settings!$B$10)+(Z253*Settings!$B$11),VLOOKUP(B253,'Standard Deviations'!A$1:C$672,3,FALSE))</f>
        <v>4.2151180224389782</v>
      </c>
      <c r="J253" s="53" cm="1">
        <f t="array" ref="J253">IF(D253="G",I253/AJ253,I253/Q253)</f>
        <v>5.268897528048723E-2</v>
      </c>
      <c r="K253" s="52" cm="1">
        <f t="array" ref="K253">IF(Settings!$E$18="C/LW/RW",VLOOKUP(B253,RW!A1:F210,6,FALSE),VLOOKUP(B253,F!A1:F407,6,FALSE))</f>
        <v>-2.6721165793700994</v>
      </c>
      <c r="L253" s="54" cm="1">
        <f t="array" ref="L253">IFERROR(K253/H253,"N/A")</f>
        <v>-0.46471592684697383</v>
      </c>
      <c r="M253" s="55">
        <v>138.4</v>
      </c>
      <c r="N253" s="55" cm="1">
        <f t="array" ref="N253">IFERROR(M253-A253,"N/A")</f>
        <v>-71.599999999999994</v>
      </c>
      <c r="O253" s="55"/>
      <c r="P253" s="56" cm="1">
        <f t="array" ref="P253">_xlfn.XLOOKUP($B253,ADP!A2:A671,ADP!G2:G671)</f>
        <v>0</v>
      </c>
      <c r="Q253" s="57" cm="1">
        <f t="array" ref="Q253">IF(Settings!$E$12="YES",VLOOKUP(B253,'Player Data'!A1:E673,5,FALSE),84)</f>
        <v>80</v>
      </c>
      <c r="R253" s="55" cm="1">
        <f t="array" ref="R253">VLOOKUP(B253,'Player Data'!$A1:$AE673,6,FALSE)</f>
        <v>17</v>
      </c>
      <c r="S253" s="57" cm="1">
        <f t="array" ref="S253">VLOOKUP(B253,'Player Data'!$A1:$AE673,7,FALSE)*$Q253*IFERROR((VLOOKUP(P253,Settings!$E$28:$F$33,2,FALSE)+1),1)</f>
        <v>16.8</v>
      </c>
      <c r="T253" s="57" cm="1">
        <f t="array" ref="T253">VLOOKUP(B253,'Player Data'!$A1:$AE673,8,FALSE)*$Q253*IFERROR((VLOOKUP(P253,Settings!$E$28:$F$33,2,FALSE)+1),1)</f>
        <v>14.399999999999999</v>
      </c>
      <c r="U253" s="57" cm="1">
        <f t="array" ref="U253">SUM(S253:T253)</f>
        <v>31.2</v>
      </c>
      <c r="V253" s="57" cm="1">
        <f t="array" ref="V253">VLOOKUP(B253,'Player Data'!$A1:$AE673,10,FALSE)*$Q253*IFERROR(((VLOOKUP(P253,Settings!$E$28:$F$33,2,FALSE)/2)+1),1)</f>
        <v>152</v>
      </c>
      <c r="W253" s="57" cm="1">
        <f t="array" ref="W253">VLOOKUP(B253,'Player Data'!$A1:$AE673,11,FALSE)*$Q253*IFERROR((VLOOKUP(P253,Settings!$E$28:$F$33,2,FALSE)+1),1)</f>
        <v>1.6</v>
      </c>
      <c r="X253" s="57" cm="1">
        <f t="array" ref="X253">VLOOKUP(B253,'Player Data'!$A1:$AE673,12,FALSE)*$Q253*IFERROR((VLOOKUP(P253,Settings!$E$28:$F$33,2,FALSE)+1),1)</f>
        <v>4</v>
      </c>
      <c r="Y253" s="57" cm="1">
        <f t="array" ref="Y253">VLOOKUP(B253,'Player Data'!$A1:$AE673,13,FALSE)*$Q253</f>
        <v>1.6</v>
      </c>
      <c r="Z253" s="57" cm="1">
        <f t="array" ref="Z253">VLOOKUP(B253,'Player Data'!$A1:$AE673,14,FALSE)*$Q253</f>
        <v>2.4</v>
      </c>
      <c r="AA253" s="57" cm="1">
        <f t="array" ref="AA253">VLOOKUP(B253,'Player Data'!$A1:$AE673,15,FALSE)*$Q253</f>
        <v>34.4</v>
      </c>
      <c r="AB253" s="57" cm="1">
        <f t="array" ref="AB253">VLOOKUP(B253,'Player Data'!$A1:$AE673,16,FALSE)*$Q253</f>
        <v>328.8</v>
      </c>
      <c r="AC253" s="57" cm="1">
        <f t="array" ref="AC253">VLOOKUP(B253,'Player Data'!$A1:$AE673,17,FALSE)*$Q253*IFERROR((VLOOKUP(P253,Settings!$E$28:$F$33,2,FALSE)+1),1)</f>
        <v>-1.6</v>
      </c>
      <c r="AD253" s="57" cm="1">
        <f t="array" ref="AD253">VLOOKUP(B253,'Player Data'!$A1:$AE673,18,FALSE)*$Q253</f>
        <v>44</v>
      </c>
      <c r="AE253" s="57" cm="1">
        <f t="array" ref="AE253">VLOOKUP(B253,'Player Data'!$A1:$AE673,19,FALSE)*$Q253*IFERROR((VLOOKUP(P253,Settings!$E$28:$F$33,2,FALSE)+1),1)</f>
        <v>2.4</v>
      </c>
      <c r="AF253" s="57" cm="1">
        <f t="array" ref="AF253">VLOOKUP(B253,'Player Data'!$A1:$AE673,20,FALSE)*$Q253</f>
        <v>20.8</v>
      </c>
      <c r="AG253" s="57" cm="1">
        <f t="array" ref="AG253">VLOOKUP(B253,'Player Data'!$A1:$AE673,21,FALSE)*$Q253</f>
        <v>29.6</v>
      </c>
      <c r="AH253" s="59" cm="1">
        <f t="array" ref="AH253">VLOOKUP(B253,'Player Data'!$A1:$AE673,22,FALSE)</f>
        <v>0.41</v>
      </c>
      <c r="AI253" s="55"/>
      <c r="AJ253" s="57"/>
      <c r="AK253" s="57"/>
      <c r="AL253" s="57"/>
      <c r="AM253" s="57"/>
      <c r="AN253" s="57"/>
      <c r="AO253" s="57"/>
      <c r="AP253" s="57"/>
      <c r="AQ253" s="60"/>
      <c r="AR253" s="61"/>
      <c r="AS253" s="55"/>
    </row>
    <row r="254" spans="1:45" ht="21.25" customHeight="1" x14ac:dyDescent="0.15">
      <c r="A254" s="62">
        <f>RANK(K254,K$2:K$671)</f>
        <v>217</v>
      </c>
      <c r="B254" s="10" t="s">
        <v>338</v>
      </c>
      <c r="C254" s="47" t="s">
        <v>145</v>
      </c>
      <c r="D254" s="48" t="str" cm="1">
        <f t="array" ref="D254">VLOOKUP(B254,'Player Data'!A1:D673,4,FALSE)</f>
        <v>C,LW</v>
      </c>
      <c r="E254" s="74" cm="1">
        <f t="array" ref="E254">VLOOKUP(B254,LW!A1:C210,3,FALSE)</f>
        <v>45</v>
      </c>
      <c r="F254" s="63" t="str" cm="1">
        <f t="array" ref="F254">VLOOKUP(B254,'Player Data'!A1:B673,2,FALSE)</f>
        <v>EDM</v>
      </c>
      <c r="G254" s="66" cm="1">
        <f t="array" ref="G254">VLOOKUP(B254,'Player Data'!A1:D673,3,FALSE)</f>
        <v>33</v>
      </c>
      <c r="H254" s="51" cm="1">
        <f t="array" ref="H254">IFERROR(VLOOKUP(B254,ADP!A1:F671,6,FALSE)/1000000,VLOOKUP(B254,ADP!A1:F671,6,FALSE))</f>
        <v>5.125</v>
      </c>
      <c r="I254" s="52">
        <f>IF(Settings!$E$15="POINTS",((R254*Q254)*Settings!$B$12)+(S254*Settings!$B$2)+(T254*Settings!$B$3)+(U254*Settings!$B$4)+(V254*Settings!$B$5)+(X254*Settings!$B$9)+(AA254*Settings!$B$6)+(W254*Settings!$B$8)+(AB254*Settings!$B$7)+(AC254*Settings!$B$14)+(AD254*Settings!$B$15)+(AE254*Settings!$B$16)+(AF254*Settings!$B$17)+(AG254*Settings!$B$18)+(Y254*Settings!$B$10)+(Z254*Settings!$B$11),VLOOKUP(B254,'Standard Deviations'!A$1:C$672,3,FALSE))</f>
        <v>4.1391253521735507</v>
      </c>
      <c r="J254" s="53" cm="1">
        <f t="array" ref="J254">IF(D254="G",I254/AJ254,I254/Q254)</f>
        <v>5.0477138441140865E-2</v>
      </c>
      <c r="K254" s="52" cm="1">
        <f t="array" ref="K254">IF(Settings!$E$18="C/LW/RW",VLOOKUP(B254,LW!A1:F210,6,FALSE),VLOOKUP(B254,F!A1:F407,6,FALSE))</f>
        <v>-2.755260292216259</v>
      </c>
      <c r="L254" s="54" cm="1">
        <f t="array" ref="L254">IFERROR(K254/H254,"N/A")</f>
        <v>-0.53761176433487978</v>
      </c>
      <c r="M254" s="55">
        <v>138.80000000000001</v>
      </c>
      <c r="N254" s="55" cm="1">
        <f t="array" ref="N254">IFERROR(M254-A254,"N/A")</f>
        <v>-78.199999999999989</v>
      </c>
      <c r="O254" s="55"/>
      <c r="P254" s="56" cm="1">
        <f t="array" ref="P254">_xlfn.XLOOKUP($B254,ADP!A2:A671,ADP!G2:G671)</f>
        <v>0</v>
      </c>
      <c r="Q254" s="57" cm="1">
        <f t="array" ref="Q254">IF(Settings!$E$12="YES",VLOOKUP(B254,'Player Data'!A1:E673,5,FALSE),84)</f>
        <v>82</v>
      </c>
      <c r="R254" s="55" cm="1">
        <f t="array" ref="R254">VLOOKUP(B254,'Player Data'!$A1:$AE673,6,FALSE)</f>
        <v>18.3</v>
      </c>
      <c r="S254" s="57" cm="1">
        <f t="array" ref="S254">VLOOKUP(B254,'Player Data'!$A1:$AE673,7,FALSE)*$Q254*IFERROR((VLOOKUP(P254,Settings!$E$28:$F$33,2,FALSE)+1),1)</f>
        <v>19.68</v>
      </c>
      <c r="T254" s="57" cm="1">
        <f t="array" ref="T254">VLOOKUP(B254,'Player Data'!$A1:$AE673,8,FALSE)*$Q254*IFERROR((VLOOKUP(P254,Settings!$E$28:$F$33,2,FALSE)+1),1)</f>
        <v>36.9</v>
      </c>
      <c r="U254" s="57" cm="1">
        <f t="array" ref="U254">SUM(S254:T254)</f>
        <v>56.58</v>
      </c>
      <c r="V254" s="57" cm="1">
        <f t="array" ref="V254">VLOOKUP(B254,'Player Data'!$A1:$AE673,10,FALSE)*$Q254*IFERROR(((VLOOKUP(P254,Settings!$E$28:$F$33,2,FALSE)/2)+1),1)</f>
        <v>156.62</v>
      </c>
      <c r="W254" s="58" cm="1">
        <f t="array" ref="W254">VLOOKUP(B254,'Player Data'!$A1:$AE673,11,FALSE)*$Q254*IFERROR((VLOOKUP(P254,Settings!$E$28:$F$33,2,FALSE)+1),1)</f>
        <v>9.02</v>
      </c>
      <c r="X254" s="57" cm="1">
        <f t="array" ref="X254">VLOOKUP(B254,'Player Data'!$A1:$AE673,12,FALSE)*$Q254*IFERROR((VLOOKUP(P254,Settings!$E$28:$F$33,2,FALSE)+1),1)</f>
        <v>27.880000000000003</v>
      </c>
      <c r="Y254" s="57" cm="1">
        <f t="array" ref="Y254">VLOOKUP(B254,'Player Data'!$A1:$AE673,13,FALSE)*$Q254</f>
        <v>0</v>
      </c>
      <c r="Z254" s="57" cm="1">
        <f t="array" ref="Z254">VLOOKUP(B254,'Player Data'!$A1:$AE673,14,FALSE)*$Q254</f>
        <v>0.82000000000000006</v>
      </c>
      <c r="AA254" s="57" cm="1">
        <f t="array" ref="AA254">VLOOKUP(B254,'Player Data'!$A1:$AE673,15,FALSE)*$Q254</f>
        <v>37.72</v>
      </c>
      <c r="AB254" s="57" cm="1">
        <f t="array" ref="AB254">VLOOKUP(B254,'Player Data'!$A1:$AE673,16,FALSE)*$Q254</f>
        <v>35.26</v>
      </c>
      <c r="AC254" s="57" cm="1">
        <f t="array" ref="AC254">VLOOKUP(B254,'Player Data'!$A1:$AE673,17,FALSE)*$Q254*IFERROR((VLOOKUP(P254,Settings!$E$28:$F$33,2,FALSE)+1),1)</f>
        <v>5.74</v>
      </c>
      <c r="AD254" s="57" cm="1">
        <f t="array" ref="AD254">VLOOKUP(B254,'Player Data'!$A1:$AE673,18,FALSE)*$Q254</f>
        <v>28.7</v>
      </c>
      <c r="AE254" s="57" cm="1">
        <f t="array" ref="AE254">VLOOKUP(B254,'Player Data'!$A1:$AE673,19,FALSE)*$Q254*IFERROR((VLOOKUP(P254,Settings!$E$28:$F$33,2,FALSE)+1),1)</f>
        <v>3.2800000000000002</v>
      </c>
      <c r="AF254" s="57" cm="1">
        <f t="array" ref="AF254">VLOOKUP(B254,'Player Data'!$A1:$AE673,20,FALSE)*$Q254</f>
        <v>208.28</v>
      </c>
      <c r="AG254" s="57" cm="1">
        <f t="array" ref="AG254">VLOOKUP(B254,'Player Data'!$A1:$AE673,21,FALSE)*$Q254</f>
        <v>226.32</v>
      </c>
      <c r="AH254" s="59" cm="1">
        <f t="array" ref="AH254">VLOOKUP(B254,'Player Data'!$A1:$AE673,22,FALSE)</f>
        <v>0.48</v>
      </c>
      <c r="AI254" s="55"/>
      <c r="AJ254" s="57"/>
      <c r="AK254" s="57"/>
      <c r="AL254" s="57"/>
      <c r="AM254" s="57"/>
      <c r="AN254" s="57"/>
      <c r="AO254" s="57"/>
      <c r="AP254" s="57"/>
      <c r="AQ254" s="60"/>
      <c r="AR254" s="61"/>
      <c r="AS254" s="55"/>
    </row>
    <row r="255" spans="1:45" ht="21.25" customHeight="1" x14ac:dyDescent="0.15">
      <c r="A255" s="62">
        <f>RANK(K255,K$2:K$671)</f>
        <v>262</v>
      </c>
      <c r="B255" s="10" t="s">
        <v>632</v>
      </c>
      <c r="C255" s="47" t="s">
        <v>145</v>
      </c>
      <c r="D255" s="48" t="str" cm="1">
        <f t="array" ref="D255">VLOOKUP(B255,'Player Data'!A1:D673,4,FALSE)</f>
        <v>G</v>
      </c>
      <c r="E255" s="76" cm="1">
        <f t="array" ref="E255">VLOOKUP(B255,G!A1:D66,3,FALSE)</f>
        <v>41</v>
      </c>
      <c r="F255" s="65" t="str" cm="1">
        <f t="array" ref="F255">VLOOKUP(B255,'Player Data'!A1:B673,2,FALSE)</f>
        <v>T.B</v>
      </c>
      <c r="G255" s="11" cm="1">
        <f t="array" ref="G255">VLOOKUP(B255,'Player Data'!A1:D673,3,FALSE)</f>
        <v>25</v>
      </c>
      <c r="H255" s="51" cm="1">
        <f t="array" ref="H255">IFERROR(VLOOKUP(B255,ADP!A1:F671,6,FALSE)/1000000,VLOOKUP(B255,ADP!A1:F671,6,FALSE))</f>
        <v>0.84099999999999997</v>
      </c>
      <c r="I255" s="52">
        <f>IF(Settings!$E$15="POINTS",(AJ255*Settings!$B$29)+(AK255*Settings!$B$21)+(AL255*Settings!$B$22)+(AN255*Settings!$B$24)+(AO255*Settings!$B$25)+(AP255*Settings!$B$27)+(AM255*Settings!$B$23),VLOOKUP(B255,'Standard Deviations'!A$1:C$672,3,FALSE))</f>
        <v>-1.4375549394189435</v>
      </c>
      <c r="J255" s="53" cm="1">
        <f t="array" ref="J255">IF(D255="G",I255/AJ255,I255/Q255)</f>
        <v>-5.7502197576757744E-2</v>
      </c>
      <c r="K255" s="52" cm="1">
        <f t="array" ref="K255">VLOOKUP(B255,G!A1:F66,6,FALSE)</f>
        <v>-3.4757401985426184</v>
      </c>
      <c r="L255" s="54" cm="1">
        <f t="array" ref="L255">IFERROR(K255/H255,"N/A")</f>
        <v>-4.1328658722266569</v>
      </c>
      <c r="M255" s="84" t="s">
        <v>828</v>
      </c>
      <c r="N255" s="84" t="str" cm="1">
        <f t="array" ref="N255">IFERROR(M255-A255,"N/A")</f>
        <v>N/A</v>
      </c>
      <c r="O255" s="55"/>
      <c r="P255" s="56" cm="1">
        <f t="array" ref="P255">_xlfn.XLOOKUP($B255,ADP!A2:A671,ADP!G2:G671)</f>
        <v>0</v>
      </c>
      <c r="Q255" s="57"/>
      <c r="R255" s="55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9"/>
      <c r="AI255" s="55"/>
      <c r="AJ255" s="77" cm="1">
        <f t="array" ref="AJ255">VLOOKUP(B255,'Player Data'!$A1:$AE673,24,FALSE)</f>
        <v>25</v>
      </c>
      <c r="AK255" s="57" cm="1">
        <f t="array" ref="AK255">VLOOKUP(B255,'Player Data'!$A1:$AE673,25,FALSE)*$AJ255*IFERROR((VLOOKUP(P255,Settings!$E$28:$F$33,2,FALSE)+1),1)</f>
        <v>14.499999999999998</v>
      </c>
      <c r="AL255" s="57" cm="1">
        <f t="array" ref="AL255">AJ255-AK255-AM255</f>
        <v>8.0000000000000018</v>
      </c>
      <c r="AM255" s="57" cm="1">
        <f t="array" ref="AM255">VLOOKUP(B255,'Player Data'!$A1:$AE673,27,FALSE)*$AJ255</f>
        <v>2.5</v>
      </c>
      <c r="AN255" s="57" cm="1">
        <f t="array" ref="AN255">VLOOKUP(B255,'Player Data'!$A1:$AE673,28,FALSE)*AJ255</f>
        <v>1.5</v>
      </c>
      <c r="AO255" s="57" cm="1">
        <f t="array" ref="AO255">VLOOKUP(B255,'Player Data'!$A1:$AE673,29,FALSE)*$AJ255*IFERROR((VLOOKUP(P255,Settings!$E$28:$F$33,2,FALSE)/4)+1,1)</f>
        <v>587.5</v>
      </c>
      <c r="AP255" s="57" cm="1">
        <f t="array" ref="AP255">VLOOKUP(B255,'Player Data'!$A1:$AE673,31,FALSE)*$AJ255*(IFERROR(1-(VLOOKUP(P255,Settings!$E$28:$F$33,2,FALSE)/4),1))</f>
        <v>68.5</v>
      </c>
      <c r="AQ255" s="60" cm="1">
        <f t="array" ref="AQ255">1-(AP255/(AO255+AP255))</f>
        <v>0.89557926829268297</v>
      </c>
      <c r="AR255" s="61" cm="1">
        <f t="array" ref="AR255">AP255/AJ255</f>
        <v>2.74</v>
      </c>
      <c r="AS255" s="55"/>
    </row>
    <row r="256" spans="1:45" ht="21.25" customHeight="1" x14ac:dyDescent="0.15">
      <c r="A256" s="62">
        <f>RANK(K256,K$2:K$671)</f>
        <v>263</v>
      </c>
      <c r="B256" s="10" t="s">
        <v>530</v>
      </c>
      <c r="C256" s="47" t="s">
        <v>145</v>
      </c>
      <c r="D256" s="48" t="str" cm="1">
        <f t="array" ref="D256">VLOOKUP(B256,'Player Data'!A1:D673,4,FALSE)</f>
        <v>G</v>
      </c>
      <c r="E256" s="76" cm="1">
        <f t="array" ref="E256">VLOOKUP(B256,G!A1:D66,3,FALSE)</f>
        <v>42</v>
      </c>
      <c r="F256" s="69" t="str" cm="1">
        <f t="array" ref="F256">VLOOKUP(B256,'Player Data'!A1:B673,2,FALSE)</f>
        <v>TOR</v>
      </c>
      <c r="G256" s="66" cm="1">
        <f t="array" ref="G256">VLOOKUP(B256,'Player Data'!A1:D673,3,FALSE)</f>
        <v>32</v>
      </c>
      <c r="H256" s="51" cm="1">
        <f t="array" ref="H256">IFERROR(VLOOKUP(B256,ADP!A1:F671,6,FALSE)/1000000,VLOOKUP(B256,ADP!A1:F671,6,FALSE))</f>
        <v>3.75</v>
      </c>
      <c r="I256" s="52">
        <f>IF(Settings!$E$15="POINTS",(AJ256*Settings!$B$29)+(AK256*Settings!$B$21)+(AL256*Settings!$B$22)+(AN256*Settings!$B$24)+(AO256*Settings!$B$25)+(AP256*Settings!$B$27)+(AM256*Settings!$B$23),VLOOKUP(B256,'Standard Deviations'!A$1:C$672,3,FALSE))</f>
        <v>-1.4423896205256139</v>
      </c>
      <c r="J256" s="53" cm="1">
        <f t="array" ref="J256">IF(D256="G",I256/AJ256,I256/Q256)</f>
        <v>-5.1513915018771929E-2</v>
      </c>
      <c r="K256" s="52" cm="1">
        <f t="array" ref="K256">VLOOKUP(B256,G!A1:F66,6,FALSE)</f>
        <v>-3.4805748796492888</v>
      </c>
      <c r="L256" s="54" cm="1">
        <f t="array" ref="L256">IFERROR(K256/H256,"N/A")</f>
        <v>-0.92815330123981032</v>
      </c>
      <c r="M256" s="55">
        <v>133.4</v>
      </c>
      <c r="N256" s="55" cm="1">
        <f t="array" ref="N256">IFERROR(M256-A256,"N/A")</f>
        <v>-129.6</v>
      </c>
      <c r="O256" s="55"/>
      <c r="P256" s="56" cm="1">
        <f t="array" ref="P256">_xlfn.XLOOKUP($B256,ADP!A2:A671,ADP!G2:G671)</f>
        <v>0</v>
      </c>
      <c r="Q256" s="57"/>
      <c r="R256" s="55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9"/>
      <c r="AI256" s="55"/>
      <c r="AJ256" s="77" cm="1">
        <f t="array" ref="AJ256">VLOOKUP(B256,'Player Data'!$A1:$AE673,24,FALSE)</f>
        <v>28</v>
      </c>
      <c r="AK256" s="57" cm="1">
        <f t="array" ref="AK256">VLOOKUP(B256,'Player Data'!$A1:$AE673,25,FALSE)*$AJ256*IFERROR((VLOOKUP(P256,Settings!$E$28:$F$33,2,FALSE)+1),1)</f>
        <v>14.84</v>
      </c>
      <c r="AL256" s="57" cm="1">
        <f t="array" ref="AL256">AJ256-AK256-AM256</f>
        <v>9.8000000000000007</v>
      </c>
      <c r="AM256" s="57" cm="1">
        <f t="array" ref="AM256">VLOOKUP(B256,'Player Data'!$A1:$AE673,27,FALSE)*$AJ256</f>
        <v>3.36</v>
      </c>
      <c r="AN256" s="57" cm="1">
        <f t="array" ref="AN256">VLOOKUP(B256,'Player Data'!$A1:$AE673,28,FALSE)*AJ256</f>
        <v>1.4000000000000001</v>
      </c>
      <c r="AO256" s="57" cm="1">
        <f t="array" ref="AO256">VLOOKUP(B256,'Player Data'!$A1:$AE673,29,FALSE)*$AJ256*IFERROR((VLOOKUP(P256,Settings!$E$28:$F$33,2,FALSE)/4)+1,1)</f>
        <v>750.4</v>
      </c>
      <c r="AP256" s="57" cm="1">
        <f t="array" ref="AP256">VLOOKUP(B256,'Player Data'!$A1:$AE673,31,FALSE)*$AJ256*(IFERROR(1-(VLOOKUP(P256,Settings!$E$28:$F$33,2,FALSE)/4),1))</f>
        <v>81.759999999999991</v>
      </c>
      <c r="AQ256" s="60" cm="1">
        <f t="array" ref="AQ256">1-(AP256/(AO256+AP256))</f>
        <v>0.90174966352624497</v>
      </c>
      <c r="AR256" s="61" cm="1">
        <f t="array" ref="AR256">AP256/AJ256</f>
        <v>2.9199999999999995</v>
      </c>
      <c r="AS256" s="55"/>
    </row>
    <row r="257" spans="1:45" ht="21.25" customHeight="1" x14ac:dyDescent="0.15">
      <c r="A257" s="62">
        <f>RANK(K257,K$2:K$671)</f>
        <v>276</v>
      </c>
      <c r="B257" s="10" t="s">
        <v>340</v>
      </c>
      <c r="C257" s="47" t="s">
        <v>145</v>
      </c>
      <c r="D257" s="48" t="str" cm="1">
        <f t="array" ref="D257">VLOOKUP(B257,'Player Data'!A1:D673,4,FALSE)</f>
        <v>D</v>
      </c>
      <c r="E257" s="68" cm="1">
        <f t="array" ref="E257">VLOOKUP(B257,D!A1:C204,3,FALSE)</f>
        <v>125</v>
      </c>
      <c r="F257" s="56" t="str" cm="1">
        <f t="array" ref="F257">VLOOKUP(B257,'Player Data'!A1:B673,2,FALSE)</f>
        <v>S.J</v>
      </c>
      <c r="G257" s="71" cm="1">
        <f t="array" ref="G257">VLOOKUP(B257,'Player Data'!A1:D673,3,FALSE)</f>
        <v>20</v>
      </c>
      <c r="H257" s="51" cm="1">
        <f t="array" ref="H257">IFERROR(VLOOKUP(B257,ADP!A1:F671,6,FALSE)/1000000,VLOOKUP(B257,ADP!A1:F671,6,FALSE))</f>
        <v>0.95374999999999999</v>
      </c>
      <c r="I257" s="52">
        <f>IF(Settings!$E$15="POINTS",((R257*Q257)*Settings!$B$12)+(S257*Settings!$B$2)+(T257*Settings!$B$3)+(U257*Settings!$B$4)+(V257*Settings!$B$5)+(X257*Settings!$B$9)+(AA257*Settings!$B$6)+(W257*Settings!$B$8)+(AB257*Settings!$B$7)+(AC257*Settings!$B$14)+(AD257*Settings!$B$15)+(AE257*Settings!$B$16)+(AF257*Settings!$B$17)+(AG257*Settings!$B$18)+(U257*Settings!$B$13)+(Y257*Settings!$B$10)+(Z257*Settings!$B$11),VLOOKUP(B257,'Standard Deviations'!A$1:C$672,3,FALSE))</f>
        <v>-3.1267729156465571</v>
      </c>
      <c r="J257" s="53" cm="1">
        <f t="array" ref="J257">IF(D257="G",I257/AJ257,I257/Q257)</f>
        <v>-3.9084661445581967E-2</v>
      </c>
      <c r="K257" s="52" cm="1">
        <f t="array" ref="K257">VLOOKUP(B257,D!A1:F204,6,FALSE)</f>
        <v>-3.6936238301641113</v>
      </c>
      <c r="L257" s="54" cm="1">
        <f t="array" ref="L257">IFERROR(K257/H257,"N/A")</f>
        <v>-3.8727379608535899</v>
      </c>
      <c r="M257" s="84" t="s">
        <v>828</v>
      </c>
      <c r="N257" s="84" t="str" cm="1">
        <f t="array" ref="N257">IFERROR(M257-A257,"N/A")</f>
        <v>N/A</v>
      </c>
      <c r="O257" s="55"/>
      <c r="P257" s="56" t="str" cm="1">
        <f t="array" ref="P257">_xlfn.XLOOKUP($B257,ADP!A2:A671,ADP!G2:G671)</f>
        <v>+ +</v>
      </c>
      <c r="Q257" s="57" cm="1">
        <f t="array" ref="Q257">IF(Settings!$E$12="YES",VLOOKUP(B257,'Player Data'!A1:E673,5,FALSE),84)</f>
        <v>80</v>
      </c>
      <c r="R257" s="81" cm="1">
        <f t="array" ref="R257">VLOOKUP(B257,'Player Data'!$A1:$AE673,6,FALSE)</f>
        <v>19.899999999999999</v>
      </c>
      <c r="S257" s="57" cm="1">
        <f t="array" ref="S257">VLOOKUP(B257,'Player Data'!$A1:$AE673,7,FALSE)*$Q257*IFERROR((VLOOKUP(P257,Settings!$E$28:$F$33,2,FALSE)+1),1)</f>
        <v>3.5200000000000005</v>
      </c>
      <c r="T257" s="57" cm="1">
        <f t="array" ref="T257">VLOOKUP(B257,'Player Data'!$A1:$AE673,8,FALSE)*$Q257*IFERROR((VLOOKUP(P257,Settings!$E$28:$F$33,2,FALSE)+1),1)</f>
        <v>21.12</v>
      </c>
      <c r="U257" s="57" cm="1">
        <f t="array" ref="U257">SUM(S257:T257)</f>
        <v>24.64</v>
      </c>
      <c r="V257" s="57" cm="1">
        <f t="array" ref="V257">VLOOKUP(B257,'Player Data'!$A1:$AE673,10,FALSE)*$Q257*IFERROR(((VLOOKUP(P257,Settings!$E$28:$F$33,2,FALSE)/2)+1),1)</f>
        <v>100.80000000000001</v>
      </c>
      <c r="W257" s="57" cm="1">
        <f t="array" ref="W257">VLOOKUP(B257,'Player Data'!$A1:$AE673,11,FALSE)*$Q257*IFERROR((VLOOKUP(P257,Settings!$E$28:$F$33,2,FALSE)+1),1)</f>
        <v>0.88000000000000012</v>
      </c>
      <c r="X257" s="57" cm="1">
        <f t="array" ref="X257">VLOOKUP(B257,'Player Data'!$A1:$AE673,12,FALSE)*$Q257*IFERROR((VLOOKUP(P257,Settings!$E$28:$F$33,2,FALSE)+1),1)</f>
        <v>2.64</v>
      </c>
      <c r="Y257" s="57" cm="1">
        <f t="array" ref="Y257">VLOOKUP(B257,'Player Data'!$A1:$AE673,13,FALSE)*$Q257</f>
        <v>0</v>
      </c>
      <c r="Z257" s="57" cm="1">
        <f t="array" ref="Z257">VLOOKUP(B257,'Player Data'!$A1:$AE673,14,FALSE)*$Q257</f>
        <v>0</v>
      </c>
      <c r="AA257" s="57" cm="1">
        <f t="array" ref="AA257">VLOOKUP(B257,'Player Data'!$A1:$AE673,15,FALSE)*$Q257</f>
        <v>90.399999999999991</v>
      </c>
      <c r="AB257" s="57" cm="1">
        <f t="array" ref="AB257">VLOOKUP(B257,'Player Data'!$A1:$AE673,16,FALSE)*$Q257</f>
        <v>82.4</v>
      </c>
      <c r="AC257" s="57" cm="1">
        <f t="array" ref="AC257">VLOOKUP(B257,'Player Data'!$A1:$AE673,17,FALSE)*$Q257*IFERROR((VLOOKUP(P257,Settings!$E$28:$F$33,2,FALSE)+1),1)</f>
        <v>-3.5200000000000005</v>
      </c>
      <c r="AD257" s="57" cm="1">
        <f t="array" ref="AD257">VLOOKUP(B257,'Player Data'!$A1:$AE673,18,FALSE)*$Q257</f>
        <v>32.799999999999997</v>
      </c>
      <c r="AE257" s="57" cm="1">
        <f t="array" ref="AE257">VLOOKUP(B257,'Player Data'!$A1:$AE673,19,FALSE)*$Q257*IFERROR((VLOOKUP(P257,Settings!$E$28:$F$33,2,FALSE)+1),1)</f>
        <v>0.88000000000000012</v>
      </c>
      <c r="AF257" s="57" cm="1">
        <f t="array" ref="AF257">VLOOKUP(B257,'Player Data'!$A1:$AE673,20,FALSE)*$Q257</f>
        <v>0</v>
      </c>
      <c r="AG257" s="57" cm="1">
        <f t="array" ref="AG257">VLOOKUP(B257,'Player Data'!$A1:$AE673,21,FALSE)*$Q257</f>
        <v>0</v>
      </c>
      <c r="AH257" s="59" cm="1">
        <f t="array" ref="AH257">VLOOKUP(B257,'Player Data'!$A1:$AE673,22,FALSE)</f>
        <v>0</v>
      </c>
      <c r="AI257" s="55"/>
      <c r="AJ257" s="57"/>
      <c r="AK257" s="57"/>
      <c r="AL257" s="57"/>
      <c r="AM257" s="57"/>
      <c r="AN257" s="57"/>
      <c r="AO257" s="57"/>
      <c r="AP257" s="57"/>
      <c r="AQ257" s="60"/>
      <c r="AR257" s="61"/>
      <c r="AS257" s="55"/>
    </row>
    <row r="258" spans="1:45" ht="21.25" customHeight="1" x14ac:dyDescent="0.15">
      <c r="A258" s="62">
        <f>RANK(K258,K$2:K$671)</f>
        <v>277</v>
      </c>
      <c r="B258" s="10" t="s">
        <v>513</v>
      </c>
      <c r="C258" s="47" t="s">
        <v>145</v>
      </c>
      <c r="D258" s="48" t="str" cm="1">
        <f t="array" ref="D258">VLOOKUP(B258,'Player Data'!A1:D673,4,FALSE)</f>
        <v>D</v>
      </c>
      <c r="E258" s="68" cm="1">
        <f t="array" ref="E258">VLOOKUP(B258,D!A1:C204,3,FALSE)</f>
        <v>126</v>
      </c>
      <c r="F258" s="56" t="str" cm="1">
        <f t="array" ref="F258">VLOOKUP(B258,'Player Data'!A1:B673,2,FALSE)</f>
        <v>UTA</v>
      </c>
      <c r="G258" s="71" cm="1">
        <f t="array" ref="G258">VLOOKUP(B258,'Player Data'!A1:D673,3,FALSE)</f>
        <v>22</v>
      </c>
      <c r="H258" s="51" cm="1">
        <f t="array" ref="H258">IFERROR(VLOOKUP(B258,ADP!A1:F671,6,FALSE)/1000000,VLOOKUP(B258,ADP!A1:F671,6,FALSE))</f>
        <v>0.88666699999999998</v>
      </c>
      <c r="I258" s="52">
        <f>IF(Settings!$E$15="POINTS",((R258*Q258)*Settings!$B$12)+(S258*Settings!$B$2)+(T258*Settings!$B$3)+(U258*Settings!$B$4)+(V258*Settings!$B$5)+(X258*Settings!$B$9)+(AA258*Settings!$B$6)+(W258*Settings!$B$8)+(AB258*Settings!$B$7)+(AC258*Settings!$B$14)+(AD258*Settings!$B$15)+(AE258*Settings!$B$16)+(AF258*Settings!$B$17)+(AG258*Settings!$B$18)+(U258*Settings!$B$13)+(Y258*Settings!$B$10)+(Z258*Settings!$B$11),VLOOKUP(B258,'Standard Deviations'!A$1:C$672,3,FALSE))</f>
        <v>-3.1284122176554634</v>
      </c>
      <c r="J258" s="53" cm="1">
        <f t="array" ref="J258">IF(D258="G",I258/AJ258,I258/Q258)</f>
        <v>-4.3450169689659215E-2</v>
      </c>
      <c r="K258" s="52" cm="1">
        <f t="array" ref="K258">VLOOKUP(B258,D!A1:F204,6,FALSE)</f>
        <v>-3.6952631321730181</v>
      </c>
      <c r="L258" s="54" cm="1">
        <f t="array" ref="L258">IFERROR(K258/H258,"N/A")</f>
        <v>-4.167588431928805</v>
      </c>
      <c r="M258" s="84" t="s">
        <v>828</v>
      </c>
      <c r="N258" s="84" t="str" cm="1">
        <f t="array" ref="N258">IFERROR(M258-A258,"N/A")</f>
        <v>N/A</v>
      </c>
      <c r="O258" s="55"/>
      <c r="P258" s="56" cm="1">
        <f t="array" ref="P258">_xlfn.XLOOKUP($B258,ADP!A2:A671,ADP!G2:G671)</f>
        <v>0</v>
      </c>
      <c r="Q258" s="57" cm="1">
        <f t="array" ref="Q258">IF(Settings!$E$12="YES",VLOOKUP(B258,'Player Data'!A1:E673,5,FALSE),84)</f>
        <v>72</v>
      </c>
      <c r="R258" s="55" cm="1">
        <f t="array" ref="R258">VLOOKUP(B258,'Player Data'!$A1:$AE673,6,FALSE)</f>
        <v>15.5</v>
      </c>
      <c r="S258" s="57" cm="1">
        <f t="array" ref="S258">VLOOKUP(B258,'Player Data'!$A1:$AE673,7,FALSE)*$Q258*IFERROR((VLOOKUP(P258,Settings!$E$28:$F$33,2,FALSE)+1),1)</f>
        <v>4.32</v>
      </c>
      <c r="T258" s="57" cm="1">
        <f t="array" ref="T258">VLOOKUP(B258,'Player Data'!$A1:$AE673,8,FALSE)*$Q258*IFERROR((VLOOKUP(P258,Settings!$E$28:$F$33,2,FALSE)+1),1)</f>
        <v>12.959999999999999</v>
      </c>
      <c r="U258" s="57" cm="1">
        <f t="array" ref="U258">SUM(S258:T258)</f>
        <v>17.28</v>
      </c>
      <c r="V258" s="57" cm="1">
        <f t="array" ref="V258">VLOOKUP(B258,'Player Data'!$A1:$AE673,10,FALSE)*$Q258*IFERROR(((VLOOKUP(P258,Settings!$E$28:$F$33,2,FALSE)/2)+1),1)</f>
        <v>74.16</v>
      </c>
      <c r="W258" s="57" cm="1">
        <f t="array" ref="W258">VLOOKUP(B258,'Player Data'!$A1:$AE673,11,FALSE)*$Q258*IFERROR((VLOOKUP(P258,Settings!$E$28:$F$33,2,FALSE)+1),1)</f>
        <v>0</v>
      </c>
      <c r="X258" s="57" cm="1">
        <f t="array" ref="X258">VLOOKUP(B258,'Player Data'!$A1:$AE673,12,FALSE)*$Q258*IFERROR((VLOOKUP(P258,Settings!$E$28:$F$33,2,FALSE)+1),1)</f>
        <v>0</v>
      </c>
      <c r="Y258" s="57" cm="1">
        <f t="array" ref="Y258">VLOOKUP(B258,'Player Data'!$A1:$AE673,13,FALSE)*$Q258</f>
        <v>0</v>
      </c>
      <c r="Z258" s="57" cm="1">
        <f t="array" ref="Z258">VLOOKUP(B258,'Player Data'!$A1:$AE673,14,FALSE)*$Q258</f>
        <v>0</v>
      </c>
      <c r="AA258" s="57" cm="1">
        <f t="array" ref="AA258">VLOOKUP(B258,'Player Data'!$A1:$AE673,15,FALSE)*$Q258</f>
        <v>83.52</v>
      </c>
      <c r="AB258" s="57" cm="1">
        <f t="array" ref="AB258">VLOOKUP(B258,'Player Data'!$A1:$AE673,16,FALSE)*$Q258</f>
        <v>89.28</v>
      </c>
      <c r="AC258" s="57" cm="1">
        <f t="array" ref="AC258">VLOOKUP(B258,'Player Data'!$A1:$AE673,17,FALSE)*$Q258*IFERROR((VLOOKUP(P258,Settings!$E$28:$F$33,2,FALSE)+1),1)</f>
        <v>1.44</v>
      </c>
      <c r="AD258" s="57" cm="1">
        <f t="array" ref="AD258">VLOOKUP(B258,'Player Data'!$A1:$AE673,18,FALSE)*$Q258</f>
        <v>49.679999999999993</v>
      </c>
      <c r="AE258" s="57" cm="1">
        <f t="array" ref="AE258">VLOOKUP(B258,'Player Data'!$A1:$AE673,19,FALSE)*$Q258*IFERROR((VLOOKUP(P258,Settings!$E$28:$F$33,2,FALSE)+1),1)</f>
        <v>0.72</v>
      </c>
      <c r="AF258" s="57" cm="1">
        <f t="array" ref="AF258">VLOOKUP(B258,'Player Data'!$A1:$AE673,20,FALSE)*$Q258</f>
        <v>0</v>
      </c>
      <c r="AG258" s="57" cm="1">
        <f t="array" ref="AG258">VLOOKUP(B258,'Player Data'!$A1:$AE673,21,FALSE)*$Q258</f>
        <v>0</v>
      </c>
      <c r="AH258" s="59" cm="1">
        <f t="array" ref="AH258">VLOOKUP(B258,'Player Data'!$A1:$AE673,22,FALSE)</f>
        <v>0</v>
      </c>
      <c r="AI258" s="55"/>
      <c r="AJ258" s="57"/>
      <c r="AK258" s="57"/>
      <c r="AL258" s="57"/>
      <c r="AM258" s="57"/>
      <c r="AN258" s="57"/>
      <c r="AO258" s="57"/>
      <c r="AP258" s="57"/>
      <c r="AQ258" s="60"/>
      <c r="AR258" s="61"/>
      <c r="AS258" s="55"/>
    </row>
    <row r="259" spans="1:45" ht="21.25" customHeight="1" x14ac:dyDescent="0.15">
      <c r="A259" s="62">
        <f>RANK(K259,K$2:K$671)</f>
        <v>278</v>
      </c>
      <c r="B259" s="10" t="s">
        <v>454</v>
      </c>
      <c r="C259" s="47" t="s">
        <v>145</v>
      </c>
      <c r="D259" s="48" t="str" cm="1">
        <f t="array" ref="D259">VLOOKUP(B259,'Player Data'!A1:D673,4,FALSE)</f>
        <v>D</v>
      </c>
      <c r="E259" s="68" cm="1">
        <f t="array" ref="E259">VLOOKUP(B259,D!A1:C204,3,FALSE)</f>
        <v>127</v>
      </c>
      <c r="F259" s="56" t="str" cm="1">
        <f t="array" ref="F259">VLOOKUP(B259,'Player Data'!A1:B673,2,FALSE)</f>
        <v>PHI</v>
      </c>
      <c r="G259" s="66" cm="1">
        <f t="array" ref="G259">VLOOKUP(B259,'Player Data'!A1:D673,3,FALSE)</f>
        <v>31</v>
      </c>
      <c r="H259" s="67" cm="1">
        <f t="array" ref="H259">IFERROR(VLOOKUP(B259,ADP!A1:F671,6,FALSE)/1000000,VLOOKUP(B259,ADP!A1:F671,6,FALSE))</f>
        <v>5.0999999999999996</v>
      </c>
      <c r="I259" s="52">
        <f>IF(Settings!$E$15="POINTS",((R259*Q259)*Settings!$B$12)+(S259*Settings!$B$2)+(T259*Settings!$B$3)+(U259*Settings!$B$4)+(V259*Settings!$B$5)+(X259*Settings!$B$9)+(AA259*Settings!$B$6)+(W259*Settings!$B$8)+(AB259*Settings!$B$7)+(AC259*Settings!$B$14)+(AD259*Settings!$B$15)+(AE259*Settings!$B$16)+(AF259*Settings!$B$17)+(AG259*Settings!$B$18)+(U259*Settings!$B$13)+(Y259*Settings!$B$10)+(Z259*Settings!$B$11),VLOOKUP(B259,'Standard Deviations'!A$1:C$672,3,FALSE))</f>
        <v>-3.1298986222746881</v>
      </c>
      <c r="J259" s="53" cm="1">
        <f t="array" ref="J259">IF(D259="G",I259/AJ259,I259/Q259)</f>
        <v>-4.4712837461066975E-2</v>
      </c>
      <c r="K259" s="52" cm="1">
        <f t="array" ref="K259">VLOOKUP(B259,D!A1:F204,6,FALSE)</f>
        <v>-3.6967495367922423</v>
      </c>
      <c r="L259" s="54" cm="1">
        <f t="array" ref="L259">IFERROR(K259/H259,"N/A")</f>
        <v>-0.72485285035142011</v>
      </c>
      <c r="M259" s="84" t="s">
        <v>828</v>
      </c>
      <c r="N259" s="84" t="str" cm="1">
        <f t="array" ref="N259">IFERROR(M259-A259,"N/A")</f>
        <v>N/A</v>
      </c>
      <c r="O259" s="55"/>
      <c r="P259" s="56" cm="1">
        <f t="array" ref="P259">_xlfn.XLOOKUP($B259,ADP!A2:A671,ADP!G2:G671)</f>
        <v>0</v>
      </c>
      <c r="Q259" s="57" cm="1">
        <f t="array" ref="Q259">IF(Settings!$E$12="YES",VLOOKUP(B259,'Player Data'!A1:E673,5,FALSE),84)</f>
        <v>70</v>
      </c>
      <c r="R259" s="55" cm="1">
        <f t="array" ref="R259">VLOOKUP(B259,'Player Data'!$A1:$AE673,6,FALSE)</f>
        <v>21</v>
      </c>
      <c r="S259" s="57" cm="1">
        <f t="array" ref="S259">VLOOKUP(B259,'Player Data'!$A1:$AE673,7,FALSE)*$Q259*IFERROR((VLOOKUP(P259,Settings!$E$28:$F$33,2,FALSE)+1),1)</f>
        <v>2.1</v>
      </c>
      <c r="T259" s="57" cm="1">
        <f t="array" ref="T259">VLOOKUP(B259,'Player Data'!$A1:$AE673,8,FALSE)*$Q259*IFERROR((VLOOKUP(P259,Settings!$E$28:$F$33,2,FALSE)+1),1)</f>
        <v>15.4</v>
      </c>
      <c r="U259" s="57" cm="1">
        <f t="array" ref="U259">SUM(S259:T259)</f>
        <v>17.5</v>
      </c>
      <c r="V259" s="57" cm="1">
        <f t="array" ref="V259">VLOOKUP(B259,'Player Data'!$A1:$AE673,10,FALSE)*$Q259*IFERROR(((VLOOKUP(P259,Settings!$E$28:$F$33,2,FALSE)/2)+1),1)</f>
        <v>86.8</v>
      </c>
      <c r="W259" s="57" cm="1">
        <f t="array" ref="W259">VLOOKUP(B259,'Player Data'!$A1:$AE673,11,FALSE)*$Q259*IFERROR((VLOOKUP(P259,Settings!$E$28:$F$33,2,FALSE)+1),1)</f>
        <v>0</v>
      </c>
      <c r="X259" s="57" cm="1">
        <f t="array" ref="X259">VLOOKUP(B259,'Player Data'!$A1:$AE673,12,FALSE)*$Q259*IFERROR((VLOOKUP(P259,Settings!$E$28:$F$33,2,FALSE)+1),1)</f>
        <v>0.70000000000000007</v>
      </c>
      <c r="Y259" s="57" cm="1">
        <f t="array" ref="Y259">VLOOKUP(B259,'Player Data'!$A1:$AE673,13,FALSE)*$Q259</f>
        <v>0</v>
      </c>
      <c r="Z259" s="57" cm="1">
        <f t="array" ref="Z259">VLOOKUP(B259,'Player Data'!$A1:$AE673,14,FALSE)*$Q259</f>
        <v>0.70000000000000007</v>
      </c>
      <c r="AA259" s="57" cm="1">
        <f t="array" ref="AA259">VLOOKUP(B259,'Player Data'!$A1:$AE673,15,FALSE)*$Q259</f>
        <v>105.7</v>
      </c>
      <c r="AB259" s="57" cm="1">
        <f t="array" ref="AB259">VLOOKUP(B259,'Player Data'!$A1:$AE673,16,FALSE)*$Q259</f>
        <v>85.399999999999991</v>
      </c>
      <c r="AC259" s="57" cm="1">
        <f t="array" ref="AC259">VLOOKUP(B259,'Player Data'!$A1:$AE673,17,FALSE)*$Q259*IFERROR((VLOOKUP(P259,Settings!$E$28:$F$33,2,FALSE)+1),1)</f>
        <v>0.70000000000000007</v>
      </c>
      <c r="AD259" s="57" cm="1">
        <f t="array" ref="AD259">VLOOKUP(B259,'Player Data'!$A1:$AE673,18,FALSE)*$Q259</f>
        <v>24.5</v>
      </c>
      <c r="AE259" s="57" cm="1">
        <f t="array" ref="AE259">VLOOKUP(B259,'Player Data'!$A1:$AE673,19,FALSE)*$Q259*IFERROR((VLOOKUP(P259,Settings!$E$28:$F$33,2,FALSE)+1),1)</f>
        <v>0</v>
      </c>
      <c r="AF259" s="57" cm="1">
        <f t="array" ref="AF259">VLOOKUP(B259,'Player Data'!$A1:$AE673,20,FALSE)*$Q259</f>
        <v>0</v>
      </c>
      <c r="AG259" s="57" cm="1">
        <f t="array" ref="AG259">VLOOKUP(B259,'Player Data'!$A1:$AE673,21,FALSE)*$Q259</f>
        <v>0</v>
      </c>
      <c r="AH259" s="59" cm="1">
        <f t="array" ref="AH259">VLOOKUP(B259,'Player Data'!$A1:$AE673,22,FALSE)</f>
        <v>0</v>
      </c>
      <c r="AI259" s="55"/>
      <c r="AJ259" s="57"/>
      <c r="AK259" s="57"/>
      <c r="AL259" s="57"/>
      <c r="AM259" s="57"/>
      <c r="AN259" s="57"/>
      <c r="AO259" s="57"/>
      <c r="AP259" s="57"/>
      <c r="AQ259" s="60"/>
      <c r="AR259" s="61"/>
      <c r="AS259" s="55"/>
    </row>
    <row r="260" spans="1:45" ht="21.25" customHeight="1" x14ac:dyDescent="0.15">
      <c r="A260" s="62">
        <f>RANK(K260,K$2:K$671)</f>
        <v>218</v>
      </c>
      <c r="B260" s="10" t="s">
        <v>329</v>
      </c>
      <c r="C260" s="47" t="s">
        <v>145</v>
      </c>
      <c r="D260" s="48" t="str" cm="1">
        <f t="array" ref="D260">VLOOKUP(B260,'Player Data'!A1:D673,4,FALSE)</f>
        <v>RW</v>
      </c>
      <c r="E260" s="64" cm="1">
        <f t="array" ref="E260">VLOOKUP(B260,RW!A1:F210,3,FALSE)</f>
        <v>51</v>
      </c>
      <c r="F260" s="65" t="str" cm="1">
        <f t="array" ref="F260">VLOOKUP(B260,'Player Data'!A1:B673,2,FALSE)</f>
        <v>CAR</v>
      </c>
      <c r="G260" s="71" cm="1">
        <f t="array" ref="G260">VLOOKUP(B260,'Player Data'!A1:D673,3,FALSE)</f>
        <v>23</v>
      </c>
      <c r="H260" s="51" cm="1">
        <f t="array" ref="H260">IFERROR(VLOOKUP(B260,ADP!A1:F671,6,FALSE)/1000000,VLOOKUP(B260,ADP!A1:F671,6,FALSE))</f>
        <v>5.0999999999999996</v>
      </c>
      <c r="I260" s="52">
        <f>IF(Settings!$E$15="POINTS",((R260*Q260)*Settings!$B$12)+(S260*Settings!$B$2)+(T260*Settings!$B$3)+(U260*Settings!$B$4)+(V260*Settings!$B$5)+(X260*Settings!$B$9)+(AA260*Settings!$B$6)+(W260*Settings!$B$8)+(AB260*Settings!$B$7)+(AC260*Settings!$B$14)+(AD260*Settings!$B$15)+(AE260*Settings!$B$16)+(AF260*Settings!$B$17)+(AG260*Settings!$B$18)+(Y260*Settings!$B$10)+(Z260*Settings!$B$11),VLOOKUP(B260,'Standard Deviations'!A$1:C$672,3,FALSE))</f>
        <v>4.1212716633536726</v>
      </c>
      <c r="J260" s="53" cm="1">
        <f t="array" ref="J260">IF(D260="G",I260/AJ260,I260/Q260)</f>
        <v>4.9653875462092441E-2</v>
      </c>
      <c r="K260" s="52" cm="1">
        <f t="array" ref="K260">IF(Settings!$E$18="C/LW/RW",VLOOKUP(B260,RW!A1:F210,6,FALSE),VLOOKUP(B260,F!A1:F407,6,FALSE))</f>
        <v>-2.765962938455405</v>
      </c>
      <c r="L260" s="54" cm="1">
        <f t="array" ref="L260">IFERROR(K260/H260,"N/A")</f>
        <v>-0.54234567420694224</v>
      </c>
      <c r="M260" s="55">
        <v>141.69999999999999</v>
      </c>
      <c r="N260" s="55" cm="1">
        <f t="array" ref="N260">IFERROR(M260-A260,"N/A")</f>
        <v>-76.300000000000011</v>
      </c>
      <c r="O260" s="55"/>
      <c r="P260" s="56" t="str" cm="1">
        <f t="array" ref="P260">_xlfn.XLOOKUP($B260,ADP!A2:A671,ADP!G2:G671)</f>
        <v>+ +</v>
      </c>
      <c r="Q260" s="57" cm="1">
        <f t="array" ref="Q260">IF(Settings!$E$12="YES",VLOOKUP(B260,'Player Data'!A1:E673,5,FALSE),84)</f>
        <v>83</v>
      </c>
      <c r="R260" s="55" cm="1">
        <f t="array" ref="R260">VLOOKUP(B260,'Player Data'!$A1:$AE673,6,FALSE)</f>
        <v>16.5</v>
      </c>
      <c r="S260" s="57" cm="1">
        <f t="array" ref="S260">VLOOKUP(B260,'Player Data'!$A1:$AE673,7,FALSE)*$Q260*IFERROR((VLOOKUP(P260,Settings!$E$28:$F$33,2,FALSE)+1),1)</f>
        <v>25.564000000000004</v>
      </c>
      <c r="T260" s="57" cm="1">
        <f t="array" ref="T260">VLOOKUP(B260,'Player Data'!$A1:$AE673,8,FALSE)*$Q260*IFERROR((VLOOKUP(P260,Settings!$E$28:$F$33,2,FALSE)+1),1)</f>
        <v>33.781000000000006</v>
      </c>
      <c r="U260" s="57" cm="1">
        <f t="array" ref="U260">SUM(S260:T260)</f>
        <v>59.345000000000013</v>
      </c>
      <c r="V260" s="57" cm="1">
        <f t="array" ref="V260">VLOOKUP(B260,'Player Data'!$A1:$AE673,10,FALSE)*$Q260*IFERROR(((VLOOKUP(P260,Settings!$E$28:$F$33,2,FALSE)/2)+1),1)</f>
        <v>186.501</v>
      </c>
      <c r="W260" s="57" cm="1">
        <f t="array" ref="W260">VLOOKUP(B260,'Player Data'!$A1:$AE673,11,FALSE)*$Q260*IFERROR((VLOOKUP(P260,Settings!$E$28:$F$33,2,FALSE)+1),1)</f>
        <v>5.4779999999999998</v>
      </c>
      <c r="X260" s="57" cm="1">
        <f t="array" ref="X260">VLOOKUP(B260,'Player Data'!$A1:$AE673,12,FALSE)*$Q260*IFERROR((VLOOKUP(P260,Settings!$E$28:$F$33,2,FALSE)+1),1)</f>
        <v>13.695</v>
      </c>
      <c r="Y260" s="57" cm="1">
        <f t="array" ref="Y260">VLOOKUP(B260,'Player Data'!$A1:$AE673,13,FALSE)*$Q260</f>
        <v>0</v>
      </c>
      <c r="Z260" s="57" cm="1">
        <f t="array" ref="Z260">VLOOKUP(B260,'Player Data'!$A1:$AE673,14,FALSE)*$Q260</f>
        <v>0</v>
      </c>
      <c r="AA260" s="57" cm="1">
        <f t="array" ref="AA260">VLOOKUP(B260,'Player Data'!$A1:$AE673,15,FALSE)*$Q260</f>
        <v>36.520000000000003</v>
      </c>
      <c r="AB260" s="57" cm="1">
        <f t="array" ref="AB260">VLOOKUP(B260,'Player Data'!$A1:$AE673,16,FALSE)*$Q260</f>
        <v>24.9</v>
      </c>
      <c r="AC260" s="57" cm="1">
        <f t="array" ref="AC260">VLOOKUP(B260,'Player Data'!$A1:$AE673,17,FALSE)*$Q260*IFERROR((VLOOKUP(P260,Settings!$E$28:$F$33,2,FALSE)+1),1)</f>
        <v>9.1300000000000008</v>
      </c>
      <c r="AD260" s="57" cm="1">
        <f t="array" ref="AD260">VLOOKUP(B260,'Player Data'!$A1:$AE673,18,FALSE)*$Q260</f>
        <v>38.18</v>
      </c>
      <c r="AE260" s="57" cm="1">
        <f t="array" ref="AE260">VLOOKUP(B260,'Player Data'!$A1:$AE673,19,FALSE)*$Q260*IFERROR((VLOOKUP(P260,Settings!$E$28:$F$33,2,FALSE)+1),1)</f>
        <v>4.5650000000000004</v>
      </c>
      <c r="AF260" s="57" cm="1">
        <f t="array" ref="AF260">VLOOKUP(B260,'Player Data'!$A1:$AE673,20,FALSE)*$Q260</f>
        <v>2.4899999999999998</v>
      </c>
      <c r="AG260" s="57" cm="1">
        <f t="array" ref="AG260">VLOOKUP(B260,'Player Data'!$A1:$AE673,21,FALSE)*$Q260</f>
        <v>11.620000000000001</v>
      </c>
      <c r="AH260" s="59" cm="1">
        <f t="array" ref="AH260">VLOOKUP(B260,'Player Data'!$A1:$AE673,22,FALSE)</f>
        <v>0.2</v>
      </c>
      <c r="AI260" s="55"/>
      <c r="AJ260" s="57"/>
      <c r="AK260" s="57"/>
      <c r="AL260" s="57"/>
      <c r="AM260" s="57"/>
      <c r="AN260" s="57"/>
      <c r="AO260" s="57"/>
      <c r="AP260" s="57"/>
      <c r="AQ260" s="60"/>
      <c r="AR260" s="61"/>
      <c r="AS260" s="55"/>
    </row>
    <row r="261" spans="1:45" ht="21.25" customHeight="1" x14ac:dyDescent="0.15">
      <c r="A261" s="62">
        <f>RANK(K261,K$2:K$671)</f>
        <v>268</v>
      </c>
      <c r="B261" s="10" t="s">
        <v>614</v>
      </c>
      <c r="C261" s="47" t="s">
        <v>145</v>
      </c>
      <c r="D261" s="48" t="str" cm="1">
        <f t="array" ref="D261">VLOOKUP(B261,'Player Data'!A1:D673,4,FALSE)</f>
        <v>G</v>
      </c>
      <c r="E261" s="76" cm="1">
        <f t="array" ref="E261">VLOOKUP(B261,G!A1:D66,3,FALSE)</f>
        <v>43</v>
      </c>
      <c r="F261" s="18" t="str" cm="1">
        <f t="array" ref="F261">VLOOKUP(B261,'Player Data'!A1:B673,2,FALSE)</f>
        <v>FLA</v>
      </c>
      <c r="G261" s="11" cm="1">
        <f t="array" ref="G261">VLOOKUP(B261,'Player Data'!A1:D673,3,FALSE)</f>
        <v>26</v>
      </c>
      <c r="H261" s="51" cm="1">
        <f t="array" ref="H261">IFERROR(VLOOKUP(B261,ADP!A1:F671,6,FALSE)/1000000,VLOOKUP(B261,ADP!A1:F671,6,FALSE))</f>
        <v>2</v>
      </c>
      <c r="I261" s="52">
        <f>IF(Settings!$E$15="POINTS",(AJ261*Settings!$B$29)+(AK261*Settings!$B$21)+(AL261*Settings!$B$22)+(AN261*Settings!$B$24)+(AO261*Settings!$B$25)+(AP261*Settings!$B$27)+(AM261*Settings!$B$23),VLOOKUP(B261,'Standard Deviations'!A$1:C$672,3,FALSE))</f>
        <v>-1.5088523495721187</v>
      </c>
      <c r="J261" s="53" cm="1">
        <f t="array" ref="J261">IF(D261="G",I261/AJ261,I261/Q261)</f>
        <v>-5.3887583913289953E-2</v>
      </c>
      <c r="K261" s="52" cm="1">
        <f t="array" ref="K261">VLOOKUP(B261,G!A1:F66,6,FALSE)</f>
        <v>-3.5470376086957938</v>
      </c>
      <c r="L261" s="54" cm="1">
        <f t="array" ref="L261">IFERROR(K261/H261,"N/A")</f>
        <v>-1.7735188043478969</v>
      </c>
      <c r="M261" s="84" t="s">
        <v>828</v>
      </c>
      <c r="N261" s="84" t="str" cm="1">
        <f t="array" ref="N261">IFERROR(M261-A261,"N/A")</f>
        <v>N/A</v>
      </c>
      <c r="O261" s="55"/>
      <c r="P261" s="56" cm="1">
        <f t="array" ref="P261">_xlfn.XLOOKUP($B261,ADP!A2:A671,ADP!G2:G671)</f>
        <v>0</v>
      </c>
      <c r="Q261" s="57"/>
      <c r="R261" s="55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9"/>
      <c r="AI261" s="55"/>
      <c r="AJ261" s="77" cm="1">
        <f t="array" ref="AJ261">VLOOKUP(B261,'Player Data'!$A1:$AE673,24,FALSE)</f>
        <v>28</v>
      </c>
      <c r="AK261" s="57" cm="1">
        <f t="array" ref="AK261">VLOOKUP(B261,'Player Data'!$A1:$AE673,25,FALSE)*$AJ261*IFERROR((VLOOKUP(P261,Settings!$E$28:$F$33,2,FALSE)+1),1)</f>
        <v>15.680000000000001</v>
      </c>
      <c r="AL261" s="57" cm="1">
        <f t="array" ref="AL261">AJ261-AK261-AM261</f>
        <v>9.2399999999999984</v>
      </c>
      <c r="AM261" s="57" cm="1">
        <f t="array" ref="AM261">VLOOKUP(B261,'Player Data'!$A1:$AE673,27,FALSE)*$AJ261</f>
        <v>3.08</v>
      </c>
      <c r="AN261" s="57" cm="1">
        <f t="array" ref="AN261">VLOOKUP(B261,'Player Data'!$A1:$AE673,28,FALSE)*AJ261</f>
        <v>1.68</v>
      </c>
      <c r="AO261" s="57" cm="1">
        <f t="array" ref="AO261">VLOOKUP(B261,'Player Data'!$A1:$AE673,29,FALSE)*$AJ261*IFERROR((VLOOKUP(P261,Settings!$E$28:$F$33,2,FALSE)/4)+1,1)</f>
        <v>663.6</v>
      </c>
      <c r="AP261" s="57" cm="1">
        <f t="array" ref="AP261">VLOOKUP(B261,'Player Data'!$A1:$AE673,31,FALSE)*$AJ261*(IFERROR(1-(VLOOKUP(P261,Settings!$E$28:$F$33,2,FALSE)/4),1))</f>
        <v>78.12</v>
      </c>
      <c r="AQ261" s="60" cm="1">
        <f t="array" ref="AQ261">1-(AP261/(AO261+AP261))</f>
        <v>0.89467723669309174</v>
      </c>
      <c r="AR261" s="61" cm="1">
        <f t="array" ref="AR261">AP261/AJ261</f>
        <v>2.79</v>
      </c>
      <c r="AS261" s="55"/>
    </row>
    <row r="262" spans="1:45" ht="21.25" customHeight="1" x14ac:dyDescent="0.15">
      <c r="A262" s="62">
        <f>RANK(K262,K$2:K$671)</f>
        <v>280</v>
      </c>
      <c r="B262" s="10" t="s">
        <v>382</v>
      </c>
      <c r="C262" s="47" t="s">
        <v>145</v>
      </c>
      <c r="D262" s="48" t="str" cm="1">
        <f t="array" ref="D262">VLOOKUP(B262,'Player Data'!A1:D673,4,FALSE)</f>
        <v>D</v>
      </c>
      <c r="E262" s="68" cm="1">
        <f t="array" ref="E262">VLOOKUP(B262,D!A1:C204,3,FALSE)</f>
        <v>128</v>
      </c>
      <c r="F262" s="70" t="str" cm="1">
        <f t="array" ref="F262">VLOOKUP(B262,'Player Data'!A1:B673,2,FALSE)</f>
        <v>MIN</v>
      </c>
      <c r="G262" s="66" cm="1">
        <f t="array" ref="G262">VLOOKUP(B262,'Player Data'!A1:D673,3,FALSE)</f>
        <v>33</v>
      </c>
      <c r="H262" s="51" cm="1">
        <f t="array" ref="H262">IFERROR(VLOOKUP(B262,ADP!A1:F671,6,FALSE)/1000000,VLOOKUP(B262,ADP!A1:F671,6,FALSE))</f>
        <v>6</v>
      </c>
      <c r="I262" s="52">
        <f>IF(Settings!$E$15="POINTS",((R262*Q262)*Settings!$B$12)+(S262*Settings!$B$2)+(T262*Settings!$B$3)+(U262*Settings!$B$4)+(V262*Settings!$B$5)+(X262*Settings!$B$9)+(AA262*Settings!$B$6)+(W262*Settings!$B$8)+(AB262*Settings!$B$7)+(AC262*Settings!$B$14)+(AD262*Settings!$B$15)+(AE262*Settings!$B$16)+(AF262*Settings!$B$17)+(AG262*Settings!$B$18)+(U262*Settings!$B$13)+(Y262*Settings!$B$10)+(Z262*Settings!$B$11),VLOOKUP(B262,'Standard Deviations'!A$1:C$672,3,FALSE))</f>
        <v>-3.1868043467108826</v>
      </c>
      <c r="J262" s="53" cm="1">
        <f t="array" ref="J262">IF(D262="G",I262/AJ262,I262/Q262)</f>
        <v>-4.3064923604201118E-2</v>
      </c>
      <c r="K262" s="52" cm="1">
        <f t="array" ref="K262">VLOOKUP(B262,D!A1:F204,6,FALSE)</f>
        <v>-3.7536552612284373</v>
      </c>
      <c r="L262" s="54" cm="1">
        <f t="array" ref="L262">IFERROR(K262/H262,"N/A")</f>
        <v>-0.62560921020473959</v>
      </c>
      <c r="M262" s="84" t="s">
        <v>828</v>
      </c>
      <c r="N262" s="84" t="str" cm="1">
        <f t="array" ref="N262">IFERROR(M262-A262,"N/A")</f>
        <v>N/A</v>
      </c>
      <c r="O262" s="55"/>
      <c r="P262" s="56" cm="1">
        <f t="array" ref="P262">_xlfn.XLOOKUP($B262,ADP!A2:A671,ADP!G2:G671)</f>
        <v>0</v>
      </c>
      <c r="Q262" s="57" cm="1">
        <f t="array" ref="Q262">IF(Settings!$E$12="YES",VLOOKUP(B262,'Player Data'!A1:E673,5,FALSE),84)</f>
        <v>74</v>
      </c>
      <c r="R262" s="55" cm="1">
        <f t="array" ref="R262">VLOOKUP(B262,'Player Data'!$A1:$AE673,6,FALSE)</f>
        <v>20.7</v>
      </c>
      <c r="S262" s="57" cm="1">
        <f t="array" ref="S262">VLOOKUP(B262,'Player Data'!$A1:$AE673,7,FALSE)*$Q262*IFERROR((VLOOKUP(P262,Settings!$E$28:$F$33,2,FALSE)+1),1)</f>
        <v>3.7</v>
      </c>
      <c r="T262" s="57" cm="1">
        <f t="array" ref="T262">VLOOKUP(B262,'Player Data'!$A1:$AE673,8,FALSE)*$Q262*IFERROR((VLOOKUP(P262,Settings!$E$28:$F$33,2,FALSE)+1),1)</f>
        <v>17.02</v>
      </c>
      <c r="U262" s="57" cm="1">
        <f t="array" ref="U262">SUM(S262:T262)</f>
        <v>20.72</v>
      </c>
      <c r="V262" s="57" cm="1">
        <f t="array" ref="V262">VLOOKUP(B262,'Player Data'!$A1:$AE673,10,FALSE)*$Q262*IFERROR(((VLOOKUP(P262,Settings!$E$28:$F$33,2,FALSE)/2)+1),1)</f>
        <v>86.58</v>
      </c>
      <c r="W262" s="57" cm="1">
        <f t="array" ref="W262">VLOOKUP(B262,'Player Data'!$A1:$AE673,11,FALSE)*$Q262*IFERROR((VLOOKUP(P262,Settings!$E$28:$F$33,2,FALSE)+1),1)</f>
        <v>0</v>
      </c>
      <c r="X262" s="57" cm="1">
        <f t="array" ref="X262">VLOOKUP(B262,'Player Data'!$A1:$AE673,12,FALSE)*$Q262*IFERROR((VLOOKUP(P262,Settings!$E$28:$F$33,2,FALSE)+1),1)</f>
        <v>0</v>
      </c>
      <c r="Y262" s="57" cm="1">
        <f t="array" ref="Y262">VLOOKUP(B262,'Player Data'!$A1:$AE673,13,FALSE)*$Q262</f>
        <v>0</v>
      </c>
      <c r="Z262" s="57" cm="1">
        <f t="array" ref="Z262">VLOOKUP(B262,'Player Data'!$A1:$AE673,14,FALSE)*$Q262</f>
        <v>0.74</v>
      </c>
      <c r="AA262" s="57" cm="1">
        <f t="array" ref="AA262">VLOOKUP(B262,'Player Data'!$A1:$AE673,15,FALSE)*$Q262</f>
        <v>144.29999999999998</v>
      </c>
      <c r="AB262" s="57" cm="1">
        <f t="array" ref="AB262">VLOOKUP(B262,'Player Data'!$A1:$AE673,16,FALSE)*$Q262</f>
        <v>33.300000000000004</v>
      </c>
      <c r="AC262" s="57" cm="1">
        <f t="array" ref="AC262">VLOOKUP(B262,'Player Data'!$A1:$AE673,17,FALSE)*$Q262*IFERROR((VLOOKUP(P262,Settings!$E$28:$F$33,2,FALSE)+1),1)</f>
        <v>4.4399999999999995</v>
      </c>
      <c r="AD262" s="57" cm="1">
        <f t="array" ref="AD262">VLOOKUP(B262,'Player Data'!$A1:$AE673,18,FALSE)*$Q262</f>
        <v>23.68</v>
      </c>
      <c r="AE262" s="57" cm="1">
        <f t="array" ref="AE262">VLOOKUP(B262,'Player Data'!$A1:$AE673,19,FALSE)*$Q262*IFERROR((VLOOKUP(P262,Settings!$E$28:$F$33,2,FALSE)+1),1)</f>
        <v>0.74</v>
      </c>
      <c r="AF262" s="57" cm="1">
        <f t="array" ref="AF262">VLOOKUP(B262,'Player Data'!$A1:$AE673,20,FALSE)*$Q262</f>
        <v>0</v>
      </c>
      <c r="AG262" s="57" cm="1">
        <f t="array" ref="AG262">VLOOKUP(B262,'Player Data'!$A1:$AE673,21,FALSE)*$Q262</f>
        <v>0</v>
      </c>
      <c r="AH262" s="59" cm="1">
        <f t="array" ref="AH262">VLOOKUP(B262,'Player Data'!$A1:$AE673,22,FALSE)</f>
        <v>0</v>
      </c>
      <c r="AI262" s="55"/>
      <c r="AJ262" s="57"/>
      <c r="AK262" s="57"/>
      <c r="AL262" s="57"/>
      <c r="AM262" s="57"/>
      <c r="AN262" s="57"/>
      <c r="AO262" s="57"/>
      <c r="AP262" s="57"/>
      <c r="AQ262" s="60"/>
      <c r="AR262" s="61"/>
      <c r="AS262" s="55"/>
    </row>
    <row r="263" spans="1:45" ht="21.25" customHeight="1" x14ac:dyDescent="0.15">
      <c r="A263" s="62">
        <f>RANK(K263,K$2:K$671)</f>
        <v>224</v>
      </c>
      <c r="B263" s="10" t="s">
        <v>418</v>
      </c>
      <c r="C263" s="47" t="s">
        <v>145</v>
      </c>
      <c r="D263" s="48" t="str" cm="1">
        <f t="array" ref="D263">VLOOKUP(B263,'Player Data'!A1:D673,4,FALSE)</f>
        <v>LW</v>
      </c>
      <c r="E263" s="75" cm="1">
        <f t="array" ref="E263">VLOOKUP(B263,LW!A1:C210,3,FALSE)</f>
        <v>48</v>
      </c>
      <c r="F263" s="56" t="str" cm="1">
        <f t="array" ref="F263">VLOOKUP(B263,'Player Data'!A1:B673,2,FALSE)</f>
        <v>S.J</v>
      </c>
      <c r="G263" s="71" cm="1">
        <f t="array" ref="G263">VLOOKUP(B263,'Player Data'!A1:D673,3,FALSE)</f>
        <v>18</v>
      </c>
      <c r="H263" s="51" cm="1">
        <f t="array" ref="H263">IFERROR(VLOOKUP(B263,ADP!A1:F671,6,FALSE)/1000000,VLOOKUP(B263,ADP!A1:F671,6,FALSE))</f>
        <v>1.075</v>
      </c>
      <c r="I263" s="52">
        <f>IF(Settings!$E$15="POINTS",((R263*Q263)*Settings!$B$12)+(S263*Settings!$B$2)+(T263*Settings!$B$3)+(U263*Settings!$B$4)+(V263*Settings!$B$5)+(X263*Settings!$B$9)+(AA263*Settings!$B$6)+(W263*Settings!$B$8)+(AB263*Settings!$B$7)+(AC263*Settings!$B$14)+(AD263*Settings!$B$15)+(AE263*Settings!$B$16)+(AF263*Settings!$B$17)+(AG263*Settings!$B$18)+(Y263*Settings!$B$10)+(Z263*Settings!$B$11),VLOOKUP(B263,'Standard Deviations'!A$1:C$672,3,FALSE))</f>
        <v>4.0112194631827229</v>
      </c>
      <c r="J263" s="53" cm="1">
        <f t="array" ref="J263">IF(D263="G",I263/AJ263,I263/Q263)</f>
        <v>5.0140243289784038E-2</v>
      </c>
      <c r="K263" s="52" cm="1">
        <f t="array" ref="K263">IF(Settings!$E$18="C/LW/RW",VLOOKUP(B263,LW!A1:F210,6,FALSE),VLOOKUP(B263,F!A1:F407,6,FALSE))</f>
        <v>-2.8831661812070868</v>
      </c>
      <c r="L263" s="54" cm="1">
        <f t="array" ref="L263">IFERROR(K263/H263,"N/A")</f>
        <v>-2.6820150522856623</v>
      </c>
      <c r="M263" s="55">
        <v>136.69999999999999</v>
      </c>
      <c r="N263" s="55" cm="1">
        <f t="array" ref="N263">IFERROR(M263-A263,"N/A")</f>
        <v>-87.300000000000011</v>
      </c>
      <c r="O263" s="55"/>
      <c r="P263" s="56" t="str" cm="1">
        <f t="array" ref="P263">_xlfn.XLOOKUP($B263,ADP!A2:A671,ADP!G2:G671)</f>
        <v>+</v>
      </c>
      <c r="Q263" s="57" cm="1">
        <f t="array" ref="Q263">IF(Settings!$E$12="YES",VLOOKUP(B263,'Player Data'!A1:E673,5,FALSE),84)</f>
        <v>80</v>
      </c>
      <c r="R263" s="55" cm="1">
        <f t="array" ref="R263">VLOOKUP(B263,'Player Data'!$A1:$AE673,6,FALSE)</f>
        <v>15</v>
      </c>
      <c r="S263" s="57" cm="1">
        <f t="array" ref="S263">VLOOKUP(B263,'Player Data'!$A1:$AE673,7,FALSE)*$Q263*IFERROR((VLOOKUP(P263,Settings!$E$28:$F$33,2,FALSE)+1),1)</f>
        <v>23.520000000000003</v>
      </c>
      <c r="T263" s="57" cm="1">
        <f t="array" ref="T263">VLOOKUP(B263,'Player Data'!$A1:$AE673,8,FALSE)*$Q263*IFERROR((VLOOKUP(P263,Settings!$E$28:$F$33,2,FALSE)+1),1)</f>
        <v>40.32</v>
      </c>
      <c r="U263" s="57" cm="1">
        <f t="array" ref="U263">SUM(S263:T263)</f>
        <v>63.84</v>
      </c>
      <c r="V263" s="57" cm="1">
        <f t="array" ref="V263">VLOOKUP(B263,'Player Data'!$A1:$AE673,10,FALSE)*$Q263*IFERROR(((VLOOKUP(P263,Settings!$E$28:$F$33,2,FALSE)/2)+1),1)</f>
        <v>169.73999999999998</v>
      </c>
      <c r="W263" s="57" cm="1">
        <f t="array" ref="W263">VLOOKUP(B263,'Player Data'!$A1:$AE673,11,FALSE)*$Q263*IFERROR((VLOOKUP(P263,Settings!$E$28:$F$33,2,FALSE)+1),1)</f>
        <v>6.7200000000000006</v>
      </c>
      <c r="X263" s="57" cm="1">
        <f t="array" ref="X263">VLOOKUP(B263,'Player Data'!$A1:$AE673,12,FALSE)*$Q263*IFERROR((VLOOKUP(P263,Settings!$E$28:$F$33,2,FALSE)+1),1)</f>
        <v>18.480000000000004</v>
      </c>
      <c r="Y263" s="57" cm="1">
        <f t="array" ref="Y263">VLOOKUP(B263,'Player Data'!$A1:$AE673,13,FALSE)*$Q263</f>
        <v>0</v>
      </c>
      <c r="Z263" s="57" cm="1">
        <f t="array" ref="Z263">VLOOKUP(B263,'Player Data'!$A1:$AE673,14,FALSE)*$Q263</f>
        <v>0</v>
      </c>
      <c r="AA263" s="57" cm="1">
        <f t="array" ref="AA263">VLOOKUP(B263,'Player Data'!$A1:$AE673,15,FALSE)*$Q263</f>
        <v>34.4</v>
      </c>
      <c r="AB263" s="57" cm="1">
        <f t="array" ref="AB263">VLOOKUP(B263,'Player Data'!$A1:$AE673,16,FALSE)*$Q263</f>
        <v>94.399999999999991</v>
      </c>
      <c r="AC263" s="57" cm="1">
        <f t="array" ref="AC263">VLOOKUP(B263,'Player Data'!$A1:$AE673,17,FALSE)*$Q263*IFERROR((VLOOKUP(P263,Settings!$E$28:$F$33,2,FALSE)+1),1)</f>
        <v>0</v>
      </c>
      <c r="AD263" s="57" cm="1">
        <f t="array" ref="AD263">VLOOKUP(B263,'Player Data'!$A1:$AE673,18,FALSE)*$Q263</f>
        <v>32</v>
      </c>
      <c r="AE263" s="57" cm="1">
        <f t="array" ref="AE263">VLOOKUP(B263,'Player Data'!$A1:$AE673,19,FALSE)*$Q263*IFERROR((VLOOKUP(P263,Settings!$E$28:$F$33,2,FALSE)+1),1)</f>
        <v>3.3600000000000003</v>
      </c>
      <c r="AF263" s="57" cm="1">
        <f t="array" ref="AF263">VLOOKUP(B263,'Player Data'!$A1:$AE673,20,FALSE)*$Q263</f>
        <v>0</v>
      </c>
      <c r="AG263" s="57" cm="1">
        <f t="array" ref="AG263">VLOOKUP(B263,'Player Data'!$A1:$AE673,21,FALSE)*$Q263</f>
        <v>0</v>
      </c>
      <c r="AH263" s="59" cm="1">
        <f t="array" ref="AH263">VLOOKUP(B263,'Player Data'!$A1:$AE673,22,FALSE)</f>
        <v>0.4</v>
      </c>
      <c r="AI263" s="55"/>
      <c r="AJ263" s="57"/>
      <c r="AK263" s="57"/>
      <c r="AL263" s="57"/>
      <c r="AM263" s="57"/>
      <c r="AN263" s="57"/>
      <c r="AO263" s="57"/>
      <c r="AP263" s="57"/>
      <c r="AQ263" s="60"/>
      <c r="AR263" s="61"/>
      <c r="AS263" s="55"/>
    </row>
    <row r="264" spans="1:45" ht="21.25" customHeight="1" x14ac:dyDescent="0.15">
      <c r="A264" s="62">
        <f>RANK(K264,K$2:K$671)</f>
        <v>282</v>
      </c>
      <c r="B264" s="10" t="s">
        <v>565</v>
      </c>
      <c r="C264" s="47" t="s">
        <v>145</v>
      </c>
      <c r="D264" s="48" t="str" cm="1">
        <f t="array" ref="D264">VLOOKUP(B264,'Player Data'!A1:D673,4,FALSE)</f>
        <v>D</v>
      </c>
      <c r="E264" s="68" cm="1">
        <f t="array" ref="E264">VLOOKUP(B264,D!A1:C204,3,FALSE)</f>
        <v>129</v>
      </c>
      <c r="F264" s="56" t="str" cm="1">
        <f t="array" ref="F264">VLOOKUP(B264,'Player Data'!A1:B673,2,FALSE)</f>
        <v>PHI</v>
      </c>
      <c r="G264" s="11" cm="1">
        <f t="array" ref="G264">VLOOKUP(B264,'Player Data'!A1:D673,3,FALSE)</f>
        <v>28</v>
      </c>
      <c r="H264" s="67" cm="1">
        <f t="array" ref="H264">IFERROR(VLOOKUP(B264,ADP!A1:F671,6,FALSE)/1000000,VLOOKUP(B264,ADP!A1:F671,6,FALSE))</f>
        <v>1.35</v>
      </c>
      <c r="I264" s="52">
        <f>IF(Settings!$E$15="POINTS",((R264*Q264)*Settings!$B$12)+(S264*Settings!$B$2)+(T264*Settings!$B$3)+(U264*Settings!$B$4)+(V264*Settings!$B$5)+(X264*Settings!$B$9)+(AA264*Settings!$B$6)+(W264*Settings!$B$8)+(AB264*Settings!$B$7)+(AC264*Settings!$B$14)+(AD264*Settings!$B$15)+(AE264*Settings!$B$16)+(AF264*Settings!$B$17)+(AG264*Settings!$B$18)+(U264*Settings!$B$13)+(Y264*Settings!$B$10)+(Z264*Settings!$B$11),VLOOKUP(B264,'Standard Deviations'!A$1:C$672,3,FALSE))</f>
        <v>-3.2029171999551891</v>
      </c>
      <c r="J264" s="53" cm="1">
        <f t="array" ref="J264">IF(D264="G",I264/AJ264,I264/Q264)</f>
        <v>-4.0036464999439865E-2</v>
      </c>
      <c r="K264" s="52" cm="1">
        <f t="array" ref="K264">VLOOKUP(B264,D!A1:F204,6,FALSE)</f>
        <v>-3.7697681144727433</v>
      </c>
      <c r="L264" s="54" cm="1">
        <f t="array" ref="L264">IFERROR(K264/H264,"N/A")</f>
        <v>-2.7924208255353653</v>
      </c>
      <c r="M264" s="84" t="s">
        <v>828</v>
      </c>
      <c r="N264" s="84" t="str" cm="1">
        <f t="array" ref="N264">IFERROR(M264-A264,"N/A")</f>
        <v>N/A</v>
      </c>
      <c r="O264" s="55"/>
      <c r="P264" s="56" cm="1">
        <f t="array" ref="P264">_xlfn.XLOOKUP($B264,ADP!A2:A671,ADP!G2:G671)</f>
        <v>0</v>
      </c>
      <c r="Q264" s="57" cm="1">
        <f t="array" ref="Q264">IF(Settings!$E$12="YES",VLOOKUP(B264,'Player Data'!A1:E673,5,FALSE),84)</f>
        <v>80</v>
      </c>
      <c r="R264" s="83" cm="1">
        <f t="array" ref="R264">VLOOKUP(B264,'Player Data'!$A1:$AE673,6,FALSE)</f>
        <v>15.8</v>
      </c>
      <c r="S264" s="57" cm="1">
        <f t="array" ref="S264">VLOOKUP(B264,'Player Data'!$A1:$AE673,7,FALSE)*$Q264*IFERROR((VLOOKUP(P264,Settings!$E$28:$F$33,2,FALSE)+1),1)</f>
        <v>0.8</v>
      </c>
      <c r="T264" s="57" cm="1">
        <f t="array" ref="T264">VLOOKUP(B264,'Player Data'!$A1:$AE673,8,FALSE)*$Q264*IFERROR((VLOOKUP(P264,Settings!$E$28:$F$33,2,FALSE)+1),1)</f>
        <v>8</v>
      </c>
      <c r="U264" s="57" cm="1">
        <f t="array" ref="U264">SUM(S264:T264)</f>
        <v>8.8000000000000007</v>
      </c>
      <c r="V264" s="57" cm="1">
        <f t="array" ref="V264">VLOOKUP(B264,'Player Data'!$A1:$AE673,10,FALSE)*$Q264*IFERROR(((VLOOKUP(P264,Settings!$E$28:$F$33,2,FALSE)/2)+1),1)</f>
        <v>57.599999999999994</v>
      </c>
      <c r="W264" s="57" cm="1">
        <f t="array" ref="W264">VLOOKUP(B264,'Player Data'!$A1:$AE673,11,FALSE)*$Q264*IFERROR((VLOOKUP(P264,Settings!$E$28:$F$33,2,FALSE)+1),1)</f>
        <v>0</v>
      </c>
      <c r="X264" s="57" cm="1">
        <f t="array" ref="X264">VLOOKUP(B264,'Player Data'!$A1:$AE673,12,FALSE)*$Q264*IFERROR((VLOOKUP(P264,Settings!$E$28:$F$33,2,FALSE)+1),1)</f>
        <v>0</v>
      </c>
      <c r="Y264" s="57" cm="1">
        <f t="array" ref="Y264">VLOOKUP(B264,'Player Data'!$A1:$AE673,13,FALSE)*$Q264</f>
        <v>0</v>
      </c>
      <c r="Z264" s="57" cm="1">
        <f t="array" ref="Z264">VLOOKUP(B264,'Player Data'!$A1:$AE673,14,FALSE)*$Q264</f>
        <v>0</v>
      </c>
      <c r="AA264" s="57" cm="1">
        <f t="array" ref="AA264">VLOOKUP(B264,'Player Data'!$A1:$AE673,15,FALSE)*$Q264</f>
        <v>106.4</v>
      </c>
      <c r="AB264" s="57" cm="1">
        <f t="array" ref="AB264">VLOOKUP(B264,'Player Data'!$A1:$AE673,16,FALSE)*$Q264</f>
        <v>174.4</v>
      </c>
      <c r="AC264" s="57" cm="1">
        <f t="array" ref="AC264">VLOOKUP(B264,'Player Data'!$A1:$AE673,17,FALSE)*$Q264*IFERROR((VLOOKUP(P264,Settings!$E$28:$F$33,2,FALSE)+1),1)</f>
        <v>-2.4</v>
      </c>
      <c r="AD264" s="57" cm="1">
        <f t="array" ref="AD264">VLOOKUP(B264,'Player Data'!$A1:$AE673,18,FALSE)*$Q264</f>
        <v>47.199999999999996</v>
      </c>
      <c r="AE264" s="57" cm="1">
        <f t="array" ref="AE264">VLOOKUP(B264,'Player Data'!$A1:$AE673,19,FALSE)*$Q264*IFERROR((VLOOKUP(P264,Settings!$E$28:$F$33,2,FALSE)+1),1)</f>
        <v>0</v>
      </c>
      <c r="AF264" s="57" cm="1">
        <f t="array" ref="AF264">VLOOKUP(B264,'Player Data'!$A1:$AE673,20,FALSE)*$Q264</f>
        <v>0</v>
      </c>
      <c r="AG264" s="57" cm="1">
        <f t="array" ref="AG264">VLOOKUP(B264,'Player Data'!$A1:$AE673,21,FALSE)*$Q264</f>
        <v>0</v>
      </c>
      <c r="AH264" s="59" cm="1">
        <f t="array" ref="AH264">VLOOKUP(B264,'Player Data'!$A1:$AE673,22,FALSE)</f>
        <v>0</v>
      </c>
      <c r="AI264" s="55"/>
      <c r="AJ264" s="57"/>
      <c r="AK264" s="57"/>
      <c r="AL264" s="57"/>
      <c r="AM264" s="57"/>
      <c r="AN264" s="57"/>
      <c r="AO264" s="57"/>
      <c r="AP264" s="57"/>
      <c r="AQ264" s="60"/>
      <c r="AR264" s="61"/>
      <c r="AS264" s="55"/>
    </row>
    <row r="265" spans="1:45" ht="21.25" customHeight="1" x14ac:dyDescent="0.15">
      <c r="A265" s="62">
        <f>RANK(K265,K$2:K$671)</f>
        <v>221</v>
      </c>
      <c r="B265" s="10" t="s">
        <v>262</v>
      </c>
      <c r="C265" s="47" t="s">
        <v>145</v>
      </c>
      <c r="D265" s="48" t="str" cm="1">
        <f t="array" ref="D265">VLOOKUP(B265,'Player Data'!A1:D673,4,FALSE)</f>
        <v>LW,RW</v>
      </c>
      <c r="E265" s="74" cm="1">
        <f t="array" ref="E265">VLOOKUP(B265,RW!A1:F210,3,FALSE)</f>
        <v>52</v>
      </c>
      <c r="F265" s="56" t="str" cm="1">
        <f t="array" ref="F265">VLOOKUP(B265,'Player Data'!A1:B673,2,FALSE)</f>
        <v>PHI</v>
      </c>
      <c r="G265" s="11" cm="1">
        <f t="array" ref="G265">VLOOKUP(B265,'Player Data'!A1:D673,3,FALSE)</f>
        <v>29</v>
      </c>
      <c r="H265" s="51" cm="1">
        <f t="array" ref="H265">IFERROR(VLOOKUP(B265,ADP!A1:F671,6,FALSE)/1000000,VLOOKUP(B265,ADP!A1:F671,6,FALSE))</f>
        <v>8.75</v>
      </c>
      <c r="I265" s="52">
        <f>IF(Settings!$E$15="POINTS",((R265*Q265)*Settings!$B$12)+(S265*Settings!$B$2)+(T265*Settings!$B$3)+(U265*Settings!$B$4)+(V265*Settings!$B$5)+(X265*Settings!$B$9)+(AA265*Settings!$B$6)+(W265*Settings!$B$8)+(AB265*Settings!$B$7)+(AC265*Settings!$B$14)+(AD265*Settings!$B$15)+(AE265*Settings!$B$16)+(AF265*Settings!$B$17)+(AG265*Settings!$B$18)+(Y265*Settings!$B$10)+(Z265*Settings!$B$11),VLOOKUP(B265,'Standard Deviations'!A$1:C$672,3,FALSE))</f>
        <v>4.0270904688992948</v>
      </c>
      <c r="J265" s="53" cm="1">
        <f t="array" ref="J265">IF(D265="G",I265/AJ265,I265/Q265)</f>
        <v>4.8519162275895117E-2</v>
      </c>
      <c r="K265" s="52" cm="1">
        <f t="array" ref="K265">IF(Settings!$E$18="C/LW/RW",VLOOKUP(B265,RW!A1:F210,6,FALSE),VLOOKUP(B265,F!A1:F407,6,FALSE))</f>
        <v>-2.8601441329097828</v>
      </c>
      <c r="L265" s="54" cm="1">
        <f t="array" ref="L265">IFERROR(K265/H265,"N/A")</f>
        <v>-0.32687361518968944</v>
      </c>
      <c r="M265" s="55">
        <v>132.19999999999999</v>
      </c>
      <c r="N265" s="55" cm="1">
        <f t="array" ref="N265">IFERROR(M265-A265,"N/A")</f>
        <v>-88.800000000000011</v>
      </c>
      <c r="O265" s="55"/>
      <c r="P265" s="56" cm="1">
        <f t="array" ref="P265">_xlfn.XLOOKUP($B265,ADP!A2:A671,ADP!G2:G671)</f>
        <v>0</v>
      </c>
      <c r="Q265" s="57" cm="1">
        <f t="array" ref="Q265">IF(Settings!$E$12="YES",VLOOKUP(B265,'Player Data'!A1:E673,5,FALSE),84)</f>
        <v>83</v>
      </c>
      <c r="R265" s="55" cm="1">
        <f t="array" ref="R265">VLOOKUP(B265,'Player Data'!$A1:$AE673,6,FALSE)</f>
        <v>18.8</v>
      </c>
      <c r="S265" s="57" cm="1">
        <f t="array" ref="S265">VLOOKUP(B265,'Player Data'!$A1:$AE673,7,FALSE)*$Q265*IFERROR((VLOOKUP(P265,Settings!$E$28:$F$33,2,FALSE)+1),1)</f>
        <v>24.9</v>
      </c>
      <c r="T265" s="57" cm="1">
        <f t="array" ref="T265">VLOOKUP(B265,'Player Data'!$A1:$AE673,8,FALSE)*$Q265*IFERROR((VLOOKUP(P265,Settings!$E$28:$F$33,2,FALSE)+1),1)</f>
        <v>40.67</v>
      </c>
      <c r="U265" s="57" cm="1">
        <f t="array" ref="U265">SUM(S265:T265)</f>
        <v>65.569999999999993</v>
      </c>
      <c r="V265" s="57" cm="1">
        <f t="array" ref="V265">VLOOKUP(B265,'Player Data'!$A1:$AE673,10,FALSE)*$Q265*IFERROR(((VLOOKUP(P265,Settings!$E$28:$F$33,2,FALSE)/2)+1),1)</f>
        <v>182.60000000000002</v>
      </c>
      <c r="W265" s="57" cm="1">
        <f t="array" ref="W265">VLOOKUP(B265,'Player Data'!$A1:$AE673,11,FALSE)*$Q265*IFERROR((VLOOKUP(P265,Settings!$E$28:$F$33,2,FALSE)+1),1)</f>
        <v>3.3200000000000003</v>
      </c>
      <c r="X265" s="78" cm="1">
        <f t="array" ref="X265">VLOOKUP(B265,'Player Data'!$A1:$AE673,12,FALSE)*$Q265*IFERROR((VLOOKUP(P265,Settings!$E$28:$F$33,2,FALSE)+1),1)</f>
        <v>11.620000000000001</v>
      </c>
      <c r="Y265" s="57" cm="1">
        <f t="array" ref="Y265">VLOOKUP(B265,'Player Data'!$A1:$AE673,13,FALSE)*$Q265</f>
        <v>0.83000000000000007</v>
      </c>
      <c r="Z265" s="57" cm="1">
        <f t="array" ref="Z265">VLOOKUP(B265,'Player Data'!$A1:$AE673,14,FALSE)*$Q265</f>
        <v>1.6600000000000001</v>
      </c>
      <c r="AA265" s="57" cm="1">
        <f t="array" ref="AA265">VLOOKUP(B265,'Player Data'!$A1:$AE673,15,FALSE)*$Q265</f>
        <v>38.18</v>
      </c>
      <c r="AB265" s="57" cm="1">
        <f t="array" ref="AB265">VLOOKUP(B265,'Player Data'!$A1:$AE673,16,FALSE)*$Q265</f>
        <v>101.25999999999999</v>
      </c>
      <c r="AC265" s="57" cm="1">
        <f t="array" ref="AC265">VLOOKUP(B265,'Player Data'!$A1:$AE673,17,FALSE)*$Q265*IFERROR((VLOOKUP(P265,Settings!$E$28:$F$33,2,FALSE)+1),1)</f>
        <v>0.83000000000000007</v>
      </c>
      <c r="AD265" s="57" cm="1">
        <f t="array" ref="AD265">VLOOKUP(B265,'Player Data'!$A1:$AE673,18,FALSE)*$Q265</f>
        <v>48.139999999999993</v>
      </c>
      <c r="AE265" s="57" cm="1">
        <f t="array" ref="AE265">VLOOKUP(B265,'Player Data'!$A1:$AE673,19,FALSE)*$Q265*IFERROR((VLOOKUP(P265,Settings!$E$28:$F$33,2,FALSE)+1),1)</f>
        <v>4.1500000000000004</v>
      </c>
      <c r="AF265" s="57" cm="1">
        <f t="array" ref="AF265">VLOOKUP(B265,'Player Data'!$A1:$AE673,20,FALSE)*$Q265</f>
        <v>26.560000000000002</v>
      </c>
      <c r="AG265" s="57" cm="1">
        <f t="array" ref="AG265">VLOOKUP(B265,'Player Data'!$A1:$AE673,21,FALSE)*$Q265</f>
        <v>42.33</v>
      </c>
      <c r="AH265" s="59" cm="1">
        <f t="array" ref="AH265">VLOOKUP(B265,'Player Data'!$A1:$AE673,22,FALSE)</f>
        <v>0.39</v>
      </c>
      <c r="AI265" s="55"/>
      <c r="AJ265" s="57"/>
      <c r="AK265" s="57"/>
      <c r="AL265" s="57"/>
      <c r="AM265" s="57"/>
      <c r="AN265" s="57"/>
      <c r="AO265" s="57"/>
      <c r="AP265" s="57"/>
      <c r="AQ265" s="60"/>
      <c r="AR265" s="61"/>
      <c r="AS265" s="55"/>
    </row>
    <row r="266" spans="1:45" ht="21.25" customHeight="1" x14ac:dyDescent="0.15">
      <c r="A266" s="62">
        <f>RANK(K266,K$2:K$671)</f>
        <v>222</v>
      </c>
      <c r="B266" s="10" t="s">
        <v>274</v>
      </c>
      <c r="C266" s="47" t="s">
        <v>145</v>
      </c>
      <c r="D266" s="48" t="str" cm="1">
        <f t="array" ref="D266">VLOOKUP(B266,'Player Data'!A1:D673,4,FALSE)</f>
        <v>LW,RW</v>
      </c>
      <c r="E266" s="74" cm="1">
        <f t="array" ref="E266">VLOOKUP(B266,RW!A1:F210,3,FALSE)</f>
        <v>53</v>
      </c>
      <c r="F266" s="69" t="str" cm="1">
        <f t="array" ref="F266">VLOOKUP(B266,'Player Data'!A1:B673,2,FALSE)</f>
        <v>N.J</v>
      </c>
      <c r="G266" s="11" cm="1">
        <f t="array" ref="G266">VLOOKUP(B266,'Player Data'!A1:D673,3,FALSE)</f>
        <v>29</v>
      </c>
      <c r="H266" s="51" cm="1">
        <f t="array" ref="H266">IFERROR(VLOOKUP(B266,ADP!A1:F671,6,FALSE)/1000000,VLOOKUP(B266,ADP!A1:F671,6,FALSE))</f>
        <v>8.8000000000000007</v>
      </c>
      <c r="I266" s="52">
        <f>IF(Settings!$E$15="POINTS",((R266*Q266)*Settings!$B$12)+(S266*Settings!$B$2)+(T266*Settings!$B$3)+(U266*Settings!$B$4)+(V266*Settings!$B$5)+(X266*Settings!$B$9)+(AA266*Settings!$B$6)+(W266*Settings!$B$8)+(AB266*Settings!$B$7)+(AC266*Settings!$B$14)+(AD266*Settings!$B$15)+(AE266*Settings!$B$16)+(AF266*Settings!$B$17)+(AG266*Settings!$B$18)+(Y266*Settings!$B$10)+(Z266*Settings!$B$11),VLOOKUP(B266,'Standard Deviations'!A$1:C$672,3,FALSE))</f>
        <v>4.0179715163652423</v>
      </c>
      <c r="J266" s="53" cm="1">
        <f t="array" ref="J266">IF(D266="G",I266/AJ266,I266/Q266)</f>
        <v>4.8999652638600517E-2</v>
      </c>
      <c r="K266" s="52" cm="1">
        <f t="array" ref="K266">IF(Settings!$E$18="C/LW/RW",VLOOKUP(B266,RW!A1:F210,6,FALSE),VLOOKUP(B266,F!A1:F407,6,FALSE))</f>
        <v>-2.8692630854438352</v>
      </c>
      <c r="L266" s="54" cm="1">
        <f t="array" ref="L266">IFERROR(K266/H266,"N/A")</f>
        <v>-0.32605262334589036</v>
      </c>
      <c r="M266" s="55">
        <v>96.8</v>
      </c>
      <c r="N266" s="55" cm="1">
        <f t="array" ref="N266">IFERROR(M266-A266,"N/A")</f>
        <v>-125.2</v>
      </c>
      <c r="O266" s="55"/>
      <c r="P266" s="56" cm="1">
        <f t="array" ref="P266">_xlfn.XLOOKUP($B266,ADP!A2:A671,ADP!G2:G671)</f>
        <v>0</v>
      </c>
      <c r="Q266" s="57" cm="1">
        <f t="array" ref="Q266">IF(Settings!$E$12="YES",VLOOKUP(B266,'Player Data'!A1:E673,5,FALSE),84)</f>
        <v>82</v>
      </c>
      <c r="R266" s="55" cm="1">
        <f t="array" ref="R266">VLOOKUP(B266,'Player Data'!$A1:$AE673,6,FALSE)</f>
        <v>17.600000000000001</v>
      </c>
      <c r="S266" s="57" cm="1">
        <f t="array" ref="S266">VLOOKUP(B266,'Player Data'!$A1:$AE673,7,FALSE)*$Q266*IFERROR((VLOOKUP(P266,Settings!$E$28:$F$33,2,FALSE)+1),1)</f>
        <v>24.599999999999998</v>
      </c>
      <c r="T266" s="57" cm="1">
        <f t="array" ref="T266">VLOOKUP(B266,'Player Data'!$A1:$AE673,8,FALSE)*$Q266*IFERROR((VLOOKUP(P266,Settings!$E$28:$F$33,2,FALSE)+1),1)</f>
        <v>23.779999999999998</v>
      </c>
      <c r="U266" s="57" cm="1">
        <f t="array" ref="U266">SUM(S266:T266)</f>
        <v>48.379999999999995</v>
      </c>
      <c r="V266" s="57" cm="1">
        <f t="array" ref="V266">VLOOKUP(B266,'Player Data'!$A1:$AE673,10,FALSE)*$Q266*IFERROR(((VLOOKUP(P266,Settings!$E$28:$F$33,2,FALSE)/2)+1),1)</f>
        <v>242.72</v>
      </c>
      <c r="W266" s="57" cm="1">
        <f t="array" ref="W266">VLOOKUP(B266,'Player Data'!$A1:$AE673,11,FALSE)*$Q266*IFERROR((VLOOKUP(P266,Settings!$E$28:$F$33,2,FALSE)+1),1)</f>
        <v>6.5600000000000005</v>
      </c>
      <c r="X266" s="78" cm="1">
        <f t="array" ref="X266">VLOOKUP(B266,'Player Data'!$A1:$AE673,12,FALSE)*$Q266*IFERROR((VLOOKUP(P266,Settings!$E$28:$F$33,2,FALSE)+1),1)</f>
        <v>10.66</v>
      </c>
      <c r="Y266" s="57" cm="1">
        <f t="array" ref="Y266">VLOOKUP(B266,'Player Data'!$A1:$AE673,13,FALSE)*$Q266</f>
        <v>0</v>
      </c>
      <c r="Z266" s="57" cm="1">
        <f t="array" ref="Z266">VLOOKUP(B266,'Player Data'!$A1:$AE673,14,FALSE)*$Q266</f>
        <v>0</v>
      </c>
      <c r="AA266" s="57" cm="1">
        <f t="array" ref="AA266">VLOOKUP(B266,'Player Data'!$A1:$AE673,15,FALSE)*$Q266</f>
        <v>53.300000000000004</v>
      </c>
      <c r="AB266" s="57" cm="1">
        <f t="array" ref="AB266">VLOOKUP(B266,'Player Data'!$A1:$AE673,16,FALSE)*$Q266</f>
        <v>123</v>
      </c>
      <c r="AC266" s="57" cm="1">
        <f t="array" ref="AC266">VLOOKUP(B266,'Player Data'!$A1:$AE673,17,FALSE)*$Q266*IFERROR((VLOOKUP(P266,Settings!$E$28:$F$33,2,FALSE)+1),1)</f>
        <v>0</v>
      </c>
      <c r="AD266" s="57" cm="1">
        <f t="array" ref="AD266">VLOOKUP(B266,'Player Data'!$A1:$AE673,18,FALSE)*$Q266</f>
        <v>31.98</v>
      </c>
      <c r="AE266" s="57" cm="1">
        <f t="array" ref="AE266">VLOOKUP(B266,'Player Data'!$A1:$AE673,19,FALSE)*$Q266*IFERROR((VLOOKUP(P266,Settings!$E$28:$F$33,2,FALSE)+1),1)</f>
        <v>4.1000000000000005</v>
      </c>
      <c r="AF266" s="57" cm="1">
        <f t="array" ref="AF266">VLOOKUP(B266,'Player Data'!$A1:$AE673,20,FALSE)*$Q266</f>
        <v>44.28</v>
      </c>
      <c r="AG266" s="57" cm="1">
        <f t="array" ref="AG266">VLOOKUP(B266,'Player Data'!$A1:$AE673,21,FALSE)*$Q266</f>
        <v>63.96</v>
      </c>
      <c r="AH266" s="59" cm="1">
        <f t="array" ref="AH266">VLOOKUP(B266,'Player Data'!$A1:$AE673,22,FALSE)</f>
        <v>0.41</v>
      </c>
      <c r="AI266" s="55"/>
      <c r="AJ266" s="57"/>
      <c r="AK266" s="57"/>
      <c r="AL266" s="57"/>
      <c r="AM266" s="57"/>
      <c r="AN266" s="57"/>
      <c r="AO266" s="57"/>
      <c r="AP266" s="57"/>
      <c r="AQ266" s="60"/>
      <c r="AR266" s="61"/>
      <c r="AS266" s="55"/>
    </row>
    <row r="267" spans="1:45" ht="21.25" customHeight="1" x14ac:dyDescent="0.15">
      <c r="A267" s="62">
        <f>RANK(K267,K$2:K$671)</f>
        <v>284</v>
      </c>
      <c r="B267" s="10" t="s">
        <v>384</v>
      </c>
      <c r="C267" s="47" t="s">
        <v>145</v>
      </c>
      <c r="D267" s="48" t="str" cm="1">
        <f t="array" ref="D267">VLOOKUP(B267,'Player Data'!A1:D673,4,FALSE)</f>
        <v>D</v>
      </c>
      <c r="E267" s="68" cm="1">
        <f t="array" ref="E267">VLOOKUP(B267,D!A1:C204,3,FALSE)</f>
        <v>130</v>
      </c>
      <c r="F267" s="56" t="str" cm="1">
        <f t="array" ref="F267">VLOOKUP(B267,'Player Data'!A1:B673,2,FALSE)</f>
        <v>NYR</v>
      </c>
      <c r="G267" s="11" cm="1">
        <f t="array" ref="G267">VLOOKUP(B267,'Player Data'!A1:D673,3,FALSE)</f>
        <v>30</v>
      </c>
      <c r="H267" s="51" cm="1">
        <f t="array" ref="H267">IFERROR(VLOOKUP(B267,ADP!A1:F671,6,FALSE)/1000000,VLOOKUP(B267,ADP!A1:F671,6,FALSE))</f>
        <v>5.5</v>
      </c>
      <c r="I267" s="52">
        <f>IF(Settings!$E$15="POINTS",((R267*Q267)*Settings!$B$12)+(S267*Settings!$B$2)+(T267*Settings!$B$3)+(U267*Settings!$B$4)+(V267*Settings!$B$5)+(X267*Settings!$B$9)+(AA267*Settings!$B$6)+(W267*Settings!$B$8)+(AB267*Settings!$B$7)+(AC267*Settings!$B$14)+(AD267*Settings!$B$15)+(AE267*Settings!$B$16)+(AF267*Settings!$B$17)+(AG267*Settings!$B$18)+(U267*Settings!$B$13)+(Y267*Settings!$B$10)+(Z267*Settings!$B$11),VLOOKUP(B267,'Standard Deviations'!A$1:C$672,3,FALSE))</f>
        <v>-3.2624244310454209</v>
      </c>
      <c r="J267" s="53" cm="1">
        <f t="array" ref="J267">IF(D267="G",I267/AJ267,I267/Q267)</f>
        <v>-3.9306318446330375E-2</v>
      </c>
      <c r="K267" s="52" cm="1">
        <f t="array" ref="K267">VLOOKUP(B267,D!A1:F204,6,FALSE)</f>
        <v>-3.8292753455629756</v>
      </c>
      <c r="L267" s="54" cm="1">
        <f t="array" ref="L267">IFERROR(K267/H267,"N/A")</f>
        <v>-0.69623188101145006</v>
      </c>
      <c r="M267" s="84" t="s">
        <v>828</v>
      </c>
      <c r="N267" s="84" t="str" cm="1">
        <f t="array" ref="N267">IFERROR(M267-A267,"N/A")</f>
        <v>N/A</v>
      </c>
      <c r="O267" s="55"/>
      <c r="P267" s="56" cm="1">
        <f t="array" ref="P267">_xlfn.XLOOKUP($B267,ADP!A2:A671,ADP!G2:G671)</f>
        <v>0</v>
      </c>
      <c r="Q267" s="57" cm="1">
        <f t="array" ref="Q267">IF(Settings!$E$12="YES",VLOOKUP(B267,'Player Data'!A1:E673,5,FALSE),84)</f>
        <v>83</v>
      </c>
      <c r="R267" s="55" cm="1">
        <f t="array" ref="R267">VLOOKUP(B267,'Player Data'!$A1:$AE673,6,FALSE)</f>
        <v>20.8</v>
      </c>
      <c r="S267" s="57" cm="1">
        <f t="array" ref="S267">VLOOKUP(B267,'Player Data'!$A1:$AE673,7,FALSE)*$Q267*IFERROR((VLOOKUP(P267,Settings!$E$28:$F$33,2,FALSE)+1),1)</f>
        <v>3.3200000000000003</v>
      </c>
      <c r="T267" s="57" cm="1">
        <f t="array" ref="T267">VLOOKUP(B267,'Player Data'!$A1:$AE673,8,FALSE)*$Q267*IFERROR((VLOOKUP(P267,Settings!$E$28:$F$33,2,FALSE)+1),1)</f>
        <v>19.919999999999998</v>
      </c>
      <c r="U267" s="57" cm="1">
        <f t="array" ref="U267">SUM(S267:T267)</f>
        <v>23.24</v>
      </c>
      <c r="V267" s="57" cm="1">
        <f t="array" ref="V267">VLOOKUP(B267,'Player Data'!$A1:$AE673,10,FALSE)*$Q267*IFERROR(((VLOOKUP(P267,Settings!$E$28:$F$33,2,FALSE)/2)+1),1)</f>
        <v>71.38</v>
      </c>
      <c r="W267" s="57" cm="1">
        <f t="array" ref="W267">VLOOKUP(B267,'Player Data'!$A1:$AE673,11,FALSE)*$Q267*IFERROR((VLOOKUP(P267,Settings!$E$28:$F$33,2,FALSE)+1),1)</f>
        <v>0</v>
      </c>
      <c r="X267" s="57" cm="1">
        <f t="array" ref="X267">VLOOKUP(B267,'Player Data'!$A1:$AE673,12,FALSE)*$Q267*IFERROR((VLOOKUP(P267,Settings!$E$28:$F$33,2,FALSE)+1),1)</f>
        <v>0</v>
      </c>
      <c r="Y267" s="57" cm="1">
        <f t="array" ref="Y267">VLOOKUP(B267,'Player Data'!$A1:$AE673,13,FALSE)*$Q267</f>
        <v>0</v>
      </c>
      <c r="Z267" s="57" cm="1">
        <f t="array" ref="Z267">VLOOKUP(B267,'Player Data'!$A1:$AE673,14,FALSE)*$Q267</f>
        <v>0</v>
      </c>
      <c r="AA267" s="57" cm="1">
        <f t="array" ref="AA267">VLOOKUP(B267,'Player Data'!$A1:$AE673,15,FALSE)*$Q267</f>
        <v>138.60999999999999</v>
      </c>
      <c r="AB267" s="57" cm="1">
        <f t="array" ref="AB267">VLOOKUP(B267,'Player Data'!$A1:$AE673,16,FALSE)*$Q267</f>
        <v>81.34</v>
      </c>
      <c r="AC267" s="57" cm="1">
        <f t="array" ref="AC267">VLOOKUP(B267,'Player Data'!$A1:$AE673,17,FALSE)*$Q267*IFERROR((VLOOKUP(P267,Settings!$E$28:$F$33,2,FALSE)+1),1)</f>
        <v>0</v>
      </c>
      <c r="AD267" s="57" cm="1">
        <f t="array" ref="AD267">VLOOKUP(B267,'Player Data'!$A1:$AE673,18,FALSE)*$Q267</f>
        <v>48.97</v>
      </c>
      <c r="AE267" s="57" cm="1">
        <f t="array" ref="AE267">VLOOKUP(B267,'Player Data'!$A1:$AE673,19,FALSE)*$Q267*IFERROR((VLOOKUP(P267,Settings!$E$28:$F$33,2,FALSE)+1),1)</f>
        <v>0.83000000000000007</v>
      </c>
      <c r="AF267" s="57" cm="1">
        <f t="array" ref="AF267">VLOOKUP(B267,'Player Data'!$A1:$AE673,20,FALSE)*$Q267</f>
        <v>0</v>
      </c>
      <c r="AG267" s="57" cm="1">
        <f t="array" ref="AG267">VLOOKUP(B267,'Player Data'!$A1:$AE673,21,FALSE)*$Q267</f>
        <v>0</v>
      </c>
      <c r="AH267" s="59" cm="1">
        <f t="array" ref="AH267">VLOOKUP(B267,'Player Data'!$A1:$AE673,22,FALSE)</f>
        <v>0</v>
      </c>
      <c r="AI267" s="55"/>
      <c r="AJ267" s="57"/>
      <c r="AK267" s="57"/>
      <c r="AL267" s="57"/>
      <c r="AM267" s="57"/>
      <c r="AN267" s="57"/>
      <c r="AO267" s="57"/>
      <c r="AP267" s="57"/>
      <c r="AQ267" s="60"/>
      <c r="AR267" s="61"/>
      <c r="AS267" s="55"/>
    </row>
    <row r="268" spans="1:45" ht="21.25" customHeight="1" x14ac:dyDescent="0.15">
      <c r="A268" s="62">
        <f>RANK(K268,K$2:K$671)</f>
        <v>225</v>
      </c>
      <c r="B268" s="10" t="s">
        <v>353</v>
      </c>
      <c r="C268" s="47" t="s">
        <v>145</v>
      </c>
      <c r="D268" s="48" t="str" cm="1">
        <f t="array" ref="D268">VLOOKUP(B268,'Player Data'!A1:D673,4,FALSE)</f>
        <v>C,RW</v>
      </c>
      <c r="E268" s="74" cm="1">
        <f t="array" ref="E268">VLOOKUP(B268,RW!A1:F210,3,FALSE)</f>
        <v>54</v>
      </c>
      <c r="F268" s="65" t="str" cm="1">
        <f t="array" ref="F268">VLOOKUP(B268,'Player Data'!A1:B673,2,FALSE)</f>
        <v>CAR</v>
      </c>
      <c r="G268" s="71" cm="1">
        <f t="array" ref="G268">VLOOKUP(B268,'Player Data'!A1:D673,3,FALSE)</f>
        <v>23</v>
      </c>
      <c r="H268" s="51" cm="1">
        <f t="array" ref="H268">IFERROR(VLOOKUP(B268,ADP!A1:F671,6,FALSE)/1000000,VLOOKUP(B268,ADP!A1:F671,6,FALSE))</f>
        <v>6</v>
      </c>
      <c r="I268" s="52">
        <f>IF(Settings!$E$15="POINTS",((R268*Q268)*Settings!$B$12)+(S268*Settings!$B$2)+(T268*Settings!$B$3)+(U268*Settings!$B$4)+(V268*Settings!$B$5)+(X268*Settings!$B$9)+(AA268*Settings!$B$6)+(W268*Settings!$B$8)+(AB268*Settings!$B$7)+(AC268*Settings!$B$14)+(AD268*Settings!$B$15)+(AE268*Settings!$B$16)+(AF268*Settings!$B$17)+(AG268*Settings!$B$18)+(Y268*Settings!$B$10)+(Z268*Settings!$B$11),VLOOKUP(B268,'Standard Deviations'!A$1:C$672,3,FALSE))</f>
        <v>3.9937038316669402</v>
      </c>
      <c r="J268" s="53" cm="1">
        <f t="array" ref="J268">IF(D268="G",I268/AJ268,I268/Q268)</f>
        <v>4.8703705264230977E-2</v>
      </c>
      <c r="K268" s="52" cm="1">
        <f t="array" ref="K268">IF(Settings!$E$18="C/LW/RW",VLOOKUP(B268,RW!A1:F210,6,FALSE),VLOOKUP(B268,F!A1:F407,6,FALSE))</f>
        <v>-2.8935307701421373</v>
      </c>
      <c r="L268" s="54" cm="1">
        <f t="array" ref="L268">IFERROR(K268/H268,"N/A")</f>
        <v>-0.48225512835702289</v>
      </c>
      <c r="M268" s="55">
        <v>141.6</v>
      </c>
      <c r="N268" s="55" cm="1">
        <f t="array" ref="N268">IFERROR(M268-A268,"N/A")</f>
        <v>-83.4</v>
      </c>
      <c r="O268" s="55"/>
      <c r="P268" s="56" t="str" cm="1">
        <f t="array" ref="P268">_xlfn.XLOOKUP($B268,ADP!A2:A671,ADP!G2:G671)</f>
        <v>+</v>
      </c>
      <c r="Q268" s="57" cm="1">
        <f t="array" ref="Q268">IF(Settings!$E$12="YES",VLOOKUP(B268,'Player Data'!A1:E673,5,FALSE),84)</f>
        <v>82</v>
      </c>
      <c r="R268" s="81" cm="1">
        <f t="array" ref="R268">VLOOKUP(B268,'Player Data'!$A1:$AE673,6,FALSE)</f>
        <v>16.5</v>
      </c>
      <c r="S268" s="57" cm="1">
        <f t="array" ref="S268">VLOOKUP(B268,'Player Data'!$A1:$AE673,7,FALSE)*$Q268*IFERROR((VLOOKUP(P268,Settings!$E$28:$F$33,2,FALSE)+1),1)</f>
        <v>22.386000000000003</v>
      </c>
      <c r="T268" s="57" cm="1">
        <f t="array" ref="T268">VLOOKUP(B268,'Player Data'!$A1:$AE673,8,FALSE)*$Q268*IFERROR((VLOOKUP(P268,Settings!$E$28:$F$33,2,FALSE)+1),1)</f>
        <v>30.135000000000002</v>
      </c>
      <c r="U268" s="57" cm="1">
        <f t="array" ref="U268">SUM(S268:T268)</f>
        <v>52.521000000000001</v>
      </c>
      <c r="V268" s="57" cm="1">
        <f t="array" ref="V268">VLOOKUP(B268,'Player Data'!$A1:$AE673,10,FALSE)*$Q268*IFERROR(((VLOOKUP(P268,Settings!$E$28:$F$33,2,FALSE)/2)+1),1)</f>
        <v>190.79349999999999</v>
      </c>
      <c r="W268" s="57" cm="1">
        <f t="array" ref="W268">VLOOKUP(B268,'Player Data'!$A1:$AE673,11,FALSE)*$Q268*IFERROR((VLOOKUP(P268,Settings!$E$28:$F$33,2,FALSE)+1),1)</f>
        <v>5.1660000000000004</v>
      </c>
      <c r="X268" s="57" cm="1">
        <f t="array" ref="X268">VLOOKUP(B268,'Player Data'!$A1:$AE673,12,FALSE)*$Q268*IFERROR((VLOOKUP(P268,Settings!$E$28:$F$33,2,FALSE)+1),1)</f>
        <v>12.054</v>
      </c>
      <c r="Y268" s="57" cm="1">
        <f t="array" ref="Y268">VLOOKUP(B268,'Player Data'!$A1:$AE673,13,FALSE)*$Q268</f>
        <v>0</v>
      </c>
      <c r="Z268" s="57" cm="1">
        <f t="array" ref="Z268">VLOOKUP(B268,'Player Data'!$A1:$AE673,14,FALSE)*$Q268</f>
        <v>0</v>
      </c>
      <c r="AA268" s="57" cm="1">
        <f t="array" ref="AA268">VLOOKUP(B268,'Player Data'!$A1:$AE673,15,FALSE)*$Q268</f>
        <v>28.7</v>
      </c>
      <c r="AB268" s="57" cm="1">
        <f t="array" ref="AB268">VLOOKUP(B268,'Player Data'!$A1:$AE673,16,FALSE)*$Q268</f>
        <v>56.58</v>
      </c>
      <c r="AC268" s="57" cm="1">
        <f t="array" ref="AC268">VLOOKUP(B268,'Player Data'!$A1:$AE673,17,FALSE)*$Q268*IFERROR((VLOOKUP(P268,Settings!$E$28:$F$33,2,FALSE)+1),1)</f>
        <v>8.6100000000000012</v>
      </c>
      <c r="AD268" s="57" cm="1">
        <f t="array" ref="AD268">VLOOKUP(B268,'Player Data'!$A1:$AE673,18,FALSE)*$Q268</f>
        <v>22.96</v>
      </c>
      <c r="AE268" s="57" cm="1">
        <f t="array" ref="AE268">VLOOKUP(B268,'Player Data'!$A1:$AE673,19,FALSE)*$Q268*IFERROR((VLOOKUP(P268,Settings!$E$28:$F$33,2,FALSE)+1),1)</f>
        <v>3.4440000000000004</v>
      </c>
      <c r="AF268" s="57" cm="1">
        <f t="array" ref="AF268">VLOOKUP(B268,'Player Data'!$A1:$AE673,20,FALSE)*$Q268</f>
        <v>387.03999999999996</v>
      </c>
      <c r="AG268" s="57" cm="1">
        <f t="array" ref="AG268">VLOOKUP(B268,'Player Data'!$A1:$AE673,21,FALSE)*$Q268</f>
        <v>446.08000000000004</v>
      </c>
      <c r="AH268" s="59" cm="1">
        <f t="array" ref="AH268">VLOOKUP(B268,'Player Data'!$A1:$AE673,22,FALSE)</f>
        <v>0.46</v>
      </c>
      <c r="AI268" s="55"/>
      <c r="AJ268" s="57"/>
      <c r="AK268" s="57"/>
      <c r="AL268" s="57"/>
      <c r="AM268" s="57"/>
      <c r="AN268" s="57"/>
      <c r="AO268" s="57"/>
      <c r="AP268" s="57"/>
      <c r="AQ268" s="60"/>
      <c r="AR268" s="61"/>
      <c r="AS268" s="55"/>
    </row>
    <row r="269" spans="1:45" ht="21.25" customHeight="1" x14ac:dyDescent="0.15">
      <c r="A269" s="62">
        <f>RANK(K269,K$2:K$671)</f>
        <v>227</v>
      </c>
      <c r="B269" s="10" t="s">
        <v>370</v>
      </c>
      <c r="C269" s="47" t="s">
        <v>145</v>
      </c>
      <c r="D269" s="48" t="str" cm="1">
        <f t="array" ref="D269">VLOOKUP(B269,'Player Data'!A1:D673,4,FALSE)</f>
        <v>RW</v>
      </c>
      <c r="E269" s="64" cm="1">
        <f t="array" ref="E269">VLOOKUP(B269,RW!A1:F210,3,FALSE)</f>
        <v>55</v>
      </c>
      <c r="F269" s="73" t="str" cm="1">
        <f t="array" ref="F269">VLOOKUP(B269,'Player Data'!A1:B673,2,FALSE)</f>
        <v>BUF</v>
      </c>
      <c r="G269" s="71" cm="1">
        <f t="array" ref="G269">VLOOKUP(B269,'Player Data'!A1:D673,3,FALSE)</f>
        <v>24</v>
      </c>
      <c r="H269" s="51" cm="1">
        <f t="array" ref="H269">IFERROR(VLOOKUP(B269,ADP!A1:F671,6,FALSE)/1000000,VLOOKUP(B269,ADP!A1:F671,6,FALSE))</f>
        <v>6.95</v>
      </c>
      <c r="I269" s="52">
        <f>IF(Settings!$E$15="POINTS",((R269*Q269)*Settings!$B$12)+(S269*Settings!$B$2)+(T269*Settings!$B$3)+(U269*Settings!$B$4)+(V269*Settings!$B$5)+(X269*Settings!$B$9)+(AA269*Settings!$B$6)+(W269*Settings!$B$8)+(AB269*Settings!$B$7)+(AC269*Settings!$B$14)+(AD269*Settings!$B$15)+(AE269*Settings!$B$16)+(AF269*Settings!$B$17)+(AG269*Settings!$B$18)+(Y269*Settings!$B$10)+(Z269*Settings!$B$11),VLOOKUP(B269,'Standard Deviations'!A$1:C$672,3,FALSE))</f>
        <v>3.9731035109537971</v>
      </c>
      <c r="J269" s="53" cm="1">
        <f t="array" ref="J269">IF(D269="G",I269/AJ269,I269/Q269)</f>
        <v>5.1598746895503859E-2</v>
      </c>
      <c r="K269" s="52" cm="1">
        <f t="array" ref="K269">IF(Settings!$E$18="C/LW/RW",VLOOKUP(B269,RW!A1:F210,6,FALSE),VLOOKUP(B269,F!A1:F407,6,FALSE))</f>
        <v>-2.9141310908552804</v>
      </c>
      <c r="L269" s="54" cm="1">
        <f t="array" ref="L269">IFERROR(K269/H269,"N/A")</f>
        <v>-0.41929943753313387</v>
      </c>
      <c r="M269" s="55">
        <v>134.69999999999999</v>
      </c>
      <c r="N269" s="55" cm="1">
        <f t="array" ref="N269">IFERROR(M269-A269,"N/A")</f>
        <v>-92.300000000000011</v>
      </c>
      <c r="O269" s="55"/>
      <c r="P269" s="56" t="str" cm="1">
        <f t="array" ref="P269">_xlfn.XLOOKUP($B269,ADP!A2:A671,ADP!G2:G671)</f>
        <v>+</v>
      </c>
      <c r="Q269" s="57" cm="1">
        <f t="array" ref="Q269">IF(Settings!$E$12="YES",VLOOKUP(B269,'Player Data'!A1:E673,5,FALSE),84)</f>
        <v>77</v>
      </c>
      <c r="R269" s="55" cm="1">
        <f t="array" ref="R269">VLOOKUP(B269,'Player Data'!$A1:$AE673,6,FALSE)</f>
        <v>16.600000000000001</v>
      </c>
      <c r="S269" s="57" cm="1">
        <f t="array" ref="S269">VLOOKUP(B269,'Player Data'!$A1:$AE673,7,FALSE)*$Q269*IFERROR((VLOOKUP(P269,Settings!$E$28:$F$33,2,FALSE)+1),1)</f>
        <v>25.872000000000003</v>
      </c>
      <c r="T269" s="57" cm="1">
        <f t="array" ref="T269">VLOOKUP(B269,'Player Data'!$A1:$AE673,8,FALSE)*$Q269*IFERROR((VLOOKUP(P269,Settings!$E$28:$F$33,2,FALSE)+1),1)</f>
        <v>29.9145</v>
      </c>
      <c r="U269" s="57" cm="1">
        <f t="array" ref="U269">SUM(S269:T269)</f>
        <v>55.786500000000004</v>
      </c>
      <c r="V269" s="57" cm="1">
        <f t="array" ref="V269">VLOOKUP(B269,'Player Data'!$A1:$AE673,10,FALSE)*$Q269*IFERROR(((VLOOKUP(P269,Settings!$E$28:$F$33,2,FALSE)/2)+1),1)</f>
        <v>177.58124999999998</v>
      </c>
      <c r="W269" s="57" cm="1">
        <f t="array" ref="W269">VLOOKUP(B269,'Player Data'!$A1:$AE673,11,FALSE)*$Q269*IFERROR((VLOOKUP(P269,Settings!$E$28:$F$33,2,FALSE)+1),1)</f>
        <v>8.8935000000000013</v>
      </c>
      <c r="X269" s="78" cm="1">
        <f t="array" ref="X269">VLOOKUP(B269,'Player Data'!$A1:$AE673,12,FALSE)*$Q269*IFERROR((VLOOKUP(P269,Settings!$E$28:$F$33,2,FALSE)+1),1)</f>
        <v>17.787000000000003</v>
      </c>
      <c r="Y269" s="57" cm="1">
        <f t="array" ref="Y269">VLOOKUP(B269,'Player Data'!$A1:$AE673,13,FALSE)*$Q269</f>
        <v>0</v>
      </c>
      <c r="Z269" s="57" cm="1">
        <f t="array" ref="Z269">VLOOKUP(B269,'Player Data'!$A1:$AE673,14,FALSE)*$Q269</f>
        <v>0</v>
      </c>
      <c r="AA269" s="57" cm="1">
        <f t="array" ref="AA269">VLOOKUP(B269,'Player Data'!$A1:$AE673,15,FALSE)*$Q269</f>
        <v>31.569999999999997</v>
      </c>
      <c r="AB269" s="57" cm="1">
        <f t="array" ref="AB269">VLOOKUP(B269,'Player Data'!$A1:$AE673,16,FALSE)*$Q269</f>
        <v>79.31</v>
      </c>
      <c r="AC269" s="57" cm="1">
        <f t="array" ref="AC269">VLOOKUP(B269,'Player Data'!$A1:$AE673,17,FALSE)*$Q269*IFERROR((VLOOKUP(P269,Settings!$E$28:$F$33,2,FALSE)+1),1)</f>
        <v>3.2340000000000004</v>
      </c>
      <c r="AD269" s="57" cm="1">
        <f t="array" ref="AD269">VLOOKUP(B269,'Player Data'!$A1:$AE673,18,FALSE)*$Q269</f>
        <v>23.87</v>
      </c>
      <c r="AE269" s="57" cm="1">
        <f t="array" ref="AE269">VLOOKUP(B269,'Player Data'!$A1:$AE673,19,FALSE)*$Q269*IFERROR((VLOOKUP(P269,Settings!$E$28:$F$33,2,FALSE)+1),1)</f>
        <v>4.0425000000000004</v>
      </c>
      <c r="AF269" s="57" cm="1">
        <f t="array" ref="AF269">VLOOKUP(B269,'Player Data'!$A1:$AE673,20,FALSE)*$Q269</f>
        <v>9.24</v>
      </c>
      <c r="AG269" s="57" cm="1">
        <f t="array" ref="AG269">VLOOKUP(B269,'Player Data'!$A1:$AE673,21,FALSE)*$Q269</f>
        <v>23.87</v>
      </c>
      <c r="AH269" s="59" cm="1">
        <f t="array" ref="AH269">VLOOKUP(B269,'Player Data'!$A1:$AE673,22,FALSE)</f>
        <v>0.28999999999999998</v>
      </c>
      <c r="AI269" s="55"/>
      <c r="AJ269" s="57"/>
      <c r="AK269" s="57"/>
      <c r="AL269" s="57"/>
      <c r="AM269" s="57"/>
      <c r="AN269" s="57"/>
      <c r="AO269" s="57"/>
      <c r="AP269" s="57"/>
      <c r="AQ269" s="60"/>
      <c r="AR269" s="61"/>
      <c r="AS269" s="55"/>
    </row>
    <row r="270" spans="1:45" ht="21.25" customHeight="1" x14ac:dyDescent="0.15">
      <c r="A270" s="62">
        <f>RANK(K270,K$2:K$671)</f>
        <v>286</v>
      </c>
      <c r="B270" s="10" t="s">
        <v>389</v>
      </c>
      <c r="C270" s="47" t="s">
        <v>145</v>
      </c>
      <c r="D270" s="48" t="str" cm="1">
        <f t="array" ref="D270">VLOOKUP(B270,'Player Data'!A1:D673,4,FALSE)</f>
        <v>D</v>
      </c>
      <c r="E270" s="68" cm="1">
        <f t="array" ref="E270">VLOOKUP(B270,D!A1:C204,3,FALSE)</f>
        <v>131</v>
      </c>
      <c r="F270" s="72" t="str" cm="1">
        <f t="array" ref="F270">VLOOKUP(B270,'Player Data'!A1:B673,2,FALSE)</f>
        <v>NYI</v>
      </c>
      <c r="G270" s="11" cm="1">
        <f t="array" ref="G270">VLOOKUP(B270,'Player Data'!A1:D673,3,FALSE)</f>
        <v>26</v>
      </c>
      <c r="H270" s="51" cm="1">
        <f t="array" ref="H270">IFERROR(VLOOKUP(B270,ADP!A1:F671,6,FALSE)/1000000,VLOOKUP(B270,ADP!A1:F671,6,FALSE))</f>
        <v>6.25</v>
      </c>
      <c r="I270" s="52">
        <f>IF(Settings!$E$15="POINTS",((R270*Q270)*Settings!$B$12)+(S270*Settings!$B$2)+(T270*Settings!$B$3)+(U270*Settings!$B$4)+(V270*Settings!$B$5)+(X270*Settings!$B$9)+(AA270*Settings!$B$6)+(W270*Settings!$B$8)+(AB270*Settings!$B$7)+(AC270*Settings!$B$14)+(AD270*Settings!$B$15)+(AE270*Settings!$B$16)+(AF270*Settings!$B$17)+(AG270*Settings!$B$18)+(U270*Settings!$B$13)+(Y270*Settings!$B$10)+(Z270*Settings!$B$11),VLOOKUP(B270,'Standard Deviations'!A$1:C$672,3,FALSE))</f>
        <v>-3.3136977973440835</v>
      </c>
      <c r="J270" s="53" cm="1">
        <f t="array" ref="J270">IF(D270="G",I270/AJ270,I270/Q270)</f>
        <v>-4.3601286807158995E-2</v>
      </c>
      <c r="K270" s="52" cm="1">
        <f t="array" ref="K270">VLOOKUP(B270,D!A1:F204,6,FALSE)</f>
        <v>-3.8805487118616382</v>
      </c>
      <c r="L270" s="54" cm="1">
        <f t="array" ref="L270">IFERROR(K270/H270,"N/A")</f>
        <v>-0.62088779389786208</v>
      </c>
      <c r="M270" s="84" t="s">
        <v>828</v>
      </c>
      <c r="N270" s="84" t="str" cm="1">
        <f t="array" ref="N270">IFERROR(M270-A270,"N/A")</f>
        <v>N/A</v>
      </c>
      <c r="O270" s="55"/>
      <c r="P270" s="56" cm="1">
        <f t="array" ref="P270">_xlfn.XLOOKUP($B270,ADP!A2:A671,ADP!G2:G671)</f>
        <v>0</v>
      </c>
      <c r="Q270" s="57" cm="1">
        <f t="array" ref="Q270">IF(Settings!$E$12="YES",VLOOKUP(B270,'Player Data'!A1:E673,5,FALSE),84)</f>
        <v>76</v>
      </c>
      <c r="R270" s="55" cm="1">
        <f t="array" ref="R270">VLOOKUP(B270,'Player Data'!$A1:$AE673,6,FALSE)</f>
        <v>18.899999999999999</v>
      </c>
      <c r="S270" s="57" cm="1">
        <f t="array" ref="S270">VLOOKUP(B270,'Player Data'!$A1:$AE673,7,FALSE)*$Q270*IFERROR((VLOOKUP(P270,Settings!$E$28:$F$33,2,FALSE)+1),1)</f>
        <v>4.5599999999999996</v>
      </c>
      <c r="T270" s="57" cm="1">
        <f t="array" ref="T270">VLOOKUP(B270,'Player Data'!$A1:$AE673,8,FALSE)*$Q270*IFERROR((VLOOKUP(P270,Settings!$E$28:$F$33,2,FALSE)+1),1)</f>
        <v>14.44</v>
      </c>
      <c r="U270" s="57" cm="1">
        <f t="array" ref="U270">SUM(S270:T270)</f>
        <v>19</v>
      </c>
      <c r="V270" s="57" cm="1">
        <f t="array" ref="V270">VLOOKUP(B270,'Player Data'!$A1:$AE673,10,FALSE)*$Q270*IFERROR(((VLOOKUP(P270,Settings!$E$28:$F$33,2,FALSE)/2)+1),1)</f>
        <v>95.76</v>
      </c>
      <c r="W270" s="57" cm="1">
        <f t="array" ref="W270">VLOOKUP(B270,'Player Data'!$A1:$AE673,11,FALSE)*$Q270*IFERROR((VLOOKUP(P270,Settings!$E$28:$F$33,2,FALSE)+1),1)</f>
        <v>0</v>
      </c>
      <c r="X270" s="57" cm="1">
        <f t="array" ref="X270">VLOOKUP(B270,'Player Data'!$A1:$AE673,12,FALSE)*$Q270*IFERROR((VLOOKUP(P270,Settings!$E$28:$F$33,2,FALSE)+1),1)</f>
        <v>0</v>
      </c>
      <c r="Y270" s="57" cm="1">
        <f t="array" ref="Y270">VLOOKUP(B270,'Player Data'!$A1:$AE673,13,FALSE)*$Q270</f>
        <v>0</v>
      </c>
      <c r="Z270" s="57" cm="1">
        <f t="array" ref="Z270">VLOOKUP(B270,'Player Data'!$A1:$AE673,14,FALSE)*$Q270</f>
        <v>0.76</v>
      </c>
      <c r="AA270" s="57" cm="1">
        <f t="array" ref="AA270">VLOOKUP(B270,'Player Data'!$A1:$AE673,15,FALSE)*$Q270</f>
        <v>139.08000000000001</v>
      </c>
      <c r="AB270" s="57" cm="1">
        <f t="array" ref="AB270">VLOOKUP(B270,'Player Data'!$A1:$AE673,16,FALSE)*$Q270</f>
        <v>119.32000000000001</v>
      </c>
      <c r="AC270" s="57" cm="1">
        <f t="array" ref="AC270">VLOOKUP(B270,'Player Data'!$A1:$AE673,17,FALSE)*$Q270*IFERROR((VLOOKUP(P270,Settings!$E$28:$F$33,2,FALSE)+1),1)</f>
        <v>-4.5599999999999996</v>
      </c>
      <c r="AD270" s="57" cm="1">
        <f t="array" ref="AD270">VLOOKUP(B270,'Player Data'!$A1:$AE673,18,FALSE)*$Q270</f>
        <v>23.56</v>
      </c>
      <c r="AE270" s="57" cm="1">
        <f t="array" ref="AE270">VLOOKUP(B270,'Player Data'!$A1:$AE673,19,FALSE)*$Q270*IFERROR((VLOOKUP(P270,Settings!$E$28:$F$33,2,FALSE)+1),1)</f>
        <v>0.76</v>
      </c>
      <c r="AF270" s="57" cm="1">
        <f t="array" ref="AF270">VLOOKUP(B270,'Player Data'!$A1:$AE673,20,FALSE)*$Q270</f>
        <v>0</v>
      </c>
      <c r="AG270" s="57" cm="1">
        <f t="array" ref="AG270">VLOOKUP(B270,'Player Data'!$A1:$AE673,21,FALSE)*$Q270</f>
        <v>0</v>
      </c>
      <c r="AH270" s="59" cm="1">
        <f t="array" ref="AH270">VLOOKUP(B270,'Player Data'!$A1:$AE673,22,FALSE)</f>
        <v>0</v>
      </c>
      <c r="AI270" s="55"/>
      <c r="AJ270" s="57"/>
      <c r="AK270" s="57"/>
      <c r="AL270" s="57"/>
      <c r="AM270" s="57"/>
      <c r="AN270" s="57"/>
      <c r="AO270" s="57"/>
      <c r="AP270" s="57"/>
      <c r="AQ270" s="60"/>
      <c r="AR270" s="61"/>
      <c r="AS270" s="55"/>
    </row>
    <row r="271" spans="1:45" ht="21.25" customHeight="1" x14ac:dyDescent="0.15">
      <c r="A271" s="62">
        <f>RANK(K271,K$2:K$671)</f>
        <v>287</v>
      </c>
      <c r="B271" s="10" t="s">
        <v>546</v>
      </c>
      <c r="C271" s="47" t="s">
        <v>145</v>
      </c>
      <c r="D271" s="48" t="str" cm="1">
        <f t="array" ref="D271">VLOOKUP(B271,'Player Data'!A1:D673,4,FALSE)</f>
        <v>D</v>
      </c>
      <c r="E271" s="68" cm="1">
        <f t="array" ref="E271">VLOOKUP(B271,D!A1:C204,3,FALSE)</f>
        <v>132</v>
      </c>
      <c r="F271" s="63" t="str" cm="1">
        <f t="array" ref="F271">VLOOKUP(B271,'Player Data'!A1:B673,2,FALSE)</f>
        <v>WPG</v>
      </c>
      <c r="G271" s="71" cm="1">
        <f t="array" ref="G271">VLOOKUP(B271,'Player Data'!A1:D673,3,FALSE)</f>
        <v>22</v>
      </c>
      <c r="H271" s="51" cm="1">
        <f t="array" ref="H271">IFERROR(VLOOKUP(B271,ADP!A1:F671,6,FALSE)/1000000,VLOOKUP(B271,ADP!A1:F671,6,FALSE))</f>
        <v>0.86499999999999999</v>
      </c>
      <c r="I271" s="52">
        <f>IF(Settings!$E$15="POINTS",((R271*Q271)*Settings!$B$12)+(S271*Settings!$B$2)+(T271*Settings!$B$3)+(U271*Settings!$B$4)+(V271*Settings!$B$5)+(X271*Settings!$B$9)+(AA271*Settings!$B$6)+(W271*Settings!$B$8)+(AB271*Settings!$B$7)+(AC271*Settings!$B$14)+(AD271*Settings!$B$15)+(AE271*Settings!$B$16)+(AF271*Settings!$B$17)+(AG271*Settings!$B$18)+(U271*Settings!$B$13)+(Y271*Settings!$B$10)+(Z271*Settings!$B$11),VLOOKUP(B271,'Standard Deviations'!A$1:C$672,3,FALSE))</f>
        <v>-3.3267757502475486</v>
      </c>
      <c r="J271" s="53" cm="1">
        <f t="array" ref="J271">IF(D271="G",I271/AJ271,I271/Q271)</f>
        <v>-4.4956429057399307E-2</v>
      </c>
      <c r="K271" s="52" cm="1">
        <f t="array" ref="K271">VLOOKUP(B271,D!A1:F204,6,FALSE)</f>
        <v>-3.8936266647651028</v>
      </c>
      <c r="L271" s="54" cm="1">
        <f t="array" ref="L271">IFERROR(K271/H271,"N/A")</f>
        <v>-4.501302502618616</v>
      </c>
      <c r="M271" s="84" t="s">
        <v>828</v>
      </c>
      <c r="N271" s="84" t="str" cm="1">
        <f t="array" ref="N271">IFERROR(M271-A271,"N/A")</f>
        <v>N/A</v>
      </c>
      <c r="O271" s="55"/>
      <c r="P271" s="56" cm="1">
        <f t="array" ref="P271">_xlfn.XLOOKUP($B271,ADP!A2:A671,ADP!G2:G671)</f>
        <v>0</v>
      </c>
      <c r="Q271" s="57" cm="1">
        <f t="array" ref="Q271">IF(Settings!$E$12="YES",VLOOKUP(B271,'Player Data'!A1:E673,5,FALSE),84)</f>
        <v>74</v>
      </c>
      <c r="R271" s="83" cm="1">
        <f t="array" ref="R271">VLOOKUP(B271,'Player Data'!$A1:$AE673,6,FALSE)</f>
        <v>16.100000000000001</v>
      </c>
      <c r="S271" s="57" cm="1">
        <f t="array" ref="S271">VLOOKUP(B271,'Player Data'!$A1:$AE673,7,FALSE)*$Q271*IFERROR((VLOOKUP(P271,Settings!$E$28:$F$33,2,FALSE)+1),1)</f>
        <v>2.96</v>
      </c>
      <c r="T271" s="57" cm="1">
        <f t="array" ref="T271">VLOOKUP(B271,'Player Data'!$A1:$AE673,8,FALSE)*$Q271*IFERROR((VLOOKUP(P271,Settings!$E$28:$F$33,2,FALSE)+1),1)</f>
        <v>11.1</v>
      </c>
      <c r="U271" s="57" cm="1">
        <f t="array" ref="U271">SUM(S271:T271)</f>
        <v>14.059999999999999</v>
      </c>
      <c r="V271" s="57" cm="1">
        <f t="array" ref="V271">VLOOKUP(B271,'Player Data'!$A1:$AE673,10,FALSE)*$Q271*IFERROR(((VLOOKUP(P271,Settings!$E$28:$F$33,2,FALSE)/2)+1),1)</f>
        <v>76.22</v>
      </c>
      <c r="W271" s="57" cm="1">
        <f t="array" ref="W271">VLOOKUP(B271,'Player Data'!$A1:$AE673,11,FALSE)*$Q271*IFERROR((VLOOKUP(P271,Settings!$E$28:$F$33,2,FALSE)+1),1)</f>
        <v>0</v>
      </c>
      <c r="X271" s="57" cm="1">
        <f t="array" ref="X271">VLOOKUP(B271,'Player Data'!$A1:$AE673,12,FALSE)*$Q271*IFERROR((VLOOKUP(P271,Settings!$E$28:$F$33,2,FALSE)+1),1)</f>
        <v>1.48</v>
      </c>
      <c r="Y271" s="57" cm="1">
        <f t="array" ref="Y271">VLOOKUP(B271,'Player Data'!$A1:$AE673,13,FALSE)*$Q271</f>
        <v>0</v>
      </c>
      <c r="Z271" s="57" cm="1">
        <f t="array" ref="Z271">VLOOKUP(B271,'Player Data'!$A1:$AE673,14,FALSE)*$Q271</f>
        <v>0</v>
      </c>
      <c r="AA271" s="57" cm="1">
        <f t="array" ref="AA271">VLOOKUP(B271,'Player Data'!$A1:$AE673,15,FALSE)*$Q271</f>
        <v>71.039999999999992</v>
      </c>
      <c r="AB271" s="57" cm="1">
        <f t="array" ref="AB271">VLOOKUP(B271,'Player Data'!$A1:$AE673,16,FALSE)*$Q271</f>
        <v>91.02</v>
      </c>
      <c r="AC271" s="57" cm="1">
        <f t="array" ref="AC271">VLOOKUP(B271,'Player Data'!$A1:$AE673,17,FALSE)*$Q271*IFERROR((VLOOKUP(P271,Settings!$E$28:$F$33,2,FALSE)+1),1)</f>
        <v>0.74</v>
      </c>
      <c r="AD271" s="57" cm="1">
        <f t="array" ref="AD271">VLOOKUP(B271,'Player Data'!$A1:$AE673,18,FALSE)*$Q271</f>
        <v>26.64</v>
      </c>
      <c r="AE271" s="57" cm="1">
        <f t="array" ref="AE271">VLOOKUP(B271,'Player Data'!$A1:$AE673,19,FALSE)*$Q271*IFERROR((VLOOKUP(P271,Settings!$E$28:$F$33,2,FALSE)+1),1)</f>
        <v>0.74</v>
      </c>
      <c r="AF271" s="57" cm="1">
        <f t="array" ref="AF271">VLOOKUP(B271,'Player Data'!$A1:$AE673,20,FALSE)*$Q271</f>
        <v>0</v>
      </c>
      <c r="AG271" s="57" cm="1">
        <f t="array" ref="AG271">VLOOKUP(B271,'Player Data'!$A1:$AE673,21,FALSE)*$Q271</f>
        <v>0</v>
      </c>
      <c r="AH271" s="59" cm="1">
        <f t="array" ref="AH271">VLOOKUP(B271,'Player Data'!$A1:$AE673,22,FALSE)</f>
        <v>0</v>
      </c>
      <c r="AI271" s="55"/>
      <c r="AJ271" s="57"/>
      <c r="AK271" s="57"/>
      <c r="AL271" s="57"/>
      <c r="AM271" s="57"/>
      <c r="AN271" s="57"/>
      <c r="AO271" s="57"/>
      <c r="AP271" s="57"/>
      <c r="AQ271" s="60"/>
      <c r="AR271" s="61"/>
      <c r="AS271" s="55"/>
    </row>
    <row r="272" spans="1:45" ht="21.25" customHeight="1" x14ac:dyDescent="0.15">
      <c r="A272" s="62">
        <f>RANK(K272,K$2:K$671)</f>
        <v>232</v>
      </c>
      <c r="B272" s="10" t="s">
        <v>272</v>
      </c>
      <c r="C272" s="47" t="s">
        <v>145</v>
      </c>
      <c r="D272" s="48" t="str" cm="1">
        <f t="array" ref="D272">VLOOKUP(B272,'Player Data'!A1:D673,4,FALSE)</f>
        <v>RW</v>
      </c>
      <c r="E272" s="64" cm="1">
        <f t="array" ref="E272">VLOOKUP(B272,RW!A1:F210,3,FALSE)</f>
        <v>56</v>
      </c>
      <c r="F272" s="65" t="str" cm="1">
        <f t="array" ref="F272">VLOOKUP(B272,'Player Data'!A1:B673,2,FALSE)</f>
        <v>STL</v>
      </c>
      <c r="G272" s="71" cm="1">
        <f t="array" ref="G272">VLOOKUP(B272,'Player Data'!A1:D673,3,FALSE)</f>
        <v>22</v>
      </c>
      <c r="H272" s="51" cm="1">
        <f t="array" ref="H272">IFERROR(VLOOKUP(B272,ADP!A1:F671,6,FALSE)/1000000,VLOOKUP(B272,ADP!A1:F671,6,FALSE))</f>
        <v>0.95</v>
      </c>
      <c r="I272" s="52">
        <f>IF(Settings!$E$15="POINTS",((R272*Q272)*Settings!$B$12)+(S272*Settings!$B$2)+(T272*Settings!$B$3)+(U272*Settings!$B$4)+(V272*Settings!$B$5)+(X272*Settings!$B$9)+(AA272*Settings!$B$6)+(W272*Settings!$B$8)+(AB272*Settings!$B$7)+(AC272*Settings!$B$14)+(AD272*Settings!$B$15)+(AE272*Settings!$B$16)+(AF272*Settings!$B$17)+(AG272*Settings!$B$18)+(Y272*Settings!$B$10)+(Z272*Settings!$B$11),VLOOKUP(B272,'Standard Deviations'!A$1:C$672,3,FALSE))</f>
        <v>3.9173098159751953</v>
      </c>
      <c r="J272" s="53" cm="1">
        <f t="array" ref="J272">IF(D272="G",I272/AJ272,I272/Q272)</f>
        <v>4.9586200202217663E-2</v>
      </c>
      <c r="K272" s="52" cm="1">
        <f t="array" ref="K272">IF(Settings!$E$18="C/LW/RW",VLOOKUP(B272,RW!A1:F210,6,FALSE),VLOOKUP(B272,F!A1:F407,6,FALSE))</f>
        <v>-2.9699247858338822</v>
      </c>
      <c r="L272" s="54" cm="1">
        <f t="array" ref="L272">IFERROR(K272/H272,"N/A")</f>
        <v>-3.1262366166672444</v>
      </c>
      <c r="M272" s="55">
        <v>136.9</v>
      </c>
      <c r="N272" s="55" cm="1">
        <f t="array" ref="N272">IFERROR(M272-A272,"N/A")</f>
        <v>-95.1</v>
      </c>
      <c r="O272" s="55"/>
      <c r="P272" s="56" cm="1">
        <f t="array" ref="P272">_xlfn.XLOOKUP($B272,ADP!A2:A671,ADP!G2:G671)</f>
        <v>0</v>
      </c>
      <c r="Q272" s="57" cm="1">
        <f t="array" ref="Q272">IF(Settings!$E$12="YES",VLOOKUP(B272,'Player Data'!A1:E673,5,FALSE),84)</f>
        <v>79</v>
      </c>
      <c r="R272" s="81" cm="1">
        <f t="array" ref="R272">VLOOKUP(B272,'Player Data'!$A1:$AE673,6,FALSE)</f>
        <v>17.7</v>
      </c>
      <c r="S272" s="57" cm="1">
        <f t="array" ref="S272">VLOOKUP(B272,'Player Data'!$A1:$AE673,7,FALSE)*$Q272*IFERROR((VLOOKUP(P272,Settings!$E$28:$F$33,2,FALSE)+1),1)</f>
        <v>26.07</v>
      </c>
      <c r="T272" s="57" cm="1">
        <f t="array" ref="T272">VLOOKUP(B272,'Player Data'!$A1:$AE673,8,FALSE)*$Q272*IFERROR((VLOOKUP(P272,Settings!$E$28:$F$33,2,FALSE)+1),1)</f>
        <v>37.92</v>
      </c>
      <c r="U272" s="57" cm="1">
        <f t="array" ref="U272">SUM(S272:T272)</f>
        <v>63.99</v>
      </c>
      <c r="V272" s="57" cm="1">
        <f t="array" ref="V272">VLOOKUP(B272,'Player Data'!$A1:$AE673,10,FALSE)*$Q272*IFERROR(((VLOOKUP(P272,Settings!$E$28:$F$33,2,FALSE)/2)+1),1)</f>
        <v>201.45</v>
      </c>
      <c r="W272" s="57" cm="1">
        <f t="array" ref="W272">VLOOKUP(B272,'Player Data'!$A1:$AE673,11,FALSE)*$Q272*IFERROR((VLOOKUP(P272,Settings!$E$28:$F$33,2,FALSE)+1),1)</f>
        <v>7.1099999999999994</v>
      </c>
      <c r="X272" s="78" cm="1">
        <f t="array" ref="X272">VLOOKUP(B272,'Player Data'!$A1:$AE673,12,FALSE)*$Q272*IFERROR((VLOOKUP(P272,Settings!$E$28:$F$33,2,FALSE)+1),1)</f>
        <v>14.219999999999999</v>
      </c>
      <c r="Y272" s="57" cm="1">
        <f t="array" ref="Y272">VLOOKUP(B272,'Player Data'!$A1:$AE673,13,FALSE)*$Q272</f>
        <v>0</v>
      </c>
      <c r="Z272" s="57" cm="1">
        <f t="array" ref="Z272">VLOOKUP(B272,'Player Data'!$A1:$AE673,14,FALSE)*$Q272</f>
        <v>0</v>
      </c>
      <c r="AA272" s="57" cm="1">
        <f t="array" ref="AA272">VLOOKUP(B272,'Player Data'!$A1:$AE673,15,FALSE)*$Q272</f>
        <v>44.24</v>
      </c>
      <c r="AB272" s="57" cm="1">
        <f t="array" ref="AB272">VLOOKUP(B272,'Player Data'!$A1:$AE673,16,FALSE)*$Q272</f>
        <v>79.790000000000006</v>
      </c>
      <c r="AC272" s="57" cm="1">
        <f t="array" ref="AC272">VLOOKUP(B272,'Player Data'!$A1:$AE673,17,FALSE)*$Q272*IFERROR((VLOOKUP(P272,Settings!$E$28:$F$33,2,FALSE)+1),1)</f>
        <v>0</v>
      </c>
      <c r="AD272" s="57" cm="1">
        <f t="array" ref="AD272">VLOOKUP(B272,'Player Data'!$A1:$AE673,18,FALSE)*$Q272</f>
        <v>25.28</v>
      </c>
      <c r="AE272" s="57" cm="1">
        <f t="array" ref="AE272">VLOOKUP(B272,'Player Data'!$A1:$AE673,19,FALSE)*$Q272*IFERROR((VLOOKUP(P272,Settings!$E$28:$F$33,2,FALSE)+1),1)</f>
        <v>3.95</v>
      </c>
      <c r="AF272" s="57" cm="1">
        <f t="array" ref="AF272">VLOOKUP(B272,'Player Data'!$A1:$AE673,20,FALSE)*$Q272</f>
        <v>4.74</v>
      </c>
      <c r="AG272" s="57" cm="1">
        <f t="array" ref="AG272">VLOOKUP(B272,'Player Data'!$A1:$AE673,21,FALSE)*$Q272</f>
        <v>9.48</v>
      </c>
      <c r="AH272" s="59" cm="1">
        <f t="array" ref="AH272">VLOOKUP(B272,'Player Data'!$A1:$AE673,22,FALSE)</f>
        <v>0.31</v>
      </c>
      <c r="AI272" s="55"/>
      <c r="AJ272" s="57"/>
      <c r="AK272" s="57"/>
      <c r="AL272" s="57"/>
      <c r="AM272" s="57"/>
      <c r="AN272" s="57"/>
      <c r="AO272" s="57"/>
      <c r="AP272" s="57"/>
      <c r="AQ272" s="60"/>
      <c r="AR272" s="61"/>
      <c r="AS272" s="55"/>
    </row>
    <row r="273" spans="1:45" ht="21.25" customHeight="1" x14ac:dyDescent="0.15">
      <c r="A273" s="62">
        <f>RANK(K273,K$2:K$671)</f>
        <v>292</v>
      </c>
      <c r="B273" s="10" t="s">
        <v>456</v>
      </c>
      <c r="C273" s="47" t="s">
        <v>145</v>
      </c>
      <c r="D273" s="48" t="str" cm="1">
        <f t="array" ref="D273">VLOOKUP(B273,'Player Data'!A1:D673,4,FALSE)</f>
        <v>D</v>
      </c>
      <c r="E273" s="68" cm="1">
        <f t="array" ref="E273">VLOOKUP(B273,D!A1:C204,3,FALSE)</f>
        <v>133</v>
      </c>
      <c r="F273" s="50" t="str" cm="1">
        <f t="array" ref="F273">VLOOKUP(B273,'Player Data'!A1:B673,2,FALSE)</f>
        <v>COL</v>
      </c>
      <c r="G273" s="66" cm="1">
        <f t="array" ref="G273">VLOOKUP(B273,'Player Data'!A1:D673,3,FALSE)</f>
        <v>32</v>
      </c>
      <c r="H273" s="51" cm="1">
        <f t="array" ref="H273">IFERROR(VLOOKUP(B273,ADP!A1:F671,6,FALSE)/1000000,VLOOKUP(B273,ADP!A1:F671,6,FALSE))</f>
        <v>4.5</v>
      </c>
      <c r="I273" s="52">
        <f>IF(Settings!$E$15="POINTS",((R273*Q273)*Settings!$B$12)+(S273*Settings!$B$2)+(T273*Settings!$B$3)+(U273*Settings!$B$4)+(V273*Settings!$B$5)+(X273*Settings!$B$9)+(AA273*Settings!$B$6)+(W273*Settings!$B$8)+(AB273*Settings!$B$7)+(AC273*Settings!$B$14)+(AD273*Settings!$B$15)+(AE273*Settings!$B$16)+(AF273*Settings!$B$17)+(AG273*Settings!$B$18)+(U273*Settings!$B$13)+(Y273*Settings!$B$10)+(Z273*Settings!$B$11),VLOOKUP(B273,'Standard Deviations'!A$1:C$672,3,FALSE))</f>
        <v>-3.3745980663081228</v>
      </c>
      <c r="J273" s="53" cm="1">
        <f t="array" ref="J273">IF(D273="G",I273/AJ273,I273/Q273)</f>
        <v>-4.0173786503668131E-2</v>
      </c>
      <c r="K273" s="52" cm="1">
        <f t="array" ref="K273">VLOOKUP(B273,D!A1:F204,6,FALSE)</f>
        <v>-3.941448980825677</v>
      </c>
      <c r="L273" s="54" cm="1">
        <f t="array" ref="L273">IFERROR(K273/H273,"N/A")</f>
        <v>-0.87587755129459488</v>
      </c>
      <c r="M273" s="84" t="s">
        <v>828</v>
      </c>
      <c r="N273" s="84" t="str" cm="1">
        <f t="array" ref="N273">IFERROR(M273-A273,"N/A")</f>
        <v>N/A</v>
      </c>
      <c r="O273" s="55"/>
      <c r="P273" s="56" cm="1">
        <f t="array" ref="P273">_xlfn.XLOOKUP($B273,ADP!A2:A671,ADP!G2:G671)</f>
        <v>0</v>
      </c>
      <c r="Q273" s="57" cm="1">
        <f t="array" ref="Q273">IF(Settings!$E$12="YES",VLOOKUP(B273,'Player Data'!A1:E673,5,FALSE),84)</f>
        <v>84</v>
      </c>
      <c r="R273" s="55" cm="1">
        <f t="array" ref="R273">VLOOKUP(B273,'Player Data'!$A1:$AE673,6,FALSE)</f>
        <v>18.8</v>
      </c>
      <c r="S273" s="57" cm="1">
        <f t="array" ref="S273">VLOOKUP(B273,'Player Data'!$A1:$AE673,7,FALSE)*$Q273*IFERROR((VLOOKUP(P273,Settings!$E$28:$F$33,2,FALSE)+1),1)</f>
        <v>2.52</v>
      </c>
      <c r="T273" s="57" cm="1">
        <f t="array" ref="T273">VLOOKUP(B273,'Player Data'!$A1:$AE673,8,FALSE)*$Q273*IFERROR((VLOOKUP(P273,Settings!$E$28:$F$33,2,FALSE)+1),1)</f>
        <v>13.44</v>
      </c>
      <c r="U273" s="57" cm="1">
        <f t="array" ref="U273">SUM(S273:T273)</f>
        <v>15.959999999999999</v>
      </c>
      <c r="V273" s="57" cm="1">
        <f t="array" ref="V273">VLOOKUP(B273,'Player Data'!$A1:$AE673,10,FALSE)*$Q273*IFERROR(((VLOOKUP(P273,Settings!$E$28:$F$33,2,FALSE)/2)+1),1)</f>
        <v>95.759999999999991</v>
      </c>
      <c r="W273" s="57" cm="1">
        <f t="array" ref="W273">VLOOKUP(B273,'Player Data'!$A1:$AE673,11,FALSE)*$Q273*IFERROR((VLOOKUP(P273,Settings!$E$28:$F$33,2,FALSE)+1),1)</f>
        <v>0</v>
      </c>
      <c r="X273" s="57" cm="1">
        <f t="array" ref="X273">VLOOKUP(B273,'Player Data'!$A1:$AE673,12,FALSE)*$Q273*IFERROR((VLOOKUP(P273,Settings!$E$28:$F$33,2,FALSE)+1),1)</f>
        <v>0</v>
      </c>
      <c r="Y273" s="57" cm="1">
        <f t="array" ref="Y273">VLOOKUP(B273,'Player Data'!$A1:$AE673,13,FALSE)*$Q273</f>
        <v>0</v>
      </c>
      <c r="Z273" s="57" cm="1">
        <f t="array" ref="Z273">VLOOKUP(B273,'Player Data'!$A1:$AE673,14,FALSE)*$Q273</f>
        <v>0</v>
      </c>
      <c r="AA273" s="57" cm="1">
        <f t="array" ref="AA273">VLOOKUP(B273,'Player Data'!$A1:$AE673,15,FALSE)*$Q273</f>
        <v>109.2</v>
      </c>
      <c r="AB273" s="57" cm="1">
        <f t="array" ref="AB273">VLOOKUP(B273,'Player Data'!$A1:$AE673,16,FALSE)*$Q273</f>
        <v>36.96</v>
      </c>
      <c r="AC273" s="57" cm="1">
        <f t="array" ref="AC273">VLOOKUP(B273,'Player Data'!$A1:$AE673,17,FALSE)*$Q273*IFERROR((VLOOKUP(P273,Settings!$E$28:$F$33,2,FALSE)+1),1)</f>
        <v>4.2</v>
      </c>
      <c r="AD273" s="57" cm="1">
        <f t="array" ref="AD273">VLOOKUP(B273,'Player Data'!$A1:$AE673,18,FALSE)*$Q273</f>
        <v>32.76</v>
      </c>
      <c r="AE273" s="57" cm="1">
        <f t="array" ref="AE273">VLOOKUP(B273,'Player Data'!$A1:$AE673,19,FALSE)*$Q273*IFERROR((VLOOKUP(P273,Settings!$E$28:$F$33,2,FALSE)+1),1)</f>
        <v>0</v>
      </c>
      <c r="AF273" s="57" cm="1">
        <f t="array" ref="AF273">VLOOKUP(B273,'Player Data'!$A1:$AE673,20,FALSE)*$Q273</f>
        <v>0</v>
      </c>
      <c r="AG273" s="57" cm="1">
        <f t="array" ref="AG273">VLOOKUP(B273,'Player Data'!$A1:$AE673,21,FALSE)*$Q273</f>
        <v>0</v>
      </c>
      <c r="AH273" s="59" cm="1">
        <f t="array" ref="AH273">VLOOKUP(B273,'Player Data'!$A1:$AE673,22,FALSE)</f>
        <v>0</v>
      </c>
      <c r="AI273" s="55"/>
      <c r="AJ273" s="57"/>
      <c r="AK273" s="57"/>
      <c r="AL273" s="57"/>
      <c r="AM273" s="57"/>
      <c r="AN273" s="57"/>
      <c r="AO273" s="57"/>
      <c r="AP273" s="57"/>
      <c r="AQ273" s="60"/>
      <c r="AR273" s="61"/>
      <c r="AS273" s="55"/>
    </row>
    <row r="274" spans="1:45" ht="21.25" customHeight="1" x14ac:dyDescent="0.15">
      <c r="A274" s="62">
        <f>RANK(K274,K$2:K$671)</f>
        <v>293</v>
      </c>
      <c r="B274" s="10" t="s">
        <v>421</v>
      </c>
      <c r="C274" s="47" t="s">
        <v>145</v>
      </c>
      <c r="D274" s="48" t="str" cm="1">
        <f t="array" ref="D274">VLOOKUP(B274,'Player Data'!A1:D673,4,FALSE)</f>
        <v>D</v>
      </c>
      <c r="E274" s="68" cm="1">
        <f t="array" ref="E274">VLOOKUP(B274,D!A1:C204,3,FALSE)</f>
        <v>134</v>
      </c>
      <c r="F274" s="63" t="str" cm="1">
        <f t="array" ref="F274">VLOOKUP(B274,'Player Data'!A1:B673,2,FALSE)</f>
        <v>CGY</v>
      </c>
      <c r="G274" s="71" cm="1">
        <f t="array" ref="G274">VLOOKUP(B274,'Player Data'!A1:D673,3,FALSE)</f>
        <v>20</v>
      </c>
      <c r="H274" s="51" cm="1">
        <f t="array" ref="H274">IFERROR(VLOOKUP(B274,ADP!A1:F671,6,FALSE)/1000000,VLOOKUP(B274,ADP!A1:F671,6,FALSE))</f>
        <v>0.95374999999999999</v>
      </c>
      <c r="I274" s="52">
        <f>IF(Settings!$E$15="POINTS",((R274*Q274)*Settings!$B$12)+(S274*Settings!$B$2)+(T274*Settings!$B$3)+(U274*Settings!$B$4)+(V274*Settings!$B$5)+(X274*Settings!$B$9)+(AA274*Settings!$B$6)+(W274*Settings!$B$8)+(AB274*Settings!$B$7)+(AC274*Settings!$B$14)+(AD274*Settings!$B$15)+(AE274*Settings!$B$16)+(AF274*Settings!$B$17)+(AG274*Settings!$B$18)+(U274*Settings!$B$13)+(Y274*Settings!$B$10)+(Z274*Settings!$B$11),VLOOKUP(B274,'Standard Deviations'!A$1:C$672,3,FALSE))</f>
        <v>-3.4172168158685681</v>
      </c>
      <c r="J274" s="53" cm="1">
        <f t="array" ref="J274">IF(D274="G",I274/AJ274,I274/Q274)</f>
        <v>-4.6178605619845513E-2</v>
      </c>
      <c r="K274" s="52" cm="1">
        <f t="array" ref="K274">VLOOKUP(B274,D!A1:F204,6,FALSE)</f>
        <v>-3.9840677303861227</v>
      </c>
      <c r="L274" s="54" cm="1">
        <f t="array" ref="L274">IFERROR(K274/H274,"N/A")</f>
        <v>-4.1772662966040608</v>
      </c>
      <c r="M274" s="55">
        <v>136</v>
      </c>
      <c r="N274" s="55" cm="1">
        <f t="array" ref="N274">IFERROR(M274-A274,"N/A")</f>
        <v>-157</v>
      </c>
      <c r="O274" s="55"/>
      <c r="P274" s="56" cm="1">
        <f t="array" ref="P274">_xlfn.XLOOKUP($B274,ADP!A2:A671,ADP!G2:G671)</f>
        <v>0</v>
      </c>
      <c r="Q274" s="57" cm="1">
        <f t="array" ref="Q274">IF(Settings!$E$12="YES",VLOOKUP(B274,'Player Data'!A1:E673,5,FALSE),84)</f>
        <v>74</v>
      </c>
      <c r="R274" s="55" cm="1">
        <f t="array" ref="R274">VLOOKUP(B274,'Player Data'!$A1:$AE673,6,FALSE)</f>
        <v>17.5</v>
      </c>
      <c r="S274" s="57" cm="1">
        <f t="array" ref="S274">VLOOKUP(B274,'Player Data'!$A1:$AE673,7,FALSE)*$Q274*IFERROR((VLOOKUP(P274,Settings!$E$28:$F$33,2,FALSE)+1),1)</f>
        <v>8.879999999999999</v>
      </c>
      <c r="T274" s="57" cm="1">
        <f t="array" ref="T274">VLOOKUP(B274,'Player Data'!$A1:$AE673,8,FALSE)*$Q274*IFERROR((VLOOKUP(P274,Settings!$E$28:$F$33,2,FALSE)+1),1)</f>
        <v>17.02</v>
      </c>
      <c r="U274" s="57" cm="1">
        <f t="array" ref="U274">SUM(S274:T274)</f>
        <v>25.9</v>
      </c>
      <c r="V274" s="57" cm="1">
        <f t="array" ref="V274">VLOOKUP(B274,'Player Data'!$A1:$AE673,10,FALSE)*$Q274*IFERROR(((VLOOKUP(P274,Settings!$E$28:$F$33,2,FALSE)/2)+1),1)</f>
        <v>107.3</v>
      </c>
      <c r="W274" s="57" cm="1">
        <f t="array" ref="W274">VLOOKUP(B274,'Player Data'!$A1:$AE673,11,FALSE)*$Q274*IFERROR((VLOOKUP(P274,Settings!$E$28:$F$33,2,FALSE)+1),1)</f>
        <v>4.4399999999999995</v>
      </c>
      <c r="X274" s="57" cm="1">
        <f t="array" ref="X274">VLOOKUP(B274,'Player Data'!$A1:$AE673,12,FALSE)*$Q274*IFERROR((VLOOKUP(P274,Settings!$E$28:$F$33,2,FALSE)+1),1)</f>
        <v>11.1</v>
      </c>
      <c r="Y274" s="57" cm="1">
        <f t="array" ref="Y274">VLOOKUP(B274,'Player Data'!$A1:$AE673,13,FALSE)*$Q274</f>
        <v>0</v>
      </c>
      <c r="Z274" s="57" cm="1">
        <f t="array" ref="Z274">VLOOKUP(B274,'Player Data'!$A1:$AE673,14,FALSE)*$Q274</f>
        <v>0</v>
      </c>
      <c r="AA274" s="57" cm="1">
        <f t="array" ref="AA274">VLOOKUP(B274,'Player Data'!$A1:$AE673,15,FALSE)*$Q274</f>
        <v>79.92</v>
      </c>
      <c r="AB274" s="57" cm="1">
        <f t="array" ref="AB274">VLOOKUP(B274,'Player Data'!$A1:$AE673,16,FALSE)*$Q274</f>
        <v>50.32</v>
      </c>
      <c r="AC274" s="57" cm="1">
        <f t="array" ref="AC274">VLOOKUP(B274,'Player Data'!$A1:$AE673,17,FALSE)*$Q274*IFERROR((VLOOKUP(P274,Settings!$E$28:$F$33,2,FALSE)+1),1)</f>
        <v>-7.4</v>
      </c>
      <c r="AD274" s="57" cm="1">
        <f t="array" ref="AD274">VLOOKUP(B274,'Player Data'!$A1:$AE673,18,FALSE)*$Q274</f>
        <v>25.16</v>
      </c>
      <c r="AE274" s="57" cm="1">
        <f t="array" ref="AE274">VLOOKUP(B274,'Player Data'!$A1:$AE673,19,FALSE)*$Q274*IFERROR((VLOOKUP(P274,Settings!$E$28:$F$33,2,FALSE)+1),1)</f>
        <v>1.48</v>
      </c>
      <c r="AF274" s="57" cm="1">
        <f t="array" ref="AF274">VLOOKUP(B274,'Player Data'!$A1:$AE673,20,FALSE)*$Q274</f>
        <v>0</v>
      </c>
      <c r="AG274" s="57" cm="1">
        <f t="array" ref="AG274">VLOOKUP(B274,'Player Data'!$A1:$AE673,21,FALSE)*$Q274</f>
        <v>0</v>
      </c>
      <c r="AH274" s="59" cm="1">
        <f t="array" ref="AH274">VLOOKUP(B274,'Player Data'!$A1:$AE673,22,FALSE)</f>
        <v>0</v>
      </c>
      <c r="AI274" s="55"/>
      <c r="AJ274" s="57"/>
      <c r="AK274" s="57"/>
      <c r="AL274" s="57"/>
      <c r="AM274" s="57"/>
      <c r="AN274" s="57"/>
      <c r="AO274" s="57"/>
      <c r="AP274" s="57"/>
      <c r="AQ274" s="60"/>
      <c r="AR274" s="61"/>
      <c r="AS274" s="55"/>
    </row>
    <row r="275" spans="1:45" ht="21.25" customHeight="1" x14ac:dyDescent="0.15">
      <c r="A275" s="62">
        <f>RANK(K275,K$2:K$671)</f>
        <v>294</v>
      </c>
      <c r="B275" s="10" t="s">
        <v>486</v>
      </c>
      <c r="C275" s="47" t="s">
        <v>145</v>
      </c>
      <c r="D275" s="48" t="str" cm="1">
        <f t="array" ref="D275">VLOOKUP(B275,'Player Data'!A1:D673,4,FALSE)</f>
        <v>D</v>
      </c>
      <c r="E275" s="68" cm="1">
        <f t="array" ref="E275">VLOOKUP(B275,D!A1:C204,3,FALSE)</f>
        <v>135</v>
      </c>
      <c r="F275" s="70" t="str" cm="1">
        <f t="array" ref="F275">VLOOKUP(B275,'Player Data'!A1:B673,2,FALSE)</f>
        <v>L.A</v>
      </c>
      <c r="G275" s="66" cm="1">
        <f t="array" ref="G275">VLOOKUP(B275,'Player Data'!A1:D673,3,FALSE)</f>
        <v>33</v>
      </c>
      <c r="H275" s="51" cm="1">
        <f t="array" ref="H275">IFERROR(VLOOKUP(B275,ADP!A1:F671,6,FALSE)/1000000,VLOOKUP(B275,ADP!A1:F671,6,FALSE))</f>
        <v>3.85</v>
      </c>
      <c r="I275" s="52">
        <f>IF(Settings!$E$15="POINTS",((R275*Q275)*Settings!$B$12)+(S275*Settings!$B$2)+(T275*Settings!$B$3)+(U275*Settings!$B$4)+(V275*Settings!$B$5)+(X275*Settings!$B$9)+(AA275*Settings!$B$6)+(W275*Settings!$B$8)+(AB275*Settings!$B$7)+(AC275*Settings!$B$14)+(AD275*Settings!$B$15)+(AE275*Settings!$B$16)+(AF275*Settings!$B$17)+(AG275*Settings!$B$18)+(U275*Settings!$B$13)+(Y275*Settings!$B$10)+(Z275*Settings!$B$11),VLOOKUP(B275,'Standard Deviations'!A$1:C$672,3,FALSE))</f>
        <v>-3.4521775839460691</v>
      </c>
      <c r="J275" s="53" cm="1">
        <f t="array" ref="J275">IF(D275="G",I275/AJ275,I275/Q275)</f>
        <v>-4.3152219799325861E-2</v>
      </c>
      <c r="K275" s="52" cm="1">
        <f t="array" ref="K275">VLOOKUP(B275,D!A1:F204,6,FALSE)</f>
        <v>-4.0190284984636238</v>
      </c>
      <c r="L275" s="54" cm="1">
        <f t="array" ref="L275">IFERROR(K275/H275,"N/A")</f>
        <v>-1.0439035060944477</v>
      </c>
      <c r="M275" s="84" t="s">
        <v>828</v>
      </c>
      <c r="N275" s="84" t="str" cm="1">
        <f t="array" ref="N275">IFERROR(M275-A275,"N/A")</f>
        <v>N/A</v>
      </c>
      <c r="O275" s="55"/>
      <c r="P275" s="56" cm="1">
        <f t="array" ref="P275">_xlfn.XLOOKUP($B275,ADP!A2:A671,ADP!G2:G671)</f>
        <v>0</v>
      </c>
      <c r="Q275" s="57" cm="1">
        <f t="array" ref="Q275">IF(Settings!$E$12="YES",VLOOKUP(B275,'Player Data'!A1:E673,5,FALSE),84)</f>
        <v>80</v>
      </c>
      <c r="R275" s="55" cm="1">
        <f t="array" ref="R275">VLOOKUP(B275,'Player Data'!$A1:$AE673,6,FALSE)</f>
        <v>18.600000000000001</v>
      </c>
      <c r="S275" s="57" cm="1">
        <f t="array" ref="S275">VLOOKUP(B275,'Player Data'!$A1:$AE673,7,FALSE)*$Q275*IFERROR((VLOOKUP(P275,Settings!$E$28:$F$33,2,FALSE)+1),1)</f>
        <v>1.6</v>
      </c>
      <c r="T275" s="57" cm="1">
        <f t="array" ref="T275">VLOOKUP(B275,'Player Data'!$A1:$AE673,8,FALSE)*$Q275*IFERROR((VLOOKUP(P275,Settings!$E$28:$F$33,2,FALSE)+1),1)</f>
        <v>12.8</v>
      </c>
      <c r="U275" s="57" cm="1">
        <f t="array" ref="U275">SUM(S275:T275)</f>
        <v>14.4</v>
      </c>
      <c r="V275" s="57" cm="1">
        <f t="array" ref="V275">VLOOKUP(B275,'Player Data'!$A1:$AE673,10,FALSE)*$Q275*IFERROR(((VLOOKUP(P275,Settings!$E$28:$F$33,2,FALSE)/2)+1),1)</f>
        <v>80</v>
      </c>
      <c r="W275" s="57" cm="1">
        <f t="array" ref="W275">VLOOKUP(B275,'Player Data'!$A1:$AE673,11,FALSE)*$Q275*IFERROR((VLOOKUP(P275,Settings!$E$28:$F$33,2,FALSE)+1),1)</f>
        <v>0</v>
      </c>
      <c r="X275" s="57" cm="1">
        <f t="array" ref="X275">VLOOKUP(B275,'Player Data'!$A1:$AE673,12,FALSE)*$Q275*IFERROR((VLOOKUP(P275,Settings!$E$28:$F$33,2,FALSE)+1),1)</f>
        <v>0</v>
      </c>
      <c r="Y275" s="57" cm="1">
        <f t="array" ref="Y275">VLOOKUP(B275,'Player Data'!$A1:$AE673,13,FALSE)*$Q275</f>
        <v>0</v>
      </c>
      <c r="Z275" s="57" cm="1">
        <f t="array" ref="Z275">VLOOKUP(B275,'Player Data'!$A1:$AE673,14,FALSE)*$Q275</f>
        <v>0</v>
      </c>
      <c r="AA275" s="57" cm="1">
        <f t="array" ref="AA275">VLOOKUP(B275,'Player Data'!$A1:$AE673,15,FALSE)*$Q275</f>
        <v>110.39999999999999</v>
      </c>
      <c r="AB275" s="57" cm="1">
        <f t="array" ref="AB275">VLOOKUP(B275,'Player Data'!$A1:$AE673,16,FALSE)*$Q275</f>
        <v>97.6</v>
      </c>
      <c r="AC275" s="57" cm="1">
        <f t="array" ref="AC275">VLOOKUP(B275,'Player Data'!$A1:$AE673,17,FALSE)*$Q275*IFERROR((VLOOKUP(P275,Settings!$E$28:$F$33,2,FALSE)+1),1)</f>
        <v>0</v>
      </c>
      <c r="AD275" s="57" cm="1">
        <f t="array" ref="AD275">VLOOKUP(B275,'Player Data'!$A1:$AE673,18,FALSE)*$Q275</f>
        <v>28.799999999999997</v>
      </c>
      <c r="AE275" s="57" cm="1">
        <f t="array" ref="AE275">VLOOKUP(B275,'Player Data'!$A1:$AE673,19,FALSE)*$Q275*IFERROR((VLOOKUP(P275,Settings!$E$28:$F$33,2,FALSE)+1),1)</f>
        <v>0</v>
      </c>
      <c r="AF275" s="57" cm="1">
        <f t="array" ref="AF275">VLOOKUP(B275,'Player Data'!$A1:$AE673,20,FALSE)*$Q275</f>
        <v>0</v>
      </c>
      <c r="AG275" s="57" cm="1">
        <f t="array" ref="AG275">VLOOKUP(B275,'Player Data'!$A1:$AE673,21,FALSE)*$Q275</f>
        <v>0</v>
      </c>
      <c r="AH275" s="59" cm="1">
        <f t="array" ref="AH275">VLOOKUP(B275,'Player Data'!$A1:$AE673,22,FALSE)</f>
        <v>0</v>
      </c>
      <c r="AI275" s="55"/>
      <c r="AJ275" s="57"/>
      <c r="AK275" s="57"/>
      <c r="AL275" s="57"/>
      <c r="AM275" s="57"/>
      <c r="AN275" s="57"/>
      <c r="AO275" s="57"/>
      <c r="AP275" s="57"/>
      <c r="AQ275" s="60"/>
      <c r="AR275" s="61"/>
      <c r="AS275" s="55"/>
    </row>
    <row r="276" spans="1:45" ht="21.25" customHeight="1" x14ac:dyDescent="0.15">
      <c r="A276" s="62">
        <f>RANK(K276,K$2:K$671)</f>
        <v>295</v>
      </c>
      <c r="B276" s="10" t="s">
        <v>592</v>
      </c>
      <c r="C276" s="47" t="s">
        <v>145</v>
      </c>
      <c r="D276" s="48" t="str" cm="1">
        <f t="array" ref="D276">VLOOKUP(B276,'Player Data'!A1:D673,4,FALSE)</f>
        <v>D</v>
      </c>
      <c r="E276" s="68" cm="1">
        <f t="array" ref="E276">VLOOKUP(B276,D!A1:C204,3,FALSE)</f>
        <v>136</v>
      </c>
      <c r="F276" s="56" t="str" cm="1">
        <f t="array" ref="F276">VLOOKUP(B276,'Player Data'!A1:B673,2,FALSE)</f>
        <v>WSH</v>
      </c>
      <c r="G276" s="11" cm="1">
        <f t="array" ref="G276">VLOOKUP(B276,'Player Data'!A1:D673,3,FALSE)</f>
        <v>30</v>
      </c>
      <c r="H276" s="51" cm="1">
        <f t="array" ref="H276">IFERROR(VLOOKUP(B276,ADP!A1:F671,6,FALSE)/1000000,VLOOKUP(B276,ADP!A1:F671,6,FALSE))</f>
        <v>4.2</v>
      </c>
      <c r="I276" s="52">
        <f>IF(Settings!$E$15="POINTS",((R276*Q276)*Settings!$B$12)+(S276*Settings!$B$2)+(T276*Settings!$B$3)+(U276*Settings!$B$4)+(V276*Settings!$B$5)+(X276*Settings!$B$9)+(AA276*Settings!$B$6)+(W276*Settings!$B$8)+(AB276*Settings!$B$7)+(AC276*Settings!$B$14)+(AD276*Settings!$B$15)+(AE276*Settings!$B$16)+(AF276*Settings!$B$17)+(AG276*Settings!$B$18)+(U276*Settings!$B$13)+(Y276*Settings!$B$10)+(Z276*Settings!$B$11),VLOOKUP(B276,'Standard Deviations'!A$1:C$672,3,FALSE))</f>
        <v>-3.4560893681819307</v>
      </c>
      <c r="J276" s="53" cm="1">
        <f t="array" ref="J276">IF(D276="G",I276/AJ276,I276/Q276)</f>
        <v>-4.6703910380836898E-2</v>
      </c>
      <c r="K276" s="52" cm="1">
        <f t="array" ref="K276">VLOOKUP(B276,D!A1:F204,6,FALSE)</f>
        <v>-4.0229402826994853</v>
      </c>
      <c r="L276" s="54" cm="1">
        <f t="array" ref="L276">IFERROR(K276/H276,"N/A")</f>
        <v>-0.95784292445225838</v>
      </c>
      <c r="M276" s="84" t="s">
        <v>828</v>
      </c>
      <c r="N276" s="84" t="str" cm="1">
        <f t="array" ref="N276">IFERROR(M276-A276,"N/A")</f>
        <v>N/A</v>
      </c>
      <c r="O276" s="55"/>
      <c r="P276" s="56" cm="1">
        <f t="array" ref="P276">_xlfn.XLOOKUP($B276,ADP!A2:A671,ADP!G2:G671)</f>
        <v>0</v>
      </c>
      <c r="Q276" s="57" cm="1">
        <f t="array" ref="Q276">IF(Settings!$E$12="YES",VLOOKUP(B276,'Player Data'!A1:E673,5,FALSE),84)</f>
        <v>74</v>
      </c>
      <c r="R276" s="55" cm="1">
        <f t="array" ref="R276">VLOOKUP(B276,'Player Data'!$A1:$AE673,6,FALSE)</f>
        <v>17.399999999999999</v>
      </c>
      <c r="S276" s="57" cm="1">
        <f t="array" ref="S276">VLOOKUP(B276,'Player Data'!$A1:$AE673,7,FALSE)*$Q276*IFERROR((VLOOKUP(P276,Settings!$E$28:$F$33,2,FALSE)+1),1)</f>
        <v>0</v>
      </c>
      <c r="T276" s="57" cm="1">
        <f t="array" ref="T276">VLOOKUP(B276,'Player Data'!$A1:$AE673,8,FALSE)*$Q276*IFERROR((VLOOKUP(P276,Settings!$E$28:$F$33,2,FALSE)+1),1)</f>
        <v>8.14</v>
      </c>
      <c r="U276" s="57" cm="1">
        <f t="array" ref="U276">SUM(S276:T276)</f>
        <v>8.14</v>
      </c>
      <c r="V276" s="57" cm="1">
        <f t="array" ref="V276">VLOOKUP(B276,'Player Data'!$A1:$AE673,10,FALSE)*$Q276*IFERROR(((VLOOKUP(P276,Settings!$E$28:$F$33,2,FALSE)/2)+1),1)</f>
        <v>33.300000000000004</v>
      </c>
      <c r="W276" s="57" cm="1">
        <f t="array" ref="W276">VLOOKUP(B276,'Player Data'!$A1:$AE673,11,FALSE)*$Q276*IFERROR((VLOOKUP(P276,Settings!$E$28:$F$33,2,FALSE)+1),1)</f>
        <v>0</v>
      </c>
      <c r="X276" s="57" cm="1">
        <f t="array" ref="X276">VLOOKUP(B276,'Player Data'!$A1:$AE673,12,FALSE)*$Q276*IFERROR((VLOOKUP(P276,Settings!$E$28:$F$33,2,FALSE)+1),1)</f>
        <v>0</v>
      </c>
      <c r="Y276" s="57" cm="1">
        <f t="array" ref="Y276">VLOOKUP(B276,'Player Data'!$A1:$AE673,13,FALSE)*$Q276</f>
        <v>0</v>
      </c>
      <c r="Z276" s="57" cm="1">
        <f t="array" ref="Z276">VLOOKUP(B276,'Player Data'!$A1:$AE673,14,FALSE)*$Q276</f>
        <v>0</v>
      </c>
      <c r="AA276" s="57" cm="1">
        <f t="array" ref="AA276">VLOOKUP(B276,'Player Data'!$A1:$AE673,15,FALSE)*$Q276</f>
        <v>111.74</v>
      </c>
      <c r="AB276" s="57" cm="1">
        <f t="array" ref="AB276">VLOOKUP(B276,'Player Data'!$A1:$AE673,16,FALSE)*$Q276</f>
        <v>121.36</v>
      </c>
      <c r="AC276" s="57" cm="1">
        <f t="array" ref="AC276">VLOOKUP(B276,'Player Data'!$A1:$AE673,17,FALSE)*$Q276*IFERROR((VLOOKUP(P276,Settings!$E$28:$F$33,2,FALSE)+1),1)</f>
        <v>3.7</v>
      </c>
      <c r="AD276" s="57" cm="1">
        <f t="array" ref="AD276">VLOOKUP(B276,'Player Data'!$A1:$AE673,18,FALSE)*$Q276</f>
        <v>51.8</v>
      </c>
      <c r="AE276" s="57" cm="1">
        <f t="array" ref="AE276">VLOOKUP(B276,'Player Data'!$A1:$AE673,19,FALSE)*$Q276*IFERROR((VLOOKUP(P276,Settings!$E$28:$F$33,2,FALSE)+1),1)</f>
        <v>0</v>
      </c>
      <c r="AF276" s="57" cm="1">
        <f t="array" ref="AF276">VLOOKUP(B276,'Player Data'!$A1:$AE673,20,FALSE)*$Q276</f>
        <v>0</v>
      </c>
      <c r="AG276" s="57" cm="1">
        <f t="array" ref="AG276">VLOOKUP(B276,'Player Data'!$A1:$AE673,21,FALSE)*$Q276</f>
        <v>0</v>
      </c>
      <c r="AH276" s="59" cm="1">
        <f t="array" ref="AH276">VLOOKUP(B276,'Player Data'!$A1:$AE673,22,FALSE)</f>
        <v>0</v>
      </c>
      <c r="AI276" s="55"/>
      <c r="AJ276" s="57"/>
      <c r="AK276" s="57"/>
      <c r="AL276" s="57"/>
      <c r="AM276" s="57"/>
      <c r="AN276" s="57"/>
      <c r="AO276" s="57"/>
      <c r="AP276" s="57"/>
      <c r="AQ276" s="60"/>
      <c r="AR276" s="61"/>
      <c r="AS276" s="55"/>
    </row>
    <row r="277" spans="1:45" ht="21.25" customHeight="1" x14ac:dyDescent="0.15">
      <c r="A277" s="62">
        <f>RANK(K277,K$2:K$671)</f>
        <v>296</v>
      </c>
      <c r="B277" s="10" t="s">
        <v>434</v>
      </c>
      <c r="C277" s="47" t="s">
        <v>145</v>
      </c>
      <c r="D277" s="48" t="str" cm="1">
        <f t="array" ref="D277">VLOOKUP(B277,'Player Data'!A1:D673,4,FALSE)</f>
        <v>D</v>
      </c>
      <c r="E277" s="68" cm="1">
        <f t="array" ref="E277">VLOOKUP(B277,D!A1:C204,3,FALSE)</f>
        <v>137</v>
      </c>
      <c r="F277" s="50" t="str" cm="1">
        <f t="array" ref="F277">VLOOKUP(B277,'Player Data'!A1:B673,2,FALSE)</f>
        <v>ANA</v>
      </c>
      <c r="G277" s="11" cm="1">
        <f t="array" ref="G277">VLOOKUP(B277,'Player Data'!A1:D673,3,FALSE)</f>
        <v>25</v>
      </c>
      <c r="H277" s="67" cm="1">
        <f t="array" ref="H277">IFERROR(VLOOKUP(B277,ADP!A1:F671,6,FALSE)/1000000,VLOOKUP(B277,ADP!A1:F671,6,FALSE))</f>
        <v>1.1000000000000001</v>
      </c>
      <c r="I277" s="52">
        <f>IF(Settings!$E$15="POINTS",((R277*Q277)*Settings!$B$12)+(S277*Settings!$B$2)+(T277*Settings!$B$3)+(U277*Settings!$B$4)+(V277*Settings!$B$5)+(X277*Settings!$B$9)+(AA277*Settings!$B$6)+(W277*Settings!$B$8)+(AB277*Settings!$B$7)+(AC277*Settings!$B$14)+(AD277*Settings!$B$15)+(AE277*Settings!$B$16)+(AF277*Settings!$B$17)+(AG277*Settings!$B$18)+(U277*Settings!$B$13)+(Y277*Settings!$B$10)+(Z277*Settings!$B$11),VLOOKUP(B277,'Standard Deviations'!A$1:C$672,3,FALSE))</f>
        <v>-3.4810929052900965</v>
      </c>
      <c r="J277" s="53" cm="1">
        <f t="array" ref="J277">IF(D277="G",I277/AJ277,I277/Q277)</f>
        <v>-4.7041796017433739E-2</v>
      </c>
      <c r="K277" s="52" cm="1">
        <f t="array" ref="K277">VLOOKUP(B277,D!A1:F204,6,FALSE)</f>
        <v>-4.0479438198076512</v>
      </c>
      <c r="L277" s="54" cm="1">
        <f t="array" ref="L277">IFERROR(K277/H277,"N/A")</f>
        <v>-3.6799489270978643</v>
      </c>
      <c r="M277" s="84" t="s">
        <v>828</v>
      </c>
      <c r="N277" s="84" t="str" cm="1">
        <f t="array" ref="N277">IFERROR(M277-A277,"N/A")</f>
        <v>N/A</v>
      </c>
      <c r="O277" s="55"/>
      <c r="P277" s="56" cm="1">
        <f t="array" ref="P277">_xlfn.XLOOKUP($B277,ADP!A2:A671,ADP!G2:G671)</f>
        <v>0</v>
      </c>
      <c r="Q277" s="57" cm="1">
        <f t="array" ref="Q277">IF(Settings!$E$12="YES",VLOOKUP(B277,'Player Data'!A1:E673,5,FALSE),84)</f>
        <v>74</v>
      </c>
      <c r="R277" s="81" cm="1">
        <f t="array" ref="R277">VLOOKUP(B277,'Player Data'!$A1:$AE673,6,FALSE)</f>
        <v>19.2</v>
      </c>
      <c r="S277" s="57" cm="1">
        <f t="array" ref="S277">VLOOKUP(B277,'Player Data'!$A1:$AE673,7,FALSE)*$Q277*IFERROR((VLOOKUP(P277,Settings!$E$28:$F$33,2,FALSE)+1),1)</f>
        <v>5.1800000000000006</v>
      </c>
      <c r="T277" s="57" cm="1">
        <f t="array" ref="T277">VLOOKUP(B277,'Player Data'!$A1:$AE673,8,FALSE)*$Q277*IFERROR((VLOOKUP(P277,Settings!$E$28:$F$33,2,FALSE)+1),1)</f>
        <v>19.240000000000002</v>
      </c>
      <c r="U277" s="57" cm="1">
        <f t="array" ref="U277">SUM(S277:T277)</f>
        <v>24.42</v>
      </c>
      <c r="V277" s="57" cm="1">
        <f t="array" ref="V277">VLOOKUP(B277,'Player Data'!$A1:$AE673,10,FALSE)*$Q277*IFERROR(((VLOOKUP(P277,Settings!$E$28:$F$33,2,FALSE)/2)+1),1)</f>
        <v>78.44</v>
      </c>
      <c r="W277" s="57" cm="1">
        <f t="array" ref="W277">VLOOKUP(B277,'Player Data'!$A1:$AE673,11,FALSE)*$Q277*IFERROR((VLOOKUP(P277,Settings!$E$28:$F$33,2,FALSE)+1),1)</f>
        <v>0</v>
      </c>
      <c r="X277" s="57" cm="1">
        <f t="array" ref="X277">VLOOKUP(B277,'Player Data'!$A1:$AE673,12,FALSE)*$Q277*IFERROR((VLOOKUP(P277,Settings!$E$28:$F$33,2,FALSE)+1),1)</f>
        <v>0.74</v>
      </c>
      <c r="Y277" s="57" cm="1">
        <f t="array" ref="Y277">VLOOKUP(B277,'Player Data'!$A1:$AE673,13,FALSE)*$Q277</f>
        <v>0</v>
      </c>
      <c r="Z277" s="57" cm="1">
        <f t="array" ref="Z277">VLOOKUP(B277,'Player Data'!$A1:$AE673,14,FALSE)*$Q277</f>
        <v>2.2199999999999998</v>
      </c>
      <c r="AA277" s="57" cm="1">
        <f t="array" ref="AA277">VLOOKUP(B277,'Player Data'!$A1:$AE673,15,FALSE)*$Q277</f>
        <v>117.66000000000001</v>
      </c>
      <c r="AB277" s="57" cm="1">
        <f t="array" ref="AB277">VLOOKUP(B277,'Player Data'!$A1:$AE673,16,FALSE)*$Q277</f>
        <v>101.38000000000001</v>
      </c>
      <c r="AC277" s="57" cm="1">
        <f t="array" ref="AC277">VLOOKUP(B277,'Player Data'!$A1:$AE673,17,FALSE)*$Q277*IFERROR((VLOOKUP(P277,Settings!$E$28:$F$33,2,FALSE)+1),1)</f>
        <v>-4.4399999999999995</v>
      </c>
      <c r="AD277" s="57" cm="1">
        <f t="array" ref="AD277">VLOOKUP(B277,'Player Data'!$A1:$AE673,18,FALSE)*$Q277</f>
        <v>37.74</v>
      </c>
      <c r="AE277" s="57" cm="1">
        <f t="array" ref="AE277">VLOOKUP(B277,'Player Data'!$A1:$AE673,19,FALSE)*$Q277*IFERROR((VLOOKUP(P277,Settings!$E$28:$F$33,2,FALSE)+1),1)</f>
        <v>0.74</v>
      </c>
      <c r="AF277" s="57" cm="1">
        <f t="array" ref="AF277">VLOOKUP(B277,'Player Data'!$A1:$AE673,20,FALSE)*$Q277</f>
        <v>0</v>
      </c>
      <c r="AG277" s="57" cm="1">
        <f t="array" ref="AG277">VLOOKUP(B277,'Player Data'!$A1:$AE673,21,FALSE)*$Q277</f>
        <v>0</v>
      </c>
      <c r="AH277" s="59" cm="1">
        <f t="array" ref="AH277">VLOOKUP(B277,'Player Data'!$A1:$AE673,22,FALSE)</f>
        <v>0</v>
      </c>
      <c r="AI277" s="55"/>
      <c r="AJ277" s="57"/>
      <c r="AK277" s="57"/>
      <c r="AL277" s="57"/>
      <c r="AM277" s="57"/>
      <c r="AN277" s="57"/>
      <c r="AO277" s="57"/>
      <c r="AP277" s="57"/>
      <c r="AQ277" s="60"/>
      <c r="AR277" s="61"/>
      <c r="AS277" s="55"/>
    </row>
    <row r="278" spans="1:45" ht="21.25" customHeight="1" x14ac:dyDescent="0.15">
      <c r="A278" s="62">
        <f>RANK(K278,K$2:K$671)</f>
        <v>297</v>
      </c>
      <c r="B278" s="10" t="s">
        <v>554</v>
      </c>
      <c r="C278" s="47" t="s">
        <v>145</v>
      </c>
      <c r="D278" s="48" t="str" cm="1">
        <f t="array" ref="D278">VLOOKUP(B278,'Player Data'!A1:D673,4,FALSE)</f>
        <v>D</v>
      </c>
      <c r="E278" s="68" cm="1">
        <f t="array" ref="E278">VLOOKUP(B278,D!A1:C204,3,FALSE)</f>
        <v>138</v>
      </c>
      <c r="F278" s="65" t="str" cm="1">
        <f t="array" ref="F278">VLOOKUP(B278,'Player Data'!A1:B673,2,FALSE)</f>
        <v>STL</v>
      </c>
      <c r="G278" s="71" cm="1">
        <f t="array" ref="G278">VLOOKUP(B278,'Player Data'!A1:D673,3,FALSE)</f>
        <v>23</v>
      </c>
      <c r="H278" s="67" cm="1">
        <f t="array" ref="H278">IFERROR(VLOOKUP(B278,ADP!A1:F671,6,FALSE)/1000000,VLOOKUP(B278,ADP!A1:F671,6,FALSE))</f>
        <v>0.85</v>
      </c>
      <c r="I278" s="52">
        <f>IF(Settings!$E$15="POINTS",((R278*Q278)*Settings!$B$12)+(S278*Settings!$B$2)+(T278*Settings!$B$3)+(U278*Settings!$B$4)+(V278*Settings!$B$5)+(X278*Settings!$B$9)+(AA278*Settings!$B$6)+(W278*Settings!$B$8)+(AB278*Settings!$B$7)+(AC278*Settings!$B$14)+(AD278*Settings!$B$15)+(AE278*Settings!$B$16)+(AF278*Settings!$B$17)+(AG278*Settings!$B$18)+(U278*Settings!$B$13)+(Y278*Settings!$B$10)+(Z278*Settings!$B$11),VLOOKUP(B278,'Standard Deviations'!A$1:C$672,3,FALSE))</f>
        <v>-3.5042815135397039</v>
      </c>
      <c r="J278" s="53" cm="1">
        <f t="array" ref="J278">IF(D278="G",I278/AJ278,I278/Q278)</f>
        <v>-5.5623516087931806E-2</v>
      </c>
      <c r="K278" s="52" cm="1">
        <f t="array" ref="K278">VLOOKUP(B278,D!A1:F204,6,FALSE)</f>
        <v>-4.0711324280572585</v>
      </c>
      <c r="L278" s="54" cm="1">
        <f t="array" ref="L278">IFERROR(K278/H278,"N/A")</f>
        <v>-4.789567562420304</v>
      </c>
      <c r="M278" s="84" t="s">
        <v>828</v>
      </c>
      <c r="N278" s="84" t="str" cm="1">
        <f t="array" ref="N278">IFERROR(M278-A278,"N/A")</f>
        <v>N/A</v>
      </c>
      <c r="O278" s="55"/>
      <c r="P278" s="56" cm="1">
        <f t="array" ref="P278">_xlfn.XLOOKUP($B278,ADP!A2:A671,ADP!G2:G671)</f>
        <v>0</v>
      </c>
      <c r="Q278" s="57" cm="1">
        <f t="array" ref="Q278">IF(Settings!$E$12="YES",VLOOKUP(B278,'Player Data'!A1:E673,5,FALSE),84)</f>
        <v>63</v>
      </c>
      <c r="R278" s="55" cm="1">
        <f t="array" ref="R278">VLOOKUP(B278,'Player Data'!$A1:$AE673,6,FALSE)</f>
        <v>16.399999999999999</v>
      </c>
      <c r="S278" s="57" cm="1">
        <f t="array" ref="S278">VLOOKUP(B278,'Player Data'!$A1:$AE673,7,FALSE)*$Q278*IFERROR((VLOOKUP(P278,Settings!$E$28:$F$33,2,FALSE)+1),1)</f>
        <v>6.3000000000000007</v>
      </c>
      <c r="T278" s="57" cm="1">
        <f t="array" ref="T278">VLOOKUP(B278,'Player Data'!$A1:$AE673,8,FALSE)*$Q278*IFERROR((VLOOKUP(P278,Settings!$E$28:$F$33,2,FALSE)+1),1)</f>
        <v>13.86</v>
      </c>
      <c r="U278" s="57" cm="1">
        <f t="array" ref="U278">SUM(S278:T278)</f>
        <v>20.16</v>
      </c>
      <c r="V278" s="57" cm="1">
        <f t="array" ref="V278">VLOOKUP(B278,'Player Data'!$A1:$AE673,10,FALSE)*$Q278*IFERROR(((VLOOKUP(P278,Settings!$E$28:$F$33,2,FALSE)/2)+1),1)</f>
        <v>88.83</v>
      </c>
      <c r="W278" s="57" cm="1">
        <f t="array" ref="W278">VLOOKUP(B278,'Player Data'!$A1:$AE673,11,FALSE)*$Q278*IFERROR((VLOOKUP(P278,Settings!$E$28:$F$33,2,FALSE)+1),1)</f>
        <v>0.63</v>
      </c>
      <c r="X278" s="57" cm="1">
        <f t="array" ref="X278">VLOOKUP(B278,'Player Data'!$A1:$AE673,12,FALSE)*$Q278*IFERROR((VLOOKUP(P278,Settings!$E$28:$F$33,2,FALSE)+1),1)</f>
        <v>3.1500000000000004</v>
      </c>
      <c r="Y278" s="57" cm="1">
        <f t="array" ref="Y278">VLOOKUP(B278,'Player Data'!$A1:$AE673,13,FALSE)*$Q278</f>
        <v>0</v>
      </c>
      <c r="Z278" s="57" cm="1">
        <f t="array" ref="Z278">VLOOKUP(B278,'Player Data'!$A1:$AE673,14,FALSE)*$Q278</f>
        <v>0</v>
      </c>
      <c r="AA278" s="57" cm="1">
        <f t="array" ref="AA278">VLOOKUP(B278,'Player Data'!$A1:$AE673,15,FALSE)*$Q278</f>
        <v>68.67</v>
      </c>
      <c r="AB278" s="57" cm="1">
        <f t="array" ref="AB278">VLOOKUP(B278,'Player Data'!$A1:$AE673,16,FALSE)*$Q278</f>
        <v>85.68</v>
      </c>
      <c r="AC278" s="57" cm="1">
        <f t="array" ref="AC278">VLOOKUP(B278,'Player Data'!$A1:$AE673,17,FALSE)*$Q278*IFERROR((VLOOKUP(P278,Settings!$E$28:$F$33,2,FALSE)+1),1)</f>
        <v>-3.78</v>
      </c>
      <c r="AD278" s="57" cm="1">
        <f t="array" ref="AD278">VLOOKUP(B278,'Player Data'!$A1:$AE673,18,FALSE)*$Q278</f>
        <v>37.169999999999995</v>
      </c>
      <c r="AE278" s="57" cm="1">
        <f t="array" ref="AE278">VLOOKUP(B278,'Player Data'!$A1:$AE673,19,FALSE)*$Q278*IFERROR((VLOOKUP(P278,Settings!$E$28:$F$33,2,FALSE)+1),1)</f>
        <v>0.63</v>
      </c>
      <c r="AF278" s="57" cm="1">
        <f t="array" ref="AF278">VLOOKUP(B278,'Player Data'!$A1:$AE673,20,FALSE)*$Q278</f>
        <v>0</v>
      </c>
      <c r="AG278" s="57" cm="1">
        <f t="array" ref="AG278">VLOOKUP(B278,'Player Data'!$A1:$AE673,21,FALSE)*$Q278</f>
        <v>0</v>
      </c>
      <c r="AH278" s="59" cm="1">
        <f t="array" ref="AH278">VLOOKUP(B278,'Player Data'!$A1:$AE673,22,FALSE)</f>
        <v>0</v>
      </c>
      <c r="AI278" s="55"/>
      <c r="AJ278" s="57"/>
      <c r="AK278" s="57"/>
      <c r="AL278" s="57"/>
      <c r="AM278" s="57"/>
      <c r="AN278" s="57"/>
      <c r="AO278" s="57"/>
      <c r="AP278" s="57"/>
      <c r="AQ278" s="60"/>
      <c r="AR278" s="61"/>
      <c r="AS278" s="55"/>
    </row>
    <row r="279" spans="1:45" ht="21.25" customHeight="1" x14ac:dyDescent="0.15">
      <c r="A279" s="62">
        <f>RANK(K279,K$2:K$671)</f>
        <v>300</v>
      </c>
      <c r="B279" s="10" t="s">
        <v>515</v>
      </c>
      <c r="C279" s="47" t="s">
        <v>145</v>
      </c>
      <c r="D279" s="48" t="str" cm="1">
        <f t="array" ref="D279">VLOOKUP(B279,'Player Data'!A1:D673,4,FALSE)</f>
        <v>D</v>
      </c>
      <c r="E279" s="68" cm="1">
        <f t="array" ref="E279">VLOOKUP(B279,D!A1:C204,3,FALSE)</f>
        <v>139</v>
      </c>
      <c r="F279" s="69" t="str" cm="1">
        <f t="array" ref="F279">VLOOKUP(B279,'Player Data'!A1:B673,2,FALSE)</f>
        <v>N.J</v>
      </c>
      <c r="G279" s="11" cm="1">
        <f t="array" ref="G279">VLOOKUP(B279,'Player Data'!A1:D673,3,FALSE)</f>
        <v>29</v>
      </c>
      <c r="H279" s="51" cm="1">
        <f t="array" ref="H279">IFERROR(VLOOKUP(B279,ADP!A1:F671,6,FALSE)/1000000,VLOOKUP(B279,ADP!A1:F671,6,FALSE))</f>
        <v>4</v>
      </c>
      <c r="I279" s="52">
        <f>IF(Settings!$E$15="POINTS",((R279*Q279)*Settings!$B$12)+(S279*Settings!$B$2)+(T279*Settings!$B$3)+(U279*Settings!$B$4)+(V279*Settings!$B$5)+(X279*Settings!$B$9)+(AA279*Settings!$B$6)+(W279*Settings!$B$8)+(AB279*Settings!$B$7)+(AC279*Settings!$B$14)+(AD279*Settings!$B$15)+(AE279*Settings!$B$16)+(AF279*Settings!$B$17)+(AG279*Settings!$B$18)+(U279*Settings!$B$13)+(Y279*Settings!$B$10)+(Z279*Settings!$B$11),VLOOKUP(B279,'Standard Deviations'!A$1:C$672,3,FALSE))</f>
        <v>-3.5392901408472253</v>
      </c>
      <c r="J279" s="53" cm="1">
        <f t="array" ref="J279">IF(D279="G",I279/AJ279,I279/Q279)</f>
        <v>-4.8483426586948292E-2</v>
      </c>
      <c r="K279" s="52" cm="1">
        <f t="array" ref="K279">VLOOKUP(B279,D!A1:F204,6,FALSE)</f>
        <v>-4.1061410553647795</v>
      </c>
      <c r="L279" s="54" cm="1">
        <f t="array" ref="L279">IFERROR(K279/H279,"N/A")</f>
        <v>-1.0265352638411949</v>
      </c>
      <c r="M279" s="84" t="s">
        <v>828</v>
      </c>
      <c r="N279" s="84" t="str" cm="1">
        <f t="array" ref="N279">IFERROR(M279-A279,"N/A")</f>
        <v>N/A</v>
      </c>
      <c r="O279" s="55"/>
      <c r="P279" s="56" cm="1">
        <f t="array" ref="P279">_xlfn.XLOOKUP($B279,ADP!A2:A671,ADP!G2:G671)</f>
        <v>0</v>
      </c>
      <c r="Q279" s="57" cm="1">
        <f t="array" ref="Q279">IF(Settings!$E$12="YES",VLOOKUP(B279,'Player Data'!A1:E673,5,FALSE),84)</f>
        <v>73</v>
      </c>
      <c r="R279" s="81" cm="1">
        <f t="array" ref="R279">VLOOKUP(B279,'Player Data'!$A1:$AE673,6,FALSE)</f>
        <v>19.2</v>
      </c>
      <c r="S279" s="57" cm="1">
        <f t="array" ref="S279">VLOOKUP(B279,'Player Data'!$A1:$AE673,7,FALSE)*$Q279*IFERROR((VLOOKUP(P279,Settings!$E$28:$F$33,2,FALSE)+1),1)</f>
        <v>2.19</v>
      </c>
      <c r="T279" s="57" cm="1">
        <f t="array" ref="T279">VLOOKUP(B279,'Player Data'!$A1:$AE673,8,FALSE)*$Q279*IFERROR((VLOOKUP(P279,Settings!$E$28:$F$33,2,FALSE)+1),1)</f>
        <v>14.600000000000001</v>
      </c>
      <c r="U279" s="57" cm="1">
        <f t="array" ref="U279">SUM(S279:T279)</f>
        <v>16.790000000000003</v>
      </c>
      <c r="V279" s="57" cm="1">
        <f t="array" ref="V279">VLOOKUP(B279,'Player Data'!$A1:$AE673,10,FALSE)*$Q279*IFERROR(((VLOOKUP(P279,Settings!$E$28:$F$33,2,FALSE)/2)+1),1)</f>
        <v>65.7</v>
      </c>
      <c r="W279" s="57" cm="1">
        <f t="array" ref="W279">VLOOKUP(B279,'Player Data'!$A1:$AE673,11,FALSE)*$Q279*IFERROR((VLOOKUP(P279,Settings!$E$28:$F$33,2,FALSE)+1),1)</f>
        <v>0</v>
      </c>
      <c r="X279" s="57" cm="1">
        <f t="array" ref="X279">VLOOKUP(B279,'Player Data'!$A1:$AE673,12,FALSE)*$Q279*IFERROR((VLOOKUP(P279,Settings!$E$28:$F$33,2,FALSE)+1),1)</f>
        <v>0</v>
      </c>
      <c r="Y279" s="57" cm="1">
        <f t="array" ref="Y279">VLOOKUP(B279,'Player Data'!$A1:$AE673,13,FALSE)*$Q279</f>
        <v>0</v>
      </c>
      <c r="Z279" s="57" cm="1">
        <f t="array" ref="Z279">VLOOKUP(B279,'Player Data'!$A1:$AE673,14,FALSE)*$Q279</f>
        <v>0</v>
      </c>
      <c r="AA279" s="57" cm="1">
        <f t="array" ref="AA279">VLOOKUP(B279,'Player Data'!$A1:$AE673,15,FALSE)*$Q279</f>
        <v>94.9</v>
      </c>
      <c r="AB279" s="57" cm="1">
        <f t="array" ref="AB279">VLOOKUP(B279,'Player Data'!$A1:$AE673,16,FALSE)*$Q279</f>
        <v>96.36</v>
      </c>
      <c r="AC279" s="57" cm="1">
        <f t="array" ref="AC279">VLOOKUP(B279,'Player Data'!$A1:$AE673,17,FALSE)*$Q279*IFERROR((VLOOKUP(P279,Settings!$E$28:$F$33,2,FALSE)+1),1)</f>
        <v>0</v>
      </c>
      <c r="AD279" s="57" cm="1">
        <f t="array" ref="AD279">VLOOKUP(B279,'Player Data'!$A1:$AE673,18,FALSE)*$Q279</f>
        <v>55.480000000000004</v>
      </c>
      <c r="AE279" s="57" cm="1">
        <f t="array" ref="AE279">VLOOKUP(B279,'Player Data'!$A1:$AE673,19,FALSE)*$Q279*IFERROR((VLOOKUP(P279,Settings!$E$28:$F$33,2,FALSE)+1),1)</f>
        <v>0</v>
      </c>
      <c r="AF279" s="57" cm="1">
        <f t="array" ref="AF279">VLOOKUP(B279,'Player Data'!$A1:$AE673,20,FALSE)*$Q279</f>
        <v>0</v>
      </c>
      <c r="AG279" s="57" cm="1">
        <f t="array" ref="AG279">VLOOKUP(B279,'Player Data'!$A1:$AE673,21,FALSE)*$Q279</f>
        <v>0</v>
      </c>
      <c r="AH279" s="59" cm="1">
        <f t="array" ref="AH279">VLOOKUP(B279,'Player Data'!$A1:$AE673,22,FALSE)</f>
        <v>0</v>
      </c>
      <c r="AI279" s="55"/>
      <c r="AJ279" s="57"/>
      <c r="AK279" s="57"/>
      <c r="AL279" s="57"/>
      <c r="AM279" s="57"/>
      <c r="AN279" s="57"/>
      <c r="AO279" s="57"/>
      <c r="AP279" s="57"/>
      <c r="AQ279" s="60"/>
      <c r="AR279" s="61"/>
      <c r="AS279" s="55"/>
    </row>
    <row r="280" spans="1:45" ht="21.25" customHeight="1" x14ac:dyDescent="0.15">
      <c r="A280" s="62">
        <f>RANK(K280,K$2:K$671)</f>
        <v>302</v>
      </c>
      <c r="B280" s="10" t="s">
        <v>488</v>
      </c>
      <c r="C280" s="47" t="s">
        <v>145</v>
      </c>
      <c r="D280" s="48" t="str" cm="1">
        <f t="array" ref="D280">VLOOKUP(B280,'Player Data'!A1:D673,4,FALSE)</f>
        <v>D</v>
      </c>
      <c r="E280" s="68" cm="1">
        <f t="array" ref="E280">VLOOKUP(B280,D!A1:C204,3,FALSE)</f>
        <v>140</v>
      </c>
      <c r="F280" s="56" t="str" cm="1">
        <f t="array" ref="F280">VLOOKUP(B280,'Player Data'!A1:B673,2,FALSE)</f>
        <v>WSH</v>
      </c>
      <c r="G280" s="11" cm="1">
        <f t="array" ref="G280">VLOOKUP(B280,'Player Data'!A1:D673,3,FALSE)</f>
        <v>27</v>
      </c>
      <c r="H280" s="51" cm="1">
        <f t="array" ref="H280">IFERROR(VLOOKUP(B280,ADP!A1:F671,6,FALSE)/1000000,VLOOKUP(B280,ADP!A1:F671,6,FALSE))</f>
        <v>3.25</v>
      </c>
      <c r="I280" s="52">
        <f>IF(Settings!$E$15="POINTS",((R280*Q280)*Settings!$B$12)+(S280*Settings!$B$2)+(T280*Settings!$B$3)+(U280*Settings!$B$4)+(V280*Settings!$B$5)+(X280*Settings!$B$9)+(AA280*Settings!$B$6)+(W280*Settings!$B$8)+(AB280*Settings!$B$7)+(AC280*Settings!$B$14)+(AD280*Settings!$B$15)+(AE280*Settings!$B$16)+(AF280*Settings!$B$17)+(AG280*Settings!$B$18)+(U280*Settings!$B$13)+(Y280*Settings!$B$10)+(Z280*Settings!$B$11),VLOOKUP(B280,'Standard Deviations'!A$1:C$672,3,FALSE))</f>
        <v>-3.5426191133036085</v>
      </c>
      <c r="J280" s="53" cm="1">
        <f t="array" ref="J280">IF(D280="G",I280/AJ280,I280/Q280)</f>
        <v>-4.8529028949364499E-2</v>
      </c>
      <c r="K280" s="52" cm="1">
        <f t="array" ref="K280">VLOOKUP(B280,D!A1:F204,6,FALSE)</f>
        <v>-4.1094700278211631</v>
      </c>
      <c r="L280" s="54" cm="1">
        <f t="array" ref="L280">IFERROR(K280/H280,"N/A")</f>
        <v>-1.2644523162526655</v>
      </c>
      <c r="M280" s="84" t="s">
        <v>828</v>
      </c>
      <c r="N280" s="84" t="str" cm="1">
        <f t="array" ref="N280">IFERROR(M280-A280,"N/A")</f>
        <v>N/A</v>
      </c>
      <c r="O280" s="55"/>
      <c r="P280" s="56" cm="1">
        <f t="array" ref="P280">_xlfn.XLOOKUP($B280,ADP!A2:A671,ADP!G2:G671)</f>
        <v>0</v>
      </c>
      <c r="Q280" s="57" cm="1">
        <f t="array" ref="Q280">IF(Settings!$E$12="YES",VLOOKUP(B280,'Player Data'!A1:E673,5,FALSE),84)</f>
        <v>73</v>
      </c>
      <c r="R280" s="83" cm="1">
        <f t="array" ref="R280">VLOOKUP(B280,'Player Data'!$A1:$AE673,6,FALSE)</f>
        <v>17.5</v>
      </c>
      <c r="S280" s="57" cm="1">
        <f t="array" ref="S280">VLOOKUP(B280,'Player Data'!$A1:$AE673,7,FALSE)*$Q280*IFERROR((VLOOKUP(P280,Settings!$E$28:$F$33,2,FALSE)+1),1)</f>
        <v>2.92</v>
      </c>
      <c r="T280" s="57" cm="1">
        <f t="array" ref="T280">VLOOKUP(B280,'Player Data'!$A1:$AE673,8,FALSE)*$Q280*IFERROR((VLOOKUP(P280,Settings!$E$28:$F$33,2,FALSE)+1),1)</f>
        <v>12.41</v>
      </c>
      <c r="U280" s="57" cm="1">
        <f t="array" ref="U280">SUM(S280:T280)</f>
        <v>15.33</v>
      </c>
      <c r="V280" s="57" cm="1">
        <f t="array" ref="V280">VLOOKUP(B280,'Player Data'!$A1:$AE673,10,FALSE)*$Q280*IFERROR(((VLOOKUP(P280,Settings!$E$28:$F$33,2,FALSE)/2)+1),1)</f>
        <v>66.430000000000007</v>
      </c>
      <c r="W280" s="57" cm="1">
        <f t="array" ref="W280">VLOOKUP(B280,'Player Data'!$A1:$AE673,11,FALSE)*$Q280*IFERROR((VLOOKUP(P280,Settings!$E$28:$F$33,2,FALSE)+1),1)</f>
        <v>0</v>
      </c>
      <c r="X280" s="57" cm="1">
        <f t="array" ref="X280">VLOOKUP(B280,'Player Data'!$A1:$AE673,12,FALSE)*$Q280*IFERROR((VLOOKUP(P280,Settings!$E$28:$F$33,2,FALSE)+1),1)</f>
        <v>0</v>
      </c>
      <c r="Y280" s="57" cm="1">
        <f t="array" ref="Y280">VLOOKUP(B280,'Player Data'!$A1:$AE673,13,FALSE)*$Q280</f>
        <v>0</v>
      </c>
      <c r="Z280" s="57" cm="1">
        <f t="array" ref="Z280">VLOOKUP(B280,'Player Data'!$A1:$AE673,14,FALSE)*$Q280</f>
        <v>0</v>
      </c>
      <c r="AA280" s="57" cm="1">
        <f t="array" ref="AA280">VLOOKUP(B280,'Player Data'!$A1:$AE673,15,FALSE)*$Q280</f>
        <v>116.80000000000001</v>
      </c>
      <c r="AB280" s="57" cm="1">
        <f t="array" ref="AB280">VLOOKUP(B280,'Player Data'!$A1:$AE673,16,FALSE)*$Q280</f>
        <v>68.61999999999999</v>
      </c>
      <c r="AC280" s="57" cm="1">
        <f t="array" ref="AC280">VLOOKUP(B280,'Player Data'!$A1:$AE673,17,FALSE)*$Q280*IFERROR((VLOOKUP(P280,Settings!$E$28:$F$33,2,FALSE)+1),1)</f>
        <v>2.92</v>
      </c>
      <c r="AD280" s="57" cm="1">
        <f t="array" ref="AD280">VLOOKUP(B280,'Player Data'!$A1:$AE673,18,FALSE)*$Q280</f>
        <v>33.58</v>
      </c>
      <c r="AE280" s="57" cm="1">
        <f t="array" ref="AE280">VLOOKUP(B280,'Player Data'!$A1:$AE673,19,FALSE)*$Q280*IFERROR((VLOOKUP(P280,Settings!$E$28:$F$33,2,FALSE)+1),1)</f>
        <v>0.73</v>
      </c>
      <c r="AF280" s="57" cm="1">
        <f t="array" ref="AF280">VLOOKUP(B280,'Player Data'!$A1:$AE673,20,FALSE)*$Q280</f>
        <v>0</v>
      </c>
      <c r="AG280" s="57" cm="1">
        <f t="array" ref="AG280">VLOOKUP(B280,'Player Data'!$A1:$AE673,21,FALSE)*$Q280</f>
        <v>0</v>
      </c>
      <c r="AH280" s="59" cm="1">
        <f t="array" ref="AH280">VLOOKUP(B280,'Player Data'!$A1:$AE673,22,FALSE)</f>
        <v>0</v>
      </c>
      <c r="AI280" s="55"/>
      <c r="AJ280" s="57"/>
      <c r="AK280" s="57"/>
      <c r="AL280" s="57"/>
      <c r="AM280" s="57"/>
      <c r="AN280" s="57"/>
      <c r="AO280" s="57"/>
      <c r="AP280" s="57"/>
      <c r="AQ280" s="60"/>
      <c r="AR280" s="61"/>
      <c r="AS280" s="55"/>
    </row>
    <row r="281" spans="1:45" ht="21.25" customHeight="1" x14ac:dyDescent="0.15">
      <c r="A281" s="62">
        <f>RANK(K281,K$2:K$671)</f>
        <v>243</v>
      </c>
      <c r="B281" s="10" t="s">
        <v>306</v>
      </c>
      <c r="C281" s="47" t="s">
        <v>145</v>
      </c>
      <c r="D281" s="48" t="str" cm="1">
        <f t="array" ref="D281">VLOOKUP(B281,'Player Data'!A1:D673,4,FALSE)</f>
        <v>C,RW</v>
      </c>
      <c r="E281" s="74" cm="1">
        <f t="array" ref="E281">VLOOKUP(B281,RW!A1:F210,3,FALSE)</f>
        <v>57</v>
      </c>
      <c r="F281" s="70" t="str" cm="1">
        <f t="array" ref="F281">VLOOKUP(B281,'Player Data'!A1:B673,2,FALSE)</f>
        <v>MIN</v>
      </c>
      <c r="G281" s="66" cm="1">
        <f t="array" ref="G281">VLOOKUP(B281,'Player Data'!A1:D673,3,FALSE)</f>
        <v>32</v>
      </c>
      <c r="H281" s="67" cm="1">
        <f t="array" ref="H281">IFERROR(VLOOKUP(B281,ADP!A1:F671,6,FALSE)/1000000,VLOOKUP(B281,ADP!A1:F671,6,FALSE))</f>
        <v>4</v>
      </c>
      <c r="I281" s="52">
        <f>IF(Settings!$E$15="POINTS",((R281*Q281)*Settings!$B$12)+(S281*Settings!$B$2)+(T281*Settings!$B$3)+(U281*Settings!$B$4)+(V281*Settings!$B$5)+(X281*Settings!$B$9)+(AA281*Settings!$B$6)+(W281*Settings!$B$8)+(AB281*Settings!$B$7)+(AC281*Settings!$B$14)+(AD281*Settings!$B$15)+(AE281*Settings!$B$16)+(AF281*Settings!$B$17)+(AG281*Settings!$B$18)+(Y281*Settings!$B$10)+(Z281*Settings!$B$11),VLOOKUP(B281,'Standard Deviations'!A$1:C$672,3,FALSE))</f>
        <v>3.7144735881746609</v>
      </c>
      <c r="J281" s="53" cm="1">
        <f t="array" ref="J281">IF(D281="G",I281/AJ281,I281/Q281)</f>
        <v>4.6430919852183263E-2</v>
      </c>
      <c r="K281" s="52" cm="1">
        <f t="array" ref="K281">IF(Settings!$E$18="C/LW/RW",VLOOKUP(B281,RW!A1:F210,6,FALSE),VLOOKUP(B281,F!A1:F407,6,FALSE))</f>
        <v>-3.1727610136344166</v>
      </c>
      <c r="L281" s="54" cm="1">
        <f t="array" ref="L281">IFERROR(K281/H281,"N/A")</f>
        <v>-0.79319025340860416</v>
      </c>
      <c r="M281" s="84" t="s">
        <v>828</v>
      </c>
      <c r="N281" s="84" t="str" cm="1">
        <f t="array" ref="N281">IFERROR(M281-A281,"N/A")</f>
        <v>N/A</v>
      </c>
      <c r="O281" s="55"/>
      <c r="P281" s="56" cm="1">
        <f t="array" ref="P281">_xlfn.XLOOKUP($B281,ADP!A2:A671,ADP!G2:G671)</f>
        <v>0</v>
      </c>
      <c r="Q281" s="57" cm="1">
        <f t="array" ref="Q281">IF(Settings!$E$12="YES",VLOOKUP(B281,'Player Data'!A1:E673,5,FALSE),84)</f>
        <v>80</v>
      </c>
      <c r="R281" s="55" cm="1">
        <f t="array" ref="R281">VLOOKUP(B281,'Player Data'!$A1:$AE673,6,FALSE)</f>
        <v>17.600000000000001</v>
      </c>
      <c r="S281" s="57" cm="1">
        <f t="array" ref="S281">VLOOKUP(B281,'Player Data'!$A1:$AE673,7,FALSE)*$Q281*IFERROR((VLOOKUP(P281,Settings!$E$28:$F$33,2,FALSE)+1),1)</f>
        <v>24.8</v>
      </c>
      <c r="T281" s="57" cm="1">
        <f t="array" ref="T281">VLOOKUP(B281,'Player Data'!$A1:$AE673,8,FALSE)*$Q281*IFERROR((VLOOKUP(P281,Settings!$E$28:$F$33,2,FALSE)+1),1)</f>
        <v>24.8</v>
      </c>
      <c r="U281" s="57" cm="1">
        <f t="array" ref="U281">SUM(S281:T281)</f>
        <v>49.6</v>
      </c>
      <c r="V281" s="57" cm="1">
        <f t="array" ref="V281">VLOOKUP(B281,'Player Data'!$A1:$AE673,10,FALSE)*$Q281*IFERROR(((VLOOKUP(P281,Settings!$E$28:$F$33,2,FALSE)/2)+1),1)</f>
        <v>201.6</v>
      </c>
      <c r="W281" s="58" cm="1">
        <f t="array" ref="W281">VLOOKUP(B281,'Player Data'!$A1:$AE673,11,FALSE)*$Q281*IFERROR((VLOOKUP(P281,Settings!$E$28:$F$33,2,FALSE)+1),1)</f>
        <v>9.6</v>
      </c>
      <c r="X281" s="57" cm="1">
        <f t="array" ref="X281">VLOOKUP(B281,'Player Data'!$A1:$AE673,12,FALSE)*$Q281*IFERROR((VLOOKUP(P281,Settings!$E$28:$F$33,2,FALSE)+1),1)</f>
        <v>16.8</v>
      </c>
      <c r="Y281" s="57" cm="1">
        <f t="array" ref="Y281">VLOOKUP(B281,'Player Data'!$A1:$AE673,13,FALSE)*$Q281</f>
        <v>0</v>
      </c>
      <c r="Z281" s="57" cm="1">
        <f t="array" ref="Z281">VLOOKUP(B281,'Player Data'!$A1:$AE673,14,FALSE)*$Q281</f>
        <v>0</v>
      </c>
      <c r="AA281" s="57" cm="1">
        <f t="array" ref="AA281">VLOOKUP(B281,'Player Data'!$A1:$AE673,15,FALSE)*$Q281</f>
        <v>78.400000000000006</v>
      </c>
      <c r="AB281" s="57" cm="1">
        <f t="array" ref="AB281">VLOOKUP(B281,'Player Data'!$A1:$AE673,16,FALSE)*$Q281</f>
        <v>74.400000000000006</v>
      </c>
      <c r="AC281" s="57" cm="1">
        <f t="array" ref="AC281">VLOOKUP(B281,'Player Data'!$A1:$AE673,17,FALSE)*$Q281*IFERROR((VLOOKUP(P281,Settings!$E$28:$F$33,2,FALSE)+1),1)</f>
        <v>3.2</v>
      </c>
      <c r="AD281" s="57" cm="1">
        <f t="array" ref="AD281">VLOOKUP(B281,'Player Data'!$A1:$AE673,18,FALSE)*$Q281</f>
        <v>55.199999999999996</v>
      </c>
      <c r="AE281" s="57" cm="1">
        <f t="array" ref="AE281">VLOOKUP(B281,'Player Data'!$A1:$AE673,19,FALSE)*$Q281*IFERROR((VLOOKUP(P281,Settings!$E$28:$F$33,2,FALSE)+1),1)</f>
        <v>4</v>
      </c>
      <c r="AF281" s="57" cm="1">
        <f t="array" ref="AF281">VLOOKUP(B281,'Player Data'!$A1:$AE673,20,FALSE)*$Q281</f>
        <v>516.79999999999995</v>
      </c>
      <c r="AG281" s="57" cm="1">
        <f t="array" ref="AG281">VLOOKUP(B281,'Player Data'!$A1:$AE673,21,FALSE)*$Q281</f>
        <v>596</v>
      </c>
      <c r="AH281" s="59" cm="1">
        <f t="array" ref="AH281">VLOOKUP(B281,'Player Data'!$A1:$AE673,22,FALSE)</f>
        <v>0.46</v>
      </c>
      <c r="AI281" s="55"/>
      <c r="AJ281" s="57"/>
      <c r="AK281" s="57"/>
      <c r="AL281" s="57"/>
      <c r="AM281" s="57"/>
      <c r="AN281" s="57"/>
      <c r="AO281" s="57"/>
      <c r="AP281" s="57"/>
      <c r="AQ281" s="60"/>
      <c r="AR281" s="61"/>
      <c r="AS281" s="55"/>
    </row>
    <row r="282" spans="1:45" ht="21.25" customHeight="1" x14ac:dyDescent="0.15">
      <c r="A282" s="62">
        <f>RANK(K282,K$2:K$671)</f>
        <v>290</v>
      </c>
      <c r="B282" s="10" t="s">
        <v>390</v>
      </c>
      <c r="C282" s="47" t="s">
        <v>145</v>
      </c>
      <c r="D282" s="48" t="str" cm="1">
        <f t="array" ref="D282">VLOOKUP(B282,'Player Data'!A1:D673,4,FALSE)</f>
        <v>G</v>
      </c>
      <c r="E282" s="76" cm="1">
        <f t="array" ref="E282">VLOOKUP(B282,G!A1:D66,3,FALSE)</f>
        <v>44</v>
      </c>
      <c r="F282" s="18" t="str" cm="1">
        <f t="array" ref="F282">VLOOKUP(B282,'Player Data'!A1:B673,2,FALSE)</f>
        <v>PIT</v>
      </c>
      <c r="G282" s="11" cm="1">
        <f t="array" ref="G282">VLOOKUP(B282,'Player Data'!A1:D673,3,FALSE)</f>
        <v>25</v>
      </c>
      <c r="H282" s="67" cm="1">
        <f t="array" ref="H282">IFERROR(VLOOKUP(B282,ADP!A1:F671,6,FALSE)/1000000,VLOOKUP(B282,ADP!A1:F671,6,FALSE))</f>
        <v>2.8</v>
      </c>
      <c r="I282" s="52">
        <f>IF(Settings!$E$15="POINTS",(AJ282*Settings!$B$29)+(AK282*Settings!$B$21)+(AL282*Settings!$B$22)+(AN282*Settings!$B$24)+(AO282*Settings!$B$25)+(AP282*Settings!$B$27)+(AM282*Settings!$B$23),VLOOKUP(B282,'Standard Deviations'!A$1:C$672,3,FALSE))</f>
        <v>-1.8964585946785224</v>
      </c>
      <c r="J282" s="53" cm="1">
        <f t="array" ref="J282">IF(D282="G",I282/AJ282,I282/Q282)</f>
        <v>-4.214352432618939E-2</v>
      </c>
      <c r="K282" s="52" cm="1">
        <f t="array" ref="K282">VLOOKUP(B282,G!A1:F66,6,FALSE)</f>
        <v>-3.9346438538021973</v>
      </c>
      <c r="L282" s="54" cm="1">
        <f t="array" ref="L282">IFERROR(K282/H282,"N/A")</f>
        <v>-1.4052299477864991</v>
      </c>
      <c r="M282" s="55">
        <v>129.6</v>
      </c>
      <c r="N282" s="55" cm="1">
        <f t="array" ref="N282">IFERROR(M282-A282,"N/A")</f>
        <v>-160.4</v>
      </c>
      <c r="O282" s="55"/>
      <c r="P282" s="56" cm="1">
        <f t="array" ref="P282">_xlfn.XLOOKUP($B282,ADP!A2:A671,ADP!G2:G671)</f>
        <v>0</v>
      </c>
      <c r="Q282" s="57"/>
      <c r="R282" s="55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9"/>
      <c r="AI282" s="55"/>
      <c r="AJ282" s="77" cm="1">
        <f t="array" ref="AJ282">VLOOKUP(B282,'Player Data'!$A1:$AE673,24,FALSE)</f>
        <v>45</v>
      </c>
      <c r="AK282" s="57" cm="1">
        <f t="array" ref="AK282">VLOOKUP(B282,'Player Data'!$A1:$AE673,25,FALSE)*$AJ282*IFERROR((VLOOKUP(P282,Settings!$E$28:$F$33,2,FALSE)+1),1)</f>
        <v>22.05</v>
      </c>
      <c r="AL282" s="57" cm="1">
        <f t="array" ref="AL282">AJ282-AK282-AM282</f>
        <v>17.099999999999998</v>
      </c>
      <c r="AM282" s="57" cm="1">
        <f t="array" ref="AM282">VLOOKUP(B282,'Player Data'!$A1:$AE673,27,FALSE)*$AJ282</f>
        <v>5.8500000000000005</v>
      </c>
      <c r="AN282" s="57" cm="1">
        <f t="array" ref="AN282">VLOOKUP(B282,'Player Data'!$A1:$AE673,28,FALSE)*AJ282</f>
        <v>1.8</v>
      </c>
      <c r="AO282" s="57" cm="1">
        <f t="array" ref="AO282">VLOOKUP(B282,'Player Data'!$A1:$AE673,29,FALSE)*$AJ282*IFERROR((VLOOKUP(P282,Settings!$E$28:$F$33,2,FALSE)/4)+1,1)</f>
        <v>1120.5</v>
      </c>
      <c r="AP282" s="57" cm="1">
        <f t="array" ref="AP282">VLOOKUP(B282,'Player Data'!$A1:$AE673,31,FALSE)*$AJ282*(IFERROR(1-(VLOOKUP(P282,Settings!$E$28:$F$33,2,FALSE)/4),1))</f>
        <v>134.55000000000001</v>
      </c>
      <c r="AQ282" s="60" cm="1">
        <f t="array" ref="AQ282">1-(AP282/(AO282+AP282))</f>
        <v>0.89279311581211906</v>
      </c>
      <c r="AR282" s="61" cm="1">
        <f t="array" ref="AR282">AP282/AJ282</f>
        <v>2.99</v>
      </c>
      <c r="AS282" s="55"/>
    </row>
    <row r="283" spans="1:45" ht="21.25" customHeight="1" x14ac:dyDescent="0.15">
      <c r="A283" s="62">
        <f>RANK(K283,K$2:K$671)</f>
        <v>304</v>
      </c>
      <c r="B283" s="10" t="s">
        <v>395</v>
      </c>
      <c r="C283" s="47" t="s">
        <v>145</v>
      </c>
      <c r="D283" s="48" t="str" cm="1">
        <f t="array" ref="D283">VLOOKUP(B283,'Player Data'!A1:D673,4,FALSE)</f>
        <v>D</v>
      </c>
      <c r="E283" s="68" cm="1">
        <f t="array" ref="E283">VLOOKUP(B283,D!A1:C204,3,FALSE)</f>
        <v>141</v>
      </c>
      <c r="F283" s="72" t="str" cm="1">
        <f t="array" ref="F283">VLOOKUP(B283,'Player Data'!A1:B673,2,FALSE)</f>
        <v>NYI</v>
      </c>
      <c r="G283" s="11" cm="1">
        <f t="array" ref="G283">VLOOKUP(B283,'Player Data'!A1:D673,3,FALSE)</f>
        <v>30</v>
      </c>
      <c r="H283" s="51" cm="1">
        <f t="array" ref="H283">IFERROR(VLOOKUP(B283,ADP!A1:F671,6,FALSE)/1000000,VLOOKUP(B283,ADP!A1:F671,6,FALSE))</f>
        <v>4.5</v>
      </c>
      <c r="I283" s="52">
        <f>IF(Settings!$E$15="POINTS",((R283*Q283)*Settings!$B$12)+(S283*Settings!$B$2)+(T283*Settings!$B$3)+(U283*Settings!$B$4)+(V283*Settings!$B$5)+(X283*Settings!$B$9)+(AA283*Settings!$B$6)+(W283*Settings!$B$8)+(AB283*Settings!$B$7)+(AC283*Settings!$B$14)+(AD283*Settings!$B$15)+(AE283*Settings!$B$16)+(AF283*Settings!$B$17)+(AG283*Settings!$B$18)+(U283*Settings!$B$13)+(Y283*Settings!$B$10)+(Z283*Settings!$B$11),VLOOKUP(B283,'Standard Deviations'!A$1:C$672,3,FALSE))</f>
        <v>-3.5582787043807098</v>
      </c>
      <c r="J283" s="53" cm="1">
        <f t="array" ref="J283">IF(D283="G",I283/AJ283,I283/Q283)</f>
        <v>-5.0116601470150846E-2</v>
      </c>
      <c r="K283" s="52" cm="1">
        <f t="array" ref="K283">VLOOKUP(B283,D!A1:F204,6,FALSE)</f>
        <v>-4.1251296188982645</v>
      </c>
      <c r="L283" s="54" cm="1">
        <f t="array" ref="L283">IFERROR(K283/H283,"N/A")</f>
        <v>-0.916695470866281</v>
      </c>
      <c r="M283" s="84" t="s">
        <v>828</v>
      </c>
      <c r="N283" s="84" t="str" cm="1">
        <f t="array" ref="N283">IFERROR(M283-A283,"N/A")</f>
        <v>N/A</v>
      </c>
      <c r="O283" s="55"/>
      <c r="P283" s="56" cm="1">
        <f t="array" ref="P283">_xlfn.XLOOKUP($B283,ADP!A2:A671,ADP!G2:G671)</f>
        <v>0</v>
      </c>
      <c r="Q283" s="57" cm="1">
        <f t="array" ref="Q283">IF(Settings!$E$12="YES",VLOOKUP(B283,'Player Data'!A1:E673,5,FALSE),84)</f>
        <v>71</v>
      </c>
      <c r="R283" s="83" cm="1">
        <f t="array" ref="R283">VLOOKUP(B283,'Player Data'!$A1:$AE673,6,FALSE)</f>
        <v>17</v>
      </c>
      <c r="S283" s="57" cm="1">
        <f t="array" ref="S283">VLOOKUP(B283,'Player Data'!$A1:$AE673,7,FALSE)*$Q283*IFERROR((VLOOKUP(P283,Settings!$E$28:$F$33,2,FALSE)+1),1)</f>
        <v>4.26</v>
      </c>
      <c r="T283" s="57" cm="1">
        <f t="array" ref="T283">VLOOKUP(B283,'Player Data'!$A1:$AE673,8,FALSE)*$Q283*IFERROR((VLOOKUP(P283,Settings!$E$28:$F$33,2,FALSE)+1),1)</f>
        <v>21.3</v>
      </c>
      <c r="U283" s="57" cm="1">
        <f t="array" ref="U283">SUM(S283:T283)</f>
        <v>25.560000000000002</v>
      </c>
      <c r="V283" s="57" cm="1">
        <f t="array" ref="V283">VLOOKUP(B283,'Player Data'!$A1:$AE673,10,FALSE)*$Q283*IFERROR(((VLOOKUP(P283,Settings!$E$28:$F$33,2,FALSE)/2)+1),1)</f>
        <v>112.18</v>
      </c>
      <c r="W283" s="57" cm="1">
        <f t="array" ref="W283">VLOOKUP(B283,'Player Data'!$A1:$AE673,11,FALSE)*$Q283*IFERROR((VLOOKUP(P283,Settings!$E$28:$F$33,2,FALSE)+1),1)</f>
        <v>0.71</v>
      </c>
      <c r="X283" s="57" cm="1">
        <f t="array" ref="X283">VLOOKUP(B283,'Player Data'!$A1:$AE673,12,FALSE)*$Q283*IFERROR((VLOOKUP(P283,Settings!$E$28:$F$33,2,FALSE)+1),1)</f>
        <v>5.68</v>
      </c>
      <c r="Y283" s="57" cm="1">
        <f t="array" ref="Y283">VLOOKUP(B283,'Player Data'!$A1:$AE673,13,FALSE)*$Q283</f>
        <v>0</v>
      </c>
      <c r="Z283" s="57" cm="1">
        <f t="array" ref="Z283">VLOOKUP(B283,'Player Data'!$A1:$AE673,14,FALSE)*$Q283</f>
        <v>0</v>
      </c>
      <c r="AA283" s="57" cm="1">
        <f t="array" ref="AA283">VLOOKUP(B283,'Player Data'!$A1:$AE673,15,FALSE)*$Q283</f>
        <v>65.320000000000007</v>
      </c>
      <c r="AB283" s="57" cm="1">
        <f t="array" ref="AB283">VLOOKUP(B283,'Player Data'!$A1:$AE673,16,FALSE)*$Q283</f>
        <v>40.47</v>
      </c>
      <c r="AC283" s="57" cm="1">
        <f t="array" ref="AC283">VLOOKUP(B283,'Player Data'!$A1:$AE673,17,FALSE)*$Q283*IFERROR((VLOOKUP(P283,Settings!$E$28:$F$33,2,FALSE)+1),1)</f>
        <v>-4.26</v>
      </c>
      <c r="AD283" s="57" cm="1">
        <f t="array" ref="AD283">VLOOKUP(B283,'Player Data'!$A1:$AE673,18,FALSE)*$Q283</f>
        <v>24.14</v>
      </c>
      <c r="AE283" s="57" cm="1">
        <f t="array" ref="AE283">VLOOKUP(B283,'Player Data'!$A1:$AE673,19,FALSE)*$Q283*IFERROR((VLOOKUP(P283,Settings!$E$28:$F$33,2,FALSE)+1),1)</f>
        <v>0.71</v>
      </c>
      <c r="AF283" s="57" cm="1">
        <f t="array" ref="AF283">VLOOKUP(B283,'Player Data'!$A1:$AE673,20,FALSE)*$Q283</f>
        <v>0</v>
      </c>
      <c r="AG283" s="57" cm="1">
        <f t="array" ref="AG283">VLOOKUP(B283,'Player Data'!$A1:$AE673,21,FALSE)*$Q283</f>
        <v>0</v>
      </c>
      <c r="AH283" s="59" cm="1">
        <f t="array" ref="AH283">VLOOKUP(B283,'Player Data'!$A1:$AE673,22,FALSE)</f>
        <v>0</v>
      </c>
      <c r="AI283" s="55"/>
      <c r="AJ283" s="57"/>
      <c r="AK283" s="57"/>
      <c r="AL283" s="57"/>
      <c r="AM283" s="57"/>
      <c r="AN283" s="57"/>
      <c r="AO283" s="57"/>
      <c r="AP283" s="57"/>
      <c r="AQ283" s="60"/>
      <c r="AR283" s="61"/>
      <c r="AS283" s="55"/>
    </row>
    <row r="284" spans="1:45" ht="21.25" customHeight="1" x14ac:dyDescent="0.15">
      <c r="A284" s="62">
        <f>RANK(K284,K$2:K$671)</f>
        <v>305</v>
      </c>
      <c r="B284" s="10" t="s">
        <v>374</v>
      </c>
      <c r="C284" s="47" t="s">
        <v>145</v>
      </c>
      <c r="D284" s="48" t="str" cm="1">
        <f t="array" ref="D284">VLOOKUP(B284,'Player Data'!A1:D673,4,FALSE)</f>
        <v>D</v>
      </c>
      <c r="E284" s="68" cm="1">
        <f t="array" ref="E284">VLOOKUP(B284,D!A1:C204,3,FALSE)</f>
        <v>142</v>
      </c>
      <c r="F284" s="72" t="str" cm="1">
        <f t="array" ref="F284">VLOOKUP(B284,'Player Data'!A1:B673,2,FALSE)</f>
        <v>BOS</v>
      </c>
      <c r="G284" s="66" cm="1">
        <f t="array" ref="G284">VLOOKUP(B284,'Player Data'!A1:D673,3,FALSE)</f>
        <v>32</v>
      </c>
      <c r="H284" s="51" cm="1">
        <f t="array" ref="H284">IFERROR(VLOOKUP(B284,ADP!A1:F671,6,FALSE)/1000000,VLOOKUP(B284,ADP!A1:F671,6,FALSE))</f>
        <v>6.5</v>
      </c>
      <c r="I284" s="52">
        <f>IF(Settings!$E$15="POINTS",((R284*Q284)*Settings!$B$12)+(S284*Settings!$B$2)+(T284*Settings!$B$3)+(U284*Settings!$B$4)+(V284*Settings!$B$5)+(X284*Settings!$B$9)+(AA284*Settings!$B$6)+(W284*Settings!$B$8)+(AB284*Settings!$B$7)+(AC284*Settings!$B$14)+(AD284*Settings!$B$15)+(AE284*Settings!$B$16)+(AF284*Settings!$B$17)+(AG284*Settings!$B$18)+(U284*Settings!$B$13)+(Y284*Settings!$B$10)+(Z284*Settings!$B$11),VLOOKUP(B284,'Standard Deviations'!A$1:C$672,3,FALSE))</f>
        <v>-3.5582874088041621</v>
      </c>
      <c r="J284" s="53" cm="1">
        <f t="array" ref="J284">IF(D284="G",I284/AJ284,I284/Q284)</f>
        <v>-4.9420658455613359E-2</v>
      </c>
      <c r="K284" s="52" cm="1">
        <f t="array" ref="K284">VLOOKUP(B284,D!A1:F204,6,FALSE)</f>
        <v>-4.1251383233217167</v>
      </c>
      <c r="L284" s="54" cm="1">
        <f t="array" ref="L284">IFERROR(K284/H284,"N/A")</f>
        <v>-0.63463666512641792</v>
      </c>
      <c r="M284" s="84" t="s">
        <v>828</v>
      </c>
      <c r="N284" s="84" t="str" cm="1">
        <f t="array" ref="N284">IFERROR(M284-A284,"N/A")</f>
        <v>N/A</v>
      </c>
      <c r="O284" s="55"/>
      <c r="P284" s="56" cm="1">
        <f t="array" ref="P284">_xlfn.XLOOKUP($B284,ADP!A2:A671,ADP!G2:G671)</f>
        <v>0</v>
      </c>
      <c r="Q284" s="57" cm="1">
        <f t="array" ref="Q284">IF(Settings!$E$12="YES",VLOOKUP(B284,'Player Data'!A1:E673,5,FALSE),84)</f>
        <v>72</v>
      </c>
      <c r="R284" s="55" cm="1">
        <f t="array" ref="R284">VLOOKUP(B284,'Player Data'!$A1:$AE673,6,FALSE)</f>
        <v>22.5</v>
      </c>
      <c r="S284" s="57" cm="1">
        <f t="array" ref="S284">VLOOKUP(B284,'Player Data'!$A1:$AE673,7,FALSE)*$Q284*IFERROR((VLOOKUP(P284,Settings!$E$28:$F$33,2,FALSE)+1),1)</f>
        <v>3.6</v>
      </c>
      <c r="T284" s="57" cm="1">
        <f t="array" ref="T284">VLOOKUP(B284,'Player Data'!$A1:$AE673,8,FALSE)*$Q284*IFERROR((VLOOKUP(P284,Settings!$E$28:$F$33,2,FALSE)+1),1)</f>
        <v>20.88</v>
      </c>
      <c r="U284" s="57" cm="1">
        <f t="array" ref="U284">SUM(S284:T284)</f>
        <v>24.48</v>
      </c>
      <c r="V284" s="57" cm="1">
        <f t="array" ref="V284">VLOOKUP(B284,'Player Data'!$A1:$AE673,10,FALSE)*$Q284*IFERROR(((VLOOKUP(P284,Settings!$E$28:$F$33,2,FALSE)/2)+1),1)</f>
        <v>102.24</v>
      </c>
      <c r="W284" s="57" cm="1">
        <f t="array" ref="W284">VLOOKUP(B284,'Player Data'!$A1:$AE673,11,FALSE)*$Q284*IFERROR((VLOOKUP(P284,Settings!$E$28:$F$33,2,FALSE)+1),1)</f>
        <v>0.72</v>
      </c>
      <c r="X284" s="57" cm="1">
        <f t="array" ref="X284">VLOOKUP(B284,'Player Data'!$A1:$AE673,12,FALSE)*$Q284*IFERROR((VLOOKUP(P284,Settings!$E$28:$F$33,2,FALSE)+1),1)</f>
        <v>3.6</v>
      </c>
      <c r="Y284" s="57" cm="1">
        <f t="array" ref="Y284">VLOOKUP(B284,'Player Data'!$A1:$AE673,13,FALSE)*$Q284</f>
        <v>0</v>
      </c>
      <c r="Z284" s="57" cm="1">
        <f t="array" ref="Z284">VLOOKUP(B284,'Player Data'!$A1:$AE673,14,FALSE)*$Q284</f>
        <v>0</v>
      </c>
      <c r="AA284" s="57" cm="1">
        <f t="array" ref="AA284">VLOOKUP(B284,'Player Data'!$A1:$AE673,15,FALSE)*$Q284</f>
        <v>112.32000000000001</v>
      </c>
      <c r="AB284" s="57" cm="1">
        <f t="array" ref="AB284">VLOOKUP(B284,'Player Data'!$A1:$AE673,16,FALSE)*$Q284</f>
        <v>33.839999999999996</v>
      </c>
      <c r="AC284" s="57" cm="1">
        <f t="array" ref="AC284">VLOOKUP(B284,'Player Data'!$A1:$AE673,17,FALSE)*$Q284*IFERROR((VLOOKUP(P284,Settings!$E$28:$F$33,2,FALSE)+1),1)</f>
        <v>-1.44</v>
      </c>
      <c r="AD284" s="57" cm="1">
        <f t="array" ref="AD284">VLOOKUP(B284,'Player Data'!$A1:$AE673,18,FALSE)*$Q284</f>
        <v>51.12</v>
      </c>
      <c r="AE284" s="57" cm="1">
        <f t="array" ref="AE284">VLOOKUP(B284,'Player Data'!$A1:$AE673,19,FALSE)*$Q284*IFERROR((VLOOKUP(P284,Settings!$E$28:$F$33,2,FALSE)+1),1)</f>
        <v>0.72</v>
      </c>
      <c r="AF284" s="57" cm="1">
        <f t="array" ref="AF284">VLOOKUP(B284,'Player Data'!$A1:$AE673,20,FALSE)*$Q284</f>
        <v>0</v>
      </c>
      <c r="AG284" s="57" cm="1">
        <f t="array" ref="AG284">VLOOKUP(B284,'Player Data'!$A1:$AE673,21,FALSE)*$Q284</f>
        <v>0</v>
      </c>
      <c r="AH284" s="59" cm="1">
        <f t="array" ref="AH284">VLOOKUP(B284,'Player Data'!$A1:$AE673,22,FALSE)</f>
        <v>0</v>
      </c>
      <c r="AI284" s="55"/>
      <c r="AJ284" s="57"/>
      <c r="AK284" s="57"/>
      <c r="AL284" s="57"/>
      <c r="AM284" s="57"/>
      <c r="AN284" s="57"/>
      <c r="AO284" s="57"/>
      <c r="AP284" s="57"/>
      <c r="AQ284" s="60"/>
      <c r="AR284" s="61"/>
      <c r="AS284" s="55"/>
    </row>
    <row r="285" spans="1:45" ht="21.25" customHeight="1" x14ac:dyDescent="0.15">
      <c r="A285" s="62">
        <f>RANK(K285,K$2:K$671)</f>
        <v>245</v>
      </c>
      <c r="B285" s="10" t="s">
        <v>276</v>
      </c>
      <c r="C285" s="47" t="s">
        <v>145</v>
      </c>
      <c r="D285" s="48" t="str" cm="1">
        <f t="array" ref="D285">VLOOKUP(B285,'Player Data'!A1:D673,4,FALSE)</f>
        <v>C,LW,RW</v>
      </c>
      <c r="E285" s="74" cm="1">
        <f t="array" ref="E285">VLOOKUP(B285,RW!A1:F210,3,FALSE)</f>
        <v>58</v>
      </c>
      <c r="F285" s="72" t="str" cm="1">
        <f t="array" ref="F285">VLOOKUP(B285,'Player Data'!A1:B673,2,FALSE)</f>
        <v>PIT</v>
      </c>
      <c r="G285" s="66" cm="1">
        <f t="array" ref="G285">VLOOKUP(B285,'Player Data'!A1:D673,3,FALSE)</f>
        <v>40</v>
      </c>
      <c r="H285" s="67" cm="1">
        <f t="array" ref="H285">IFERROR(VLOOKUP(B285,ADP!A1:F671,6,FALSE)/1000000,VLOOKUP(B285,ADP!A1:F671,6,FALSE))</f>
        <v>5.5</v>
      </c>
      <c r="I285" s="52">
        <f>IF(Settings!$E$15="POINTS",((R285*Q285)*Settings!$B$12)+(S285*Settings!$B$2)+(T285*Settings!$B$3)+(U285*Settings!$B$4)+(V285*Settings!$B$5)+(X285*Settings!$B$9)+(AA285*Settings!$B$6)+(W285*Settings!$B$8)+(AB285*Settings!$B$7)+(AC285*Settings!$B$14)+(AD285*Settings!$B$15)+(AE285*Settings!$B$16)+(AF285*Settings!$B$17)+(AG285*Settings!$B$18)+(Y285*Settings!$B$10)+(Z285*Settings!$B$11),VLOOKUP(B285,'Standard Deviations'!A$1:C$672,3,FALSE))</f>
        <v>3.6979420703450154</v>
      </c>
      <c r="J285" s="53" cm="1">
        <f t="array" ref="J285">IF(D285="G",I285/AJ285,I285/Q285)</f>
        <v>4.8025221692792407E-2</v>
      </c>
      <c r="K285" s="52" cm="1">
        <f t="array" ref="K285">IF(Settings!$E$18="C/LW/RW",VLOOKUP(B285,RW!A1:F210,6,FALSE),VLOOKUP(B285,F!A1:F407,6,FALSE))</f>
        <v>-3.1892925314640621</v>
      </c>
      <c r="L285" s="54" cm="1">
        <f t="array" ref="L285">IFERROR(K285/H285,"N/A")</f>
        <v>-0.57987136935710215</v>
      </c>
      <c r="M285" s="55">
        <v>141.69999999999999</v>
      </c>
      <c r="N285" s="55" cm="1">
        <f t="array" ref="N285">IFERROR(M285-A285,"N/A")</f>
        <v>-103.30000000000001</v>
      </c>
      <c r="O285" s="55"/>
      <c r="P285" s="56" cm="1">
        <f t="array" ref="P285">_xlfn.XLOOKUP($B285,ADP!A2:A671,ADP!G2:G671)</f>
        <v>0</v>
      </c>
      <c r="Q285" s="57" cm="1">
        <f t="array" ref="Q285">IF(Settings!$E$12="YES",VLOOKUP(B285,'Player Data'!A1:E673,5,FALSE),84)</f>
        <v>77</v>
      </c>
      <c r="R285" s="55" cm="1">
        <f t="array" ref="R285">VLOOKUP(B285,'Player Data'!$A1:$AE673,6,FALSE)</f>
        <v>17.7</v>
      </c>
      <c r="S285" s="57" cm="1">
        <f t="array" ref="S285">VLOOKUP(B285,'Player Data'!$A1:$AE673,7,FALSE)*$Q285*IFERROR((VLOOKUP(P285,Settings!$E$28:$F$33,2,FALSE)+1),1)</f>
        <v>20.790000000000003</v>
      </c>
      <c r="T285" s="57" cm="1">
        <f t="array" ref="T285">VLOOKUP(B285,'Player Data'!$A1:$AE673,8,FALSE)*$Q285*IFERROR((VLOOKUP(P285,Settings!$E$28:$F$33,2,FALSE)+1),1)</f>
        <v>43.889999999999993</v>
      </c>
      <c r="U285" s="57" cm="1">
        <f t="array" ref="U285">SUM(S285:T285)</f>
        <v>64.679999999999993</v>
      </c>
      <c r="V285" s="57" cm="1">
        <f t="array" ref="V285">VLOOKUP(B285,'Player Data'!$A1:$AE673,10,FALSE)*$Q285*IFERROR(((VLOOKUP(P285,Settings!$E$28:$F$33,2,FALSE)/2)+1),1)</f>
        <v>181.72</v>
      </c>
      <c r="W285" s="58" cm="1">
        <f t="array" ref="W285">VLOOKUP(B285,'Player Data'!$A1:$AE673,11,FALSE)*$Q285*IFERROR((VLOOKUP(P285,Settings!$E$28:$F$33,2,FALSE)+1),1)</f>
        <v>5.3900000000000006</v>
      </c>
      <c r="X285" s="57" cm="1">
        <f t="array" ref="X285">VLOOKUP(B285,'Player Data'!$A1:$AE673,12,FALSE)*$Q285*IFERROR((VLOOKUP(P285,Settings!$E$28:$F$33,2,FALSE)+1),1)</f>
        <v>23.099999999999998</v>
      </c>
      <c r="Y285" s="57" cm="1">
        <f t="array" ref="Y285">VLOOKUP(B285,'Player Data'!$A1:$AE673,13,FALSE)*$Q285</f>
        <v>0</v>
      </c>
      <c r="Z285" s="57" cm="1">
        <f t="array" ref="Z285">VLOOKUP(B285,'Player Data'!$A1:$AE673,14,FALSE)*$Q285</f>
        <v>0</v>
      </c>
      <c r="AA285" s="57" cm="1">
        <f t="array" ref="AA285">VLOOKUP(B285,'Player Data'!$A1:$AE673,15,FALSE)*$Q285</f>
        <v>33.880000000000003</v>
      </c>
      <c r="AB285" s="57" cm="1">
        <f t="array" ref="AB285">VLOOKUP(B285,'Player Data'!$A1:$AE673,16,FALSE)*$Q285</f>
        <v>39.270000000000003</v>
      </c>
      <c r="AC285" s="57" cm="1">
        <f t="array" ref="AC285">VLOOKUP(B285,'Player Data'!$A1:$AE673,17,FALSE)*$Q285*IFERROR((VLOOKUP(P285,Settings!$E$28:$F$33,2,FALSE)+1),1)</f>
        <v>0.77</v>
      </c>
      <c r="AD285" s="57" cm="1">
        <f t="array" ref="AD285">VLOOKUP(B285,'Player Data'!$A1:$AE673,18,FALSE)*$Q285</f>
        <v>54.669999999999995</v>
      </c>
      <c r="AE285" s="57" cm="1">
        <f t="array" ref="AE285">VLOOKUP(B285,'Player Data'!$A1:$AE673,19,FALSE)*$Q285*IFERROR((VLOOKUP(P285,Settings!$E$28:$F$33,2,FALSE)+1),1)</f>
        <v>3.08</v>
      </c>
      <c r="AF285" s="57" cm="1">
        <f t="array" ref="AF285">VLOOKUP(B285,'Player Data'!$A1:$AE673,20,FALSE)*$Q285</f>
        <v>220.22</v>
      </c>
      <c r="AG285" s="57" cm="1">
        <f t="array" ref="AG285">VLOOKUP(B285,'Player Data'!$A1:$AE673,21,FALSE)*$Q285</f>
        <v>256.41000000000003</v>
      </c>
      <c r="AH285" s="59" cm="1">
        <f t="array" ref="AH285">VLOOKUP(B285,'Player Data'!$A1:$AE673,22,FALSE)</f>
        <v>0.46</v>
      </c>
      <c r="AI285" s="55"/>
      <c r="AJ285" s="57"/>
      <c r="AK285" s="57"/>
      <c r="AL285" s="57"/>
      <c r="AM285" s="57"/>
      <c r="AN285" s="57"/>
      <c r="AO285" s="57"/>
      <c r="AP285" s="57"/>
      <c r="AQ285" s="60"/>
      <c r="AR285" s="61"/>
      <c r="AS285" s="55"/>
    </row>
    <row r="286" spans="1:45" ht="21.25" customHeight="1" x14ac:dyDescent="0.15">
      <c r="A286" s="62">
        <f>RANK(K286,K$2:K$671)</f>
        <v>307</v>
      </c>
      <c r="B286" s="10" t="s">
        <v>577</v>
      </c>
      <c r="C286" s="47" t="s">
        <v>145</v>
      </c>
      <c r="D286" s="48" t="str" cm="1">
        <f t="array" ref="D286">VLOOKUP(B286,'Player Data'!A1:D673,4,FALSE)</f>
        <v>D</v>
      </c>
      <c r="E286" s="68" cm="1">
        <f t="array" ref="E286">VLOOKUP(B286,D!A1:C204,3,FALSE)</f>
        <v>143</v>
      </c>
      <c r="F286" s="72" t="str" cm="1">
        <f t="array" ref="F286">VLOOKUP(B286,'Player Data'!A1:B673,2,FALSE)</f>
        <v>FLA</v>
      </c>
      <c r="G286" s="11" cm="1">
        <f t="array" ref="G286">VLOOKUP(B286,'Player Data'!A1:D673,3,FALSE)</f>
        <v>30</v>
      </c>
      <c r="H286" s="51" cm="1">
        <f t="array" ref="H286">IFERROR(VLOOKUP(B286,ADP!A1:F671,6,FALSE)/1000000,VLOOKUP(B286,ADP!A1:F671,6,FALSE))</f>
        <v>0.875</v>
      </c>
      <c r="I286" s="52">
        <f>IF(Settings!$E$15="POINTS",((R286*Q286)*Settings!$B$12)+(S286*Settings!$B$2)+(T286*Settings!$B$3)+(U286*Settings!$B$4)+(V286*Settings!$B$5)+(X286*Settings!$B$9)+(AA286*Settings!$B$6)+(W286*Settings!$B$8)+(AB286*Settings!$B$7)+(AC286*Settings!$B$14)+(AD286*Settings!$B$15)+(AE286*Settings!$B$16)+(AF286*Settings!$B$17)+(AG286*Settings!$B$18)+(U286*Settings!$B$13)+(Y286*Settings!$B$10)+(Z286*Settings!$B$11),VLOOKUP(B286,'Standard Deviations'!A$1:C$672,3,FALSE))</f>
        <v>-3.5668148446253589</v>
      </c>
      <c r="J286" s="53" cm="1">
        <f t="array" ref="J286">IF(D286="G",I286/AJ286,I286/Q286)</f>
        <v>-4.8860477323635056E-2</v>
      </c>
      <c r="K286" s="52" cm="1">
        <f t="array" ref="K286">VLOOKUP(B286,D!A1:F204,6,FALSE)</f>
        <v>-4.1336657591429136</v>
      </c>
      <c r="L286" s="54" cm="1">
        <f t="array" ref="L286">IFERROR(K286/H286,"N/A")</f>
        <v>-4.7241894390204724</v>
      </c>
      <c r="M286" s="84" t="s">
        <v>828</v>
      </c>
      <c r="N286" s="84" t="str" cm="1">
        <f t="array" ref="N286">IFERROR(M286-A286,"N/A")</f>
        <v>N/A</v>
      </c>
      <c r="O286" s="55"/>
      <c r="P286" s="56" cm="1">
        <f t="array" ref="P286">_xlfn.XLOOKUP($B286,ADP!A2:A671,ADP!G2:G671)</f>
        <v>0</v>
      </c>
      <c r="Q286" s="57" cm="1">
        <f t="array" ref="Q286">IF(Settings!$E$12="YES",VLOOKUP(B286,'Player Data'!A1:E673,5,FALSE),84)</f>
        <v>73</v>
      </c>
      <c r="R286" s="83" cm="1">
        <f t="array" ref="R286">VLOOKUP(B286,'Player Data'!$A1:$AE673,6,FALSE)</f>
        <v>14.7</v>
      </c>
      <c r="S286" s="57" cm="1">
        <f t="array" ref="S286">VLOOKUP(B286,'Player Data'!$A1:$AE673,7,FALSE)*$Q286*IFERROR((VLOOKUP(P286,Settings!$E$28:$F$33,2,FALSE)+1),1)</f>
        <v>2.92</v>
      </c>
      <c r="T286" s="57" cm="1">
        <f t="array" ref="T286">VLOOKUP(B286,'Player Data'!$A1:$AE673,8,FALSE)*$Q286*IFERROR((VLOOKUP(P286,Settings!$E$28:$F$33,2,FALSE)+1),1)</f>
        <v>9.49</v>
      </c>
      <c r="U286" s="57" cm="1">
        <f t="array" ref="U286">SUM(S286:T286)</f>
        <v>12.41</v>
      </c>
      <c r="V286" s="57" cm="1">
        <f t="array" ref="V286">VLOOKUP(B286,'Player Data'!$A1:$AE673,10,FALSE)*$Q286*IFERROR(((VLOOKUP(P286,Settings!$E$28:$F$33,2,FALSE)/2)+1),1)</f>
        <v>74.460000000000008</v>
      </c>
      <c r="W286" s="57" cm="1">
        <f t="array" ref="W286">VLOOKUP(B286,'Player Data'!$A1:$AE673,11,FALSE)*$Q286*IFERROR((VLOOKUP(P286,Settings!$E$28:$F$33,2,FALSE)+1),1)</f>
        <v>0</v>
      </c>
      <c r="X286" s="57" cm="1">
        <f t="array" ref="X286">VLOOKUP(B286,'Player Data'!$A1:$AE673,12,FALSE)*$Q286*IFERROR((VLOOKUP(P286,Settings!$E$28:$F$33,2,FALSE)+1),1)</f>
        <v>0</v>
      </c>
      <c r="Y286" s="57" cm="1">
        <f t="array" ref="Y286">VLOOKUP(B286,'Player Data'!$A1:$AE673,13,FALSE)*$Q286</f>
        <v>0</v>
      </c>
      <c r="Z286" s="57" cm="1">
        <f t="array" ref="Z286">VLOOKUP(B286,'Player Data'!$A1:$AE673,14,FALSE)*$Q286</f>
        <v>0</v>
      </c>
      <c r="AA286" s="57" cm="1">
        <f t="array" ref="AA286">VLOOKUP(B286,'Player Data'!$A1:$AE673,15,FALSE)*$Q286</f>
        <v>59.86</v>
      </c>
      <c r="AB286" s="57" cm="1">
        <f t="array" ref="AB286">VLOOKUP(B286,'Player Data'!$A1:$AE673,16,FALSE)*$Q286</f>
        <v>86.14</v>
      </c>
      <c r="AC286" s="57" cm="1">
        <f t="array" ref="AC286">VLOOKUP(B286,'Player Data'!$A1:$AE673,17,FALSE)*$Q286*IFERROR((VLOOKUP(P286,Settings!$E$28:$F$33,2,FALSE)+1),1)</f>
        <v>1.46</v>
      </c>
      <c r="AD286" s="57" cm="1">
        <f t="array" ref="AD286">VLOOKUP(B286,'Player Data'!$A1:$AE673,18,FALSE)*$Q286</f>
        <v>29.200000000000003</v>
      </c>
      <c r="AE286" s="57" cm="1">
        <f t="array" ref="AE286">VLOOKUP(B286,'Player Data'!$A1:$AE673,19,FALSE)*$Q286*IFERROR((VLOOKUP(P286,Settings!$E$28:$F$33,2,FALSE)+1),1)</f>
        <v>0.73</v>
      </c>
      <c r="AF286" s="57" cm="1">
        <f t="array" ref="AF286">VLOOKUP(B286,'Player Data'!$A1:$AE673,20,FALSE)*$Q286</f>
        <v>0</v>
      </c>
      <c r="AG286" s="57" cm="1">
        <f t="array" ref="AG286">VLOOKUP(B286,'Player Data'!$A1:$AE673,21,FALSE)*$Q286</f>
        <v>0.73</v>
      </c>
      <c r="AH286" s="59" cm="1">
        <f t="array" ref="AH286">VLOOKUP(B286,'Player Data'!$A1:$AE673,22,FALSE)</f>
        <v>0</v>
      </c>
      <c r="AI286" s="55"/>
      <c r="AJ286" s="57"/>
      <c r="AK286" s="57"/>
      <c r="AL286" s="57"/>
      <c r="AM286" s="57"/>
      <c r="AN286" s="57"/>
      <c r="AO286" s="57"/>
      <c r="AP286" s="57"/>
      <c r="AQ286" s="60"/>
      <c r="AR286" s="61"/>
      <c r="AS286" s="55"/>
    </row>
    <row r="287" spans="1:45" ht="21.25" customHeight="1" x14ac:dyDescent="0.15">
      <c r="A287" s="62">
        <f>RANK(K287,K$2:K$671)</f>
        <v>308</v>
      </c>
      <c r="B287" s="10" t="s">
        <v>479</v>
      </c>
      <c r="C287" s="47" t="s">
        <v>145</v>
      </c>
      <c r="D287" s="48" t="str" cm="1">
        <f t="array" ref="D287">VLOOKUP(B287,'Player Data'!A1:D673,4,FALSE)</f>
        <v>D</v>
      </c>
      <c r="E287" s="68" cm="1">
        <f t="array" ref="E287">VLOOKUP(B287,D!A1:C204,3,FALSE)</f>
        <v>144</v>
      </c>
      <c r="F287" s="65" t="str" cm="1">
        <f t="array" ref="F287">VLOOKUP(B287,'Player Data'!A1:B673,2,FALSE)</f>
        <v>STL</v>
      </c>
      <c r="G287" s="71" cm="1">
        <f t="array" ref="G287">VLOOKUP(B287,'Player Data'!A1:D673,3,FALSE)</f>
        <v>21</v>
      </c>
      <c r="H287" s="51" cm="1">
        <f t="array" ref="H287">IFERROR(VLOOKUP(B287,ADP!A1:F671,6,FALSE)/1000000,VLOOKUP(B287,ADP!A1:F671,6,FALSE))</f>
        <v>0.94083300000000003</v>
      </c>
      <c r="I287" s="52">
        <f>IF(Settings!$E$15="POINTS",((R287*Q287)*Settings!$B$12)+(S287*Settings!$B$2)+(T287*Settings!$B$3)+(U287*Settings!$B$4)+(V287*Settings!$B$5)+(X287*Settings!$B$9)+(AA287*Settings!$B$6)+(W287*Settings!$B$8)+(AB287*Settings!$B$7)+(AC287*Settings!$B$14)+(AD287*Settings!$B$15)+(AE287*Settings!$B$16)+(AF287*Settings!$B$17)+(AG287*Settings!$B$18)+(U287*Settings!$B$13)+(Y287*Settings!$B$10)+(Z287*Settings!$B$11),VLOOKUP(B287,'Standard Deviations'!A$1:C$672,3,FALSE))</f>
        <v>-3.5675269694146872</v>
      </c>
      <c r="J287" s="53" cm="1">
        <f t="array" ref="J287">IF(D287="G",I287/AJ287,I287/Q287)</f>
        <v>-5.0964670991638386E-2</v>
      </c>
      <c r="K287" s="52" cm="1">
        <f t="array" ref="K287">VLOOKUP(B287,D!A1:F204,6,FALSE)</f>
        <v>-4.1343778839322418</v>
      </c>
      <c r="L287" s="54" cm="1">
        <f t="array" ref="L287">IFERROR(K287/H287,"N/A")</f>
        <v>-4.39438017579341</v>
      </c>
      <c r="M287" s="84" t="s">
        <v>828</v>
      </c>
      <c r="N287" s="84" t="str" cm="1">
        <f t="array" ref="N287">IFERROR(M287-A287,"N/A")</f>
        <v>N/A</v>
      </c>
      <c r="O287" s="55"/>
      <c r="P287" s="56" cm="1">
        <f t="array" ref="P287">_xlfn.XLOOKUP($B287,ADP!A2:A671,ADP!G2:G671)</f>
        <v>0</v>
      </c>
      <c r="Q287" s="57" cm="1">
        <f t="array" ref="Q287">IF(Settings!$E$12="YES",VLOOKUP(B287,'Player Data'!A1:E673,5,FALSE),84)</f>
        <v>70</v>
      </c>
      <c r="R287" s="81" cm="1">
        <f t="array" ref="R287">VLOOKUP(B287,'Player Data'!$A1:$AE673,6,FALSE)</f>
        <v>16.899999999999999</v>
      </c>
      <c r="S287" s="57" cm="1">
        <f t="array" ref="S287">VLOOKUP(B287,'Player Data'!$A1:$AE673,7,FALSE)*$Q287*IFERROR((VLOOKUP(P287,Settings!$E$28:$F$33,2,FALSE)+1),1)</f>
        <v>7</v>
      </c>
      <c r="T287" s="57" cm="1">
        <f t="array" ref="T287">VLOOKUP(B287,'Player Data'!$A1:$AE673,8,FALSE)*$Q287*IFERROR((VLOOKUP(P287,Settings!$E$28:$F$33,2,FALSE)+1),1)</f>
        <v>13.3</v>
      </c>
      <c r="U287" s="57" cm="1">
        <f t="array" ref="U287">SUM(S287:T287)</f>
        <v>20.3</v>
      </c>
      <c r="V287" s="57" cm="1">
        <f t="array" ref="V287">VLOOKUP(B287,'Player Data'!$A1:$AE673,10,FALSE)*$Q287*IFERROR(((VLOOKUP(P287,Settings!$E$28:$F$33,2,FALSE)/2)+1),1)</f>
        <v>83.3</v>
      </c>
      <c r="W287" s="57" cm="1">
        <f t="array" ref="W287">VLOOKUP(B287,'Player Data'!$A1:$AE673,11,FALSE)*$Q287*IFERROR((VLOOKUP(P287,Settings!$E$28:$F$33,2,FALSE)+1),1)</f>
        <v>0</v>
      </c>
      <c r="X287" s="57" cm="1">
        <f t="array" ref="X287">VLOOKUP(B287,'Player Data'!$A1:$AE673,12,FALSE)*$Q287*IFERROR((VLOOKUP(P287,Settings!$E$28:$F$33,2,FALSE)+1),1)</f>
        <v>0</v>
      </c>
      <c r="Y287" s="57" cm="1">
        <f t="array" ref="Y287">VLOOKUP(B287,'Player Data'!$A1:$AE673,13,FALSE)*$Q287</f>
        <v>0</v>
      </c>
      <c r="Z287" s="57" cm="1">
        <f t="array" ref="Z287">VLOOKUP(B287,'Player Data'!$A1:$AE673,14,FALSE)*$Q287</f>
        <v>0</v>
      </c>
      <c r="AA287" s="57" cm="1">
        <f t="array" ref="AA287">VLOOKUP(B287,'Player Data'!$A1:$AE673,15,FALSE)*$Q287</f>
        <v>79.8</v>
      </c>
      <c r="AB287" s="57" cm="1">
        <f t="array" ref="AB287">VLOOKUP(B287,'Player Data'!$A1:$AE673,16,FALSE)*$Q287</f>
        <v>68.599999999999994</v>
      </c>
      <c r="AC287" s="57" cm="1">
        <f t="array" ref="AC287">VLOOKUP(B287,'Player Data'!$A1:$AE673,17,FALSE)*$Q287*IFERROR((VLOOKUP(P287,Settings!$E$28:$F$33,2,FALSE)+1),1)</f>
        <v>-0.70000000000000007</v>
      </c>
      <c r="AD287" s="57" cm="1">
        <f t="array" ref="AD287">VLOOKUP(B287,'Player Data'!$A1:$AE673,18,FALSE)*$Q287</f>
        <v>27.3</v>
      </c>
      <c r="AE287" s="57" cm="1">
        <f t="array" ref="AE287">VLOOKUP(B287,'Player Data'!$A1:$AE673,19,FALSE)*$Q287*IFERROR((VLOOKUP(P287,Settings!$E$28:$F$33,2,FALSE)+1),1)</f>
        <v>0.70000000000000007</v>
      </c>
      <c r="AF287" s="57" cm="1">
        <f t="array" ref="AF287">VLOOKUP(B287,'Player Data'!$A1:$AE673,20,FALSE)*$Q287</f>
        <v>0</v>
      </c>
      <c r="AG287" s="57" cm="1">
        <f t="array" ref="AG287">VLOOKUP(B287,'Player Data'!$A1:$AE673,21,FALSE)*$Q287</f>
        <v>0</v>
      </c>
      <c r="AH287" s="59" cm="1">
        <f t="array" ref="AH287">VLOOKUP(B287,'Player Data'!$A1:$AE673,22,FALSE)</f>
        <v>0</v>
      </c>
      <c r="AI287" s="55"/>
      <c r="AJ287" s="57"/>
      <c r="AK287" s="57"/>
      <c r="AL287" s="57"/>
      <c r="AM287" s="57"/>
      <c r="AN287" s="57"/>
      <c r="AO287" s="57"/>
      <c r="AP287" s="57"/>
      <c r="AQ287" s="60"/>
      <c r="AR287" s="61"/>
      <c r="AS287" s="55"/>
    </row>
    <row r="288" spans="1:45" ht="21.25" customHeight="1" x14ac:dyDescent="0.15">
      <c r="A288" s="62">
        <f>RANK(K288,K$2:K$671)</f>
        <v>309</v>
      </c>
      <c r="B288" s="10" t="s">
        <v>439</v>
      </c>
      <c r="C288" s="47" t="s">
        <v>145</v>
      </c>
      <c r="D288" s="48" t="str" cm="1">
        <f t="array" ref="D288">VLOOKUP(B288,'Player Data'!A1:D673,4,FALSE)</f>
        <v>D</v>
      </c>
      <c r="E288" s="68" cm="1">
        <f t="array" ref="E288">VLOOKUP(B288,D!A1:C204,3,FALSE)</f>
        <v>145</v>
      </c>
      <c r="F288" s="69" t="str" cm="1">
        <f t="array" ref="F288">VLOOKUP(B288,'Player Data'!A1:B673,2,FALSE)</f>
        <v>CBJ</v>
      </c>
      <c r="G288" s="11" cm="1">
        <f t="array" ref="G288">VLOOKUP(B288,'Player Data'!A1:D673,3,FALSE)</f>
        <v>28</v>
      </c>
      <c r="H288" s="51" cm="1">
        <f t="array" ref="H288">IFERROR(VLOOKUP(B288,ADP!A1:F671,6,FALSE)/1000000,VLOOKUP(B288,ADP!A1:F671,6,FALSE))</f>
        <v>4.125</v>
      </c>
      <c r="I288" s="52">
        <f>IF(Settings!$E$15="POINTS",((R288*Q288)*Settings!$B$12)+(S288*Settings!$B$2)+(T288*Settings!$B$3)+(U288*Settings!$B$4)+(V288*Settings!$B$5)+(X288*Settings!$B$9)+(AA288*Settings!$B$6)+(W288*Settings!$B$8)+(AB288*Settings!$B$7)+(AC288*Settings!$B$14)+(AD288*Settings!$B$15)+(AE288*Settings!$B$16)+(AF288*Settings!$B$17)+(AG288*Settings!$B$18)+(U288*Settings!$B$13)+(Y288*Settings!$B$10)+(Z288*Settings!$B$11),VLOOKUP(B288,'Standard Deviations'!A$1:C$672,3,FALSE))</f>
        <v>-3.5737574823838312</v>
      </c>
      <c r="J288" s="53" cm="1">
        <f t="array" ref="J288">IF(D288="G",I288/AJ288,I288/Q288)</f>
        <v>-4.5817403620305529E-2</v>
      </c>
      <c r="K288" s="52" cm="1">
        <f t="array" ref="K288">VLOOKUP(B288,D!A1:F204,6,FALSE)</f>
        <v>-4.1406083969013858</v>
      </c>
      <c r="L288" s="54" cm="1">
        <f t="array" ref="L288">IFERROR(K288/H288,"N/A")</f>
        <v>-1.0037838537942754</v>
      </c>
      <c r="M288" s="84" t="s">
        <v>828</v>
      </c>
      <c r="N288" s="84" t="str" cm="1">
        <f t="array" ref="N288">IFERROR(M288-A288,"N/A")</f>
        <v>N/A</v>
      </c>
      <c r="O288" s="55"/>
      <c r="P288" s="56" cm="1">
        <f t="array" ref="P288">_xlfn.XLOOKUP($B288,ADP!A2:A671,ADP!G2:G671)</f>
        <v>0</v>
      </c>
      <c r="Q288" s="57" cm="1">
        <f t="array" ref="Q288">IF(Settings!$E$12="YES",VLOOKUP(B288,'Player Data'!A1:E673,5,FALSE),84)</f>
        <v>78</v>
      </c>
      <c r="R288" s="55" cm="1">
        <f t="array" ref="R288">VLOOKUP(B288,'Player Data'!$A1:$AE673,6,FALSE)</f>
        <v>17.5</v>
      </c>
      <c r="S288" s="57" cm="1">
        <f t="array" ref="S288">VLOOKUP(B288,'Player Data'!$A1:$AE673,7,FALSE)*$Q288*IFERROR((VLOOKUP(P288,Settings!$E$28:$F$33,2,FALSE)+1),1)</f>
        <v>5.4600000000000009</v>
      </c>
      <c r="T288" s="57" cm="1">
        <f t="array" ref="T288">VLOOKUP(B288,'Player Data'!$A1:$AE673,8,FALSE)*$Q288*IFERROR((VLOOKUP(P288,Settings!$E$28:$F$33,2,FALSE)+1),1)</f>
        <v>12.48</v>
      </c>
      <c r="U288" s="57" cm="1">
        <f t="array" ref="U288">SUM(S288:T288)</f>
        <v>17.940000000000001</v>
      </c>
      <c r="V288" s="57" cm="1">
        <f t="array" ref="V288">VLOOKUP(B288,'Player Data'!$A1:$AE673,10,FALSE)*$Q288*IFERROR(((VLOOKUP(P288,Settings!$E$28:$F$33,2,FALSE)/2)+1),1)</f>
        <v>78</v>
      </c>
      <c r="W288" s="57" cm="1">
        <f t="array" ref="W288">VLOOKUP(B288,'Player Data'!$A1:$AE673,11,FALSE)*$Q288*IFERROR((VLOOKUP(P288,Settings!$E$28:$F$33,2,FALSE)+1),1)</f>
        <v>0</v>
      </c>
      <c r="X288" s="57" cm="1">
        <f t="array" ref="X288">VLOOKUP(B288,'Player Data'!$A1:$AE673,12,FALSE)*$Q288*IFERROR((VLOOKUP(P288,Settings!$E$28:$F$33,2,FALSE)+1),1)</f>
        <v>0</v>
      </c>
      <c r="Y288" s="57" cm="1">
        <f t="array" ref="Y288">VLOOKUP(B288,'Player Data'!$A1:$AE673,13,FALSE)*$Q288</f>
        <v>0</v>
      </c>
      <c r="Z288" s="57" cm="1">
        <f t="array" ref="Z288">VLOOKUP(B288,'Player Data'!$A1:$AE673,14,FALSE)*$Q288</f>
        <v>0</v>
      </c>
      <c r="AA288" s="57" cm="1">
        <f t="array" ref="AA288">VLOOKUP(B288,'Player Data'!$A1:$AE673,15,FALSE)*$Q288</f>
        <v>127.91999999999999</v>
      </c>
      <c r="AB288" s="57" cm="1">
        <f t="array" ref="AB288">VLOOKUP(B288,'Player Data'!$A1:$AE673,16,FALSE)*$Q288</f>
        <v>75.66</v>
      </c>
      <c r="AC288" s="57" cm="1">
        <f t="array" ref="AC288">VLOOKUP(B288,'Player Data'!$A1:$AE673,17,FALSE)*$Q288*IFERROR((VLOOKUP(P288,Settings!$E$28:$F$33,2,FALSE)+1),1)</f>
        <v>0</v>
      </c>
      <c r="AD288" s="57" cm="1">
        <f t="array" ref="AD288">VLOOKUP(B288,'Player Data'!$A1:$AE673,18,FALSE)*$Q288</f>
        <v>35.880000000000003</v>
      </c>
      <c r="AE288" s="57" cm="1">
        <f t="array" ref="AE288">VLOOKUP(B288,'Player Data'!$A1:$AE673,19,FALSE)*$Q288*IFERROR((VLOOKUP(P288,Settings!$E$28:$F$33,2,FALSE)+1),1)</f>
        <v>0.78</v>
      </c>
      <c r="AF288" s="57" cm="1">
        <f t="array" ref="AF288">VLOOKUP(B288,'Player Data'!$A1:$AE673,20,FALSE)*$Q288</f>
        <v>0</v>
      </c>
      <c r="AG288" s="57" cm="1">
        <f t="array" ref="AG288">VLOOKUP(B288,'Player Data'!$A1:$AE673,21,FALSE)*$Q288</f>
        <v>0</v>
      </c>
      <c r="AH288" s="59" cm="1">
        <f t="array" ref="AH288">VLOOKUP(B288,'Player Data'!$A1:$AE673,22,FALSE)</f>
        <v>0</v>
      </c>
      <c r="AI288" s="55"/>
      <c r="AJ288" s="57"/>
      <c r="AK288" s="57"/>
      <c r="AL288" s="57"/>
      <c r="AM288" s="57"/>
      <c r="AN288" s="57"/>
      <c r="AO288" s="57"/>
      <c r="AP288" s="57"/>
      <c r="AQ288" s="60"/>
      <c r="AR288" s="61"/>
      <c r="AS288" s="55"/>
    </row>
    <row r="289" spans="1:45" ht="21.25" customHeight="1" x14ac:dyDescent="0.15">
      <c r="A289" s="62">
        <f>RANK(K289,K$2:K$671)</f>
        <v>311</v>
      </c>
      <c r="B289" s="10" t="s">
        <v>522</v>
      </c>
      <c r="C289" s="47" t="s">
        <v>145</v>
      </c>
      <c r="D289" s="48" t="str" cm="1">
        <f t="array" ref="D289">VLOOKUP(B289,'Player Data'!A1:D673,4,FALSE)</f>
        <v>D</v>
      </c>
      <c r="E289" s="68" cm="1">
        <f t="array" ref="E289">VLOOKUP(B289,D!A1:C204,3,FALSE)</f>
        <v>146</v>
      </c>
      <c r="F289" s="72" t="str" cm="1">
        <f t="array" ref="F289">VLOOKUP(B289,'Player Data'!A1:B673,2,FALSE)</f>
        <v>BOS</v>
      </c>
      <c r="G289" s="11" cm="1">
        <f t="array" ref="G289">VLOOKUP(B289,'Player Data'!A1:D673,3,FALSE)</f>
        <v>27</v>
      </c>
      <c r="H289" s="51" cm="1">
        <f t="array" ref="H289">IFERROR(VLOOKUP(B289,ADP!A1:F671,6,FALSE)/1000000,VLOOKUP(B289,ADP!A1:F671,6,FALSE))</f>
        <v>0.88749999999999996</v>
      </c>
      <c r="I289" s="52">
        <f>IF(Settings!$E$15="POINTS",((R289*Q289)*Settings!$B$12)+(S289*Settings!$B$2)+(T289*Settings!$B$3)+(U289*Settings!$B$4)+(V289*Settings!$B$5)+(X289*Settings!$B$9)+(AA289*Settings!$B$6)+(W289*Settings!$B$8)+(AB289*Settings!$B$7)+(AC289*Settings!$B$14)+(AD289*Settings!$B$15)+(AE289*Settings!$B$16)+(AF289*Settings!$B$17)+(AG289*Settings!$B$18)+(U289*Settings!$B$13)+(Y289*Settings!$B$10)+(Z289*Settings!$B$11),VLOOKUP(B289,'Standard Deviations'!A$1:C$672,3,FALSE))</f>
        <v>-3.6390183272006285</v>
      </c>
      <c r="J289" s="53" cm="1">
        <f t="array" ref="J289">IF(D289="G",I289/AJ289,I289/Q289)</f>
        <v>-4.8520244362675047E-2</v>
      </c>
      <c r="K289" s="52" cm="1">
        <f t="array" ref="K289">VLOOKUP(B289,D!A1:F204,6,FALSE)</f>
        <v>-4.2058692417181831</v>
      </c>
      <c r="L289" s="54" cm="1">
        <f t="array" ref="L289">IFERROR(K289/H289,"N/A")</f>
        <v>-4.7390075963021783</v>
      </c>
      <c r="M289" s="84" t="s">
        <v>828</v>
      </c>
      <c r="N289" s="84" t="str" cm="1">
        <f t="array" ref="N289">IFERROR(M289-A289,"N/A")</f>
        <v>N/A</v>
      </c>
      <c r="O289" s="55"/>
      <c r="P289" s="56" cm="1">
        <f t="array" ref="P289">_xlfn.XLOOKUP($B289,ADP!A2:A671,ADP!G2:G671)</f>
        <v>0</v>
      </c>
      <c r="Q289" s="57" cm="1">
        <f t="array" ref="Q289">IF(Settings!$E$12="YES",VLOOKUP(B289,'Player Data'!A1:E673,5,FALSE),84)</f>
        <v>75</v>
      </c>
      <c r="R289" s="55" cm="1">
        <f t="array" ref="R289">VLOOKUP(B289,'Player Data'!$A1:$AE673,6,FALSE)</f>
        <v>16.600000000000001</v>
      </c>
      <c r="S289" s="57" cm="1">
        <f t="array" ref="S289">VLOOKUP(B289,'Player Data'!$A1:$AE673,7,FALSE)*$Q289*IFERROR((VLOOKUP(P289,Settings!$E$28:$F$33,2,FALSE)+1),1)</f>
        <v>3.75</v>
      </c>
      <c r="T289" s="57" cm="1">
        <f t="array" ref="T289">VLOOKUP(B289,'Player Data'!$A1:$AE673,8,FALSE)*$Q289*IFERROR((VLOOKUP(P289,Settings!$E$28:$F$33,2,FALSE)+1),1)</f>
        <v>12</v>
      </c>
      <c r="U289" s="57" cm="1">
        <f t="array" ref="U289">SUM(S289:T289)</f>
        <v>15.75</v>
      </c>
      <c r="V289" s="57" cm="1">
        <f t="array" ref="V289">VLOOKUP(B289,'Player Data'!$A1:$AE673,10,FALSE)*$Q289*IFERROR(((VLOOKUP(P289,Settings!$E$28:$F$33,2,FALSE)/2)+1),1)</f>
        <v>59.25</v>
      </c>
      <c r="W289" s="57" cm="1">
        <f t="array" ref="W289">VLOOKUP(B289,'Player Data'!$A1:$AE673,11,FALSE)*$Q289*IFERROR((VLOOKUP(P289,Settings!$E$28:$F$33,2,FALSE)+1),1)</f>
        <v>0</v>
      </c>
      <c r="X289" s="57" cm="1">
        <f t="array" ref="X289">VLOOKUP(B289,'Player Data'!$A1:$AE673,12,FALSE)*$Q289*IFERROR((VLOOKUP(P289,Settings!$E$28:$F$33,2,FALSE)+1),1)</f>
        <v>0</v>
      </c>
      <c r="Y289" s="57" cm="1">
        <f t="array" ref="Y289">VLOOKUP(B289,'Player Data'!$A1:$AE673,13,FALSE)*$Q289</f>
        <v>0</v>
      </c>
      <c r="Z289" s="57" cm="1">
        <f t="array" ref="Z289">VLOOKUP(B289,'Player Data'!$A1:$AE673,14,FALSE)*$Q289</f>
        <v>0</v>
      </c>
      <c r="AA289" s="57" cm="1">
        <f t="array" ref="AA289">VLOOKUP(B289,'Player Data'!$A1:$AE673,15,FALSE)*$Q289</f>
        <v>99</v>
      </c>
      <c r="AB289" s="57" cm="1">
        <f t="array" ref="AB289">VLOOKUP(B289,'Player Data'!$A1:$AE673,16,FALSE)*$Q289</f>
        <v>98.25</v>
      </c>
      <c r="AC289" s="57" cm="1">
        <f t="array" ref="AC289">VLOOKUP(B289,'Player Data'!$A1:$AE673,17,FALSE)*$Q289*IFERROR((VLOOKUP(P289,Settings!$E$28:$F$33,2,FALSE)+1),1)</f>
        <v>0</v>
      </c>
      <c r="AD289" s="57" cm="1">
        <f t="array" ref="AD289">VLOOKUP(B289,'Player Data'!$A1:$AE673,18,FALSE)*$Q289</f>
        <v>43.5</v>
      </c>
      <c r="AE289" s="57" cm="1">
        <f t="array" ref="AE289">VLOOKUP(B289,'Player Data'!$A1:$AE673,19,FALSE)*$Q289*IFERROR((VLOOKUP(P289,Settings!$E$28:$F$33,2,FALSE)+1),1)</f>
        <v>0.75</v>
      </c>
      <c r="AF289" s="57" cm="1">
        <f t="array" ref="AF289">VLOOKUP(B289,'Player Data'!$A1:$AE673,20,FALSE)*$Q289</f>
        <v>0</v>
      </c>
      <c r="AG289" s="57" cm="1">
        <f t="array" ref="AG289">VLOOKUP(B289,'Player Data'!$A1:$AE673,21,FALSE)*$Q289</f>
        <v>0</v>
      </c>
      <c r="AH289" s="59" cm="1">
        <f t="array" ref="AH289">VLOOKUP(B289,'Player Data'!$A1:$AE673,22,FALSE)</f>
        <v>0</v>
      </c>
      <c r="AI289" s="55"/>
      <c r="AJ289" s="57"/>
      <c r="AK289" s="57"/>
      <c r="AL289" s="57"/>
      <c r="AM289" s="57"/>
      <c r="AN289" s="57"/>
      <c r="AO289" s="57"/>
      <c r="AP289" s="57"/>
      <c r="AQ289" s="60"/>
      <c r="AR289" s="61"/>
      <c r="AS289" s="55"/>
    </row>
    <row r="290" spans="1:45" ht="21.25" customHeight="1" x14ac:dyDescent="0.15">
      <c r="A290" s="62">
        <f>RANK(K290,K$2:K$671)</f>
        <v>252</v>
      </c>
      <c r="B290" s="10" t="s">
        <v>360</v>
      </c>
      <c r="C290" s="47" t="s">
        <v>145</v>
      </c>
      <c r="D290" s="48" t="str" cm="1">
        <f t="array" ref="D290">VLOOKUP(B290,'Player Data'!A1:D673,4,FALSE)</f>
        <v>C</v>
      </c>
      <c r="E290" s="49" cm="1">
        <f t="array" ref="E290">VLOOKUP(B290,'C'!A1:C210,3,FALSE)</f>
        <v>53</v>
      </c>
      <c r="F290" s="72" t="str" cm="1">
        <f t="array" ref="F290">VLOOKUP(B290,'Player Data'!A1:B673,2,FALSE)</f>
        <v>FLA</v>
      </c>
      <c r="G290" s="71" cm="1">
        <f t="array" ref="G290">VLOOKUP(B290,'Player Data'!A1:D673,3,FALSE)</f>
        <v>24</v>
      </c>
      <c r="H290" s="51" cm="1">
        <f t="array" ref="H290">IFERROR(VLOOKUP(B290,ADP!A1:F671,6,FALSE)/1000000,VLOOKUP(B290,ADP!A1:F671,6,FALSE))</f>
        <v>5</v>
      </c>
      <c r="I290" s="52">
        <f>IF(Settings!$E$15="POINTS",((R290*Q290)*Settings!$B$12)+(S290*Settings!$B$2)+(T290*Settings!$B$3)+(U290*Settings!$B$4)+(V290*Settings!$B$5)+(X290*Settings!$B$9)+(AA290*Settings!$B$6)+(W290*Settings!$B$8)+(AB290*Settings!$B$7)+(AC290*Settings!$B$14)+(AD290*Settings!$B$15)+(AE290*Settings!$B$16)+(AF290*Settings!$B$17)+(AG290*Settings!$B$18)+(Y290*Settings!$B$10)+(Z290*Settings!$B$11),VLOOKUP(B290,'Standard Deviations'!A$1:C$672,3,FALSE))</f>
        <v>3.0278514873229914</v>
      </c>
      <c r="J290" s="53" cm="1">
        <f t="array" ref="J290">IF(D290="G",I290/AJ290,I290/Q290)</f>
        <v>3.7848143591537389E-2</v>
      </c>
      <c r="K290" s="52" cm="1">
        <f t="array" ref="K290">IF(Settings!$E$18="C/LW/RW",VLOOKUP(B290,'C'!A1:F210,6,FALSE),VLOOKUP(B290,F!A1:F407,6,FALSE))</f>
        <v>-3.3321580702920728</v>
      </c>
      <c r="L290" s="54" cm="1">
        <f t="array" ref="L290">IFERROR(K290/H290,"N/A")</f>
        <v>-0.66643161405841456</v>
      </c>
      <c r="M290" s="84" t="s">
        <v>828</v>
      </c>
      <c r="N290" s="84" t="str" cm="1">
        <f t="array" ref="N290">IFERROR(M290-A290,"N/A")</f>
        <v>N/A</v>
      </c>
      <c r="O290" s="55"/>
      <c r="P290" s="56" cm="1">
        <f t="array" ref="P290">_xlfn.XLOOKUP($B290,ADP!A2:A671,ADP!G2:G671)</f>
        <v>0</v>
      </c>
      <c r="Q290" s="57" cm="1">
        <f t="array" ref="Q290">IF(Settings!$E$12="YES",VLOOKUP(B290,'Player Data'!A1:E673,5,FALSE),84)</f>
        <v>80</v>
      </c>
      <c r="R290" s="83" cm="1">
        <f t="array" ref="R290">VLOOKUP(B290,'Player Data'!$A1:$AE673,6,FALSE)</f>
        <v>17.5</v>
      </c>
      <c r="S290" s="57" cm="1">
        <f t="array" ref="S290">VLOOKUP(B290,'Player Data'!$A1:$AE673,7,FALSE)*$Q290*IFERROR((VLOOKUP(P290,Settings!$E$28:$F$33,2,FALSE)+1),1)</f>
        <v>20</v>
      </c>
      <c r="T290" s="57" cm="1">
        <f t="array" ref="T290">VLOOKUP(B290,'Player Data'!$A1:$AE673,8,FALSE)*$Q290*IFERROR((VLOOKUP(P290,Settings!$E$28:$F$33,2,FALSE)+1),1)</f>
        <v>30.4</v>
      </c>
      <c r="U290" s="57" cm="1">
        <f t="array" ref="U290">SUM(S290:T290)</f>
        <v>50.4</v>
      </c>
      <c r="V290" s="57" cm="1">
        <f t="array" ref="V290">VLOOKUP(B290,'Player Data'!$A1:$AE673,10,FALSE)*$Q290*IFERROR(((VLOOKUP(P290,Settings!$E$28:$F$33,2,FALSE)/2)+1),1)</f>
        <v>165.6</v>
      </c>
      <c r="W290" s="57" cm="1">
        <f t="array" ref="W290">VLOOKUP(B290,'Player Data'!$A1:$AE673,11,FALSE)*$Q290*IFERROR((VLOOKUP(P290,Settings!$E$28:$F$33,2,FALSE)+1),1)</f>
        <v>3.2</v>
      </c>
      <c r="X290" s="57" cm="1">
        <f t="array" ref="X290">VLOOKUP(B290,'Player Data'!$A1:$AE673,12,FALSE)*$Q290*IFERROR((VLOOKUP(P290,Settings!$E$28:$F$33,2,FALSE)+1),1)</f>
        <v>11.200000000000001</v>
      </c>
      <c r="Y290" s="57" cm="1">
        <f t="array" ref="Y290">VLOOKUP(B290,'Player Data'!$A1:$AE673,13,FALSE)*$Q290</f>
        <v>0.8</v>
      </c>
      <c r="Z290" s="57" cm="1">
        <f t="array" ref="Z290">VLOOKUP(B290,'Player Data'!$A1:$AE673,14,FALSE)*$Q290</f>
        <v>1.6</v>
      </c>
      <c r="AA290" s="57" cm="1">
        <f t="array" ref="AA290">VLOOKUP(B290,'Player Data'!$A1:$AE673,15,FALSE)*$Q290</f>
        <v>44</v>
      </c>
      <c r="AB290" s="57" cm="1">
        <f t="array" ref="AB290">VLOOKUP(B290,'Player Data'!$A1:$AE673,16,FALSE)*$Q290</f>
        <v>94.399999999999991</v>
      </c>
      <c r="AC290" s="57" cm="1">
        <f t="array" ref="AC290">VLOOKUP(B290,'Player Data'!$A1:$AE673,17,FALSE)*$Q290*IFERROR((VLOOKUP(P290,Settings!$E$28:$F$33,2,FALSE)+1),1)</f>
        <v>4</v>
      </c>
      <c r="AD290" s="57" cm="1">
        <f t="array" ref="AD290">VLOOKUP(B290,'Player Data'!$A1:$AE673,18,FALSE)*$Q290</f>
        <v>35.200000000000003</v>
      </c>
      <c r="AE290" s="57" cm="1">
        <f t="array" ref="AE290">VLOOKUP(B290,'Player Data'!$A1:$AE673,19,FALSE)*$Q290*IFERROR((VLOOKUP(P290,Settings!$E$28:$F$33,2,FALSE)+1),1)</f>
        <v>3.2</v>
      </c>
      <c r="AF290" s="57" cm="1">
        <f t="array" ref="AF290">VLOOKUP(B290,'Player Data'!$A1:$AE673,20,FALSE)*$Q290</f>
        <v>641.59999999999991</v>
      </c>
      <c r="AG290" s="57" cm="1">
        <f t="array" ref="AG290">VLOOKUP(B290,'Player Data'!$A1:$AE673,21,FALSE)*$Q290</f>
        <v>569.6</v>
      </c>
      <c r="AH290" s="59" cm="1">
        <f t="array" ref="AH290">VLOOKUP(B290,'Player Data'!$A1:$AE673,22,FALSE)</f>
        <v>0.53</v>
      </c>
      <c r="AI290" s="55"/>
      <c r="AJ290" s="57"/>
      <c r="AK290" s="57"/>
      <c r="AL290" s="57"/>
      <c r="AM290" s="57"/>
      <c r="AN290" s="57"/>
      <c r="AO290" s="57"/>
      <c r="AP290" s="57"/>
      <c r="AQ290" s="60"/>
      <c r="AR290" s="61"/>
      <c r="AS290" s="55"/>
    </row>
    <row r="291" spans="1:45" ht="21.25" customHeight="1" x14ac:dyDescent="0.15">
      <c r="A291" s="62">
        <f>RANK(K291,K$2:K$671)</f>
        <v>312</v>
      </c>
      <c r="B291" s="10" t="s">
        <v>561</v>
      </c>
      <c r="C291" s="47" t="s">
        <v>145</v>
      </c>
      <c r="D291" s="48" t="str" cm="1">
        <f t="array" ref="D291">VLOOKUP(B291,'Player Data'!A1:D673,4,FALSE)</f>
        <v>D</v>
      </c>
      <c r="E291" s="68" cm="1">
        <f t="array" ref="E291">VLOOKUP(B291,D!A1:C204,3,FALSE)</f>
        <v>147</v>
      </c>
      <c r="F291" s="69" t="str" cm="1">
        <f t="array" ref="F291">VLOOKUP(B291,'Player Data'!A1:B673,2,FALSE)</f>
        <v>TOR</v>
      </c>
      <c r="G291" s="71" cm="1">
        <f t="array" ref="G291">VLOOKUP(B291,'Player Data'!A1:D673,3,FALSE)</f>
        <v>24</v>
      </c>
      <c r="H291" s="51" cm="1">
        <f t="array" ref="H291">IFERROR(VLOOKUP(B291,ADP!A1:F671,6,FALSE)/1000000,VLOOKUP(B291,ADP!A1:F671,6,FALSE))</f>
        <v>1.55</v>
      </c>
      <c r="I291" s="52">
        <f>IF(Settings!$E$15="POINTS",((R291*Q291)*Settings!$B$12)+(S291*Settings!$B$2)+(T291*Settings!$B$3)+(U291*Settings!$B$4)+(V291*Settings!$B$5)+(X291*Settings!$B$9)+(AA291*Settings!$B$6)+(W291*Settings!$B$8)+(AB291*Settings!$B$7)+(AC291*Settings!$B$14)+(AD291*Settings!$B$15)+(AE291*Settings!$B$16)+(AF291*Settings!$B$17)+(AG291*Settings!$B$18)+(U291*Settings!$B$13)+(Y291*Settings!$B$10)+(Z291*Settings!$B$11),VLOOKUP(B291,'Standard Deviations'!A$1:C$672,3,FALSE))</f>
        <v>-3.6805749250812316</v>
      </c>
      <c r="J291" s="53" cm="1">
        <f t="array" ref="J291">IF(D291="G",I291/AJ291,I291/Q291)</f>
        <v>-5.1839083451848331E-2</v>
      </c>
      <c r="K291" s="52" cm="1">
        <f t="array" ref="K291">VLOOKUP(B291,D!A1:F204,6,FALSE)</f>
        <v>-4.2474258395987858</v>
      </c>
      <c r="L291" s="54" cm="1">
        <f t="array" ref="L291">IFERROR(K291/H291,"N/A")</f>
        <v>-2.740274735225023</v>
      </c>
      <c r="M291" s="84" t="s">
        <v>828</v>
      </c>
      <c r="N291" s="84" t="str" cm="1">
        <f t="array" ref="N291">IFERROR(M291-A291,"N/A")</f>
        <v>N/A</v>
      </c>
      <c r="O291" s="55"/>
      <c r="P291" s="56" cm="1">
        <f t="array" ref="P291">_xlfn.XLOOKUP($B291,ADP!A2:A671,ADP!G2:G671)</f>
        <v>0</v>
      </c>
      <c r="Q291" s="57" cm="1">
        <f t="array" ref="Q291">IF(Settings!$E$12="YES",VLOOKUP(B291,'Player Data'!A1:E673,5,FALSE),84)</f>
        <v>71</v>
      </c>
      <c r="R291" s="55" cm="1">
        <f t="array" ref="R291">VLOOKUP(B291,'Player Data'!$A1:$AE673,6,FALSE)</f>
        <v>16.100000000000001</v>
      </c>
      <c r="S291" s="57" cm="1">
        <f t="array" ref="S291">VLOOKUP(B291,'Player Data'!$A1:$AE673,7,FALSE)*$Q291*IFERROR((VLOOKUP(P291,Settings!$E$28:$F$33,2,FALSE)+1),1)</f>
        <v>2.84</v>
      </c>
      <c r="T291" s="57" cm="1">
        <f t="array" ref="T291">VLOOKUP(B291,'Player Data'!$A1:$AE673,8,FALSE)*$Q291*IFERROR((VLOOKUP(P291,Settings!$E$28:$F$33,2,FALSE)+1),1)</f>
        <v>11.36</v>
      </c>
      <c r="U291" s="57" cm="1">
        <f t="array" ref="U291">SUM(S291:T291)</f>
        <v>14.2</v>
      </c>
      <c r="V291" s="57" cm="1">
        <f t="array" ref="V291">VLOOKUP(B291,'Player Data'!$A1:$AE673,10,FALSE)*$Q291*IFERROR(((VLOOKUP(P291,Settings!$E$28:$F$33,2,FALSE)/2)+1),1)</f>
        <v>56.800000000000004</v>
      </c>
      <c r="W291" s="57" cm="1">
        <f t="array" ref="W291">VLOOKUP(B291,'Player Data'!$A1:$AE673,11,FALSE)*$Q291*IFERROR((VLOOKUP(P291,Settings!$E$28:$F$33,2,FALSE)+1),1)</f>
        <v>0</v>
      </c>
      <c r="X291" s="57" cm="1">
        <f t="array" ref="X291">VLOOKUP(B291,'Player Data'!$A1:$AE673,12,FALSE)*$Q291*IFERROR((VLOOKUP(P291,Settings!$E$28:$F$33,2,FALSE)+1),1)</f>
        <v>0</v>
      </c>
      <c r="Y291" s="57" cm="1">
        <f t="array" ref="Y291">VLOOKUP(B291,'Player Data'!$A1:$AE673,13,FALSE)*$Q291</f>
        <v>0</v>
      </c>
      <c r="Z291" s="57" cm="1">
        <f t="array" ref="Z291">VLOOKUP(B291,'Player Data'!$A1:$AE673,14,FALSE)*$Q291</f>
        <v>0</v>
      </c>
      <c r="AA291" s="57" cm="1">
        <f t="array" ref="AA291">VLOOKUP(B291,'Player Data'!$A1:$AE673,15,FALSE)*$Q291</f>
        <v>78.81</v>
      </c>
      <c r="AB291" s="57" cm="1">
        <f t="array" ref="AB291">VLOOKUP(B291,'Player Data'!$A1:$AE673,16,FALSE)*$Q291</f>
        <v>82.36</v>
      </c>
      <c r="AC291" s="57" cm="1">
        <f t="array" ref="AC291">VLOOKUP(B291,'Player Data'!$A1:$AE673,17,FALSE)*$Q291*IFERROR((VLOOKUP(P291,Settings!$E$28:$F$33,2,FALSE)+1),1)</f>
        <v>2.13</v>
      </c>
      <c r="AD291" s="57" cm="1">
        <f t="array" ref="AD291">VLOOKUP(B291,'Player Data'!$A1:$AE673,18,FALSE)*$Q291</f>
        <v>26.27</v>
      </c>
      <c r="AE291" s="57" cm="1">
        <f t="array" ref="AE291">VLOOKUP(B291,'Player Data'!$A1:$AE673,19,FALSE)*$Q291*IFERROR((VLOOKUP(P291,Settings!$E$28:$F$33,2,FALSE)+1),1)</f>
        <v>0.71</v>
      </c>
      <c r="AF291" s="57" cm="1">
        <f t="array" ref="AF291">VLOOKUP(B291,'Player Data'!$A1:$AE673,20,FALSE)*$Q291</f>
        <v>1.42</v>
      </c>
      <c r="AG291" s="57" cm="1">
        <f t="array" ref="AG291">VLOOKUP(B291,'Player Data'!$A1:$AE673,21,FALSE)*$Q291</f>
        <v>2.13</v>
      </c>
      <c r="AH291" s="59" cm="1">
        <f t="array" ref="AH291">VLOOKUP(B291,'Player Data'!$A1:$AE673,22,FALSE)</f>
        <v>0.4</v>
      </c>
      <c r="AI291" s="55"/>
      <c r="AJ291" s="57"/>
      <c r="AK291" s="57"/>
      <c r="AL291" s="57"/>
      <c r="AM291" s="57"/>
      <c r="AN291" s="57"/>
      <c r="AO291" s="57"/>
      <c r="AP291" s="57"/>
      <c r="AQ291" s="60"/>
      <c r="AR291" s="61"/>
      <c r="AS291" s="55"/>
    </row>
    <row r="292" spans="1:45" ht="21.25" customHeight="1" x14ac:dyDescent="0.15">
      <c r="A292" s="62">
        <f>RANK(K292,K$2:K$671)</f>
        <v>313</v>
      </c>
      <c r="B292" s="10" t="s">
        <v>444</v>
      </c>
      <c r="C292" s="47" t="s">
        <v>145</v>
      </c>
      <c r="D292" s="48" t="str" cm="1">
        <f t="array" ref="D292">VLOOKUP(B292,'Player Data'!A1:D673,4,FALSE)</f>
        <v>D</v>
      </c>
      <c r="E292" s="68" cm="1">
        <f t="array" ref="E292">VLOOKUP(B292,D!A1:C204,3,FALSE)</f>
        <v>148</v>
      </c>
      <c r="F292" s="72" t="str" cm="1">
        <f t="array" ref="F292">VLOOKUP(B292,'Player Data'!A1:B673,2,FALSE)</f>
        <v>DET</v>
      </c>
      <c r="G292" s="66" cm="1">
        <f t="array" ref="G292">VLOOKUP(B292,'Player Data'!A1:D673,3,FALSE)</f>
        <v>35</v>
      </c>
      <c r="H292" s="51" cm="1">
        <f t="array" ref="H292">IFERROR(VLOOKUP(B292,ADP!A1:F671,6,FALSE)/1000000,VLOOKUP(B292,ADP!A1:F671,6,FALSE))</f>
        <v>3.85</v>
      </c>
      <c r="I292" s="52">
        <f>IF(Settings!$E$15="POINTS",((R292*Q292)*Settings!$B$12)+(S292*Settings!$B$2)+(T292*Settings!$B$3)+(U292*Settings!$B$4)+(V292*Settings!$B$5)+(X292*Settings!$B$9)+(AA292*Settings!$B$6)+(W292*Settings!$B$8)+(AB292*Settings!$B$7)+(AC292*Settings!$B$14)+(AD292*Settings!$B$15)+(AE292*Settings!$B$16)+(AF292*Settings!$B$17)+(AG292*Settings!$B$18)+(U292*Settings!$B$13)+(Y292*Settings!$B$10)+(Z292*Settings!$B$11),VLOOKUP(B292,'Standard Deviations'!A$1:C$672,3,FALSE))</f>
        <v>-3.6943607772184839</v>
      </c>
      <c r="J292" s="53" cm="1">
        <f t="array" ref="J292">IF(D292="G",I292/AJ292,I292/Q292)</f>
        <v>-4.4510370809861255E-2</v>
      </c>
      <c r="K292" s="52" cm="1">
        <f t="array" ref="K292">VLOOKUP(B292,D!A1:F204,6,FALSE)</f>
        <v>-4.2612116917360385</v>
      </c>
      <c r="L292" s="54" cm="1">
        <f t="array" ref="L292">IFERROR(K292/H292,"N/A")</f>
        <v>-1.1068082316197503</v>
      </c>
      <c r="M292" s="84" t="s">
        <v>828</v>
      </c>
      <c r="N292" s="84" t="str" cm="1">
        <f t="array" ref="N292">IFERROR(M292-A292,"N/A")</f>
        <v>N/A</v>
      </c>
      <c r="O292" s="55"/>
      <c r="P292" s="56" cm="1">
        <f t="array" ref="P292">_xlfn.XLOOKUP($B292,ADP!A2:A671,ADP!G2:G671)</f>
        <v>0</v>
      </c>
      <c r="Q292" s="57" cm="1">
        <f t="array" ref="Q292">IF(Settings!$E$12="YES",VLOOKUP(B292,'Player Data'!A1:E673,5,FALSE),84)</f>
        <v>83</v>
      </c>
      <c r="R292" s="55" cm="1">
        <f t="array" ref="R292">VLOOKUP(B292,'Player Data'!$A1:$AE673,6,FALSE)</f>
        <v>20.2</v>
      </c>
      <c r="S292" s="57" cm="1">
        <f t="array" ref="S292">VLOOKUP(B292,'Player Data'!$A1:$AE673,7,FALSE)*$Q292*IFERROR((VLOOKUP(P292,Settings!$E$28:$F$33,2,FALSE)+1),1)</f>
        <v>1.6600000000000001</v>
      </c>
      <c r="T292" s="57" cm="1">
        <f t="array" ref="T292">VLOOKUP(B292,'Player Data'!$A1:$AE673,8,FALSE)*$Q292*IFERROR((VLOOKUP(P292,Settings!$E$28:$F$33,2,FALSE)+1),1)</f>
        <v>9.9599999999999991</v>
      </c>
      <c r="U292" s="57" cm="1">
        <f t="array" ref="U292">SUM(S292:T292)</f>
        <v>11.62</v>
      </c>
      <c r="V292" s="57" cm="1">
        <f t="array" ref="V292">VLOOKUP(B292,'Player Data'!$A1:$AE673,10,FALSE)*$Q292*IFERROR(((VLOOKUP(P292,Settings!$E$28:$F$33,2,FALSE)/2)+1),1)</f>
        <v>87.15</v>
      </c>
      <c r="W292" s="57" cm="1">
        <f t="array" ref="W292">VLOOKUP(B292,'Player Data'!$A1:$AE673,11,FALSE)*$Q292*IFERROR((VLOOKUP(P292,Settings!$E$28:$F$33,2,FALSE)+1),1)</f>
        <v>0</v>
      </c>
      <c r="X292" s="57" cm="1">
        <f t="array" ref="X292">VLOOKUP(B292,'Player Data'!$A1:$AE673,12,FALSE)*$Q292*IFERROR((VLOOKUP(P292,Settings!$E$28:$F$33,2,FALSE)+1),1)</f>
        <v>0</v>
      </c>
      <c r="Y292" s="57" cm="1">
        <f t="array" ref="Y292">VLOOKUP(B292,'Player Data'!$A1:$AE673,13,FALSE)*$Q292</f>
        <v>0</v>
      </c>
      <c r="Z292" s="57" cm="1">
        <f t="array" ref="Z292">VLOOKUP(B292,'Player Data'!$A1:$AE673,14,FALSE)*$Q292</f>
        <v>0</v>
      </c>
      <c r="AA292" s="57" cm="1">
        <f t="array" ref="AA292">VLOOKUP(B292,'Player Data'!$A1:$AE673,15,FALSE)*$Q292</f>
        <v>149.4</v>
      </c>
      <c r="AB292" s="57" cm="1">
        <f t="array" ref="AB292">VLOOKUP(B292,'Player Data'!$A1:$AE673,16,FALSE)*$Q292</f>
        <v>141.93</v>
      </c>
      <c r="AC292" s="57" cm="1">
        <f t="array" ref="AC292">VLOOKUP(B292,'Player Data'!$A1:$AE673,17,FALSE)*$Q292*IFERROR((VLOOKUP(P292,Settings!$E$28:$F$33,2,FALSE)+1),1)</f>
        <v>-4.9799999999999995</v>
      </c>
      <c r="AD292" s="57" cm="1">
        <f t="array" ref="AD292">VLOOKUP(B292,'Player Data'!$A1:$AE673,18,FALSE)*$Q292</f>
        <v>57.269999999999996</v>
      </c>
      <c r="AE292" s="57" cm="1">
        <f t="array" ref="AE292">VLOOKUP(B292,'Player Data'!$A1:$AE673,19,FALSE)*$Q292*IFERROR((VLOOKUP(P292,Settings!$E$28:$F$33,2,FALSE)+1),1)</f>
        <v>0</v>
      </c>
      <c r="AF292" s="57" cm="1">
        <f t="array" ref="AF292">VLOOKUP(B292,'Player Data'!$A1:$AE673,20,FALSE)*$Q292</f>
        <v>0</v>
      </c>
      <c r="AG292" s="57" cm="1">
        <f t="array" ref="AG292">VLOOKUP(B292,'Player Data'!$A1:$AE673,21,FALSE)*$Q292</f>
        <v>0</v>
      </c>
      <c r="AH292" s="59" cm="1">
        <f t="array" ref="AH292">VLOOKUP(B292,'Player Data'!$A1:$AE673,22,FALSE)</f>
        <v>0</v>
      </c>
      <c r="AI292" s="55"/>
      <c r="AJ292" s="57"/>
      <c r="AK292" s="57"/>
      <c r="AL292" s="57"/>
      <c r="AM292" s="57"/>
      <c r="AN292" s="57"/>
      <c r="AO292" s="57"/>
      <c r="AP292" s="57"/>
      <c r="AQ292" s="60"/>
      <c r="AR292" s="61"/>
      <c r="AS292" s="55"/>
    </row>
    <row r="293" spans="1:45" ht="21.25" customHeight="1" x14ac:dyDescent="0.15">
      <c r="A293" s="62">
        <f>RANK(K293,K$2:K$671)</f>
        <v>314</v>
      </c>
      <c r="B293" s="10" t="s">
        <v>394</v>
      </c>
      <c r="C293" s="47" t="s">
        <v>145</v>
      </c>
      <c r="D293" s="48" t="str" cm="1">
        <f t="array" ref="D293">VLOOKUP(B293,'Player Data'!A1:D673,4,FALSE)</f>
        <v>D</v>
      </c>
      <c r="E293" s="68" cm="1">
        <f t="array" ref="E293">VLOOKUP(B293,D!A1:C204,3,FALSE)</f>
        <v>149</v>
      </c>
      <c r="F293" s="69" t="str" cm="1">
        <f t="array" ref="F293">VLOOKUP(B293,'Player Data'!A1:B673,2,FALSE)</f>
        <v>MTL</v>
      </c>
      <c r="G293" s="11" cm="1">
        <f t="array" ref="G293">VLOOKUP(B293,'Player Data'!A1:D673,3,FALSE)</f>
        <v>29</v>
      </c>
      <c r="H293" s="67" cm="1">
        <f t="array" ref="H293">IFERROR(VLOOKUP(B293,ADP!A1:F671,6,FALSE)/1000000,VLOOKUP(B293,ADP!A1:F671,6,FALSE))</f>
        <v>3.75</v>
      </c>
      <c r="I293" s="52">
        <f>IF(Settings!$E$15="POINTS",((R293*Q293)*Settings!$B$12)+(S293*Settings!$B$2)+(T293*Settings!$B$3)+(U293*Settings!$B$4)+(V293*Settings!$B$5)+(X293*Settings!$B$9)+(AA293*Settings!$B$6)+(W293*Settings!$B$8)+(AB293*Settings!$B$7)+(AC293*Settings!$B$14)+(AD293*Settings!$B$15)+(AE293*Settings!$B$16)+(AF293*Settings!$B$17)+(AG293*Settings!$B$18)+(U293*Settings!$B$13)+(Y293*Settings!$B$10)+(Z293*Settings!$B$11),VLOOKUP(B293,'Standard Deviations'!A$1:C$672,3,FALSE))</f>
        <v>-3.7133721432982316</v>
      </c>
      <c r="J293" s="53" cm="1">
        <f t="array" ref="J293">IF(D293="G",I293/AJ293,I293/Q293)</f>
        <v>-4.5844100534546073E-2</v>
      </c>
      <c r="K293" s="52" cm="1">
        <f t="array" ref="K293">VLOOKUP(B293,D!A1:F204,6,FALSE)</f>
        <v>-4.2802230578157863</v>
      </c>
      <c r="L293" s="54" cm="1">
        <f t="array" ref="L293">IFERROR(K293/H293,"N/A")</f>
        <v>-1.141392815417543</v>
      </c>
      <c r="M293" s="84" t="s">
        <v>828</v>
      </c>
      <c r="N293" s="84" t="str" cm="1">
        <f t="array" ref="N293">IFERROR(M293-A293,"N/A")</f>
        <v>N/A</v>
      </c>
      <c r="O293" s="55"/>
      <c r="P293" s="56" cm="1">
        <f t="array" ref="P293">_xlfn.XLOOKUP($B293,ADP!A2:A671,ADP!G2:G671)</f>
        <v>0</v>
      </c>
      <c r="Q293" s="57" cm="1">
        <f t="array" ref="Q293">IF(Settings!$E$12="YES",VLOOKUP(B293,'Player Data'!A1:E673,5,FALSE),84)</f>
        <v>81</v>
      </c>
      <c r="R293" s="55" cm="1">
        <f t="array" ref="R293">VLOOKUP(B293,'Player Data'!$A1:$AE673,6,FALSE)</f>
        <v>19</v>
      </c>
      <c r="S293" s="57" cm="1">
        <f t="array" ref="S293">VLOOKUP(B293,'Player Data'!$A1:$AE673,7,FALSE)*$Q293*IFERROR((VLOOKUP(P293,Settings!$E$28:$F$33,2,FALSE)+1),1)</f>
        <v>3.24</v>
      </c>
      <c r="T293" s="57" cm="1">
        <f t="array" ref="T293">VLOOKUP(B293,'Player Data'!$A1:$AE673,8,FALSE)*$Q293*IFERROR((VLOOKUP(P293,Settings!$E$28:$F$33,2,FALSE)+1),1)</f>
        <v>16.2</v>
      </c>
      <c r="U293" s="57" cm="1">
        <f t="array" ref="U293">SUM(S293:T293)</f>
        <v>19.439999999999998</v>
      </c>
      <c r="V293" s="57" cm="1">
        <f t="array" ref="V293">VLOOKUP(B293,'Player Data'!$A1:$AE673,10,FALSE)*$Q293*IFERROR(((VLOOKUP(P293,Settings!$E$28:$F$33,2,FALSE)/2)+1),1)</f>
        <v>63.99</v>
      </c>
      <c r="W293" s="57" cm="1">
        <f t="array" ref="W293">VLOOKUP(B293,'Player Data'!$A1:$AE673,11,FALSE)*$Q293*IFERROR((VLOOKUP(P293,Settings!$E$28:$F$33,2,FALSE)+1),1)</f>
        <v>0</v>
      </c>
      <c r="X293" s="57" cm="1">
        <f t="array" ref="X293">VLOOKUP(B293,'Player Data'!$A1:$AE673,12,FALSE)*$Q293*IFERROR((VLOOKUP(P293,Settings!$E$28:$F$33,2,FALSE)+1),1)</f>
        <v>0</v>
      </c>
      <c r="Y293" s="57" cm="1">
        <f t="array" ref="Y293">VLOOKUP(B293,'Player Data'!$A1:$AE673,13,FALSE)*$Q293</f>
        <v>0</v>
      </c>
      <c r="Z293" s="57" cm="1">
        <f t="array" ref="Z293">VLOOKUP(B293,'Player Data'!$A1:$AE673,14,FALSE)*$Q293</f>
        <v>0.81</v>
      </c>
      <c r="AA293" s="57" cm="1">
        <f t="array" ref="AA293">VLOOKUP(B293,'Player Data'!$A1:$AE673,15,FALSE)*$Q293</f>
        <v>158.76</v>
      </c>
      <c r="AB293" s="57" cm="1">
        <f t="array" ref="AB293">VLOOKUP(B293,'Player Data'!$A1:$AE673,16,FALSE)*$Q293</f>
        <v>61.56</v>
      </c>
      <c r="AC293" s="57" cm="1">
        <f t="array" ref="AC293">VLOOKUP(B293,'Player Data'!$A1:$AE673,17,FALSE)*$Q293*IFERROR((VLOOKUP(P293,Settings!$E$28:$F$33,2,FALSE)+1),1)</f>
        <v>1.62</v>
      </c>
      <c r="AD293" s="57" cm="1">
        <f t="array" ref="AD293">VLOOKUP(B293,'Player Data'!$A1:$AE673,18,FALSE)*$Q293</f>
        <v>39.69</v>
      </c>
      <c r="AE293" s="57" cm="1">
        <f t="array" ref="AE293">VLOOKUP(B293,'Player Data'!$A1:$AE673,19,FALSE)*$Q293*IFERROR((VLOOKUP(P293,Settings!$E$28:$F$33,2,FALSE)+1),1)</f>
        <v>0.81</v>
      </c>
      <c r="AF293" s="57" cm="1">
        <f t="array" ref="AF293">VLOOKUP(B293,'Player Data'!$A1:$AE673,20,FALSE)*$Q293</f>
        <v>0</v>
      </c>
      <c r="AG293" s="57" cm="1">
        <f t="array" ref="AG293">VLOOKUP(B293,'Player Data'!$A1:$AE673,21,FALSE)*$Q293</f>
        <v>0</v>
      </c>
      <c r="AH293" s="59" cm="1">
        <f t="array" ref="AH293">VLOOKUP(B293,'Player Data'!$A1:$AE673,22,FALSE)</f>
        <v>0</v>
      </c>
      <c r="AI293" s="55"/>
      <c r="AJ293" s="57"/>
      <c r="AK293" s="57"/>
      <c r="AL293" s="57"/>
      <c r="AM293" s="57"/>
      <c r="AN293" s="57"/>
      <c r="AO293" s="57"/>
      <c r="AP293" s="57"/>
      <c r="AQ293" s="60"/>
      <c r="AR293" s="61"/>
      <c r="AS293" s="55"/>
    </row>
    <row r="294" spans="1:45" ht="21.25" customHeight="1" x14ac:dyDescent="0.15">
      <c r="A294" s="62">
        <f>RANK(K294,K$2:K$671)</f>
        <v>315</v>
      </c>
      <c r="B294" s="10" t="s">
        <v>404</v>
      </c>
      <c r="C294" s="47" t="s">
        <v>145</v>
      </c>
      <c r="D294" s="48" t="str" cm="1">
        <f t="array" ref="D294">VLOOKUP(B294,'Player Data'!A1:D673,4,FALSE)</f>
        <v>D</v>
      </c>
      <c r="E294" s="68" cm="1">
        <f t="array" ref="E294">VLOOKUP(B294,D!A1:C204,3,FALSE)</f>
        <v>150</v>
      </c>
      <c r="F294" s="72" t="str" cm="1">
        <f t="array" ref="F294">VLOOKUP(B294,'Player Data'!A1:B673,2,FALSE)</f>
        <v>BOS</v>
      </c>
      <c r="G294" s="11" cm="1">
        <f t="array" ref="G294">VLOOKUP(B294,'Player Data'!A1:D673,3,FALSE)</f>
        <v>25</v>
      </c>
      <c r="H294" s="67" cm="1">
        <f t="array" ref="H294">IFERROR(VLOOKUP(B294,ADP!A1:F671,6,FALSE)/1000000,VLOOKUP(B294,ADP!A1:F671,6,FALSE))</f>
        <v>3.2</v>
      </c>
      <c r="I294" s="52">
        <f>IF(Settings!$E$15="POINTS",((R294*Q294)*Settings!$B$12)+(S294*Settings!$B$2)+(T294*Settings!$B$3)+(U294*Settings!$B$4)+(V294*Settings!$B$5)+(X294*Settings!$B$9)+(AA294*Settings!$B$6)+(W294*Settings!$B$8)+(AB294*Settings!$B$7)+(AC294*Settings!$B$14)+(AD294*Settings!$B$15)+(AE294*Settings!$B$16)+(AF294*Settings!$B$17)+(AG294*Settings!$B$18)+(U294*Settings!$B$13)+(Y294*Settings!$B$10)+(Z294*Settings!$B$11),VLOOKUP(B294,'Standard Deviations'!A$1:C$672,3,FALSE))</f>
        <v>-3.7195097957798486</v>
      </c>
      <c r="J294" s="53" cm="1">
        <f t="array" ref="J294">IF(D294="G",I294/AJ294,I294/Q294)</f>
        <v>-4.7686023022818574E-2</v>
      </c>
      <c r="K294" s="52" cm="1">
        <f t="array" ref="K294">VLOOKUP(B294,D!A1:F204,6,FALSE)</f>
        <v>-4.2863607102974033</v>
      </c>
      <c r="L294" s="54" cm="1">
        <f t="array" ref="L294">IFERROR(K294/H294,"N/A")</f>
        <v>-1.3394877219679384</v>
      </c>
      <c r="M294" s="84" t="s">
        <v>828</v>
      </c>
      <c r="N294" s="84" t="str" cm="1">
        <f t="array" ref="N294">IFERROR(M294-A294,"N/A")</f>
        <v>N/A</v>
      </c>
      <c r="O294" s="55"/>
      <c r="P294" s="56" cm="1">
        <f t="array" ref="P294">_xlfn.XLOOKUP($B294,ADP!A2:A671,ADP!G2:G671)</f>
        <v>0</v>
      </c>
      <c r="Q294" s="57" cm="1">
        <f t="array" ref="Q294">IF(Settings!$E$12="YES",VLOOKUP(B294,'Player Data'!A1:E673,5,FALSE),84)</f>
        <v>78</v>
      </c>
      <c r="R294" s="55" cm="1">
        <f t="array" ref="R294">VLOOKUP(B294,'Player Data'!$A1:$AE673,6,FALSE)</f>
        <v>16.100000000000001</v>
      </c>
      <c r="S294" s="57" cm="1">
        <f t="array" ref="S294">VLOOKUP(B294,'Player Data'!$A1:$AE673,7,FALSE)*$Q294*IFERROR((VLOOKUP(P294,Settings!$E$28:$F$33,2,FALSE)+1),1)</f>
        <v>5.4600000000000009</v>
      </c>
      <c r="T294" s="57" cm="1">
        <f t="array" ref="T294">VLOOKUP(B294,'Player Data'!$A1:$AE673,8,FALSE)*$Q294*IFERROR((VLOOKUP(P294,Settings!$E$28:$F$33,2,FALSE)+1),1)</f>
        <v>18.72</v>
      </c>
      <c r="U294" s="57" cm="1">
        <f t="array" ref="U294">SUM(S294:T294)</f>
        <v>24.18</v>
      </c>
      <c r="V294" s="57" cm="1">
        <f t="array" ref="V294">VLOOKUP(B294,'Player Data'!$A1:$AE673,10,FALSE)*$Q294*IFERROR(((VLOOKUP(P294,Settings!$E$28:$F$33,2,FALSE)/2)+1),1)</f>
        <v>72.540000000000006</v>
      </c>
      <c r="W294" s="57" cm="1">
        <f t="array" ref="W294">VLOOKUP(B294,'Player Data'!$A1:$AE673,11,FALSE)*$Q294*IFERROR((VLOOKUP(P294,Settings!$E$28:$F$33,2,FALSE)+1),1)</f>
        <v>1.56</v>
      </c>
      <c r="X294" s="57" cm="1">
        <f t="array" ref="X294">VLOOKUP(B294,'Player Data'!$A1:$AE673,12,FALSE)*$Q294*IFERROR((VLOOKUP(P294,Settings!$E$28:$F$33,2,FALSE)+1),1)</f>
        <v>7.02</v>
      </c>
      <c r="Y294" s="57" cm="1">
        <f t="array" ref="Y294">VLOOKUP(B294,'Player Data'!$A1:$AE673,13,FALSE)*$Q294</f>
        <v>0</v>
      </c>
      <c r="Z294" s="57" cm="1">
        <f t="array" ref="Z294">VLOOKUP(B294,'Player Data'!$A1:$AE673,14,FALSE)*$Q294</f>
        <v>0</v>
      </c>
      <c r="AA294" s="57" cm="1">
        <f t="array" ref="AA294">VLOOKUP(B294,'Player Data'!$A1:$AE673,15,FALSE)*$Q294</f>
        <v>89.699999999999989</v>
      </c>
      <c r="AB294" s="57" cm="1">
        <f t="array" ref="AB294">VLOOKUP(B294,'Player Data'!$A1:$AE673,16,FALSE)*$Q294</f>
        <v>42.120000000000005</v>
      </c>
      <c r="AC294" s="57" cm="1">
        <f t="array" ref="AC294">VLOOKUP(B294,'Player Data'!$A1:$AE673,17,FALSE)*$Q294*IFERROR((VLOOKUP(P294,Settings!$E$28:$F$33,2,FALSE)+1),1)</f>
        <v>-2.34</v>
      </c>
      <c r="AD294" s="57" cm="1">
        <f t="array" ref="AD294">VLOOKUP(B294,'Player Data'!$A1:$AE673,18,FALSE)*$Q294</f>
        <v>21.840000000000003</v>
      </c>
      <c r="AE294" s="57" cm="1">
        <f t="array" ref="AE294">VLOOKUP(B294,'Player Data'!$A1:$AE673,19,FALSE)*$Q294*IFERROR((VLOOKUP(P294,Settings!$E$28:$F$33,2,FALSE)+1),1)</f>
        <v>0.78</v>
      </c>
      <c r="AF294" s="57" cm="1">
        <f t="array" ref="AF294">VLOOKUP(B294,'Player Data'!$A1:$AE673,20,FALSE)*$Q294</f>
        <v>0</v>
      </c>
      <c r="AG294" s="57" cm="1">
        <f t="array" ref="AG294">VLOOKUP(B294,'Player Data'!$A1:$AE673,21,FALSE)*$Q294</f>
        <v>0</v>
      </c>
      <c r="AH294" s="59" cm="1">
        <f t="array" ref="AH294">VLOOKUP(B294,'Player Data'!$A1:$AE673,22,FALSE)</f>
        <v>0</v>
      </c>
      <c r="AI294" s="55"/>
      <c r="AJ294" s="57"/>
      <c r="AK294" s="57"/>
      <c r="AL294" s="57"/>
      <c r="AM294" s="57"/>
      <c r="AN294" s="57"/>
      <c r="AO294" s="57"/>
      <c r="AP294" s="57"/>
      <c r="AQ294" s="60"/>
      <c r="AR294" s="61"/>
      <c r="AS294" s="55"/>
    </row>
    <row r="295" spans="1:45" ht="21.25" customHeight="1" x14ac:dyDescent="0.15">
      <c r="A295" s="62">
        <f>RANK(K295,K$2:K$671)</f>
        <v>256</v>
      </c>
      <c r="B295" s="10" t="s">
        <v>362</v>
      </c>
      <c r="C295" s="47" t="s">
        <v>145</v>
      </c>
      <c r="D295" s="48" t="str" cm="1">
        <f t="array" ref="D295">VLOOKUP(B295,'Player Data'!A1:D673,4,FALSE)</f>
        <v>LW,RW</v>
      </c>
      <c r="E295" s="74" cm="1">
        <f t="array" ref="E295">VLOOKUP(B295,RW!A1:F210,3,FALSE)</f>
        <v>59</v>
      </c>
      <c r="F295" s="63" t="str" cm="1">
        <f t="array" ref="F295">VLOOKUP(B295,'Player Data'!A1:B673,2,FALSE)</f>
        <v>WPG</v>
      </c>
      <c r="G295" s="71" cm="1">
        <f t="array" ref="G295">VLOOKUP(B295,'Player Data'!A1:D673,3,FALSE)</f>
        <v>24</v>
      </c>
      <c r="H295" s="51" cm="1">
        <f t="array" ref="H295">IFERROR(VLOOKUP(B295,ADP!A1:F671,6,FALSE)/1000000,VLOOKUP(B295,ADP!A1:F671,6,FALSE))</f>
        <v>6</v>
      </c>
      <c r="I295" s="52">
        <f>IF(Settings!$E$15="POINTS",((R295*Q295)*Settings!$B$12)+(S295*Settings!$B$2)+(T295*Settings!$B$3)+(U295*Settings!$B$4)+(V295*Settings!$B$5)+(X295*Settings!$B$9)+(AA295*Settings!$B$6)+(W295*Settings!$B$8)+(AB295*Settings!$B$7)+(AC295*Settings!$B$14)+(AD295*Settings!$B$15)+(AE295*Settings!$B$16)+(AF295*Settings!$B$17)+(AG295*Settings!$B$18)+(Y295*Settings!$B$10)+(Z295*Settings!$B$11),VLOOKUP(B295,'Standard Deviations'!A$1:C$672,3,FALSE))</f>
        <v>3.5117010275489218</v>
      </c>
      <c r="J295" s="53" cm="1">
        <f t="array" ref="J295">IF(D295="G",I295/AJ295,I295/Q295)</f>
        <v>4.3896262844361524E-2</v>
      </c>
      <c r="K295" s="52" cm="1">
        <f t="array" ref="K295">IF(Settings!$E$18="C/LW/RW",VLOOKUP(B295,RW!A1:F210,6,FALSE),VLOOKUP(B295,F!A1:F407,6,FALSE))</f>
        <v>-3.3755335742601558</v>
      </c>
      <c r="L295" s="54" cm="1">
        <f t="array" ref="L295">IFERROR(K295/H295,"N/A")</f>
        <v>-0.56258892904335933</v>
      </c>
      <c r="M295" s="84" t="s">
        <v>828</v>
      </c>
      <c r="N295" s="84" t="str" cm="1">
        <f t="array" ref="N295">IFERROR(M295-A295,"N/A")</f>
        <v>N/A</v>
      </c>
      <c r="O295" s="55"/>
      <c r="P295" s="56" cm="1">
        <f t="array" ref="P295">_xlfn.XLOOKUP($B295,ADP!A2:A671,ADP!G2:G671)</f>
        <v>0</v>
      </c>
      <c r="Q295" s="57" cm="1">
        <f t="array" ref="Q295">IF(Settings!$E$12="YES",VLOOKUP(B295,'Player Data'!A1:E673,5,FALSE),84)</f>
        <v>80</v>
      </c>
      <c r="R295" s="81" cm="1">
        <f t="array" ref="R295">VLOOKUP(B295,'Player Data'!$A1:$AE673,6,FALSE)</f>
        <v>16.7</v>
      </c>
      <c r="S295" s="57" cm="1">
        <f t="array" ref="S295">VLOOKUP(B295,'Player Data'!$A1:$AE673,7,FALSE)*$Q295*IFERROR((VLOOKUP(P295,Settings!$E$28:$F$33,2,FALSE)+1),1)</f>
        <v>21.6</v>
      </c>
      <c r="T295" s="57" cm="1">
        <f t="array" ref="T295">VLOOKUP(B295,'Player Data'!$A1:$AE673,8,FALSE)*$Q295*IFERROR((VLOOKUP(P295,Settings!$E$28:$F$33,2,FALSE)+1),1)</f>
        <v>33.6</v>
      </c>
      <c r="U295" s="57" cm="1">
        <f t="array" ref="U295">SUM(S295:T295)</f>
        <v>55.2</v>
      </c>
      <c r="V295" s="57" cm="1">
        <f t="array" ref="V295">VLOOKUP(B295,'Player Data'!$A1:$AE673,10,FALSE)*$Q295*IFERROR(((VLOOKUP(P295,Settings!$E$28:$F$33,2,FALSE)/2)+1),1)</f>
        <v>186.4</v>
      </c>
      <c r="W295" s="57" cm="1">
        <f t="array" ref="W295">VLOOKUP(B295,'Player Data'!$A1:$AE673,11,FALSE)*$Q295*IFERROR((VLOOKUP(P295,Settings!$E$28:$F$33,2,FALSE)+1),1)</f>
        <v>7.1999999999999993</v>
      </c>
      <c r="X295" s="78" cm="1">
        <f t="array" ref="X295">VLOOKUP(B295,'Player Data'!$A1:$AE673,12,FALSE)*$Q295*IFERROR((VLOOKUP(P295,Settings!$E$28:$F$33,2,FALSE)+1),1)</f>
        <v>16.8</v>
      </c>
      <c r="Y295" s="57" cm="1">
        <f t="array" ref="Y295">VLOOKUP(B295,'Player Data'!$A1:$AE673,13,FALSE)*$Q295</f>
        <v>0</v>
      </c>
      <c r="Z295" s="57" cm="1">
        <f t="array" ref="Z295">VLOOKUP(B295,'Player Data'!$A1:$AE673,14,FALSE)*$Q295</f>
        <v>0</v>
      </c>
      <c r="AA295" s="57" cm="1">
        <f t="array" ref="AA295">VLOOKUP(B295,'Player Data'!$A1:$AE673,15,FALSE)*$Q295</f>
        <v>43.2</v>
      </c>
      <c r="AB295" s="57" cm="1">
        <f t="array" ref="AB295">VLOOKUP(B295,'Player Data'!$A1:$AE673,16,FALSE)*$Q295</f>
        <v>71.2</v>
      </c>
      <c r="AC295" s="57" cm="1">
        <f t="array" ref="AC295">VLOOKUP(B295,'Player Data'!$A1:$AE673,17,FALSE)*$Q295*IFERROR((VLOOKUP(P295,Settings!$E$28:$F$33,2,FALSE)+1),1)</f>
        <v>2.4</v>
      </c>
      <c r="AD295" s="57" cm="1">
        <f t="array" ref="AD295">VLOOKUP(B295,'Player Data'!$A1:$AE673,18,FALSE)*$Q295</f>
        <v>24</v>
      </c>
      <c r="AE295" s="57" cm="1">
        <f t="array" ref="AE295">VLOOKUP(B295,'Player Data'!$A1:$AE673,19,FALSE)*$Q295*IFERROR((VLOOKUP(P295,Settings!$E$28:$F$33,2,FALSE)+1),1)</f>
        <v>3.2</v>
      </c>
      <c r="AF295" s="57" cm="1">
        <f t="array" ref="AF295">VLOOKUP(B295,'Player Data'!$A1:$AE673,20,FALSE)*$Q295</f>
        <v>14.399999999999999</v>
      </c>
      <c r="AG295" s="57" cm="1">
        <f t="array" ref="AG295">VLOOKUP(B295,'Player Data'!$A1:$AE673,21,FALSE)*$Q295</f>
        <v>24.8</v>
      </c>
      <c r="AH295" s="59" cm="1">
        <f t="array" ref="AH295">VLOOKUP(B295,'Player Data'!$A1:$AE673,22,FALSE)</f>
        <v>0.36</v>
      </c>
      <c r="AI295" s="55"/>
      <c r="AJ295" s="57"/>
      <c r="AK295" s="57"/>
      <c r="AL295" s="57"/>
      <c r="AM295" s="57"/>
      <c r="AN295" s="57"/>
      <c r="AO295" s="57"/>
      <c r="AP295" s="57"/>
      <c r="AQ295" s="60"/>
      <c r="AR295" s="61"/>
      <c r="AS295" s="55"/>
    </row>
    <row r="296" spans="1:45" ht="21.25" customHeight="1" x14ac:dyDescent="0.15">
      <c r="A296" s="62">
        <f>RANK(K296,K$2:K$671)</f>
        <v>257</v>
      </c>
      <c r="B296" s="10" t="s">
        <v>412</v>
      </c>
      <c r="C296" s="47" t="s">
        <v>145</v>
      </c>
      <c r="D296" s="48" t="str" cm="1">
        <f t="array" ref="D296">VLOOKUP(B296,'Player Data'!A1:D673,4,FALSE)</f>
        <v>C,LW,RW</v>
      </c>
      <c r="E296" s="74" cm="1">
        <f t="array" ref="E296">VLOOKUP(B296,RW!A1:F210,3,FALSE)</f>
        <v>60</v>
      </c>
      <c r="F296" s="70" t="str" cm="1">
        <f t="array" ref="F296">VLOOKUP(B296,'Player Data'!A1:B673,2,FALSE)</f>
        <v>L.A</v>
      </c>
      <c r="G296" s="71" cm="1">
        <f t="array" ref="G296">VLOOKUP(B296,'Player Data'!A1:D673,3,FALSE)</f>
        <v>24</v>
      </c>
      <c r="H296" s="51" cm="1">
        <f t="array" ref="H296">IFERROR(VLOOKUP(B296,ADP!A1:F671,6,FALSE)/1000000,VLOOKUP(B296,ADP!A1:F671,6,FALSE))</f>
        <v>4.0999999999999996</v>
      </c>
      <c r="I296" s="52">
        <f>IF(Settings!$E$15="POINTS",((R296*Q296)*Settings!$B$12)+(S296*Settings!$B$2)+(T296*Settings!$B$3)+(U296*Settings!$B$4)+(V296*Settings!$B$5)+(X296*Settings!$B$9)+(AA296*Settings!$B$6)+(W296*Settings!$B$8)+(AB296*Settings!$B$7)+(AC296*Settings!$B$14)+(AD296*Settings!$B$15)+(AE296*Settings!$B$16)+(AF296*Settings!$B$17)+(AG296*Settings!$B$18)+(Y296*Settings!$B$10)+(Z296*Settings!$B$11),VLOOKUP(B296,'Standard Deviations'!A$1:C$672,3,FALSE))</f>
        <v>3.5095118872038258</v>
      </c>
      <c r="J296" s="53" cm="1">
        <f t="array" ref="J296">IF(D296="G",I296/AJ296,I296/Q296)</f>
        <v>4.2283275749443683E-2</v>
      </c>
      <c r="K296" s="52" cm="1">
        <f t="array" ref="K296">IF(Settings!$E$18="C/LW/RW",VLOOKUP(B296,RW!A1:F210,6,FALSE),VLOOKUP(B296,F!A1:F407,6,FALSE))</f>
        <v>-3.3777227146052518</v>
      </c>
      <c r="L296" s="54" cm="1">
        <f t="array" ref="L296">IFERROR(K296/H296,"N/A")</f>
        <v>-0.82383480844030532</v>
      </c>
      <c r="M296" s="55">
        <v>148.1</v>
      </c>
      <c r="N296" s="55" cm="1">
        <f t="array" ref="N296">IFERROR(M296-A296,"N/A")</f>
        <v>-108.9</v>
      </c>
      <c r="O296" s="55"/>
      <c r="P296" s="56" cm="1">
        <f t="array" ref="P296">_xlfn.XLOOKUP($B296,ADP!A2:A671,ADP!G2:G671)</f>
        <v>0</v>
      </c>
      <c r="Q296" s="57" cm="1">
        <f t="array" ref="Q296">IF(Settings!$E$12="YES",VLOOKUP(B296,'Player Data'!A1:E673,5,FALSE),84)</f>
        <v>83</v>
      </c>
      <c r="R296" s="83" cm="1">
        <f t="array" ref="R296">VLOOKUP(B296,'Player Data'!$A1:$AE673,6,FALSE)</f>
        <v>16.600000000000001</v>
      </c>
      <c r="S296" s="57" cm="1">
        <f t="array" ref="S296">VLOOKUP(B296,'Player Data'!$A1:$AE673,7,FALSE)*$Q296*IFERROR((VLOOKUP(P296,Settings!$E$28:$F$33,2,FALSE)+1),1)</f>
        <v>19.919999999999998</v>
      </c>
      <c r="T296" s="57" cm="1">
        <f t="array" ref="T296">VLOOKUP(B296,'Player Data'!$A1:$AE673,8,FALSE)*$Q296*IFERROR((VLOOKUP(P296,Settings!$E$28:$F$33,2,FALSE)+1),1)</f>
        <v>22.41</v>
      </c>
      <c r="U296" s="57" cm="1">
        <f t="array" ref="U296">SUM(S296:T296)</f>
        <v>42.33</v>
      </c>
      <c r="V296" s="57" cm="1">
        <f t="array" ref="V296">VLOOKUP(B296,'Player Data'!$A1:$AE673,10,FALSE)*$Q296*IFERROR(((VLOOKUP(P296,Settings!$E$28:$F$33,2,FALSE)/2)+1),1)</f>
        <v>190.89999999999998</v>
      </c>
      <c r="W296" s="57" cm="1">
        <f t="array" ref="W296">VLOOKUP(B296,'Player Data'!$A1:$AE673,11,FALSE)*$Q296*IFERROR((VLOOKUP(P296,Settings!$E$28:$F$33,2,FALSE)+1),1)</f>
        <v>2.4899999999999998</v>
      </c>
      <c r="X296" s="57" cm="1">
        <f t="array" ref="X296">VLOOKUP(B296,'Player Data'!$A1:$AE673,12,FALSE)*$Q296*IFERROR((VLOOKUP(P296,Settings!$E$28:$F$33,2,FALSE)+1),1)</f>
        <v>4.9799999999999995</v>
      </c>
      <c r="Y296" s="57" cm="1">
        <f t="array" ref="Y296">VLOOKUP(B296,'Player Data'!$A1:$AE673,13,FALSE)*$Q296</f>
        <v>1.6600000000000001</v>
      </c>
      <c r="Z296" s="57" cm="1">
        <f t="array" ref="Z296">VLOOKUP(B296,'Player Data'!$A1:$AE673,14,FALSE)*$Q296</f>
        <v>1.6600000000000001</v>
      </c>
      <c r="AA296" s="57" cm="1">
        <f t="array" ref="AA296">VLOOKUP(B296,'Player Data'!$A1:$AE673,15,FALSE)*$Q296</f>
        <v>44.82</v>
      </c>
      <c r="AB296" s="57" cm="1">
        <f t="array" ref="AB296">VLOOKUP(B296,'Player Data'!$A1:$AE673,16,FALSE)*$Q296</f>
        <v>188.41</v>
      </c>
      <c r="AC296" s="57" cm="1">
        <f t="array" ref="AC296">VLOOKUP(B296,'Player Data'!$A1:$AE673,17,FALSE)*$Q296*IFERROR((VLOOKUP(P296,Settings!$E$28:$F$33,2,FALSE)+1),1)</f>
        <v>0.83000000000000007</v>
      </c>
      <c r="AD296" s="57" cm="1">
        <f t="array" ref="AD296">VLOOKUP(B296,'Player Data'!$A1:$AE673,18,FALSE)*$Q296</f>
        <v>28.220000000000002</v>
      </c>
      <c r="AE296" s="57" cm="1">
        <f t="array" ref="AE296">VLOOKUP(B296,'Player Data'!$A1:$AE673,19,FALSE)*$Q296*IFERROR((VLOOKUP(P296,Settings!$E$28:$F$33,2,FALSE)+1),1)</f>
        <v>3.3200000000000003</v>
      </c>
      <c r="AF296" s="57" cm="1">
        <f t="array" ref="AF296">VLOOKUP(B296,'Player Data'!$A1:$AE673,20,FALSE)*$Q296</f>
        <v>146.08000000000001</v>
      </c>
      <c r="AG296" s="57" cm="1">
        <f t="array" ref="AG296">VLOOKUP(B296,'Player Data'!$A1:$AE673,21,FALSE)*$Q296</f>
        <v>195.05</v>
      </c>
      <c r="AH296" s="59" cm="1">
        <f t="array" ref="AH296">VLOOKUP(B296,'Player Data'!$A1:$AE673,22,FALSE)</f>
        <v>0.43</v>
      </c>
      <c r="AI296" s="55"/>
      <c r="AJ296" s="57"/>
      <c r="AK296" s="57"/>
      <c r="AL296" s="57"/>
      <c r="AM296" s="57"/>
      <c r="AN296" s="57"/>
      <c r="AO296" s="57"/>
      <c r="AP296" s="57"/>
      <c r="AQ296" s="60"/>
      <c r="AR296" s="61"/>
      <c r="AS296" s="55"/>
    </row>
    <row r="297" spans="1:45" ht="21.25" customHeight="1" x14ac:dyDescent="0.15">
      <c r="A297" s="62">
        <f>RANK(K297,K$2:K$671)</f>
        <v>306</v>
      </c>
      <c r="B297" s="10" t="s">
        <v>604</v>
      </c>
      <c r="C297" s="47" t="s">
        <v>145</v>
      </c>
      <c r="D297" s="48" t="str" cm="1">
        <f t="array" ref="D297">VLOOKUP(B297,'Player Data'!A1:D673,4,FALSE)</f>
        <v>G</v>
      </c>
      <c r="E297" s="76" cm="1">
        <f t="array" ref="E297">VLOOKUP(B297,G!A1:D66,3,FALSE)</f>
        <v>45</v>
      </c>
      <c r="F297" s="50" t="str" cm="1">
        <f t="array" ref="F297">VLOOKUP(B297,'Player Data'!A1:B673,2,FALSE)</f>
        <v>UTA</v>
      </c>
      <c r="G297" s="71" cm="1">
        <f t="array" ref="G297">VLOOKUP(B297,'Player Data'!A1:D673,3,FALSE)</f>
        <v>23</v>
      </c>
      <c r="H297" s="51" cm="1">
        <f t="array" ref="H297">IFERROR(VLOOKUP(B297,ADP!A1:F671,6,FALSE)/1000000,VLOOKUP(B297,ADP!A1:F671,6,FALSE))</f>
        <v>2</v>
      </c>
      <c r="I297" s="52">
        <f>IF(Settings!$E$15="POINTS",(AJ297*Settings!$B$29)+(AK297*Settings!$B$21)+(AL297*Settings!$B$22)+(AN297*Settings!$B$24)+(AO297*Settings!$B$25)+(AP297*Settings!$B$27)+(AM297*Settings!$B$23),VLOOKUP(B297,'Standard Deviations'!A$1:C$672,3,FALSE))</f>
        <v>-2.0953734431074631</v>
      </c>
      <c r="J297" s="53" cm="1">
        <f t="array" ref="J297">IF(D297="G",I297/AJ297,I297/Q297)</f>
        <v>-8.381493772429853E-2</v>
      </c>
      <c r="K297" s="52" cm="1">
        <f t="array" ref="K297">VLOOKUP(B297,G!A1:F66,6,FALSE)</f>
        <v>-4.133558702231138</v>
      </c>
      <c r="L297" s="54" cm="1">
        <f t="array" ref="L297">IFERROR(K297/H297,"N/A")</f>
        <v>-2.066779351115569</v>
      </c>
      <c r="M297" s="84" t="s">
        <v>828</v>
      </c>
      <c r="N297" s="84" t="str" cm="1">
        <f t="array" ref="N297">IFERROR(M297-A297,"N/A")</f>
        <v>N/A</v>
      </c>
      <c r="O297" s="55"/>
      <c r="P297" s="56" t="str" cm="1">
        <f t="array" ref="P297">_xlfn.XLOOKUP($B297,ADP!A2:A671,ADP!G2:G671)</f>
        <v>+</v>
      </c>
      <c r="Q297" s="57"/>
      <c r="R297" s="55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9"/>
      <c r="AI297" s="55"/>
      <c r="AJ297" s="77" cm="1">
        <f t="array" ref="AJ297">VLOOKUP(B297,'Player Data'!$A1:$AE673,24,FALSE)</f>
        <v>25</v>
      </c>
      <c r="AK297" s="57" cm="1">
        <f t="array" ref="AK297">VLOOKUP(B297,'Player Data'!$A1:$AE673,25,FALSE)*$AJ297*IFERROR((VLOOKUP(P297,Settings!$E$28:$F$33,2,FALSE)+1),1)</f>
        <v>13.387500000000001</v>
      </c>
      <c r="AL297" s="57" cm="1">
        <f t="array" ref="AL297">AJ297-AK297-AM297</f>
        <v>8.6124999999999989</v>
      </c>
      <c r="AM297" s="57" cm="1">
        <f t="array" ref="AM297">VLOOKUP(B297,'Player Data'!$A1:$AE673,27,FALSE)*$AJ297</f>
        <v>3</v>
      </c>
      <c r="AN297" s="57" cm="1">
        <f t="array" ref="AN297">VLOOKUP(B297,'Player Data'!$A1:$AE673,28,FALSE)*AJ297</f>
        <v>1.25</v>
      </c>
      <c r="AO297" s="57" cm="1">
        <f t="array" ref="AO297">VLOOKUP(B297,'Player Data'!$A1:$AE673,29,FALSE)*$AJ297*IFERROR((VLOOKUP(P297,Settings!$E$28:$F$33,2,FALSE)/4)+1,1)</f>
        <v>655.59375</v>
      </c>
      <c r="AP297" s="57" cm="1">
        <f t="array" ref="AP297">VLOOKUP(B297,'Player Data'!$A1:$AE673,31,FALSE)*$AJ297*(IFERROR(1-(VLOOKUP(P297,Settings!$E$28:$F$33,2,FALSE)/4),1))</f>
        <v>72.828125</v>
      </c>
      <c r="AQ297" s="60" cm="1">
        <f t="array" ref="AQ297">1-(AP297/(AO297+AP297))</f>
        <v>0.90001930543340702</v>
      </c>
      <c r="AR297" s="61" cm="1">
        <f t="array" ref="AR297">AP297/AJ297</f>
        <v>2.913125</v>
      </c>
      <c r="AS297" s="55"/>
    </row>
    <row r="298" spans="1:45" ht="21.25" customHeight="1" x14ac:dyDescent="0.15">
      <c r="A298" s="62">
        <f>RANK(K298,K$2:K$671)</f>
        <v>318</v>
      </c>
      <c r="B298" s="10" t="s">
        <v>481</v>
      </c>
      <c r="C298" s="47" t="s">
        <v>145</v>
      </c>
      <c r="D298" s="48" t="str" cm="1">
        <f t="array" ref="D298">VLOOKUP(B298,'Player Data'!A1:D673,4,FALSE)</f>
        <v>D</v>
      </c>
      <c r="E298" s="68" cm="1">
        <f t="array" ref="E298">VLOOKUP(B298,D!A1:C204,3,FALSE)</f>
        <v>151</v>
      </c>
      <c r="F298" s="50" t="str" cm="1">
        <f t="array" ref="F298">VLOOKUP(B298,'Player Data'!A1:B673,2,FALSE)</f>
        <v>ANA</v>
      </c>
      <c r="G298" s="71" cm="1">
        <f t="array" ref="G298">VLOOKUP(B298,'Player Data'!A1:D673,3,FALSE)</f>
        <v>20</v>
      </c>
      <c r="H298" s="51" cm="1">
        <f t="array" ref="H298">IFERROR(VLOOKUP(B298,ADP!A1:F671,6,FALSE)/1000000,VLOOKUP(B298,ADP!A1:F671,6,FALSE))</f>
        <v>0.86499999999999999</v>
      </c>
      <c r="I298" s="52">
        <f>IF(Settings!$E$15="POINTS",((R298*Q298)*Settings!$B$12)+(S298*Settings!$B$2)+(T298*Settings!$B$3)+(U298*Settings!$B$4)+(V298*Settings!$B$5)+(X298*Settings!$B$9)+(AA298*Settings!$B$6)+(W298*Settings!$B$8)+(AB298*Settings!$B$7)+(AC298*Settings!$B$14)+(AD298*Settings!$B$15)+(AE298*Settings!$B$16)+(AF298*Settings!$B$17)+(AG298*Settings!$B$18)+(U298*Settings!$B$13)+(Y298*Settings!$B$10)+(Z298*Settings!$B$11),VLOOKUP(B298,'Standard Deviations'!A$1:C$672,3,FALSE))</f>
        <v>-3.7869636785873473</v>
      </c>
      <c r="J298" s="53" cm="1">
        <f t="array" ref="J298">IF(D298="G",I298/AJ298,I298/Q298)</f>
        <v>-5.5690642332166869E-2</v>
      </c>
      <c r="K298" s="52" cm="1">
        <f t="array" ref="K298">VLOOKUP(B298,D!A1:F204,6,FALSE)</f>
        <v>-4.3538145931049019</v>
      </c>
      <c r="L298" s="54" cm="1">
        <f t="array" ref="L298">IFERROR(K298/H298,"N/A")</f>
        <v>-5.0333116683293664</v>
      </c>
      <c r="M298" s="84" t="s">
        <v>828</v>
      </c>
      <c r="N298" s="84" t="str" cm="1">
        <f t="array" ref="N298">IFERROR(M298-A298,"N/A")</f>
        <v>N/A</v>
      </c>
      <c r="O298" s="55"/>
      <c r="P298" s="56" cm="1">
        <f t="array" ref="P298">_xlfn.XLOOKUP($B298,ADP!A2:A671,ADP!G2:G671)</f>
        <v>0</v>
      </c>
      <c r="Q298" s="57" cm="1">
        <f t="array" ref="Q298">IF(Settings!$E$12="YES",VLOOKUP(B298,'Player Data'!A1:E673,5,FALSE),84)</f>
        <v>68</v>
      </c>
      <c r="R298" s="81" cm="1">
        <f t="array" ref="R298">VLOOKUP(B298,'Player Data'!$A1:$AE673,6,FALSE)</f>
        <v>16.899999999999999</v>
      </c>
      <c r="S298" s="57" cm="1">
        <f t="array" ref="S298">VLOOKUP(B298,'Player Data'!$A1:$AE673,7,FALSE)*$Q298*IFERROR((VLOOKUP(P298,Settings!$E$28:$F$33,2,FALSE)+1),1)</f>
        <v>6.8000000000000007</v>
      </c>
      <c r="T298" s="57" cm="1">
        <f t="array" ref="T298">VLOOKUP(B298,'Player Data'!$A1:$AE673,8,FALSE)*$Q298*IFERROR((VLOOKUP(P298,Settings!$E$28:$F$33,2,FALSE)+1),1)</f>
        <v>14.96</v>
      </c>
      <c r="U298" s="57" cm="1">
        <f t="array" ref="U298">SUM(S298:T298)</f>
        <v>21.76</v>
      </c>
      <c r="V298" s="57" cm="1">
        <f t="array" ref="V298">VLOOKUP(B298,'Player Data'!$A1:$AE673,10,FALSE)*$Q298*IFERROR(((VLOOKUP(P298,Settings!$E$28:$F$33,2,FALSE)/2)+1),1)</f>
        <v>90.44</v>
      </c>
      <c r="W298" s="57" cm="1">
        <f t="array" ref="W298">VLOOKUP(B298,'Player Data'!$A1:$AE673,11,FALSE)*$Q298*IFERROR((VLOOKUP(P298,Settings!$E$28:$F$33,2,FALSE)+1),1)</f>
        <v>0</v>
      </c>
      <c r="X298" s="57" cm="1">
        <f t="array" ref="X298">VLOOKUP(B298,'Player Data'!$A1:$AE673,12,FALSE)*$Q298*IFERROR((VLOOKUP(P298,Settings!$E$28:$F$33,2,FALSE)+1),1)</f>
        <v>1.36</v>
      </c>
      <c r="Y298" s="57" cm="1">
        <f t="array" ref="Y298">VLOOKUP(B298,'Player Data'!$A1:$AE673,13,FALSE)*$Q298</f>
        <v>0</v>
      </c>
      <c r="Z298" s="57" cm="1">
        <f t="array" ref="Z298">VLOOKUP(B298,'Player Data'!$A1:$AE673,14,FALSE)*$Q298</f>
        <v>0</v>
      </c>
      <c r="AA298" s="57" cm="1">
        <f t="array" ref="AA298">VLOOKUP(B298,'Player Data'!$A1:$AE673,15,FALSE)*$Q298</f>
        <v>85.68</v>
      </c>
      <c r="AB298" s="57" cm="1">
        <f t="array" ref="AB298">VLOOKUP(B298,'Player Data'!$A1:$AE673,16,FALSE)*$Q298</f>
        <v>61.88</v>
      </c>
      <c r="AC298" s="57" cm="1">
        <f t="array" ref="AC298">VLOOKUP(B298,'Player Data'!$A1:$AE673,17,FALSE)*$Q298*IFERROR((VLOOKUP(P298,Settings!$E$28:$F$33,2,FALSE)+1),1)</f>
        <v>-2.72</v>
      </c>
      <c r="AD298" s="57" cm="1">
        <f t="array" ref="AD298">VLOOKUP(B298,'Player Data'!$A1:$AE673,18,FALSE)*$Q298</f>
        <v>25.16</v>
      </c>
      <c r="AE298" s="57" cm="1">
        <f t="array" ref="AE298">VLOOKUP(B298,'Player Data'!$A1:$AE673,19,FALSE)*$Q298*IFERROR((VLOOKUP(P298,Settings!$E$28:$F$33,2,FALSE)+1),1)</f>
        <v>0.68</v>
      </c>
      <c r="AF298" s="57" cm="1">
        <f t="array" ref="AF298">VLOOKUP(B298,'Player Data'!$A1:$AE673,20,FALSE)*$Q298</f>
        <v>0</v>
      </c>
      <c r="AG298" s="57" cm="1">
        <f t="array" ref="AG298">VLOOKUP(B298,'Player Data'!$A1:$AE673,21,FALSE)*$Q298</f>
        <v>0</v>
      </c>
      <c r="AH298" s="59" cm="1">
        <f t="array" ref="AH298">VLOOKUP(B298,'Player Data'!$A1:$AE673,22,FALSE)</f>
        <v>0</v>
      </c>
      <c r="AI298" s="55"/>
      <c r="AJ298" s="57"/>
      <c r="AK298" s="57"/>
      <c r="AL298" s="57"/>
      <c r="AM298" s="57"/>
      <c r="AN298" s="57"/>
      <c r="AO298" s="57"/>
      <c r="AP298" s="57"/>
      <c r="AQ298" s="60"/>
      <c r="AR298" s="61"/>
      <c r="AS298" s="55"/>
    </row>
    <row r="299" spans="1:45" ht="21.25" customHeight="1" x14ac:dyDescent="0.15">
      <c r="A299" s="62">
        <f>RANK(K299,K$2:K$671)</f>
        <v>319</v>
      </c>
      <c r="B299" s="10" t="s">
        <v>408</v>
      </c>
      <c r="C299" s="47" t="s">
        <v>145</v>
      </c>
      <c r="D299" s="48" t="str" cm="1">
        <f t="array" ref="D299">VLOOKUP(B299,'Player Data'!A1:D673,4,FALSE)</f>
        <v>D</v>
      </c>
      <c r="E299" s="68" cm="1">
        <f t="array" ref="E299">VLOOKUP(B299,D!A1:C204,3,FALSE)</f>
        <v>152</v>
      </c>
      <c r="F299" s="72" t="str" cm="1">
        <f t="array" ref="F299">VLOOKUP(B299,'Player Data'!A1:B673,2,FALSE)</f>
        <v>NYI</v>
      </c>
      <c r="G299" s="66" cm="1">
        <f t="array" ref="G299">VLOOKUP(B299,'Player Data'!A1:D673,3,FALSE)</f>
        <v>32</v>
      </c>
      <c r="H299" s="51" cm="1">
        <f t="array" ref="H299">IFERROR(VLOOKUP(B299,ADP!A1:F671,6,FALSE)/1000000,VLOOKUP(B299,ADP!A1:F671,6,FALSE))</f>
        <v>5.75</v>
      </c>
      <c r="I299" s="52">
        <f>IF(Settings!$E$15="POINTS",((R299*Q299)*Settings!$B$12)+(S299*Settings!$B$2)+(T299*Settings!$B$3)+(U299*Settings!$B$4)+(V299*Settings!$B$5)+(X299*Settings!$B$9)+(AA299*Settings!$B$6)+(W299*Settings!$B$8)+(AB299*Settings!$B$7)+(AC299*Settings!$B$14)+(AD299*Settings!$B$15)+(AE299*Settings!$B$16)+(AF299*Settings!$B$17)+(AG299*Settings!$B$18)+(U299*Settings!$B$13)+(Y299*Settings!$B$10)+(Z299*Settings!$B$11),VLOOKUP(B299,'Standard Deviations'!A$1:C$672,3,FALSE))</f>
        <v>-3.7901172691849743</v>
      </c>
      <c r="J299" s="53" cm="1">
        <f t="array" ref="J299">IF(D299="G",I299/AJ299,I299/Q299)</f>
        <v>-4.797616796436676E-2</v>
      </c>
      <c r="K299" s="52" cm="1">
        <f t="array" ref="K299">VLOOKUP(B299,D!A1:F204,6,FALSE)</f>
        <v>-4.3569681837025289</v>
      </c>
      <c r="L299" s="54" cm="1">
        <f t="array" ref="L299">IFERROR(K299/H299,"N/A")</f>
        <v>-0.75773359716565725</v>
      </c>
      <c r="M299" s="84" t="s">
        <v>828</v>
      </c>
      <c r="N299" s="84" t="str" cm="1">
        <f t="array" ref="N299">IFERROR(M299-A299,"N/A")</f>
        <v>N/A</v>
      </c>
      <c r="O299" s="55"/>
      <c r="P299" s="56" cm="1">
        <f t="array" ref="P299">_xlfn.XLOOKUP($B299,ADP!A2:A671,ADP!G2:G671)</f>
        <v>0</v>
      </c>
      <c r="Q299" s="57" cm="1">
        <f t="array" ref="Q299">IF(Settings!$E$12="YES",VLOOKUP(B299,'Player Data'!A1:E673,5,FALSE),84)</f>
        <v>79</v>
      </c>
      <c r="R299" s="55" cm="1">
        <f t="array" ref="R299">VLOOKUP(B299,'Player Data'!$A1:$AE673,6,FALSE)</f>
        <v>20.9</v>
      </c>
      <c r="S299" s="57" cm="1">
        <f t="array" ref="S299">VLOOKUP(B299,'Player Data'!$A1:$AE673,7,FALSE)*$Q299*IFERROR((VLOOKUP(P299,Settings!$E$28:$F$33,2,FALSE)+1),1)</f>
        <v>1.58</v>
      </c>
      <c r="T299" s="57" cm="1">
        <f t="array" ref="T299">VLOOKUP(B299,'Player Data'!$A1:$AE673,8,FALSE)*$Q299*IFERROR((VLOOKUP(P299,Settings!$E$28:$F$33,2,FALSE)+1),1)</f>
        <v>17.38</v>
      </c>
      <c r="U299" s="57" cm="1">
        <f t="array" ref="U299">SUM(S299:T299)</f>
        <v>18.96</v>
      </c>
      <c r="V299" s="57" cm="1">
        <f t="array" ref="V299">VLOOKUP(B299,'Player Data'!$A1:$AE673,10,FALSE)*$Q299*IFERROR(((VLOOKUP(P299,Settings!$E$28:$F$33,2,FALSE)/2)+1),1)</f>
        <v>107.44000000000001</v>
      </c>
      <c r="W299" s="57" cm="1">
        <f t="array" ref="W299">VLOOKUP(B299,'Player Data'!$A1:$AE673,11,FALSE)*$Q299*IFERROR((VLOOKUP(P299,Settings!$E$28:$F$33,2,FALSE)+1),1)</f>
        <v>0</v>
      </c>
      <c r="X299" s="57" cm="1">
        <f t="array" ref="X299">VLOOKUP(B299,'Player Data'!$A1:$AE673,12,FALSE)*$Q299*IFERROR((VLOOKUP(P299,Settings!$E$28:$F$33,2,FALSE)+1),1)</f>
        <v>0</v>
      </c>
      <c r="Y299" s="57" cm="1">
        <f t="array" ref="Y299">VLOOKUP(B299,'Player Data'!$A1:$AE673,13,FALSE)*$Q299</f>
        <v>0</v>
      </c>
      <c r="Z299" s="57" cm="1">
        <f t="array" ref="Z299">VLOOKUP(B299,'Player Data'!$A1:$AE673,14,FALSE)*$Q299</f>
        <v>0.79</v>
      </c>
      <c r="AA299" s="57" cm="1">
        <f t="array" ref="AA299">VLOOKUP(B299,'Player Data'!$A1:$AE673,15,FALSE)*$Q299</f>
        <v>126.4</v>
      </c>
      <c r="AB299" s="57" cm="1">
        <f t="array" ref="AB299">VLOOKUP(B299,'Player Data'!$A1:$AE673,16,FALSE)*$Q299</f>
        <v>75.84</v>
      </c>
      <c r="AC299" s="57" cm="1">
        <f t="array" ref="AC299">VLOOKUP(B299,'Player Data'!$A1:$AE673,17,FALSE)*$Q299*IFERROR((VLOOKUP(P299,Settings!$E$28:$F$33,2,FALSE)+1),1)</f>
        <v>-3.16</v>
      </c>
      <c r="AD299" s="57" cm="1">
        <f t="array" ref="AD299">VLOOKUP(B299,'Player Data'!$A1:$AE673,18,FALSE)*$Q299</f>
        <v>43.45</v>
      </c>
      <c r="AE299" s="57" cm="1">
        <f t="array" ref="AE299">VLOOKUP(B299,'Player Data'!$A1:$AE673,19,FALSE)*$Q299*IFERROR((VLOOKUP(P299,Settings!$E$28:$F$33,2,FALSE)+1),1)</f>
        <v>0</v>
      </c>
      <c r="AF299" s="57" cm="1">
        <f t="array" ref="AF299">VLOOKUP(B299,'Player Data'!$A1:$AE673,20,FALSE)*$Q299</f>
        <v>0</v>
      </c>
      <c r="AG299" s="57" cm="1">
        <f t="array" ref="AG299">VLOOKUP(B299,'Player Data'!$A1:$AE673,21,FALSE)*$Q299</f>
        <v>0</v>
      </c>
      <c r="AH299" s="59" cm="1">
        <f t="array" ref="AH299">VLOOKUP(B299,'Player Data'!$A1:$AE673,22,FALSE)</f>
        <v>0</v>
      </c>
      <c r="AI299" s="55"/>
      <c r="AJ299" s="57"/>
      <c r="AK299" s="57"/>
      <c r="AL299" s="57"/>
      <c r="AM299" s="57"/>
      <c r="AN299" s="57"/>
      <c r="AO299" s="57"/>
      <c r="AP299" s="57"/>
      <c r="AQ299" s="60"/>
      <c r="AR299" s="61"/>
      <c r="AS299" s="55"/>
    </row>
    <row r="300" spans="1:45" ht="21.25" customHeight="1" x14ac:dyDescent="0.15">
      <c r="A300" s="62">
        <f>RANK(K300,K$2:K$671)</f>
        <v>320</v>
      </c>
      <c r="B300" s="10" t="s">
        <v>323</v>
      </c>
      <c r="C300" s="47" t="s">
        <v>145</v>
      </c>
      <c r="D300" s="48" t="str" cm="1">
        <f t="array" ref="D300">VLOOKUP(B300,'Player Data'!A1:D673,4,FALSE)</f>
        <v>D</v>
      </c>
      <c r="E300" s="68" cm="1">
        <f t="array" ref="E300">VLOOKUP(B300,D!A1:C204,3,FALSE)</f>
        <v>153</v>
      </c>
      <c r="F300" s="56" t="str" cm="1">
        <f t="array" ref="F300">VLOOKUP(B300,'Player Data'!A1:B673,2,FALSE)</f>
        <v>CHI</v>
      </c>
      <c r="G300" s="71" cm="1">
        <f t="array" ref="G300">VLOOKUP(B300,'Player Data'!A1:D673,3,FALSE)</f>
        <v>20</v>
      </c>
      <c r="H300" s="51" cm="1">
        <f t="array" ref="H300">IFERROR(VLOOKUP(B300,ADP!A1:F671,6,FALSE)/1000000,VLOOKUP(B300,ADP!A1:F671,6,FALSE))</f>
        <v>0.97499999999999998</v>
      </c>
      <c r="I300" s="52">
        <f>IF(Settings!$E$15="POINTS",((R300*Q300)*Settings!$B$12)+(S300*Settings!$B$2)+(T300*Settings!$B$3)+(U300*Settings!$B$4)+(V300*Settings!$B$5)+(X300*Settings!$B$9)+(AA300*Settings!$B$6)+(W300*Settings!$B$8)+(AB300*Settings!$B$7)+(AC300*Settings!$B$14)+(AD300*Settings!$B$15)+(AE300*Settings!$B$16)+(AF300*Settings!$B$17)+(AG300*Settings!$B$18)+(U300*Settings!$B$13)+(Y300*Settings!$B$10)+(Z300*Settings!$B$11),VLOOKUP(B300,'Standard Deviations'!A$1:C$672,3,FALSE))</f>
        <v>-3.8184518076418406</v>
      </c>
      <c r="J300" s="53" cm="1">
        <f t="array" ref="J300">IF(D300="G",I300/AJ300,I300/Q300)</f>
        <v>-4.8954510354382572E-2</v>
      </c>
      <c r="K300" s="52" cm="1">
        <f t="array" ref="K300">VLOOKUP(B300,D!A1:F204,6,FALSE)</f>
        <v>-4.3853027221593948</v>
      </c>
      <c r="L300" s="54" cm="1">
        <f t="array" ref="L300">IFERROR(K300/H300,"N/A")</f>
        <v>-4.4977463817019432</v>
      </c>
      <c r="M300" s="84" t="s">
        <v>828</v>
      </c>
      <c r="N300" s="84" t="str" cm="1">
        <f t="array" ref="N300">IFERROR(M300-A300,"N/A")</f>
        <v>N/A</v>
      </c>
      <c r="O300" s="55"/>
      <c r="P300" s="56" cm="1">
        <f t="array" ref="P300">_xlfn.XLOOKUP($B300,ADP!A2:A671,ADP!G2:G671)</f>
        <v>0</v>
      </c>
      <c r="Q300" s="57" cm="1">
        <f t="array" ref="Q300">IF(Settings!$E$12="YES",VLOOKUP(B300,'Player Data'!A1:E673,5,FALSE),84)</f>
        <v>78</v>
      </c>
      <c r="R300" s="81" cm="1">
        <f t="array" ref="R300">VLOOKUP(B300,'Player Data'!$A1:$AE673,6,FALSE)</f>
        <v>20.8</v>
      </c>
      <c r="S300" s="57" cm="1">
        <f t="array" ref="S300">VLOOKUP(B300,'Player Data'!$A1:$AE673,7,FALSE)*$Q300*IFERROR((VLOOKUP(P300,Settings!$E$28:$F$33,2,FALSE)+1),1)</f>
        <v>4.68</v>
      </c>
      <c r="T300" s="57" cm="1">
        <f t="array" ref="T300">VLOOKUP(B300,'Player Data'!$A1:$AE673,8,FALSE)*$Q300*IFERROR((VLOOKUP(P300,Settings!$E$28:$F$33,2,FALSE)+1),1)</f>
        <v>22.619999999999997</v>
      </c>
      <c r="U300" s="57" cm="1">
        <f t="array" ref="U300">SUM(S300:T300)</f>
        <v>27.299999999999997</v>
      </c>
      <c r="V300" s="57" cm="1">
        <f t="array" ref="V300">VLOOKUP(B300,'Player Data'!$A1:$AE673,10,FALSE)*$Q300*IFERROR(((VLOOKUP(P300,Settings!$E$28:$F$33,2,FALSE)/2)+1),1)</f>
        <v>110.75999999999999</v>
      </c>
      <c r="W300" s="57" cm="1">
        <f t="array" ref="W300">VLOOKUP(B300,'Player Data'!$A1:$AE673,11,FALSE)*$Q300*IFERROR((VLOOKUP(P300,Settings!$E$28:$F$33,2,FALSE)+1),1)</f>
        <v>0.78</v>
      </c>
      <c r="X300" s="57" cm="1">
        <f t="array" ref="X300">VLOOKUP(B300,'Player Data'!$A1:$AE673,12,FALSE)*$Q300*IFERROR((VLOOKUP(P300,Settings!$E$28:$F$33,2,FALSE)+1),1)</f>
        <v>4.68</v>
      </c>
      <c r="Y300" s="57" cm="1">
        <f t="array" ref="Y300">VLOOKUP(B300,'Player Data'!$A1:$AE673,13,FALSE)*$Q300</f>
        <v>0</v>
      </c>
      <c r="Z300" s="57" cm="1">
        <f t="array" ref="Z300">VLOOKUP(B300,'Player Data'!$A1:$AE673,14,FALSE)*$Q300</f>
        <v>0</v>
      </c>
      <c r="AA300" s="57" cm="1">
        <f t="array" ref="AA300">VLOOKUP(B300,'Player Data'!$A1:$AE673,15,FALSE)*$Q300</f>
        <v>97.5</v>
      </c>
      <c r="AB300" s="57" cm="1">
        <f t="array" ref="AB300">VLOOKUP(B300,'Player Data'!$A1:$AE673,16,FALSE)*$Q300</f>
        <v>106.08000000000001</v>
      </c>
      <c r="AC300" s="57" cm="1">
        <f t="array" ref="AC300">VLOOKUP(B300,'Player Data'!$A1:$AE673,17,FALSE)*$Q300*IFERROR((VLOOKUP(P300,Settings!$E$28:$F$33,2,FALSE)+1),1)</f>
        <v>-11.7</v>
      </c>
      <c r="AD300" s="57" cm="1">
        <f t="array" ref="AD300">VLOOKUP(B300,'Player Data'!$A1:$AE673,18,FALSE)*$Q300</f>
        <v>46.8</v>
      </c>
      <c r="AE300" s="57" cm="1">
        <f t="array" ref="AE300">VLOOKUP(B300,'Player Data'!$A1:$AE673,19,FALSE)*$Q300*IFERROR((VLOOKUP(P300,Settings!$E$28:$F$33,2,FALSE)+1),1)</f>
        <v>0.78</v>
      </c>
      <c r="AF300" s="57" cm="1">
        <f t="array" ref="AF300">VLOOKUP(B300,'Player Data'!$A1:$AE673,20,FALSE)*$Q300</f>
        <v>0</v>
      </c>
      <c r="AG300" s="57" cm="1">
        <f t="array" ref="AG300">VLOOKUP(B300,'Player Data'!$A1:$AE673,21,FALSE)*$Q300</f>
        <v>0</v>
      </c>
      <c r="AH300" s="59" cm="1">
        <f t="array" ref="AH300">VLOOKUP(B300,'Player Data'!$A1:$AE673,22,FALSE)</f>
        <v>0</v>
      </c>
      <c r="AI300" s="55"/>
      <c r="AJ300" s="57"/>
      <c r="AK300" s="57"/>
      <c r="AL300" s="57"/>
      <c r="AM300" s="57"/>
      <c r="AN300" s="57"/>
      <c r="AO300" s="57"/>
      <c r="AP300" s="57"/>
      <c r="AQ300" s="60"/>
      <c r="AR300" s="61"/>
      <c r="AS300" s="55"/>
    </row>
    <row r="301" spans="1:45" ht="21.25" customHeight="1" x14ac:dyDescent="0.15">
      <c r="A301" s="62">
        <f>RANK(K301,K$2:K$671)</f>
        <v>266</v>
      </c>
      <c r="B301" s="10" t="s">
        <v>250</v>
      </c>
      <c r="C301" s="47" t="s">
        <v>145</v>
      </c>
      <c r="D301" s="48" t="str" cm="1">
        <f t="array" ref="D301">VLOOKUP(B301,'Player Data'!A1:D673,4,FALSE)</f>
        <v>C,RW</v>
      </c>
      <c r="E301" s="74" cm="1">
        <f t="array" ref="E301">VLOOKUP(B301,RW!A1:F210,3,FALSE)</f>
        <v>61</v>
      </c>
      <c r="F301" s="72" t="str" cm="1">
        <f t="array" ref="F301">VLOOKUP(B301,'Player Data'!A1:B673,2,FALSE)</f>
        <v>NYI</v>
      </c>
      <c r="G301" s="11" cm="1">
        <f t="array" ref="G301">VLOOKUP(B301,'Player Data'!A1:D673,3,FALSE)</f>
        <v>29</v>
      </c>
      <c r="H301" s="51" cm="1">
        <f t="array" ref="H301">IFERROR(VLOOKUP(B301,ADP!A1:F671,6,FALSE)/1000000,VLOOKUP(B301,ADP!A1:F671,6,FALSE))</f>
        <v>9.15</v>
      </c>
      <c r="I301" s="52">
        <f>IF(Settings!$E$15="POINTS",((R301*Q301)*Settings!$B$12)+(S301*Settings!$B$2)+(T301*Settings!$B$3)+(U301*Settings!$B$4)+(V301*Settings!$B$5)+(X301*Settings!$B$9)+(AA301*Settings!$B$6)+(W301*Settings!$B$8)+(AB301*Settings!$B$7)+(AC301*Settings!$B$14)+(AD301*Settings!$B$15)+(AE301*Settings!$B$16)+(AF301*Settings!$B$17)+(AG301*Settings!$B$18)+(Y301*Settings!$B$10)+(Z301*Settings!$B$11),VLOOKUP(B301,'Standard Deviations'!A$1:C$672,3,FALSE))</f>
        <v>3.3482307644787275</v>
      </c>
      <c r="J301" s="53" cm="1">
        <f t="array" ref="J301">IF(D301="G",I301/AJ301,I301/Q301)</f>
        <v>4.3483516421801656E-2</v>
      </c>
      <c r="K301" s="52" cm="1">
        <f t="array" ref="K301">IF(Settings!$E$18="C/LW/RW",VLOOKUP(B301,RW!A1:F210,6,FALSE),VLOOKUP(B301,F!A1:F407,6,FALSE))</f>
        <v>-3.5390038373303501</v>
      </c>
      <c r="L301" s="54" cm="1">
        <f t="array" ref="L301">IFERROR(K301/H301,"N/A")</f>
        <v>-0.38677637566451911</v>
      </c>
      <c r="M301" s="55">
        <v>144.1</v>
      </c>
      <c r="N301" s="55" cm="1">
        <f t="array" ref="N301">IFERROR(M301-A301,"N/A")</f>
        <v>-121.9</v>
      </c>
      <c r="O301" s="55"/>
      <c r="P301" s="56" cm="1">
        <f t="array" ref="P301">_xlfn.XLOOKUP($B301,ADP!A2:A671,ADP!G2:G671)</f>
        <v>0</v>
      </c>
      <c r="Q301" s="57" cm="1">
        <f t="array" ref="Q301">IF(Settings!$E$12="YES",VLOOKUP(B301,'Player Data'!A1:E673,5,FALSE),84)</f>
        <v>77</v>
      </c>
      <c r="R301" s="55" cm="1">
        <f t="array" ref="R301">VLOOKUP(B301,'Player Data'!$A1:$AE673,6,FALSE)</f>
        <v>20.6</v>
      </c>
      <c r="S301" s="57" cm="1">
        <f t="array" ref="S301">VLOOKUP(B301,'Player Data'!$A1:$AE673,7,FALSE)*$Q301*IFERROR((VLOOKUP(P301,Settings!$E$28:$F$33,2,FALSE)+1),1)</f>
        <v>19.25</v>
      </c>
      <c r="T301" s="57" cm="1">
        <f t="array" ref="T301">VLOOKUP(B301,'Player Data'!$A1:$AE673,8,FALSE)*$Q301*IFERROR((VLOOKUP(P301,Settings!$E$28:$F$33,2,FALSE)+1),1)</f>
        <v>49.28</v>
      </c>
      <c r="U301" s="57" cm="1">
        <f t="array" ref="U301">SUM(S301:T301)</f>
        <v>68.53</v>
      </c>
      <c r="V301" s="57" cm="1">
        <f t="array" ref="V301">VLOOKUP(B301,'Player Data'!$A1:$AE673,10,FALSE)*$Q301*IFERROR(((VLOOKUP(P301,Settings!$E$28:$F$33,2,FALSE)/2)+1),1)</f>
        <v>188.65</v>
      </c>
      <c r="W301" s="58" cm="1">
        <f t="array" ref="W301">VLOOKUP(B301,'Player Data'!$A1:$AE673,11,FALSE)*$Q301*IFERROR((VLOOKUP(P301,Settings!$E$28:$F$33,2,FALSE)+1),1)</f>
        <v>3.08</v>
      </c>
      <c r="X301" s="57" cm="1">
        <f t="array" ref="X301">VLOOKUP(B301,'Player Data'!$A1:$AE673,12,FALSE)*$Q301*IFERROR((VLOOKUP(P301,Settings!$E$28:$F$33,2,FALSE)+1),1)</f>
        <v>18.48</v>
      </c>
      <c r="Y301" s="57" cm="1">
        <f t="array" ref="Y301">VLOOKUP(B301,'Player Data'!$A1:$AE673,13,FALSE)*$Q301</f>
        <v>0</v>
      </c>
      <c r="Z301" s="57" cm="1">
        <f t="array" ref="Z301">VLOOKUP(B301,'Player Data'!$A1:$AE673,14,FALSE)*$Q301</f>
        <v>0</v>
      </c>
      <c r="AA301" s="57" cm="1">
        <f t="array" ref="AA301">VLOOKUP(B301,'Player Data'!$A1:$AE673,15,FALSE)*$Q301</f>
        <v>48.51</v>
      </c>
      <c r="AB301" s="57" cm="1">
        <f t="array" ref="AB301">VLOOKUP(B301,'Player Data'!$A1:$AE673,16,FALSE)*$Q301</f>
        <v>36.19</v>
      </c>
      <c r="AC301" s="57" cm="1">
        <f t="array" ref="AC301">VLOOKUP(B301,'Player Data'!$A1:$AE673,17,FALSE)*$Q301*IFERROR((VLOOKUP(P301,Settings!$E$28:$F$33,2,FALSE)+1),1)</f>
        <v>0</v>
      </c>
      <c r="AD301" s="57" cm="1">
        <f t="array" ref="AD301">VLOOKUP(B301,'Player Data'!$A1:$AE673,18,FALSE)*$Q301</f>
        <v>33.880000000000003</v>
      </c>
      <c r="AE301" s="57" cm="1">
        <f t="array" ref="AE301">VLOOKUP(B301,'Player Data'!$A1:$AE673,19,FALSE)*$Q301*IFERROR((VLOOKUP(P301,Settings!$E$28:$F$33,2,FALSE)+1),1)</f>
        <v>3.08</v>
      </c>
      <c r="AF301" s="57" cm="1">
        <f t="array" ref="AF301">VLOOKUP(B301,'Player Data'!$A1:$AE673,20,FALSE)*$Q301</f>
        <v>172.48000000000002</v>
      </c>
      <c r="AG301" s="57" cm="1">
        <f t="array" ref="AG301">VLOOKUP(B301,'Player Data'!$A1:$AE673,21,FALSE)*$Q301</f>
        <v>246.4</v>
      </c>
      <c r="AH301" s="59" cm="1">
        <f t="array" ref="AH301">VLOOKUP(B301,'Player Data'!$A1:$AE673,22,FALSE)</f>
        <v>0.41</v>
      </c>
      <c r="AI301" s="55"/>
      <c r="AJ301" s="57"/>
      <c r="AK301" s="57"/>
      <c r="AL301" s="57"/>
      <c r="AM301" s="57"/>
      <c r="AN301" s="57"/>
      <c r="AO301" s="57"/>
      <c r="AP301" s="57"/>
      <c r="AQ301" s="60"/>
      <c r="AR301" s="61"/>
      <c r="AS301" s="55"/>
    </row>
    <row r="302" spans="1:45" ht="21.25" customHeight="1" x14ac:dyDescent="0.15">
      <c r="A302" s="62">
        <f>RANK(K302,K$2:K$671)</f>
        <v>267</v>
      </c>
      <c r="B302" s="10" t="s">
        <v>212</v>
      </c>
      <c r="C302" s="47" t="s">
        <v>145</v>
      </c>
      <c r="D302" s="48" t="str" cm="1">
        <f t="array" ref="D302">VLOOKUP(B302,'Player Data'!A1:D673,4,FALSE)</f>
        <v>C,RW</v>
      </c>
      <c r="E302" s="74" cm="1">
        <f t="array" ref="E302">VLOOKUP(B302,RW!A1:F210,3,FALSE)</f>
        <v>62</v>
      </c>
      <c r="F302" s="56" t="str" cm="1">
        <f t="array" ref="F302">VLOOKUP(B302,'Player Data'!A1:B673,2,FALSE)</f>
        <v>CHI</v>
      </c>
      <c r="G302" s="71" cm="1">
        <f t="array" ref="G302">VLOOKUP(B302,'Player Data'!A1:D673,3,FALSE)</f>
        <v>21</v>
      </c>
      <c r="H302" s="51" cm="1">
        <f t="array" ref="H302">IFERROR(VLOOKUP(B302,ADP!A1:F671,6,FALSE)/1000000,VLOOKUP(B302,ADP!A1:F671,6,FALSE))</f>
        <v>15</v>
      </c>
      <c r="I302" s="52">
        <f>IF(Settings!$E$15="POINTS",((R302*Q302)*Settings!$B$12)+(S302*Settings!$B$2)+(T302*Settings!$B$3)+(U302*Settings!$B$4)+(V302*Settings!$B$5)+(X302*Settings!$B$9)+(AA302*Settings!$B$6)+(W302*Settings!$B$8)+(AB302*Settings!$B$7)+(AC302*Settings!$B$14)+(AD302*Settings!$B$15)+(AE302*Settings!$B$16)+(AF302*Settings!$B$17)+(AG302*Settings!$B$18)+(Y302*Settings!$B$10)+(Z302*Settings!$B$11),VLOOKUP(B302,'Standard Deviations'!A$1:C$672,3,FALSE))</f>
        <v>3.3407085925006084</v>
      </c>
      <c r="J302" s="53" cm="1">
        <f t="array" ref="J302">IF(D302="G",I302/AJ302,I302/Q302)</f>
        <v>5.0616796856069825E-2</v>
      </c>
      <c r="K302" s="52" cm="1">
        <f t="array" ref="K302">IF(Settings!$E$18="C/LW/RW",VLOOKUP(B302,RW!A1:F210,6,FALSE),VLOOKUP(B302,F!A1:F407,6,FALSE))</f>
        <v>-3.5465260093084692</v>
      </c>
      <c r="L302" s="54" cm="1">
        <f t="array" ref="L302">IFERROR(K302/H302,"N/A")</f>
        <v>-0.23643506728723127</v>
      </c>
      <c r="M302" s="55">
        <v>62.5</v>
      </c>
      <c r="N302" s="55" cm="1">
        <f t="array" ref="N302">IFERROR(M302-A302,"N/A")</f>
        <v>-204.5</v>
      </c>
      <c r="O302" s="55"/>
      <c r="P302" s="56" t="str" cm="1">
        <f t="array" ref="P302">_xlfn.XLOOKUP($B302,ADP!A2:A671,ADP!G2:G671)</f>
        <v>+ +</v>
      </c>
      <c r="Q302" s="57" cm="1">
        <f t="array" ref="Q302">IF(Settings!$E$12="YES",VLOOKUP(B302,'Player Data'!A1:E673,5,FALSE),84)</f>
        <v>66</v>
      </c>
      <c r="R302" s="55" cm="1">
        <f t="array" ref="R302">VLOOKUP(B302,'Player Data'!$A1:$AE673,6,FALSE)</f>
        <v>20.9</v>
      </c>
      <c r="S302" s="57" cm="1">
        <f t="array" ref="S302">VLOOKUP(B302,'Player Data'!$A1:$AE673,7,FALSE)*$Q302*IFERROR((VLOOKUP(P302,Settings!$E$28:$F$33,2,FALSE)+1),1)</f>
        <v>29.040000000000006</v>
      </c>
      <c r="T302" s="57" cm="1">
        <f t="array" ref="T302">VLOOKUP(B302,'Player Data'!$A1:$AE673,8,FALSE)*$Q302*IFERROR((VLOOKUP(P302,Settings!$E$28:$F$33,2,FALSE)+1),1)</f>
        <v>47.190000000000005</v>
      </c>
      <c r="U302" s="57" cm="1">
        <f t="array" ref="U302">SUM(S302:T302)</f>
        <v>76.230000000000018</v>
      </c>
      <c r="V302" s="57" cm="1">
        <f t="array" ref="V302">VLOOKUP(B302,'Player Data'!$A1:$AE673,10,FALSE)*$Q302*IFERROR(((VLOOKUP(P302,Settings!$E$28:$F$33,2,FALSE)/2)+1),1)</f>
        <v>215.523</v>
      </c>
      <c r="W302" s="58" cm="1">
        <f t="array" ref="W302">VLOOKUP(B302,'Player Data'!$A1:$AE673,11,FALSE)*$Q302*IFERROR((VLOOKUP(P302,Settings!$E$28:$F$33,2,FALSE)+1),1)</f>
        <v>9.4380000000000006</v>
      </c>
      <c r="X302" s="57" cm="1">
        <f t="array" ref="X302">VLOOKUP(B302,'Player Data'!$A1:$AE673,12,FALSE)*$Q302*IFERROR((VLOOKUP(P302,Settings!$E$28:$F$33,2,FALSE)+1),1)</f>
        <v>27.588000000000005</v>
      </c>
      <c r="Y302" s="57" cm="1">
        <f t="array" ref="Y302">VLOOKUP(B302,'Player Data'!$A1:$AE673,13,FALSE)*$Q302</f>
        <v>0</v>
      </c>
      <c r="Z302" s="57" cm="1">
        <f t="array" ref="Z302">VLOOKUP(B302,'Player Data'!$A1:$AE673,14,FALSE)*$Q302</f>
        <v>0</v>
      </c>
      <c r="AA302" s="57" cm="1">
        <f t="array" ref="AA302">VLOOKUP(B302,'Player Data'!$A1:$AE673,15,FALSE)*$Q302</f>
        <v>28.38</v>
      </c>
      <c r="AB302" s="57" cm="1">
        <f t="array" ref="AB302">VLOOKUP(B302,'Player Data'!$A1:$AE673,16,FALSE)*$Q302</f>
        <v>35.64</v>
      </c>
      <c r="AC302" s="57" cm="1">
        <f t="array" ref="AC302">VLOOKUP(B302,'Player Data'!$A1:$AE673,17,FALSE)*$Q302*IFERROR((VLOOKUP(P302,Settings!$E$28:$F$33,2,FALSE)+1),1)</f>
        <v>-10.164000000000001</v>
      </c>
      <c r="AD302" s="57" cm="1">
        <f t="array" ref="AD302">VLOOKUP(B302,'Player Data'!$A1:$AE673,18,FALSE)*$Q302</f>
        <v>40.26</v>
      </c>
      <c r="AE302" s="57" cm="1">
        <f t="array" ref="AE302">VLOOKUP(B302,'Player Data'!$A1:$AE673,19,FALSE)*$Q302*IFERROR((VLOOKUP(P302,Settings!$E$28:$F$33,2,FALSE)+1),1)</f>
        <v>3.6300000000000008</v>
      </c>
      <c r="AF302" s="57" cm="1">
        <f t="array" ref="AF302">VLOOKUP(B302,'Player Data'!$A1:$AE673,20,FALSE)*$Q302</f>
        <v>256.74</v>
      </c>
      <c r="AG302" s="57" cm="1">
        <f t="array" ref="AG302">VLOOKUP(B302,'Player Data'!$A1:$AE673,21,FALSE)*$Q302</f>
        <v>355.73999999999995</v>
      </c>
      <c r="AH302" s="59" cm="1">
        <f t="array" ref="AH302">VLOOKUP(B302,'Player Data'!$A1:$AE673,22,FALSE)</f>
        <v>0.42</v>
      </c>
      <c r="AI302" s="55"/>
      <c r="AJ302" s="57"/>
      <c r="AK302" s="57"/>
      <c r="AL302" s="57"/>
      <c r="AM302" s="57"/>
      <c r="AN302" s="57"/>
      <c r="AO302" s="57"/>
      <c r="AP302" s="57"/>
      <c r="AQ302" s="60"/>
      <c r="AR302" s="61"/>
      <c r="AS302" s="55"/>
    </row>
    <row r="303" spans="1:45" ht="21.25" customHeight="1" x14ac:dyDescent="0.15">
      <c r="A303" s="62">
        <f>RANK(K303,K$2:K$671)</f>
        <v>273</v>
      </c>
      <c r="B303" s="10" t="s">
        <v>383</v>
      </c>
      <c r="C303" s="47" t="s">
        <v>145</v>
      </c>
      <c r="D303" s="48" t="str" cm="1">
        <f t="array" ref="D303">VLOOKUP(B303,'Player Data'!A1:D673,4,FALSE)</f>
        <v>LW</v>
      </c>
      <c r="E303" s="75" cm="1">
        <f t="array" ref="E303">VLOOKUP(B303,LW!A1:C210,3,FALSE)</f>
        <v>52</v>
      </c>
      <c r="F303" s="72" t="str" cm="1">
        <f t="array" ref="F303">VLOOKUP(B303,'Player Data'!A1:B673,2,FALSE)</f>
        <v>FLA</v>
      </c>
      <c r="G303" s="66" cm="1">
        <f t="array" ref="G303">VLOOKUP(B303,'Player Data'!A1:D673,3,FALSE)</f>
        <v>31</v>
      </c>
      <c r="H303" s="51" cm="1">
        <f t="array" ref="H303">IFERROR(VLOOKUP(B303,ADP!A1:F671,6,FALSE)/1000000,VLOOKUP(B303,ADP!A1:F671,6,FALSE))</f>
        <v>7</v>
      </c>
      <c r="I303" s="52">
        <f>IF(Settings!$E$15="POINTS",((R303*Q303)*Settings!$B$12)+(S303*Settings!$B$2)+(T303*Settings!$B$3)+(U303*Settings!$B$4)+(V303*Settings!$B$5)+(X303*Settings!$B$9)+(AA303*Settings!$B$6)+(W303*Settings!$B$8)+(AB303*Settings!$B$7)+(AC303*Settings!$B$14)+(AD303*Settings!$B$15)+(AE303*Settings!$B$16)+(AF303*Settings!$B$17)+(AG303*Settings!$B$18)+(Y303*Settings!$B$10)+(Z303*Settings!$B$11),VLOOKUP(B303,'Standard Deviations'!A$1:C$672,3,FALSE))</f>
        <v>3.2707890084101536</v>
      </c>
      <c r="J303" s="53" cm="1">
        <f t="array" ref="J303">IF(D303="G",I303/AJ303,I303/Q303)</f>
        <v>3.9887670834270167E-2</v>
      </c>
      <c r="K303" s="52" cm="1">
        <f t="array" ref="K303">IF(Settings!$E$18="C/LW/RW",VLOOKUP(B303,LW!A1:F210,6,FALSE),VLOOKUP(B303,F!A1:F407,6,FALSE))</f>
        <v>-3.6235966359796561</v>
      </c>
      <c r="L303" s="54" cm="1">
        <f t="array" ref="L303">IFERROR(K303/H303,"N/A")</f>
        <v>-0.51765666228280804</v>
      </c>
      <c r="M303" s="55">
        <v>152.69999999999999</v>
      </c>
      <c r="N303" s="55" cm="1">
        <f t="array" ref="N303">IFERROR(M303-A303,"N/A")</f>
        <v>-120.30000000000001</v>
      </c>
      <c r="O303" s="55"/>
      <c r="P303" s="56" cm="1">
        <f t="array" ref="P303">_xlfn.XLOOKUP($B303,ADP!A2:A671,ADP!G2:G671)</f>
        <v>0</v>
      </c>
      <c r="Q303" s="57" cm="1">
        <f t="array" ref="Q303">IF(Settings!$E$12="YES",VLOOKUP(B303,'Player Data'!A1:E673,5,FALSE),84)</f>
        <v>82</v>
      </c>
      <c r="R303" s="83" cm="1">
        <f t="array" ref="R303">VLOOKUP(B303,'Player Data'!$A1:$AE673,6,FALSE)</f>
        <v>16</v>
      </c>
      <c r="S303" s="57" cm="1">
        <f t="array" ref="S303">VLOOKUP(B303,'Player Data'!$A1:$AE673,7,FALSE)*$Q303*IFERROR((VLOOKUP(P303,Settings!$E$28:$F$33,2,FALSE)+1),1)</f>
        <v>22.14</v>
      </c>
      <c r="T303" s="57" cm="1">
        <f t="array" ref="T303">VLOOKUP(B303,'Player Data'!$A1:$AE673,8,FALSE)*$Q303*IFERROR((VLOOKUP(P303,Settings!$E$28:$F$33,2,FALSE)+1),1)</f>
        <v>28.7</v>
      </c>
      <c r="U303" s="57" cm="1">
        <f t="array" ref="U303">SUM(S303:T303)</f>
        <v>50.84</v>
      </c>
      <c r="V303" s="57" cm="1">
        <f t="array" ref="V303">VLOOKUP(B303,'Player Data'!$A1:$AE673,10,FALSE)*$Q303*IFERROR(((VLOOKUP(P303,Settings!$E$28:$F$33,2,FALSE)/2)+1),1)</f>
        <v>190.23999999999998</v>
      </c>
      <c r="W303" s="57" cm="1">
        <f t="array" ref="W303">VLOOKUP(B303,'Player Data'!$A1:$AE673,11,FALSE)*$Q303*IFERROR((VLOOKUP(P303,Settings!$E$28:$F$33,2,FALSE)+1),1)</f>
        <v>4.1000000000000005</v>
      </c>
      <c r="X303" s="57" cm="1">
        <f t="array" ref="X303">VLOOKUP(B303,'Player Data'!$A1:$AE673,12,FALSE)*$Q303*IFERROR((VLOOKUP(P303,Settings!$E$28:$F$33,2,FALSE)+1),1)</f>
        <v>10.66</v>
      </c>
      <c r="Y303" s="57" cm="1">
        <f t="array" ref="Y303">VLOOKUP(B303,'Player Data'!$A1:$AE673,13,FALSE)*$Q303</f>
        <v>0</v>
      </c>
      <c r="Z303" s="57" cm="1">
        <f t="array" ref="Z303">VLOOKUP(B303,'Player Data'!$A1:$AE673,14,FALSE)*$Q303</f>
        <v>0</v>
      </c>
      <c r="AA303" s="57" cm="1">
        <f t="array" ref="AA303">VLOOKUP(B303,'Player Data'!$A1:$AE673,15,FALSE)*$Q303</f>
        <v>24.599999999999998</v>
      </c>
      <c r="AB303" s="57" cm="1">
        <f t="array" ref="AB303">VLOOKUP(B303,'Player Data'!$A1:$AE673,16,FALSE)*$Q303</f>
        <v>73.8</v>
      </c>
      <c r="AC303" s="57" cm="1">
        <f t="array" ref="AC303">VLOOKUP(B303,'Player Data'!$A1:$AE673,17,FALSE)*$Q303*IFERROR((VLOOKUP(P303,Settings!$E$28:$F$33,2,FALSE)+1),1)</f>
        <v>4.92</v>
      </c>
      <c r="AD303" s="57" cm="1">
        <f t="array" ref="AD303">VLOOKUP(B303,'Player Data'!$A1:$AE673,18,FALSE)*$Q303</f>
        <v>31.98</v>
      </c>
      <c r="AE303" s="57" cm="1">
        <f t="array" ref="AE303">VLOOKUP(B303,'Player Data'!$A1:$AE673,19,FALSE)*$Q303*IFERROR((VLOOKUP(P303,Settings!$E$28:$F$33,2,FALSE)+1),1)</f>
        <v>3.2800000000000002</v>
      </c>
      <c r="AF303" s="57" cm="1">
        <f t="array" ref="AF303">VLOOKUP(B303,'Player Data'!$A1:$AE673,20,FALSE)*$Q303</f>
        <v>35.26</v>
      </c>
      <c r="AG303" s="57" cm="1">
        <f t="array" ref="AG303">VLOOKUP(B303,'Player Data'!$A1:$AE673,21,FALSE)*$Q303</f>
        <v>59.86</v>
      </c>
      <c r="AH303" s="59" cm="1">
        <f t="array" ref="AH303">VLOOKUP(B303,'Player Data'!$A1:$AE673,22,FALSE)</f>
        <v>0.37</v>
      </c>
      <c r="AI303" s="55"/>
      <c r="AJ303" s="57"/>
      <c r="AK303" s="57"/>
      <c r="AL303" s="57"/>
      <c r="AM303" s="57"/>
      <c r="AN303" s="57"/>
      <c r="AO303" s="57"/>
      <c r="AP303" s="57"/>
      <c r="AQ303" s="60"/>
      <c r="AR303" s="61"/>
      <c r="AS303" s="55"/>
    </row>
    <row r="304" spans="1:45" ht="21.25" customHeight="1" x14ac:dyDescent="0.15">
      <c r="A304" s="62">
        <f>RANK(K304,K$2:K$671)</f>
        <v>270</v>
      </c>
      <c r="B304" s="10" t="s">
        <v>386</v>
      </c>
      <c r="C304" s="47" t="s">
        <v>145</v>
      </c>
      <c r="D304" s="48" t="str" cm="1">
        <f t="array" ref="D304">VLOOKUP(B304,'Player Data'!A1:D673,4,FALSE)</f>
        <v>C</v>
      </c>
      <c r="E304" s="49" cm="1">
        <f t="array" ref="E304">VLOOKUP(B304,'C'!A1:C210,3,FALSE)</f>
        <v>55</v>
      </c>
      <c r="F304" s="56" t="str" cm="1">
        <f t="array" ref="F304">VLOOKUP(B304,'Player Data'!A1:B673,2,FALSE)</f>
        <v>UTA</v>
      </c>
      <c r="G304" s="66" cm="1">
        <f t="array" ref="G304">VLOOKUP(B304,'Player Data'!A1:D673,3,FALSE)</f>
        <v>33</v>
      </c>
      <c r="H304" s="51" cm="1">
        <f t="array" ref="H304">IFERROR(VLOOKUP(B304,ADP!A1:F671,6,FALSE)/1000000,VLOOKUP(B304,ADP!A1:F671,6,FALSE))</f>
        <v>5.625</v>
      </c>
      <c r="I304" s="52">
        <f>IF(Settings!$E$15="POINTS",((R304*Q304)*Settings!$B$12)+(S304*Settings!$B$2)+(T304*Settings!$B$3)+(U304*Settings!$B$4)+(V304*Settings!$B$5)+(X304*Settings!$B$9)+(AA304*Settings!$B$6)+(W304*Settings!$B$8)+(AB304*Settings!$B$7)+(AC304*Settings!$B$14)+(AD304*Settings!$B$15)+(AE304*Settings!$B$16)+(AF304*Settings!$B$17)+(AG304*Settings!$B$18)+(Y304*Settings!$B$10)+(Z304*Settings!$B$11),VLOOKUP(B304,'Standard Deviations'!A$1:C$672,3,FALSE))</f>
        <v>2.7610208407701426</v>
      </c>
      <c r="J304" s="53" cm="1">
        <f t="array" ref="J304">IF(D304="G",I304/AJ304,I304/Q304)</f>
        <v>3.4086677046544972E-2</v>
      </c>
      <c r="K304" s="52" cm="1">
        <f t="array" ref="K304">IF(Settings!$E$18="C/LW/RW",VLOOKUP(B304,'C'!A1:F210,6,FALSE),VLOOKUP(B304,F!A1:F407,6,FALSE))</f>
        <v>-3.5989887168449215</v>
      </c>
      <c r="L304" s="54" cm="1">
        <f t="array" ref="L304">IFERROR(K304/H304,"N/A")</f>
        <v>-0.63982021632798602</v>
      </c>
      <c r="M304" s="55">
        <v>147.4</v>
      </c>
      <c r="N304" s="55" cm="1">
        <f t="array" ref="N304">IFERROR(M304-A304,"N/A")</f>
        <v>-122.6</v>
      </c>
      <c r="O304" s="55"/>
      <c r="P304" s="56" cm="1">
        <f t="array" ref="P304">_xlfn.XLOOKUP($B304,ADP!A2:A671,ADP!G2:G671)</f>
        <v>0</v>
      </c>
      <c r="Q304" s="57" cm="1">
        <f t="array" ref="Q304">IF(Settings!$E$12="YES",VLOOKUP(B304,'Player Data'!A1:E673,5,FALSE),84)</f>
        <v>81</v>
      </c>
      <c r="R304" s="83" cm="1">
        <f t="array" ref="R304">VLOOKUP(B304,'Player Data'!$A1:$AE673,6,FALSE)</f>
        <v>17.7</v>
      </c>
      <c r="S304" s="57" cm="1">
        <f t="array" ref="S304">VLOOKUP(B304,'Player Data'!$A1:$AE673,7,FALSE)*$Q304*IFERROR((VLOOKUP(P304,Settings!$E$28:$F$33,2,FALSE)+1),1)</f>
        <v>17.82</v>
      </c>
      <c r="T304" s="57" cm="1">
        <f t="array" ref="T304">VLOOKUP(B304,'Player Data'!$A1:$AE673,8,FALSE)*$Q304*IFERROR((VLOOKUP(P304,Settings!$E$28:$F$33,2,FALSE)+1),1)</f>
        <v>29.97</v>
      </c>
      <c r="U304" s="57" cm="1">
        <f t="array" ref="U304">SUM(S304:T304)</f>
        <v>47.79</v>
      </c>
      <c r="V304" s="57" cm="1">
        <f t="array" ref="V304">VLOOKUP(B304,'Player Data'!$A1:$AE673,10,FALSE)*$Q304*IFERROR(((VLOOKUP(P304,Settings!$E$28:$F$33,2,FALSE)/2)+1),1)</f>
        <v>129.6</v>
      </c>
      <c r="W304" s="57" cm="1">
        <f t="array" ref="W304">VLOOKUP(B304,'Player Data'!$A1:$AE673,11,FALSE)*$Q304*IFERROR((VLOOKUP(P304,Settings!$E$28:$F$33,2,FALSE)+1),1)</f>
        <v>2.4299999999999997</v>
      </c>
      <c r="X304" s="57" cm="1">
        <f t="array" ref="X304">VLOOKUP(B304,'Player Data'!$A1:$AE673,12,FALSE)*$Q304*IFERROR((VLOOKUP(P304,Settings!$E$28:$F$33,2,FALSE)+1),1)</f>
        <v>8.91</v>
      </c>
      <c r="Y304" s="57" cm="1">
        <f t="array" ref="Y304">VLOOKUP(B304,'Player Data'!$A1:$AE673,13,FALSE)*$Q304</f>
        <v>2.4299999999999997</v>
      </c>
      <c r="Z304" s="57" cm="1">
        <f t="array" ref="Z304">VLOOKUP(B304,'Player Data'!$A1:$AE673,14,FALSE)*$Q304</f>
        <v>3.24</v>
      </c>
      <c r="AA304" s="57" cm="1">
        <f t="array" ref="AA304">VLOOKUP(B304,'Player Data'!$A1:$AE673,15,FALSE)*$Q304</f>
        <v>57.51</v>
      </c>
      <c r="AB304" s="57" cm="1">
        <f t="array" ref="AB304">VLOOKUP(B304,'Player Data'!$A1:$AE673,16,FALSE)*$Q304</f>
        <v>177.39</v>
      </c>
      <c r="AC304" s="57" cm="1">
        <f t="array" ref="AC304">VLOOKUP(B304,'Player Data'!$A1:$AE673,17,FALSE)*$Q304*IFERROR((VLOOKUP(P304,Settings!$E$28:$F$33,2,FALSE)+1),1)</f>
        <v>0</v>
      </c>
      <c r="AD304" s="57" cm="1">
        <f t="array" ref="AD304">VLOOKUP(B304,'Player Data'!$A1:$AE673,18,FALSE)*$Q304</f>
        <v>44.550000000000004</v>
      </c>
      <c r="AE304" s="57" cm="1">
        <f t="array" ref="AE304">VLOOKUP(B304,'Player Data'!$A1:$AE673,19,FALSE)*$Q304*IFERROR((VLOOKUP(P304,Settings!$E$28:$F$33,2,FALSE)+1),1)</f>
        <v>3.24</v>
      </c>
      <c r="AF304" s="57" cm="1">
        <f t="array" ref="AF304">VLOOKUP(B304,'Player Data'!$A1:$AE673,20,FALSE)*$Q304</f>
        <v>690.12</v>
      </c>
      <c r="AG304" s="57" cm="1">
        <f t="array" ref="AG304">VLOOKUP(B304,'Player Data'!$A1:$AE673,21,FALSE)*$Q304</f>
        <v>493.28999999999996</v>
      </c>
      <c r="AH304" s="59" cm="1">
        <f t="array" ref="AH304">VLOOKUP(B304,'Player Data'!$A1:$AE673,22,FALSE)</f>
        <v>0.57999999999999996</v>
      </c>
      <c r="AI304" s="55"/>
      <c r="AJ304" s="57"/>
      <c r="AK304" s="57"/>
      <c r="AL304" s="57"/>
      <c r="AM304" s="57"/>
      <c r="AN304" s="57"/>
      <c r="AO304" s="57"/>
      <c r="AP304" s="57"/>
      <c r="AQ304" s="60"/>
      <c r="AR304" s="61"/>
      <c r="AS304" s="55"/>
    </row>
    <row r="305" spans="1:45" ht="21.25" customHeight="1" x14ac:dyDescent="0.15">
      <c r="A305" s="62">
        <f>RANK(K305,K$2:K$671)</f>
        <v>272</v>
      </c>
      <c r="B305" s="10" t="s">
        <v>442</v>
      </c>
      <c r="C305" s="47" t="s">
        <v>145</v>
      </c>
      <c r="D305" s="48" t="str" cm="1">
        <f t="array" ref="D305">VLOOKUP(B305,'Player Data'!A1:D673,4,FALSE)</f>
        <v>C</v>
      </c>
      <c r="E305" s="49" cm="1">
        <f t="array" ref="E305">VLOOKUP(B305,'C'!A1:C210,3,FALSE)</f>
        <v>56</v>
      </c>
      <c r="F305" s="69" t="str" cm="1">
        <f t="array" ref="F305">VLOOKUP(B305,'Player Data'!A1:B673,2,FALSE)</f>
        <v>CBJ</v>
      </c>
      <c r="G305" s="66" cm="1">
        <f t="array" ref="G305">VLOOKUP(B305,'Player Data'!A1:D673,3,FALSE)</f>
        <v>34</v>
      </c>
      <c r="H305" s="51" cm="1">
        <f t="array" ref="H305">IFERROR(VLOOKUP(B305,ADP!A1:F671,6,FALSE)/1000000,VLOOKUP(B305,ADP!A1:F671,6,FALSE))</f>
        <v>6</v>
      </c>
      <c r="I305" s="52">
        <f>IF(Settings!$E$15="POINTS",((R305*Q305)*Settings!$B$12)+(S305*Settings!$B$2)+(T305*Settings!$B$3)+(U305*Settings!$B$4)+(V305*Settings!$B$5)+(X305*Settings!$B$9)+(AA305*Settings!$B$6)+(W305*Settings!$B$8)+(AB305*Settings!$B$7)+(AC305*Settings!$B$14)+(AD305*Settings!$B$15)+(AE305*Settings!$B$16)+(AF305*Settings!$B$17)+(AG305*Settings!$B$18)+(Y305*Settings!$B$10)+(Z305*Settings!$B$11),VLOOKUP(B305,'Standard Deviations'!A$1:C$672,3,FALSE))</f>
        <v>2.7470006652397121</v>
      </c>
      <c r="J305" s="53" cm="1">
        <f t="array" ref="J305">IF(D305="G",I305/AJ305,I305/Q305)</f>
        <v>3.2702388871901335E-2</v>
      </c>
      <c r="K305" s="52" cm="1">
        <f t="array" ref="K305">IF(Settings!$E$18="C/LW/RW",VLOOKUP(B305,'C'!A1:F210,6,FALSE),VLOOKUP(B305,F!A1:F407,6,FALSE))</f>
        <v>-3.6130088923753521</v>
      </c>
      <c r="L305" s="54" cm="1">
        <f t="array" ref="L305">IFERROR(K305/H305,"N/A")</f>
        <v>-0.60216814872922531</v>
      </c>
      <c r="M305" s="84" t="s">
        <v>828</v>
      </c>
      <c r="N305" s="84" t="str" cm="1">
        <f t="array" ref="N305">IFERROR(M305-A305,"N/A")</f>
        <v>N/A</v>
      </c>
      <c r="O305" s="55"/>
      <c r="P305" s="56" cm="1">
        <f t="array" ref="P305">_xlfn.XLOOKUP($B305,ADP!A2:A671,ADP!G2:G671)</f>
        <v>0</v>
      </c>
      <c r="Q305" s="57" cm="1">
        <f t="array" ref="Q305">IF(Settings!$E$12="YES",VLOOKUP(B305,'Player Data'!A1:E673,5,FALSE),84)</f>
        <v>84</v>
      </c>
      <c r="R305" s="83" cm="1">
        <f t="array" ref="R305">VLOOKUP(B305,'Player Data'!$A1:$AE673,6,FALSE)</f>
        <v>16.8</v>
      </c>
      <c r="S305" s="57" cm="1">
        <f t="array" ref="S305">VLOOKUP(B305,'Player Data'!$A1:$AE673,7,FALSE)*$Q305*IFERROR((VLOOKUP(P305,Settings!$E$28:$F$33,2,FALSE)+1),1)</f>
        <v>20.16</v>
      </c>
      <c r="T305" s="57" cm="1">
        <f t="array" ref="T305">VLOOKUP(B305,'Player Data'!$A1:$AE673,8,FALSE)*$Q305*IFERROR((VLOOKUP(P305,Settings!$E$28:$F$33,2,FALSE)+1),1)</f>
        <v>30.24</v>
      </c>
      <c r="U305" s="57" cm="1">
        <f t="array" ref="U305">SUM(S305:T305)</f>
        <v>50.4</v>
      </c>
      <c r="V305" s="57" cm="1">
        <f t="array" ref="V305">VLOOKUP(B305,'Player Data'!$A1:$AE673,10,FALSE)*$Q305*IFERROR(((VLOOKUP(P305,Settings!$E$28:$F$33,2,FALSE)/2)+1),1)</f>
        <v>141.96</v>
      </c>
      <c r="W305" s="57" cm="1">
        <f t="array" ref="W305">VLOOKUP(B305,'Player Data'!$A1:$AE673,11,FALSE)*$Q305*IFERROR((VLOOKUP(P305,Settings!$E$28:$F$33,2,FALSE)+1),1)</f>
        <v>6.72</v>
      </c>
      <c r="X305" s="57" cm="1">
        <f t="array" ref="X305">VLOOKUP(B305,'Player Data'!$A1:$AE673,12,FALSE)*$Q305*IFERROR((VLOOKUP(P305,Settings!$E$28:$F$33,2,FALSE)+1),1)</f>
        <v>12.6</v>
      </c>
      <c r="Y305" s="57" cm="1">
        <f t="array" ref="Y305">VLOOKUP(B305,'Player Data'!$A1:$AE673,13,FALSE)*$Q305</f>
        <v>0</v>
      </c>
      <c r="Z305" s="57" cm="1">
        <f t="array" ref="Z305">VLOOKUP(B305,'Player Data'!$A1:$AE673,14,FALSE)*$Q305</f>
        <v>0.84</v>
      </c>
      <c r="AA305" s="57" cm="1">
        <f t="array" ref="AA305">VLOOKUP(B305,'Player Data'!$A1:$AE673,15,FALSE)*$Q305</f>
        <v>54.6</v>
      </c>
      <c r="AB305" s="57" cm="1">
        <f t="array" ref="AB305">VLOOKUP(B305,'Player Data'!$A1:$AE673,16,FALSE)*$Q305</f>
        <v>109.2</v>
      </c>
      <c r="AC305" s="57" cm="1">
        <f t="array" ref="AC305">VLOOKUP(B305,'Player Data'!$A1:$AE673,17,FALSE)*$Q305*IFERROR((VLOOKUP(P305,Settings!$E$28:$F$33,2,FALSE)+1),1)</f>
        <v>2.52</v>
      </c>
      <c r="AD305" s="57" cm="1">
        <f t="array" ref="AD305">VLOOKUP(B305,'Player Data'!$A1:$AE673,18,FALSE)*$Q305</f>
        <v>24.36</v>
      </c>
      <c r="AE305" s="57" cm="1">
        <f t="array" ref="AE305">VLOOKUP(B305,'Player Data'!$A1:$AE673,19,FALSE)*$Q305*IFERROR((VLOOKUP(P305,Settings!$E$28:$F$33,2,FALSE)+1),1)</f>
        <v>3.36</v>
      </c>
      <c r="AF305" s="57" cm="1">
        <f t="array" ref="AF305">VLOOKUP(B305,'Player Data'!$A1:$AE673,20,FALSE)*$Q305</f>
        <v>577.91999999999996</v>
      </c>
      <c r="AG305" s="57" cm="1">
        <f t="array" ref="AG305">VLOOKUP(B305,'Player Data'!$A1:$AE673,21,FALSE)*$Q305</f>
        <v>572.04</v>
      </c>
      <c r="AH305" s="59" cm="1">
        <f t="array" ref="AH305">VLOOKUP(B305,'Player Data'!$A1:$AE673,22,FALSE)</f>
        <v>0.5</v>
      </c>
      <c r="AI305" s="55"/>
      <c r="AJ305" s="57"/>
      <c r="AK305" s="57"/>
      <c r="AL305" s="57"/>
      <c r="AM305" s="57"/>
      <c r="AN305" s="57"/>
      <c r="AO305" s="57"/>
      <c r="AP305" s="57"/>
      <c r="AQ305" s="60"/>
      <c r="AR305" s="61"/>
      <c r="AS305" s="55"/>
    </row>
    <row r="306" spans="1:45" ht="21.25" customHeight="1" x14ac:dyDescent="0.15">
      <c r="A306" s="62">
        <f>RANK(K306,K$2:K$671)</f>
        <v>328</v>
      </c>
      <c r="B306" s="10" t="s">
        <v>491</v>
      </c>
      <c r="C306" s="47" t="s">
        <v>145</v>
      </c>
      <c r="D306" s="48" t="str" cm="1">
        <f t="array" ref="D306">VLOOKUP(B306,'Player Data'!A1:D673,4,FALSE)</f>
        <v>D</v>
      </c>
      <c r="E306" s="68" cm="1">
        <f t="array" ref="E306">VLOOKUP(B306,D!A1:C204,3,FALSE)</f>
        <v>154</v>
      </c>
      <c r="F306" s="65" t="str" cm="1">
        <f t="array" ref="F306">VLOOKUP(B306,'Player Data'!A1:B673,2,FALSE)</f>
        <v>NSH</v>
      </c>
      <c r="G306" s="11" cm="1">
        <f t="array" ref="G306">VLOOKUP(B306,'Player Data'!A1:D673,3,FALSE)</f>
        <v>27</v>
      </c>
      <c r="H306" s="51" cm="1">
        <f t="array" ref="H306">IFERROR(VLOOKUP(B306,ADP!A1:F671,6,FALSE)/1000000,VLOOKUP(B306,ADP!A1:F671,6,FALSE))</f>
        <v>5.5</v>
      </c>
      <c r="I306" s="52">
        <f>IF(Settings!$E$15="POINTS",((R306*Q306)*Settings!$B$12)+(S306*Settings!$B$2)+(T306*Settings!$B$3)+(U306*Settings!$B$4)+(V306*Settings!$B$5)+(X306*Settings!$B$9)+(AA306*Settings!$B$6)+(W306*Settings!$B$8)+(AB306*Settings!$B$7)+(AC306*Settings!$B$14)+(AD306*Settings!$B$15)+(AE306*Settings!$B$16)+(AF306*Settings!$B$17)+(AG306*Settings!$B$18)+(U306*Settings!$B$13)+(Y306*Settings!$B$10)+(Z306*Settings!$B$11),VLOOKUP(B306,'Standard Deviations'!A$1:C$672,3,FALSE))</f>
        <v>-3.997535822474152</v>
      </c>
      <c r="J306" s="53" cm="1">
        <f t="array" ref="J306">IF(D306="G",I306/AJ306,I306/Q306)</f>
        <v>-5.1250459262489126E-2</v>
      </c>
      <c r="K306" s="52" cm="1">
        <f t="array" ref="K306">VLOOKUP(B306,D!A1:F204,6,FALSE)</f>
        <v>-4.5643867369917066</v>
      </c>
      <c r="L306" s="54" cm="1">
        <f t="array" ref="L306">IFERROR(K306/H306,"N/A")</f>
        <v>-0.82988849763485573</v>
      </c>
      <c r="M306" s="55">
        <v>126.9</v>
      </c>
      <c r="N306" s="55" cm="1">
        <f t="array" ref="N306">IFERROR(M306-A306,"N/A")</f>
        <v>-201.1</v>
      </c>
      <c r="O306" s="55"/>
      <c r="P306" s="56" cm="1">
        <f t="array" ref="P306">_xlfn.XLOOKUP($B306,ADP!A2:A671,ADP!G2:G671)</f>
        <v>0</v>
      </c>
      <c r="Q306" s="57" cm="1">
        <f t="array" ref="Q306">IF(Settings!$E$12="YES",VLOOKUP(B306,'Player Data'!A1:E673,5,FALSE),84)</f>
        <v>78</v>
      </c>
      <c r="R306" s="55" cm="1">
        <f t="array" ref="R306">VLOOKUP(B306,'Player Data'!$A1:$AE673,6,FALSE)</f>
        <v>19.5</v>
      </c>
      <c r="S306" s="57" cm="1">
        <f t="array" ref="S306">VLOOKUP(B306,'Player Data'!$A1:$AE673,7,FALSE)*$Q306*IFERROR((VLOOKUP(P306,Settings!$E$28:$F$33,2,FALSE)+1),1)</f>
        <v>3.9000000000000004</v>
      </c>
      <c r="T306" s="57" cm="1">
        <f t="array" ref="T306">VLOOKUP(B306,'Player Data'!$A1:$AE673,8,FALSE)*$Q306*IFERROR((VLOOKUP(P306,Settings!$E$28:$F$33,2,FALSE)+1),1)</f>
        <v>13.260000000000002</v>
      </c>
      <c r="U306" s="57" cm="1">
        <f t="array" ref="U306">SUM(S306:T306)</f>
        <v>17.160000000000004</v>
      </c>
      <c r="V306" s="57" cm="1">
        <f t="array" ref="V306">VLOOKUP(B306,'Player Data'!$A1:$AE673,10,FALSE)*$Q306*IFERROR(((VLOOKUP(P306,Settings!$E$28:$F$33,2,FALSE)/2)+1),1)</f>
        <v>84.240000000000009</v>
      </c>
      <c r="W306" s="57" cm="1">
        <f t="array" ref="W306">VLOOKUP(B306,'Player Data'!$A1:$AE673,11,FALSE)*$Q306*IFERROR((VLOOKUP(P306,Settings!$E$28:$F$33,2,FALSE)+1),1)</f>
        <v>0</v>
      </c>
      <c r="X306" s="57" cm="1">
        <f t="array" ref="X306">VLOOKUP(B306,'Player Data'!$A1:$AE673,12,FALSE)*$Q306*IFERROR((VLOOKUP(P306,Settings!$E$28:$F$33,2,FALSE)+1),1)</f>
        <v>0</v>
      </c>
      <c r="Y306" s="57" cm="1">
        <f t="array" ref="Y306">VLOOKUP(B306,'Player Data'!$A1:$AE673,13,FALSE)*$Q306</f>
        <v>0</v>
      </c>
      <c r="Z306" s="57" cm="1">
        <f t="array" ref="Z306">VLOOKUP(B306,'Player Data'!$A1:$AE673,14,FALSE)*$Q306</f>
        <v>0.78</v>
      </c>
      <c r="AA306" s="57" cm="1">
        <f t="array" ref="AA306">VLOOKUP(B306,'Player Data'!$A1:$AE673,15,FALSE)*$Q306</f>
        <v>88.139999999999986</v>
      </c>
      <c r="AB306" s="57" cm="1">
        <f t="array" ref="AB306">VLOOKUP(B306,'Player Data'!$A1:$AE673,16,FALSE)*$Q306</f>
        <v>95.94</v>
      </c>
      <c r="AC306" s="57" cm="1">
        <f t="array" ref="AC306">VLOOKUP(B306,'Player Data'!$A1:$AE673,17,FALSE)*$Q306*IFERROR((VLOOKUP(P306,Settings!$E$28:$F$33,2,FALSE)+1),1)</f>
        <v>-3.9000000000000004</v>
      </c>
      <c r="AD306" s="57" cm="1">
        <f t="array" ref="AD306">VLOOKUP(B306,'Player Data'!$A1:$AE673,18,FALSE)*$Q306</f>
        <v>50.7</v>
      </c>
      <c r="AE306" s="57" cm="1">
        <f t="array" ref="AE306">VLOOKUP(B306,'Player Data'!$A1:$AE673,19,FALSE)*$Q306*IFERROR((VLOOKUP(P306,Settings!$E$28:$F$33,2,FALSE)+1),1)</f>
        <v>0.78</v>
      </c>
      <c r="AF306" s="57" cm="1">
        <f t="array" ref="AF306">VLOOKUP(B306,'Player Data'!$A1:$AE673,20,FALSE)*$Q306</f>
        <v>0</v>
      </c>
      <c r="AG306" s="57" cm="1">
        <f t="array" ref="AG306">VLOOKUP(B306,'Player Data'!$A1:$AE673,21,FALSE)*$Q306</f>
        <v>0</v>
      </c>
      <c r="AH306" s="59" cm="1">
        <f t="array" ref="AH306">VLOOKUP(B306,'Player Data'!$A1:$AE673,22,FALSE)</f>
        <v>0</v>
      </c>
      <c r="AI306" s="55"/>
      <c r="AJ306" s="57"/>
      <c r="AK306" s="57"/>
      <c r="AL306" s="57"/>
      <c r="AM306" s="57"/>
      <c r="AN306" s="57"/>
      <c r="AO306" s="57"/>
      <c r="AP306" s="57"/>
      <c r="AQ306" s="60"/>
      <c r="AR306" s="61"/>
      <c r="AS306" s="55"/>
    </row>
    <row r="307" spans="1:45" ht="21.25" customHeight="1" x14ac:dyDescent="0.15">
      <c r="A307" s="62">
        <f>RANK(K307,K$2:K$671)</f>
        <v>274</v>
      </c>
      <c r="B307" s="10" t="s">
        <v>293</v>
      </c>
      <c r="C307" s="47" t="s">
        <v>145</v>
      </c>
      <c r="D307" s="48" t="str" cm="1">
        <f t="array" ref="D307">VLOOKUP(B307,'Player Data'!A1:D673,4,FALSE)</f>
        <v>LW,RW</v>
      </c>
      <c r="E307" s="74" cm="1">
        <f t="array" ref="E307">VLOOKUP(B307,RW!A1:F210,3,FALSE)</f>
        <v>63</v>
      </c>
      <c r="F307" s="18" t="str" cm="1">
        <f t="array" ref="F307">VLOOKUP(B307,'Player Data'!A1:B673,2,FALSE)</f>
        <v>OTT</v>
      </c>
      <c r="G307" s="71" cm="1">
        <f t="array" ref="G307">VLOOKUP(B307,'Player Data'!A1:D673,3,FALSE)</f>
        <v>23</v>
      </c>
      <c r="H307" s="51" cm="1">
        <f t="array" ref="H307">IFERROR(VLOOKUP(B307,ADP!A1:F671,6,FALSE)/1000000,VLOOKUP(B307,ADP!A1:F671,6,FALSE))</f>
        <v>5.6</v>
      </c>
      <c r="I307" s="52">
        <f>IF(Settings!$E$15="POINTS",((R307*Q307)*Settings!$B$12)+(S307*Settings!$B$2)+(T307*Settings!$B$3)+(U307*Settings!$B$4)+(V307*Settings!$B$5)+(X307*Settings!$B$9)+(AA307*Settings!$B$6)+(W307*Settings!$B$8)+(AB307*Settings!$B$7)+(AC307*Settings!$B$14)+(AD307*Settings!$B$15)+(AE307*Settings!$B$16)+(AF307*Settings!$B$17)+(AG307*Settings!$B$18)+(Y307*Settings!$B$10)+(Z307*Settings!$B$11),VLOOKUP(B307,'Standard Deviations'!A$1:C$672,3,FALSE))</f>
        <v>3.2635276203471508</v>
      </c>
      <c r="J307" s="53" cm="1">
        <f t="array" ref="J307">IF(D307="G",I307/AJ307,I307/Q307)</f>
        <v>3.9799117321306719E-2</v>
      </c>
      <c r="K307" s="52" cm="1">
        <f t="array" ref="K307">IF(Settings!$E$18="C/LW/RW",VLOOKUP(B307,RW!A1:F210,6,FALSE),VLOOKUP(B307,F!A1:F407,6,FALSE))</f>
        <v>-3.6237069814619267</v>
      </c>
      <c r="L307" s="54" cm="1">
        <f t="array" ref="L307">IFERROR(K307/H307,"N/A")</f>
        <v>-0.64709053240391556</v>
      </c>
      <c r="M307" s="55">
        <v>142.1</v>
      </c>
      <c r="N307" s="55" cm="1">
        <f t="array" ref="N307">IFERROR(M307-A307,"N/A")</f>
        <v>-131.9</v>
      </c>
      <c r="O307" s="55"/>
      <c r="P307" s="56" t="str" cm="1">
        <f t="array" ref="P307">_xlfn.XLOOKUP($B307,ADP!A2:A671,ADP!G2:G671)</f>
        <v>+</v>
      </c>
      <c r="Q307" s="57" cm="1">
        <f t="array" ref="Q307">IF(Settings!$E$12="YES",VLOOKUP(B307,'Player Data'!A1:E673,5,FALSE),84)</f>
        <v>82</v>
      </c>
      <c r="R307" s="55" cm="1">
        <f t="array" ref="R307">VLOOKUP(B307,'Player Data'!$A1:$AE673,6,FALSE)</f>
        <v>18</v>
      </c>
      <c r="S307" s="57" cm="1">
        <f t="array" ref="S307">VLOOKUP(B307,'Player Data'!$A1:$AE673,7,FALSE)*$Q307*IFERROR((VLOOKUP(P307,Settings!$E$28:$F$33,2,FALSE)+1),1)</f>
        <v>18.942</v>
      </c>
      <c r="T307" s="57" cm="1">
        <f t="array" ref="T307">VLOOKUP(B307,'Player Data'!$A1:$AE673,8,FALSE)*$Q307*IFERROR((VLOOKUP(P307,Settings!$E$28:$F$33,2,FALSE)+1),1)</f>
        <v>40.466999999999999</v>
      </c>
      <c r="U307" s="57" cm="1">
        <f t="array" ref="U307">SUM(S307:T307)</f>
        <v>59.408999999999999</v>
      </c>
      <c r="V307" s="57" cm="1">
        <f t="array" ref="V307">VLOOKUP(B307,'Player Data'!$A1:$AE673,10,FALSE)*$Q307*IFERROR(((VLOOKUP(P307,Settings!$E$28:$F$33,2,FALSE)/2)+1),1)</f>
        <v>168.94049999999999</v>
      </c>
      <c r="W307" s="57" cm="1">
        <f t="array" ref="W307">VLOOKUP(B307,'Player Data'!$A1:$AE673,11,FALSE)*$Q307*IFERROR((VLOOKUP(P307,Settings!$E$28:$F$33,2,FALSE)+1),1)</f>
        <v>6.0270000000000001</v>
      </c>
      <c r="X307" s="78" cm="1">
        <f t="array" ref="X307">VLOOKUP(B307,'Player Data'!$A1:$AE673,12,FALSE)*$Q307*IFERROR((VLOOKUP(P307,Settings!$E$28:$F$33,2,FALSE)+1),1)</f>
        <v>19.803000000000001</v>
      </c>
      <c r="Y307" s="57" cm="1">
        <f t="array" ref="Y307">VLOOKUP(B307,'Player Data'!$A1:$AE673,13,FALSE)*$Q307</f>
        <v>0</v>
      </c>
      <c r="Z307" s="57" cm="1">
        <f t="array" ref="Z307">VLOOKUP(B307,'Player Data'!$A1:$AE673,14,FALSE)*$Q307</f>
        <v>0</v>
      </c>
      <c r="AA307" s="57" cm="1">
        <f t="array" ref="AA307">VLOOKUP(B307,'Player Data'!$A1:$AE673,15,FALSE)*$Q307</f>
        <v>47.559999999999995</v>
      </c>
      <c r="AB307" s="57" cm="1">
        <f t="array" ref="AB307">VLOOKUP(B307,'Player Data'!$A1:$AE673,16,FALSE)*$Q307</f>
        <v>64.78</v>
      </c>
      <c r="AC307" s="57" cm="1">
        <f t="array" ref="AC307">VLOOKUP(B307,'Player Data'!$A1:$AE673,17,FALSE)*$Q307*IFERROR((VLOOKUP(P307,Settings!$E$28:$F$33,2,FALSE)+1),1)</f>
        <v>0.8610000000000001</v>
      </c>
      <c r="AD307" s="57" cm="1">
        <f t="array" ref="AD307">VLOOKUP(B307,'Player Data'!$A1:$AE673,18,FALSE)*$Q307</f>
        <v>28.7</v>
      </c>
      <c r="AE307" s="57" cm="1">
        <f t="array" ref="AE307">VLOOKUP(B307,'Player Data'!$A1:$AE673,19,FALSE)*$Q307*IFERROR((VLOOKUP(P307,Settings!$E$28:$F$33,2,FALSE)+1),1)</f>
        <v>3.4440000000000004</v>
      </c>
      <c r="AF307" s="57" cm="1">
        <f t="array" ref="AF307">VLOOKUP(B307,'Player Data'!$A1:$AE673,20,FALSE)*$Q307</f>
        <v>19.68</v>
      </c>
      <c r="AG307" s="57" cm="1">
        <f t="array" ref="AG307">VLOOKUP(B307,'Player Data'!$A1:$AE673,21,FALSE)*$Q307</f>
        <v>41</v>
      </c>
      <c r="AH307" s="59" cm="1">
        <f t="array" ref="AH307">VLOOKUP(B307,'Player Data'!$A1:$AE673,22,FALSE)</f>
        <v>0.33</v>
      </c>
      <c r="AI307" s="55"/>
      <c r="AJ307" s="57"/>
      <c r="AK307" s="57"/>
      <c r="AL307" s="57"/>
      <c r="AM307" s="57"/>
      <c r="AN307" s="57"/>
      <c r="AO307" s="57"/>
      <c r="AP307" s="57"/>
      <c r="AQ307" s="60"/>
      <c r="AR307" s="61"/>
      <c r="AS307" s="55"/>
    </row>
    <row r="308" spans="1:45" ht="21.25" customHeight="1" x14ac:dyDescent="0.15">
      <c r="A308" s="62">
        <f>RANK(K308,K$2:K$671)</f>
        <v>329</v>
      </c>
      <c r="B308" s="10" t="s">
        <v>560</v>
      </c>
      <c r="C308" s="47" t="s">
        <v>145</v>
      </c>
      <c r="D308" s="48" t="str" cm="1">
        <f t="array" ref="D308">VLOOKUP(B308,'Player Data'!A1:D673,4,FALSE)</f>
        <v>D</v>
      </c>
      <c r="E308" s="68" cm="1">
        <f t="array" ref="E308">VLOOKUP(B308,D!A1:C204,3,FALSE)</f>
        <v>155</v>
      </c>
      <c r="F308" s="63" t="str" cm="1">
        <f t="array" ref="F308">VLOOKUP(B308,'Player Data'!A1:B673,2,FALSE)</f>
        <v>EDM</v>
      </c>
      <c r="G308" s="71" cm="1">
        <f t="array" ref="G308">VLOOKUP(B308,'Player Data'!A1:D673,3,FALSE)</f>
        <v>24</v>
      </c>
      <c r="H308" s="51" cm="1">
        <f t="array" ref="H308">IFERROR(VLOOKUP(B308,ADP!A1:F671,6,FALSE)/1000000,VLOOKUP(B308,ADP!A1:F671,6,FALSE))</f>
        <v>1.75</v>
      </c>
      <c r="I308" s="52">
        <f>IF(Settings!$E$15="POINTS",((R308*Q308)*Settings!$B$12)+(S308*Settings!$B$2)+(T308*Settings!$B$3)+(U308*Settings!$B$4)+(V308*Settings!$B$5)+(X308*Settings!$B$9)+(AA308*Settings!$B$6)+(W308*Settings!$B$8)+(AB308*Settings!$B$7)+(AC308*Settings!$B$14)+(AD308*Settings!$B$15)+(AE308*Settings!$B$16)+(AF308*Settings!$B$17)+(AG308*Settings!$B$18)+(U308*Settings!$B$13)+(Y308*Settings!$B$10)+(Z308*Settings!$B$11),VLOOKUP(B308,'Standard Deviations'!A$1:C$672,3,FALSE))</f>
        <v>-4.0093014959949658</v>
      </c>
      <c r="J308" s="53" cm="1">
        <f t="array" ref="J308">IF(D308="G",I308/AJ308,I308/Q308)</f>
        <v>-6.3639706285634381E-2</v>
      </c>
      <c r="K308" s="52" cm="1">
        <f t="array" ref="K308">VLOOKUP(B308,D!A1:F204,6,FALSE)</f>
        <v>-4.5761524105125204</v>
      </c>
      <c r="L308" s="54" cm="1">
        <f t="array" ref="L308">IFERROR(K308/H308,"N/A")</f>
        <v>-2.6149442345785832</v>
      </c>
      <c r="M308" s="84" t="s">
        <v>828</v>
      </c>
      <c r="N308" s="84" t="str" cm="1">
        <f t="array" ref="N308">IFERROR(M308-A308,"N/A")</f>
        <v>N/A</v>
      </c>
      <c r="O308" s="55"/>
      <c r="P308" s="56" cm="1">
        <f t="array" ref="P308">_xlfn.XLOOKUP($B308,ADP!A2:A671,ADP!G2:G671)</f>
        <v>0</v>
      </c>
      <c r="Q308" s="57" cm="1">
        <f t="array" ref="Q308">IF(Settings!$E$12="YES",VLOOKUP(B308,'Player Data'!A1:E673,5,FALSE),84)</f>
        <v>63</v>
      </c>
      <c r="R308" s="83" cm="1">
        <f t="array" ref="R308">VLOOKUP(B308,'Player Data'!$A1:$AE673,6,FALSE)</f>
        <v>16</v>
      </c>
      <c r="S308" s="57" cm="1">
        <f t="array" ref="S308">VLOOKUP(B308,'Player Data'!$A1:$AE673,7,FALSE)*$Q308*IFERROR((VLOOKUP(P308,Settings!$E$28:$F$33,2,FALSE)+1),1)</f>
        <v>4.41</v>
      </c>
      <c r="T308" s="57" cm="1">
        <f t="array" ref="T308">VLOOKUP(B308,'Player Data'!$A1:$AE673,8,FALSE)*$Q308*IFERROR((VLOOKUP(P308,Settings!$E$28:$F$33,2,FALSE)+1),1)</f>
        <v>9.4499999999999993</v>
      </c>
      <c r="U308" s="57" cm="1">
        <f t="array" ref="U308">SUM(S308:T308)</f>
        <v>13.86</v>
      </c>
      <c r="V308" s="57" cm="1">
        <f t="array" ref="V308">VLOOKUP(B308,'Player Data'!$A1:$AE673,10,FALSE)*$Q308*IFERROR(((VLOOKUP(P308,Settings!$E$28:$F$33,2,FALSE)/2)+1),1)</f>
        <v>58.59</v>
      </c>
      <c r="W308" s="57" cm="1">
        <f t="array" ref="W308">VLOOKUP(B308,'Player Data'!$A1:$AE673,11,FALSE)*$Q308*IFERROR((VLOOKUP(P308,Settings!$E$28:$F$33,2,FALSE)+1),1)</f>
        <v>0</v>
      </c>
      <c r="X308" s="57" cm="1">
        <f t="array" ref="X308">VLOOKUP(B308,'Player Data'!$A1:$AE673,12,FALSE)*$Q308*IFERROR((VLOOKUP(P308,Settings!$E$28:$F$33,2,FALSE)+1),1)</f>
        <v>0</v>
      </c>
      <c r="Y308" s="57" cm="1">
        <f t="array" ref="Y308">VLOOKUP(B308,'Player Data'!$A1:$AE673,13,FALSE)*$Q308</f>
        <v>0</v>
      </c>
      <c r="Z308" s="57" cm="1">
        <f t="array" ref="Z308">VLOOKUP(B308,'Player Data'!$A1:$AE673,14,FALSE)*$Q308</f>
        <v>0</v>
      </c>
      <c r="AA308" s="57" cm="1">
        <f t="array" ref="AA308">VLOOKUP(B308,'Player Data'!$A1:$AE673,15,FALSE)*$Q308</f>
        <v>77.489999999999995</v>
      </c>
      <c r="AB308" s="57" cm="1">
        <f t="array" ref="AB308">VLOOKUP(B308,'Player Data'!$A1:$AE673,16,FALSE)*$Q308</f>
        <v>52.919999999999995</v>
      </c>
      <c r="AC308" s="57" cm="1">
        <f t="array" ref="AC308">VLOOKUP(B308,'Player Data'!$A1:$AE673,17,FALSE)*$Q308*IFERROR((VLOOKUP(P308,Settings!$E$28:$F$33,2,FALSE)+1),1)</f>
        <v>3.1500000000000004</v>
      </c>
      <c r="AD308" s="57" cm="1">
        <f t="array" ref="AD308">VLOOKUP(B308,'Player Data'!$A1:$AE673,18,FALSE)*$Q308</f>
        <v>23.94</v>
      </c>
      <c r="AE308" s="57" cm="1">
        <f t="array" ref="AE308">VLOOKUP(B308,'Player Data'!$A1:$AE673,19,FALSE)*$Q308*IFERROR((VLOOKUP(P308,Settings!$E$28:$F$33,2,FALSE)+1),1)</f>
        <v>0.63</v>
      </c>
      <c r="AF308" s="57" cm="1">
        <f t="array" ref="AF308">VLOOKUP(B308,'Player Data'!$A1:$AE673,20,FALSE)*$Q308</f>
        <v>0</v>
      </c>
      <c r="AG308" s="57" cm="1">
        <f t="array" ref="AG308">VLOOKUP(B308,'Player Data'!$A1:$AE673,21,FALSE)*$Q308</f>
        <v>0</v>
      </c>
      <c r="AH308" s="59" cm="1">
        <f t="array" ref="AH308">VLOOKUP(B308,'Player Data'!$A1:$AE673,22,FALSE)</f>
        <v>0</v>
      </c>
      <c r="AI308" s="55"/>
      <c r="AJ308" s="57"/>
      <c r="AK308" s="57"/>
      <c r="AL308" s="57"/>
      <c r="AM308" s="57"/>
      <c r="AN308" s="57"/>
      <c r="AO308" s="57"/>
      <c r="AP308" s="57"/>
      <c r="AQ308" s="60"/>
      <c r="AR308" s="61"/>
      <c r="AS308" s="55"/>
    </row>
    <row r="309" spans="1:45" ht="21.25" customHeight="1" x14ac:dyDescent="0.15">
      <c r="A309" s="62">
        <f>RANK(K309,K$2:K$671)</f>
        <v>331</v>
      </c>
      <c r="B309" s="10" t="s">
        <v>619</v>
      </c>
      <c r="C309" s="47" t="s">
        <v>145</v>
      </c>
      <c r="D309" s="48" t="str" cm="1">
        <f t="array" ref="D309">VLOOKUP(B309,'Player Data'!A1:D673,4,FALSE)</f>
        <v>D</v>
      </c>
      <c r="E309" s="68" cm="1">
        <f t="array" ref="E309">VLOOKUP(B309,D!A1:C204,3,FALSE)</f>
        <v>156</v>
      </c>
      <c r="F309" s="70" t="str" cm="1">
        <f t="array" ref="F309">VLOOKUP(B309,'Player Data'!A1:B673,2,FALSE)</f>
        <v>MIN</v>
      </c>
      <c r="G309" s="66" cm="1">
        <f t="array" ref="G309">VLOOKUP(B309,'Player Data'!A1:D673,3,FALSE)</f>
        <v>36</v>
      </c>
      <c r="H309" s="67" cm="1">
        <f t="array" ref="H309">IFERROR(VLOOKUP(B309,ADP!A1:F671,6,FALSE)/1000000,VLOOKUP(B309,ADP!A1:F671,6,FALSE))</f>
        <v>1.25</v>
      </c>
      <c r="I309" s="52">
        <f>IF(Settings!$E$15="POINTS",((R309*Q309)*Settings!$B$12)+(S309*Settings!$B$2)+(T309*Settings!$B$3)+(U309*Settings!$B$4)+(V309*Settings!$B$5)+(X309*Settings!$B$9)+(AA309*Settings!$B$6)+(W309*Settings!$B$8)+(AB309*Settings!$B$7)+(AC309*Settings!$B$14)+(AD309*Settings!$B$15)+(AE309*Settings!$B$16)+(AF309*Settings!$B$17)+(AG309*Settings!$B$18)+(U309*Settings!$B$13)+(Y309*Settings!$B$10)+(Z309*Settings!$B$11),VLOOKUP(B309,'Standard Deviations'!A$1:C$672,3,FALSE))</f>
        <v>-4.0191473225993892</v>
      </c>
      <c r="J309" s="53" cm="1">
        <f t="array" ref="J309">IF(D309="G",I309/AJ309,I309/Q309)</f>
        <v>-5.3588630967991858E-2</v>
      </c>
      <c r="K309" s="52" cm="1">
        <f t="array" ref="K309">VLOOKUP(B309,D!A1:F204,6,FALSE)</f>
        <v>-4.5859982371169439</v>
      </c>
      <c r="L309" s="54" cm="1">
        <f t="array" ref="L309">IFERROR(K309/H309,"N/A")</f>
        <v>-3.6687985896935551</v>
      </c>
      <c r="M309" s="84" t="s">
        <v>828</v>
      </c>
      <c r="N309" s="84" t="str" cm="1">
        <f t="array" ref="N309">IFERROR(M309-A309,"N/A")</f>
        <v>N/A</v>
      </c>
      <c r="O309" s="55"/>
      <c r="P309" s="56" cm="1">
        <f t="array" ref="P309">_xlfn.XLOOKUP($B309,ADP!A2:A671,ADP!G2:G671)</f>
        <v>0</v>
      </c>
      <c r="Q309" s="57" cm="1">
        <f t="array" ref="Q309">IF(Settings!$E$12="YES",VLOOKUP(B309,'Player Data'!A1:E673,5,FALSE),84)</f>
        <v>75</v>
      </c>
      <c r="R309" s="55" cm="1">
        <f t="array" ref="R309">VLOOKUP(B309,'Player Data'!$A1:$AE673,6,FALSE)</f>
        <v>14.2</v>
      </c>
      <c r="S309" s="57" cm="1">
        <f t="array" ref="S309">VLOOKUP(B309,'Player Data'!$A1:$AE673,7,FALSE)*$Q309*IFERROR((VLOOKUP(P309,Settings!$E$28:$F$33,2,FALSE)+1),1)</f>
        <v>1.5</v>
      </c>
      <c r="T309" s="57" cm="1">
        <f t="array" ref="T309">VLOOKUP(B309,'Player Data'!$A1:$AE673,8,FALSE)*$Q309*IFERROR((VLOOKUP(P309,Settings!$E$28:$F$33,2,FALSE)+1),1)</f>
        <v>8.25</v>
      </c>
      <c r="U309" s="57" cm="1">
        <f t="array" ref="U309">SUM(S309:T309)</f>
        <v>9.75</v>
      </c>
      <c r="V309" s="57" cm="1">
        <f t="array" ref="V309">VLOOKUP(B309,'Player Data'!$A1:$AE673,10,FALSE)*$Q309*IFERROR(((VLOOKUP(P309,Settings!$E$28:$F$33,2,FALSE)/2)+1),1)</f>
        <v>53.25</v>
      </c>
      <c r="W309" s="57" cm="1">
        <f t="array" ref="W309">VLOOKUP(B309,'Player Data'!$A1:$AE673,11,FALSE)*$Q309*IFERROR((VLOOKUP(P309,Settings!$E$28:$F$33,2,FALSE)+1),1)</f>
        <v>0</v>
      </c>
      <c r="X309" s="57" cm="1">
        <f t="array" ref="X309">VLOOKUP(B309,'Player Data'!$A1:$AE673,12,FALSE)*$Q309*IFERROR((VLOOKUP(P309,Settings!$E$28:$F$33,2,FALSE)+1),1)</f>
        <v>0</v>
      </c>
      <c r="Y309" s="57" cm="1">
        <f t="array" ref="Y309">VLOOKUP(B309,'Player Data'!$A1:$AE673,13,FALSE)*$Q309</f>
        <v>0</v>
      </c>
      <c r="Z309" s="57" cm="1">
        <f t="array" ref="Z309">VLOOKUP(B309,'Player Data'!$A1:$AE673,14,FALSE)*$Q309</f>
        <v>0</v>
      </c>
      <c r="AA309" s="57" cm="1">
        <f t="array" ref="AA309">VLOOKUP(B309,'Player Data'!$A1:$AE673,15,FALSE)*$Q309</f>
        <v>69.75</v>
      </c>
      <c r="AB309" s="57" cm="1">
        <f t="array" ref="AB309">VLOOKUP(B309,'Player Data'!$A1:$AE673,16,FALSE)*$Q309</f>
        <v>84.749999999999986</v>
      </c>
      <c r="AC309" s="57" cm="1">
        <f t="array" ref="AC309">VLOOKUP(B309,'Player Data'!$A1:$AE673,17,FALSE)*$Q309*IFERROR((VLOOKUP(P309,Settings!$E$28:$F$33,2,FALSE)+1),1)</f>
        <v>2.25</v>
      </c>
      <c r="AD309" s="57" cm="1">
        <f t="array" ref="AD309">VLOOKUP(B309,'Player Data'!$A1:$AE673,18,FALSE)*$Q309</f>
        <v>33.75</v>
      </c>
      <c r="AE309" s="57" cm="1">
        <f t="array" ref="AE309">VLOOKUP(B309,'Player Data'!$A1:$AE673,19,FALSE)*$Q309*IFERROR((VLOOKUP(P309,Settings!$E$28:$F$33,2,FALSE)+1),1)</f>
        <v>0</v>
      </c>
      <c r="AF309" s="57" cm="1">
        <f t="array" ref="AF309">VLOOKUP(B309,'Player Data'!$A1:$AE673,20,FALSE)*$Q309</f>
        <v>0</v>
      </c>
      <c r="AG309" s="57" cm="1">
        <f t="array" ref="AG309">VLOOKUP(B309,'Player Data'!$A1:$AE673,21,FALSE)*$Q309</f>
        <v>0.75</v>
      </c>
      <c r="AH309" s="59" cm="1">
        <f t="array" ref="AH309">VLOOKUP(B309,'Player Data'!$A1:$AE673,22,FALSE)</f>
        <v>0</v>
      </c>
      <c r="AI309" s="55"/>
      <c r="AJ309" s="57"/>
      <c r="AK309" s="57"/>
      <c r="AL309" s="57"/>
      <c r="AM309" s="57"/>
      <c r="AN309" s="57"/>
      <c r="AO309" s="57"/>
      <c r="AP309" s="57"/>
      <c r="AQ309" s="60"/>
      <c r="AR309" s="61"/>
      <c r="AS309" s="55"/>
    </row>
    <row r="310" spans="1:45" ht="21.25" customHeight="1" x14ac:dyDescent="0.15">
      <c r="A310" s="62">
        <f>RANK(K310,K$2:K$671)</f>
        <v>275</v>
      </c>
      <c r="B310" s="10" t="s">
        <v>331</v>
      </c>
      <c r="C310" s="47" t="s">
        <v>145</v>
      </c>
      <c r="D310" s="48" t="str" cm="1">
        <f t="array" ref="D310">VLOOKUP(B310,'Player Data'!A1:D673,4,FALSE)</f>
        <v>C</v>
      </c>
      <c r="E310" s="49" cm="1">
        <f t="array" ref="E310">VLOOKUP(B310,'C'!A1:C210,3,FALSE)</f>
        <v>58</v>
      </c>
      <c r="F310" s="65" t="str" cm="1">
        <f t="array" ref="F310">VLOOKUP(B310,'Player Data'!A1:B673,2,FALSE)</f>
        <v>STL</v>
      </c>
      <c r="G310" s="71" cm="1">
        <f t="array" ref="G310">VLOOKUP(B310,'Player Data'!A1:D673,3,FALSE)</f>
        <v>23</v>
      </c>
      <c r="H310" s="51" cm="1">
        <f t="array" ref="H310">IFERROR(VLOOKUP(B310,ADP!A1:F671,6,FALSE)/1000000,VLOOKUP(B310,ADP!A1:F671,6,FALSE))</f>
        <v>7</v>
      </c>
      <c r="I310" s="52">
        <f>IF(Settings!$E$15="POINTS",((R310*Q310)*Settings!$B$12)+(S310*Settings!$B$2)+(T310*Settings!$B$3)+(U310*Settings!$B$4)+(V310*Settings!$B$5)+(X310*Settings!$B$9)+(AA310*Settings!$B$6)+(W310*Settings!$B$8)+(AB310*Settings!$B$7)+(AC310*Settings!$B$14)+(AD310*Settings!$B$15)+(AE310*Settings!$B$16)+(AF310*Settings!$B$17)+(AG310*Settings!$B$18)+(Y310*Settings!$B$10)+(Z310*Settings!$B$11),VLOOKUP(B310,'Standard Deviations'!A$1:C$672,3,FALSE))</f>
        <v>2.6789282143720397</v>
      </c>
      <c r="J310" s="53" cm="1">
        <f t="array" ref="J310">IF(D310="G",I310/AJ310,I310/Q310)</f>
        <v>3.3486602679650493E-2</v>
      </c>
      <c r="K310" s="52" cm="1">
        <f t="array" ref="K310">IF(Settings!$E$18="C/LW/RW",VLOOKUP(B310,'C'!A1:F210,6,FALSE),VLOOKUP(B310,F!A1:F407,6,FALSE))</f>
        <v>-3.6810813432430245</v>
      </c>
      <c r="L310" s="54" cm="1">
        <f t="array" ref="L310">IFERROR(K310/H310,"N/A")</f>
        <v>-0.52586876332043209</v>
      </c>
      <c r="M310" s="55">
        <v>135.30000000000001</v>
      </c>
      <c r="N310" s="55" cm="1">
        <f t="array" ref="N310">IFERROR(M310-A310,"N/A")</f>
        <v>-139.69999999999999</v>
      </c>
      <c r="O310" s="55"/>
      <c r="P310" s="56" cm="1">
        <f t="array" ref="P310">_xlfn.XLOOKUP($B310,ADP!A2:A671,ADP!G2:G671)</f>
        <v>0</v>
      </c>
      <c r="Q310" s="57" cm="1">
        <f t="array" ref="Q310">IF(Settings!$E$12="YES",VLOOKUP(B310,'Player Data'!A1:E673,5,FALSE),84)</f>
        <v>80</v>
      </c>
      <c r="R310" s="81" cm="1">
        <f t="array" ref="R310">VLOOKUP(B310,'Player Data'!$A1:$AE673,6,FALSE)</f>
        <v>17</v>
      </c>
      <c r="S310" s="57" cm="1">
        <f t="array" ref="S310">VLOOKUP(B310,'Player Data'!$A1:$AE673,7,FALSE)*$Q310*IFERROR((VLOOKUP(P310,Settings!$E$28:$F$33,2,FALSE)+1),1)</f>
        <v>23.2</v>
      </c>
      <c r="T310" s="57" cm="1">
        <f t="array" ref="T310">VLOOKUP(B310,'Player Data'!$A1:$AE673,8,FALSE)*$Q310*IFERROR((VLOOKUP(P310,Settings!$E$28:$F$33,2,FALSE)+1),1)</f>
        <v>32</v>
      </c>
      <c r="U310" s="57" cm="1">
        <f t="array" ref="U310">SUM(S310:T310)</f>
        <v>55.2</v>
      </c>
      <c r="V310" s="57" cm="1">
        <f t="array" ref="V310">VLOOKUP(B310,'Player Data'!$A1:$AE673,10,FALSE)*$Q310*IFERROR(((VLOOKUP(P310,Settings!$E$28:$F$33,2,FALSE)/2)+1),1)</f>
        <v>178.4</v>
      </c>
      <c r="W310" s="57" cm="1">
        <f t="array" ref="W310">VLOOKUP(B310,'Player Data'!$A1:$AE673,11,FALSE)*$Q310*IFERROR((VLOOKUP(P310,Settings!$E$28:$F$33,2,FALSE)+1),1)</f>
        <v>6.4</v>
      </c>
      <c r="X310" s="78" cm="1">
        <f t="array" ref="X310">VLOOKUP(B310,'Player Data'!$A1:$AE673,12,FALSE)*$Q310*IFERROR((VLOOKUP(P310,Settings!$E$28:$F$33,2,FALSE)+1),1)</f>
        <v>14.399999999999999</v>
      </c>
      <c r="Y310" s="57" cm="1">
        <f t="array" ref="Y310">VLOOKUP(B310,'Player Data'!$A1:$AE673,13,FALSE)*$Q310</f>
        <v>0</v>
      </c>
      <c r="Z310" s="57" cm="1">
        <f t="array" ref="Z310">VLOOKUP(B310,'Player Data'!$A1:$AE673,14,FALSE)*$Q310</f>
        <v>0</v>
      </c>
      <c r="AA310" s="57" cm="1">
        <f t="array" ref="AA310">VLOOKUP(B310,'Player Data'!$A1:$AE673,15,FALSE)*$Q310</f>
        <v>36.800000000000004</v>
      </c>
      <c r="AB310" s="57" cm="1">
        <f t="array" ref="AB310">VLOOKUP(B310,'Player Data'!$A1:$AE673,16,FALSE)*$Q310</f>
        <v>97.6</v>
      </c>
      <c r="AC310" s="57" cm="1">
        <f t="array" ref="AC310">VLOOKUP(B310,'Player Data'!$A1:$AE673,17,FALSE)*$Q310*IFERROR((VLOOKUP(P310,Settings!$E$28:$F$33,2,FALSE)+1),1)</f>
        <v>-2.4</v>
      </c>
      <c r="AD310" s="57" cm="1">
        <f t="array" ref="AD310">VLOOKUP(B310,'Player Data'!$A1:$AE673,18,FALSE)*$Q310</f>
        <v>52</v>
      </c>
      <c r="AE310" s="57" cm="1">
        <f t="array" ref="AE310">VLOOKUP(B310,'Player Data'!$A1:$AE673,19,FALSE)*$Q310*IFERROR((VLOOKUP(P310,Settings!$E$28:$F$33,2,FALSE)+1),1)</f>
        <v>3.2</v>
      </c>
      <c r="AF310" s="57" cm="1">
        <f t="array" ref="AF310">VLOOKUP(B310,'Player Data'!$A1:$AE673,20,FALSE)*$Q310</f>
        <v>479.20000000000005</v>
      </c>
      <c r="AG310" s="57" cm="1">
        <f t="array" ref="AG310">VLOOKUP(B310,'Player Data'!$A1:$AE673,21,FALSE)*$Q310</f>
        <v>476</v>
      </c>
      <c r="AH310" s="59" cm="1">
        <f t="array" ref="AH310">VLOOKUP(B310,'Player Data'!$A1:$AE673,22,FALSE)</f>
        <v>0.5</v>
      </c>
      <c r="AI310" s="55"/>
      <c r="AJ310" s="57"/>
      <c r="AK310" s="57"/>
      <c r="AL310" s="57"/>
      <c r="AM310" s="57"/>
      <c r="AN310" s="57"/>
      <c r="AO310" s="57"/>
      <c r="AP310" s="57"/>
      <c r="AQ310" s="60"/>
      <c r="AR310" s="61"/>
      <c r="AS310" s="55"/>
    </row>
    <row r="311" spans="1:45" ht="21.25" customHeight="1" x14ac:dyDescent="0.15">
      <c r="A311" s="62">
        <f>RANK(K311,K$2:K$671)</f>
        <v>281</v>
      </c>
      <c r="B311" s="10" t="s">
        <v>455</v>
      </c>
      <c r="C311" s="47" t="s">
        <v>145</v>
      </c>
      <c r="D311" s="48" t="str" cm="1">
        <f t="array" ref="D311">VLOOKUP(B311,'Player Data'!A1:D673,4,FALSE)</f>
        <v>LW</v>
      </c>
      <c r="E311" s="75" cm="1">
        <f t="array" ref="E311">VLOOKUP(B311,LW!A1:C210,3,FALSE)</f>
        <v>54</v>
      </c>
      <c r="F311" s="63" t="str" cm="1">
        <f t="array" ref="F311">VLOOKUP(B311,'Player Data'!A1:B673,2,FALSE)</f>
        <v>VGK</v>
      </c>
      <c r="G311" s="11" cm="1">
        <f t="array" ref="G311">VLOOKUP(B311,'Player Data'!A1:D673,3,FALSE)</f>
        <v>30</v>
      </c>
      <c r="H311" s="51" cm="1">
        <f t="array" ref="H311">IFERROR(VLOOKUP(B311,ADP!A1:F671,6,FALSE)/1000000,VLOOKUP(B311,ADP!A1:F671,6,FALSE))</f>
        <v>5</v>
      </c>
      <c r="I311" s="52">
        <f>IF(Settings!$E$15="POINTS",((R311*Q311)*Settings!$B$12)+(S311*Settings!$B$2)+(T311*Settings!$B$3)+(U311*Settings!$B$4)+(V311*Settings!$B$5)+(X311*Settings!$B$9)+(AA311*Settings!$B$6)+(W311*Settings!$B$8)+(AB311*Settings!$B$7)+(AC311*Settings!$B$14)+(AD311*Settings!$B$15)+(AE311*Settings!$B$16)+(AF311*Settings!$B$17)+(AG311*Settings!$B$18)+(Y311*Settings!$B$10)+(Z311*Settings!$B$11),VLOOKUP(B311,'Standard Deviations'!A$1:C$672,3,FALSE))</f>
        <v>3.1363407471087372</v>
      </c>
      <c r="J311" s="53" cm="1">
        <f t="array" ref="J311">IF(D311="G",I311/AJ311,I311/Q311)</f>
        <v>3.8248057891569966E-2</v>
      </c>
      <c r="K311" s="52" cm="1">
        <f t="array" ref="K311">IF(Settings!$E$18="C/LW/RW",VLOOKUP(B311,LW!A1:F210,6,FALSE),VLOOKUP(B311,F!A1:F407,6,FALSE))</f>
        <v>-3.7580448972810725</v>
      </c>
      <c r="L311" s="54" cm="1">
        <f t="array" ref="L311">IFERROR(K311/H311,"N/A")</f>
        <v>-0.75160897945621452</v>
      </c>
      <c r="M311" s="55">
        <v>146.6</v>
      </c>
      <c r="N311" s="55" cm="1">
        <f t="array" ref="N311">IFERROR(M311-A311,"N/A")</f>
        <v>-134.4</v>
      </c>
      <c r="O311" s="55"/>
      <c r="P311" s="56" cm="1">
        <f t="array" ref="P311">_xlfn.XLOOKUP($B311,ADP!A2:A671,ADP!G2:G671)</f>
        <v>0</v>
      </c>
      <c r="Q311" s="57" cm="1">
        <f t="array" ref="Q311">IF(Settings!$E$12="YES",VLOOKUP(B311,'Player Data'!A1:E673,5,FALSE),84)</f>
        <v>82</v>
      </c>
      <c r="R311" s="55" cm="1">
        <f t="array" ref="R311">VLOOKUP(B311,'Player Data'!$A1:$AE673,6,FALSE)</f>
        <v>15.7</v>
      </c>
      <c r="S311" s="57" cm="1">
        <f t="array" ref="S311">VLOOKUP(B311,'Player Data'!$A1:$AE673,7,FALSE)*$Q311*IFERROR((VLOOKUP(P311,Settings!$E$28:$F$33,2,FALSE)+1),1)</f>
        <v>21.32</v>
      </c>
      <c r="T311" s="57" cm="1">
        <f t="array" ref="T311">VLOOKUP(B311,'Player Data'!$A1:$AE673,8,FALSE)*$Q311*IFERROR((VLOOKUP(P311,Settings!$E$28:$F$33,2,FALSE)+1),1)</f>
        <v>31.16</v>
      </c>
      <c r="U311" s="57" cm="1">
        <f t="array" ref="U311">SUM(S311:T311)</f>
        <v>52.480000000000004</v>
      </c>
      <c r="V311" s="57" cm="1">
        <f t="array" ref="V311">VLOOKUP(B311,'Player Data'!$A1:$AE673,10,FALSE)*$Q311*IFERROR(((VLOOKUP(P311,Settings!$E$28:$F$33,2,FALSE)/2)+1),1)</f>
        <v>127.92</v>
      </c>
      <c r="W311" s="57" cm="1">
        <f t="array" ref="W311">VLOOKUP(B311,'Player Data'!$A1:$AE673,11,FALSE)*$Q311*IFERROR((VLOOKUP(P311,Settings!$E$28:$F$33,2,FALSE)+1),1)</f>
        <v>1.6400000000000001</v>
      </c>
      <c r="X311" s="57" cm="1">
        <f t="array" ref="X311">VLOOKUP(B311,'Player Data'!$A1:$AE673,12,FALSE)*$Q311*IFERROR((VLOOKUP(P311,Settings!$E$28:$F$33,2,FALSE)+1),1)</f>
        <v>3.2800000000000002</v>
      </c>
      <c r="Y311" s="57" cm="1">
        <f t="array" ref="Y311">VLOOKUP(B311,'Player Data'!$A1:$AE673,13,FALSE)*$Q311</f>
        <v>0</v>
      </c>
      <c r="Z311" s="57" cm="1">
        <f t="array" ref="Z311">VLOOKUP(B311,'Player Data'!$A1:$AE673,14,FALSE)*$Q311</f>
        <v>0</v>
      </c>
      <c r="AA311" s="57" cm="1">
        <f t="array" ref="AA311">VLOOKUP(B311,'Player Data'!$A1:$AE673,15,FALSE)*$Q311</f>
        <v>36.9</v>
      </c>
      <c r="AB311" s="57" cm="1">
        <f t="array" ref="AB311">VLOOKUP(B311,'Player Data'!$A1:$AE673,16,FALSE)*$Q311</f>
        <v>125.46000000000001</v>
      </c>
      <c r="AC311" s="57" cm="1">
        <f t="array" ref="AC311">VLOOKUP(B311,'Player Data'!$A1:$AE673,17,FALSE)*$Q311*IFERROR((VLOOKUP(P311,Settings!$E$28:$F$33,2,FALSE)+1),1)</f>
        <v>7.38</v>
      </c>
      <c r="AD311" s="57" cm="1">
        <f t="array" ref="AD311">VLOOKUP(B311,'Player Data'!$A1:$AE673,18,FALSE)*$Q311</f>
        <v>22.14</v>
      </c>
      <c r="AE311" s="57" cm="1">
        <f t="array" ref="AE311">VLOOKUP(B311,'Player Data'!$A1:$AE673,19,FALSE)*$Q311*IFERROR((VLOOKUP(P311,Settings!$E$28:$F$33,2,FALSE)+1),1)</f>
        <v>4.1000000000000005</v>
      </c>
      <c r="AF311" s="57" cm="1">
        <f t="array" ref="AF311">VLOOKUP(B311,'Player Data'!$A1:$AE673,20,FALSE)*$Q311</f>
        <v>18.04</v>
      </c>
      <c r="AG311" s="57" cm="1">
        <f t="array" ref="AG311">VLOOKUP(B311,'Player Data'!$A1:$AE673,21,FALSE)*$Q311</f>
        <v>36.9</v>
      </c>
      <c r="AH311" s="59" cm="1">
        <f t="array" ref="AH311">VLOOKUP(B311,'Player Data'!$A1:$AE673,22,FALSE)</f>
        <v>0.33</v>
      </c>
      <c r="AI311" s="55"/>
      <c r="AJ311" s="57"/>
      <c r="AK311" s="57"/>
      <c r="AL311" s="57"/>
      <c r="AM311" s="57"/>
      <c r="AN311" s="57"/>
      <c r="AO311" s="57"/>
      <c r="AP311" s="57"/>
      <c r="AQ311" s="60"/>
      <c r="AR311" s="61"/>
      <c r="AS311" s="55"/>
    </row>
    <row r="312" spans="1:45" ht="21.25" customHeight="1" x14ac:dyDescent="0.15">
      <c r="A312" s="62">
        <f>RANK(K312,K$2:K$671)</f>
        <v>334</v>
      </c>
      <c r="B312" s="10" t="s">
        <v>467</v>
      </c>
      <c r="C312" s="47" t="s">
        <v>145</v>
      </c>
      <c r="D312" s="48" t="str" cm="1">
        <f t="array" ref="D312">VLOOKUP(B312,'Player Data'!A1:D673,4,FALSE)</f>
        <v>D</v>
      </c>
      <c r="E312" s="68" cm="1">
        <f t="array" ref="E312">VLOOKUP(B312,D!A1:C204,3,FALSE)</f>
        <v>157</v>
      </c>
      <c r="F312" s="72" t="str" cm="1">
        <f t="array" ref="F312">VLOOKUP(B312,'Player Data'!A1:B673,2,FALSE)</f>
        <v>PIT</v>
      </c>
      <c r="G312" s="11" cm="1">
        <f t="array" ref="G312">VLOOKUP(B312,'Player Data'!A1:D673,3,FALSE)</f>
        <v>28</v>
      </c>
      <c r="H312" s="67" cm="1">
        <f t="array" ref="H312">IFERROR(VLOOKUP(B312,ADP!A1:F671,6,FALSE)/1000000,VLOOKUP(B312,ADP!A1:F671,6,FALSE))</f>
        <v>5</v>
      </c>
      <c r="I312" s="52">
        <f>IF(Settings!$E$15="POINTS",((R312*Q312)*Settings!$B$12)+(S312*Settings!$B$2)+(T312*Settings!$B$3)+(U312*Settings!$B$4)+(V312*Settings!$B$5)+(X312*Settings!$B$9)+(AA312*Settings!$B$6)+(W312*Settings!$B$8)+(AB312*Settings!$B$7)+(AC312*Settings!$B$14)+(AD312*Settings!$B$15)+(AE312*Settings!$B$16)+(AF312*Settings!$B$17)+(AG312*Settings!$B$18)+(U312*Settings!$B$13)+(Y312*Settings!$B$10)+(Z312*Settings!$B$11),VLOOKUP(B312,'Standard Deviations'!A$1:C$672,3,FALSE))</f>
        <v>-4.0806952016364137</v>
      </c>
      <c r="J312" s="53" cm="1">
        <f t="array" ref="J312">IF(D312="G",I312/AJ312,I312/Q312)</f>
        <v>-5.2996041579693683E-2</v>
      </c>
      <c r="K312" s="52" cm="1">
        <f t="array" ref="K312">VLOOKUP(B312,D!A1:F204,6,FALSE)</f>
        <v>-4.6475461161539684</v>
      </c>
      <c r="L312" s="54" cm="1">
        <f t="array" ref="L312">IFERROR(K312/H312,"N/A")</f>
        <v>-0.92950922323079366</v>
      </c>
      <c r="M312" s="84" t="s">
        <v>828</v>
      </c>
      <c r="N312" s="84" t="str" cm="1">
        <f t="array" ref="N312">IFERROR(M312-A312,"N/A")</f>
        <v>N/A</v>
      </c>
      <c r="O312" s="55"/>
      <c r="P312" s="56" cm="1">
        <f t="array" ref="P312">_xlfn.XLOOKUP($B312,ADP!A2:A671,ADP!G2:G671)</f>
        <v>0</v>
      </c>
      <c r="Q312" s="57" cm="1">
        <f t="array" ref="Q312">IF(Settings!$E$12="YES",VLOOKUP(B312,'Player Data'!A1:E673,5,FALSE),84)</f>
        <v>77</v>
      </c>
      <c r="R312" s="55" cm="1">
        <f t="array" ref="R312">VLOOKUP(B312,'Player Data'!$A1:$AE673,6,FALSE)</f>
        <v>18.3</v>
      </c>
      <c r="S312" s="57" cm="1">
        <f t="array" ref="S312">VLOOKUP(B312,'Player Data'!$A1:$AE673,7,FALSE)*$Q312*IFERROR((VLOOKUP(P312,Settings!$E$28:$F$33,2,FALSE)+1),1)</f>
        <v>3.08</v>
      </c>
      <c r="T312" s="57" cm="1">
        <f t="array" ref="T312">VLOOKUP(B312,'Player Data'!$A1:$AE673,8,FALSE)*$Q312*IFERROR((VLOOKUP(P312,Settings!$E$28:$F$33,2,FALSE)+1),1)</f>
        <v>18.48</v>
      </c>
      <c r="U312" s="57" cm="1">
        <f t="array" ref="U312">SUM(S312:T312)</f>
        <v>21.560000000000002</v>
      </c>
      <c r="V312" s="57" cm="1">
        <f t="array" ref="V312">VLOOKUP(B312,'Player Data'!$A1:$AE673,10,FALSE)*$Q312*IFERROR(((VLOOKUP(P312,Settings!$E$28:$F$33,2,FALSE)/2)+1),1)</f>
        <v>69.3</v>
      </c>
      <c r="W312" s="57" cm="1">
        <f t="array" ref="W312">VLOOKUP(B312,'Player Data'!$A1:$AE673,11,FALSE)*$Q312*IFERROR((VLOOKUP(P312,Settings!$E$28:$F$33,2,FALSE)+1),1)</f>
        <v>0</v>
      </c>
      <c r="X312" s="57" cm="1">
        <f t="array" ref="X312">VLOOKUP(B312,'Player Data'!$A1:$AE673,12,FALSE)*$Q312*IFERROR((VLOOKUP(P312,Settings!$E$28:$F$33,2,FALSE)+1),1)</f>
        <v>0</v>
      </c>
      <c r="Y312" s="57" cm="1">
        <f t="array" ref="Y312">VLOOKUP(B312,'Player Data'!$A1:$AE673,13,FALSE)*$Q312</f>
        <v>0</v>
      </c>
      <c r="Z312" s="57" cm="1">
        <f t="array" ref="Z312">VLOOKUP(B312,'Player Data'!$A1:$AE673,14,FALSE)*$Q312</f>
        <v>0</v>
      </c>
      <c r="AA312" s="57" cm="1">
        <f t="array" ref="AA312">VLOOKUP(B312,'Player Data'!$A1:$AE673,15,FALSE)*$Q312</f>
        <v>92.399999999999991</v>
      </c>
      <c r="AB312" s="57" cm="1">
        <f t="array" ref="AB312">VLOOKUP(B312,'Player Data'!$A1:$AE673,16,FALSE)*$Q312</f>
        <v>49.28</v>
      </c>
      <c r="AC312" s="57" cm="1">
        <f t="array" ref="AC312">VLOOKUP(B312,'Player Data'!$A1:$AE673,17,FALSE)*$Q312*IFERROR((VLOOKUP(P312,Settings!$E$28:$F$33,2,FALSE)+1),1)</f>
        <v>0</v>
      </c>
      <c r="AD312" s="57" cm="1">
        <f t="array" ref="AD312">VLOOKUP(B312,'Player Data'!$A1:$AE673,18,FALSE)*$Q312</f>
        <v>22.33</v>
      </c>
      <c r="AE312" s="57" cm="1">
        <f t="array" ref="AE312">VLOOKUP(B312,'Player Data'!$A1:$AE673,19,FALSE)*$Q312*IFERROR((VLOOKUP(P312,Settings!$E$28:$F$33,2,FALSE)+1),1)</f>
        <v>0.77</v>
      </c>
      <c r="AF312" s="57" cm="1">
        <f t="array" ref="AF312">VLOOKUP(B312,'Player Data'!$A1:$AE673,20,FALSE)*$Q312</f>
        <v>0</v>
      </c>
      <c r="AG312" s="57" cm="1">
        <f t="array" ref="AG312">VLOOKUP(B312,'Player Data'!$A1:$AE673,21,FALSE)*$Q312</f>
        <v>0</v>
      </c>
      <c r="AH312" s="59" cm="1">
        <f t="array" ref="AH312">VLOOKUP(B312,'Player Data'!$A1:$AE673,22,FALSE)</f>
        <v>0</v>
      </c>
      <c r="AI312" s="55"/>
      <c r="AJ312" s="57"/>
      <c r="AK312" s="57"/>
      <c r="AL312" s="57"/>
      <c r="AM312" s="57"/>
      <c r="AN312" s="57"/>
      <c r="AO312" s="57"/>
      <c r="AP312" s="57"/>
      <c r="AQ312" s="60"/>
      <c r="AR312" s="61"/>
      <c r="AS312" s="55"/>
    </row>
    <row r="313" spans="1:45" ht="21.25" customHeight="1" x14ac:dyDescent="0.15">
      <c r="A313" s="62">
        <f>RANK(K313,K$2:K$671)</f>
        <v>324</v>
      </c>
      <c r="B313" s="10" t="s">
        <v>558</v>
      </c>
      <c r="C313" s="47" t="s">
        <v>145</v>
      </c>
      <c r="D313" s="48" t="str" cm="1">
        <f t="array" ref="D313">VLOOKUP(B313,'Player Data'!A1:D673,4,FALSE)</f>
        <v>G</v>
      </c>
      <c r="E313" s="76" cm="1">
        <f t="array" ref="E313">VLOOKUP(B313,G!A1:D66,3,FALSE)</f>
        <v>46</v>
      </c>
      <c r="F313" s="65" t="str" cm="1">
        <f t="array" ref="F313">VLOOKUP(B313,'Player Data'!A1:B673,2,FALSE)</f>
        <v>MTL</v>
      </c>
      <c r="G313" s="71" cm="1">
        <f t="array" ref="G313">VLOOKUP(B313,'Player Data'!A1:D673,3,FALSE)</f>
        <v>21</v>
      </c>
      <c r="H313" s="51" cm="1">
        <f t="array" ref="H313">IFERROR(VLOOKUP(B313,ADP!A1:F671,6,FALSE)/1000000,VLOOKUP(B313,ADP!A1:F671,6,FALSE))</f>
        <v>0.94583300000000003</v>
      </c>
      <c r="I313" s="52">
        <f>IF(Settings!$E$15="POINTS",(AJ313*Settings!$B$29)+(AK313*Settings!$B$21)+(AL313*Settings!$B$22)+(AN313*Settings!$B$24)+(AO313*Settings!$B$25)+(AP313*Settings!$B$27)+(AM313*Settings!$B$23),VLOOKUP(B313,'Standard Deviations'!A$1:C$672,3,FALSE))</f>
        <v>-2.4386556938380717</v>
      </c>
      <c r="J313" s="53" cm="1">
        <f t="array" ref="J313">IF(D313="G",I313/AJ313,I313/Q313)</f>
        <v>-8.1288523127935719E-2</v>
      </c>
      <c r="K313" s="52" cm="1">
        <f t="array" ref="K313">VLOOKUP(B313,G!A1:F66,6,FALSE)</f>
        <v>-4.4768409529617461</v>
      </c>
      <c r="L313" s="54" cm="1">
        <f t="array" ref="L313">IFERROR(K313/H313,"N/A")</f>
        <v>-4.7332255831227563</v>
      </c>
      <c r="M313" s="55">
        <v>153.4</v>
      </c>
      <c r="N313" s="55" cm="1">
        <f t="array" ref="N313">IFERROR(M313-A313,"N/A")</f>
        <v>-170.6</v>
      </c>
      <c r="O313" s="55"/>
      <c r="P313" s="56" cm="1">
        <f t="array" ref="P313">_xlfn.XLOOKUP($B313,ADP!A2:A671,ADP!G2:G671)</f>
        <v>0</v>
      </c>
      <c r="Q313" s="57"/>
      <c r="R313" s="55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9"/>
      <c r="AI313" s="55"/>
      <c r="AJ313" s="77" cm="1">
        <f t="array" ref="AJ313">VLOOKUP(B313,'Player Data'!$A1:$AE673,24,FALSE)</f>
        <v>30</v>
      </c>
      <c r="AK313" s="57" cm="1">
        <f t="array" ref="AK313">VLOOKUP(B313,'Player Data'!$A1:$AE673,25,FALSE)*$AJ313*IFERROR((VLOOKUP(P313,Settings!$E$28:$F$33,2,FALSE)+1),1)</f>
        <v>15.9</v>
      </c>
      <c r="AL313" s="57" cm="1">
        <f t="array" ref="AL313">AJ313-AK313-AM313</f>
        <v>10.5</v>
      </c>
      <c r="AM313" s="57" cm="1">
        <f t="array" ref="AM313">VLOOKUP(B313,'Player Data'!$A1:$AE673,27,FALSE)*$AJ313</f>
        <v>3.5999999999999996</v>
      </c>
      <c r="AN313" s="57" cm="1">
        <f t="array" ref="AN313">VLOOKUP(B313,'Player Data'!$A1:$AE673,28,FALSE)*AJ313</f>
        <v>1.5</v>
      </c>
      <c r="AO313" s="57" cm="1">
        <f t="array" ref="AO313">VLOOKUP(B313,'Player Data'!$A1:$AE673,29,FALSE)*$AJ313*IFERROR((VLOOKUP(P313,Settings!$E$28:$F$33,2,FALSE)/4)+1,1)</f>
        <v>759</v>
      </c>
      <c r="AP313" s="57" cm="1">
        <f t="array" ref="AP313">VLOOKUP(B313,'Player Data'!$A1:$AE673,31,FALSE)*$AJ313*(IFERROR(1-(VLOOKUP(P313,Settings!$E$28:$F$33,2,FALSE)/4),1))</f>
        <v>88.5</v>
      </c>
      <c r="AQ313" s="60" cm="1">
        <f t="array" ref="AQ313">1-(AP313/(AO313+AP313))</f>
        <v>0.89557522123893807</v>
      </c>
      <c r="AR313" s="61" cm="1">
        <f t="array" ref="AR313">AP313/AJ313</f>
        <v>2.95</v>
      </c>
      <c r="AS313" s="55"/>
    </row>
    <row r="314" spans="1:45" ht="21.25" customHeight="1" x14ac:dyDescent="0.15">
      <c r="A314" s="62">
        <f>RANK(K314,K$2:K$671)</f>
        <v>279</v>
      </c>
      <c r="B314" s="10" t="s">
        <v>301</v>
      </c>
      <c r="C314" s="47" t="s">
        <v>145</v>
      </c>
      <c r="D314" s="48" t="str" cm="1">
        <f t="array" ref="D314">VLOOKUP(B314,'Player Data'!A1:D673,4,FALSE)</f>
        <v>C,RW</v>
      </c>
      <c r="E314" s="74" cm="1">
        <f t="array" ref="E314">VLOOKUP(B314,RW!A1:F210,3,FALSE)</f>
        <v>64</v>
      </c>
      <c r="F314" s="63" t="str" cm="1">
        <f t="array" ref="F314">VLOOKUP(B314,'Player Data'!A1:B673,2,FALSE)</f>
        <v>WPG</v>
      </c>
      <c r="G314" s="11" cm="1">
        <f t="array" ref="G314">VLOOKUP(B314,'Player Data'!A1:D673,3,FALSE)</f>
        <v>27</v>
      </c>
      <c r="H314" s="51" cm="1">
        <f t="array" ref="H314">IFERROR(VLOOKUP(B314,ADP!A1:F671,6,FALSE)/1000000,VLOOKUP(B314,ADP!A1:F671,6,FALSE))</f>
        <v>7.5</v>
      </c>
      <c r="I314" s="52">
        <f>IF(Settings!$E$15="POINTS",((R314*Q314)*Settings!$B$12)+(S314*Settings!$B$2)+(T314*Settings!$B$3)+(U314*Settings!$B$4)+(V314*Settings!$B$5)+(X314*Settings!$B$9)+(AA314*Settings!$B$6)+(W314*Settings!$B$8)+(AB314*Settings!$B$7)+(AC314*Settings!$B$14)+(AD314*Settings!$B$15)+(AE314*Settings!$B$16)+(AF314*Settings!$B$17)+(AG314*Settings!$B$18)+(Y314*Settings!$B$10)+(Z314*Settings!$B$11),VLOOKUP(B314,'Standard Deviations'!A$1:C$672,3,FALSE))</f>
        <v>3.1531162562679746</v>
      </c>
      <c r="J314" s="53" cm="1">
        <f t="array" ref="J314">IF(D314="G",I314/AJ314,I314/Q314)</f>
        <v>3.9912864003392085E-2</v>
      </c>
      <c r="K314" s="52" cm="1">
        <f t="array" ref="K314">IF(Settings!$E$18="C/LW/RW",VLOOKUP(B314,RW!A1:F210,6,FALSE),VLOOKUP(B314,F!A1:F407,6,FALSE))</f>
        <v>-3.7341183455411029</v>
      </c>
      <c r="L314" s="54" cm="1">
        <f t="array" ref="L314">IFERROR(K314/H314,"N/A")</f>
        <v>-0.49788244607214704</v>
      </c>
      <c r="M314" s="55">
        <v>146</v>
      </c>
      <c r="N314" s="55" cm="1">
        <f t="array" ref="N314">IFERROR(M314-A314,"N/A")</f>
        <v>-133</v>
      </c>
      <c r="O314" s="55"/>
      <c r="P314" s="56" t="str" cm="1">
        <f t="array" ref="P314">_xlfn.XLOOKUP($B314,ADP!A2:A671,ADP!G2:G671)</f>
        <v>-</v>
      </c>
      <c r="Q314" s="57" cm="1">
        <f t="array" ref="Q314">IF(Settings!$E$12="YES",VLOOKUP(B314,'Player Data'!A1:E673,5,FALSE),84)</f>
        <v>79</v>
      </c>
      <c r="R314" s="55" cm="1">
        <f t="array" ref="R314">VLOOKUP(B314,'Player Data'!$A1:$AE673,6,FALSE)</f>
        <v>18.8</v>
      </c>
      <c r="S314" s="57" cm="1">
        <f t="array" ref="S314">VLOOKUP(B314,'Player Data'!$A1:$AE673,7,FALSE)*$Q314*IFERROR((VLOOKUP(P314,Settings!$E$28:$F$33,2,FALSE)+1),1)</f>
        <v>27.7685</v>
      </c>
      <c r="T314" s="57" cm="1">
        <f t="array" ref="T314">VLOOKUP(B314,'Player Data'!$A1:$AE673,8,FALSE)*$Q314*IFERROR((VLOOKUP(P314,Settings!$E$28:$F$33,2,FALSE)+1),1)</f>
        <v>33.772500000000001</v>
      </c>
      <c r="U314" s="57" cm="1">
        <f t="array" ref="U314">SUM(S314:T314)</f>
        <v>61.540999999999997</v>
      </c>
      <c r="V314" s="57" cm="1">
        <f t="array" ref="V314">VLOOKUP(B314,'Player Data'!$A1:$AE673,10,FALSE)*$Q314*IFERROR(((VLOOKUP(P314,Settings!$E$28:$F$33,2,FALSE)/2)+1),1)</f>
        <v>147.11774999999997</v>
      </c>
      <c r="W314" s="58" cm="1">
        <f t="array" ref="W314">VLOOKUP(B314,'Player Data'!$A1:$AE673,11,FALSE)*$Q314*IFERROR((VLOOKUP(P314,Settings!$E$28:$F$33,2,FALSE)+1),1)</f>
        <v>12.007999999999999</v>
      </c>
      <c r="X314" s="57" cm="1">
        <f t="array" ref="X314">VLOOKUP(B314,'Player Data'!$A1:$AE673,12,FALSE)*$Q314*IFERROR((VLOOKUP(P314,Settings!$E$28:$F$33,2,FALSE)+1),1)</f>
        <v>23.265499999999996</v>
      </c>
      <c r="Y314" s="57" cm="1">
        <f t="array" ref="Y314">VLOOKUP(B314,'Player Data'!$A1:$AE673,13,FALSE)*$Q314</f>
        <v>0</v>
      </c>
      <c r="Z314" s="57" cm="1">
        <f t="array" ref="Z314">VLOOKUP(B314,'Player Data'!$A1:$AE673,14,FALSE)*$Q314</f>
        <v>0</v>
      </c>
      <c r="AA314" s="57" cm="1">
        <f t="array" ref="AA314">VLOOKUP(B314,'Player Data'!$A1:$AE673,15,FALSE)*$Q314</f>
        <v>38.71</v>
      </c>
      <c r="AB314" s="57" cm="1">
        <f t="array" ref="AB314">VLOOKUP(B314,'Player Data'!$A1:$AE673,16,FALSE)*$Q314</f>
        <v>26.07</v>
      </c>
      <c r="AC314" s="57" cm="1">
        <f t="array" ref="AC314">VLOOKUP(B314,'Player Data'!$A1:$AE673,17,FALSE)*$Q314*IFERROR((VLOOKUP(P314,Settings!$E$28:$F$33,2,FALSE)+1),1)</f>
        <v>2.2515000000000001</v>
      </c>
      <c r="AD314" s="57" cm="1">
        <f t="array" ref="AD314">VLOOKUP(B314,'Player Data'!$A1:$AE673,18,FALSE)*$Q314</f>
        <v>24.49</v>
      </c>
      <c r="AE314" s="57" cm="1">
        <f t="array" ref="AE314">VLOOKUP(B314,'Player Data'!$A1:$AE673,19,FALSE)*$Q314*IFERROR((VLOOKUP(P314,Settings!$E$28:$F$33,2,FALSE)+1),1)</f>
        <v>4.5030000000000001</v>
      </c>
      <c r="AF314" s="57" cm="1">
        <f t="array" ref="AF314">VLOOKUP(B314,'Player Data'!$A1:$AE673,20,FALSE)*$Q314</f>
        <v>48.98</v>
      </c>
      <c r="AG314" s="57" cm="1">
        <f t="array" ref="AG314">VLOOKUP(B314,'Player Data'!$A1:$AE673,21,FALSE)*$Q314</f>
        <v>58.46</v>
      </c>
      <c r="AH314" s="59" cm="1">
        <f t="array" ref="AH314">VLOOKUP(B314,'Player Data'!$A1:$AE673,22,FALSE)</f>
        <v>0.45</v>
      </c>
      <c r="AI314" s="55"/>
      <c r="AJ314" s="57"/>
      <c r="AK314" s="57"/>
      <c r="AL314" s="57"/>
      <c r="AM314" s="57"/>
      <c r="AN314" s="57"/>
      <c r="AO314" s="57"/>
      <c r="AP314" s="57"/>
      <c r="AQ314" s="60"/>
      <c r="AR314" s="61"/>
      <c r="AS314" s="55"/>
    </row>
    <row r="315" spans="1:45" ht="21.25" customHeight="1" x14ac:dyDescent="0.15">
      <c r="A315" s="62">
        <f>RANK(K315,K$2:K$671)</f>
        <v>336</v>
      </c>
      <c r="B315" s="10" t="s">
        <v>474</v>
      </c>
      <c r="C315" s="47" t="s">
        <v>145</v>
      </c>
      <c r="D315" s="48" t="str" cm="1">
        <f t="array" ref="D315">VLOOKUP(B315,'Player Data'!A1:D673,4,FALSE)</f>
        <v>D</v>
      </c>
      <c r="E315" s="68" cm="1">
        <f t="array" ref="E315">VLOOKUP(B315,D!A1:C204,3,FALSE)</f>
        <v>158</v>
      </c>
      <c r="F315" s="69" t="str" cm="1">
        <f t="array" ref="F315">VLOOKUP(B315,'Player Data'!A1:B673,2,FALSE)</f>
        <v>N.J</v>
      </c>
      <c r="G315" s="11" cm="1">
        <f t="array" ref="G315">VLOOKUP(B315,'Player Data'!A1:D673,3,FALSE)</f>
        <v>29</v>
      </c>
      <c r="H315" s="51" cm="1">
        <f t="array" ref="H315">IFERROR(VLOOKUP(B315,ADP!A1:F671,6,FALSE)/1000000,VLOOKUP(B315,ADP!A1:F671,6,FALSE))</f>
        <v>3.4</v>
      </c>
      <c r="I315" s="52">
        <f>IF(Settings!$E$15="POINTS",((R315*Q315)*Settings!$B$12)+(S315*Settings!$B$2)+(T315*Settings!$B$3)+(U315*Settings!$B$4)+(V315*Settings!$B$5)+(X315*Settings!$B$9)+(AA315*Settings!$B$6)+(W315*Settings!$B$8)+(AB315*Settings!$B$7)+(AC315*Settings!$B$14)+(AD315*Settings!$B$15)+(AE315*Settings!$B$16)+(AF315*Settings!$B$17)+(AG315*Settings!$B$18)+(U315*Settings!$B$13)+(Y315*Settings!$B$10)+(Z315*Settings!$B$11),VLOOKUP(B315,'Standard Deviations'!A$1:C$672,3,FALSE))</f>
        <v>-4.1222328551338707</v>
      </c>
      <c r="J315" s="53" cm="1">
        <f t="array" ref="J315">IF(D315="G",I315/AJ315,I315/Q315)</f>
        <v>-5.2849139168382957E-2</v>
      </c>
      <c r="K315" s="52" cm="1">
        <f t="array" ref="K315">VLOOKUP(B315,D!A1:F204,6,FALSE)</f>
        <v>-4.6890837696514254</v>
      </c>
      <c r="L315" s="54" cm="1">
        <f t="array" ref="L315">IFERROR(K315/H315,"N/A")</f>
        <v>-1.3791422851915958</v>
      </c>
      <c r="M315" s="84" t="s">
        <v>828</v>
      </c>
      <c r="N315" s="84" t="str" cm="1">
        <f t="array" ref="N315">IFERROR(M315-A315,"N/A")</f>
        <v>N/A</v>
      </c>
      <c r="O315" s="55"/>
      <c r="P315" s="56" cm="1">
        <f t="array" ref="P315">_xlfn.XLOOKUP($B315,ADP!A2:A671,ADP!G2:G671)</f>
        <v>0</v>
      </c>
      <c r="Q315" s="57" cm="1">
        <f t="array" ref="Q315">IF(Settings!$E$12="YES",VLOOKUP(B315,'Player Data'!A1:E673,5,FALSE),84)</f>
        <v>78</v>
      </c>
      <c r="R315" s="55" cm="1">
        <f t="array" ref="R315">VLOOKUP(B315,'Player Data'!$A1:$AE673,6,FALSE)</f>
        <v>19.600000000000001</v>
      </c>
      <c r="S315" s="57" cm="1">
        <f t="array" ref="S315">VLOOKUP(B315,'Player Data'!$A1:$AE673,7,FALSE)*$Q315*IFERROR((VLOOKUP(P315,Settings!$E$28:$F$33,2,FALSE)+1),1)</f>
        <v>1.56</v>
      </c>
      <c r="T315" s="57" cm="1">
        <f t="array" ref="T315">VLOOKUP(B315,'Player Data'!$A1:$AE673,8,FALSE)*$Q315*IFERROR((VLOOKUP(P315,Settings!$E$28:$F$33,2,FALSE)+1),1)</f>
        <v>14.04</v>
      </c>
      <c r="U315" s="57" cm="1">
        <f t="array" ref="U315">SUM(S315:T315)</f>
        <v>15.6</v>
      </c>
      <c r="V315" s="57" cm="1">
        <f t="array" ref="V315">VLOOKUP(B315,'Player Data'!$A1:$AE673,10,FALSE)*$Q315*IFERROR(((VLOOKUP(P315,Settings!$E$28:$F$33,2,FALSE)/2)+1),1)</f>
        <v>66.3</v>
      </c>
      <c r="W315" s="57" cm="1">
        <f t="array" ref="W315">VLOOKUP(B315,'Player Data'!$A1:$AE673,11,FALSE)*$Q315*IFERROR((VLOOKUP(P315,Settings!$E$28:$F$33,2,FALSE)+1),1)</f>
        <v>0</v>
      </c>
      <c r="X315" s="57" cm="1">
        <f t="array" ref="X315">VLOOKUP(B315,'Player Data'!$A1:$AE673,12,FALSE)*$Q315*IFERROR((VLOOKUP(P315,Settings!$E$28:$F$33,2,FALSE)+1),1)</f>
        <v>0</v>
      </c>
      <c r="Y315" s="57" cm="1">
        <f t="array" ref="Y315">VLOOKUP(B315,'Player Data'!$A1:$AE673,13,FALSE)*$Q315</f>
        <v>0</v>
      </c>
      <c r="Z315" s="57" cm="1">
        <f t="array" ref="Z315">VLOOKUP(B315,'Player Data'!$A1:$AE673,14,FALSE)*$Q315</f>
        <v>0.78</v>
      </c>
      <c r="AA315" s="57" cm="1">
        <f t="array" ref="AA315">VLOOKUP(B315,'Player Data'!$A1:$AE673,15,FALSE)*$Q315</f>
        <v>126.36000000000001</v>
      </c>
      <c r="AB315" s="57" cm="1">
        <f t="array" ref="AB315">VLOOKUP(B315,'Player Data'!$A1:$AE673,16,FALSE)*$Q315</f>
        <v>88.919999999999987</v>
      </c>
      <c r="AC315" s="57" cm="1">
        <f t="array" ref="AC315">VLOOKUP(B315,'Player Data'!$A1:$AE673,17,FALSE)*$Q315*IFERROR((VLOOKUP(P315,Settings!$E$28:$F$33,2,FALSE)+1),1)</f>
        <v>-1.56</v>
      </c>
      <c r="AD315" s="57" cm="1">
        <f t="array" ref="AD315">VLOOKUP(B315,'Player Data'!$A1:$AE673,18,FALSE)*$Q315</f>
        <v>37.44</v>
      </c>
      <c r="AE315" s="57" cm="1">
        <f t="array" ref="AE315">VLOOKUP(B315,'Player Data'!$A1:$AE673,19,FALSE)*$Q315*IFERROR((VLOOKUP(P315,Settings!$E$28:$F$33,2,FALSE)+1),1)</f>
        <v>0</v>
      </c>
      <c r="AF315" s="57" cm="1">
        <f t="array" ref="AF315">VLOOKUP(B315,'Player Data'!$A1:$AE673,20,FALSE)*$Q315</f>
        <v>0</v>
      </c>
      <c r="AG315" s="57" cm="1">
        <f t="array" ref="AG315">VLOOKUP(B315,'Player Data'!$A1:$AE673,21,FALSE)*$Q315</f>
        <v>0</v>
      </c>
      <c r="AH315" s="59" cm="1">
        <f t="array" ref="AH315">VLOOKUP(B315,'Player Data'!$A1:$AE673,22,FALSE)</f>
        <v>0</v>
      </c>
      <c r="AI315" s="55"/>
      <c r="AJ315" s="57"/>
      <c r="AK315" s="57"/>
      <c r="AL315" s="57"/>
      <c r="AM315" s="57"/>
      <c r="AN315" s="57"/>
      <c r="AO315" s="57"/>
      <c r="AP315" s="57"/>
      <c r="AQ315" s="60"/>
      <c r="AR315" s="61"/>
      <c r="AS315" s="55"/>
    </row>
    <row r="316" spans="1:45" ht="21.25" customHeight="1" x14ac:dyDescent="0.15">
      <c r="A316" s="62">
        <f>RANK(K316,K$2:K$671)</f>
        <v>338</v>
      </c>
      <c r="B316" s="10" t="s">
        <v>583</v>
      </c>
      <c r="C316" s="47" t="s">
        <v>145</v>
      </c>
      <c r="D316" s="48" t="str" cm="1">
        <f t="array" ref="D316">VLOOKUP(B316,'Player Data'!A1:D673,4,FALSE)</f>
        <v>D</v>
      </c>
      <c r="E316" s="68" cm="1">
        <f t="array" ref="E316">VLOOKUP(B316,D!A1:C204,3,FALSE)</f>
        <v>159</v>
      </c>
      <c r="F316" s="65" t="str" cm="1">
        <f t="array" ref="F316">VLOOKUP(B316,'Player Data'!A1:B673,2,FALSE)</f>
        <v>STL</v>
      </c>
      <c r="G316" s="11" cm="1">
        <f t="array" ref="G316">VLOOKUP(B316,'Player Data'!A1:D673,3,FALSE)</f>
        <v>26</v>
      </c>
      <c r="H316" s="67" cm="1">
        <f t="array" ref="H316">IFERROR(VLOOKUP(B316,ADP!A1:F671,6,FALSE)/1000000,VLOOKUP(B316,ADP!A1:F671,6,FALSE))</f>
        <v>0.92500000000000004</v>
      </c>
      <c r="I316" s="52">
        <f>IF(Settings!$E$15="POINTS",((R316*Q316)*Settings!$B$12)+(S316*Settings!$B$2)+(T316*Settings!$B$3)+(U316*Settings!$B$4)+(V316*Settings!$B$5)+(X316*Settings!$B$9)+(AA316*Settings!$B$6)+(W316*Settings!$B$8)+(AB316*Settings!$B$7)+(AC316*Settings!$B$14)+(AD316*Settings!$B$15)+(AE316*Settings!$B$16)+(AF316*Settings!$B$17)+(AG316*Settings!$B$18)+(U316*Settings!$B$13)+(Y316*Settings!$B$10)+(Z316*Settings!$B$11),VLOOKUP(B316,'Standard Deviations'!A$1:C$672,3,FALSE))</f>
        <v>-4.1285828603388133</v>
      </c>
      <c r="J316" s="53" cm="1">
        <f t="array" ref="J316">IF(D316="G",I316/AJ316,I316/Q316)</f>
        <v>-5.8979755147697335E-2</v>
      </c>
      <c r="K316" s="52" cm="1">
        <f t="array" ref="K316">VLOOKUP(B316,D!A1:F204,6,FALSE)</f>
        <v>-4.6954337748563679</v>
      </c>
      <c r="L316" s="54" cm="1">
        <f t="array" ref="L316">IFERROR(K316/H316,"N/A")</f>
        <v>-5.0761446214663435</v>
      </c>
      <c r="M316" s="84" t="s">
        <v>828</v>
      </c>
      <c r="N316" s="84" t="str" cm="1">
        <f t="array" ref="N316">IFERROR(M316-A316,"N/A")</f>
        <v>N/A</v>
      </c>
      <c r="O316" s="55"/>
      <c r="P316" s="56" cm="1">
        <f t="array" ref="P316">_xlfn.XLOOKUP($B316,ADP!A2:A671,ADP!G2:G671)</f>
        <v>0</v>
      </c>
      <c r="Q316" s="57" cm="1">
        <f t="array" ref="Q316">IF(Settings!$E$12="YES",VLOOKUP(B316,'Player Data'!A1:E673,5,FALSE),84)</f>
        <v>70</v>
      </c>
      <c r="R316" s="55" cm="1">
        <f t="array" ref="R316">VLOOKUP(B316,'Player Data'!$A1:$AE673,6,FALSE)</f>
        <v>14.2</v>
      </c>
      <c r="S316" s="57" cm="1">
        <f t="array" ref="S316">VLOOKUP(B316,'Player Data'!$A1:$AE673,7,FALSE)*$Q316*IFERROR((VLOOKUP(P316,Settings!$E$28:$F$33,2,FALSE)+1),1)</f>
        <v>3.5</v>
      </c>
      <c r="T316" s="57" cm="1">
        <f t="array" ref="T316">VLOOKUP(B316,'Player Data'!$A1:$AE673,8,FALSE)*$Q316*IFERROR((VLOOKUP(P316,Settings!$E$28:$F$33,2,FALSE)+1),1)</f>
        <v>9.8000000000000007</v>
      </c>
      <c r="U316" s="57" cm="1">
        <f t="array" ref="U316">SUM(S316:T316)</f>
        <v>13.3</v>
      </c>
      <c r="V316" s="57" cm="1">
        <f t="array" ref="V316">VLOOKUP(B316,'Player Data'!$A1:$AE673,10,FALSE)*$Q316*IFERROR(((VLOOKUP(P316,Settings!$E$28:$F$33,2,FALSE)/2)+1),1)</f>
        <v>63</v>
      </c>
      <c r="W316" s="57" cm="1">
        <f t="array" ref="W316">VLOOKUP(B316,'Player Data'!$A1:$AE673,11,FALSE)*$Q316*IFERROR((VLOOKUP(P316,Settings!$E$28:$F$33,2,FALSE)+1),1)</f>
        <v>0</v>
      </c>
      <c r="X316" s="57" cm="1">
        <f t="array" ref="X316">VLOOKUP(B316,'Player Data'!$A1:$AE673,12,FALSE)*$Q316*IFERROR((VLOOKUP(P316,Settings!$E$28:$F$33,2,FALSE)+1),1)</f>
        <v>0</v>
      </c>
      <c r="Y316" s="57" cm="1">
        <f t="array" ref="Y316">VLOOKUP(B316,'Player Data'!$A1:$AE673,13,FALSE)*$Q316</f>
        <v>0</v>
      </c>
      <c r="Z316" s="57" cm="1">
        <f t="array" ref="Z316">VLOOKUP(B316,'Player Data'!$A1:$AE673,14,FALSE)*$Q316</f>
        <v>0</v>
      </c>
      <c r="AA316" s="57" cm="1">
        <f t="array" ref="AA316">VLOOKUP(B316,'Player Data'!$A1:$AE673,15,FALSE)*$Q316</f>
        <v>60.9</v>
      </c>
      <c r="AB316" s="57" cm="1">
        <f t="array" ref="AB316">VLOOKUP(B316,'Player Data'!$A1:$AE673,16,FALSE)*$Q316</f>
        <v>102.2</v>
      </c>
      <c r="AC316" s="57" cm="1">
        <f t="array" ref="AC316">VLOOKUP(B316,'Player Data'!$A1:$AE673,17,FALSE)*$Q316*IFERROR((VLOOKUP(P316,Settings!$E$28:$F$33,2,FALSE)+1),1)</f>
        <v>-2.1</v>
      </c>
      <c r="AD316" s="57" cm="1">
        <f t="array" ref="AD316">VLOOKUP(B316,'Player Data'!$A1:$AE673,18,FALSE)*$Q316</f>
        <v>64.400000000000006</v>
      </c>
      <c r="AE316" s="57" cm="1">
        <f t="array" ref="AE316">VLOOKUP(B316,'Player Data'!$A1:$AE673,19,FALSE)*$Q316*IFERROR((VLOOKUP(P316,Settings!$E$28:$F$33,2,FALSE)+1),1)</f>
        <v>0.70000000000000007</v>
      </c>
      <c r="AF316" s="57" cm="1">
        <f t="array" ref="AF316">VLOOKUP(B316,'Player Data'!$A1:$AE673,20,FALSE)*$Q316</f>
        <v>0</v>
      </c>
      <c r="AG316" s="57" cm="1">
        <f t="array" ref="AG316">VLOOKUP(B316,'Player Data'!$A1:$AE673,21,FALSE)*$Q316</f>
        <v>0</v>
      </c>
      <c r="AH316" s="59" cm="1">
        <f t="array" ref="AH316">VLOOKUP(B316,'Player Data'!$A1:$AE673,22,FALSE)</f>
        <v>0</v>
      </c>
      <c r="AI316" s="55"/>
      <c r="AJ316" s="57"/>
      <c r="AK316" s="57"/>
      <c r="AL316" s="57"/>
      <c r="AM316" s="57"/>
      <c r="AN316" s="57"/>
      <c r="AO316" s="57"/>
      <c r="AP316" s="57"/>
      <c r="AQ316" s="60"/>
      <c r="AR316" s="61"/>
      <c r="AS316" s="55"/>
    </row>
    <row r="317" spans="1:45" ht="21.25" customHeight="1" x14ac:dyDescent="0.15">
      <c r="A317" s="62">
        <f>RANK(K317,K$2:K$671)</f>
        <v>339</v>
      </c>
      <c r="B317" s="10" t="s">
        <v>397</v>
      </c>
      <c r="C317" s="47" t="s">
        <v>145</v>
      </c>
      <c r="D317" s="48" t="str" cm="1">
        <f t="array" ref="D317">VLOOKUP(B317,'Player Data'!A1:D673,4,FALSE)</f>
        <v>D</v>
      </c>
      <c r="E317" s="68" cm="1">
        <f t="array" ref="E317">VLOOKUP(B317,D!A1:C204,3,FALSE)</f>
        <v>160</v>
      </c>
      <c r="F317" s="56" t="str" cm="1">
        <f t="array" ref="F317">VLOOKUP(B317,'Player Data'!A1:B673,2,FALSE)</f>
        <v>CHI</v>
      </c>
      <c r="G317" s="71" cm="1">
        <f t="array" ref="G317">VLOOKUP(B317,'Player Data'!A1:D673,3,FALSE)</f>
        <v>22</v>
      </c>
      <c r="H317" s="51" cm="1">
        <f t="array" ref="H317">IFERROR(VLOOKUP(B317,ADP!A1:F671,6,FALSE)/1000000,VLOOKUP(B317,ADP!A1:F671,6,FALSE))</f>
        <v>0.94166700000000003</v>
      </c>
      <c r="I317" s="52">
        <f>IF(Settings!$E$15="POINTS",((R317*Q317)*Settings!$B$12)+(S317*Settings!$B$2)+(T317*Settings!$B$3)+(U317*Settings!$B$4)+(V317*Settings!$B$5)+(X317*Settings!$B$9)+(AA317*Settings!$B$6)+(W317*Settings!$B$8)+(AB317*Settings!$B$7)+(AC317*Settings!$B$14)+(AD317*Settings!$B$15)+(AE317*Settings!$B$16)+(AF317*Settings!$B$17)+(AG317*Settings!$B$18)+(U317*Settings!$B$13)+(Y317*Settings!$B$10)+(Z317*Settings!$B$11),VLOOKUP(B317,'Standard Deviations'!A$1:C$672,3,FALSE))</f>
        <v>-4.1440990917311229</v>
      </c>
      <c r="J317" s="53" cm="1">
        <f t="array" ref="J317">IF(D317="G",I317/AJ317,I317/Q317)</f>
        <v>-5.755693182959893E-2</v>
      </c>
      <c r="K317" s="52" cm="1">
        <f t="array" ref="K317">VLOOKUP(B317,D!A1:F204,6,FALSE)</f>
        <v>-4.7109500062486775</v>
      </c>
      <c r="L317" s="54" cm="1">
        <f t="array" ref="L317">IFERROR(K317/H317,"N/A")</f>
        <v>-5.0027769968031981</v>
      </c>
      <c r="M317" s="55">
        <v>132.4</v>
      </c>
      <c r="N317" s="55" cm="1">
        <f t="array" ref="N317">IFERROR(M317-A317,"N/A")</f>
        <v>-206.6</v>
      </c>
      <c r="O317" s="55"/>
      <c r="P317" s="56" cm="1">
        <f t="array" ref="P317">_xlfn.XLOOKUP($B317,ADP!A2:A671,ADP!G2:G671)</f>
        <v>0</v>
      </c>
      <c r="Q317" s="57" cm="1">
        <f t="array" ref="Q317">IF(Settings!$E$12="YES",VLOOKUP(B317,'Player Data'!A1:E673,5,FALSE),84)</f>
        <v>72</v>
      </c>
      <c r="R317" s="55" cm="1">
        <f t="array" ref="R317">VLOOKUP(B317,'Player Data'!$A1:$AE673,6,FALSE)</f>
        <v>18.899999999999999</v>
      </c>
      <c r="S317" s="57" cm="1">
        <f t="array" ref="S317">VLOOKUP(B317,'Player Data'!$A1:$AE673,7,FALSE)*$Q317*IFERROR((VLOOKUP(P317,Settings!$E$28:$F$33,2,FALSE)+1),1)</f>
        <v>5.0400000000000009</v>
      </c>
      <c r="T317" s="57" cm="1">
        <f t="array" ref="T317">VLOOKUP(B317,'Player Data'!$A1:$AE673,8,FALSE)*$Q317*IFERROR((VLOOKUP(P317,Settings!$E$28:$F$33,2,FALSE)+1),1)</f>
        <v>16.560000000000002</v>
      </c>
      <c r="U317" s="57" cm="1">
        <f t="array" ref="U317">SUM(S317:T317)</f>
        <v>21.6</v>
      </c>
      <c r="V317" s="57" cm="1">
        <f t="array" ref="V317">VLOOKUP(B317,'Player Data'!$A1:$AE673,10,FALSE)*$Q317*IFERROR(((VLOOKUP(P317,Settings!$E$28:$F$33,2,FALSE)/2)+1),1)</f>
        <v>102.96</v>
      </c>
      <c r="W317" s="57" cm="1">
        <f t="array" ref="W317">VLOOKUP(B317,'Player Data'!$A1:$AE673,11,FALSE)*$Q317*IFERROR((VLOOKUP(P317,Settings!$E$28:$F$33,2,FALSE)+1),1)</f>
        <v>0</v>
      </c>
      <c r="X317" s="57" cm="1">
        <f t="array" ref="X317">VLOOKUP(B317,'Player Data'!$A1:$AE673,12,FALSE)*$Q317*IFERROR((VLOOKUP(P317,Settings!$E$28:$F$33,2,FALSE)+1),1)</f>
        <v>3.6</v>
      </c>
      <c r="Y317" s="57" cm="1">
        <f t="array" ref="Y317">VLOOKUP(B317,'Player Data'!$A1:$AE673,13,FALSE)*$Q317</f>
        <v>0</v>
      </c>
      <c r="Z317" s="57" cm="1">
        <f t="array" ref="Z317">VLOOKUP(B317,'Player Data'!$A1:$AE673,14,FALSE)*$Q317</f>
        <v>0</v>
      </c>
      <c r="AA317" s="57" cm="1">
        <f t="array" ref="AA317">VLOOKUP(B317,'Player Data'!$A1:$AE673,15,FALSE)*$Q317</f>
        <v>84.96</v>
      </c>
      <c r="AB317" s="57" cm="1">
        <f t="array" ref="AB317">VLOOKUP(B317,'Player Data'!$A1:$AE673,16,FALSE)*$Q317</f>
        <v>73.44</v>
      </c>
      <c r="AC317" s="57" cm="1">
        <f t="array" ref="AC317">VLOOKUP(B317,'Player Data'!$A1:$AE673,17,FALSE)*$Q317*IFERROR((VLOOKUP(P317,Settings!$E$28:$F$33,2,FALSE)+1),1)</f>
        <v>-7.2</v>
      </c>
      <c r="AD317" s="57" cm="1">
        <f t="array" ref="AD317">VLOOKUP(B317,'Player Data'!$A1:$AE673,18,FALSE)*$Q317</f>
        <v>37.44</v>
      </c>
      <c r="AE317" s="57" cm="1">
        <f t="array" ref="AE317">VLOOKUP(B317,'Player Data'!$A1:$AE673,19,FALSE)*$Q317*IFERROR((VLOOKUP(P317,Settings!$E$28:$F$33,2,FALSE)+1),1)</f>
        <v>0.72</v>
      </c>
      <c r="AF317" s="57" cm="1">
        <f t="array" ref="AF317">VLOOKUP(B317,'Player Data'!$A1:$AE673,20,FALSE)*$Q317</f>
        <v>0</v>
      </c>
      <c r="AG317" s="57" cm="1">
        <f t="array" ref="AG317">VLOOKUP(B317,'Player Data'!$A1:$AE673,21,FALSE)*$Q317</f>
        <v>0</v>
      </c>
      <c r="AH317" s="59" cm="1">
        <f t="array" ref="AH317">VLOOKUP(B317,'Player Data'!$A1:$AE673,22,FALSE)</f>
        <v>0</v>
      </c>
      <c r="AI317" s="55"/>
      <c r="AJ317" s="57"/>
      <c r="AK317" s="57"/>
      <c r="AL317" s="57"/>
      <c r="AM317" s="57"/>
      <c r="AN317" s="57"/>
      <c r="AO317" s="57"/>
      <c r="AP317" s="57"/>
      <c r="AQ317" s="60"/>
      <c r="AR317" s="61"/>
      <c r="AS317" s="55"/>
    </row>
    <row r="318" spans="1:45" ht="21.25" customHeight="1" x14ac:dyDescent="0.15">
      <c r="A318" s="62">
        <f>RANK(K318,K$2:K$671)</f>
        <v>283</v>
      </c>
      <c r="B318" s="10" t="s">
        <v>578</v>
      </c>
      <c r="C318" s="47" t="s">
        <v>145</v>
      </c>
      <c r="D318" s="48" t="str" cm="1">
        <f t="array" ref="D318">VLOOKUP(B318,'Player Data'!A1:D673,4,FALSE)</f>
        <v>LW,RW</v>
      </c>
      <c r="E318" s="74" cm="1">
        <f t="array" ref="E318">VLOOKUP(B318,RW!A1:F210,3,FALSE)</f>
        <v>65</v>
      </c>
      <c r="F318" s="63" t="str" cm="1">
        <f t="array" ref="F318">VLOOKUP(B318,'Player Data'!A1:B673,2,FALSE)</f>
        <v>EDM</v>
      </c>
      <c r="G318" s="11" cm="1">
        <f t="array" ref="G318">VLOOKUP(B318,'Player Data'!A1:D673,3,FALSE)</f>
        <v>25</v>
      </c>
      <c r="H318" s="51" cm="1">
        <f t="array" ref="H318">IFERROR(VLOOKUP(B318,ADP!A1:F671,6,FALSE)/1000000,VLOOKUP(B318,ADP!A1:F671,6,FALSE))</f>
        <v>2.95</v>
      </c>
      <c r="I318" s="52">
        <f>IF(Settings!$E$15="POINTS",((R318*Q318)*Settings!$B$12)+(S318*Settings!$B$2)+(T318*Settings!$B$3)+(U318*Settings!$B$4)+(V318*Settings!$B$5)+(X318*Settings!$B$9)+(AA318*Settings!$B$6)+(W318*Settings!$B$8)+(AB318*Settings!$B$7)+(AC318*Settings!$B$14)+(AD318*Settings!$B$15)+(AE318*Settings!$B$16)+(AF318*Settings!$B$17)+(AG318*Settings!$B$18)+(Y318*Settings!$B$10)+(Z318*Settings!$B$11),VLOOKUP(B318,'Standard Deviations'!A$1:C$672,3,FALSE))</f>
        <v>3.0892637641088223</v>
      </c>
      <c r="J318" s="53" cm="1">
        <f t="array" ref="J318">IF(D318="G",I318/AJ318,I318/Q318)</f>
        <v>3.9605945693702849E-2</v>
      </c>
      <c r="K318" s="52" cm="1">
        <f t="array" ref="K318">IF(Settings!$E$18="C/LW/RW",VLOOKUP(B318,RW!A1:F210,6,FALSE),VLOOKUP(B318,F!A1:F407,6,FALSE))</f>
        <v>-3.7979708377002552</v>
      </c>
      <c r="L318" s="54" cm="1">
        <f t="array" ref="L318">IFERROR(K318/H318,"N/A")</f>
        <v>-1.2874477415933068</v>
      </c>
      <c r="M318" s="84" t="s">
        <v>828</v>
      </c>
      <c r="N318" s="84" t="str" cm="1">
        <f t="array" ref="N318">IFERROR(M318-A318,"N/A")</f>
        <v>N/A</v>
      </c>
      <c r="O318" s="55"/>
      <c r="P318" s="56" cm="1">
        <f t="array" ref="P318">_xlfn.XLOOKUP($B318,ADP!A2:A671,ADP!G2:G671)</f>
        <v>0</v>
      </c>
      <c r="Q318" s="57" cm="1">
        <f t="array" ref="Q318">IF(Settings!$E$12="YES",VLOOKUP(B318,'Player Data'!A1:E673,5,FALSE),84)</f>
        <v>78</v>
      </c>
      <c r="R318" s="55" cm="1">
        <f t="array" ref="R318">VLOOKUP(B318,'Player Data'!$A1:$AE673,6,FALSE)</f>
        <v>15.5</v>
      </c>
      <c r="S318" s="57" cm="1">
        <f t="array" ref="S318">VLOOKUP(B318,'Player Data'!$A1:$AE673,7,FALSE)*$Q318*IFERROR((VLOOKUP(P318,Settings!$E$28:$F$33,2,FALSE)+1),1)</f>
        <v>14.82</v>
      </c>
      <c r="T318" s="57" cm="1">
        <f t="array" ref="T318">VLOOKUP(B318,'Player Data'!$A1:$AE673,8,FALSE)*$Q318*IFERROR((VLOOKUP(P318,Settings!$E$28:$F$33,2,FALSE)+1),1)</f>
        <v>18.72</v>
      </c>
      <c r="U318" s="57" cm="1">
        <f t="array" ref="U318">SUM(S318:T318)</f>
        <v>33.54</v>
      </c>
      <c r="V318" s="57" cm="1">
        <f t="array" ref="V318">VLOOKUP(B318,'Player Data'!$A1:$AE673,10,FALSE)*$Q318*IFERROR(((VLOOKUP(P318,Settings!$E$28:$F$33,2,FALSE)/2)+1),1)</f>
        <v>130.26</v>
      </c>
      <c r="W318" s="57" cm="1">
        <f t="array" ref="W318">VLOOKUP(B318,'Player Data'!$A1:$AE673,11,FALSE)*$Q318*IFERROR((VLOOKUP(P318,Settings!$E$28:$F$33,2,FALSE)+1),1)</f>
        <v>0.78</v>
      </c>
      <c r="X318" s="57" cm="1">
        <f t="array" ref="X318">VLOOKUP(B318,'Player Data'!$A1:$AE673,12,FALSE)*$Q318*IFERROR((VLOOKUP(P318,Settings!$E$28:$F$33,2,FALSE)+1),1)</f>
        <v>2.34</v>
      </c>
      <c r="Y318" s="57" cm="1">
        <f t="array" ref="Y318">VLOOKUP(B318,'Player Data'!$A1:$AE673,13,FALSE)*$Q318</f>
        <v>0</v>
      </c>
      <c r="Z318" s="57" cm="1">
        <f t="array" ref="Z318">VLOOKUP(B318,'Player Data'!$A1:$AE673,14,FALSE)*$Q318</f>
        <v>0</v>
      </c>
      <c r="AA318" s="57" cm="1">
        <f t="array" ref="AA318">VLOOKUP(B318,'Player Data'!$A1:$AE673,15,FALSE)*$Q318</f>
        <v>49.14</v>
      </c>
      <c r="AB318" s="57" cm="1">
        <f t="array" ref="AB318">VLOOKUP(B318,'Player Data'!$A1:$AE673,16,FALSE)*$Q318</f>
        <v>212.16000000000003</v>
      </c>
      <c r="AC318" s="57" cm="1">
        <f t="array" ref="AC318">VLOOKUP(B318,'Player Data'!$A1:$AE673,17,FALSE)*$Q318*IFERROR((VLOOKUP(P318,Settings!$E$28:$F$33,2,FALSE)+1),1)</f>
        <v>6.24</v>
      </c>
      <c r="AD318" s="57" cm="1">
        <f t="array" ref="AD318">VLOOKUP(B318,'Player Data'!$A1:$AE673,18,FALSE)*$Q318</f>
        <v>39</v>
      </c>
      <c r="AE318" s="57" cm="1">
        <f t="array" ref="AE318">VLOOKUP(B318,'Player Data'!$A1:$AE673,19,FALSE)*$Q318*IFERROR((VLOOKUP(P318,Settings!$E$28:$F$33,2,FALSE)+1),1)</f>
        <v>2.34</v>
      </c>
      <c r="AF318" s="57" cm="1">
        <f t="array" ref="AF318">VLOOKUP(B318,'Player Data'!$A1:$AE673,20,FALSE)*$Q318</f>
        <v>17.940000000000001</v>
      </c>
      <c r="AG318" s="57" cm="1">
        <f t="array" ref="AG318">VLOOKUP(B318,'Player Data'!$A1:$AE673,21,FALSE)*$Q318</f>
        <v>43.680000000000007</v>
      </c>
      <c r="AH318" s="59" cm="1">
        <f t="array" ref="AH318">VLOOKUP(B318,'Player Data'!$A1:$AE673,22,FALSE)</f>
        <v>0.3</v>
      </c>
      <c r="AI318" s="55"/>
      <c r="AJ318" s="57"/>
      <c r="AK318" s="57"/>
      <c r="AL318" s="57"/>
      <c r="AM318" s="57"/>
      <c r="AN318" s="57"/>
      <c r="AO318" s="57"/>
      <c r="AP318" s="57"/>
      <c r="AQ318" s="60"/>
      <c r="AR318" s="61"/>
      <c r="AS318" s="55"/>
    </row>
    <row r="319" spans="1:45" ht="21.25" customHeight="1" x14ac:dyDescent="0.15">
      <c r="A319" s="62">
        <f>RANK(K319,K$2:K$671)</f>
        <v>341</v>
      </c>
      <c r="B319" s="10" t="s">
        <v>501</v>
      </c>
      <c r="C319" s="47" t="s">
        <v>145</v>
      </c>
      <c r="D319" s="48" t="str" cm="1">
        <f t="array" ref="D319">VLOOKUP(B319,'Player Data'!A1:D673,4,FALSE)</f>
        <v>D</v>
      </c>
      <c r="E319" s="68" cm="1">
        <f t="array" ref="E319">VLOOKUP(B319,D!A1:C204,3,FALSE)</f>
        <v>161</v>
      </c>
      <c r="F319" s="73" t="str" cm="1">
        <f t="array" ref="F319">VLOOKUP(B319,'Player Data'!A1:B673,2,FALSE)</f>
        <v>BUF</v>
      </c>
      <c r="G319" s="11" cm="1">
        <f t="array" ref="G319">VLOOKUP(B319,'Player Data'!A1:D673,3,FALSE)</f>
        <v>28</v>
      </c>
      <c r="H319" s="67" cm="1">
        <f t="array" ref="H319">IFERROR(VLOOKUP(B319,ADP!A1:F671,6,FALSE)/1000000,VLOOKUP(B319,ADP!A1:F671,6,FALSE))</f>
        <v>2.2000000000000002</v>
      </c>
      <c r="I319" s="52">
        <f>IF(Settings!$E$15="POINTS",((R319*Q319)*Settings!$B$12)+(S319*Settings!$B$2)+(T319*Settings!$B$3)+(U319*Settings!$B$4)+(V319*Settings!$B$5)+(X319*Settings!$B$9)+(AA319*Settings!$B$6)+(W319*Settings!$B$8)+(AB319*Settings!$B$7)+(AC319*Settings!$B$14)+(AD319*Settings!$B$15)+(AE319*Settings!$B$16)+(AF319*Settings!$B$17)+(AG319*Settings!$B$18)+(U319*Settings!$B$13)+(Y319*Settings!$B$10)+(Z319*Settings!$B$11),VLOOKUP(B319,'Standard Deviations'!A$1:C$672,3,FALSE))</f>
        <v>-4.1850316334333542</v>
      </c>
      <c r="J319" s="53" cm="1">
        <f t="array" ref="J319">IF(D319="G",I319/AJ319,I319/Q319)</f>
        <v>-6.0652632368599337E-2</v>
      </c>
      <c r="K319" s="52" cm="1">
        <f t="array" ref="K319">VLOOKUP(B319,D!A1:F204,6,FALSE)</f>
        <v>-4.7518825479509088</v>
      </c>
      <c r="L319" s="54" cm="1">
        <f t="array" ref="L319">IFERROR(K319/H319,"N/A")</f>
        <v>-2.1599466127049585</v>
      </c>
      <c r="M319" s="84" t="s">
        <v>828</v>
      </c>
      <c r="N319" s="84" t="str" cm="1">
        <f t="array" ref="N319">IFERROR(M319-A319,"N/A")</f>
        <v>N/A</v>
      </c>
      <c r="O319" s="55"/>
      <c r="P319" s="56" cm="1">
        <f t="array" ref="P319">_xlfn.XLOOKUP($B319,ADP!A2:A671,ADP!G2:G671)</f>
        <v>0</v>
      </c>
      <c r="Q319" s="57" cm="1">
        <f t="array" ref="Q319">IF(Settings!$E$12="YES",VLOOKUP(B319,'Player Data'!A1:E673,5,FALSE),84)</f>
        <v>69</v>
      </c>
      <c r="R319" s="83" cm="1">
        <f t="array" ref="R319">VLOOKUP(B319,'Player Data'!$A1:$AE673,6,FALSE)</f>
        <v>17.7</v>
      </c>
      <c r="S319" s="57" cm="1">
        <f t="array" ref="S319">VLOOKUP(B319,'Player Data'!$A1:$AE673,7,FALSE)*$Q319*IFERROR((VLOOKUP(P319,Settings!$E$28:$F$33,2,FALSE)+1),1)</f>
        <v>2.0699999999999998</v>
      </c>
      <c r="T319" s="57" cm="1">
        <f t="array" ref="T319">VLOOKUP(B319,'Player Data'!$A1:$AE673,8,FALSE)*$Q319*IFERROR((VLOOKUP(P319,Settings!$E$28:$F$33,2,FALSE)+1),1)</f>
        <v>13.11</v>
      </c>
      <c r="U319" s="57" cm="1">
        <f t="array" ref="U319">SUM(S319:T319)</f>
        <v>15.18</v>
      </c>
      <c r="V319" s="57" cm="1">
        <f t="array" ref="V319">VLOOKUP(B319,'Player Data'!$A1:$AE673,10,FALSE)*$Q319*IFERROR(((VLOOKUP(P319,Settings!$E$28:$F$33,2,FALSE)/2)+1),1)</f>
        <v>66.239999999999995</v>
      </c>
      <c r="W319" s="57" cm="1">
        <f t="array" ref="W319">VLOOKUP(B319,'Player Data'!$A1:$AE673,11,FALSE)*$Q319*IFERROR((VLOOKUP(P319,Settings!$E$28:$F$33,2,FALSE)+1),1)</f>
        <v>0</v>
      </c>
      <c r="X319" s="57" cm="1">
        <f t="array" ref="X319">VLOOKUP(B319,'Player Data'!$A1:$AE673,12,FALSE)*$Q319*IFERROR((VLOOKUP(P319,Settings!$E$28:$F$33,2,FALSE)+1),1)</f>
        <v>0</v>
      </c>
      <c r="Y319" s="57" cm="1">
        <f t="array" ref="Y319">VLOOKUP(B319,'Player Data'!$A1:$AE673,13,FALSE)*$Q319</f>
        <v>0</v>
      </c>
      <c r="Z319" s="57" cm="1">
        <f t="array" ref="Z319">VLOOKUP(B319,'Player Data'!$A1:$AE673,14,FALSE)*$Q319</f>
        <v>0</v>
      </c>
      <c r="AA319" s="57" cm="1">
        <f t="array" ref="AA319">VLOOKUP(B319,'Player Data'!$A1:$AE673,15,FALSE)*$Q319</f>
        <v>113.85</v>
      </c>
      <c r="AB319" s="57" cm="1">
        <f t="array" ref="AB319">VLOOKUP(B319,'Player Data'!$A1:$AE673,16,FALSE)*$Q319</f>
        <v>62.79</v>
      </c>
      <c r="AC319" s="57" cm="1">
        <f t="array" ref="AC319">VLOOKUP(B319,'Player Data'!$A1:$AE673,17,FALSE)*$Q319*IFERROR((VLOOKUP(P319,Settings!$E$28:$F$33,2,FALSE)+1),1)</f>
        <v>0.69000000000000006</v>
      </c>
      <c r="AD319" s="57" cm="1">
        <f t="array" ref="AD319">VLOOKUP(B319,'Player Data'!$A1:$AE673,18,FALSE)*$Q319</f>
        <v>33.119999999999997</v>
      </c>
      <c r="AE319" s="57" cm="1">
        <f t="array" ref="AE319">VLOOKUP(B319,'Player Data'!$A1:$AE673,19,FALSE)*$Q319*IFERROR((VLOOKUP(P319,Settings!$E$28:$F$33,2,FALSE)+1),1)</f>
        <v>0</v>
      </c>
      <c r="AF319" s="57" cm="1">
        <f t="array" ref="AF319">VLOOKUP(B319,'Player Data'!$A1:$AE673,20,FALSE)*$Q319</f>
        <v>0</v>
      </c>
      <c r="AG319" s="57" cm="1">
        <f t="array" ref="AG319">VLOOKUP(B319,'Player Data'!$A1:$AE673,21,FALSE)*$Q319</f>
        <v>0</v>
      </c>
      <c r="AH319" s="59" cm="1">
        <f t="array" ref="AH319">VLOOKUP(B319,'Player Data'!$A1:$AE673,22,FALSE)</f>
        <v>0</v>
      </c>
      <c r="AI319" s="55"/>
      <c r="AJ319" s="57"/>
      <c r="AK319" s="57"/>
      <c r="AL319" s="57"/>
      <c r="AM319" s="57"/>
      <c r="AN319" s="57"/>
      <c r="AO319" s="57"/>
      <c r="AP319" s="57"/>
      <c r="AQ319" s="60"/>
      <c r="AR319" s="61"/>
      <c r="AS319" s="55"/>
    </row>
    <row r="320" spans="1:45" ht="21.25" customHeight="1" x14ac:dyDescent="0.15">
      <c r="A320" s="62">
        <f>RANK(K320,K$2:K$671)</f>
        <v>342</v>
      </c>
      <c r="B320" s="10" t="s">
        <v>379</v>
      </c>
      <c r="C320" s="47" t="s">
        <v>145</v>
      </c>
      <c r="D320" s="48" t="str" cm="1">
        <f t="array" ref="D320">VLOOKUP(B320,'Player Data'!A1:D673,4,FALSE)</f>
        <v>D</v>
      </c>
      <c r="E320" s="68" cm="1">
        <f t="array" ref="E320">VLOOKUP(B320,D!A1:C204,3,FALSE)</f>
        <v>162</v>
      </c>
      <c r="F320" s="72" t="str" cm="1">
        <f t="array" ref="F320">VLOOKUP(B320,'Player Data'!A1:B673,2,FALSE)</f>
        <v>NYI</v>
      </c>
      <c r="G320" s="66" cm="1">
        <f t="array" ref="G320">VLOOKUP(B320,'Player Data'!A1:D673,3,FALSE)</f>
        <v>31</v>
      </c>
      <c r="H320" s="51" cm="1">
        <f t="array" ref="H320">IFERROR(VLOOKUP(B320,ADP!A1:F671,6,FALSE)/1000000,VLOOKUP(B320,ADP!A1:F671,6,FALSE))</f>
        <v>6.15</v>
      </c>
      <c r="I320" s="52">
        <f>IF(Settings!$E$15="POINTS",((R320*Q320)*Settings!$B$12)+(S320*Settings!$B$2)+(T320*Settings!$B$3)+(U320*Settings!$B$4)+(V320*Settings!$B$5)+(X320*Settings!$B$9)+(AA320*Settings!$B$6)+(W320*Settings!$B$8)+(AB320*Settings!$B$7)+(AC320*Settings!$B$14)+(AD320*Settings!$B$15)+(AE320*Settings!$B$16)+(AF320*Settings!$B$17)+(AG320*Settings!$B$18)+(U320*Settings!$B$13)+(Y320*Settings!$B$10)+(Z320*Settings!$B$11),VLOOKUP(B320,'Standard Deviations'!A$1:C$672,3,FALSE))</f>
        <v>-4.1896971415999813</v>
      </c>
      <c r="J320" s="53" cm="1">
        <f t="array" ref="J320">IF(D320="G",I320/AJ320,I320/Q320)</f>
        <v>-5.3034141032911153E-2</v>
      </c>
      <c r="K320" s="52" cm="1">
        <f t="array" ref="K320">VLOOKUP(B320,D!A1:F204,6,FALSE)</f>
        <v>-4.7565480561175359</v>
      </c>
      <c r="L320" s="54" cm="1">
        <f t="array" ref="L320">IFERROR(K320/H320,"N/A")</f>
        <v>-0.77342244814919281</v>
      </c>
      <c r="M320" s="84" t="s">
        <v>828</v>
      </c>
      <c r="N320" s="84" t="str" cm="1">
        <f t="array" ref="N320">IFERROR(M320-A320,"N/A")</f>
        <v>N/A</v>
      </c>
      <c r="O320" s="55"/>
      <c r="P320" s="56" cm="1">
        <f t="array" ref="P320">_xlfn.XLOOKUP($B320,ADP!A2:A671,ADP!G2:G671)</f>
        <v>0</v>
      </c>
      <c r="Q320" s="57" cm="1">
        <f t="array" ref="Q320">IF(Settings!$E$12="YES",VLOOKUP(B320,'Player Data'!A1:E673,5,FALSE),84)</f>
        <v>79</v>
      </c>
      <c r="R320" s="55" cm="1">
        <f t="array" ref="R320">VLOOKUP(B320,'Player Data'!$A1:$AE673,6,FALSE)</f>
        <v>20.7</v>
      </c>
      <c r="S320" s="57" cm="1">
        <f t="array" ref="S320">VLOOKUP(B320,'Player Data'!$A1:$AE673,7,FALSE)*$Q320*IFERROR((VLOOKUP(P320,Settings!$E$28:$F$33,2,FALSE)+1),1)</f>
        <v>2.37</v>
      </c>
      <c r="T320" s="57" cm="1">
        <f t="array" ref="T320">VLOOKUP(B320,'Player Data'!$A1:$AE673,8,FALSE)*$Q320*IFERROR((VLOOKUP(P320,Settings!$E$28:$F$33,2,FALSE)+1),1)</f>
        <v>18.170000000000002</v>
      </c>
      <c r="U320" s="57" cm="1">
        <f t="array" ref="U320">SUM(S320:T320)</f>
        <v>20.540000000000003</v>
      </c>
      <c r="V320" s="57" cm="1">
        <f t="array" ref="V320">VLOOKUP(B320,'Player Data'!$A1:$AE673,10,FALSE)*$Q320*IFERROR(((VLOOKUP(P320,Settings!$E$28:$F$33,2,FALSE)/2)+1),1)</f>
        <v>82.16</v>
      </c>
      <c r="W320" s="57" cm="1">
        <f t="array" ref="W320">VLOOKUP(B320,'Player Data'!$A1:$AE673,11,FALSE)*$Q320*IFERROR((VLOOKUP(P320,Settings!$E$28:$F$33,2,FALSE)+1),1)</f>
        <v>0</v>
      </c>
      <c r="X320" s="57" cm="1">
        <f t="array" ref="X320">VLOOKUP(B320,'Player Data'!$A1:$AE673,12,FALSE)*$Q320*IFERROR((VLOOKUP(P320,Settings!$E$28:$F$33,2,FALSE)+1),1)</f>
        <v>0</v>
      </c>
      <c r="Y320" s="57" cm="1">
        <f t="array" ref="Y320">VLOOKUP(B320,'Player Data'!$A1:$AE673,13,FALSE)*$Q320</f>
        <v>0</v>
      </c>
      <c r="Z320" s="57" cm="1">
        <f t="array" ref="Z320">VLOOKUP(B320,'Player Data'!$A1:$AE673,14,FALSE)*$Q320</f>
        <v>0.79</v>
      </c>
      <c r="AA320" s="57" cm="1">
        <f t="array" ref="AA320">VLOOKUP(B320,'Player Data'!$A1:$AE673,15,FALSE)*$Q320</f>
        <v>152.47</v>
      </c>
      <c r="AB320" s="57" cm="1">
        <f t="array" ref="AB320">VLOOKUP(B320,'Player Data'!$A1:$AE673,16,FALSE)*$Q320</f>
        <v>71.100000000000009</v>
      </c>
      <c r="AC320" s="57" cm="1">
        <f t="array" ref="AC320">VLOOKUP(B320,'Player Data'!$A1:$AE673,17,FALSE)*$Q320*IFERROR((VLOOKUP(P320,Settings!$E$28:$F$33,2,FALSE)+1),1)</f>
        <v>-3.16</v>
      </c>
      <c r="AD320" s="57" cm="1">
        <f t="array" ref="AD320">VLOOKUP(B320,'Player Data'!$A1:$AE673,18,FALSE)*$Q320</f>
        <v>20.54</v>
      </c>
      <c r="AE320" s="57" cm="1">
        <f t="array" ref="AE320">VLOOKUP(B320,'Player Data'!$A1:$AE673,19,FALSE)*$Q320*IFERROR((VLOOKUP(P320,Settings!$E$28:$F$33,2,FALSE)+1),1)</f>
        <v>0</v>
      </c>
      <c r="AF320" s="57" cm="1">
        <f t="array" ref="AF320">VLOOKUP(B320,'Player Data'!$A1:$AE673,20,FALSE)*$Q320</f>
        <v>0</v>
      </c>
      <c r="AG320" s="57" cm="1">
        <f t="array" ref="AG320">VLOOKUP(B320,'Player Data'!$A1:$AE673,21,FALSE)*$Q320</f>
        <v>0</v>
      </c>
      <c r="AH320" s="59" cm="1">
        <f t="array" ref="AH320">VLOOKUP(B320,'Player Data'!$A1:$AE673,22,FALSE)</f>
        <v>0</v>
      </c>
      <c r="AI320" s="55"/>
      <c r="AJ320" s="57"/>
      <c r="AK320" s="57"/>
      <c r="AL320" s="57"/>
      <c r="AM320" s="57"/>
      <c r="AN320" s="57"/>
      <c r="AO320" s="57"/>
      <c r="AP320" s="57"/>
      <c r="AQ320" s="60"/>
      <c r="AR320" s="61"/>
      <c r="AS320" s="55"/>
    </row>
    <row r="321" spans="1:45" ht="21.25" customHeight="1" x14ac:dyDescent="0.15">
      <c r="A321" s="62">
        <f>RANK(K321,K$2:K$671)</f>
        <v>285</v>
      </c>
      <c r="B321" s="10" t="s">
        <v>327</v>
      </c>
      <c r="C321" s="47" t="s">
        <v>145</v>
      </c>
      <c r="D321" s="48" t="str" cm="1">
        <f t="array" ref="D321">VLOOKUP(B321,'Player Data'!A1:D673,4,FALSE)</f>
        <v>C,LW,RW</v>
      </c>
      <c r="E321" s="74" cm="1">
        <f t="array" ref="E321">VLOOKUP(B321,RW!A1:F210,3,FALSE)</f>
        <v>66</v>
      </c>
      <c r="F321" s="56" t="str" cm="1">
        <f t="array" ref="F321">VLOOKUP(B321,'Player Data'!A1:B673,2,FALSE)</f>
        <v>PHI</v>
      </c>
      <c r="G321" s="11" cm="1">
        <f t="array" ref="G321">VLOOKUP(B321,'Player Data'!A1:D673,3,FALSE)</f>
        <v>25</v>
      </c>
      <c r="H321" s="51" cm="1">
        <f t="array" ref="H321">IFERROR(VLOOKUP(B321,ADP!A1:F671,6,FALSE)/1000000,VLOOKUP(B321,ADP!A1:F671,6,FALSE))</f>
        <v>9.125</v>
      </c>
      <c r="I321" s="52">
        <f>IF(Settings!$E$15="POINTS",((R321*Q321)*Settings!$B$12)+(S321*Settings!$B$2)+(T321*Settings!$B$3)+(U321*Settings!$B$4)+(V321*Settings!$B$5)+(X321*Settings!$B$9)+(AA321*Settings!$B$6)+(W321*Settings!$B$8)+(AB321*Settings!$B$7)+(AC321*Settings!$B$14)+(AD321*Settings!$B$15)+(AE321*Settings!$B$16)+(AF321*Settings!$B$17)+(AG321*Settings!$B$18)+(Y321*Settings!$B$10)+(Z321*Settings!$B$11),VLOOKUP(B321,'Standard Deviations'!A$1:C$672,3,FALSE))</f>
        <v>3.0541569889542113</v>
      </c>
      <c r="J321" s="53" cm="1">
        <f t="array" ref="J321">IF(D321="G",I321/AJ321,I321/Q321)</f>
        <v>4.0722093186056151E-2</v>
      </c>
      <c r="K321" s="52" cm="1">
        <f t="array" ref="K321">IF(Settings!$E$18="C/LW/RW",VLOOKUP(B321,RW!A1:F210,6,FALSE),VLOOKUP(B321,F!A1:F407,6,FALSE))</f>
        <v>-3.8330776128548663</v>
      </c>
      <c r="L321" s="54" cm="1">
        <f t="array" ref="L321">IFERROR(K321/H321,"N/A")</f>
        <v>-0.42006330003888948</v>
      </c>
      <c r="M321" s="55">
        <v>136.19999999999999</v>
      </c>
      <c r="N321" s="55" cm="1">
        <f t="array" ref="N321">IFERROR(M321-A321,"N/A")</f>
        <v>-148.80000000000001</v>
      </c>
      <c r="O321" s="55"/>
      <c r="P321" s="56" t="str" cm="1">
        <f t="array" ref="P321">_xlfn.XLOOKUP($B321,ADP!A2:A671,ADP!G2:G671)</f>
        <v>+</v>
      </c>
      <c r="Q321" s="57" cm="1">
        <f t="array" ref="Q321">IF(Settings!$E$12="YES",VLOOKUP(B321,'Player Data'!A1:E673,5,FALSE),84)</f>
        <v>75</v>
      </c>
      <c r="R321" s="55" cm="1">
        <f t="array" ref="R321">VLOOKUP(B321,'Player Data'!$A1:$AE673,6,FALSE)</f>
        <v>18.600000000000001</v>
      </c>
      <c r="S321" s="57" cm="1">
        <f t="array" ref="S321">VLOOKUP(B321,'Player Data'!$A1:$AE673,7,FALSE)*$Q321*IFERROR((VLOOKUP(P321,Settings!$E$28:$F$33,2,FALSE)+1),1)</f>
        <v>23.625</v>
      </c>
      <c r="T321" s="57" cm="1">
        <f t="array" ref="T321">VLOOKUP(B321,'Player Data'!$A1:$AE673,8,FALSE)*$Q321*IFERROR((VLOOKUP(P321,Settings!$E$28:$F$33,2,FALSE)+1),1)</f>
        <v>37.012500000000003</v>
      </c>
      <c r="U321" s="57" cm="1">
        <f t="array" ref="U321">SUM(S321:T321)</f>
        <v>60.637500000000003</v>
      </c>
      <c r="V321" s="57" cm="1">
        <f t="array" ref="V321">VLOOKUP(B321,'Player Data'!$A1:$AE673,10,FALSE)*$Q321*IFERROR(((VLOOKUP(P321,Settings!$E$28:$F$33,2,FALSE)/2)+1),1)</f>
        <v>162.97499999999999</v>
      </c>
      <c r="W321" s="57" cm="1">
        <f t="array" ref="W321">VLOOKUP(B321,'Player Data'!$A1:$AE673,11,FALSE)*$Q321*IFERROR((VLOOKUP(P321,Settings!$E$28:$F$33,2,FALSE)+1),1)</f>
        <v>7.0875000000000004</v>
      </c>
      <c r="X321" s="78" cm="1">
        <f t="array" ref="X321">VLOOKUP(B321,'Player Data'!$A1:$AE673,12,FALSE)*$Q321*IFERROR((VLOOKUP(P321,Settings!$E$28:$F$33,2,FALSE)+1),1)</f>
        <v>16.537500000000001</v>
      </c>
      <c r="Y321" s="57" cm="1">
        <f t="array" ref="Y321">VLOOKUP(B321,'Player Data'!$A1:$AE673,13,FALSE)*$Q321</f>
        <v>0</v>
      </c>
      <c r="Z321" s="57" cm="1">
        <f t="array" ref="Z321">VLOOKUP(B321,'Player Data'!$A1:$AE673,14,FALSE)*$Q321</f>
        <v>0</v>
      </c>
      <c r="AA321" s="57" cm="1">
        <f t="array" ref="AA321">VLOOKUP(B321,'Player Data'!$A1:$AE673,15,FALSE)*$Q321</f>
        <v>29.25</v>
      </c>
      <c r="AB321" s="57" cm="1">
        <f t="array" ref="AB321">VLOOKUP(B321,'Player Data'!$A1:$AE673,16,FALSE)*$Q321</f>
        <v>48.75</v>
      </c>
      <c r="AC321" s="57" cm="1">
        <f t="array" ref="AC321">VLOOKUP(B321,'Player Data'!$A1:$AE673,17,FALSE)*$Q321*IFERROR((VLOOKUP(P321,Settings!$E$28:$F$33,2,FALSE)+1),1)</f>
        <v>2.3625000000000003</v>
      </c>
      <c r="AD321" s="57" cm="1">
        <f t="array" ref="AD321">VLOOKUP(B321,'Player Data'!$A1:$AE673,18,FALSE)*$Q321</f>
        <v>42.000000000000007</v>
      </c>
      <c r="AE321" s="57" cm="1">
        <f t="array" ref="AE321">VLOOKUP(B321,'Player Data'!$A1:$AE673,19,FALSE)*$Q321*IFERROR((VLOOKUP(P321,Settings!$E$28:$F$33,2,FALSE)+1),1)</f>
        <v>3.9375</v>
      </c>
      <c r="AF321" s="57" cm="1">
        <f t="array" ref="AF321">VLOOKUP(B321,'Player Data'!$A1:$AE673,20,FALSE)*$Q321</f>
        <v>122.24999999999999</v>
      </c>
      <c r="AG321" s="57" cm="1">
        <f t="array" ref="AG321">VLOOKUP(B321,'Player Data'!$A1:$AE673,21,FALSE)*$Q321</f>
        <v>223.5</v>
      </c>
      <c r="AH321" s="59" cm="1">
        <f t="array" ref="AH321">VLOOKUP(B321,'Player Data'!$A1:$AE673,22,FALSE)</f>
        <v>0.35</v>
      </c>
      <c r="AI321" s="55"/>
      <c r="AJ321" s="57"/>
      <c r="AK321" s="57"/>
      <c r="AL321" s="57"/>
      <c r="AM321" s="57"/>
      <c r="AN321" s="57"/>
      <c r="AO321" s="57"/>
      <c r="AP321" s="57"/>
      <c r="AQ321" s="60"/>
      <c r="AR321" s="61"/>
      <c r="AS321" s="55"/>
    </row>
    <row r="322" spans="1:45" ht="21.25" customHeight="1" x14ac:dyDescent="0.15">
      <c r="A322" s="62">
        <f>RANK(K322,K$2:K$671)</f>
        <v>332</v>
      </c>
      <c r="B322" s="10" t="s">
        <v>651</v>
      </c>
      <c r="C322" s="47" t="s">
        <v>145</v>
      </c>
      <c r="D322" s="48" t="str" cm="1">
        <f t="array" ref="D322">VLOOKUP(B322,'Player Data'!A1:D673,4,FALSE)</f>
        <v>G</v>
      </c>
      <c r="E322" s="76" cm="1">
        <f t="array" ref="E322">VLOOKUP(B322,G!A1:D66,3,FALSE)</f>
        <v>47</v>
      </c>
      <c r="F322" s="72" t="str" cm="1">
        <f t="array" ref="F322">VLOOKUP(B322,'Player Data'!A1:B673,2,FALSE)</f>
        <v>OTT</v>
      </c>
      <c r="G322" s="11" cm="1">
        <f t="array" ref="G322">VLOOKUP(B322,'Player Data'!A1:D673,3,FALSE)</f>
        <v>26</v>
      </c>
      <c r="H322" s="51" cm="1">
        <f t="array" ref="H322">IFERROR(VLOOKUP(B322,ADP!A1:F671,6,FALSE)/1000000,VLOOKUP(B322,ADP!A1:F671,6,FALSE))</f>
        <v>2.2000000000000002</v>
      </c>
      <c r="I322" s="52">
        <f>IF(Settings!$E$15="POINTS",(AJ322*Settings!$B$29)+(AK322*Settings!$B$21)+(AL322*Settings!$B$22)+(AN322*Settings!$B$24)+(AO322*Settings!$B$25)+(AP322*Settings!$B$27)+(AM322*Settings!$B$23),VLOOKUP(B322,'Standard Deviations'!A$1:C$672,3,FALSE))</f>
        <v>-2.5491698416396789</v>
      </c>
      <c r="J322" s="53" cm="1">
        <f t="array" ref="J322">IF(D322="G",I322/AJ322,I322/Q322)</f>
        <v>-8.497232805465596E-2</v>
      </c>
      <c r="K322" s="52" cm="1">
        <f t="array" ref="K322">VLOOKUP(B322,G!A1:F66,6,FALSE)</f>
        <v>-4.5873551007633537</v>
      </c>
      <c r="L322" s="54" cm="1">
        <f t="array" ref="L322">IFERROR(K322/H322,"N/A")</f>
        <v>-2.0851614094378879</v>
      </c>
      <c r="M322" s="84" t="s">
        <v>828</v>
      </c>
      <c r="N322" s="84" t="str" cm="1">
        <f t="array" ref="N322">IFERROR(M322-A322,"N/A")</f>
        <v>N/A</v>
      </c>
      <c r="O322" s="55"/>
      <c r="P322" s="56" cm="1">
        <f t="array" ref="P322">_xlfn.XLOOKUP($B322,ADP!A2:A671,ADP!G2:G671)</f>
        <v>0</v>
      </c>
      <c r="Q322" s="57"/>
      <c r="R322" s="55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9"/>
      <c r="AI322" s="55"/>
      <c r="AJ322" s="77" cm="1">
        <f t="array" ref="AJ322">VLOOKUP(B322,'Player Data'!$A1:$AE673,24,FALSE)</f>
        <v>30</v>
      </c>
      <c r="AK322" s="57" cm="1">
        <f t="array" ref="AK322">VLOOKUP(B322,'Player Data'!$A1:$AE673,25,FALSE)*$AJ322*IFERROR((VLOOKUP(P322,Settings!$E$28:$F$33,2,FALSE)+1),1)</f>
        <v>15.9</v>
      </c>
      <c r="AL322" s="57" cm="1">
        <f t="array" ref="AL322">AJ322-AK322-AM322</f>
        <v>10.5</v>
      </c>
      <c r="AM322" s="57" cm="1">
        <f t="array" ref="AM322">VLOOKUP(B322,'Player Data'!$A1:$AE673,27,FALSE)*$AJ322</f>
        <v>3.5999999999999996</v>
      </c>
      <c r="AN322" s="57" cm="1">
        <f t="array" ref="AN322">VLOOKUP(B322,'Player Data'!$A1:$AE673,28,FALSE)*AJ322</f>
        <v>1.7999999999999998</v>
      </c>
      <c r="AO322" s="57" cm="1">
        <f t="array" ref="AO322">VLOOKUP(B322,'Player Data'!$A1:$AE673,29,FALSE)*$AJ322*IFERROR((VLOOKUP(P322,Settings!$E$28:$F$33,2,FALSE)/4)+1,1)</f>
        <v>636</v>
      </c>
      <c r="AP322" s="57" cm="1">
        <f t="array" ref="AP322">VLOOKUP(B322,'Player Data'!$A1:$AE673,31,FALSE)*$AJ322*(IFERROR(1-(VLOOKUP(P322,Settings!$E$28:$F$33,2,FALSE)/4),1))</f>
        <v>81.900000000000006</v>
      </c>
      <c r="AQ322" s="60" cm="1">
        <f t="array" ref="AQ322">1-(AP322/(AO322+AP322))</f>
        <v>0.88591725867112414</v>
      </c>
      <c r="AR322" s="61" cm="1">
        <f t="array" ref="AR322">AP322/AJ322</f>
        <v>2.73</v>
      </c>
      <c r="AS322" s="55"/>
    </row>
    <row r="323" spans="1:45" ht="21.25" customHeight="1" x14ac:dyDescent="0.15">
      <c r="A323" s="62">
        <f>RANK(K323,K$2:K$671)</f>
        <v>289</v>
      </c>
      <c r="B323" s="10" t="s">
        <v>446</v>
      </c>
      <c r="C323" s="47" t="s">
        <v>145</v>
      </c>
      <c r="D323" s="48" t="str" cm="1">
        <f t="array" ref="D323">VLOOKUP(B323,'Player Data'!A1:D673,4,FALSE)</f>
        <v>C,LW</v>
      </c>
      <c r="E323" s="74" cm="1">
        <f t="array" ref="E323">VLOOKUP(B323,LW!A1:C210,3,FALSE)</f>
        <v>57</v>
      </c>
      <c r="F323" s="70" t="str" cm="1">
        <f t="array" ref="F323">VLOOKUP(B323,'Player Data'!A1:B673,2,FALSE)</f>
        <v>MIN</v>
      </c>
      <c r="G323" s="66" cm="1">
        <f t="array" ref="G323">VLOOKUP(B323,'Player Data'!A1:D673,3,FALSE)</f>
        <v>34</v>
      </c>
      <c r="H323" s="67" cm="1">
        <f t="array" ref="H323">IFERROR(VLOOKUP(B323,ADP!A1:F671,6,FALSE)/1000000,VLOOKUP(B323,ADP!A1:F671,6,FALSE))</f>
        <v>4.9000000000000004</v>
      </c>
      <c r="I323" s="52">
        <f>IF(Settings!$E$15="POINTS",((R323*Q323)*Settings!$B$12)+(S323*Settings!$B$2)+(T323*Settings!$B$3)+(U323*Settings!$B$4)+(V323*Settings!$B$5)+(X323*Settings!$B$9)+(AA323*Settings!$B$6)+(W323*Settings!$B$8)+(AB323*Settings!$B$7)+(AC323*Settings!$B$14)+(AD323*Settings!$B$15)+(AE323*Settings!$B$16)+(AF323*Settings!$B$17)+(AG323*Settings!$B$18)+(Y323*Settings!$B$10)+(Z323*Settings!$B$11),VLOOKUP(B323,'Standard Deviations'!A$1:C$672,3,FALSE))</f>
        <v>2.9755536799609792</v>
      </c>
      <c r="J323" s="53" cm="1">
        <f t="array" ref="J323">IF(D323="G",I323/AJ323,I323/Q323)</f>
        <v>3.6735230616802214E-2</v>
      </c>
      <c r="K323" s="52" cm="1">
        <f t="array" ref="K323">IF(Settings!$E$18="C/LW/RW",VLOOKUP(B323,LW!A1:F210,6,FALSE),VLOOKUP(B323,F!A1:F407,6,FALSE))</f>
        <v>-3.9188319644288305</v>
      </c>
      <c r="L323" s="54" cm="1">
        <f t="array" ref="L323">IFERROR(K323/H323,"N/A")</f>
        <v>-0.79976162539363882</v>
      </c>
      <c r="M323" s="84" t="s">
        <v>828</v>
      </c>
      <c r="N323" s="84" t="str" cm="1">
        <f t="array" ref="N323">IFERROR(M323-A323,"N/A")</f>
        <v>N/A</v>
      </c>
      <c r="O323" s="55"/>
      <c r="P323" s="56" cm="1">
        <f t="array" ref="P323">_xlfn.XLOOKUP($B323,ADP!A2:A671,ADP!G2:G671)</f>
        <v>0</v>
      </c>
      <c r="Q323" s="57" cm="1">
        <f t="array" ref="Q323">IF(Settings!$E$12="YES",VLOOKUP(B323,'Player Data'!A1:E673,5,FALSE),84)</f>
        <v>81</v>
      </c>
      <c r="R323" s="55" cm="1">
        <f t="array" ref="R323">VLOOKUP(B323,'Player Data'!$A1:$AE673,6,FALSE)</f>
        <v>17.2</v>
      </c>
      <c r="S323" s="57" cm="1">
        <f t="array" ref="S323">VLOOKUP(B323,'Player Data'!$A1:$AE673,7,FALSE)*$Q323*IFERROR((VLOOKUP(P323,Settings!$E$28:$F$33,2,FALSE)+1),1)</f>
        <v>18.630000000000003</v>
      </c>
      <c r="T323" s="57" cm="1">
        <f t="array" ref="T323">VLOOKUP(B323,'Player Data'!$A1:$AE673,8,FALSE)*$Q323*IFERROR((VLOOKUP(P323,Settings!$E$28:$F$33,2,FALSE)+1),1)</f>
        <v>19.439999999999998</v>
      </c>
      <c r="U323" s="57" cm="1">
        <f t="array" ref="U323">SUM(S323:T323)</f>
        <v>38.07</v>
      </c>
      <c r="V323" s="57" cm="1">
        <f t="array" ref="V323">VLOOKUP(B323,'Player Data'!$A1:$AE673,10,FALSE)*$Q323*IFERROR(((VLOOKUP(P323,Settings!$E$28:$F$33,2,FALSE)/2)+1),1)</f>
        <v>193.59</v>
      </c>
      <c r="W323" s="57" cm="1">
        <f t="array" ref="W323">VLOOKUP(B323,'Player Data'!$A1:$AE673,11,FALSE)*$Q323*IFERROR((VLOOKUP(P323,Settings!$E$28:$F$33,2,FALSE)+1),1)</f>
        <v>2.4299999999999997</v>
      </c>
      <c r="X323" s="57" cm="1">
        <f t="array" ref="X323">VLOOKUP(B323,'Player Data'!$A1:$AE673,12,FALSE)*$Q323*IFERROR((VLOOKUP(P323,Settings!$E$28:$F$33,2,FALSE)+1),1)</f>
        <v>3.24</v>
      </c>
      <c r="Y323" s="57" cm="1">
        <f t="array" ref="Y323">VLOOKUP(B323,'Player Data'!$A1:$AE673,13,FALSE)*$Q323</f>
        <v>2.4299999999999997</v>
      </c>
      <c r="Z323" s="57" cm="1">
        <f t="array" ref="Z323">VLOOKUP(B323,'Player Data'!$A1:$AE673,14,FALSE)*$Q323</f>
        <v>3.24</v>
      </c>
      <c r="AA323" s="57" cm="1">
        <f t="array" ref="AA323">VLOOKUP(B323,'Player Data'!$A1:$AE673,15,FALSE)*$Q323</f>
        <v>55.889999999999993</v>
      </c>
      <c r="AB323" s="57" cm="1">
        <f t="array" ref="AB323">VLOOKUP(B323,'Player Data'!$A1:$AE673,16,FALSE)*$Q323</f>
        <v>159.57</v>
      </c>
      <c r="AC323" s="57" cm="1">
        <f t="array" ref="AC323">VLOOKUP(B323,'Player Data'!$A1:$AE673,17,FALSE)*$Q323*IFERROR((VLOOKUP(P323,Settings!$E$28:$F$33,2,FALSE)+1),1)</f>
        <v>3.24</v>
      </c>
      <c r="AD323" s="57" cm="1">
        <f t="array" ref="AD323">VLOOKUP(B323,'Player Data'!$A1:$AE673,18,FALSE)*$Q323</f>
        <v>48.6</v>
      </c>
      <c r="AE323" s="57" cm="1">
        <f t="array" ref="AE323">VLOOKUP(B323,'Player Data'!$A1:$AE673,19,FALSE)*$Q323*IFERROR((VLOOKUP(P323,Settings!$E$28:$F$33,2,FALSE)+1),1)</f>
        <v>3.24</v>
      </c>
      <c r="AF323" s="57" cm="1">
        <f t="array" ref="AF323">VLOOKUP(B323,'Player Data'!$A1:$AE673,20,FALSE)*$Q323</f>
        <v>21.87</v>
      </c>
      <c r="AG323" s="57" cm="1">
        <f t="array" ref="AG323">VLOOKUP(B323,'Player Data'!$A1:$AE673,21,FALSE)*$Q323</f>
        <v>29.16</v>
      </c>
      <c r="AH323" s="59" cm="1">
        <f t="array" ref="AH323">VLOOKUP(B323,'Player Data'!$A1:$AE673,22,FALSE)</f>
        <v>0.43</v>
      </c>
      <c r="AI323" s="55"/>
      <c r="AJ323" s="57"/>
      <c r="AK323" s="57"/>
      <c r="AL323" s="57"/>
      <c r="AM323" s="57"/>
      <c r="AN323" s="57"/>
      <c r="AO323" s="57"/>
      <c r="AP323" s="57"/>
      <c r="AQ323" s="60"/>
      <c r="AR323" s="61"/>
      <c r="AS323" s="55"/>
    </row>
    <row r="324" spans="1:45" ht="21.25" customHeight="1" x14ac:dyDescent="0.15">
      <c r="A324" s="62">
        <f>RANK(K324,K$2:K$671)</f>
        <v>288</v>
      </c>
      <c r="B324" s="10" t="s">
        <v>364</v>
      </c>
      <c r="C324" s="47" t="s">
        <v>145</v>
      </c>
      <c r="D324" s="48" t="str" cm="1">
        <f t="array" ref="D324">VLOOKUP(B324,'Player Data'!A1:D673,4,FALSE)</f>
        <v>C</v>
      </c>
      <c r="E324" s="49" cm="1">
        <f t="array" ref="E324">VLOOKUP(B324,'C'!A1:C210,3,FALSE)</f>
        <v>61</v>
      </c>
      <c r="F324" s="65" t="str" cm="1">
        <f t="array" ref="F324">VLOOKUP(B324,'Player Data'!A1:B673,2,FALSE)</f>
        <v>T.B</v>
      </c>
      <c r="G324" s="11" cm="1">
        <f t="array" ref="G324">VLOOKUP(B324,'Player Data'!A1:D673,3,FALSE)</f>
        <v>29</v>
      </c>
      <c r="H324" s="51" cm="1">
        <f t="array" ref="H324">IFERROR(VLOOKUP(B324,ADP!A1:F671,6,FALSE)/1000000,VLOOKUP(B324,ADP!A1:F671,6,FALSE))</f>
        <v>6.25</v>
      </c>
      <c r="I324" s="52">
        <f>IF(Settings!$E$15="POINTS",((R324*Q324)*Settings!$B$12)+(S324*Settings!$B$2)+(T324*Settings!$B$3)+(U324*Settings!$B$4)+(V324*Settings!$B$5)+(X324*Settings!$B$9)+(AA324*Settings!$B$6)+(W324*Settings!$B$8)+(AB324*Settings!$B$7)+(AC324*Settings!$B$14)+(AD324*Settings!$B$15)+(AE324*Settings!$B$16)+(AF324*Settings!$B$17)+(AG324*Settings!$B$18)+(Y324*Settings!$B$10)+(Z324*Settings!$B$11),VLOOKUP(B324,'Standard Deviations'!A$1:C$672,3,FALSE))</f>
        <v>2.4578858395279841</v>
      </c>
      <c r="J324" s="53" cm="1">
        <f t="array" ref="J324">IF(D324="G",I324/AJ324,I324/Q324)</f>
        <v>2.9974217555219319E-2</v>
      </c>
      <c r="K324" s="52" cm="1">
        <f t="array" ref="K324">IF(Settings!$E$18="C/LW/RW",VLOOKUP(B324,'C'!A1:F210,6,FALSE),VLOOKUP(B324,F!A1:F407,6,FALSE))</f>
        <v>-3.90212371808708</v>
      </c>
      <c r="L324" s="54" cm="1">
        <f t="array" ref="L324">IFERROR(K324/H324,"N/A")</f>
        <v>-0.62433979489393276</v>
      </c>
      <c r="M324" s="55">
        <v>135.30000000000001</v>
      </c>
      <c r="N324" s="55" cm="1">
        <f t="array" ref="N324">IFERROR(M324-A324,"N/A")</f>
        <v>-152.69999999999999</v>
      </c>
      <c r="O324" s="55"/>
      <c r="P324" s="56" cm="1">
        <f t="array" ref="P324">_xlfn.XLOOKUP($B324,ADP!A2:A671,ADP!G2:G671)</f>
        <v>0</v>
      </c>
      <c r="Q324" s="57" cm="1">
        <f t="array" ref="Q324">IF(Settings!$E$12="YES",VLOOKUP(B324,'Player Data'!A1:E673,5,FALSE),84)</f>
        <v>82</v>
      </c>
      <c r="R324" s="55" cm="1">
        <f t="array" ref="R324">VLOOKUP(B324,'Player Data'!$A1:$AE673,6,FALSE)</f>
        <v>17.399999999999999</v>
      </c>
      <c r="S324" s="57" cm="1">
        <f t="array" ref="S324">VLOOKUP(B324,'Player Data'!$A1:$AE673,7,FALSE)*$Q324*IFERROR((VLOOKUP(P324,Settings!$E$28:$F$33,2,FALSE)+1),1)</f>
        <v>22.14</v>
      </c>
      <c r="T324" s="57" cm="1">
        <f t="array" ref="T324">VLOOKUP(B324,'Player Data'!$A1:$AE673,8,FALSE)*$Q324*IFERROR((VLOOKUP(P324,Settings!$E$28:$F$33,2,FALSE)+1),1)</f>
        <v>28.7</v>
      </c>
      <c r="U324" s="57" cm="1">
        <f t="array" ref="U324">SUM(S324:T324)</f>
        <v>50.84</v>
      </c>
      <c r="V324" s="57" cm="1">
        <f t="array" ref="V324">VLOOKUP(B324,'Player Data'!$A1:$AE673,10,FALSE)*$Q324*IFERROR(((VLOOKUP(P324,Settings!$E$28:$F$33,2,FALSE)/2)+1),1)</f>
        <v>141.04</v>
      </c>
      <c r="W324" s="57" cm="1">
        <f t="array" ref="W324">VLOOKUP(B324,'Player Data'!$A1:$AE673,11,FALSE)*$Q324*IFERROR((VLOOKUP(P324,Settings!$E$28:$F$33,2,FALSE)+1),1)</f>
        <v>2.46</v>
      </c>
      <c r="X324" s="57" cm="1">
        <f t="array" ref="X324">VLOOKUP(B324,'Player Data'!$A1:$AE673,12,FALSE)*$Q324*IFERROR((VLOOKUP(P324,Settings!$E$28:$F$33,2,FALSE)+1),1)</f>
        <v>4.92</v>
      </c>
      <c r="Y324" s="57" cm="1">
        <f t="array" ref="Y324">VLOOKUP(B324,'Player Data'!$A1:$AE673,13,FALSE)*$Q324</f>
        <v>1.6400000000000001</v>
      </c>
      <c r="Z324" s="57" cm="1">
        <f t="array" ref="Z324">VLOOKUP(B324,'Player Data'!$A1:$AE673,14,FALSE)*$Q324</f>
        <v>4.1000000000000005</v>
      </c>
      <c r="AA324" s="57" cm="1">
        <f t="array" ref="AA324">VLOOKUP(B324,'Player Data'!$A1:$AE673,15,FALSE)*$Q324</f>
        <v>58.22</v>
      </c>
      <c r="AB324" s="57" cm="1">
        <f t="array" ref="AB324">VLOOKUP(B324,'Player Data'!$A1:$AE673,16,FALSE)*$Q324</f>
        <v>51.660000000000004</v>
      </c>
      <c r="AC324" s="57" cm="1">
        <f t="array" ref="AC324">VLOOKUP(B324,'Player Data'!$A1:$AE673,17,FALSE)*$Q324*IFERROR((VLOOKUP(P324,Settings!$E$28:$F$33,2,FALSE)+1),1)</f>
        <v>9.84</v>
      </c>
      <c r="AD324" s="57" cm="1">
        <f t="array" ref="AD324">VLOOKUP(B324,'Player Data'!$A1:$AE673,18,FALSE)*$Q324</f>
        <v>33.619999999999997</v>
      </c>
      <c r="AE324" s="57" cm="1">
        <f t="array" ref="AE324">VLOOKUP(B324,'Player Data'!$A1:$AE673,19,FALSE)*$Q324*IFERROR((VLOOKUP(P324,Settings!$E$28:$F$33,2,FALSE)+1),1)</f>
        <v>4.1000000000000005</v>
      </c>
      <c r="AF324" s="57" cm="1">
        <f t="array" ref="AF324">VLOOKUP(B324,'Player Data'!$A1:$AE673,20,FALSE)*$Q324</f>
        <v>584.66</v>
      </c>
      <c r="AG324" s="57" cm="1">
        <f t="array" ref="AG324">VLOOKUP(B324,'Player Data'!$A1:$AE673,21,FALSE)*$Q324</f>
        <v>604.34</v>
      </c>
      <c r="AH324" s="59" cm="1">
        <f t="array" ref="AH324">VLOOKUP(B324,'Player Data'!$A1:$AE673,22,FALSE)</f>
        <v>0.49</v>
      </c>
      <c r="AI324" s="55"/>
      <c r="AJ324" s="57"/>
      <c r="AK324" s="57"/>
      <c r="AL324" s="57"/>
      <c r="AM324" s="57"/>
      <c r="AN324" s="57"/>
      <c r="AO324" s="57"/>
      <c r="AP324" s="57"/>
      <c r="AQ324" s="60"/>
      <c r="AR324" s="61"/>
      <c r="AS324" s="55"/>
    </row>
    <row r="325" spans="1:45" ht="21.25" customHeight="1" x14ac:dyDescent="0.15">
      <c r="A325" s="62">
        <f>RANK(K325,K$2:K$671)</f>
        <v>291</v>
      </c>
      <c r="B325" s="10" t="s">
        <v>251</v>
      </c>
      <c r="C325" s="47" t="s">
        <v>145</v>
      </c>
      <c r="D325" s="48" t="str" cm="1">
        <f t="array" ref="D325">VLOOKUP(B325,'Player Data'!A1:D673,4,FALSE)</f>
        <v>C</v>
      </c>
      <c r="E325" s="49" cm="1">
        <f t="array" ref="E325">VLOOKUP(B325,'C'!A1:C210,3,FALSE)</f>
        <v>62</v>
      </c>
      <c r="F325" s="65" t="str" cm="1">
        <f t="array" ref="F325">VLOOKUP(B325,'Player Data'!A1:B673,2,FALSE)</f>
        <v>NSH</v>
      </c>
      <c r="G325" s="66" cm="1">
        <f t="array" ref="G325">VLOOKUP(B325,'Player Data'!A1:D673,3,FALSE)</f>
        <v>35</v>
      </c>
      <c r="H325" s="67" cm="1">
        <f t="array" ref="H325">IFERROR(VLOOKUP(B325,ADP!A1:F671,6,FALSE)/1000000,VLOOKUP(B325,ADP!A1:F671,6,FALSE))</f>
        <v>4.5</v>
      </c>
      <c r="I325" s="52">
        <f>IF(Settings!$E$15="POINTS",((R325*Q325)*Settings!$B$12)+(S325*Settings!$B$2)+(T325*Settings!$B$3)+(U325*Settings!$B$4)+(V325*Settings!$B$5)+(X325*Settings!$B$9)+(AA325*Settings!$B$6)+(W325*Settings!$B$8)+(AB325*Settings!$B$7)+(AC325*Settings!$B$14)+(AD325*Settings!$B$15)+(AE325*Settings!$B$16)+(AF325*Settings!$B$17)+(AG325*Settings!$B$18)+(Y325*Settings!$B$10)+(Z325*Settings!$B$11),VLOOKUP(B325,'Standard Deviations'!A$1:C$672,3,FALSE))</f>
        <v>2.424054126315772</v>
      </c>
      <c r="J325" s="53" cm="1">
        <f t="array" ref="J325">IF(D325="G",I325/AJ325,I325/Q325)</f>
        <v>2.9205471401394845E-2</v>
      </c>
      <c r="K325" s="52" cm="1">
        <f t="array" ref="K325">IF(Settings!$E$18="C/LW/RW",VLOOKUP(B325,'C'!A1:F210,6,FALSE),VLOOKUP(B325,F!A1:F407,6,FALSE))</f>
        <v>-3.9359554312992922</v>
      </c>
      <c r="L325" s="54" cm="1">
        <f t="array" ref="L325">IFERROR(K325/H325,"N/A")</f>
        <v>-0.87465676251095381</v>
      </c>
      <c r="M325" s="55">
        <v>144.4</v>
      </c>
      <c r="N325" s="55" cm="1">
        <f t="array" ref="N325">IFERROR(M325-A325,"N/A")</f>
        <v>-146.6</v>
      </c>
      <c r="O325" s="55"/>
      <c r="P325" s="56" cm="1">
        <f t="array" ref="P325">_xlfn.XLOOKUP($B325,ADP!A2:A671,ADP!G2:G671)</f>
        <v>0</v>
      </c>
      <c r="Q325" s="57" cm="1">
        <f t="array" ref="Q325">IF(Settings!$E$12="YES",VLOOKUP(B325,'Player Data'!A1:E673,5,FALSE),84)</f>
        <v>83</v>
      </c>
      <c r="R325" s="55" cm="1">
        <f t="array" ref="R325">VLOOKUP(B325,'Player Data'!$A1:$AE673,6,FALSE)</f>
        <v>20.399999999999999</v>
      </c>
      <c r="S325" s="57" cm="1">
        <f t="array" ref="S325">VLOOKUP(B325,'Player Data'!$A1:$AE673,7,FALSE)*$Q325*IFERROR((VLOOKUP(P325,Settings!$E$28:$F$33,2,FALSE)+1),1)</f>
        <v>23.240000000000002</v>
      </c>
      <c r="T325" s="57" cm="1">
        <f t="array" ref="T325">VLOOKUP(B325,'Player Data'!$A1:$AE673,8,FALSE)*$Q325*IFERROR((VLOOKUP(P325,Settings!$E$28:$F$33,2,FALSE)+1),1)</f>
        <v>41.5</v>
      </c>
      <c r="U325" s="57" cm="1">
        <f t="array" ref="U325">SUM(S325:T325)</f>
        <v>64.740000000000009</v>
      </c>
      <c r="V325" s="57" cm="1">
        <f t="array" ref="V325">VLOOKUP(B325,'Player Data'!$A1:$AE673,10,FALSE)*$Q325*IFERROR(((VLOOKUP(P325,Settings!$E$28:$F$33,2,FALSE)/2)+1),1)</f>
        <v>166</v>
      </c>
      <c r="W325" s="58" cm="1">
        <f t="array" ref="W325">VLOOKUP(B325,'Player Data'!$A1:$AE673,11,FALSE)*$Q325*IFERROR((VLOOKUP(P325,Settings!$E$28:$F$33,2,FALSE)+1),1)</f>
        <v>6.6400000000000006</v>
      </c>
      <c r="X325" s="57" cm="1">
        <f t="array" ref="X325">VLOOKUP(B325,'Player Data'!$A1:$AE673,12,FALSE)*$Q325*IFERROR((VLOOKUP(P325,Settings!$E$28:$F$33,2,FALSE)+1),1)</f>
        <v>19.09</v>
      </c>
      <c r="Y325" s="57" cm="1">
        <f t="array" ref="Y325">VLOOKUP(B325,'Player Data'!$A1:$AE673,13,FALSE)*$Q325</f>
        <v>0.83000000000000007</v>
      </c>
      <c r="Z325" s="57" cm="1">
        <f t="array" ref="Z325">VLOOKUP(B325,'Player Data'!$A1:$AE673,14,FALSE)*$Q325</f>
        <v>1.6600000000000001</v>
      </c>
      <c r="AA325" s="57" cm="1">
        <f t="array" ref="AA325">VLOOKUP(B325,'Player Data'!$A1:$AE673,15,FALSE)*$Q325</f>
        <v>68.89</v>
      </c>
      <c r="AB325" s="57" cm="1">
        <f t="array" ref="AB325">VLOOKUP(B325,'Player Data'!$A1:$AE673,16,FALSE)*$Q325</f>
        <v>23.240000000000002</v>
      </c>
      <c r="AC325" s="57" cm="1">
        <f t="array" ref="AC325">VLOOKUP(B325,'Player Data'!$A1:$AE673,17,FALSE)*$Q325*IFERROR((VLOOKUP(P325,Settings!$E$28:$F$33,2,FALSE)+1),1)</f>
        <v>-0.83000000000000007</v>
      </c>
      <c r="AD325" s="57" cm="1">
        <f t="array" ref="AD325">VLOOKUP(B325,'Player Data'!$A1:$AE673,18,FALSE)*$Q325</f>
        <v>25.73</v>
      </c>
      <c r="AE325" s="57" cm="1">
        <f t="array" ref="AE325">VLOOKUP(B325,'Player Data'!$A1:$AE673,19,FALSE)*$Q325*IFERROR((VLOOKUP(P325,Settings!$E$28:$F$33,2,FALSE)+1),1)</f>
        <v>3.3200000000000003</v>
      </c>
      <c r="AF325" s="57" cm="1">
        <f t="array" ref="AF325">VLOOKUP(B325,'Player Data'!$A1:$AE673,20,FALSE)*$Q325</f>
        <v>787.67000000000007</v>
      </c>
      <c r="AG325" s="57" cm="1">
        <f t="array" ref="AG325">VLOOKUP(B325,'Player Data'!$A1:$AE673,21,FALSE)*$Q325</f>
        <v>643.25</v>
      </c>
      <c r="AH325" s="59" cm="1">
        <f t="array" ref="AH325">VLOOKUP(B325,'Player Data'!$A1:$AE673,22,FALSE)</f>
        <v>0.55000000000000004</v>
      </c>
      <c r="AI325" s="55"/>
      <c r="AJ325" s="57"/>
      <c r="AK325" s="57"/>
      <c r="AL325" s="57"/>
      <c r="AM325" s="57"/>
      <c r="AN325" s="57"/>
      <c r="AO325" s="57"/>
      <c r="AP325" s="57"/>
      <c r="AQ325" s="60"/>
      <c r="AR325" s="61"/>
      <c r="AS325" s="55"/>
    </row>
    <row r="326" spans="1:45" ht="21.25" customHeight="1" x14ac:dyDescent="0.15">
      <c r="A326" s="62">
        <f>RANK(K326,K$2:K$671)</f>
        <v>340</v>
      </c>
      <c r="B326" s="10" t="s">
        <v>504</v>
      </c>
      <c r="C326" s="47" t="s">
        <v>145</v>
      </c>
      <c r="D326" s="48" t="str" cm="1">
        <f t="array" ref="D326">VLOOKUP(B326,'Player Data'!A1:D673,4,FALSE)</f>
        <v>G</v>
      </c>
      <c r="E326" s="76" cm="1">
        <f t="array" ref="E326">VLOOKUP(B326,G!A1:D66,3,FALSE)</f>
        <v>48</v>
      </c>
      <c r="F326" s="18" t="str" cm="1">
        <f t="array" ref="F326">VLOOKUP(B326,'Player Data'!A1:B673,2,FALSE)</f>
        <v>PIT</v>
      </c>
      <c r="G326" s="71" cm="1">
        <f t="array" ref="G326">VLOOKUP(B326,'Player Data'!A1:D673,3,FALSE)</f>
        <v>22</v>
      </c>
      <c r="H326" s="51" cm="1">
        <f t="array" ref="H326">IFERROR(VLOOKUP(B326,ADP!A1:F671,6,FALSE)/1000000,VLOOKUP(B326,ADP!A1:F671,6,FALSE))</f>
        <v>0.88610999999999995</v>
      </c>
      <c r="I326" s="52">
        <f>IF(Settings!$E$15="POINTS",(AJ326*Settings!$B$29)+(AK326*Settings!$B$21)+(AL326*Settings!$B$22)+(AN326*Settings!$B$24)+(AO326*Settings!$B$25)+(AP326*Settings!$B$27)+(AM326*Settings!$B$23),VLOOKUP(B326,'Standard Deviations'!A$1:C$672,3,FALSE))</f>
        <v>-2.6822223287954361</v>
      </c>
      <c r="J326" s="53" cm="1">
        <f t="array" ref="J326">IF(D326="G",I326/AJ326,I326/Q326)</f>
        <v>-7.6634923679869599E-2</v>
      </c>
      <c r="K326" s="52" cm="1">
        <f t="array" ref="K326">VLOOKUP(B326,G!A1:F66,6,FALSE)</f>
        <v>-4.7204075879191105</v>
      </c>
      <c r="L326" s="54" cm="1">
        <f t="array" ref="L326">IFERROR(K326/H326,"N/A")</f>
        <v>-5.3271124216170804</v>
      </c>
      <c r="M326" s="55">
        <v>134.19999999999999</v>
      </c>
      <c r="N326" s="55" cm="1">
        <f t="array" ref="N326">IFERROR(M326-A326,"N/A")</f>
        <v>-205.8</v>
      </c>
      <c r="O326" s="55"/>
      <c r="P326" s="56" cm="1">
        <f t="array" ref="P326">_xlfn.XLOOKUP($B326,ADP!A2:A671,ADP!G2:G671)</f>
        <v>0</v>
      </c>
      <c r="Q326" s="57"/>
      <c r="R326" s="55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9"/>
      <c r="AI326" s="55"/>
      <c r="AJ326" s="77" cm="1">
        <f t="array" ref="AJ326">VLOOKUP(B326,'Player Data'!$A1:$AE673,24,FALSE)</f>
        <v>35</v>
      </c>
      <c r="AK326" s="57" cm="1">
        <f t="array" ref="AK326">VLOOKUP(B326,'Player Data'!$A1:$AE673,25,FALSE)*$AJ326*IFERROR((VLOOKUP(P326,Settings!$E$28:$F$33,2,FALSE)+1),1)</f>
        <v>17.149999999999999</v>
      </c>
      <c r="AL326" s="57" cm="1">
        <f t="array" ref="AL326">AJ326-AK326-AM326</f>
        <v>13.3</v>
      </c>
      <c r="AM326" s="57" cm="1">
        <f t="array" ref="AM326">VLOOKUP(B326,'Player Data'!$A1:$AE673,27,FALSE)*$AJ326</f>
        <v>4.55</v>
      </c>
      <c r="AN326" s="57" cm="1">
        <f t="array" ref="AN326">VLOOKUP(B326,'Player Data'!$A1:$AE673,28,FALSE)*AJ326</f>
        <v>1.4000000000000001</v>
      </c>
      <c r="AO326" s="57" cm="1">
        <f t="array" ref="AO326">VLOOKUP(B326,'Player Data'!$A1:$AE673,29,FALSE)*$AJ326*IFERROR((VLOOKUP(P326,Settings!$E$28:$F$33,2,FALSE)/4)+1,1)</f>
        <v>892.5</v>
      </c>
      <c r="AP326" s="57" cm="1">
        <f t="array" ref="AP326">VLOOKUP(B326,'Player Data'!$A1:$AE673,31,FALSE)*$AJ326*(IFERROR(1-(VLOOKUP(P326,Settings!$E$28:$F$33,2,FALSE)/4),1))</f>
        <v>104.65</v>
      </c>
      <c r="AQ326" s="60" cm="1">
        <f t="array" ref="AQ326">1-(AP326/(AO326+AP326))</f>
        <v>0.89505089505089508</v>
      </c>
      <c r="AR326" s="61" cm="1">
        <f t="array" ref="AR326">AP326/AJ326</f>
        <v>2.99</v>
      </c>
      <c r="AS326" s="55"/>
    </row>
    <row r="327" spans="1:45" ht="21.25" customHeight="1" x14ac:dyDescent="0.15">
      <c r="A327" s="62">
        <f>RANK(K327,K$2:K$671)</f>
        <v>349</v>
      </c>
      <c r="B327" s="10" t="s">
        <v>500</v>
      </c>
      <c r="C327" s="47" t="s">
        <v>145</v>
      </c>
      <c r="D327" s="48" t="str" cm="1">
        <f t="array" ref="D327">VLOOKUP(B327,'Player Data'!A1:D673,4,FALSE)</f>
        <v>D</v>
      </c>
      <c r="E327" s="68" cm="1">
        <f t="array" ref="E327">VLOOKUP(B327,D!A1:C204,3,FALSE)</f>
        <v>163</v>
      </c>
      <c r="F327" s="65" t="str" cm="1">
        <f t="array" ref="F327">VLOOKUP(B327,'Player Data'!A1:B673,2,FALSE)</f>
        <v>NSH</v>
      </c>
      <c r="G327" s="11" cm="1">
        <f t="array" ref="G327">VLOOKUP(B327,'Player Data'!A1:D673,3,FALSE)</f>
        <v>26</v>
      </c>
      <c r="H327" s="67" cm="1">
        <f t="array" ref="H327">IFERROR(VLOOKUP(B327,ADP!A1:F671,6,FALSE)/1000000,VLOOKUP(B327,ADP!A1:F671,6,FALSE))</f>
        <v>0.81200000000000006</v>
      </c>
      <c r="I327" s="52">
        <f>IF(Settings!$E$15="POINTS",((R327*Q327)*Settings!$B$12)+(S327*Settings!$B$2)+(T327*Settings!$B$3)+(U327*Settings!$B$4)+(V327*Settings!$B$5)+(X327*Settings!$B$9)+(AA327*Settings!$B$6)+(W327*Settings!$B$8)+(AB327*Settings!$B$7)+(AC327*Settings!$B$14)+(AD327*Settings!$B$15)+(AE327*Settings!$B$16)+(AF327*Settings!$B$17)+(AG327*Settings!$B$18)+(U327*Settings!$B$13)+(Y327*Settings!$B$10)+(Z327*Settings!$B$11),VLOOKUP(B327,'Standard Deviations'!A$1:C$672,3,FALSE))</f>
        <v>-4.4157199528765609</v>
      </c>
      <c r="J327" s="53" cm="1">
        <f t="array" ref="J327">IF(D327="G",I327/AJ327,I327/Q327)</f>
        <v>-5.9671891255088663E-2</v>
      </c>
      <c r="K327" s="52" cm="1">
        <f t="array" ref="K327">VLOOKUP(B327,D!A1:F204,6,FALSE)</f>
        <v>-4.9825708673941156</v>
      </c>
      <c r="L327" s="54" cm="1">
        <f t="array" ref="L327">IFERROR(K327/H327,"N/A")</f>
        <v>-6.1361710189582697</v>
      </c>
      <c r="M327" s="84" t="s">
        <v>828</v>
      </c>
      <c r="N327" s="84" t="str" cm="1">
        <f t="array" ref="N327">IFERROR(M327-A327,"N/A")</f>
        <v>N/A</v>
      </c>
      <c r="O327" s="55"/>
      <c r="P327" s="56" cm="1">
        <f t="array" ref="P327">_xlfn.XLOOKUP($B327,ADP!A2:A671,ADP!G2:G671)</f>
        <v>0</v>
      </c>
      <c r="Q327" s="57" cm="1">
        <f t="array" ref="Q327">IF(Settings!$E$12="YES",VLOOKUP(B327,'Player Data'!A1:E673,5,FALSE),84)</f>
        <v>74</v>
      </c>
      <c r="R327" s="55" cm="1">
        <f t="array" ref="R327">VLOOKUP(B327,'Player Data'!$A1:$AE673,6,FALSE)</f>
        <v>17.399999999999999</v>
      </c>
      <c r="S327" s="57" cm="1">
        <f t="array" ref="S327">VLOOKUP(B327,'Player Data'!$A1:$AE673,7,FALSE)*$Q327*IFERROR((VLOOKUP(P327,Settings!$E$28:$F$33,2,FALSE)+1),1)</f>
        <v>2.96</v>
      </c>
      <c r="T327" s="57" cm="1">
        <f t="array" ref="T327">VLOOKUP(B327,'Player Data'!$A1:$AE673,8,FALSE)*$Q327*IFERROR((VLOOKUP(P327,Settings!$E$28:$F$33,2,FALSE)+1),1)</f>
        <v>16.28</v>
      </c>
      <c r="U327" s="57" cm="1">
        <f t="array" ref="U327">SUM(S327:T327)</f>
        <v>19.240000000000002</v>
      </c>
      <c r="V327" s="57" cm="1">
        <f t="array" ref="V327">VLOOKUP(B327,'Player Data'!$A1:$AE673,10,FALSE)*$Q327*IFERROR(((VLOOKUP(P327,Settings!$E$28:$F$33,2,FALSE)/2)+1),1)</f>
        <v>79.180000000000007</v>
      </c>
      <c r="W327" s="57" cm="1">
        <f t="array" ref="W327">VLOOKUP(B327,'Player Data'!$A1:$AE673,11,FALSE)*$Q327*IFERROR((VLOOKUP(P327,Settings!$E$28:$F$33,2,FALSE)+1),1)</f>
        <v>0</v>
      </c>
      <c r="X327" s="57" cm="1">
        <f t="array" ref="X327">VLOOKUP(B327,'Player Data'!$A1:$AE673,12,FALSE)*$Q327*IFERROR((VLOOKUP(P327,Settings!$E$28:$F$33,2,FALSE)+1),1)</f>
        <v>0</v>
      </c>
      <c r="Y327" s="57" cm="1">
        <f t="array" ref="Y327">VLOOKUP(B327,'Player Data'!$A1:$AE673,13,FALSE)*$Q327</f>
        <v>0</v>
      </c>
      <c r="Z327" s="57" cm="1">
        <f t="array" ref="Z327">VLOOKUP(B327,'Player Data'!$A1:$AE673,14,FALSE)*$Q327</f>
        <v>0</v>
      </c>
      <c r="AA327" s="57" cm="1">
        <f t="array" ref="AA327">VLOOKUP(B327,'Player Data'!$A1:$AE673,15,FALSE)*$Q327</f>
        <v>74</v>
      </c>
      <c r="AB327" s="57" cm="1">
        <f t="array" ref="AB327">VLOOKUP(B327,'Player Data'!$A1:$AE673,16,FALSE)*$Q327</f>
        <v>56.24</v>
      </c>
      <c r="AC327" s="57" cm="1">
        <f t="array" ref="AC327">VLOOKUP(B327,'Player Data'!$A1:$AE673,17,FALSE)*$Q327*IFERROR((VLOOKUP(P327,Settings!$E$28:$F$33,2,FALSE)+1),1)</f>
        <v>-2.2199999999999998</v>
      </c>
      <c r="AD327" s="57" cm="1">
        <f t="array" ref="AD327">VLOOKUP(B327,'Player Data'!$A1:$AE673,18,FALSE)*$Q327</f>
        <v>33.300000000000004</v>
      </c>
      <c r="AE327" s="57" cm="1">
        <f t="array" ref="AE327">VLOOKUP(B327,'Player Data'!$A1:$AE673,19,FALSE)*$Q327*IFERROR((VLOOKUP(P327,Settings!$E$28:$F$33,2,FALSE)+1),1)</f>
        <v>0</v>
      </c>
      <c r="AF327" s="57" cm="1">
        <f t="array" ref="AF327">VLOOKUP(B327,'Player Data'!$A1:$AE673,20,FALSE)*$Q327</f>
        <v>0</v>
      </c>
      <c r="AG327" s="57" cm="1">
        <f t="array" ref="AG327">VLOOKUP(B327,'Player Data'!$A1:$AE673,21,FALSE)*$Q327</f>
        <v>0</v>
      </c>
      <c r="AH327" s="59" cm="1">
        <f t="array" ref="AH327">VLOOKUP(B327,'Player Data'!$A1:$AE673,22,FALSE)</f>
        <v>0</v>
      </c>
      <c r="AI327" s="55"/>
      <c r="AJ327" s="57"/>
      <c r="AK327" s="57"/>
      <c r="AL327" s="57"/>
      <c r="AM327" s="57"/>
      <c r="AN327" s="57"/>
      <c r="AO327" s="57"/>
      <c r="AP327" s="57"/>
      <c r="AQ327" s="60"/>
      <c r="AR327" s="61"/>
      <c r="AS327" s="55"/>
    </row>
    <row r="328" spans="1:45" ht="21.25" customHeight="1" x14ac:dyDescent="0.15">
      <c r="A328" s="62">
        <f>RANK(K328,K$2:K$671)</f>
        <v>351</v>
      </c>
      <c r="B328" s="10" t="s">
        <v>373</v>
      </c>
      <c r="C328" s="47" t="s">
        <v>145</v>
      </c>
      <c r="D328" s="48" t="str" cm="1">
        <f t="array" ref="D328">VLOOKUP(B328,'Player Data'!A1:D673,4,FALSE)</f>
        <v>D</v>
      </c>
      <c r="E328" s="68" cm="1">
        <f t="array" ref="E328">VLOOKUP(B328,D!A1:C204,3,FALSE)</f>
        <v>164</v>
      </c>
      <c r="F328" s="63" t="str" cm="1">
        <f t="array" ref="F328">VLOOKUP(B328,'Player Data'!A1:B673,2,FALSE)</f>
        <v>SEA</v>
      </c>
      <c r="G328" s="66" cm="1">
        <f t="array" ref="G328">VLOOKUP(B328,'Player Data'!A1:D673,3,FALSE)</f>
        <v>33</v>
      </c>
      <c r="H328" s="51" cm="1">
        <f t="array" ref="H328">IFERROR(VLOOKUP(B328,ADP!A1:F671,6,FALSE)/1000000,VLOOKUP(B328,ADP!A1:F671,6,FALSE))</f>
        <v>5.25</v>
      </c>
      <c r="I328" s="52">
        <f>IF(Settings!$E$15="POINTS",((R328*Q328)*Settings!$B$12)+(S328*Settings!$B$2)+(T328*Settings!$B$3)+(U328*Settings!$B$4)+(V328*Settings!$B$5)+(X328*Settings!$B$9)+(AA328*Settings!$B$6)+(W328*Settings!$B$8)+(AB328*Settings!$B$7)+(AC328*Settings!$B$14)+(AD328*Settings!$B$15)+(AE328*Settings!$B$16)+(AF328*Settings!$B$17)+(AG328*Settings!$B$18)+(U328*Settings!$B$13)+(Y328*Settings!$B$10)+(Z328*Settings!$B$11),VLOOKUP(B328,'Standard Deviations'!A$1:C$672,3,FALSE))</f>
        <v>-4.4535924606226764</v>
      </c>
      <c r="J328" s="53" cm="1">
        <f t="array" ref="J328">IF(D328="G",I328/AJ328,I328/Q328)</f>
        <v>-5.3018957864555669E-2</v>
      </c>
      <c r="K328" s="52" cm="1">
        <f t="array" ref="K328">VLOOKUP(B328,D!A1:F204,6,FALSE)</f>
        <v>-5.0204433751402311</v>
      </c>
      <c r="L328" s="54" cm="1">
        <f t="array" ref="L328">IFERROR(K328/H328,"N/A")</f>
        <v>-0.95627492859813923</v>
      </c>
      <c r="M328" s="84" t="s">
        <v>828</v>
      </c>
      <c r="N328" s="84" t="str" cm="1">
        <f t="array" ref="N328">IFERROR(M328-A328,"N/A")</f>
        <v>N/A</v>
      </c>
      <c r="O328" s="55"/>
      <c r="P328" s="56" cm="1">
        <f t="array" ref="P328">_xlfn.XLOOKUP($B328,ADP!A2:A671,ADP!G2:G671)</f>
        <v>0</v>
      </c>
      <c r="Q328" s="57" cm="1">
        <f t="array" ref="Q328">IF(Settings!$E$12="YES",VLOOKUP(B328,'Player Data'!A1:E673,5,FALSE),84)</f>
        <v>84</v>
      </c>
      <c r="R328" s="55" cm="1">
        <f t="array" ref="R328">VLOOKUP(B328,'Player Data'!$A1:$AE673,6,FALSE)</f>
        <v>20.7</v>
      </c>
      <c r="S328" s="57" cm="1">
        <f t="array" ref="S328">VLOOKUP(B328,'Player Data'!$A1:$AE673,7,FALSE)*$Q328*IFERROR((VLOOKUP(P328,Settings!$E$28:$F$33,2,FALSE)+1),1)</f>
        <v>3.36</v>
      </c>
      <c r="T328" s="57" cm="1">
        <f t="array" ref="T328">VLOOKUP(B328,'Player Data'!$A1:$AE673,8,FALSE)*$Q328*IFERROR((VLOOKUP(P328,Settings!$E$28:$F$33,2,FALSE)+1),1)</f>
        <v>15.96</v>
      </c>
      <c r="U328" s="57" cm="1">
        <f t="array" ref="U328">SUM(S328:T328)</f>
        <v>19.32</v>
      </c>
      <c r="V328" s="57" cm="1">
        <f t="array" ref="V328">VLOOKUP(B328,'Player Data'!$A1:$AE673,10,FALSE)*$Q328*IFERROR(((VLOOKUP(P328,Settings!$E$28:$F$33,2,FALSE)/2)+1),1)</f>
        <v>95.759999999999991</v>
      </c>
      <c r="W328" s="57" cm="1">
        <f t="array" ref="W328">VLOOKUP(B328,'Player Data'!$A1:$AE673,11,FALSE)*$Q328*IFERROR((VLOOKUP(P328,Settings!$E$28:$F$33,2,FALSE)+1),1)</f>
        <v>0</v>
      </c>
      <c r="X328" s="57" cm="1">
        <f t="array" ref="X328">VLOOKUP(B328,'Player Data'!$A1:$AE673,12,FALSE)*$Q328*IFERROR((VLOOKUP(P328,Settings!$E$28:$F$33,2,FALSE)+1),1)</f>
        <v>0</v>
      </c>
      <c r="Y328" s="57" cm="1">
        <f t="array" ref="Y328">VLOOKUP(B328,'Player Data'!$A1:$AE673,13,FALSE)*$Q328</f>
        <v>0</v>
      </c>
      <c r="Z328" s="57" cm="1">
        <f t="array" ref="Z328">VLOOKUP(B328,'Player Data'!$A1:$AE673,14,FALSE)*$Q328</f>
        <v>0</v>
      </c>
      <c r="AA328" s="57" cm="1">
        <f t="array" ref="AA328">VLOOKUP(B328,'Player Data'!$A1:$AE673,15,FALSE)*$Q328</f>
        <v>153.72</v>
      </c>
      <c r="AB328" s="57" cm="1">
        <f t="array" ref="AB328">VLOOKUP(B328,'Player Data'!$A1:$AE673,16,FALSE)*$Q328</f>
        <v>105</v>
      </c>
      <c r="AC328" s="57" cm="1">
        <f t="array" ref="AC328">VLOOKUP(B328,'Player Data'!$A1:$AE673,17,FALSE)*$Q328*IFERROR((VLOOKUP(P328,Settings!$E$28:$F$33,2,FALSE)+1),1)</f>
        <v>-8.4</v>
      </c>
      <c r="AD328" s="57" cm="1">
        <f t="array" ref="AD328">VLOOKUP(B328,'Player Data'!$A1:$AE673,18,FALSE)*$Q328</f>
        <v>39.479999999999997</v>
      </c>
      <c r="AE328" s="57" cm="1">
        <f t="array" ref="AE328">VLOOKUP(B328,'Player Data'!$A1:$AE673,19,FALSE)*$Q328*IFERROR((VLOOKUP(P328,Settings!$E$28:$F$33,2,FALSE)+1),1)</f>
        <v>0.84</v>
      </c>
      <c r="AF328" s="57" cm="1">
        <f t="array" ref="AF328">VLOOKUP(B328,'Player Data'!$A1:$AE673,20,FALSE)*$Q328</f>
        <v>0</v>
      </c>
      <c r="AG328" s="57" cm="1">
        <f t="array" ref="AG328">VLOOKUP(B328,'Player Data'!$A1:$AE673,21,FALSE)*$Q328</f>
        <v>0</v>
      </c>
      <c r="AH328" s="59" cm="1">
        <f t="array" ref="AH328">VLOOKUP(B328,'Player Data'!$A1:$AE673,22,FALSE)</f>
        <v>0</v>
      </c>
      <c r="AI328" s="55"/>
      <c r="AJ328" s="57"/>
      <c r="AK328" s="57"/>
      <c r="AL328" s="57"/>
      <c r="AM328" s="57"/>
      <c r="AN328" s="57"/>
      <c r="AO328" s="57"/>
      <c r="AP328" s="57"/>
      <c r="AQ328" s="60"/>
      <c r="AR328" s="61"/>
      <c r="AS328" s="55"/>
    </row>
    <row r="329" spans="1:45" ht="21.25" customHeight="1" x14ac:dyDescent="0.15">
      <c r="A329" s="62">
        <f>RANK(K329,K$2:K$671)</f>
        <v>301</v>
      </c>
      <c r="B329" s="10" t="s">
        <v>371</v>
      </c>
      <c r="C329" s="47" t="s">
        <v>145</v>
      </c>
      <c r="D329" s="48" t="str" cm="1">
        <f t="array" ref="D329">VLOOKUP(B329,'Player Data'!A1:D673,4,FALSE)</f>
        <v>C</v>
      </c>
      <c r="E329" s="49" cm="1">
        <f t="array" ref="E329">VLOOKUP(B329,'C'!A1:C210,3,FALSE)</f>
        <v>64</v>
      </c>
      <c r="F329" s="18" t="str" cm="1">
        <f t="array" ref="F329">VLOOKUP(B329,'Player Data'!A1:B673,2,FALSE)</f>
        <v>OTT</v>
      </c>
      <c r="G329" s="11" cm="1">
        <f t="array" ref="G329">VLOOKUP(B329,'Player Data'!A1:D673,3,FALSE)</f>
        <v>25</v>
      </c>
      <c r="H329" s="51" cm="1">
        <f t="array" ref="H329">IFERROR(VLOOKUP(B329,ADP!A1:F671,6,FALSE)/1000000,VLOOKUP(B329,ADP!A1:F671,6,FALSE))</f>
        <v>7.5</v>
      </c>
      <c r="I329" s="52">
        <f>IF(Settings!$E$15="POINTS",((R329*Q329)*Settings!$B$12)+(S329*Settings!$B$2)+(T329*Settings!$B$3)+(U329*Settings!$B$4)+(V329*Settings!$B$5)+(X329*Settings!$B$9)+(AA329*Settings!$B$6)+(W329*Settings!$B$8)+(AB329*Settings!$B$7)+(AC329*Settings!$B$14)+(AD329*Settings!$B$15)+(AE329*Settings!$B$16)+(AF329*Settings!$B$17)+(AG329*Settings!$B$18)+(Y329*Settings!$B$10)+(Z329*Settings!$B$11),VLOOKUP(B329,'Standard Deviations'!A$1:C$672,3,FALSE))</f>
        <v>2.2518295975805098</v>
      </c>
      <c r="J329" s="53" cm="1">
        <f t="array" ref="J329">IF(D329="G",I329/AJ329,I329/Q329)</f>
        <v>2.9244540228318308E-2</v>
      </c>
      <c r="K329" s="52" cm="1">
        <f t="array" ref="K329">IF(Settings!$E$18="C/LW/RW",VLOOKUP(B329,'C'!A1:F210,6,FALSE),VLOOKUP(B329,F!A1:F407,6,FALSE))</f>
        <v>-4.1081799600345548</v>
      </c>
      <c r="L329" s="54" cm="1">
        <f t="array" ref="L329">IFERROR(K329/H329,"N/A")</f>
        <v>-0.5477573280046073</v>
      </c>
      <c r="M329" s="84" t="s">
        <v>828</v>
      </c>
      <c r="N329" s="84" t="str" cm="1">
        <f t="array" ref="N329">IFERROR(M329-A329,"N/A")</f>
        <v>N/A</v>
      </c>
      <c r="O329" s="55"/>
      <c r="P329" s="56" cm="1">
        <f t="array" ref="P329">_xlfn.XLOOKUP($B329,ADP!A2:A671,ADP!G2:G671)</f>
        <v>0</v>
      </c>
      <c r="Q329" s="57" cm="1">
        <f t="array" ref="Q329">IF(Settings!$E$12="YES",VLOOKUP(B329,'Player Data'!A1:E673,5,FALSE),84)</f>
        <v>77</v>
      </c>
      <c r="R329" s="55" cm="1">
        <f t="array" ref="R329">VLOOKUP(B329,'Player Data'!$A1:$AE673,6,FALSE)</f>
        <v>18.5</v>
      </c>
      <c r="S329" s="57" cm="1">
        <f t="array" ref="S329">VLOOKUP(B329,'Player Data'!$A1:$AE673,7,FALSE)*$Q329*IFERROR((VLOOKUP(P329,Settings!$E$28:$F$33,2,FALSE)+1),1)</f>
        <v>23.099999999999998</v>
      </c>
      <c r="T329" s="57" cm="1">
        <f t="array" ref="T329">VLOOKUP(B329,'Player Data'!$A1:$AE673,8,FALSE)*$Q329*IFERROR((VLOOKUP(P329,Settings!$E$28:$F$33,2,FALSE)+1),1)</f>
        <v>25.41</v>
      </c>
      <c r="U329" s="57" cm="1">
        <f t="array" ref="U329">SUM(S329:T329)</f>
        <v>48.51</v>
      </c>
      <c r="V329" s="57" cm="1">
        <f t="array" ref="V329">VLOOKUP(B329,'Player Data'!$A1:$AE673,10,FALSE)*$Q329*IFERROR(((VLOOKUP(P329,Settings!$E$28:$F$33,2,FALSE)/2)+1),1)</f>
        <v>166.32000000000002</v>
      </c>
      <c r="W329" s="57" cm="1">
        <f t="array" ref="W329">VLOOKUP(B329,'Player Data'!$A1:$AE673,11,FALSE)*$Q329*IFERROR((VLOOKUP(P329,Settings!$E$28:$F$33,2,FALSE)+1),1)</f>
        <v>3.85</v>
      </c>
      <c r="X329" s="57" cm="1">
        <f t="array" ref="X329">VLOOKUP(B329,'Player Data'!$A1:$AE673,12,FALSE)*$Q329*IFERROR((VLOOKUP(P329,Settings!$E$28:$F$33,2,FALSE)+1),1)</f>
        <v>6.16</v>
      </c>
      <c r="Y329" s="57" cm="1">
        <f t="array" ref="Y329">VLOOKUP(B329,'Player Data'!$A1:$AE673,13,FALSE)*$Q329</f>
        <v>1.54</v>
      </c>
      <c r="Z329" s="57" cm="1">
        <f t="array" ref="Z329">VLOOKUP(B329,'Player Data'!$A1:$AE673,14,FALSE)*$Q329</f>
        <v>3.85</v>
      </c>
      <c r="AA329" s="57" cm="1">
        <f t="array" ref="AA329">VLOOKUP(B329,'Player Data'!$A1:$AE673,15,FALSE)*$Q329</f>
        <v>55.44</v>
      </c>
      <c r="AB329" s="57" cm="1">
        <f t="array" ref="AB329">VLOOKUP(B329,'Player Data'!$A1:$AE673,16,FALSE)*$Q329</f>
        <v>92.399999999999991</v>
      </c>
      <c r="AC329" s="57" cm="1">
        <f t="array" ref="AC329">VLOOKUP(B329,'Player Data'!$A1:$AE673,17,FALSE)*$Q329*IFERROR((VLOOKUP(P329,Settings!$E$28:$F$33,2,FALSE)+1),1)</f>
        <v>3.08</v>
      </c>
      <c r="AD329" s="57" cm="1">
        <f t="array" ref="AD329">VLOOKUP(B329,'Player Data'!$A1:$AE673,18,FALSE)*$Q329</f>
        <v>36.96</v>
      </c>
      <c r="AE329" s="57" cm="1">
        <f t="array" ref="AE329">VLOOKUP(B329,'Player Data'!$A1:$AE673,19,FALSE)*$Q329*IFERROR((VLOOKUP(P329,Settings!$E$28:$F$33,2,FALSE)+1),1)</f>
        <v>3.85</v>
      </c>
      <c r="AF329" s="57" cm="1">
        <f t="array" ref="AF329">VLOOKUP(B329,'Player Data'!$A1:$AE673,20,FALSE)*$Q329</f>
        <v>435.05</v>
      </c>
      <c r="AG329" s="57" cm="1">
        <f t="array" ref="AG329">VLOOKUP(B329,'Player Data'!$A1:$AE673,21,FALSE)*$Q329</f>
        <v>418.10999999999996</v>
      </c>
      <c r="AH329" s="59" cm="1">
        <f t="array" ref="AH329">VLOOKUP(B329,'Player Data'!$A1:$AE673,22,FALSE)</f>
        <v>0.51</v>
      </c>
      <c r="AI329" s="55"/>
      <c r="AJ329" s="57"/>
      <c r="AK329" s="57"/>
      <c r="AL329" s="57"/>
      <c r="AM329" s="57"/>
      <c r="AN329" s="57"/>
      <c r="AO329" s="57"/>
      <c r="AP329" s="57"/>
      <c r="AQ329" s="60"/>
      <c r="AR329" s="61"/>
      <c r="AS329" s="55"/>
    </row>
    <row r="330" spans="1:45" ht="21.25" customHeight="1" x14ac:dyDescent="0.15">
      <c r="A330" s="62">
        <f>RANK(K330,K$2:K$671)</f>
        <v>352</v>
      </c>
      <c r="B330" s="10" t="s">
        <v>406</v>
      </c>
      <c r="C330" s="47" t="s">
        <v>145</v>
      </c>
      <c r="D330" s="48" t="str" cm="1">
        <f t="array" ref="D330">VLOOKUP(B330,'Player Data'!A1:D673,4,FALSE)</f>
        <v>D</v>
      </c>
      <c r="E330" s="68" cm="1">
        <f t="array" ref="E330">VLOOKUP(B330,D!A1:C204,3,FALSE)</f>
        <v>165</v>
      </c>
      <c r="F330" s="63" t="str" cm="1">
        <f t="array" ref="F330">VLOOKUP(B330,'Player Data'!A1:B673,2,FALSE)</f>
        <v>CGY</v>
      </c>
      <c r="G330" s="11" cm="1">
        <f t="array" ref="G330">VLOOKUP(B330,'Player Data'!A1:D673,3,FALSE)</f>
        <v>30</v>
      </c>
      <c r="H330" s="51" cm="1">
        <f t="array" ref="H330">IFERROR(VLOOKUP(B330,ADP!A1:F671,6,FALSE)/1000000,VLOOKUP(B330,ADP!A1:F671,6,FALSE))</f>
        <v>4.3499999999999996</v>
      </c>
      <c r="I330" s="52">
        <f>IF(Settings!$E$15="POINTS",((R330*Q330)*Settings!$B$12)+(S330*Settings!$B$2)+(T330*Settings!$B$3)+(U330*Settings!$B$4)+(V330*Settings!$B$5)+(X330*Settings!$B$9)+(AA330*Settings!$B$6)+(W330*Settings!$B$8)+(AB330*Settings!$B$7)+(AC330*Settings!$B$14)+(AD330*Settings!$B$15)+(AE330*Settings!$B$16)+(AF330*Settings!$B$17)+(AG330*Settings!$B$18)+(U330*Settings!$B$13)+(Y330*Settings!$B$10)+(Z330*Settings!$B$11),VLOOKUP(B330,'Standard Deviations'!A$1:C$672,3,FALSE))</f>
        <v>-4.459402862901106</v>
      </c>
      <c r="J330" s="53" cm="1">
        <f t="array" ref="J330">IF(D330="G",I330/AJ330,I330/Q330)</f>
        <v>-5.505435633211242E-2</v>
      </c>
      <c r="K330" s="52" cm="1">
        <f t="array" ref="K330">VLOOKUP(B330,D!A1:F204,6,FALSE)</f>
        <v>-5.0262537774186606</v>
      </c>
      <c r="L330" s="54" cm="1">
        <f t="array" ref="L330">IFERROR(K330/H330,"N/A")</f>
        <v>-1.1554606384870485</v>
      </c>
      <c r="M330" s="84" t="s">
        <v>828</v>
      </c>
      <c r="N330" s="84" t="str" cm="1">
        <f t="array" ref="N330">IFERROR(M330-A330,"N/A")</f>
        <v>N/A</v>
      </c>
      <c r="O330" s="55"/>
      <c r="P330" s="56" cm="1">
        <f t="array" ref="P330">_xlfn.XLOOKUP($B330,ADP!A2:A671,ADP!G2:G671)</f>
        <v>0</v>
      </c>
      <c r="Q330" s="57" cm="1">
        <f t="array" ref="Q330">IF(Settings!$E$12="YES",VLOOKUP(B330,'Player Data'!A1:E673,5,FALSE),84)</f>
        <v>81</v>
      </c>
      <c r="R330" s="81" cm="1">
        <f t="array" ref="R330">VLOOKUP(B330,'Player Data'!$A1:$AE673,6,FALSE)</f>
        <v>19.3</v>
      </c>
      <c r="S330" s="57" cm="1">
        <f t="array" ref="S330">VLOOKUP(B330,'Player Data'!$A1:$AE673,7,FALSE)*$Q330*IFERROR((VLOOKUP(P330,Settings!$E$28:$F$33,2,FALSE)+1),1)</f>
        <v>4.8599999999999994</v>
      </c>
      <c r="T330" s="57" cm="1">
        <f t="array" ref="T330">VLOOKUP(B330,'Player Data'!$A1:$AE673,8,FALSE)*$Q330*IFERROR((VLOOKUP(P330,Settings!$E$28:$F$33,2,FALSE)+1),1)</f>
        <v>16.2</v>
      </c>
      <c r="U330" s="57" cm="1">
        <f t="array" ref="U330">SUM(S330:T330)</f>
        <v>21.06</v>
      </c>
      <c r="V330" s="57" cm="1">
        <f t="array" ref="V330">VLOOKUP(B330,'Player Data'!$A1:$AE673,10,FALSE)*$Q330*IFERROR(((VLOOKUP(P330,Settings!$E$28:$F$33,2,FALSE)/2)+1),1)</f>
        <v>82.62</v>
      </c>
      <c r="W330" s="57" cm="1">
        <f t="array" ref="W330">VLOOKUP(B330,'Player Data'!$A1:$AE673,11,FALSE)*$Q330*IFERROR((VLOOKUP(P330,Settings!$E$28:$F$33,2,FALSE)+1),1)</f>
        <v>0</v>
      </c>
      <c r="X330" s="57" cm="1">
        <f t="array" ref="X330">VLOOKUP(B330,'Player Data'!$A1:$AE673,12,FALSE)*$Q330*IFERROR((VLOOKUP(P330,Settings!$E$28:$F$33,2,FALSE)+1),1)</f>
        <v>0</v>
      </c>
      <c r="Y330" s="57" cm="1">
        <f t="array" ref="Y330">VLOOKUP(B330,'Player Data'!$A1:$AE673,13,FALSE)*$Q330</f>
        <v>0</v>
      </c>
      <c r="Z330" s="57" cm="1">
        <f t="array" ref="Z330">VLOOKUP(B330,'Player Data'!$A1:$AE673,14,FALSE)*$Q330</f>
        <v>0</v>
      </c>
      <c r="AA330" s="57" cm="1">
        <f t="array" ref="AA330">VLOOKUP(B330,'Player Data'!$A1:$AE673,15,FALSE)*$Q330</f>
        <v>152.28</v>
      </c>
      <c r="AB330" s="57" cm="1">
        <f t="array" ref="AB330">VLOOKUP(B330,'Player Data'!$A1:$AE673,16,FALSE)*$Q330</f>
        <v>104.49000000000001</v>
      </c>
      <c r="AC330" s="57" cm="1">
        <f t="array" ref="AC330">VLOOKUP(B330,'Player Data'!$A1:$AE673,17,FALSE)*$Q330*IFERROR((VLOOKUP(P330,Settings!$E$28:$F$33,2,FALSE)+1),1)</f>
        <v>-8.1</v>
      </c>
      <c r="AD330" s="57" cm="1">
        <f t="array" ref="AD330">VLOOKUP(B330,'Player Data'!$A1:$AE673,18,FALSE)*$Q330</f>
        <v>60.75</v>
      </c>
      <c r="AE330" s="57" cm="1">
        <f t="array" ref="AE330">VLOOKUP(B330,'Player Data'!$A1:$AE673,19,FALSE)*$Q330*IFERROR((VLOOKUP(P330,Settings!$E$28:$F$33,2,FALSE)+1),1)</f>
        <v>0.81</v>
      </c>
      <c r="AF330" s="57" cm="1">
        <f t="array" ref="AF330">VLOOKUP(B330,'Player Data'!$A1:$AE673,20,FALSE)*$Q330</f>
        <v>0</v>
      </c>
      <c r="AG330" s="57" cm="1">
        <f t="array" ref="AG330">VLOOKUP(B330,'Player Data'!$A1:$AE673,21,FALSE)*$Q330</f>
        <v>0</v>
      </c>
      <c r="AH330" s="59" cm="1">
        <f t="array" ref="AH330">VLOOKUP(B330,'Player Data'!$A1:$AE673,22,FALSE)</f>
        <v>0</v>
      </c>
      <c r="AI330" s="55"/>
      <c r="AJ330" s="57"/>
      <c r="AK330" s="57"/>
      <c r="AL330" s="57"/>
      <c r="AM330" s="57"/>
      <c r="AN330" s="57"/>
      <c r="AO330" s="57"/>
      <c r="AP330" s="57"/>
      <c r="AQ330" s="60"/>
      <c r="AR330" s="61"/>
      <c r="AS330" s="55"/>
    </row>
    <row r="331" spans="1:45" ht="21.25" customHeight="1" x14ac:dyDescent="0.15">
      <c r="A331" s="62">
        <f>RANK(K331,K$2:K$671)</f>
        <v>298</v>
      </c>
      <c r="B331" s="10" t="s">
        <v>333</v>
      </c>
      <c r="C331" s="47" t="s">
        <v>145</v>
      </c>
      <c r="D331" s="48" t="str" cm="1">
        <f t="array" ref="D331">VLOOKUP(B331,'Player Data'!A1:D673,4,FALSE)</f>
        <v>LW,RW</v>
      </c>
      <c r="E331" s="74" cm="1">
        <f t="array" ref="E331">VLOOKUP(B331,RW!A1:F210,3,FALSE)</f>
        <v>67</v>
      </c>
      <c r="F331" s="56" t="str" cm="1">
        <f t="array" ref="F331">VLOOKUP(B331,'Player Data'!A1:B673,2,FALSE)</f>
        <v>PHI</v>
      </c>
      <c r="G331" s="71" cm="1">
        <f t="array" ref="G331">VLOOKUP(B331,'Player Data'!A1:D673,3,FALSE)</f>
        <v>21</v>
      </c>
      <c r="H331" s="51" cm="1">
        <f t="array" ref="H331">IFERROR(VLOOKUP(B331,ADP!A1:F671,6,FALSE)/1000000,VLOOKUP(B331,ADP!A1:F671,6,FALSE))</f>
        <v>0.95</v>
      </c>
      <c r="I331" s="52">
        <f>IF(Settings!$E$15="POINTS",((R331*Q331)*Settings!$B$12)+(S331*Settings!$B$2)+(T331*Settings!$B$3)+(U331*Settings!$B$4)+(V331*Settings!$B$5)+(X331*Settings!$B$9)+(AA331*Settings!$B$6)+(W331*Settings!$B$8)+(AB331*Settings!$B$7)+(AC331*Settings!$B$14)+(AD331*Settings!$B$15)+(AE331*Settings!$B$16)+(AF331*Settings!$B$17)+(AG331*Settings!$B$18)+(Y331*Settings!$B$10)+(Z331*Settings!$B$11),VLOOKUP(B331,'Standard Deviations'!A$1:C$672,3,FALSE))</f>
        <v>2.8012577930622831</v>
      </c>
      <c r="J331" s="53" cm="1">
        <f t="array" ref="J331">IF(D331="G",I331/AJ331,I331/Q331)</f>
        <v>3.3750093892316667E-2</v>
      </c>
      <c r="K331" s="52" cm="1">
        <f t="array" ref="K331">IF(Settings!$E$18="C/LW/RW",VLOOKUP(B331,RW!A1:F210,6,FALSE),VLOOKUP(B331,F!A1:F407,6,FALSE))</f>
        <v>-4.0859768087467945</v>
      </c>
      <c r="L331" s="54" cm="1">
        <f t="array" ref="L331">IFERROR(K331/H331,"N/A")</f>
        <v>-4.3010282197334684</v>
      </c>
      <c r="M331" s="55">
        <v>139.9</v>
      </c>
      <c r="N331" s="55" cm="1">
        <f t="array" ref="N331">IFERROR(M331-A331,"N/A")</f>
        <v>-158.1</v>
      </c>
      <c r="O331" s="80"/>
      <c r="P331" s="56" cm="1">
        <f t="array" ref="P331">_xlfn.XLOOKUP($B331,ADP!A2:A671,ADP!G2:G671)</f>
        <v>0</v>
      </c>
      <c r="Q331" s="57" cm="1">
        <f t="array" ref="Q331">IF(Settings!$E$12="YES",VLOOKUP(B331,'Player Data'!A1:E673,5,FALSE),84)</f>
        <v>83</v>
      </c>
      <c r="R331" s="81" cm="1">
        <f t="array" ref="R331">VLOOKUP(B331,'Player Data'!$A1:$AE673,6,FALSE)</f>
        <v>15.8</v>
      </c>
      <c r="S331" s="57" cm="1">
        <f t="array" ref="S331">VLOOKUP(B331,'Player Data'!$A1:$AE673,7,FALSE)*$Q331*IFERROR((VLOOKUP(P331,Settings!$E$28:$F$33,2,FALSE)+1),1)</f>
        <v>23.240000000000002</v>
      </c>
      <c r="T331" s="57" cm="1">
        <f t="array" ref="T331">VLOOKUP(B331,'Player Data'!$A1:$AE673,8,FALSE)*$Q331*IFERROR((VLOOKUP(P331,Settings!$E$28:$F$33,2,FALSE)+1),1)</f>
        <v>35.69</v>
      </c>
      <c r="U331" s="57" cm="1">
        <f t="array" ref="U331">SUM(S331:T331)</f>
        <v>58.93</v>
      </c>
      <c r="V331" s="57" cm="1">
        <f t="array" ref="V331">VLOOKUP(B331,'Player Data'!$A1:$AE673,10,FALSE)*$Q331*IFERROR(((VLOOKUP(P331,Settings!$E$28:$F$33,2,FALSE)/2)+1),1)</f>
        <v>181.76999999999998</v>
      </c>
      <c r="W331" s="57" cm="1">
        <f t="array" ref="W331">VLOOKUP(B331,'Player Data'!$A1:$AE673,11,FALSE)*$Q331*IFERROR((VLOOKUP(P331,Settings!$E$28:$F$33,2,FALSE)+1),1)</f>
        <v>6.6400000000000006</v>
      </c>
      <c r="X331" s="78" cm="1">
        <f t="array" ref="X331">VLOOKUP(B331,'Player Data'!$A1:$AE673,12,FALSE)*$Q331*IFERROR((VLOOKUP(P331,Settings!$E$28:$F$33,2,FALSE)+1),1)</f>
        <v>15.77</v>
      </c>
      <c r="Y331" s="57" cm="1">
        <f t="array" ref="Y331">VLOOKUP(B331,'Player Data'!$A1:$AE673,13,FALSE)*$Q331</f>
        <v>0</v>
      </c>
      <c r="Z331" s="57" cm="1">
        <f t="array" ref="Z331">VLOOKUP(B331,'Player Data'!$A1:$AE673,14,FALSE)*$Q331</f>
        <v>0</v>
      </c>
      <c r="AA331" s="57" cm="1">
        <f t="array" ref="AA331">VLOOKUP(B331,'Player Data'!$A1:$AE673,15,FALSE)*$Q331</f>
        <v>23.240000000000002</v>
      </c>
      <c r="AB331" s="57" cm="1">
        <f t="array" ref="AB331">VLOOKUP(B331,'Player Data'!$A1:$AE673,16,FALSE)*$Q331</f>
        <v>38.18</v>
      </c>
      <c r="AC331" s="57" cm="1">
        <f t="array" ref="AC331">VLOOKUP(B331,'Player Data'!$A1:$AE673,17,FALSE)*$Q331*IFERROR((VLOOKUP(P331,Settings!$E$28:$F$33,2,FALSE)+1),1)</f>
        <v>1.6600000000000001</v>
      </c>
      <c r="AD331" s="57" cm="1">
        <f t="array" ref="AD331">VLOOKUP(B331,'Player Data'!$A1:$AE673,18,FALSE)*$Q331</f>
        <v>52.29</v>
      </c>
      <c r="AE331" s="57" cm="1">
        <f t="array" ref="AE331">VLOOKUP(B331,'Player Data'!$A1:$AE673,19,FALSE)*$Q331*IFERROR((VLOOKUP(P331,Settings!$E$28:$F$33,2,FALSE)+1),1)</f>
        <v>4.1500000000000004</v>
      </c>
      <c r="AF331" s="57" cm="1">
        <f t="array" ref="AF331">VLOOKUP(B331,'Player Data'!$A1:$AE673,20,FALSE)*$Q331</f>
        <v>4.9799999999999995</v>
      </c>
      <c r="AG331" s="57" cm="1">
        <f t="array" ref="AG331">VLOOKUP(B331,'Player Data'!$A1:$AE673,21,FALSE)*$Q331</f>
        <v>13.280000000000001</v>
      </c>
      <c r="AH331" s="59" cm="1">
        <f t="array" ref="AH331">VLOOKUP(B331,'Player Data'!$A1:$AE673,22,FALSE)</f>
        <v>0.27</v>
      </c>
      <c r="AI331" s="55"/>
      <c r="AJ331" s="57"/>
      <c r="AK331" s="57"/>
      <c r="AL331" s="57"/>
      <c r="AM331" s="57"/>
      <c r="AN331" s="57"/>
      <c r="AO331" s="57"/>
      <c r="AP331" s="57"/>
      <c r="AQ331" s="60"/>
      <c r="AR331" s="61"/>
      <c r="AS331" s="55"/>
    </row>
    <row r="332" spans="1:45" ht="21.25" customHeight="1" x14ac:dyDescent="0.15">
      <c r="A332" s="62">
        <f>RANK(K332,K$2:K$671)</f>
        <v>299</v>
      </c>
      <c r="B332" s="10" t="s">
        <v>296</v>
      </c>
      <c r="C332" s="47" t="s">
        <v>145</v>
      </c>
      <c r="D332" s="48" t="str" cm="1">
        <f t="array" ref="D332">VLOOKUP(B332,'Player Data'!A1:D673,4,FALSE)</f>
        <v>LW,RW</v>
      </c>
      <c r="E332" s="74" cm="1">
        <f t="array" ref="E332">VLOOKUP(B332,RW!A1:F210,3,FALSE)</f>
        <v>68</v>
      </c>
      <c r="F332" s="72" t="str" cm="1">
        <f t="array" ref="F332">VLOOKUP(B332,'Player Data'!A1:B673,2,FALSE)</f>
        <v>BOS</v>
      </c>
      <c r="G332" s="71" cm="1">
        <f t="array" ref="G332">VLOOKUP(B332,'Player Data'!A1:D673,3,FALSE)</f>
        <v>24</v>
      </c>
      <c r="H332" s="51" cm="1">
        <f t="array" ref="H332">IFERROR(VLOOKUP(B332,ADP!A1:F671,6,FALSE)/1000000,VLOOKUP(B332,ADP!A1:F671,6,FALSE))</f>
        <v>7.7</v>
      </c>
      <c r="I332" s="52">
        <f>IF(Settings!$E$15="POINTS",((R332*Q332)*Settings!$B$12)+(S332*Settings!$B$2)+(T332*Settings!$B$3)+(U332*Settings!$B$4)+(V332*Settings!$B$5)+(X332*Settings!$B$9)+(AA332*Settings!$B$6)+(W332*Settings!$B$8)+(AB332*Settings!$B$7)+(AC332*Settings!$B$14)+(AD332*Settings!$B$15)+(AE332*Settings!$B$16)+(AF332*Settings!$B$17)+(AG332*Settings!$B$18)+(Y332*Settings!$B$10)+(Z332*Settings!$B$11),VLOOKUP(B332,'Standard Deviations'!A$1:C$672,3,FALSE))</f>
        <v>2.7846380843270113</v>
      </c>
      <c r="J332" s="53" cm="1">
        <f t="array" ref="J332">IF(D332="G",I332/AJ332,I332/Q332)</f>
        <v>3.3549856437674837E-2</v>
      </c>
      <c r="K332" s="52" cm="1">
        <f t="array" ref="K332">IF(Settings!$E$18="C/LW/RW",VLOOKUP(B332,RW!A1:F210,6,FALSE),VLOOKUP(B332,F!A1:F407,6,FALSE))</f>
        <v>-4.1025965174820662</v>
      </c>
      <c r="L332" s="54" cm="1">
        <f t="array" ref="L332">IFERROR(K332/H332,"N/A")</f>
        <v>-0.53280474253013843</v>
      </c>
      <c r="M332" s="55">
        <v>139.4</v>
      </c>
      <c r="N332" s="55" cm="1">
        <f t="array" ref="N332">IFERROR(M332-A332,"N/A")</f>
        <v>-159.6</v>
      </c>
      <c r="O332" s="82"/>
      <c r="P332" s="56" t="str" cm="1">
        <f t="array" ref="P332">_xlfn.XLOOKUP($B332,ADP!A2:A671,ADP!G2:G671)</f>
        <v>+</v>
      </c>
      <c r="Q332" s="57" cm="1">
        <f t="array" ref="Q332">IF(Settings!$E$12="YES",VLOOKUP(B332,'Player Data'!A1:E673,5,FALSE),84)</f>
        <v>83</v>
      </c>
      <c r="R332" s="81" cm="1">
        <f t="array" ref="R332">VLOOKUP(B332,'Player Data'!$A1:$AE673,6,FALSE)</f>
        <v>17.7</v>
      </c>
      <c r="S332" s="57" cm="1">
        <f t="array" ref="S332">VLOOKUP(B332,'Player Data'!$A1:$AE673,7,FALSE)*$Q332*IFERROR((VLOOKUP(P332,Settings!$E$28:$F$33,2,FALSE)+1),1)</f>
        <v>29.631000000000004</v>
      </c>
      <c r="T332" s="57" cm="1">
        <f t="array" ref="T332">VLOOKUP(B332,'Player Data'!$A1:$AE673,8,FALSE)*$Q332*IFERROR((VLOOKUP(P332,Settings!$E$28:$F$33,2,FALSE)+1),1)</f>
        <v>33.988500000000009</v>
      </c>
      <c r="U332" s="57" cm="1">
        <f t="array" ref="U332">SUM(S332:T332)</f>
        <v>63.619500000000016</v>
      </c>
      <c r="V332" s="57" cm="1">
        <f t="array" ref="V332">VLOOKUP(B332,'Player Data'!$A1:$AE673,10,FALSE)*$Q332*IFERROR(((VLOOKUP(P332,Settings!$E$28:$F$33,2,FALSE)/2)+1),1)</f>
        <v>193.12024999999997</v>
      </c>
      <c r="W332" s="57" cm="1">
        <f t="array" ref="W332">VLOOKUP(B332,'Player Data'!$A1:$AE673,11,FALSE)*$Q332*IFERROR((VLOOKUP(P332,Settings!$E$28:$F$33,2,FALSE)+1),1)</f>
        <v>6.1005000000000011</v>
      </c>
      <c r="X332" s="78" cm="1">
        <f t="array" ref="X332">VLOOKUP(B332,'Player Data'!$A1:$AE673,12,FALSE)*$Q332*IFERROR((VLOOKUP(P332,Settings!$E$28:$F$33,2,FALSE)+1),1)</f>
        <v>13.944000000000003</v>
      </c>
      <c r="Y332" s="57" cm="1">
        <f t="array" ref="Y332">VLOOKUP(B332,'Player Data'!$A1:$AE673,13,FALSE)*$Q332</f>
        <v>0</v>
      </c>
      <c r="Z332" s="57" cm="1">
        <f t="array" ref="Z332">VLOOKUP(B332,'Player Data'!$A1:$AE673,14,FALSE)*$Q332</f>
        <v>0.83000000000000007</v>
      </c>
      <c r="AA332" s="57" cm="1">
        <f t="array" ref="AA332">VLOOKUP(B332,'Player Data'!$A1:$AE673,15,FALSE)*$Q332</f>
        <v>24.069999999999997</v>
      </c>
      <c r="AB332" s="57" cm="1">
        <f t="array" ref="AB332">VLOOKUP(B332,'Player Data'!$A1:$AE673,16,FALSE)*$Q332</f>
        <v>29.049999999999997</v>
      </c>
      <c r="AC332" s="57" cm="1">
        <f t="array" ref="AC332">VLOOKUP(B332,'Player Data'!$A1:$AE673,17,FALSE)*$Q332*IFERROR((VLOOKUP(P332,Settings!$E$28:$F$33,2,FALSE)+1),1)</f>
        <v>0</v>
      </c>
      <c r="AD332" s="57" cm="1">
        <f t="array" ref="AD332">VLOOKUP(B332,'Player Data'!$A1:$AE673,18,FALSE)*$Q332</f>
        <v>28.220000000000002</v>
      </c>
      <c r="AE332" s="57" cm="1">
        <f t="array" ref="AE332">VLOOKUP(B332,'Player Data'!$A1:$AE673,19,FALSE)*$Q332*IFERROR((VLOOKUP(P332,Settings!$E$28:$F$33,2,FALSE)+1),1)</f>
        <v>4.3575000000000008</v>
      </c>
      <c r="AF332" s="57" cm="1">
        <f t="array" ref="AF332">VLOOKUP(B332,'Player Data'!$A1:$AE673,20,FALSE)*$Q332</f>
        <v>5.8100000000000005</v>
      </c>
      <c r="AG332" s="57" cm="1">
        <f t="array" ref="AG332">VLOOKUP(B332,'Player Data'!$A1:$AE673,21,FALSE)*$Q332</f>
        <v>17.43</v>
      </c>
      <c r="AH332" s="59" cm="1">
        <f t="array" ref="AH332">VLOOKUP(B332,'Player Data'!$A1:$AE673,22,FALSE)</f>
        <v>0.24</v>
      </c>
      <c r="AI332" s="55"/>
      <c r="AJ332" s="57"/>
      <c r="AK332" s="57"/>
      <c r="AL332" s="57"/>
      <c r="AM332" s="57"/>
      <c r="AN332" s="57"/>
      <c r="AO332" s="57"/>
      <c r="AP332" s="57"/>
      <c r="AQ332" s="60"/>
      <c r="AR332" s="61"/>
      <c r="AS332" s="55"/>
    </row>
    <row r="333" spans="1:45" ht="21.25" customHeight="1" x14ac:dyDescent="0.15">
      <c r="A333" s="62">
        <f>RANK(K333,K$2:K$671)</f>
        <v>353</v>
      </c>
      <c r="B333" s="10" t="s">
        <v>465</v>
      </c>
      <c r="C333" s="47" t="s">
        <v>145</v>
      </c>
      <c r="D333" s="48" t="str" cm="1">
        <f t="array" ref="D333">VLOOKUP(B333,'Player Data'!A1:D673,4,FALSE)</f>
        <v>D</v>
      </c>
      <c r="E333" s="68" cm="1">
        <f t="array" ref="E333">VLOOKUP(B333,D!A1:C204,3,FALSE)</f>
        <v>166</v>
      </c>
      <c r="F333" s="50" t="str" cm="1">
        <f t="array" ref="F333">VLOOKUP(B333,'Player Data'!A1:B673,2,FALSE)</f>
        <v>ANA</v>
      </c>
      <c r="G333" s="71" cm="1">
        <f t="array" ref="G333">VLOOKUP(B333,'Player Data'!A1:D673,3,FALSE)</f>
        <v>24</v>
      </c>
      <c r="H333" s="51" cm="1">
        <f t="array" ref="H333">IFERROR(VLOOKUP(B333,ADP!A1:F671,6,FALSE)/1000000,VLOOKUP(B333,ADP!A1:F671,6,FALSE))</f>
        <v>1.1499999999999999</v>
      </c>
      <c r="I333" s="52">
        <f>IF(Settings!$E$15="POINTS",((R333*Q333)*Settings!$B$12)+(S333*Settings!$B$2)+(T333*Settings!$B$3)+(U333*Settings!$B$4)+(V333*Settings!$B$5)+(X333*Settings!$B$9)+(AA333*Settings!$B$6)+(W333*Settings!$B$8)+(AB333*Settings!$B$7)+(AC333*Settings!$B$14)+(AD333*Settings!$B$15)+(AE333*Settings!$B$16)+(AF333*Settings!$B$17)+(AG333*Settings!$B$18)+(U333*Settings!$B$13)+(Y333*Settings!$B$10)+(Z333*Settings!$B$11),VLOOKUP(B333,'Standard Deviations'!A$1:C$672,3,FALSE))</f>
        <v>-4.4802205309133454</v>
      </c>
      <c r="J333" s="53" cm="1">
        <f t="array" ref="J333">IF(D333="G",I333/AJ333,I333/Q333)</f>
        <v>-5.7438724755299299E-2</v>
      </c>
      <c r="K333" s="52" cm="1">
        <f t="array" ref="K333">VLOOKUP(B333,D!A1:F204,6,FALSE)</f>
        <v>-5.0470714454309</v>
      </c>
      <c r="L333" s="54" cm="1">
        <f t="array" ref="L333">IFERROR(K333/H333,"N/A")</f>
        <v>-4.3887577786355658</v>
      </c>
      <c r="M333" s="84" t="s">
        <v>828</v>
      </c>
      <c r="N333" s="84" t="str" cm="1">
        <f t="array" ref="N333">IFERROR(M333-A333,"N/A")</f>
        <v>N/A</v>
      </c>
      <c r="O333" s="55"/>
      <c r="P333" s="56" cm="1">
        <f t="array" ref="P333">_xlfn.XLOOKUP($B333,ADP!A2:A671,ADP!G2:G671)</f>
        <v>0</v>
      </c>
      <c r="Q333" s="57" cm="1">
        <f t="array" ref="Q333">IF(Settings!$E$12="YES",VLOOKUP(B333,'Player Data'!A1:E673,5,FALSE),84)</f>
        <v>78</v>
      </c>
      <c r="R333" s="81" cm="1">
        <f t="array" ref="R333">VLOOKUP(B333,'Player Data'!$A1:$AE673,6,FALSE)</f>
        <v>16</v>
      </c>
      <c r="S333" s="57" cm="1">
        <f t="array" ref="S333">VLOOKUP(B333,'Player Data'!$A1:$AE673,7,FALSE)*$Q333*IFERROR((VLOOKUP(P333,Settings!$E$28:$F$33,2,FALSE)+1),1)</f>
        <v>4.68</v>
      </c>
      <c r="T333" s="57" cm="1">
        <f t="array" ref="T333">VLOOKUP(B333,'Player Data'!$A1:$AE673,8,FALSE)*$Q333*IFERROR((VLOOKUP(P333,Settings!$E$28:$F$33,2,FALSE)+1),1)</f>
        <v>12.48</v>
      </c>
      <c r="U333" s="57" cm="1">
        <f t="array" ref="U333">SUM(S333:T333)</f>
        <v>17.16</v>
      </c>
      <c r="V333" s="57" cm="1">
        <f t="array" ref="V333">VLOOKUP(B333,'Player Data'!$A1:$AE673,10,FALSE)*$Q333*IFERROR(((VLOOKUP(P333,Settings!$E$28:$F$33,2,FALSE)/2)+1),1)</f>
        <v>87.360000000000014</v>
      </c>
      <c r="W333" s="57" cm="1">
        <f t="array" ref="W333">VLOOKUP(B333,'Player Data'!$A1:$AE673,11,FALSE)*$Q333*IFERROR((VLOOKUP(P333,Settings!$E$28:$F$33,2,FALSE)+1),1)</f>
        <v>0</v>
      </c>
      <c r="X333" s="57" cm="1">
        <f t="array" ref="X333">VLOOKUP(B333,'Player Data'!$A1:$AE673,12,FALSE)*$Q333*IFERROR((VLOOKUP(P333,Settings!$E$28:$F$33,2,FALSE)+1),1)</f>
        <v>0</v>
      </c>
      <c r="Y333" s="57" cm="1">
        <f t="array" ref="Y333">VLOOKUP(B333,'Player Data'!$A1:$AE673,13,FALSE)*$Q333</f>
        <v>0</v>
      </c>
      <c r="Z333" s="57" cm="1">
        <f t="array" ref="Z333">VLOOKUP(B333,'Player Data'!$A1:$AE673,14,FALSE)*$Q333</f>
        <v>0.78</v>
      </c>
      <c r="AA333" s="57" cm="1">
        <f t="array" ref="AA333">VLOOKUP(B333,'Player Data'!$A1:$AE673,15,FALSE)*$Q333</f>
        <v>101.4</v>
      </c>
      <c r="AB333" s="57" cm="1">
        <f t="array" ref="AB333">VLOOKUP(B333,'Player Data'!$A1:$AE673,16,FALSE)*$Q333</f>
        <v>68.64</v>
      </c>
      <c r="AC333" s="57" cm="1">
        <f t="array" ref="AC333">VLOOKUP(B333,'Player Data'!$A1:$AE673,17,FALSE)*$Q333*IFERROR((VLOOKUP(P333,Settings!$E$28:$F$33,2,FALSE)+1),1)</f>
        <v>-3.9000000000000004</v>
      </c>
      <c r="AD333" s="57" cm="1">
        <f t="array" ref="AD333">VLOOKUP(B333,'Player Data'!$A1:$AE673,18,FALSE)*$Q333</f>
        <v>30.42</v>
      </c>
      <c r="AE333" s="57" cm="1">
        <f t="array" ref="AE333">VLOOKUP(B333,'Player Data'!$A1:$AE673,19,FALSE)*$Q333*IFERROR((VLOOKUP(P333,Settings!$E$28:$F$33,2,FALSE)+1),1)</f>
        <v>0.78</v>
      </c>
      <c r="AF333" s="57" cm="1">
        <f t="array" ref="AF333">VLOOKUP(B333,'Player Data'!$A1:$AE673,20,FALSE)*$Q333</f>
        <v>0</v>
      </c>
      <c r="AG333" s="57" cm="1">
        <f t="array" ref="AG333">VLOOKUP(B333,'Player Data'!$A1:$AE673,21,FALSE)*$Q333</f>
        <v>2.34</v>
      </c>
      <c r="AH333" s="59" cm="1">
        <f t="array" ref="AH333">VLOOKUP(B333,'Player Data'!$A1:$AE673,22,FALSE)</f>
        <v>0</v>
      </c>
      <c r="AI333" s="55"/>
      <c r="AJ333" s="57"/>
      <c r="AK333" s="57"/>
      <c r="AL333" s="57"/>
      <c r="AM333" s="57"/>
      <c r="AN333" s="57"/>
      <c r="AO333" s="57"/>
      <c r="AP333" s="57"/>
      <c r="AQ333" s="60"/>
      <c r="AR333" s="61"/>
      <c r="AS333" s="55"/>
    </row>
    <row r="334" spans="1:45" ht="21.25" customHeight="1" x14ac:dyDescent="0.15">
      <c r="A334" s="62">
        <f>RANK(K334,K$2:K$671)</f>
        <v>355</v>
      </c>
      <c r="B334" s="10" t="s">
        <v>407</v>
      </c>
      <c r="C334" s="47" t="s">
        <v>145</v>
      </c>
      <c r="D334" s="48" t="str" cm="1">
        <f t="array" ref="D334">VLOOKUP(B334,'Player Data'!A1:D673,4,FALSE)</f>
        <v>D</v>
      </c>
      <c r="E334" s="68" cm="1">
        <f t="array" ref="E334">VLOOKUP(B334,D!A1:C204,3,FALSE)</f>
        <v>167</v>
      </c>
      <c r="F334" s="63" t="str" cm="1">
        <f t="array" ref="F334">VLOOKUP(B334,'Player Data'!A1:B673,2,FALSE)</f>
        <v>CGY</v>
      </c>
      <c r="G334" s="11" cm="1">
        <f t="array" ref="G334">VLOOKUP(B334,'Player Data'!A1:D673,3,FALSE)</f>
        <v>26</v>
      </c>
      <c r="H334" s="51" cm="1">
        <f t="array" ref="H334">IFERROR(VLOOKUP(B334,ADP!A1:F671,6,FALSE)/1000000,VLOOKUP(B334,ADP!A1:F671,6,FALSE))</f>
        <v>5.35</v>
      </c>
      <c r="I334" s="52">
        <f>IF(Settings!$E$15="POINTS",((R334*Q334)*Settings!$B$12)+(S334*Settings!$B$2)+(T334*Settings!$B$3)+(U334*Settings!$B$4)+(V334*Settings!$B$5)+(X334*Settings!$B$9)+(AA334*Settings!$B$6)+(W334*Settings!$B$8)+(AB334*Settings!$B$7)+(AC334*Settings!$B$14)+(AD334*Settings!$B$15)+(AE334*Settings!$B$16)+(AF334*Settings!$B$17)+(AG334*Settings!$B$18)+(U334*Settings!$B$13)+(Y334*Settings!$B$10)+(Z334*Settings!$B$11),VLOOKUP(B334,'Standard Deviations'!A$1:C$672,3,FALSE))</f>
        <v>-4.4873414576453001</v>
      </c>
      <c r="J334" s="53" cm="1">
        <f t="array" ref="J334">IF(D334="G",I334/AJ334,I334/Q334)</f>
        <v>-5.4723676312747563E-2</v>
      </c>
      <c r="K334" s="52" cm="1">
        <f t="array" ref="K334">VLOOKUP(B334,D!A1:F204,6,FALSE)</f>
        <v>-5.0541923721628548</v>
      </c>
      <c r="L334" s="54" cm="1">
        <f t="array" ref="L334">IFERROR(K334/H334,"N/A")</f>
        <v>-0.94470885460987941</v>
      </c>
      <c r="M334" s="84" t="s">
        <v>828</v>
      </c>
      <c r="N334" s="84" t="str" cm="1">
        <f t="array" ref="N334">IFERROR(M334-A334,"N/A")</f>
        <v>N/A</v>
      </c>
      <c r="O334" s="55"/>
      <c r="P334" s="56" cm="1">
        <f t="array" ref="P334">_xlfn.XLOOKUP($B334,ADP!A2:A671,ADP!G2:G671)</f>
        <v>0</v>
      </c>
      <c r="Q334" s="57" cm="1">
        <f t="array" ref="Q334">IF(Settings!$E$12="YES",VLOOKUP(B334,'Player Data'!A1:E673,5,FALSE),84)</f>
        <v>82</v>
      </c>
      <c r="R334" s="55" cm="1">
        <f t="array" ref="R334">VLOOKUP(B334,'Player Data'!$A1:$AE673,6,FALSE)</f>
        <v>22.2</v>
      </c>
      <c r="S334" s="57" cm="1">
        <f t="array" ref="S334">VLOOKUP(B334,'Player Data'!$A1:$AE673,7,FALSE)*$Q334*IFERROR((VLOOKUP(P334,Settings!$E$28:$F$33,2,FALSE)+1),1)</f>
        <v>4.1000000000000005</v>
      </c>
      <c r="T334" s="57" cm="1">
        <f t="array" ref="T334">VLOOKUP(B334,'Player Data'!$A1:$AE673,8,FALSE)*$Q334*IFERROR((VLOOKUP(P334,Settings!$E$28:$F$33,2,FALSE)+1),1)</f>
        <v>18.04</v>
      </c>
      <c r="U334" s="57" cm="1">
        <f t="array" ref="U334">SUM(S334:T334)</f>
        <v>22.14</v>
      </c>
      <c r="V334" s="57" cm="1">
        <f t="array" ref="V334">VLOOKUP(B334,'Player Data'!$A1:$AE673,10,FALSE)*$Q334*IFERROR(((VLOOKUP(P334,Settings!$E$28:$F$33,2,FALSE)/2)+1),1)</f>
        <v>77.899999999999991</v>
      </c>
      <c r="W334" s="57" cm="1">
        <f t="array" ref="W334">VLOOKUP(B334,'Player Data'!$A1:$AE673,11,FALSE)*$Q334*IFERROR((VLOOKUP(P334,Settings!$E$28:$F$33,2,FALSE)+1),1)</f>
        <v>0</v>
      </c>
      <c r="X334" s="57" cm="1">
        <f t="array" ref="X334">VLOOKUP(B334,'Player Data'!$A1:$AE673,12,FALSE)*$Q334*IFERROR((VLOOKUP(P334,Settings!$E$28:$F$33,2,FALSE)+1),1)</f>
        <v>0.82000000000000006</v>
      </c>
      <c r="Y334" s="57" cm="1">
        <f t="array" ref="Y334">VLOOKUP(B334,'Player Data'!$A1:$AE673,13,FALSE)*$Q334</f>
        <v>0</v>
      </c>
      <c r="Z334" s="57" cm="1">
        <f t="array" ref="Z334">VLOOKUP(B334,'Player Data'!$A1:$AE673,14,FALSE)*$Q334</f>
        <v>0.82000000000000006</v>
      </c>
      <c r="AA334" s="57" cm="1">
        <f t="array" ref="AA334">VLOOKUP(B334,'Player Data'!$A1:$AE673,15,FALSE)*$Q334</f>
        <v>122.17999999999999</v>
      </c>
      <c r="AB334" s="57" cm="1">
        <f t="array" ref="AB334">VLOOKUP(B334,'Player Data'!$A1:$AE673,16,FALSE)*$Q334</f>
        <v>118.89999999999999</v>
      </c>
      <c r="AC334" s="57" cm="1">
        <f t="array" ref="AC334">VLOOKUP(B334,'Player Data'!$A1:$AE673,17,FALSE)*$Q334*IFERROR((VLOOKUP(P334,Settings!$E$28:$F$33,2,FALSE)+1),1)</f>
        <v>-9.84</v>
      </c>
      <c r="AD334" s="57" cm="1">
        <f t="array" ref="AD334">VLOOKUP(B334,'Player Data'!$A1:$AE673,18,FALSE)*$Q334</f>
        <v>51.660000000000004</v>
      </c>
      <c r="AE334" s="57" cm="1">
        <f t="array" ref="AE334">VLOOKUP(B334,'Player Data'!$A1:$AE673,19,FALSE)*$Q334*IFERROR((VLOOKUP(P334,Settings!$E$28:$F$33,2,FALSE)+1),1)</f>
        <v>0.82000000000000006</v>
      </c>
      <c r="AF334" s="57" cm="1">
        <f t="array" ref="AF334">VLOOKUP(B334,'Player Data'!$A1:$AE673,20,FALSE)*$Q334</f>
        <v>0</v>
      </c>
      <c r="AG334" s="57" cm="1">
        <f t="array" ref="AG334">VLOOKUP(B334,'Player Data'!$A1:$AE673,21,FALSE)*$Q334</f>
        <v>0</v>
      </c>
      <c r="AH334" s="59" cm="1">
        <f t="array" ref="AH334">VLOOKUP(B334,'Player Data'!$A1:$AE673,22,FALSE)</f>
        <v>0</v>
      </c>
      <c r="AI334" s="55"/>
      <c r="AJ334" s="57"/>
      <c r="AK334" s="57"/>
      <c r="AL334" s="57"/>
      <c r="AM334" s="57"/>
      <c r="AN334" s="57"/>
      <c r="AO334" s="57"/>
      <c r="AP334" s="57"/>
      <c r="AQ334" s="60"/>
      <c r="AR334" s="61"/>
      <c r="AS334" s="55"/>
    </row>
    <row r="335" spans="1:45" ht="21.25" customHeight="1" x14ac:dyDescent="0.15">
      <c r="A335" s="62">
        <f>RANK(K335,K$2:K$671)</f>
        <v>303</v>
      </c>
      <c r="B335" s="10" t="s">
        <v>223</v>
      </c>
      <c r="C335" s="47" t="s">
        <v>145</v>
      </c>
      <c r="D335" s="48" t="str" cm="1">
        <f t="array" ref="D335">VLOOKUP(B335,'Player Data'!A1:D673,4,FALSE)</f>
        <v>RW</v>
      </c>
      <c r="E335" s="64" cm="1">
        <f t="array" ref="E335">VLOOKUP(B335,RW!A1:F210,3,FALSE)</f>
        <v>69</v>
      </c>
      <c r="F335" s="72" t="str" cm="1">
        <f t="array" ref="F335">VLOOKUP(B335,'Player Data'!A1:B673,2,FALSE)</f>
        <v>PIT</v>
      </c>
      <c r="G335" s="66" cm="1">
        <f t="array" ref="G335">VLOOKUP(B335,'Player Data'!A1:D673,3,FALSE)</f>
        <v>34</v>
      </c>
      <c r="H335" s="51" cm="1">
        <f t="array" ref="H335">IFERROR(VLOOKUP(B335,ADP!A1:F671,6,FALSE)/1000000,VLOOKUP(B335,ADP!A1:F671,6,FALSE))</f>
        <v>5.125</v>
      </c>
      <c r="I335" s="52">
        <f>IF(Settings!$E$15="POINTS",((R335*Q335)*Settings!$B$12)+(S335*Settings!$B$2)+(T335*Settings!$B$3)+(U335*Settings!$B$4)+(V335*Settings!$B$5)+(X335*Settings!$B$9)+(AA335*Settings!$B$6)+(W335*Settings!$B$8)+(AB335*Settings!$B$7)+(AC335*Settings!$B$14)+(AD335*Settings!$B$15)+(AE335*Settings!$B$16)+(AF335*Settings!$B$17)+(AG335*Settings!$B$18)+(Y335*Settings!$B$10)+(Z335*Settings!$B$11),VLOOKUP(B335,'Standard Deviations'!A$1:C$672,3,FALSE))</f>
        <v>2.7678087956547217</v>
      </c>
      <c r="J335" s="53" cm="1">
        <f t="array" ref="J335">IF(D335="G",I335/AJ335,I335/Q335)</f>
        <v>3.5035554375376227E-2</v>
      </c>
      <c r="K335" s="52" cm="1">
        <f t="array" ref="K335">IF(Settings!$E$18="C/LW/RW",VLOOKUP(B335,RW!A1:F210,6,FALSE),VLOOKUP(B335,F!A1:F407,6,FALSE))</f>
        <v>-4.1194258061543554</v>
      </c>
      <c r="L335" s="54" cm="1">
        <f t="array" ref="L335">IFERROR(K335/H335,"N/A")</f>
        <v>-0.80379040120084988</v>
      </c>
      <c r="M335" s="55">
        <v>123.6</v>
      </c>
      <c r="N335" s="55" cm="1">
        <f t="array" ref="N335">IFERROR(M335-A335,"N/A")</f>
        <v>-179.4</v>
      </c>
      <c r="O335" s="55"/>
      <c r="P335" s="56" cm="1">
        <f t="array" ref="P335">_xlfn.XLOOKUP($B335,ADP!A2:A671,ADP!G2:G671)</f>
        <v>0</v>
      </c>
      <c r="Q335" s="57" cm="1">
        <f t="array" ref="Q335">IF(Settings!$E$12="YES",VLOOKUP(B335,'Player Data'!A1:E673,5,FALSE),84)</f>
        <v>79</v>
      </c>
      <c r="R335" s="55" cm="1">
        <f t="array" ref="R335">VLOOKUP(B335,'Player Data'!$A1:$AE673,6,FALSE)</f>
        <v>20</v>
      </c>
      <c r="S335" s="57" cm="1">
        <f t="array" ref="S335">VLOOKUP(B335,'Player Data'!$A1:$AE673,7,FALSE)*$Q335*IFERROR((VLOOKUP(P335,Settings!$E$28:$F$33,2,FALSE)+1),1)</f>
        <v>26.860000000000003</v>
      </c>
      <c r="T335" s="57" cm="1">
        <f t="array" ref="T335">VLOOKUP(B335,'Player Data'!$A1:$AE673,8,FALSE)*$Q335*IFERROR((VLOOKUP(P335,Settings!$E$28:$F$33,2,FALSE)+1),1)</f>
        <v>31.6</v>
      </c>
      <c r="U335" s="57" cm="1">
        <f t="array" ref="U335">SUM(S335:T335)</f>
        <v>58.460000000000008</v>
      </c>
      <c r="V335" s="57" cm="1">
        <f t="array" ref="V335">VLOOKUP(B335,'Player Data'!$A1:$AE673,10,FALSE)*$Q335*IFERROR(((VLOOKUP(P335,Settings!$E$28:$F$33,2,FALSE)/2)+1),1)</f>
        <v>188.01999999999998</v>
      </c>
      <c r="W335" s="58" cm="1">
        <f t="array" ref="W335">VLOOKUP(B335,'Player Data'!$A1:$AE673,11,FALSE)*$Q335*IFERROR((VLOOKUP(P335,Settings!$E$28:$F$33,2,FALSE)+1),1)</f>
        <v>4.74</v>
      </c>
      <c r="X335" s="57" cm="1">
        <f t="array" ref="X335">VLOOKUP(B335,'Player Data'!$A1:$AE673,12,FALSE)*$Q335*IFERROR((VLOOKUP(P335,Settings!$E$28:$F$33,2,FALSE)+1),1)</f>
        <v>15.01</v>
      </c>
      <c r="Y335" s="57" cm="1">
        <f t="array" ref="Y335">VLOOKUP(B335,'Player Data'!$A1:$AE673,13,FALSE)*$Q335</f>
        <v>0.79</v>
      </c>
      <c r="Z335" s="57" cm="1">
        <f t="array" ref="Z335">VLOOKUP(B335,'Player Data'!$A1:$AE673,14,FALSE)*$Q335</f>
        <v>1.58</v>
      </c>
      <c r="AA335" s="57" cm="1">
        <f t="array" ref="AA335">VLOOKUP(B335,'Player Data'!$A1:$AE673,15,FALSE)*$Q335</f>
        <v>67.94</v>
      </c>
      <c r="AB335" s="57" cm="1">
        <f t="array" ref="AB335">VLOOKUP(B335,'Player Data'!$A1:$AE673,16,FALSE)*$Q335</f>
        <v>48.98</v>
      </c>
      <c r="AC335" s="57" cm="1">
        <f t="array" ref="AC335">VLOOKUP(B335,'Player Data'!$A1:$AE673,17,FALSE)*$Q335*IFERROR((VLOOKUP(P335,Settings!$E$28:$F$33,2,FALSE)+1),1)</f>
        <v>0</v>
      </c>
      <c r="AD335" s="57" cm="1">
        <f t="array" ref="AD335">VLOOKUP(B335,'Player Data'!$A1:$AE673,18,FALSE)*$Q335</f>
        <v>27.65</v>
      </c>
      <c r="AE335" s="57" cm="1">
        <f t="array" ref="AE335">VLOOKUP(B335,'Player Data'!$A1:$AE673,19,FALSE)*$Q335*IFERROR((VLOOKUP(P335,Settings!$E$28:$F$33,2,FALSE)+1),1)</f>
        <v>3.95</v>
      </c>
      <c r="AF335" s="57" cm="1">
        <f t="array" ref="AF335">VLOOKUP(B335,'Player Data'!$A1:$AE673,20,FALSE)*$Q335</f>
        <v>4.74</v>
      </c>
      <c r="AG335" s="57" cm="1">
        <f t="array" ref="AG335">VLOOKUP(B335,'Player Data'!$A1:$AE673,21,FALSE)*$Q335</f>
        <v>11.06</v>
      </c>
      <c r="AH335" s="59" cm="1">
        <f t="array" ref="AH335">VLOOKUP(B335,'Player Data'!$A1:$AE673,22,FALSE)</f>
        <v>0.3</v>
      </c>
      <c r="AI335" s="55"/>
      <c r="AJ335" s="57"/>
      <c r="AK335" s="57"/>
      <c r="AL335" s="57"/>
      <c r="AM335" s="57"/>
      <c r="AN335" s="57"/>
      <c r="AO335" s="57"/>
      <c r="AP335" s="57"/>
      <c r="AQ335" s="60"/>
      <c r="AR335" s="61"/>
      <c r="AS335" s="55"/>
    </row>
    <row r="336" spans="1:45" ht="21.25" customHeight="1" x14ac:dyDescent="0.15">
      <c r="A336" s="62">
        <f>RANK(K336,K$2:K$671)</f>
        <v>358</v>
      </c>
      <c r="B336" s="10" t="s">
        <v>423</v>
      </c>
      <c r="C336" s="47" t="s">
        <v>145</v>
      </c>
      <c r="D336" s="48" t="str" cm="1">
        <f t="array" ref="D336">VLOOKUP(B336,'Player Data'!A1:D673,4,FALSE)</f>
        <v>D</v>
      </c>
      <c r="E336" s="68" cm="1">
        <f t="array" ref="E336">VLOOKUP(B336,D!A1:C204,3,FALSE)</f>
        <v>168</v>
      </c>
      <c r="F336" s="69" t="str" cm="1">
        <f t="array" ref="F336">VLOOKUP(B336,'Player Data'!A1:B673,2,FALSE)</f>
        <v>N.J</v>
      </c>
      <c r="G336" s="66" cm="1">
        <f t="array" ref="G336">VLOOKUP(B336,'Player Data'!A1:D673,3,FALSE)</f>
        <v>31</v>
      </c>
      <c r="H336" s="51" cm="1">
        <f t="array" ref="H336">IFERROR(VLOOKUP(B336,ADP!A1:F671,6,FALSE)/1000000,VLOOKUP(B336,ADP!A1:F671,6,FALSE))</f>
        <v>5.5</v>
      </c>
      <c r="I336" s="52">
        <f>IF(Settings!$E$15="POINTS",((R336*Q336)*Settings!$B$12)+(S336*Settings!$B$2)+(T336*Settings!$B$3)+(U336*Settings!$B$4)+(V336*Settings!$B$5)+(X336*Settings!$B$9)+(AA336*Settings!$B$6)+(W336*Settings!$B$8)+(AB336*Settings!$B$7)+(AC336*Settings!$B$14)+(AD336*Settings!$B$15)+(AE336*Settings!$B$16)+(AF336*Settings!$B$17)+(AG336*Settings!$B$18)+(U336*Settings!$B$13)+(Y336*Settings!$B$10)+(Z336*Settings!$B$11),VLOOKUP(B336,'Standard Deviations'!A$1:C$672,3,FALSE))</f>
        <v>-4.5470803672148676</v>
      </c>
      <c r="J336" s="53" cm="1">
        <f t="array" ref="J336">IF(D336="G",I336/AJ336,I336/Q336)</f>
        <v>-6.2288772153628325E-2</v>
      </c>
      <c r="K336" s="52" cm="1">
        <f t="array" ref="K336">VLOOKUP(B336,D!A1:F204,6,FALSE)</f>
        <v>-5.1139312817324223</v>
      </c>
      <c r="L336" s="54" cm="1">
        <f t="array" ref="L336">IFERROR(K336/H336,"N/A")</f>
        <v>-0.92980568758771309</v>
      </c>
      <c r="M336" s="84" t="s">
        <v>828</v>
      </c>
      <c r="N336" s="84" t="str" cm="1">
        <f t="array" ref="N336">IFERROR(M336-A336,"N/A")</f>
        <v>N/A</v>
      </c>
      <c r="O336" s="80"/>
      <c r="P336" s="56" cm="1">
        <f t="array" ref="P336">_xlfn.XLOOKUP($B336,ADP!A2:A671,ADP!G2:G671)</f>
        <v>0</v>
      </c>
      <c r="Q336" s="57" cm="1">
        <f t="array" ref="Q336">IF(Settings!$E$12="YES",VLOOKUP(B336,'Player Data'!A1:E673,5,FALSE),84)</f>
        <v>73</v>
      </c>
      <c r="R336" s="55" cm="1">
        <f t="array" ref="R336">VLOOKUP(B336,'Player Data'!$A1:$AE673,6,FALSE)</f>
        <v>20.3</v>
      </c>
      <c r="S336" s="57" cm="1">
        <f t="array" ref="S336">VLOOKUP(B336,'Player Data'!$A1:$AE673,7,FALSE)*$Q336*IFERROR((VLOOKUP(P336,Settings!$E$28:$F$33,2,FALSE)+1),1)</f>
        <v>2.92</v>
      </c>
      <c r="T336" s="57" cm="1">
        <f t="array" ref="T336">VLOOKUP(B336,'Player Data'!$A1:$AE673,8,FALSE)*$Q336*IFERROR((VLOOKUP(P336,Settings!$E$28:$F$33,2,FALSE)+1),1)</f>
        <v>12.41</v>
      </c>
      <c r="U336" s="57" cm="1">
        <f t="array" ref="U336">SUM(S336:T336)</f>
        <v>15.33</v>
      </c>
      <c r="V336" s="57" cm="1">
        <f t="array" ref="V336">VLOOKUP(B336,'Player Data'!$A1:$AE673,10,FALSE)*$Q336*IFERROR(((VLOOKUP(P336,Settings!$E$28:$F$33,2,FALSE)/2)+1),1)</f>
        <v>90.52</v>
      </c>
      <c r="W336" s="57" cm="1">
        <f t="array" ref="W336">VLOOKUP(B336,'Player Data'!$A1:$AE673,11,FALSE)*$Q336*IFERROR((VLOOKUP(P336,Settings!$E$28:$F$33,2,FALSE)+1),1)</f>
        <v>0</v>
      </c>
      <c r="X336" s="57" cm="1">
        <f t="array" ref="X336">VLOOKUP(B336,'Player Data'!$A1:$AE673,12,FALSE)*$Q336*IFERROR((VLOOKUP(P336,Settings!$E$28:$F$33,2,FALSE)+1),1)</f>
        <v>0</v>
      </c>
      <c r="Y336" s="57" cm="1">
        <f t="array" ref="Y336">VLOOKUP(B336,'Player Data'!$A1:$AE673,13,FALSE)*$Q336</f>
        <v>0</v>
      </c>
      <c r="Z336" s="57" cm="1">
        <f t="array" ref="Z336">VLOOKUP(B336,'Player Data'!$A1:$AE673,14,FALSE)*$Q336</f>
        <v>0.73</v>
      </c>
      <c r="AA336" s="57" cm="1">
        <f t="array" ref="AA336">VLOOKUP(B336,'Player Data'!$A1:$AE673,15,FALSE)*$Q336</f>
        <v>136.51000000000002</v>
      </c>
      <c r="AB336" s="57" cm="1">
        <f t="array" ref="AB336">VLOOKUP(B336,'Player Data'!$A1:$AE673,16,FALSE)*$Q336</f>
        <v>37.96</v>
      </c>
      <c r="AC336" s="57" cm="1">
        <f t="array" ref="AC336">VLOOKUP(B336,'Player Data'!$A1:$AE673,17,FALSE)*$Q336*IFERROR((VLOOKUP(P336,Settings!$E$28:$F$33,2,FALSE)+1),1)</f>
        <v>-0.73</v>
      </c>
      <c r="AD336" s="57" cm="1">
        <f t="array" ref="AD336">VLOOKUP(B336,'Player Data'!$A1:$AE673,18,FALSE)*$Q336</f>
        <v>24.09</v>
      </c>
      <c r="AE336" s="57" cm="1">
        <f t="array" ref="AE336">VLOOKUP(B336,'Player Data'!$A1:$AE673,19,FALSE)*$Q336*IFERROR((VLOOKUP(P336,Settings!$E$28:$F$33,2,FALSE)+1),1)</f>
        <v>0.73</v>
      </c>
      <c r="AF336" s="57" cm="1">
        <f t="array" ref="AF336">VLOOKUP(B336,'Player Data'!$A1:$AE673,20,FALSE)*$Q336</f>
        <v>0</v>
      </c>
      <c r="AG336" s="57" cm="1">
        <f t="array" ref="AG336">VLOOKUP(B336,'Player Data'!$A1:$AE673,21,FALSE)*$Q336</f>
        <v>0</v>
      </c>
      <c r="AH336" s="59" cm="1">
        <f t="array" ref="AH336">VLOOKUP(B336,'Player Data'!$A1:$AE673,22,FALSE)</f>
        <v>0</v>
      </c>
      <c r="AI336" s="55"/>
      <c r="AJ336" s="57"/>
      <c r="AK336" s="57"/>
      <c r="AL336" s="57"/>
      <c r="AM336" s="57"/>
      <c r="AN336" s="57"/>
      <c r="AO336" s="57"/>
      <c r="AP336" s="57"/>
      <c r="AQ336" s="60"/>
      <c r="AR336" s="61"/>
      <c r="AS336" s="55"/>
    </row>
    <row r="337" spans="1:45" ht="21.25" customHeight="1" x14ac:dyDescent="0.15">
      <c r="A337" s="62">
        <f>RANK(K337,K$2:K$671)</f>
        <v>360</v>
      </c>
      <c r="B337" s="10" t="s">
        <v>375</v>
      </c>
      <c r="C337" s="47" t="s">
        <v>145</v>
      </c>
      <c r="D337" s="48" t="str" cm="1">
        <f t="array" ref="D337">VLOOKUP(B337,'Player Data'!A1:D673,4,FALSE)</f>
        <v>D</v>
      </c>
      <c r="E337" s="68" cm="1">
        <f t="array" ref="E337">VLOOKUP(B337,D!A1:C204,3,FALSE)</f>
        <v>169</v>
      </c>
      <c r="F337" s="65" t="str" cm="1">
        <f t="array" ref="F337">VLOOKUP(B337,'Player Data'!A1:B673,2,FALSE)</f>
        <v>STL</v>
      </c>
      <c r="G337" s="66" cm="1">
        <f t="array" ref="G337">VLOOKUP(B337,'Player Data'!A1:D673,3,FALSE)</f>
        <v>34</v>
      </c>
      <c r="H337" s="51" cm="1">
        <f t="array" ref="H337">IFERROR(VLOOKUP(B337,ADP!A1:F671,6,FALSE)/1000000,VLOOKUP(B337,ADP!A1:F671,6,FALSE))</f>
        <v>6.1</v>
      </c>
      <c r="I337" s="52">
        <f>IF(Settings!$E$15="POINTS",((R337*Q337)*Settings!$B$12)+(S337*Settings!$B$2)+(T337*Settings!$B$3)+(U337*Settings!$B$4)+(V337*Settings!$B$5)+(X337*Settings!$B$9)+(AA337*Settings!$B$6)+(W337*Settings!$B$8)+(AB337*Settings!$B$7)+(AC337*Settings!$B$14)+(AD337*Settings!$B$15)+(AE337*Settings!$B$16)+(AF337*Settings!$B$17)+(AG337*Settings!$B$18)+(U337*Settings!$B$13)+(Y337*Settings!$B$10)+(Z337*Settings!$B$11),VLOOKUP(B337,'Standard Deviations'!A$1:C$672,3,FALSE))</f>
        <v>-4.559309558084693</v>
      </c>
      <c r="J337" s="53" cm="1">
        <f t="array" ref="J337">IF(D337="G",I337/AJ337,I337/Q337)</f>
        <v>-5.5601336074203575E-2</v>
      </c>
      <c r="K337" s="52" cm="1">
        <f t="array" ref="K337">VLOOKUP(B337,D!A1:F204,6,FALSE)</f>
        <v>-5.1261604726022476</v>
      </c>
      <c r="L337" s="54" cm="1">
        <f t="array" ref="L337">IFERROR(K337/H337,"N/A")</f>
        <v>-0.84035417583643413</v>
      </c>
      <c r="M337" s="84" t="s">
        <v>828</v>
      </c>
      <c r="N337" s="84" t="str" cm="1">
        <f t="array" ref="N337">IFERROR(M337-A337,"N/A")</f>
        <v>N/A</v>
      </c>
      <c r="O337" s="82"/>
      <c r="P337" s="56" cm="1">
        <f t="array" ref="P337">_xlfn.XLOOKUP($B337,ADP!A2:A671,ADP!G2:G671)</f>
        <v>0</v>
      </c>
      <c r="Q337" s="57" cm="1">
        <f t="array" ref="Q337">IF(Settings!$E$12="YES",VLOOKUP(B337,'Player Data'!A1:E673,5,FALSE),84)</f>
        <v>82</v>
      </c>
      <c r="R337" s="55" cm="1">
        <f t="array" ref="R337">VLOOKUP(B337,'Player Data'!$A1:$AE673,6,FALSE)</f>
        <v>20.8</v>
      </c>
      <c r="S337" s="57" cm="1">
        <f t="array" ref="S337">VLOOKUP(B337,'Player Data'!$A1:$AE673,7,FALSE)*$Q337*IFERROR((VLOOKUP(P337,Settings!$E$28:$F$33,2,FALSE)+1),1)</f>
        <v>2.46</v>
      </c>
      <c r="T337" s="57" cm="1">
        <f t="array" ref="T337">VLOOKUP(B337,'Player Data'!$A1:$AE673,8,FALSE)*$Q337*IFERROR((VLOOKUP(P337,Settings!$E$28:$F$33,2,FALSE)+1),1)</f>
        <v>22.14</v>
      </c>
      <c r="U337" s="57" cm="1">
        <f t="array" ref="U337">SUM(S337:T337)</f>
        <v>24.6</v>
      </c>
      <c r="V337" s="57" cm="1">
        <f t="array" ref="V337">VLOOKUP(B337,'Player Data'!$A1:$AE673,10,FALSE)*$Q337*IFERROR(((VLOOKUP(P337,Settings!$E$28:$F$33,2,FALSE)/2)+1),1)</f>
        <v>72.16</v>
      </c>
      <c r="W337" s="57" cm="1">
        <f t="array" ref="W337">VLOOKUP(B337,'Player Data'!$A1:$AE673,11,FALSE)*$Q337*IFERROR((VLOOKUP(P337,Settings!$E$28:$F$33,2,FALSE)+1),1)</f>
        <v>0.82000000000000006</v>
      </c>
      <c r="X337" s="57" cm="1">
        <f t="array" ref="X337">VLOOKUP(B337,'Player Data'!$A1:$AE673,12,FALSE)*$Q337*IFERROR((VLOOKUP(P337,Settings!$E$28:$F$33,2,FALSE)+1),1)</f>
        <v>4.92</v>
      </c>
      <c r="Y337" s="57" cm="1">
        <f t="array" ref="Y337">VLOOKUP(B337,'Player Data'!$A1:$AE673,13,FALSE)*$Q337</f>
        <v>0</v>
      </c>
      <c r="Z337" s="57" cm="1">
        <f t="array" ref="Z337">VLOOKUP(B337,'Player Data'!$A1:$AE673,14,FALSE)*$Q337</f>
        <v>0</v>
      </c>
      <c r="AA337" s="57" cm="1">
        <f t="array" ref="AA337">VLOOKUP(B337,'Player Data'!$A1:$AE673,15,FALSE)*$Q337</f>
        <v>82.820000000000007</v>
      </c>
      <c r="AB337" s="57" cm="1">
        <f t="array" ref="AB337">VLOOKUP(B337,'Player Data'!$A1:$AE673,16,FALSE)*$Q337</f>
        <v>24.599999999999998</v>
      </c>
      <c r="AC337" s="57" cm="1">
        <f t="array" ref="AC337">VLOOKUP(B337,'Player Data'!$A1:$AE673,17,FALSE)*$Q337*IFERROR((VLOOKUP(P337,Settings!$E$28:$F$33,2,FALSE)+1),1)</f>
        <v>-3.2800000000000002</v>
      </c>
      <c r="AD337" s="57" cm="1">
        <f t="array" ref="AD337">VLOOKUP(B337,'Player Data'!$A1:$AE673,18,FALSE)*$Q337</f>
        <v>20.5</v>
      </c>
      <c r="AE337" s="57" cm="1">
        <f t="array" ref="AE337">VLOOKUP(B337,'Player Data'!$A1:$AE673,19,FALSE)*$Q337*IFERROR((VLOOKUP(P337,Settings!$E$28:$F$33,2,FALSE)+1),1)</f>
        <v>0</v>
      </c>
      <c r="AF337" s="57" cm="1">
        <f t="array" ref="AF337">VLOOKUP(B337,'Player Data'!$A1:$AE673,20,FALSE)*$Q337</f>
        <v>0</v>
      </c>
      <c r="AG337" s="57" cm="1">
        <f t="array" ref="AG337">VLOOKUP(B337,'Player Data'!$A1:$AE673,21,FALSE)*$Q337</f>
        <v>0</v>
      </c>
      <c r="AH337" s="59" cm="1">
        <f t="array" ref="AH337">VLOOKUP(B337,'Player Data'!$A1:$AE673,22,FALSE)</f>
        <v>0</v>
      </c>
      <c r="AI337" s="55"/>
      <c r="AJ337" s="57"/>
      <c r="AK337" s="57"/>
      <c r="AL337" s="57"/>
      <c r="AM337" s="57"/>
      <c r="AN337" s="57"/>
      <c r="AO337" s="57"/>
      <c r="AP337" s="57"/>
      <c r="AQ337" s="60"/>
      <c r="AR337" s="61"/>
      <c r="AS337" s="55"/>
    </row>
    <row r="338" spans="1:45" ht="21.25" customHeight="1" x14ac:dyDescent="0.15">
      <c r="A338" s="62">
        <f>RANK(K338,K$2:K$671)</f>
        <v>310</v>
      </c>
      <c r="B338" s="10" t="s">
        <v>709</v>
      </c>
      <c r="C338" s="47" t="s">
        <v>145</v>
      </c>
      <c r="D338" s="48" t="str" cm="1">
        <f t="array" ref="D338">VLOOKUP(B338,'Player Data'!A1:D673,4,FALSE)</f>
        <v>C,LW,RW</v>
      </c>
      <c r="E338" s="74" cm="1">
        <f t="array" ref="E338">VLOOKUP(B338,RW!A1:F210,3,FALSE)</f>
        <v>70</v>
      </c>
      <c r="F338" s="70" t="str" cm="1">
        <f t="array" ref="F338">VLOOKUP(B338,'Player Data'!A1:B673,2,FALSE)</f>
        <v>MIN</v>
      </c>
      <c r="G338" s="11" cm="1">
        <f t="array" ref="G338">VLOOKUP(B338,'Player Data'!A1:D673,3,FALSE)</f>
        <v>29</v>
      </c>
      <c r="H338" s="51" cm="1">
        <f t="array" ref="H338">IFERROR(VLOOKUP(B338,ADP!A1:F671,6,FALSE)/1000000,VLOOKUP(B338,ADP!A1:F671,6,FALSE))</f>
        <v>3.5</v>
      </c>
      <c r="I338" s="52">
        <f>IF(Settings!$E$15="POINTS",((R338*Q338)*Settings!$B$12)+(S338*Settings!$B$2)+(T338*Settings!$B$3)+(U338*Settings!$B$4)+(V338*Settings!$B$5)+(X338*Settings!$B$9)+(AA338*Settings!$B$6)+(W338*Settings!$B$8)+(AB338*Settings!$B$7)+(AC338*Settings!$B$14)+(AD338*Settings!$B$15)+(AE338*Settings!$B$16)+(AF338*Settings!$B$17)+(AG338*Settings!$B$18)+(Y338*Settings!$B$10)+(Z338*Settings!$B$11),VLOOKUP(B338,'Standard Deviations'!A$1:C$672,3,FALSE))</f>
        <v>2.6923313742704238</v>
      </c>
      <c r="J338" s="53" cm="1">
        <f t="array" ref="J338">IF(D338="G",I338/AJ338,I338/Q338)</f>
        <v>3.2437727400848479E-2</v>
      </c>
      <c r="K338" s="52" cm="1">
        <f t="array" ref="K338">IF(Settings!$E$18="C/LW/RW",VLOOKUP(B338,RW!A1:F210,6,FALSE),VLOOKUP(B338,F!A1:F407,6,FALSE))</f>
        <v>-4.1949032275386537</v>
      </c>
      <c r="L338" s="54" cm="1">
        <f t="array" ref="L338">IFERROR(K338/H338,"N/A")</f>
        <v>-1.1985437792967581</v>
      </c>
      <c r="M338" s="84" t="s">
        <v>828</v>
      </c>
      <c r="N338" s="84" t="str" cm="1">
        <f t="array" ref="N338">IFERROR(M338-A338,"N/A")</f>
        <v>N/A</v>
      </c>
      <c r="O338" s="55"/>
      <c r="P338" s="56" cm="1">
        <f t="array" ref="P338">_xlfn.XLOOKUP($B338,ADP!A2:A671,ADP!G2:G671)</f>
        <v>0</v>
      </c>
      <c r="Q338" s="57" cm="1">
        <f t="array" ref="Q338">IF(Settings!$E$12="YES",VLOOKUP(B338,'Player Data'!A1:E673,5,FALSE),84)</f>
        <v>83</v>
      </c>
      <c r="R338" s="55" cm="1">
        <f t="array" ref="R338">VLOOKUP(B338,'Player Data'!$A1:$AE673,6,FALSE)</f>
        <v>12.5</v>
      </c>
      <c r="S338" s="57" cm="1">
        <f t="array" ref="S338">VLOOKUP(B338,'Player Data'!$A1:$AE673,7,FALSE)*$Q338*IFERROR((VLOOKUP(P338,Settings!$E$28:$F$33,2,FALSE)+1),1)</f>
        <v>8.3000000000000007</v>
      </c>
      <c r="T338" s="57" cm="1">
        <f t="array" ref="T338">VLOOKUP(B338,'Player Data'!$A1:$AE673,8,FALSE)*$Q338*IFERROR((VLOOKUP(P338,Settings!$E$28:$F$33,2,FALSE)+1),1)</f>
        <v>12.45</v>
      </c>
      <c r="U338" s="57" cm="1">
        <f t="array" ref="U338">SUM(S338:T338)</f>
        <v>20.75</v>
      </c>
      <c r="V338" s="57" cm="1">
        <f t="array" ref="V338">VLOOKUP(B338,'Player Data'!$A1:$AE673,10,FALSE)*$Q338*IFERROR(((VLOOKUP(P338,Settings!$E$28:$F$33,2,FALSE)/2)+1),1)</f>
        <v>96.279999999999987</v>
      </c>
      <c r="W338" s="57" cm="1">
        <f t="array" ref="W338">VLOOKUP(B338,'Player Data'!$A1:$AE673,11,FALSE)*$Q338*IFERROR((VLOOKUP(P338,Settings!$E$28:$F$33,2,FALSE)+1),1)</f>
        <v>0</v>
      </c>
      <c r="X338" s="57" cm="1">
        <f t="array" ref="X338">VLOOKUP(B338,'Player Data'!$A1:$AE673,12,FALSE)*$Q338*IFERROR((VLOOKUP(P338,Settings!$E$28:$F$33,2,FALSE)+1),1)</f>
        <v>0</v>
      </c>
      <c r="Y338" s="57" cm="1">
        <f t="array" ref="Y338">VLOOKUP(B338,'Player Data'!$A1:$AE673,13,FALSE)*$Q338</f>
        <v>0</v>
      </c>
      <c r="Z338" s="57" cm="1">
        <f t="array" ref="Z338">VLOOKUP(B338,'Player Data'!$A1:$AE673,14,FALSE)*$Q338</f>
        <v>0.83000000000000007</v>
      </c>
      <c r="AA338" s="57" cm="1">
        <f t="array" ref="AA338">VLOOKUP(B338,'Player Data'!$A1:$AE673,15,FALSE)*$Q338</f>
        <v>37.35</v>
      </c>
      <c r="AB338" s="57" cm="1">
        <f t="array" ref="AB338">VLOOKUP(B338,'Player Data'!$A1:$AE673,16,FALSE)*$Q338</f>
        <v>317.06</v>
      </c>
      <c r="AC338" s="57" cm="1">
        <f t="array" ref="AC338">VLOOKUP(B338,'Player Data'!$A1:$AE673,17,FALSE)*$Q338*IFERROR((VLOOKUP(P338,Settings!$E$28:$F$33,2,FALSE)+1),1)</f>
        <v>3.3200000000000003</v>
      </c>
      <c r="AD338" s="57" cm="1">
        <f t="array" ref="AD338">VLOOKUP(B338,'Player Data'!$A1:$AE673,18,FALSE)*$Q338</f>
        <v>34.03</v>
      </c>
      <c r="AE338" s="57" cm="1">
        <f t="array" ref="AE338">VLOOKUP(B338,'Player Data'!$A1:$AE673,19,FALSE)*$Q338*IFERROR((VLOOKUP(P338,Settings!$E$28:$F$33,2,FALSE)+1),1)</f>
        <v>1.6600000000000001</v>
      </c>
      <c r="AF338" s="57" cm="1">
        <f t="array" ref="AF338">VLOOKUP(B338,'Player Data'!$A1:$AE673,20,FALSE)*$Q338</f>
        <v>50.629999999999995</v>
      </c>
      <c r="AG338" s="57" cm="1">
        <f t="array" ref="AG338">VLOOKUP(B338,'Player Data'!$A1:$AE673,21,FALSE)*$Q338</f>
        <v>70.55</v>
      </c>
      <c r="AH338" s="59" cm="1">
        <f t="array" ref="AH338">VLOOKUP(B338,'Player Data'!$A1:$AE673,22,FALSE)</f>
        <v>0.42</v>
      </c>
      <c r="AI338" s="55"/>
      <c r="AJ338" s="57"/>
      <c r="AK338" s="57"/>
      <c r="AL338" s="57"/>
      <c r="AM338" s="57"/>
      <c r="AN338" s="57"/>
      <c r="AO338" s="57"/>
      <c r="AP338" s="57"/>
      <c r="AQ338" s="60"/>
      <c r="AR338" s="61"/>
      <c r="AS338" s="55"/>
    </row>
    <row r="339" spans="1:45" ht="21.25" customHeight="1" x14ac:dyDescent="0.15">
      <c r="A339" s="62">
        <f>RANK(K339,K$2:K$671)</f>
        <v>362</v>
      </c>
      <c r="B339" s="10" t="s">
        <v>507</v>
      </c>
      <c r="C339" s="47" t="s">
        <v>145</v>
      </c>
      <c r="D339" s="48" t="str" cm="1">
        <f t="array" ref="D339">VLOOKUP(B339,'Player Data'!A1:D673,4,FALSE)</f>
        <v>D</v>
      </c>
      <c r="E339" s="68" cm="1">
        <f t="array" ref="E339">VLOOKUP(B339,D!A1:C204,3,FALSE)</f>
        <v>170</v>
      </c>
      <c r="F339" s="70" t="str" cm="1">
        <f t="array" ref="F339">VLOOKUP(B339,'Player Data'!A1:B673,2,FALSE)</f>
        <v>L.A</v>
      </c>
      <c r="G339" s="66" cm="1">
        <f t="array" ref="G339">VLOOKUP(B339,'Player Data'!A1:D673,3,FALSE)</f>
        <v>35</v>
      </c>
      <c r="H339" s="51" cm="1">
        <f t="array" ref="H339">IFERROR(VLOOKUP(B339,ADP!A1:F671,6,FALSE)/1000000,VLOOKUP(B339,ADP!A1:F671,6,FALSE))</f>
        <v>4</v>
      </c>
      <c r="I339" s="52">
        <f>IF(Settings!$E$15="POINTS",((R339*Q339)*Settings!$B$12)+(S339*Settings!$B$2)+(T339*Settings!$B$3)+(U339*Settings!$B$4)+(V339*Settings!$B$5)+(X339*Settings!$B$9)+(AA339*Settings!$B$6)+(W339*Settings!$B$8)+(AB339*Settings!$B$7)+(AC339*Settings!$B$14)+(AD339*Settings!$B$15)+(AE339*Settings!$B$16)+(AF339*Settings!$B$17)+(AG339*Settings!$B$18)+(U339*Settings!$B$13)+(Y339*Settings!$B$10)+(Z339*Settings!$B$11),VLOOKUP(B339,'Standard Deviations'!A$1:C$672,3,FALSE))</f>
        <v>-4.5917816126094113</v>
      </c>
      <c r="J339" s="53" cm="1">
        <f t="array" ref="J339">IF(D339="G",I339/AJ339,I339/Q339)</f>
        <v>-5.4664066816778704E-2</v>
      </c>
      <c r="K339" s="52" cm="1">
        <f t="array" ref="K339">VLOOKUP(B339,D!A1:F204,6,FALSE)</f>
        <v>-5.158632527126966</v>
      </c>
      <c r="L339" s="54" cm="1">
        <f t="array" ref="L339">IFERROR(K339/H339,"N/A")</f>
        <v>-1.2896581317817415</v>
      </c>
      <c r="M339" s="84" t="s">
        <v>828</v>
      </c>
      <c r="N339" s="84" t="str" cm="1">
        <f t="array" ref="N339">IFERROR(M339-A339,"N/A")</f>
        <v>N/A</v>
      </c>
      <c r="O339" s="55"/>
      <c r="P339" s="56" cm="1">
        <f t="array" ref="P339">_xlfn.XLOOKUP($B339,ADP!A2:A671,ADP!G2:G671)</f>
        <v>0</v>
      </c>
      <c r="Q339" s="57" cm="1">
        <f t="array" ref="Q339">IF(Settings!$E$12="YES",VLOOKUP(B339,'Player Data'!A1:E673,5,FALSE),84)</f>
        <v>84</v>
      </c>
      <c r="R339" s="55" cm="1">
        <f t="array" ref="R339">VLOOKUP(B339,'Player Data'!$A1:$AE673,6,FALSE)</f>
        <v>17.7</v>
      </c>
      <c r="S339" s="57" cm="1">
        <f t="array" ref="S339">VLOOKUP(B339,'Player Data'!$A1:$AE673,7,FALSE)*$Q339*IFERROR((VLOOKUP(P339,Settings!$E$28:$F$33,2,FALSE)+1),1)</f>
        <v>3.36</v>
      </c>
      <c r="T339" s="57" cm="1">
        <f t="array" ref="T339">VLOOKUP(B339,'Player Data'!$A1:$AE673,8,FALSE)*$Q339*IFERROR((VLOOKUP(P339,Settings!$E$28:$F$33,2,FALSE)+1),1)</f>
        <v>14.280000000000001</v>
      </c>
      <c r="U339" s="57" cm="1">
        <f t="array" ref="U339">SUM(S339:T339)</f>
        <v>17.64</v>
      </c>
      <c r="V339" s="57" cm="1">
        <f t="array" ref="V339">VLOOKUP(B339,'Player Data'!$A1:$AE673,10,FALSE)*$Q339*IFERROR(((VLOOKUP(P339,Settings!$E$28:$F$33,2,FALSE)/2)+1),1)</f>
        <v>63</v>
      </c>
      <c r="W339" s="57" cm="1">
        <f t="array" ref="W339">VLOOKUP(B339,'Player Data'!$A1:$AE673,11,FALSE)*$Q339*IFERROR((VLOOKUP(P339,Settings!$E$28:$F$33,2,FALSE)+1),1)</f>
        <v>0</v>
      </c>
      <c r="X339" s="57" cm="1">
        <f t="array" ref="X339">VLOOKUP(B339,'Player Data'!$A1:$AE673,12,FALSE)*$Q339*IFERROR((VLOOKUP(P339,Settings!$E$28:$F$33,2,FALSE)+1),1)</f>
        <v>0</v>
      </c>
      <c r="Y339" s="57" cm="1">
        <f t="array" ref="Y339">VLOOKUP(B339,'Player Data'!$A1:$AE673,13,FALSE)*$Q339</f>
        <v>0</v>
      </c>
      <c r="Z339" s="57" cm="1">
        <f t="array" ref="Z339">VLOOKUP(B339,'Player Data'!$A1:$AE673,14,FALSE)*$Q339</f>
        <v>0</v>
      </c>
      <c r="AA339" s="57" cm="1">
        <f t="array" ref="AA339">VLOOKUP(B339,'Player Data'!$A1:$AE673,15,FALSE)*$Q339</f>
        <v>98.28</v>
      </c>
      <c r="AB339" s="57" cm="1">
        <f t="array" ref="AB339">VLOOKUP(B339,'Player Data'!$A1:$AE673,16,FALSE)*$Q339</f>
        <v>60.48</v>
      </c>
      <c r="AC339" s="57" cm="1">
        <f t="array" ref="AC339">VLOOKUP(B339,'Player Data'!$A1:$AE673,17,FALSE)*$Q339*IFERROR((VLOOKUP(P339,Settings!$E$28:$F$33,2,FALSE)+1),1)</f>
        <v>-1.68</v>
      </c>
      <c r="AD339" s="57" cm="1">
        <f t="array" ref="AD339">VLOOKUP(B339,'Player Data'!$A1:$AE673,18,FALSE)*$Q339</f>
        <v>22.68</v>
      </c>
      <c r="AE339" s="57" cm="1">
        <f t="array" ref="AE339">VLOOKUP(B339,'Player Data'!$A1:$AE673,19,FALSE)*$Q339*IFERROR((VLOOKUP(P339,Settings!$E$28:$F$33,2,FALSE)+1),1)</f>
        <v>0.84</v>
      </c>
      <c r="AF339" s="57" cm="1">
        <f t="array" ref="AF339">VLOOKUP(B339,'Player Data'!$A1:$AE673,20,FALSE)*$Q339</f>
        <v>0</v>
      </c>
      <c r="AG339" s="57" cm="1">
        <f t="array" ref="AG339">VLOOKUP(B339,'Player Data'!$A1:$AE673,21,FALSE)*$Q339</f>
        <v>0</v>
      </c>
      <c r="AH339" s="59" cm="1">
        <f t="array" ref="AH339">VLOOKUP(B339,'Player Data'!$A1:$AE673,22,FALSE)</f>
        <v>0</v>
      </c>
      <c r="AI339" s="55"/>
      <c r="AJ339" s="57"/>
      <c r="AK339" s="57"/>
      <c r="AL339" s="57"/>
      <c r="AM339" s="57"/>
      <c r="AN339" s="57"/>
      <c r="AO339" s="57"/>
      <c r="AP339" s="57"/>
      <c r="AQ339" s="60"/>
      <c r="AR339" s="61"/>
      <c r="AS339" s="55"/>
    </row>
    <row r="340" spans="1:45" ht="21.25" customHeight="1" x14ac:dyDescent="0.15">
      <c r="A340" s="62">
        <f>RANK(K340,K$2:K$671)</f>
        <v>363</v>
      </c>
      <c r="B340" s="10" t="s">
        <v>611</v>
      </c>
      <c r="C340" s="47" t="s">
        <v>145</v>
      </c>
      <c r="D340" s="48" t="str" cm="1">
        <f t="array" ref="D340">VLOOKUP(B340,'Player Data'!A1:D673,4,FALSE)</f>
        <v>D</v>
      </c>
      <c r="E340" s="68" cm="1">
        <f t="array" ref="E340">VLOOKUP(B340,D!A1:C204,3,FALSE)</f>
        <v>171</v>
      </c>
      <c r="F340" s="63" t="str" cm="1">
        <f t="array" ref="F340">VLOOKUP(B340,'Player Data'!A1:B673,2,FALSE)</f>
        <v>EDM</v>
      </c>
      <c r="G340" s="11" cm="1">
        <f t="array" ref="G340">VLOOKUP(B340,'Player Data'!A1:D673,3,FALSE)</f>
        <v>26</v>
      </c>
      <c r="H340" s="67" cm="1">
        <f t="array" ref="H340">IFERROR(VLOOKUP(B340,ADP!A1:F671,6,FALSE)/1000000,VLOOKUP(B340,ADP!A1:F671,6,FALSE))</f>
        <v>1.5249999999999999</v>
      </c>
      <c r="I340" s="52">
        <f>IF(Settings!$E$15="POINTS",((R340*Q340)*Settings!$B$12)+(S340*Settings!$B$2)+(T340*Settings!$B$3)+(U340*Settings!$B$4)+(V340*Settings!$B$5)+(X340*Settings!$B$9)+(AA340*Settings!$B$6)+(W340*Settings!$B$8)+(AB340*Settings!$B$7)+(AC340*Settings!$B$14)+(AD340*Settings!$B$15)+(AE340*Settings!$B$16)+(AF340*Settings!$B$17)+(AG340*Settings!$B$18)+(U340*Settings!$B$13)+(Y340*Settings!$B$10)+(Z340*Settings!$B$11),VLOOKUP(B340,'Standard Deviations'!A$1:C$672,3,FALSE))</f>
        <v>-4.5984460916291869</v>
      </c>
      <c r="J340" s="53" cm="1">
        <f t="array" ref="J340">IF(D340="G",I340/AJ340,I340/Q340)</f>
        <v>-6.8633523755659509E-2</v>
      </c>
      <c r="K340" s="52" cm="1">
        <f t="array" ref="K340">VLOOKUP(B340,D!A1:F204,6,FALSE)</f>
        <v>-5.1652970061467416</v>
      </c>
      <c r="L340" s="54" cm="1">
        <f t="array" ref="L340">IFERROR(K340/H340,"N/A")</f>
        <v>-3.3870800040306506</v>
      </c>
      <c r="M340" s="84" t="s">
        <v>828</v>
      </c>
      <c r="N340" s="84" t="str" cm="1">
        <f t="array" ref="N340">IFERROR(M340-A340,"N/A")</f>
        <v>N/A</v>
      </c>
      <c r="O340" s="55"/>
      <c r="P340" s="56" cm="1">
        <f t="array" ref="P340">_xlfn.XLOOKUP($B340,ADP!A2:A671,ADP!G2:G671)</f>
        <v>0</v>
      </c>
      <c r="Q340" s="57" cm="1">
        <f t="array" ref="Q340">IF(Settings!$E$12="YES",VLOOKUP(B340,'Player Data'!A1:E673,5,FALSE),84)</f>
        <v>67</v>
      </c>
      <c r="R340" s="55" cm="1">
        <f t="array" ref="R340">VLOOKUP(B340,'Player Data'!$A1:$AE673,6,FALSE)</f>
        <v>15.2</v>
      </c>
      <c r="S340" s="57" cm="1">
        <f t="array" ref="S340">VLOOKUP(B340,'Player Data'!$A1:$AE673,7,FALSE)*$Q340*IFERROR((VLOOKUP(P340,Settings!$E$28:$F$33,2,FALSE)+1),1)</f>
        <v>2.0099999999999998</v>
      </c>
      <c r="T340" s="57" cm="1">
        <f t="array" ref="T340">VLOOKUP(B340,'Player Data'!$A1:$AE673,8,FALSE)*$Q340*IFERROR((VLOOKUP(P340,Settings!$E$28:$F$33,2,FALSE)+1),1)</f>
        <v>8.7100000000000009</v>
      </c>
      <c r="U340" s="57" cm="1">
        <f t="array" ref="U340">SUM(S340:T340)</f>
        <v>10.72</v>
      </c>
      <c r="V340" s="57" cm="1">
        <f t="array" ref="V340">VLOOKUP(B340,'Player Data'!$A1:$AE673,10,FALSE)*$Q340*IFERROR(((VLOOKUP(P340,Settings!$E$28:$F$33,2,FALSE)/2)+1),1)</f>
        <v>54.27</v>
      </c>
      <c r="W340" s="57" cm="1">
        <f t="array" ref="W340">VLOOKUP(B340,'Player Data'!$A1:$AE673,11,FALSE)*$Q340*IFERROR((VLOOKUP(P340,Settings!$E$28:$F$33,2,FALSE)+1),1)</f>
        <v>0</v>
      </c>
      <c r="X340" s="57" cm="1">
        <f t="array" ref="X340">VLOOKUP(B340,'Player Data'!$A1:$AE673,12,FALSE)*$Q340*IFERROR((VLOOKUP(P340,Settings!$E$28:$F$33,2,FALSE)+1),1)</f>
        <v>0</v>
      </c>
      <c r="Y340" s="57" cm="1">
        <f t="array" ref="Y340">VLOOKUP(B340,'Player Data'!$A1:$AE673,13,FALSE)*$Q340</f>
        <v>0</v>
      </c>
      <c r="Z340" s="57" cm="1">
        <f t="array" ref="Z340">VLOOKUP(B340,'Player Data'!$A1:$AE673,14,FALSE)*$Q340</f>
        <v>0.67</v>
      </c>
      <c r="AA340" s="57" cm="1">
        <f t="array" ref="AA340">VLOOKUP(B340,'Player Data'!$A1:$AE673,15,FALSE)*$Q340</f>
        <v>67.67</v>
      </c>
      <c r="AB340" s="57" cm="1">
        <f t="array" ref="AB340">VLOOKUP(B340,'Player Data'!$A1:$AE673,16,FALSE)*$Q340</f>
        <v>32.83</v>
      </c>
      <c r="AC340" s="57" cm="1">
        <f t="array" ref="AC340">VLOOKUP(B340,'Player Data'!$A1:$AE673,17,FALSE)*$Q340*IFERROR((VLOOKUP(P340,Settings!$E$28:$F$33,2,FALSE)+1),1)</f>
        <v>4.0199999999999996</v>
      </c>
      <c r="AD340" s="57" cm="1">
        <f t="array" ref="AD340">VLOOKUP(B340,'Player Data'!$A1:$AE673,18,FALSE)*$Q340</f>
        <v>20.099999999999998</v>
      </c>
      <c r="AE340" s="57" cm="1">
        <f t="array" ref="AE340">VLOOKUP(B340,'Player Data'!$A1:$AE673,19,FALSE)*$Q340*IFERROR((VLOOKUP(P340,Settings!$E$28:$F$33,2,FALSE)+1),1)</f>
        <v>0.67</v>
      </c>
      <c r="AF340" s="57" cm="1">
        <f t="array" ref="AF340">VLOOKUP(B340,'Player Data'!$A1:$AE673,20,FALSE)*$Q340</f>
        <v>0</v>
      </c>
      <c r="AG340" s="57" cm="1">
        <f t="array" ref="AG340">VLOOKUP(B340,'Player Data'!$A1:$AE673,21,FALSE)*$Q340</f>
        <v>0</v>
      </c>
      <c r="AH340" s="59" cm="1">
        <f t="array" ref="AH340">VLOOKUP(B340,'Player Data'!$A1:$AE673,22,FALSE)</f>
        <v>0</v>
      </c>
      <c r="AI340" s="55"/>
      <c r="AJ340" s="57"/>
      <c r="AK340" s="57"/>
      <c r="AL340" s="57"/>
      <c r="AM340" s="57"/>
      <c r="AN340" s="57"/>
      <c r="AO340" s="57"/>
      <c r="AP340" s="57"/>
      <c r="AQ340" s="60"/>
      <c r="AR340" s="61"/>
      <c r="AS340" s="55"/>
    </row>
    <row r="341" spans="1:45" ht="21.25" customHeight="1" x14ac:dyDescent="0.15">
      <c r="A341" s="62">
        <f>RANK(K341,K$2:K$671)</f>
        <v>364</v>
      </c>
      <c r="B341" s="10" t="s">
        <v>550</v>
      </c>
      <c r="C341" s="47" t="s">
        <v>145</v>
      </c>
      <c r="D341" s="48" t="str" cm="1">
        <f t="array" ref="D341">VLOOKUP(B341,'Player Data'!A1:D673,4,FALSE)</f>
        <v>D</v>
      </c>
      <c r="E341" s="68" cm="1">
        <f t="array" ref="E341">VLOOKUP(B341,D!A1:C204,3,FALSE)</f>
        <v>172</v>
      </c>
      <c r="F341" s="72" t="str" cm="1">
        <f t="array" ref="F341">VLOOKUP(B341,'Player Data'!A1:B673,2,FALSE)</f>
        <v>BOS</v>
      </c>
      <c r="G341" s="11" cm="1">
        <f t="array" ref="G341">VLOOKUP(B341,'Player Data'!A1:D673,3,FALSE)</f>
        <v>27</v>
      </c>
      <c r="H341" s="51" cm="1">
        <f t="array" ref="H341">IFERROR(VLOOKUP(B341,ADP!A1:F671,6,FALSE)/1000000,VLOOKUP(B341,ADP!A1:F671,6,FALSE))</f>
        <v>3</v>
      </c>
      <c r="I341" s="52">
        <f>IF(Settings!$E$15="POINTS",((R341*Q341)*Settings!$B$12)+(S341*Settings!$B$2)+(T341*Settings!$B$3)+(U341*Settings!$B$4)+(V341*Settings!$B$5)+(X341*Settings!$B$9)+(AA341*Settings!$B$6)+(W341*Settings!$B$8)+(AB341*Settings!$B$7)+(AC341*Settings!$B$14)+(AD341*Settings!$B$15)+(AE341*Settings!$B$16)+(AF341*Settings!$B$17)+(AG341*Settings!$B$18)+(U341*Settings!$B$13)+(Y341*Settings!$B$10)+(Z341*Settings!$B$11),VLOOKUP(B341,'Standard Deviations'!A$1:C$672,3,FALSE))</f>
        <v>-4.5985923740121422</v>
      </c>
      <c r="J341" s="53" cm="1">
        <f t="array" ref="J341">IF(D341="G",I341/AJ341,I341/Q341)</f>
        <v>-6.2994416082358118E-2</v>
      </c>
      <c r="K341" s="52" cm="1">
        <f t="array" ref="K341">VLOOKUP(B341,D!A1:F204,6,FALSE)</f>
        <v>-5.1654432885296968</v>
      </c>
      <c r="L341" s="54" cm="1">
        <f t="array" ref="L341">IFERROR(K341/H341,"N/A")</f>
        <v>-1.7218144295098989</v>
      </c>
      <c r="M341" s="84" t="s">
        <v>828</v>
      </c>
      <c r="N341" s="84" t="str" cm="1">
        <f t="array" ref="N341">IFERROR(M341-A341,"N/A")</f>
        <v>N/A</v>
      </c>
      <c r="O341" s="55"/>
      <c r="P341" s="56" cm="1">
        <f t="array" ref="P341">_xlfn.XLOOKUP($B341,ADP!A2:A671,ADP!G2:G671)</f>
        <v>0</v>
      </c>
      <c r="Q341" s="57" cm="1">
        <f t="array" ref="Q341">IF(Settings!$E$12="YES",VLOOKUP(B341,'Player Data'!A1:E673,5,FALSE),84)</f>
        <v>73</v>
      </c>
      <c r="R341" s="83" cm="1">
        <f t="array" ref="R341">VLOOKUP(B341,'Player Data'!$A1:$AE673,6,FALSE)</f>
        <v>15.9</v>
      </c>
      <c r="S341" s="57" cm="1">
        <f t="array" ref="S341">VLOOKUP(B341,'Player Data'!$A1:$AE673,7,FALSE)*$Q341*IFERROR((VLOOKUP(P341,Settings!$E$28:$F$33,2,FALSE)+1),1)</f>
        <v>2.92</v>
      </c>
      <c r="T341" s="57" cm="1">
        <f t="array" ref="T341">VLOOKUP(B341,'Player Data'!$A1:$AE673,8,FALSE)*$Q341*IFERROR((VLOOKUP(P341,Settings!$E$28:$F$33,2,FALSE)+1),1)</f>
        <v>13.139999999999999</v>
      </c>
      <c r="U341" s="57" cm="1">
        <f t="array" ref="U341">SUM(S341:T341)</f>
        <v>16.059999999999999</v>
      </c>
      <c r="V341" s="57" cm="1">
        <f t="array" ref="V341">VLOOKUP(B341,'Player Data'!$A1:$AE673,10,FALSE)*$Q341*IFERROR(((VLOOKUP(P341,Settings!$E$28:$F$33,2,FALSE)/2)+1),1)</f>
        <v>63.51</v>
      </c>
      <c r="W341" s="57" cm="1">
        <f t="array" ref="W341">VLOOKUP(B341,'Player Data'!$A1:$AE673,11,FALSE)*$Q341*IFERROR((VLOOKUP(P341,Settings!$E$28:$F$33,2,FALSE)+1),1)</f>
        <v>0</v>
      </c>
      <c r="X341" s="57" cm="1">
        <f t="array" ref="X341">VLOOKUP(B341,'Player Data'!$A1:$AE673,12,FALSE)*$Q341*IFERROR((VLOOKUP(P341,Settings!$E$28:$F$33,2,FALSE)+1),1)</f>
        <v>0.73</v>
      </c>
      <c r="Y341" s="57" cm="1">
        <f t="array" ref="Y341">VLOOKUP(B341,'Player Data'!$A1:$AE673,13,FALSE)*$Q341</f>
        <v>0</v>
      </c>
      <c r="Z341" s="57" cm="1">
        <f t="array" ref="Z341">VLOOKUP(B341,'Player Data'!$A1:$AE673,14,FALSE)*$Q341</f>
        <v>0</v>
      </c>
      <c r="AA341" s="57" cm="1">
        <f t="array" ref="AA341">VLOOKUP(B341,'Player Data'!$A1:$AE673,15,FALSE)*$Q341</f>
        <v>68.61999999999999</v>
      </c>
      <c r="AB341" s="57" cm="1">
        <f t="array" ref="AB341">VLOOKUP(B341,'Player Data'!$A1:$AE673,16,FALSE)*$Q341</f>
        <v>59.86</v>
      </c>
      <c r="AC341" s="57" cm="1">
        <f t="array" ref="AC341">VLOOKUP(B341,'Player Data'!$A1:$AE673,17,FALSE)*$Q341*IFERROR((VLOOKUP(P341,Settings!$E$28:$F$33,2,FALSE)+1),1)</f>
        <v>-1.46</v>
      </c>
      <c r="AD341" s="57" cm="1">
        <f t="array" ref="AD341">VLOOKUP(B341,'Player Data'!$A1:$AE673,18,FALSE)*$Q341</f>
        <v>21.169999999999998</v>
      </c>
      <c r="AE341" s="57" cm="1">
        <f t="array" ref="AE341">VLOOKUP(B341,'Player Data'!$A1:$AE673,19,FALSE)*$Q341*IFERROR((VLOOKUP(P341,Settings!$E$28:$F$33,2,FALSE)+1),1)</f>
        <v>0.73</v>
      </c>
      <c r="AF341" s="57" cm="1">
        <f t="array" ref="AF341">VLOOKUP(B341,'Player Data'!$A1:$AE673,20,FALSE)*$Q341</f>
        <v>0</v>
      </c>
      <c r="AG341" s="57" cm="1">
        <f t="array" ref="AG341">VLOOKUP(B341,'Player Data'!$A1:$AE673,21,FALSE)*$Q341</f>
        <v>0</v>
      </c>
      <c r="AH341" s="59" cm="1">
        <f t="array" ref="AH341">VLOOKUP(B341,'Player Data'!$A1:$AE673,22,FALSE)</f>
        <v>0</v>
      </c>
      <c r="AI341" s="55"/>
      <c r="AJ341" s="57"/>
      <c r="AK341" s="57"/>
      <c r="AL341" s="57"/>
      <c r="AM341" s="57"/>
      <c r="AN341" s="57"/>
      <c r="AO341" s="57"/>
      <c r="AP341" s="57"/>
      <c r="AQ341" s="60"/>
      <c r="AR341" s="61"/>
      <c r="AS341" s="55"/>
    </row>
    <row r="342" spans="1:45" ht="21.25" customHeight="1" x14ac:dyDescent="0.15">
      <c r="A342" s="62">
        <f>RANK(K342,K$2:K$671)</f>
        <v>365</v>
      </c>
      <c r="B342" s="10" t="s">
        <v>476</v>
      </c>
      <c r="C342" s="47" t="s">
        <v>145</v>
      </c>
      <c r="D342" s="48" t="str" cm="1">
        <f t="array" ref="D342">VLOOKUP(B342,'Player Data'!A1:D673,4,FALSE)</f>
        <v>D</v>
      </c>
      <c r="E342" s="68" cm="1">
        <f t="array" ref="E342">VLOOKUP(B342,D!A1:C204,3,FALSE)</f>
        <v>173</v>
      </c>
      <c r="F342" s="63" t="str" cm="1">
        <f t="array" ref="F342">VLOOKUP(B342,'Player Data'!A1:B673,2,FALSE)</f>
        <v>SEA</v>
      </c>
      <c r="G342" s="71" cm="1">
        <f t="array" ref="G342">VLOOKUP(B342,'Player Data'!A1:D673,3,FALSE)</f>
        <v>24</v>
      </c>
      <c r="H342" s="67" cm="1">
        <f t="array" ref="H342">IFERROR(VLOOKUP(B342,ADP!A1:F671,6,FALSE)/1000000,VLOOKUP(B342,ADP!A1:F671,6,FALSE))</f>
        <v>2.0499999999999998</v>
      </c>
      <c r="I342" s="52">
        <f>IF(Settings!$E$15="POINTS",((R342*Q342)*Settings!$B$12)+(S342*Settings!$B$2)+(T342*Settings!$B$3)+(U342*Settings!$B$4)+(V342*Settings!$B$5)+(X342*Settings!$B$9)+(AA342*Settings!$B$6)+(W342*Settings!$B$8)+(AB342*Settings!$B$7)+(AC342*Settings!$B$14)+(AD342*Settings!$B$15)+(AE342*Settings!$B$16)+(AF342*Settings!$B$17)+(AG342*Settings!$B$18)+(U342*Settings!$B$13)+(Y342*Settings!$B$10)+(Z342*Settings!$B$11),VLOOKUP(B342,'Standard Deviations'!A$1:C$672,3,FALSE))</f>
        <v>-4.6175663788947467</v>
      </c>
      <c r="J342" s="53" cm="1">
        <f t="array" ref="J342">IF(D342="G",I342/AJ342,I342/Q342)</f>
        <v>-6.075745235387825E-2</v>
      </c>
      <c r="K342" s="52" cm="1">
        <f t="array" ref="K342">VLOOKUP(B342,D!A1:F204,6,FALSE)</f>
        <v>-5.1844172934123014</v>
      </c>
      <c r="L342" s="54" cm="1">
        <f t="array" ref="L342">IFERROR(K342/H342,"N/A")</f>
        <v>-2.5289840455669763</v>
      </c>
      <c r="M342" s="84" t="s">
        <v>828</v>
      </c>
      <c r="N342" s="84" t="str" cm="1">
        <f t="array" ref="N342">IFERROR(M342-A342,"N/A")</f>
        <v>N/A</v>
      </c>
      <c r="O342" s="55"/>
      <c r="P342" s="56" cm="1">
        <f t="array" ref="P342">_xlfn.XLOOKUP($B342,ADP!A2:A671,ADP!G2:G671)</f>
        <v>0</v>
      </c>
      <c r="Q342" s="57" cm="1">
        <f t="array" ref="Q342">IF(Settings!$E$12="YES",VLOOKUP(B342,'Player Data'!A1:E673,5,FALSE),84)</f>
        <v>76</v>
      </c>
      <c r="R342" s="55" cm="1">
        <f t="array" ref="R342">VLOOKUP(B342,'Player Data'!$A1:$AE673,6,FALSE)</f>
        <v>18.2</v>
      </c>
      <c r="S342" s="57" cm="1">
        <f t="array" ref="S342">VLOOKUP(B342,'Player Data'!$A1:$AE673,7,FALSE)*$Q342*IFERROR((VLOOKUP(P342,Settings!$E$28:$F$33,2,FALSE)+1),1)</f>
        <v>6.84</v>
      </c>
      <c r="T342" s="57" cm="1">
        <f t="array" ref="T342">VLOOKUP(B342,'Player Data'!$A1:$AE673,8,FALSE)*$Q342*IFERROR((VLOOKUP(P342,Settings!$E$28:$F$33,2,FALSE)+1),1)</f>
        <v>14.44</v>
      </c>
      <c r="U342" s="57" cm="1">
        <f t="array" ref="U342">SUM(S342:T342)</f>
        <v>21.28</v>
      </c>
      <c r="V342" s="57" cm="1">
        <f t="array" ref="V342">VLOOKUP(B342,'Player Data'!$A1:$AE673,10,FALSE)*$Q342*IFERROR(((VLOOKUP(P342,Settings!$E$28:$F$33,2,FALSE)/2)+1),1)</f>
        <v>61.56</v>
      </c>
      <c r="W342" s="57" cm="1">
        <f t="array" ref="W342">VLOOKUP(B342,'Player Data'!$A1:$AE673,11,FALSE)*$Q342*IFERROR((VLOOKUP(P342,Settings!$E$28:$F$33,2,FALSE)+1),1)</f>
        <v>0</v>
      </c>
      <c r="X342" s="57" cm="1">
        <f t="array" ref="X342">VLOOKUP(B342,'Player Data'!$A1:$AE673,12,FALSE)*$Q342*IFERROR((VLOOKUP(P342,Settings!$E$28:$F$33,2,FALSE)+1),1)</f>
        <v>1.52</v>
      </c>
      <c r="Y342" s="57" cm="1">
        <f t="array" ref="Y342">VLOOKUP(B342,'Player Data'!$A1:$AE673,13,FALSE)*$Q342</f>
        <v>0.76</v>
      </c>
      <c r="Z342" s="57" cm="1">
        <f t="array" ref="Z342">VLOOKUP(B342,'Player Data'!$A1:$AE673,14,FALSE)*$Q342</f>
        <v>0.76</v>
      </c>
      <c r="AA342" s="57" cm="1">
        <f t="array" ref="AA342">VLOOKUP(B342,'Player Data'!$A1:$AE673,15,FALSE)*$Q342</f>
        <v>95</v>
      </c>
      <c r="AB342" s="57" cm="1">
        <f t="array" ref="AB342">VLOOKUP(B342,'Player Data'!$A1:$AE673,16,FALSE)*$Q342</f>
        <v>82.080000000000013</v>
      </c>
      <c r="AC342" s="57" cm="1">
        <f t="array" ref="AC342">VLOOKUP(B342,'Player Data'!$A1:$AE673,17,FALSE)*$Q342*IFERROR((VLOOKUP(P342,Settings!$E$28:$F$33,2,FALSE)+1),1)</f>
        <v>-6.08</v>
      </c>
      <c r="AD342" s="57" cm="1">
        <f t="array" ref="AD342">VLOOKUP(B342,'Player Data'!$A1:$AE673,18,FALSE)*$Q342</f>
        <v>38</v>
      </c>
      <c r="AE342" s="57" cm="1">
        <f t="array" ref="AE342">VLOOKUP(B342,'Player Data'!$A1:$AE673,19,FALSE)*$Q342*IFERROR((VLOOKUP(P342,Settings!$E$28:$F$33,2,FALSE)+1),1)</f>
        <v>0.76</v>
      </c>
      <c r="AF342" s="57" cm="1">
        <f t="array" ref="AF342">VLOOKUP(B342,'Player Data'!$A1:$AE673,20,FALSE)*$Q342</f>
        <v>0</v>
      </c>
      <c r="AG342" s="57" cm="1">
        <f t="array" ref="AG342">VLOOKUP(B342,'Player Data'!$A1:$AE673,21,FALSE)*$Q342</f>
        <v>0</v>
      </c>
      <c r="AH342" s="59" cm="1">
        <f t="array" ref="AH342">VLOOKUP(B342,'Player Data'!$A1:$AE673,22,FALSE)</f>
        <v>0</v>
      </c>
      <c r="AI342" s="55"/>
      <c r="AJ342" s="57"/>
      <c r="AK342" s="57"/>
      <c r="AL342" s="57"/>
      <c r="AM342" s="57"/>
      <c r="AN342" s="57"/>
      <c r="AO342" s="57"/>
      <c r="AP342" s="57"/>
      <c r="AQ342" s="60"/>
      <c r="AR342" s="61"/>
      <c r="AS342" s="55"/>
    </row>
    <row r="343" spans="1:45" ht="21.25" customHeight="1" x14ac:dyDescent="0.15">
      <c r="A343" s="62">
        <f>RANK(K343,K$2:K$671)</f>
        <v>316</v>
      </c>
      <c r="B343" s="10" t="s">
        <v>312</v>
      </c>
      <c r="C343" s="47" t="s">
        <v>145</v>
      </c>
      <c r="D343" s="48" t="str" cm="1">
        <f t="array" ref="D343">VLOOKUP(B343,'Player Data'!A1:D673,4,FALSE)</f>
        <v>LW</v>
      </c>
      <c r="E343" s="75" cm="1">
        <f t="array" ref="E343">VLOOKUP(B343,LW!A1:C210,3,FALSE)</f>
        <v>61</v>
      </c>
      <c r="F343" s="70" t="str" cm="1">
        <f t="array" ref="F343">VLOOKUP(B343,'Player Data'!A1:B673,2,FALSE)</f>
        <v>L.A</v>
      </c>
      <c r="G343" s="11" cm="1">
        <f t="array" ref="G343">VLOOKUP(B343,'Player Data'!A1:D673,3,FALSE)</f>
        <v>30</v>
      </c>
      <c r="H343" s="51" cm="1">
        <f t="array" ref="H343">IFERROR(VLOOKUP(B343,ADP!A1:F671,6,FALSE)/1000000,VLOOKUP(B343,ADP!A1:F671,6,FALSE))</f>
        <v>7.875</v>
      </c>
      <c r="I343" s="52">
        <f>IF(Settings!$E$15="POINTS",((R343*Q343)*Settings!$B$12)+(S343*Settings!$B$2)+(T343*Settings!$B$3)+(U343*Settings!$B$4)+(V343*Settings!$B$5)+(X343*Settings!$B$9)+(AA343*Settings!$B$6)+(W343*Settings!$B$8)+(AB343*Settings!$B$7)+(AC343*Settings!$B$14)+(AD343*Settings!$B$15)+(AE343*Settings!$B$16)+(AF343*Settings!$B$17)+(AG343*Settings!$B$18)+(Y343*Settings!$B$10)+(Z343*Settings!$B$11),VLOOKUP(B343,'Standard Deviations'!A$1:C$672,3,FALSE))</f>
        <v>2.5808534245508383</v>
      </c>
      <c r="J343" s="53" cm="1">
        <f t="array" ref="J343">IF(D343="G",I343/AJ343,I343/Q343)</f>
        <v>3.4411378994011178E-2</v>
      </c>
      <c r="K343" s="52" cm="1">
        <f t="array" ref="K343">IF(Settings!$E$18="C/LW/RW",VLOOKUP(B343,LW!A1:F210,6,FALSE),VLOOKUP(B343,F!A1:F407,6,FALSE))</f>
        <v>-4.3135322198389714</v>
      </c>
      <c r="L343" s="54" cm="1">
        <f t="array" ref="L343">IFERROR(K343/H343,"N/A")</f>
        <v>-0.54775012315415506</v>
      </c>
      <c r="M343" s="55">
        <v>146.1</v>
      </c>
      <c r="N343" s="55" cm="1">
        <f t="array" ref="N343">IFERROR(M343-A343,"N/A")</f>
        <v>-169.9</v>
      </c>
      <c r="O343" s="55"/>
      <c r="P343" s="56" t="str" cm="1">
        <f t="array" ref="P343">_xlfn.XLOOKUP($B343,ADP!A2:A671,ADP!G2:G671)</f>
        <v>+</v>
      </c>
      <c r="Q343" s="57" cm="1">
        <f t="array" ref="Q343">IF(Settings!$E$12="YES",VLOOKUP(B343,'Player Data'!A1:E673,5,FALSE),84)</f>
        <v>75</v>
      </c>
      <c r="R343" s="83" cm="1">
        <f t="array" ref="R343">VLOOKUP(B343,'Player Data'!$A1:$AE673,6,FALSE)</f>
        <v>17.8</v>
      </c>
      <c r="S343" s="57" cm="1">
        <f t="array" ref="S343">VLOOKUP(B343,'Player Data'!$A1:$AE673,7,FALSE)*$Q343*IFERROR((VLOOKUP(P343,Settings!$E$28:$F$33,2,FALSE)+1),1)</f>
        <v>24.412500000000001</v>
      </c>
      <c r="T343" s="57" cm="1">
        <f t="array" ref="T343">VLOOKUP(B343,'Player Data'!$A1:$AE673,8,FALSE)*$Q343*IFERROR((VLOOKUP(P343,Settings!$E$28:$F$33,2,FALSE)+1),1)</f>
        <v>26.775000000000006</v>
      </c>
      <c r="U343" s="57" cm="1">
        <f t="array" ref="U343">SUM(S343:T343)</f>
        <v>51.187500000000007</v>
      </c>
      <c r="V343" s="57" cm="1">
        <f t="array" ref="V343">VLOOKUP(B343,'Player Data'!$A1:$AE673,10,FALSE)*$Q343*IFERROR(((VLOOKUP(P343,Settings!$E$28:$F$33,2,FALSE)/2)+1),1)</f>
        <v>190.64999999999998</v>
      </c>
      <c r="W343" s="57" cm="1">
        <f t="array" ref="W343">VLOOKUP(B343,'Player Data'!$A1:$AE673,11,FALSE)*$Q343*IFERROR((VLOOKUP(P343,Settings!$E$28:$F$33,2,FALSE)+1),1)</f>
        <v>6.3000000000000007</v>
      </c>
      <c r="X343" s="78" cm="1">
        <f t="array" ref="X343">VLOOKUP(B343,'Player Data'!$A1:$AE673,12,FALSE)*$Q343*IFERROR((VLOOKUP(P343,Settings!$E$28:$F$33,2,FALSE)+1),1)</f>
        <v>17.324999999999999</v>
      </c>
      <c r="Y343" s="57" cm="1">
        <f t="array" ref="Y343">VLOOKUP(B343,'Player Data'!$A1:$AE673,13,FALSE)*$Q343</f>
        <v>0</v>
      </c>
      <c r="Z343" s="57" cm="1">
        <f t="array" ref="Z343">VLOOKUP(B343,'Player Data'!$A1:$AE673,14,FALSE)*$Q343</f>
        <v>0</v>
      </c>
      <c r="AA343" s="57" cm="1">
        <f t="array" ref="AA343">VLOOKUP(B343,'Player Data'!$A1:$AE673,15,FALSE)*$Q343</f>
        <v>28.5</v>
      </c>
      <c r="AB343" s="57" cm="1">
        <f t="array" ref="AB343">VLOOKUP(B343,'Player Data'!$A1:$AE673,16,FALSE)*$Q343</f>
        <v>54.75</v>
      </c>
      <c r="AC343" s="57" cm="1">
        <f t="array" ref="AC343">VLOOKUP(B343,'Player Data'!$A1:$AE673,17,FALSE)*$Q343*IFERROR((VLOOKUP(P343,Settings!$E$28:$F$33,2,FALSE)+1),1)</f>
        <v>0</v>
      </c>
      <c r="AD343" s="57" cm="1">
        <f t="array" ref="AD343">VLOOKUP(B343,'Player Data'!$A1:$AE673,18,FALSE)*$Q343</f>
        <v>39</v>
      </c>
      <c r="AE343" s="57" cm="1">
        <f t="array" ref="AE343">VLOOKUP(B343,'Player Data'!$A1:$AE673,19,FALSE)*$Q343*IFERROR((VLOOKUP(P343,Settings!$E$28:$F$33,2,FALSE)+1),1)</f>
        <v>3.9375</v>
      </c>
      <c r="AF343" s="57" cm="1">
        <f t="array" ref="AF343">VLOOKUP(B343,'Player Data'!$A1:$AE673,20,FALSE)*$Q343</f>
        <v>10.500000000000002</v>
      </c>
      <c r="AG343" s="57" cm="1">
        <f t="array" ref="AG343">VLOOKUP(B343,'Player Data'!$A1:$AE673,21,FALSE)*$Q343</f>
        <v>21.75</v>
      </c>
      <c r="AH343" s="59" cm="1">
        <f t="array" ref="AH343">VLOOKUP(B343,'Player Data'!$A1:$AE673,22,FALSE)</f>
        <v>0.32</v>
      </c>
      <c r="AI343" s="55"/>
      <c r="AJ343" s="57"/>
      <c r="AK343" s="57"/>
      <c r="AL343" s="57"/>
      <c r="AM343" s="57"/>
      <c r="AN343" s="57"/>
      <c r="AO343" s="57"/>
      <c r="AP343" s="57"/>
      <c r="AQ343" s="60"/>
      <c r="AR343" s="61"/>
      <c r="AS343" s="55"/>
    </row>
    <row r="344" spans="1:45" ht="21.25" customHeight="1" x14ac:dyDescent="0.15">
      <c r="A344" s="62">
        <f>RANK(K344,K$2:K$671)</f>
        <v>367</v>
      </c>
      <c r="B344" s="10" t="s">
        <v>411</v>
      </c>
      <c r="C344" s="47" t="s">
        <v>145</v>
      </c>
      <c r="D344" s="48" t="str" cm="1">
        <f t="array" ref="D344">VLOOKUP(B344,'Player Data'!A1:D673,4,FALSE)</f>
        <v>D</v>
      </c>
      <c r="E344" s="68" cm="1">
        <f t="array" ref="E344">VLOOKUP(B344,D!A1:C204,3,FALSE)</f>
        <v>174</v>
      </c>
      <c r="F344" s="18" t="str" cm="1">
        <f t="array" ref="F344">VLOOKUP(B344,'Player Data'!A1:B673,2,FALSE)</f>
        <v>VAN</v>
      </c>
      <c r="G344" s="66" cm="1">
        <f t="array" ref="G344">VLOOKUP(B344,'Player Data'!A1:D673,3,FALSE)</f>
        <v>33</v>
      </c>
      <c r="H344" s="51" cm="1">
        <f t="array" ref="H344">IFERROR(VLOOKUP(B344,ADP!A1:F671,6,FALSE)/1000000,VLOOKUP(B344,ADP!A1:F671,6,FALSE))</f>
        <v>5</v>
      </c>
      <c r="I344" s="52">
        <f>IF(Settings!$E$15="POINTS",((R344*Q344)*Settings!$B$12)+(S344*Settings!$B$2)+(T344*Settings!$B$3)+(U344*Settings!$B$4)+(V344*Settings!$B$5)+(X344*Settings!$B$9)+(AA344*Settings!$B$6)+(W344*Settings!$B$8)+(AB344*Settings!$B$7)+(AC344*Settings!$B$14)+(AD344*Settings!$B$15)+(AE344*Settings!$B$16)+(AF344*Settings!$B$17)+(AG344*Settings!$B$18)+(U344*Settings!$B$13)+(Y344*Settings!$B$10)+(Z344*Settings!$B$11),VLOOKUP(B344,'Standard Deviations'!A$1:C$672,3,FALSE))</f>
        <v>-4.6486162323988598</v>
      </c>
      <c r="J344" s="53" cm="1">
        <f t="array" ref="J344">IF(D344="G",I344/AJ344,I344/Q344)</f>
        <v>-5.6007424486733251E-2</v>
      </c>
      <c r="K344" s="52" cm="1">
        <f t="array" ref="K344">VLOOKUP(B344,D!A1:F204,6,FALSE)</f>
        <v>-5.2154671469164144</v>
      </c>
      <c r="L344" s="54" cm="1">
        <f t="array" ref="L344">IFERROR(K344/H344,"N/A")</f>
        <v>-1.043093429383283</v>
      </c>
      <c r="M344" s="84" t="s">
        <v>828</v>
      </c>
      <c r="N344" s="84" t="str" cm="1">
        <f t="array" ref="N344">IFERROR(M344-A344,"N/A")</f>
        <v>N/A</v>
      </c>
      <c r="O344" s="55"/>
      <c r="P344" s="56" cm="1">
        <f t="array" ref="P344">_xlfn.XLOOKUP($B344,ADP!A2:A671,ADP!G2:G671)</f>
        <v>0</v>
      </c>
      <c r="Q344" s="57" cm="1">
        <f t="array" ref="Q344">IF(Settings!$E$12="YES",VLOOKUP(B344,'Player Data'!A1:E673,5,FALSE),84)</f>
        <v>83</v>
      </c>
      <c r="R344" s="81" cm="1">
        <f t="array" ref="R344">VLOOKUP(B344,'Player Data'!$A1:$AE673,6,FALSE)</f>
        <v>20.9</v>
      </c>
      <c r="S344" s="57" cm="1">
        <f t="array" ref="S344">VLOOKUP(B344,'Player Data'!$A1:$AE673,7,FALSE)*$Q344*IFERROR((VLOOKUP(P344,Settings!$E$28:$F$33,2,FALSE)+1),1)</f>
        <v>2.4899999999999998</v>
      </c>
      <c r="T344" s="57" cm="1">
        <f t="array" ref="T344">VLOOKUP(B344,'Player Data'!$A1:$AE673,8,FALSE)*$Q344*IFERROR((VLOOKUP(P344,Settings!$E$28:$F$33,2,FALSE)+1),1)</f>
        <v>14.110000000000001</v>
      </c>
      <c r="U344" s="57" cm="1">
        <f t="array" ref="U344">SUM(S344:T344)</f>
        <v>16.600000000000001</v>
      </c>
      <c r="V344" s="57" cm="1">
        <f t="array" ref="V344">VLOOKUP(B344,'Player Data'!$A1:$AE673,10,FALSE)*$Q344*IFERROR(((VLOOKUP(P344,Settings!$E$28:$F$33,2,FALSE)/2)+1),1)</f>
        <v>87.98</v>
      </c>
      <c r="W344" s="57" cm="1">
        <f t="array" ref="W344">VLOOKUP(B344,'Player Data'!$A1:$AE673,11,FALSE)*$Q344*IFERROR((VLOOKUP(P344,Settings!$E$28:$F$33,2,FALSE)+1),1)</f>
        <v>0</v>
      </c>
      <c r="X344" s="57" cm="1">
        <f t="array" ref="X344">VLOOKUP(B344,'Player Data'!$A1:$AE673,12,FALSE)*$Q344*IFERROR((VLOOKUP(P344,Settings!$E$28:$F$33,2,FALSE)+1),1)</f>
        <v>0</v>
      </c>
      <c r="Y344" s="57" cm="1">
        <f t="array" ref="Y344">VLOOKUP(B344,'Player Data'!$A1:$AE673,13,FALSE)*$Q344</f>
        <v>0</v>
      </c>
      <c r="Z344" s="57" cm="1">
        <f t="array" ref="Z344">VLOOKUP(B344,'Player Data'!$A1:$AE673,14,FALSE)*$Q344</f>
        <v>0</v>
      </c>
      <c r="AA344" s="57" cm="1">
        <f t="array" ref="AA344">VLOOKUP(B344,'Player Data'!$A1:$AE673,15,FALSE)*$Q344</f>
        <v>156.04</v>
      </c>
      <c r="AB344" s="57" cm="1">
        <f t="array" ref="AB344">VLOOKUP(B344,'Player Data'!$A1:$AE673,16,FALSE)*$Q344</f>
        <v>120.35</v>
      </c>
      <c r="AC344" s="57" cm="1">
        <f t="array" ref="AC344">VLOOKUP(B344,'Player Data'!$A1:$AE673,17,FALSE)*$Q344*IFERROR((VLOOKUP(P344,Settings!$E$28:$F$33,2,FALSE)+1),1)</f>
        <v>-9.1300000000000008</v>
      </c>
      <c r="AD344" s="57" cm="1">
        <f t="array" ref="AD344">VLOOKUP(B344,'Player Data'!$A1:$AE673,18,FALSE)*$Q344</f>
        <v>39.839999999999996</v>
      </c>
      <c r="AE344" s="57" cm="1">
        <f t="array" ref="AE344">VLOOKUP(B344,'Player Data'!$A1:$AE673,19,FALSE)*$Q344*IFERROR((VLOOKUP(P344,Settings!$E$28:$F$33,2,FALSE)+1),1)</f>
        <v>0</v>
      </c>
      <c r="AF344" s="57" cm="1">
        <f t="array" ref="AF344">VLOOKUP(B344,'Player Data'!$A1:$AE673,20,FALSE)*$Q344</f>
        <v>0</v>
      </c>
      <c r="AG344" s="57" cm="1">
        <f t="array" ref="AG344">VLOOKUP(B344,'Player Data'!$A1:$AE673,21,FALSE)*$Q344</f>
        <v>0</v>
      </c>
      <c r="AH344" s="59" cm="1">
        <f t="array" ref="AH344">VLOOKUP(B344,'Player Data'!$A1:$AE673,22,FALSE)</f>
        <v>0</v>
      </c>
      <c r="AI344" s="55"/>
      <c r="AJ344" s="57"/>
      <c r="AK344" s="57"/>
      <c r="AL344" s="57"/>
      <c r="AM344" s="57"/>
      <c r="AN344" s="57"/>
      <c r="AO344" s="57"/>
      <c r="AP344" s="57"/>
      <c r="AQ344" s="60"/>
      <c r="AR344" s="61"/>
      <c r="AS344" s="55"/>
    </row>
    <row r="345" spans="1:45" ht="21.25" customHeight="1" x14ac:dyDescent="0.15">
      <c r="A345" s="62">
        <f>RANK(K345,K$2:K$671)</f>
        <v>370</v>
      </c>
      <c r="B345" s="10" t="s">
        <v>517</v>
      </c>
      <c r="C345" s="47" t="s">
        <v>145</v>
      </c>
      <c r="D345" s="48" t="str" cm="1">
        <f t="array" ref="D345">VLOOKUP(B345,'Player Data'!A1:D673,4,FALSE)</f>
        <v>D</v>
      </c>
      <c r="E345" s="68" cm="1">
        <f t="array" ref="E345">VLOOKUP(B345,D!A1:C204,3,FALSE)</f>
        <v>175</v>
      </c>
      <c r="F345" s="65" t="str" cm="1">
        <f t="array" ref="F345">VLOOKUP(B345,'Player Data'!A1:B673,2,FALSE)</f>
        <v>STL</v>
      </c>
      <c r="G345" s="11" cm="1">
        <f t="array" ref="G345">VLOOKUP(B345,'Player Data'!A1:D673,3,FALSE)</f>
        <v>29</v>
      </c>
      <c r="H345" s="67" cm="1">
        <f t="array" ref="H345">IFERROR(VLOOKUP(B345,ADP!A1:F671,6,FALSE)/1000000,VLOOKUP(B345,ADP!A1:F671,6,FALSE))</f>
        <v>3.4849999999999999</v>
      </c>
      <c r="I345" s="52">
        <f>IF(Settings!$E$15="POINTS",((R345*Q345)*Settings!$B$12)+(S345*Settings!$B$2)+(T345*Settings!$B$3)+(U345*Settings!$B$4)+(V345*Settings!$B$5)+(X345*Settings!$B$9)+(AA345*Settings!$B$6)+(W345*Settings!$B$8)+(AB345*Settings!$B$7)+(AC345*Settings!$B$14)+(AD345*Settings!$B$15)+(AE345*Settings!$B$16)+(AF345*Settings!$B$17)+(AG345*Settings!$B$18)+(U345*Settings!$B$13)+(Y345*Settings!$B$10)+(Z345*Settings!$B$11),VLOOKUP(B345,'Standard Deviations'!A$1:C$672,3,FALSE))</f>
        <v>-4.7007576638716095</v>
      </c>
      <c r="J345" s="53" cm="1">
        <f t="array" ref="J345">IF(D345="G",I345/AJ345,I345/Q345)</f>
        <v>-5.9503261567995056E-2</v>
      </c>
      <c r="K345" s="52" cm="1">
        <f t="array" ref="K345">VLOOKUP(B345,D!A1:F204,6,FALSE)</f>
        <v>-5.2676085783891642</v>
      </c>
      <c r="L345" s="54" cm="1">
        <f t="array" ref="L345">IFERROR(K345/H345,"N/A")</f>
        <v>-1.5115089177587273</v>
      </c>
      <c r="M345" s="84" t="s">
        <v>828</v>
      </c>
      <c r="N345" s="84" t="str" cm="1">
        <f t="array" ref="N345">IFERROR(M345-A345,"N/A")</f>
        <v>N/A</v>
      </c>
      <c r="O345" s="55"/>
      <c r="P345" s="56" cm="1">
        <f t="array" ref="P345">_xlfn.XLOOKUP($B345,ADP!A2:A671,ADP!G2:G671)</f>
        <v>0</v>
      </c>
      <c r="Q345" s="57" cm="1">
        <f t="array" ref="Q345">IF(Settings!$E$12="YES",VLOOKUP(B345,'Player Data'!A1:E673,5,FALSE),84)</f>
        <v>79</v>
      </c>
      <c r="R345" s="83" cm="1">
        <f t="array" ref="R345">VLOOKUP(B345,'Player Data'!$A1:$AE673,6,FALSE)</f>
        <v>17.7</v>
      </c>
      <c r="S345" s="57" cm="1">
        <f t="array" ref="S345">VLOOKUP(B345,'Player Data'!$A1:$AE673,7,FALSE)*$Q345*IFERROR((VLOOKUP(P345,Settings!$E$28:$F$33,2,FALSE)+1),1)</f>
        <v>0.79</v>
      </c>
      <c r="T345" s="57" cm="1">
        <f t="array" ref="T345">VLOOKUP(B345,'Player Data'!$A1:$AE673,8,FALSE)*$Q345*IFERROR((VLOOKUP(P345,Settings!$E$28:$F$33,2,FALSE)+1),1)</f>
        <v>9.48</v>
      </c>
      <c r="U345" s="57" cm="1">
        <f t="array" ref="U345">SUM(S345:T345)</f>
        <v>10.27</v>
      </c>
      <c r="V345" s="57" cm="1">
        <f t="array" ref="V345">VLOOKUP(B345,'Player Data'!$A1:$AE673,10,FALSE)*$Q345*IFERROR(((VLOOKUP(P345,Settings!$E$28:$F$33,2,FALSE)/2)+1),1)</f>
        <v>65.569999999999993</v>
      </c>
      <c r="W345" s="57" cm="1">
        <f t="array" ref="W345">VLOOKUP(B345,'Player Data'!$A1:$AE673,11,FALSE)*$Q345*IFERROR((VLOOKUP(P345,Settings!$E$28:$F$33,2,FALSE)+1),1)</f>
        <v>0</v>
      </c>
      <c r="X345" s="57" cm="1">
        <f t="array" ref="X345">VLOOKUP(B345,'Player Data'!$A1:$AE673,12,FALSE)*$Q345*IFERROR((VLOOKUP(P345,Settings!$E$28:$F$33,2,FALSE)+1),1)</f>
        <v>0</v>
      </c>
      <c r="Y345" s="57" cm="1">
        <f t="array" ref="Y345">VLOOKUP(B345,'Player Data'!$A1:$AE673,13,FALSE)*$Q345</f>
        <v>0</v>
      </c>
      <c r="Z345" s="57" cm="1">
        <f t="array" ref="Z345">VLOOKUP(B345,'Player Data'!$A1:$AE673,14,FALSE)*$Q345</f>
        <v>0.79</v>
      </c>
      <c r="AA345" s="57" cm="1">
        <f t="array" ref="AA345">VLOOKUP(B345,'Player Data'!$A1:$AE673,15,FALSE)*$Q345</f>
        <v>126.4</v>
      </c>
      <c r="AB345" s="57" cm="1">
        <f t="array" ref="AB345">VLOOKUP(B345,'Player Data'!$A1:$AE673,16,FALSE)*$Q345</f>
        <v>89.27</v>
      </c>
      <c r="AC345" s="57" cm="1">
        <f t="array" ref="AC345">VLOOKUP(B345,'Player Data'!$A1:$AE673,17,FALSE)*$Q345*IFERROR((VLOOKUP(P345,Settings!$E$28:$F$33,2,FALSE)+1),1)</f>
        <v>-2.37</v>
      </c>
      <c r="AD345" s="57" cm="1">
        <f t="array" ref="AD345">VLOOKUP(B345,'Player Data'!$A1:$AE673,18,FALSE)*$Q345</f>
        <v>38.71</v>
      </c>
      <c r="AE345" s="57" cm="1">
        <f t="array" ref="AE345">VLOOKUP(B345,'Player Data'!$A1:$AE673,19,FALSE)*$Q345*IFERROR((VLOOKUP(P345,Settings!$E$28:$F$33,2,FALSE)+1),1)</f>
        <v>0</v>
      </c>
      <c r="AF345" s="57" cm="1">
        <f t="array" ref="AF345">VLOOKUP(B345,'Player Data'!$A1:$AE673,20,FALSE)*$Q345</f>
        <v>0</v>
      </c>
      <c r="AG345" s="57" cm="1">
        <f t="array" ref="AG345">VLOOKUP(B345,'Player Data'!$A1:$AE673,21,FALSE)*$Q345</f>
        <v>0</v>
      </c>
      <c r="AH345" s="59" cm="1">
        <f t="array" ref="AH345">VLOOKUP(B345,'Player Data'!$A1:$AE673,22,FALSE)</f>
        <v>0</v>
      </c>
      <c r="AI345" s="55"/>
      <c r="AJ345" s="57"/>
      <c r="AK345" s="57"/>
      <c r="AL345" s="57"/>
      <c r="AM345" s="57"/>
      <c r="AN345" s="57"/>
      <c r="AO345" s="57"/>
      <c r="AP345" s="57"/>
      <c r="AQ345" s="60"/>
      <c r="AR345" s="61"/>
      <c r="AS345" s="55"/>
    </row>
    <row r="346" spans="1:45" ht="21.25" customHeight="1" x14ac:dyDescent="0.15">
      <c r="A346" s="62">
        <f>RANK(K346,K$2:K$671)</f>
        <v>357</v>
      </c>
      <c r="B346" s="10" t="s">
        <v>385</v>
      </c>
      <c r="C346" s="47" t="s">
        <v>145</v>
      </c>
      <c r="D346" s="48" t="str" cm="1">
        <f t="array" ref="D346">VLOOKUP(B346,'Player Data'!A1:D673,4,FALSE)</f>
        <v>G</v>
      </c>
      <c r="E346" s="76" cm="1">
        <f t="array" ref="E346">VLOOKUP(B346,G!A1:D66,3,FALSE)</f>
        <v>49</v>
      </c>
      <c r="F346" s="50" t="str" cm="1">
        <f t="array" ref="F346">VLOOKUP(B346,'Player Data'!A1:B673,2,FALSE)</f>
        <v>S.J</v>
      </c>
      <c r="G346" s="71" cm="1">
        <f t="array" ref="G346">VLOOKUP(B346,'Player Data'!A1:D673,3,FALSE)</f>
        <v>24</v>
      </c>
      <c r="H346" s="67" cm="1">
        <f t="array" ref="H346">IFERROR(VLOOKUP(B346,ADP!A1:F671,6,FALSE)/1000000,VLOOKUP(B346,ADP!A1:F671,6,FALSE))</f>
        <v>2</v>
      </c>
      <c r="I346" s="52">
        <f>IF(Settings!$E$15="POINTS",(AJ346*Settings!$B$29)+(AK346*Settings!$B$21)+(AL346*Settings!$B$22)+(AN346*Settings!$B$24)+(AO346*Settings!$B$25)+(AP346*Settings!$B$27)+(AM346*Settings!$B$23),VLOOKUP(B346,'Standard Deviations'!A$1:C$672,3,FALSE))</f>
        <v>-3.0401721035465812</v>
      </c>
      <c r="J346" s="53" cm="1">
        <f t="array" ref="J346">IF(D346="G",I346/AJ346,I346/Q346)</f>
        <v>-6.7559380078812917E-2</v>
      </c>
      <c r="K346" s="52" cm="1">
        <f t="array" ref="K346">VLOOKUP(B346,G!A1:F66,6,FALSE)</f>
        <v>-5.0783573626702561</v>
      </c>
      <c r="L346" s="54" cm="1">
        <f t="array" ref="L346">IFERROR(K346/H346,"N/A")</f>
        <v>-2.539178681335128</v>
      </c>
      <c r="M346" s="55">
        <v>131.4</v>
      </c>
      <c r="N346" s="55" cm="1">
        <f t="array" ref="N346">IFERROR(M346-A346,"N/A")</f>
        <v>-225.6</v>
      </c>
      <c r="O346" s="55"/>
      <c r="P346" s="56" cm="1">
        <f t="array" ref="P346">_xlfn.XLOOKUP($B346,ADP!A2:A671,ADP!G2:G671)</f>
        <v>0</v>
      </c>
      <c r="Q346" s="57"/>
      <c r="R346" s="55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9"/>
      <c r="AI346" s="55"/>
      <c r="AJ346" s="77" cm="1">
        <f t="array" ref="AJ346">VLOOKUP(B346,'Player Data'!$A1:$AE673,24,FALSE)</f>
        <v>45</v>
      </c>
      <c r="AK346" s="57" cm="1">
        <f t="array" ref="AK346">VLOOKUP(B346,'Player Data'!$A1:$AE673,25,FALSE)*$AJ346*IFERROR((VLOOKUP(P346,Settings!$E$28:$F$33,2,FALSE)+1),1)</f>
        <v>21.599999999999998</v>
      </c>
      <c r="AL346" s="57" cm="1">
        <f t="array" ref="AL346">AJ346-AK346-AM346</f>
        <v>17.55</v>
      </c>
      <c r="AM346" s="57" cm="1">
        <f t="array" ref="AM346">VLOOKUP(B346,'Player Data'!$A1:$AE673,27,FALSE)*$AJ346</f>
        <v>5.8500000000000005</v>
      </c>
      <c r="AN346" s="57" cm="1">
        <f t="array" ref="AN346">VLOOKUP(B346,'Player Data'!$A1:$AE673,28,FALSE)*AJ346</f>
        <v>1.3499999999999999</v>
      </c>
      <c r="AO346" s="57" cm="1">
        <f t="array" ref="AO346">VLOOKUP(B346,'Player Data'!$A1:$AE673,29,FALSE)*$AJ346*IFERROR((VLOOKUP(P346,Settings!$E$28:$F$33,2,FALSE)/4)+1,1)</f>
        <v>1165.5</v>
      </c>
      <c r="AP346" s="57" cm="1">
        <f t="array" ref="AP346">VLOOKUP(B346,'Player Data'!$A1:$AE673,31,FALSE)*$AJ346*(IFERROR(1-(VLOOKUP(P346,Settings!$E$28:$F$33,2,FALSE)/4),1))</f>
        <v>139.5</v>
      </c>
      <c r="AQ346" s="60" cm="1">
        <f t="array" ref="AQ346">1-(AP346/(AO346+AP346))</f>
        <v>0.89310344827586208</v>
      </c>
      <c r="AR346" s="61" cm="1">
        <f t="array" ref="AR346">AP346/AJ346</f>
        <v>3.1</v>
      </c>
      <c r="AS346" s="55"/>
    </row>
    <row r="347" spans="1:45" ht="21.25" customHeight="1" x14ac:dyDescent="0.15">
      <c r="A347" s="62">
        <f>RANK(K347,K$2:K$671)</f>
        <v>317</v>
      </c>
      <c r="B347" s="10" t="s">
        <v>524</v>
      </c>
      <c r="C347" s="47" t="s">
        <v>145</v>
      </c>
      <c r="D347" s="48" t="str" cm="1">
        <f t="array" ref="D347">VLOOKUP(B347,'Player Data'!A1:D673,4,FALSE)</f>
        <v>LW,RW</v>
      </c>
      <c r="E347" s="74" cm="1">
        <f t="array" ref="E347">VLOOKUP(B347,RW!A1:F210,3,FALSE)</f>
        <v>71</v>
      </c>
      <c r="F347" s="56" t="str" cm="1">
        <f t="array" ref="F347">VLOOKUP(B347,'Player Data'!A1:B673,2,FALSE)</f>
        <v>UTA</v>
      </c>
      <c r="G347" s="11" cm="1">
        <f t="array" ref="G347">VLOOKUP(B347,'Player Data'!A1:D673,3,FALSE)</f>
        <v>29</v>
      </c>
      <c r="H347" s="67" cm="1">
        <f t="array" ref="H347">IFERROR(VLOOKUP(B347,ADP!A1:F671,6,FALSE)/1000000,VLOOKUP(B347,ADP!A1:F671,6,FALSE))</f>
        <v>4.3</v>
      </c>
      <c r="I347" s="52">
        <f>IF(Settings!$E$15="POINTS",((R347*Q347)*Settings!$B$12)+(S347*Settings!$B$2)+(T347*Settings!$B$3)+(U347*Settings!$B$4)+(V347*Settings!$B$5)+(X347*Settings!$B$9)+(AA347*Settings!$B$6)+(W347*Settings!$B$8)+(AB347*Settings!$B$7)+(AC347*Settings!$B$14)+(AD347*Settings!$B$15)+(AE347*Settings!$B$16)+(AF347*Settings!$B$17)+(AG347*Settings!$B$18)+(Y347*Settings!$B$10)+(Z347*Settings!$B$11),VLOOKUP(B347,'Standard Deviations'!A$1:C$672,3,FALSE))</f>
        <v>2.5390116468375461</v>
      </c>
      <c r="J347" s="53" cm="1">
        <f t="array" ref="J347">IF(D347="G",I347/AJ347,I347/Q347)</f>
        <v>3.0226329129018407E-2</v>
      </c>
      <c r="K347" s="52" cm="1">
        <f t="array" ref="K347">IF(Settings!$E$18="C/LW/RW",VLOOKUP(B347,RW!A1:F210,6,FALSE),VLOOKUP(B347,F!A1:F407,6,FALSE))</f>
        <v>-4.348222954971531</v>
      </c>
      <c r="L347" s="54" cm="1">
        <f t="array" ref="L347">IFERROR(K347/H347,"N/A")</f>
        <v>-1.0112146406910538</v>
      </c>
      <c r="M347" s="55">
        <v>125.6</v>
      </c>
      <c r="N347" s="55" cm="1">
        <f t="array" ref="N347">IFERROR(M347-A347,"N/A")</f>
        <v>-191.4</v>
      </c>
      <c r="O347" s="55"/>
      <c r="P347" s="56" cm="1">
        <f t="array" ref="P347">_xlfn.XLOOKUP($B347,ADP!A2:A671,ADP!G2:G671)</f>
        <v>0</v>
      </c>
      <c r="Q347" s="57" cm="1">
        <f t="array" ref="Q347">IF(Settings!$E$12="YES",VLOOKUP(B347,'Player Data'!A1:E673,5,FALSE),84)</f>
        <v>84</v>
      </c>
      <c r="R347" s="55" cm="1">
        <f t="array" ref="R347">VLOOKUP(B347,'Player Data'!$A1:$AE673,6,FALSE)</f>
        <v>16.5</v>
      </c>
      <c r="S347" s="57" cm="1">
        <f t="array" ref="S347">VLOOKUP(B347,'Player Data'!$A1:$AE673,7,FALSE)*$Q347*IFERROR((VLOOKUP(P347,Settings!$E$28:$F$33,2,FALSE)+1),1)</f>
        <v>19.32</v>
      </c>
      <c r="T347" s="57" cm="1">
        <f t="array" ref="T347">VLOOKUP(B347,'Player Data'!$A1:$AE673,8,FALSE)*$Q347*IFERROR((VLOOKUP(P347,Settings!$E$28:$F$33,2,FALSE)+1),1)</f>
        <v>16.8</v>
      </c>
      <c r="U347" s="57" cm="1">
        <f t="array" ref="U347">SUM(S347:T347)</f>
        <v>36.120000000000005</v>
      </c>
      <c r="V347" s="57" cm="1">
        <f t="array" ref="V347">VLOOKUP(B347,'Player Data'!$A1:$AE673,10,FALSE)*$Q347*IFERROR(((VLOOKUP(P347,Settings!$E$28:$F$33,2,FALSE)/2)+1),1)</f>
        <v>147</v>
      </c>
      <c r="W347" s="57" cm="1">
        <f t="array" ref="W347">VLOOKUP(B347,'Player Data'!$A1:$AE673,11,FALSE)*$Q347*IFERROR((VLOOKUP(P347,Settings!$E$28:$F$33,2,FALSE)+1),1)</f>
        <v>1.68</v>
      </c>
      <c r="X347" s="57" cm="1">
        <f t="array" ref="X347">VLOOKUP(B347,'Player Data'!$A1:$AE673,12,FALSE)*$Q347*IFERROR((VLOOKUP(P347,Settings!$E$28:$F$33,2,FALSE)+1),1)</f>
        <v>2.52</v>
      </c>
      <c r="Y347" s="57" cm="1">
        <f t="array" ref="Y347">VLOOKUP(B347,'Player Data'!$A1:$AE673,13,FALSE)*$Q347</f>
        <v>0.84</v>
      </c>
      <c r="Z347" s="57" cm="1">
        <f t="array" ref="Z347">VLOOKUP(B347,'Player Data'!$A1:$AE673,14,FALSE)*$Q347</f>
        <v>1.68</v>
      </c>
      <c r="AA347" s="57" cm="1">
        <f t="array" ref="AA347">VLOOKUP(B347,'Player Data'!$A1:$AE673,15,FALSE)*$Q347</f>
        <v>56.28</v>
      </c>
      <c r="AB347" s="57" cm="1">
        <f t="array" ref="AB347">VLOOKUP(B347,'Player Data'!$A1:$AE673,16,FALSE)*$Q347</f>
        <v>203.28</v>
      </c>
      <c r="AC347" s="57" cm="1">
        <f t="array" ref="AC347">VLOOKUP(B347,'Player Data'!$A1:$AE673,17,FALSE)*$Q347*IFERROR((VLOOKUP(P347,Settings!$E$28:$F$33,2,FALSE)+1),1)</f>
        <v>1.68</v>
      </c>
      <c r="AD347" s="57" cm="1">
        <f t="array" ref="AD347">VLOOKUP(B347,'Player Data'!$A1:$AE673,18,FALSE)*$Q347</f>
        <v>38.64</v>
      </c>
      <c r="AE347" s="57" cm="1">
        <f t="array" ref="AE347">VLOOKUP(B347,'Player Data'!$A1:$AE673,19,FALSE)*$Q347*IFERROR((VLOOKUP(P347,Settings!$E$28:$F$33,2,FALSE)+1),1)</f>
        <v>3.36</v>
      </c>
      <c r="AF347" s="57" cm="1">
        <f t="array" ref="AF347">VLOOKUP(B347,'Player Data'!$A1:$AE673,20,FALSE)*$Q347</f>
        <v>30.24</v>
      </c>
      <c r="AG347" s="57" cm="1">
        <f t="array" ref="AG347">VLOOKUP(B347,'Player Data'!$A1:$AE673,21,FALSE)*$Q347</f>
        <v>50.4</v>
      </c>
      <c r="AH347" s="59" cm="1">
        <f t="array" ref="AH347">VLOOKUP(B347,'Player Data'!$A1:$AE673,22,FALSE)</f>
        <v>0.37</v>
      </c>
      <c r="AI347" s="55"/>
      <c r="AJ347" s="57"/>
      <c r="AK347" s="57"/>
      <c r="AL347" s="57"/>
      <c r="AM347" s="57"/>
      <c r="AN347" s="57"/>
      <c r="AO347" s="57"/>
      <c r="AP347" s="57"/>
      <c r="AQ347" s="60"/>
      <c r="AR347" s="61"/>
      <c r="AS347" s="55"/>
    </row>
    <row r="348" spans="1:45" ht="21.25" customHeight="1" x14ac:dyDescent="0.15">
      <c r="A348" s="62">
        <f>RANK(K348,K$2:K$671)</f>
        <v>321</v>
      </c>
      <c r="B348" s="10" t="s">
        <v>450</v>
      </c>
      <c r="C348" s="47" t="s">
        <v>145</v>
      </c>
      <c r="D348" s="48" t="str" cm="1">
        <f t="array" ref="D348">VLOOKUP(B348,'Player Data'!A1:D673,4,FALSE)</f>
        <v>C,LW</v>
      </c>
      <c r="E348" s="74" cm="1">
        <f t="array" ref="E348">VLOOKUP(B348,LW!A1:C210,3,FALSE)</f>
        <v>63</v>
      </c>
      <c r="F348" s="56" t="str" cm="1">
        <f t="array" ref="F348">VLOOKUP(B348,'Player Data'!A1:B673,2,FALSE)</f>
        <v>WSH</v>
      </c>
      <c r="G348" s="11" cm="1">
        <f t="array" ref="G348">VLOOKUP(B348,'Player Data'!A1:D673,3,FALSE)</f>
        <v>28</v>
      </c>
      <c r="H348" s="51" cm="1">
        <f t="array" ref="H348">IFERROR(VLOOKUP(B348,ADP!A1:F671,6,FALSE)/1000000,VLOOKUP(B348,ADP!A1:F671,6,FALSE))</f>
        <v>8.5</v>
      </c>
      <c r="I348" s="52">
        <f>IF(Settings!$E$15="POINTS",((R348*Q348)*Settings!$B$12)+(S348*Settings!$B$2)+(T348*Settings!$B$3)+(U348*Settings!$B$4)+(V348*Settings!$B$5)+(X348*Settings!$B$9)+(AA348*Settings!$B$6)+(W348*Settings!$B$8)+(AB348*Settings!$B$7)+(AC348*Settings!$B$14)+(AD348*Settings!$B$15)+(AE348*Settings!$B$16)+(AF348*Settings!$B$17)+(AG348*Settings!$B$18)+(Y348*Settings!$B$10)+(Z348*Settings!$B$11),VLOOKUP(B348,'Standard Deviations'!A$1:C$672,3,FALSE))</f>
        <v>2.4790132116005834</v>
      </c>
      <c r="J348" s="53" cm="1">
        <f t="array" ref="J348">IF(D348="G",I348/AJ348,I348/Q348)</f>
        <v>3.3053509488007782E-2</v>
      </c>
      <c r="K348" s="52" cm="1">
        <f t="array" ref="K348">IF(Settings!$E$18="C/LW/RW",VLOOKUP(B348,LW!A1:F210,6,FALSE),VLOOKUP(B348,F!A1:F407,6,FALSE))</f>
        <v>-4.4153724327892263</v>
      </c>
      <c r="L348" s="54" cm="1">
        <f t="array" ref="L348">IFERROR(K348/H348,"N/A")</f>
        <v>-0.51945558032814432</v>
      </c>
      <c r="M348" s="84" t="s">
        <v>828</v>
      </c>
      <c r="N348" s="84" t="str" cm="1">
        <f t="array" ref="N348">IFERROR(M348-A348,"N/A")</f>
        <v>N/A</v>
      </c>
      <c r="O348" s="55"/>
      <c r="P348" s="56" cm="1">
        <f t="array" ref="P348">_xlfn.XLOOKUP($B348,ADP!A2:A671,ADP!G2:G671)</f>
        <v>0</v>
      </c>
      <c r="Q348" s="57" cm="1">
        <f t="array" ref="Q348">IF(Settings!$E$12="YES",VLOOKUP(B348,'Player Data'!A1:E673,5,FALSE),84)</f>
        <v>75</v>
      </c>
      <c r="R348" s="55" cm="1">
        <f t="array" ref="R348">VLOOKUP(B348,'Player Data'!$A1:$AE673,6,FALSE)</f>
        <v>16.8</v>
      </c>
      <c r="S348" s="57" cm="1">
        <f t="array" ref="S348">VLOOKUP(B348,'Player Data'!$A1:$AE673,7,FALSE)*$Q348*IFERROR((VLOOKUP(P348,Settings!$E$28:$F$33,2,FALSE)+1),1)</f>
        <v>18</v>
      </c>
      <c r="T348" s="57" cm="1">
        <f t="array" ref="T348">VLOOKUP(B348,'Player Data'!$A1:$AE673,8,FALSE)*$Q348*IFERROR((VLOOKUP(P348,Settings!$E$28:$F$33,2,FALSE)+1),1)</f>
        <v>35.25</v>
      </c>
      <c r="U348" s="57" cm="1">
        <f t="array" ref="U348">SUM(S348:T348)</f>
        <v>53.25</v>
      </c>
      <c r="V348" s="57" cm="1">
        <f t="array" ref="V348">VLOOKUP(B348,'Player Data'!$A1:$AE673,10,FALSE)*$Q348*IFERROR(((VLOOKUP(P348,Settings!$E$28:$F$33,2,FALSE)/2)+1),1)</f>
        <v>132.75</v>
      </c>
      <c r="W348" s="57" cm="1">
        <f t="array" ref="W348">VLOOKUP(B348,'Player Data'!$A1:$AE673,11,FALSE)*$Q348*IFERROR((VLOOKUP(P348,Settings!$E$28:$F$33,2,FALSE)+1),1)</f>
        <v>6.75</v>
      </c>
      <c r="X348" s="57" cm="1">
        <f t="array" ref="X348">VLOOKUP(B348,'Player Data'!$A1:$AE673,12,FALSE)*$Q348*IFERROR((VLOOKUP(P348,Settings!$E$28:$F$33,2,FALSE)+1),1)</f>
        <v>15</v>
      </c>
      <c r="Y348" s="57" cm="1">
        <f t="array" ref="Y348">VLOOKUP(B348,'Player Data'!$A1:$AE673,13,FALSE)*$Q348</f>
        <v>0</v>
      </c>
      <c r="Z348" s="57" cm="1">
        <f t="array" ref="Z348">VLOOKUP(B348,'Player Data'!$A1:$AE673,14,FALSE)*$Q348</f>
        <v>0</v>
      </c>
      <c r="AA348" s="57" cm="1">
        <f t="array" ref="AA348">VLOOKUP(B348,'Player Data'!$A1:$AE673,15,FALSE)*$Q348</f>
        <v>42.749999999999993</v>
      </c>
      <c r="AB348" s="57" cm="1">
        <f t="array" ref="AB348">VLOOKUP(B348,'Player Data'!$A1:$AE673,16,FALSE)*$Q348</f>
        <v>64.5</v>
      </c>
      <c r="AC348" s="57" cm="1">
        <f t="array" ref="AC348">VLOOKUP(B348,'Player Data'!$A1:$AE673,17,FALSE)*$Q348*IFERROR((VLOOKUP(P348,Settings!$E$28:$F$33,2,FALSE)+1),1)</f>
        <v>4.5</v>
      </c>
      <c r="AD348" s="57" cm="1">
        <f t="array" ref="AD348">VLOOKUP(B348,'Player Data'!$A1:$AE673,18,FALSE)*$Q348</f>
        <v>46.5</v>
      </c>
      <c r="AE348" s="57" cm="1">
        <f t="array" ref="AE348">VLOOKUP(B348,'Player Data'!$A1:$AE673,19,FALSE)*$Q348*IFERROR((VLOOKUP(P348,Settings!$E$28:$F$33,2,FALSE)+1),1)</f>
        <v>3</v>
      </c>
      <c r="AF348" s="57" cm="1">
        <f t="array" ref="AF348">VLOOKUP(B348,'Player Data'!$A1:$AE673,20,FALSE)*$Q348</f>
        <v>476.25</v>
      </c>
      <c r="AG348" s="57" cm="1">
        <f t="array" ref="AG348">VLOOKUP(B348,'Player Data'!$A1:$AE673,21,FALSE)*$Q348</f>
        <v>491.25</v>
      </c>
      <c r="AH348" s="59" cm="1">
        <f t="array" ref="AH348">VLOOKUP(B348,'Player Data'!$A1:$AE673,22,FALSE)</f>
        <v>0.49</v>
      </c>
      <c r="AI348" s="55"/>
      <c r="AJ348" s="57"/>
      <c r="AK348" s="57"/>
      <c r="AL348" s="57"/>
      <c r="AM348" s="57"/>
      <c r="AN348" s="57"/>
      <c r="AO348" s="57"/>
      <c r="AP348" s="57"/>
      <c r="AQ348" s="60"/>
      <c r="AR348" s="61"/>
      <c r="AS348" s="55"/>
    </row>
    <row r="349" spans="1:45" ht="21.25" customHeight="1" x14ac:dyDescent="0.15">
      <c r="A349" s="62">
        <f>RANK(K349,K$2:K$671)</f>
        <v>372</v>
      </c>
      <c r="B349" s="10" t="s">
        <v>544</v>
      </c>
      <c r="C349" s="47" t="s">
        <v>145</v>
      </c>
      <c r="D349" s="48" t="str" cm="1">
        <f t="array" ref="D349">VLOOKUP(B349,'Player Data'!A1:D673,4,FALSE)</f>
        <v>D</v>
      </c>
      <c r="E349" s="68" cm="1">
        <f t="array" ref="E349">VLOOKUP(B349,D!A1:C204,3,FALSE)</f>
        <v>176</v>
      </c>
      <c r="F349" s="70" t="str" cm="1">
        <f t="array" ref="F349">VLOOKUP(B349,'Player Data'!A1:B673,2,FALSE)</f>
        <v>MIN</v>
      </c>
      <c r="G349" s="66" cm="1">
        <f t="array" ref="G349">VLOOKUP(B349,'Player Data'!A1:D673,3,FALSE)</f>
        <v>32</v>
      </c>
      <c r="H349" s="51" cm="1">
        <f t="array" ref="H349">IFERROR(VLOOKUP(B349,ADP!A1:F671,6,FALSE)/1000000,VLOOKUP(B349,ADP!A1:F671,6,FALSE))</f>
        <v>3.5</v>
      </c>
      <c r="I349" s="52">
        <f>IF(Settings!$E$15="POINTS",((R349*Q349)*Settings!$B$12)+(S349*Settings!$B$2)+(T349*Settings!$B$3)+(U349*Settings!$B$4)+(V349*Settings!$B$5)+(X349*Settings!$B$9)+(AA349*Settings!$B$6)+(W349*Settings!$B$8)+(AB349*Settings!$B$7)+(AC349*Settings!$B$14)+(AD349*Settings!$B$15)+(AE349*Settings!$B$16)+(AF349*Settings!$B$17)+(AG349*Settings!$B$18)+(U349*Settings!$B$13)+(Y349*Settings!$B$10)+(Z349*Settings!$B$11),VLOOKUP(B349,'Standard Deviations'!A$1:C$672,3,FALSE))</f>
        <v>-4.7426470702377612</v>
      </c>
      <c r="J349" s="53" cm="1">
        <f t="array" ref="J349">IF(D349="G",I349/AJ349,I349/Q349)</f>
        <v>-6.3235294269836817E-2</v>
      </c>
      <c r="K349" s="52" cm="1">
        <f t="array" ref="K349">VLOOKUP(B349,D!A1:F204,6,FALSE)</f>
        <v>-5.3094979847553159</v>
      </c>
      <c r="L349" s="54" cm="1">
        <f t="array" ref="L349">IFERROR(K349/H349,"N/A")</f>
        <v>-1.5169994242158045</v>
      </c>
      <c r="M349" s="84" t="s">
        <v>828</v>
      </c>
      <c r="N349" s="84" t="str" cm="1">
        <f t="array" ref="N349">IFERROR(M349-A349,"N/A")</f>
        <v>N/A</v>
      </c>
      <c r="O349" s="55"/>
      <c r="P349" s="56" cm="1">
        <f t="array" ref="P349">_xlfn.XLOOKUP($B349,ADP!A2:A671,ADP!G2:G671)</f>
        <v>0</v>
      </c>
      <c r="Q349" s="57" cm="1">
        <f t="array" ref="Q349">IF(Settings!$E$12="YES",VLOOKUP(B349,'Player Data'!A1:E673,5,FALSE),84)</f>
        <v>75</v>
      </c>
      <c r="R349" s="83" cm="1">
        <f t="array" ref="R349">VLOOKUP(B349,'Player Data'!$A1:$AE673,6,FALSE)</f>
        <v>15.8</v>
      </c>
      <c r="S349" s="57" cm="1">
        <f t="array" ref="S349">VLOOKUP(B349,'Player Data'!$A1:$AE673,7,FALSE)*$Q349*IFERROR((VLOOKUP(P349,Settings!$E$28:$F$33,2,FALSE)+1),1)</f>
        <v>1.5</v>
      </c>
      <c r="T349" s="57" cm="1">
        <f t="array" ref="T349">VLOOKUP(B349,'Player Data'!$A1:$AE673,8,FALSE)*$Q349*IFERROR((VLOOKUP(P349,Settings!$E$28:$F$33,2,FALSE)+1),1)</f>
        <v>13.5</v>
      </c>
      <c r="U349" s="57" cm="1">
        <f t="array" ref="U349">SUM(S349:T349)</f>
        <v>15</v>
      </c>
      <c r="V349" s="57" cm="1">
        <f t="array" ref="V349">VLOOKUP(B349,'Player Data'!$A1:$AE673,10,FALSE)*$Q349*IFERROR(((VLOOKUP(P349,Settings!$E$28:$F$33,2,FALSE)/2)+1),1)</f>
        <v>48.75</v>
      </c>
      <c r="W349" s="57" cm="1">
        <f t="array" ref="W349">VLOOKUP(B349,'Player Data'!$A1:$AE673,11,FALSE)*$Q349*IFERROR((VLOOKUP(P349,Settings!$E$28:$F$33,2,FALSE)+1),1)</f>
        <v>0</v>
      </c>
      <c r="X349" s="57" cm="1">
        <f t="array" ref="X349">VLOOKUP(B349,'Player Data'!$A1:$AE673,12,FALSE)*$Q349*IFERROR((VLOOKUP(P349,Settings!$E$28:$F$33,2,FALSE)+1),1)</f>
        <v>0</v>
      </c>
      <c r="Y349" s="57" cm="1">
        <f t="array" ref="Y349">VLOOKUP(B349,'Player Data'!$A1:$AE673,13,FALSE)*$Q349</f>
        <v>0</v>
      </c>
      <c r="Z349" s="57" cm="1">
        <f t="array" ref="Z349">VLOOKUP(B349,'Player Data'!$A1:$AE673,14,FALSE)*$Q349</f>
        <v>0</v>
      </c>
      <c r="AA349" s="57" cm="1">
        <f t="array" ref="AA349">VLOOKUP(B349,'Player Data'!$A1:$AE673,15,FALSE)*$Q349</f>
        <v>93</v>
      </c>
      <c r="AB349" s="57" cm="1">
        <f t="array" ref="AB349">VLOOKUP(B349,'Player Data'!$A1:$AE673,16,FALSE)*$Q349</f>
        <v>35.25</v>
      </c>
      <c r="AC349" s="57" cm="1">
        <f t="array" ref="AC349">VLOOKUP(B349,'Player Data'!$A1:$AE673,17,FALSE)*$Q349*IFERROR((VLOOKUP(P349,Settings!$E$28:$F$33,2,FALSE)+1),1)</f>
        <v>2.25</v>
      </c>
      <c r="AD349" s="57" cm="1">
        <f t="array" ref="AD349">VLOOKUP(B349,'Player Data'!$A1:$AE673,18,FALSE)*$Q349</f>
        <v>15</v>
      </c>
      <c r="AE349" s="57" cm="1">
        <f t="array" ref="AE349">VLOOKUP(B349,'Player Data'!$A1:$AE673,19,FALSE)*$Q349*IFERROR((VLOOKUP(P349,Settings!$E$28:$F$33,2,FALSE)+1),1)</f>
        <v>0</v>
      </c>
      <c r="AF349" s="57" cm="1">
        <f t="array" ref="AF349">VLOOKUP(B349,'Player Data'!$A1:$AE673,20,FALSE)*$Q349</f>
        <v>0</v>
      </c>
      <c r="AG349" s="57" cm="1">
        <f t="array" ref="AG349">VLOOKUP(B349,'Player Data'!$A1:$AE673,21,FALSE)*$Q349</f>
        <v>0</v>
      </c>
      <c r="AH349" s="59" cm="1">
        <f t="array" ref="AH349">VLOOKUP(B349,'Player Data'!$A1:$AE673,22,FALSE)</f>
        <v>0</v>
      </c>
      <c r="AI349" s="55"/>
      <c r="AJ349" s="57"/>
      <c r="AK349" s="57"/>
      <c r="AL349" s="57"/>
      <c r="AM349" s="57"/>
      <c r="AN349" s="57"/>
      <c r="AO349" s="57"/>
      <c r="AP349" s="57"/>
      <c r="AQ349" s="60"/>
      <c r="AR349" s="61"/>
      <c r="AS349" s="55"/>
    </row>
    <row r="350" spans="1:45" ht="21.25" customHeight="1" x14ac:dyDescent="0.15">
      <c r="A350" s="62">
        <f>RANK(K350,K$2:K$671)</f>
        <v>323</v>
      </c>
      <c r="B350" s="10" t="s">
        <v>366</v>
      </c>
      <c r="C350" s="47" t="s">
        <v>145</v>
      </c>
      <c r="D350" s="48" t="str" cm="1">
        <f t="array" ref="D350">VLOOKUP(B350,'Player Data'!A1:D673,4,FALSE)</f>
        <v>C,LW</v>
      </c>
      <c r="E350" s="74" cm="1">
        <f t="array" ref="E350">VLOOKUP(B350,LW!A1:C210,3,FALSE)</f>
        <v>65</v>
      </c>
      <c r="F350" s="72" t="str" cm="1">
        <f t="array" ref="F350">VLOOKUP(B350,'Player Data'!A1:B673,2,FALSE)</f>
        <v>BOS</v>
      </c>
      <c r="G350" s="11" cm="1">
        <f t="array" ref="G350">VLOOKUP(B350,'Player Data'!A1:D673,3,FALSE)</f>
        <v>29</v>
      </c>
      <c r="H350" s="67" cm="1">
        <f t="array" ref="H350">IFERROR(VLOOKUP(B350,ADP!A1:F671,6,FALSE)/1000000,VLOOKUP(B350,ADP!A1:F671,6,FALSE))</f>
        <v>4.75</v>
      </c>
      <c r="I350" s="52">
        <f>IF(Settings!$E$15="POINTS",((R350*Q350)*Settings!$B$12)+(S350*Settings!$B$2)+(T350*Settings!$B$3)+(U350*Settings!$B$4)+(V350*Settings!$B$5)+(X350*Settings!$B$9)+(AA350*Settings!$B$6)+(W350*Settings!$B$8)+(AB350*Settings!$B$7)+(AC350*Settings!$B$14)+(AD350*Settings!$B$15)+(AE350*Settings!$B$16)+(AF350*Settings!$B$17)+(AG350*Settings!$B$18)+(Y350*Settings!$B$10)+(Z350*Settings!$B$11),VLOOKUP(B350,'Standard Deviations'!A$1:C$672,3,FALSE))</f>
        <v>2.4624214224663592</v>
      </c>
      <c r="J350" s="53" cm="1">
        <f t="array" ref="J350">IF(D350="G",I350/AJ350,I350/Q350)</f>
        <v>2.9667727981522399E-2</v>
      </c>
      <c r="K350" s="52" cm="1">
        <f t="array" ref="K350">IF(Settings!$E$18="C/LW/RW",VLOOKUP(B350,LW!A1:F210,6,FALSE),VLOOKUP(B350,F!A1:F407,6,FALSE))</f>
        <v>-4.431964221923451</v>
      </c>
      <c r="L350" s="54" cm="1">
        <f t="array" ref="L350">IFERROR(K350/H350,"N/A")</f>
        <v>-0.93304509935230551</v>
      </c>
      <c r="M350" s="55">
        <v>145</v>
      </c>
      <c r="N350" s="55" cm="1">
        <f t="array" ref="N350">IFERROR(M350-A350,"N/A")</f>
        <v>-178</v>
      </c>
      <c r="O350" s="55"/>
      <c r="P350" s="56" cm="1">
        <f t="array" ref="P350">_xlfn.XLOOKUP($B350,ADP!A2:A671,ADP!G2:G671)</f>
        <v>0</v>
      </c>
      <c r="Q350" s="57" cm="1">
        <f t="array" ref="Q350">IF(Settings!$E$12="YES",VLOOKUP(B350,'Player Data'!A1:E673,5,FALSE),84)</f>
        <v>83</v>
      </c>
      <c r="R350" s="55" cm="1">
        <f t="array" ref="R350">VLOOKUP(B350,'Player Data'!$A1:$AE673,6,FALSE)</f>
        <v>16.899999999999999</v>
      </c>
      <c r="S350" s="57" cm="1">
        <f t="array" ref="S350">VLOOKUP(B350,'Player Data'!$A1:$AE673,7,FALSE)*$Q350*IFERROR((VLOOKUP(P350,Settings!$E$28:$F$33,2,FALSE)+1),1)</f>
        <v>24.069999999999997</v>
      </c>
      <c r="T350" s="57" cm="1">
        <f t="array" ref="T350">VLOOKUP(B350,'Player Data'!$A1:$AE673,8,FALSE)*$Q350*IFERROR((VLOOKUP(P350,Settings!$E$28:$F$33,2,FALSE)+1),1)</f>
        <v>34.86</v>
      </c>
      <c r="U350" s="57" cm="1">
        <f t="array" ref="U350">SUM(S350:T350)</f>
        <v>58.929999999999993</v>
      </c>
      <c r="V350" s="57" cm="1">
        <f t="array" ref="V350">VLOOKUP(B350,'Player Data'!$A1:$AE673,10,FALSE)*$Q350*IFERROR(((VLOOKUP(P350,Settings!$E$28:$F$33,2,FALSE)/2)+1),1)</f>
        <v>141.1</v>
      </c>
      <c r="W350" s="58" cm="1">
        <f t="array" ref="W350">VLOOKUP(B350,'Player Data'!$A1:$AE673,11,FALSE)*$Q350*IFERROR((VLOOKUP(P350,Settings!$E$28:$F$33,2,FALSE)+1),1)</f>
        <v>7.47</v>
      </c>
      <c r="X350" s="57" cm="1">
        <f t="array" ref="X350">VLOOKUP(B350,'Player Data'!$A1:$AE673,12,FALSE)*$Q350*IFERROR((VLOOKUP(P350,Settings!$E$28:$F$33,2,FALSE)+1),1)</f>
        <v>18.260000000000002</v>
      </c>
      <c r="Y350" s="57" cm="1">
        <f t="array" ref="Y350">VLOOKUP(B350,'Player Data'!$A1:$AE673,13,FALSE)*$Q350</f>
        <v>0</v>
      </c>
      <c r="Z350" s="57" cm="1">
        <f t="array" ref="Z350">VLOOKUP(B350,'Player Data'!$A1:$AE673,14,FALSE)*$Q350</f>
        <v>0.83000000000000007</v>
      </c>
      <c r="AA350" s="57" cm="1">
        <f t="array" ref="AA350">VLOOKUP(B350,'Player Data'!$A1:$AE673,15,FALSE)*$Q350</f>
        <v>27.39</v>
      </c>
      <c r="AB350" s="57" cm="1">
        <f t="array" ref="AB350">VLOOKUP(B350,'Player Data'!$A1:$AE673,16,FALSE)*$Q350</f>
        <v>68.89</v>
      </c>
      <c r="AC350" s="57" cm="1">
        <f t="array" ref="AC350">VLOOKUP(B350,'Player Data'!$A1:$AE673,17,FALSE)*$Q350*IFERROR((VLOOKUP(P350,Settings!$E$28:$F$33,2,FALSE)+1),1)</f>
        <v>-0.83000000000000007</v>
      </c>
      <c r="AD350" s="57" cm="1">
        <f t="array" ref="AD350">VLOOKUP(B350,'Player Data'!$A1:$AE673,18,FALSE)*$Q350</f>
        <v>24.9</v>
      </c>
      <c r="AE350" s="57" cm="1">
        <f t="array" ref="AE350">VLOOKUP(B350,'Player Data'!$A1:$AE673,19,FALSE)*$Q350*IFERROR((VLOOKUP(P350,Settings!$E$28:$F$33,2,FALSE)+1),1)</f>
        <v>3.3200000000000003</v>
      </c>
      <c r="AF350" s="57" cm="1">
        <f t="array" ref="AF350">VLOOKUP(B350,'Player Data'!$A1:$AE673,20,FALSE)*$Q350</f>
        <v>528.71</v>
      </c>
      <c r="AG350" s="57" cm="1">
        <f t="array" ref="AG350">VLOOKUP(B350,'Player Data'!$A1:$AE673,21,FALSE)*$Q350</f>
        <v>456.5</v>
      </c>
      <c r="AH350" s="59" cm="1">
        <f t="array" ref="AH350">VLOOKUP(B350,'Player Data'!$A1:$AE673,22,FALSE)</f>
        <v>0.54</v>
      </c>
      <c r="AI350" s="55"/>
      <c r="AJ350" s="57"/>
      <c r="AK350" s="57"/>
      <c r="AL350" s="57"/>
      <c r="AM350" s="57"/>
      <c r="AN350" s="57"/>
      <c r="AO350" s="57"/>
      <c r="AP350" s="57"/>
      <c r="AQ350" s="60"/>
      <c r="AR350" s="61"/>
      <c r="AS350" s="55"/>
    </row>
    <row r="351" spans="1:45" ht="21.25" customHeight="1" x14ac:dyDescent="0.15">
      <c r="A351" s="62">
        <f>RANK(K351,K$2:K$671)</f>
        <v>322</v>
      </c>
      <c r="B351" s="10" t="s">
        <v>325</v>
      </c>
      <c r="C351" s="47" t="s">
        <v>145</v>
      </c>
      <c r="D351" s="48" t="str" cm="1">
        <f t="array" ref="D351">VLOOKUP(B351,'Player Data'!A1:D673,4,FALSE)</f>
        <v>LW,RW</v>
      </c>
      <c r="E351" s="74" cm="1">
        <f t="array" ref="E351">VLOOKUP(B351,RW!A1:F210,3,FALSE)</f>
        <v>72</v>
      </c>
      <c r="F351" s="65" t="str" cm="1">
        <f t="array" ref="F351">VLOOKUP(B351,'Player Data'!A1:B673,2,FALSE)</f>
        <v>NSH</v>
      </c>
      <c r="G351" s="71" cm="1">
        <f t="array" ref="G351">VLOOKUP(B351,'Player Data'!A1:D673,3,FALSE)</f>
        <v>24</v>
      </c>
      <c r="H351" s="67" cm="1">
        <f t="array" ref="H351">IFERROR(VLOOKUP(B351,ADP!A1:F671,6,FALSE)/1000000,VLOOKUP(B351,ADP!A1:F671,6,FALSE))</f>
        <v>3</v>
      </c>
      <c r="I351" s="52">
        <f>IF(Settings!$E$15="POINTS",((R351*Q351)*Settings!$B$12)+(S351*Settings!$B$2)+(T351*Settings!$B$3)+(U351*Settings!$B$4)+(V351*Settings!$B$5)+(X351*Settings!$B$9)+(AA351*Settings!$B$6)+(W351*Settings!$B$8)+(AB351*Settings!$B$7)+(AC351*Settings!$B$14)+(AD351*Settings!$B$15)+(AE351*Settings!$B$16)+(AF351*Settings!$B$17)+(AG351*Settings!$B$18)+(Y351*Settings!$B$10)+(Z351*Settings!$B$11),VLOOKUP(B351,'Standard Deviations'!A$1:C$672,3,FALSE))</f>
        <v>2.4675081876005462</v>
      </c>
      <c r="J351" s="53" cm="1">
        <f t="array" ref="J351">IF(D351="G",I351/AJ351,I351/Q351)</f>
        <v>3.0091563263421297E-2</v>
      </c>
      <c r="K351" s="52" cm="1">
        <f t="array" ref="K351">IF(Settings!$E$18="C/LW/RW",VLOOKUP(B351,RW!A1:F210,6,FALSE),VLOOKUP(B351,F!A1:F407,6,FALSE))</f>
        <v>-4.4197264142085313</v>
      </c>
      <c r="L351" s="54" cm="1">
        <f t="array" ref="L351">IFERROR(K351/H351,"N/A")</f>
        <v>-1.4732421380695104</v>
      </c>
      <c r="M351" s="84" t="s">
        <v>828</v>
      </c>
      <c r="N351" s="84" t="str" cm="1">
        <f t="array" ref="N351">IFERROR(M351-A351,"N/A")</f>
        <v>N/A</v>
      </c>
      <c r="O351" s="55"/>
      <c r="P351" s="56" cm="1">
        <f t="array" ref="P351">_xlfn.XLOOKUP($B351,ADP!A2:A671,ADP!G2:G671)</f>
        <v>0</v>
      </c>
      <c r="Q351" s="57" cm="1">
        <f t="array" ref="Q351">IF(Settings!$E$12="YES",VLOOKUP(B351,'Player Data'!A1:E673,5,FALSE),84)</f>
        <v>82</v>
      </c>
      <c r="R351" s="55" cm="1">
        <f t="array" ref="R351">VLOOKUP(B351,'Player Data'!$A1:$AE673,6,FALSE)</f>
        <v>17.399999999999999</v>
      </c>
      <c r="S351" s="57" cm="1">
        <f t="array" ref="S351">VLOOKUP(B351,'Player Data'!$A1:$AE673,7,FALSE)*$Q351*IFERROR((VLOOKUP(P351,Settings!$E$28:$F$33,2,FALSE)+1),1)</f>
        <v>16.400000000000002</v>
      </c>
      <c r="T351" s="57" cm="1">
        <f t="array" ref="T351">VLOOKUP(B351,'Player Data'!$A1:$AE673,8,FALSE)*$Q351*IFERROR((VLOOKUP(P351,Settings!$E$28:$F$33,2,FALSE)+1),1)</f>
        <v>41.82</v>
      </c>
      <c r="U351" s="57" cm="1">
        <f t="array" ref="U351">SUM(S351:T351)</f>
        <v>58.22</v>
      </c>
      <c r="V351" s="57" cm="1">
        <f t="array" ref="V351">VLOOKUP(B351,'Player Data'!$A1:$AE673,10,FALSE)*$Q351*IFERROR(((VLOOKUP(P351,Settings!$E$28:$F$33,2,FALSE)/2)+1),1)</f>
        <v>191.06</v>
      </c>
      <c r="W351" s="57" cm="1">
        <f t="array" ref="W351">VLOOKUP(B351,'Player Data'!$A1:$AE673,11,FALSE)*$Q351*IFERROR((VLOOKUP(P351,Settings!$E$28:$F$33,2,FALSE)+1),1)</f>
        <v>3.2800000000000002</v>
      </c>
      <c r="X351" s="78" cm="1">
        <f t="array" ref="X351">VLOOKUP(B351,'Player Data'!$A1:$AE673,12,FALSE)*$Q351*IFERROR((VLOOKUP(P351,Settings!$E$28:$F$33,2,FALSE)+1),1)</f>
        <v>18.04</v>
      </c>
      <c r="Y351" s="57" cm="1">
        <f t="array" ref="Y351">VLOOKUP(B351,'Player Data'!$A1:$AE673,13,FALSE)*$Q351</f>
        <v>0</v>
      </c>
      <c r="Z351" s="57" cm="1">
        <f t="array" ref="Z351">VLOOKUP(B351,'Player Data'!$A1:$AE673,14,FALSE)*$Q351</f>
        <v>0</v>
      </c>
      <c r="AA351" s="57" cm="1">
        <f t="array" ref="AA351">VLOOKUP(B351,'Player Data'!$A1:$AE673,15,FALSE)*$Q351</f>
        <v>23.779999999999998</v>
      </c>
      <c r="AB351" s="57" cm="1">
        <f t="array" ref="AB351">VLOOKUP(B351,'Player Data'!$A1:$AE673,16,FALSE)*$Q351</f>
        <v>32.800000000000004</v>
      </c>
      <c r="AC351" s="57" cm="1">
        <f t="array" ref="AC351">VLOOKUP(B351,'Player Data'!$A1:$AE673,17,FALSE)*$Q351*IFERROR((VLOOKUP(P351,Settings!$E$28:$F$33,2,FALSE)+1),1)</f>
        <v>0</v>
      </c>
      <c r="AD351" s="57" cm="1">
        <f t="array" ref="AD351">VLOOKUP(B351,'Player Data'!$A1:$AE673,18,FALSE)*$Q351</f>
        <v>26.240000000000002</v>
      </c>
      <c r="AE351" s="57" cm="1">
        <f t="array" ref="AE351">VLOOKUP(B351,'Player Data'!$A1:$AE673,19,FALSE)*$Q351*IFERROR((VLOOKUP(P351,Settings!$E$28:$F$33,2,FALSE)+1),1)</f>
        <v>2.46</v>
      </c>
      <c r="AF351" s="57" cm="1">
        <f t="array" ref="AF351">VLOOKUP(B351,'Player Data'!$A1:$AE673,20,FALSE)*$Q351</f>
        <v>0</v>
      </c>
      <c r="AG351" s="57" cm="1">
        <f t="array" ref="AG351">VLOOKUP(B351,'Player Data'!$A1:$AE673,21,FALSE)*$Q351</f>
        <v>1.6400000000000001</v>
      </c>
      <c r="AH351" s="59" cm="1">
        <f t="array" ref="AH351">VLOOKUP(B351,'Player Data'!$A1:$AE673,22,FALSE)</f>
        <v>0.06</v>
      </c>
      <c r="AI351" s="55"/>
      <c r="AJ351" s="57"/>
      <c r="AK351" s="57"/>
      <c r="AL351" s="57"/>
      <c r="AM351" s="57"/>
      <c r="AN351" s="57"/>
      <c r="AO351" s="57"/>
      <c r="AP351" s="57"/>
      <c r="AQ351" s="60"/>
      <c r="AR351" s="61"/>
      <c r="AS351" s="55"/>
    </row>
    <row r="352" spans="1:45" ht="21.25" customHeight="1" x14ac:dyDescent="0.15">
      <c r="A352" s="62">
        <f>RANK(K352,K$2:K$671)</f>
        <v>376</v>
      </c>
      <c r="B352" s="10" t="s">
        <v>433</v>
      </c>
      <c r="C352" s="47" t="s">
        <v>145</v>
      </c>
      <c r="D352" s="48" t="str" cm="1">
        <f t="array" ref="D352">VLOOKUP(B352,'Player Data'!A1:D673,4,FALSE)</f>
        <v>D</v>
      </c>
      <c r="E352" s="68" cm="1">
        <f t="array" ref="E352">VLOOKUP(B352,D!A1:C204,3,FALSE)</f>
        <v>177</v>
      </c>
      <c r="F352" s="65" t="str" cm="1">
        <f t="array" ref="F352">VLOOKUP(B352,'Player Data'!A1:B673,2,FALSE)</f>
        <v>NSH</v>
      </c>
      <c r="G352" s="11" cm="1">
        <f t="array" ref="G352">VLOOKUP(B352,'Player Data'!A1:D673,3,FALSE)</f>
        <v>28</v>
      </c>
      <c r="H352" s="67" cm="1">
        <f t="array" ref="H352">IFERROR(VLOOKUP(B352,ADP!A1:F671,6,FALSE)/1000000,VLOOKUP(B352,ADP!A1:F671,6,FALSE))</f>
        <v>2.75</v>
      </c>
      <c r="I352" s="52">
        <f>IF(Settings!$E$15="POINTS",((R352*Q352)*Settings!$B$12)+(S352*Settings!$B$2)+(T352*Settings!$B$3)+(U352*Settings!$B$4)+(V352*Settings!$B$5)+(X352*Settings!$B$9)+(AA352*Settings!$B$6)+(W352*Settings!$B$8)+(AB352*Settings!$B$7)+(AC352*Settings!$B$14)+(AD352*Settings!$B$15)+(AE352*Settings!$B$16)+(AF352*Settings!$B$17)+(AG352*Settings!$B$18)+(U352*Settings!$B$13)+(Y352*Settings!$B$10)+(Z352*Settings!$B$11),VLOOKUP(B352,'Standard Deviations'!A$1:C$672,3,FALSE))</f>
        <v>-4.8043753812017904</v>
      </c>
      <c r="J352" s="53" cm="1">
        <f t="array" ref="J352">IF(D352="G",I352/AJ352,I352/Q352)</f>
        <v>-5.8589943673192563E-2</v>
      </c>
      <c r="K352" s="52" cm="1">
        <f t="array" ref="K352">VLOOKUP(B352,D!A1:F204,6,FALSE)</f>
        <v>-5.3712262957193451</v>
      </c>
      <c r="L352" s="54" cm="1">
        <f t="array" ref="L352">IFERROR(K352/H352,"N/A")</f>
        <v>-1.9531731984433982</v>
      </c>
      <c r="M352" s="84" t="s">
        <v>828</v>
      </c>
      <c r="N352" s="84" t="str" cm="1">
        <f t="array" ref="N352">IFERROR(M352-A352,"N/A")</f>
        <v>N/A</v>
      </c>
      <c r="O352" s="55"/>
      <c r="P352" s="56" cm="1">
        <f t="array" ref="P352">_xlfn.XLOOKUP($B352,ADP!A2:A671,ADP!G2:G671)</f>
        <v>0</v>
      </c>
      <c r="Q352" s="57" cm="1">
        <f t="array" ref="Q352">IF(Settings!$E$12="YES",VLOOKUP(B352,'Player Data'!A1:E673,5,FALSE),84)</f>
        <v>82</v>
      </c>
      <c r="R352" s="55" cm="1">
        <f t="array" ref="R352">VLOOKUP(B352,'Player Data'!$A1:$AE673,6,FALSE)</f>
        <v>19.2</v>
      </c>
      <c r="S352" s="57" cm="1">
        <f t="array" ref="S352">VLOOKUP(B352,'Player Data'!$A1:$AE673,7,FALSE)*$Q352*IFERROR((VLOOKUP(P352,Settings!$E$28:$F$33,2,FALSE)+1),1)</f>
        <v>4.1000000000000005</v>
      </c>
      <c r="T352" s="57" cm="1">
        <f t="array" ref="T352">VLOOKUP(B352,'Player Data'!$A1:$AE673,8,FALSE)*$Q352*IFERROR((VLOOKUP(P352,Settings!$E$28:$F$33,2,FALSE)+1),1)</f>
        <v>16.400000000000002</v>
      </c>
      <c r="U352" s="57" cm="1">
        <f t="array" ref="U352">SUM(S352:T352)</f>
        <v>20.500000000000004</v>
      </c>
      <c r="V352" s="57" cm="1">
        <f t="array" ref="V352">VLOOKUP(B352,'Player Data'!$A1:$AE673,10,FALSE)*$Q352*IFERROR(((VLOOKUP(P352,Settings!$E$28:$F$33,2,FALSE)/2)+1),1)</f>
        <v>81.179999999999993</v>
      </c>
      <c r="W352" s="57" cm="1">
        <f t="array" ref="W352">VLOOKUP(B352,'Player Data'!$A1:$AE673,11,FALSE)*$Q352*IFERROR((VLOOKUP(P352,Settings!$E$28:$F$33,2,FALSE)+1),1)</f>
        <v>0</v>
      </c>
      <c r="X352" s="57" cm="1">
        <f t="array" ref="X352">VLOOKUP(B352,'Player Data'!$A1:$AE673,12,FALSE)*$Q352*IFERROR((VLOOKUP(P352,Settings!$E$28:$F$33,2,FALSE)+1),1)</f>
        <v>0</v>
      </c>
      <c r="Y352" s="57" cm="1">
        <f t="array" ref="Y352">VLOOKUP(B352,'Player Data'!$A1:$AE673,13,FALSE)*$Q352</f>
        <v>0</v>
      </c>
      <c r="Z352" s="57" cm="1">
        <f t="array" ref="Z352">VLOOKUP(B352,'Player Data'!$A1:$AE673,14,FALSE)*$Q352</f>
        <v>1.6400000000000001</v>
      </c>
      <c r="AA352" s="57" cm="1">
        <f t="array" ref="AA352">VLOOKUP(B352,'Player Data'!$A1:$AE673,15,FALSE)*$Q352</f>
        <v>107.42</v>
      </c>
      <c r="AB352" s="57" cm="1">
        <f t="array" ref="AB352">VLOOKUP(B352,'Player Data'!$A1:$AE673,16,FALSE)*$Q352</f>
        <v>58.22</v>
      </c>
      <c r="AC352" s="57" cm="1">
        <f t="array" ref="AC352">VLOOKUP(B352,'Player Data'!$A1:$AE673,17,FALSE)*$Q352*IFERROR((VLOOKUP(P352,Settings!$E$28:$F$33,2,FALSE)+1),1)</f>
        <v>-4.92</v>
      </c>
      <c r="AD352" s="57" cm="1">
        <f t="array" ref="AD352">VLOOKUP(B352,'Player Data'!$A1:$AE673,18,FALSE)*$Q352</f>
        <v>23.779999999999998</v>
      </c>
      <c r="AE352" s="57" cm="1">
        <f t="array" ref="AE352">VLOOKUP(B352,'Player Data'!$A1:$AE673,19,FALSE)*$Q352*IFERROR((VLOOKUP(P352,Settings!$E$28:$F$33,2,FALSE)+1),1)</f>
        <v>0.82000000000000006</v>
      </c>
      <c r="AF352" s="57" cm="1">
        <f t="array" ref="AF352">VLOOKUP(B352,'Player Data'!$A1:$AE673,20,FALSE)*$Q352</f>
        <v>0</v>
      </c>
      <c r="AG352" s="57" cm="1">
        <f t="array" ref="AG352">VLOOKUP(B352,'Player Data'!$A1:$AE673,21,FALSE)*$Q352</f>
        <v>0</v>
      </c>
      <c r="AH352" s="59" cm="1">
        <f t="array" ref="AH352">VLOOKUP(B352,'Player Data'!$A1:$AE673,22,FALSE)</f>
        <v>0</v>
      </c>
      <c r="AI352" s="55"/>
      <c r="AJ352" s="57"/>
      <c r="AK352" s="57"/>
      <c r="AL352" s="57"/>
      <c r="AM352" s="57"/>
      <c r="AN352" s="57"/>
      <c r="AO352" s="57"/>
      <c r="AP352" s="57"/>
      <c r="AQ352" s="60"/>
      <c r="AR352" s="61"/>
      <c r="AS352" s="55"/>
    </row>
    <row r="353" spans="1:45" ht="21.25" customHeight="1" x14ac:dyDescent="0.15">
      <c r="A353" s="62">
        <f>RANK(K353,K$2:K$671)</f>
        <v>379</v>
      </c>
      <c r="B353" s="10" t="s">
        <v>572</v>
      </c>
      <c r="C353" s="47" t="s">
        <v>145</v>
      </c>
      <c r="D353" s="48" t="str" cm="1">
        <f t="array" ref="D353">VLOOKUP(B353,'Player Data'!A1:D673,4,FALSE)</f>
        <v>D</v>
      </c>
      <c r="E353" s="68" cm="1">
        <f t="array" ref="E353">VLOOKUP(B353,D!A1:C204,3,FALSE)</f>
        <v>178</v>
      </c>
      <c r="F353" s="72" t="str" cm="1">
        <f t="array" ref="F353">VLOOKUP(B353,'Player Data'!A1:B673,2,FALSE)</f>
        <v>DET</v>
      </c>
      <c r="G353" s="11" cm="1">
        <f t="array" ref="G353">VLOOKUP(B353,'Player Data'!A1:D673,3,FALSE)</f>
        <v>26</v>
      </c>
      <c r="H353" s="51" cm="1">
        <f t="array" ref="H353">IFERROR(VLOOKUP(B353,ADP!A1:F671,6,FALSE)/1000000,VLOOKUP(B353,ADP!A1:F671,6,FALSE))</f>
        <v>1.6</v>
      </c>
      <c r="I353" s="52">
        <f>IF(Settings!$E$15="POINTS",((R353*Q353)*Settings!$B$12)+(S353*Settings!$B$2)+(T353*Settings!$B$3)+(U353*Settings!$B$4)+(V353*Settings!$B$5)+(X353*Settings!$B$9)+(AA353*Settings!$B$6)+(W353*Settings!$B$8)+(AB353*Settings!$B$7)+(AC353*Settings!$B$14)+(AD353*Settings!$B$15)+(AE353*Settings!$B$16)+(AF353*Settings!$B$17)+(AG353*Settings!$B$18)+(U353*Settings!$B$13)+(Y353*Settings!$B$10)+(Z353*Settings!$B$11),VLOOKUP(B353,'Standard Deviations'!A$1:C$672,3,FALSE))</f>
        <v>-4.8234548646260782</v>
      </c>
      <c r="J353" s="53" cm="1">
        <f t="array" ref="J353">IF(D353="G",I353/AJ353,I353/Q353)</f>
        <v>-6.5181822494947E-2</v>
      </c>
      <c r="K353" s="52" cm="1">
        <f t="array" ref="K353">VLOOKUP(B353,D!A1:F204,6,FALSE)</f>
        <v>-5.3903057791436328</v>
      </c>
      <c r="L353" s="54" cm="1">
        <f t="array" ref="L353">IFERROR(K353/H353,"N/A")</f>
        <v>-3.3689411119647703</v>
      </c>
      <c r="M353" s="84" t="s">
        <v>828</v>
      </c>
      <c r="N353" s="84" t="str" cm="1">
        <f t="array" ref="N353">IFERROR(M353-A353,"N/A")</f>
        <v>N/A</v>
      </c>
      <c r="O353" s="55"/>
      <c r="P353" s="56" cm="1">
        <f t="array" ref="P353">_xlfn.XLOOKUP($B353,ADP!A2:A671,ADP!G2:G671)</f>
        <v>0</v>
      </c>
      <c r="Q353" s="57" cm="1">
        <f t="array" ref="Q353">IF(Settings!$E$12="YES",VLOOKUP(B353,'Player Data'!A1:E673,5,FALSE),84)</f>
        <v>74</v>
      </c>
      <c r="R353" s="55" cm="1">
        <f t="array" ref="R353">VLOOKUP(B353,'Player Data'!$A1:$AE673,6,FALSE)</f>
        <v>14.3</v>
      </c>
      <c r="S353" s="57" cm="1">
        <f t="array" ref="S353">VLOOKUP(B353,'Player Data'!$A1:$AE673,7,FALSE)*$Q353*IFERROR((VLOOKUP(P353,Settings!$E$28:$F$33,2,FALSE)+1),1)</f>
        <v>2.96</v>
      </c>
      <c r="T353" s="57" cm="1">
        <f t="array" ref="T353">VLOOKUP(B353,'Player Data'!$A1:$AE673,8,FALSE)*$Q353*IFERROR((VLOOKUP(P353,Settings!$E$28:$F$33,2,FALSE)+1),1)</f>
        <v>8.879999999999999</v>
      </c>
      <c r="U353" s="57" cm="1">
        <f t="array" ref="U353">SUM(S353:T353)</f>
        <v>11.84</v>
      </c>
      <c r="V353" s="57" cm="1">
        <f t="array" ref="V353">VLOOKUP(B353,'Player Data'!$A1:$AE673,10,FALSE)*$Q353*IFERROR(((VLOOKUP(P353,Settings!$E$28:$F$33,2,FALSE)/2)+1),1)</f>
        <v>51.8</v>
      </c>
      <c r="W353" s="57" cm="1">
        <f t="array" ref="W353">VLOOKUP(B353,'Player Data'!$A1:$AE673,11,FALSE)*$Q353*IFERROR((VLOOKUP(P353,Settings!$E$28:$F$33,2,FALSE)+1),1)</f>
        <v>0</v>
      </c>
      <c r="X353" s="57" cm="1">
        <f t="array" ref="X353">VLOOKUP(B353,'Player Data'!$A1:$AE673,12,FALSE)*$Q353*IFERROR((VLOOKUP(P353,Settings!$E$28:$F$33,2,FALSE)+1),1)</f>
        <v>0</v>
      </c>
      <c r="Y353" s="57" cm="1">
        <f t="array" ref="Y353">VLOOKUP(B353,'Player Data'!$A1:$AE673,13,FALSE)*$Q353</f>
        <v>0</v>
      </c>
      <c r="Z353" s="57" cm="1">
        <f t="array" ref="Z353">VLOOKUP(B353,'Player Data'!$A1:$AE673,14,FALSE)*$Q353</f>
        <v>0</v>
      </c>
      <c r="AA353" s="57" cm="1">
        <f t="array" ref="AA353">VLOOKUP(B353,'Player Data'!$A1:$AE673,15,FALSE)*$Q353</f>
        <v>92.5</v>
      </c>
      <c r="AB353" s="57" cm="1">
        <f t="array" ref="AB353">VLOOKUP(B353,'Player Data'!$A1:$AE673,16,FALSE)*$Q353</f>
        <v>76.960000000000008</v>
      </c>
      <c r="AC353" s="57" cm="1">
        <f t="array" ref="AC353">VLOOKUP(B353,'Player Data'!$A1:$AE673,17,FALSE)*$Q353*IFERROR((VLOOKUP(P353,Settings!$E$28:$F$33,2,FALSE)+1),1)</f>
        <v>-1.48</v>
      </c>
      <c r="AD353" s="57" cm="1">
        <f t="array" ref="AD353">VLOOKUP(B353,'Player Data'!$A1:$AE673,18,FALSE)*$Q353</f>
        <v>27.38</v>
      </c>
      <c r="AE353" s="57" cm="1">
        <f t="array" ref="AE353">VLOOKUP(B353,'Player Data'!$A1:$AE673,19,FALSE)*$Q353*IFERROR((VLOOKUP(P353,Settings!$E$28:$F$33,2,FALSE)+1),1)</f>
        <v>0.74</v>
      </c>
      <c r="AF353" s="57" cm="1">
        <f t="array" ref="AF353">VLOOKUP(B353,'Player Data'!$A1:$AE673,20,FALSE)*$Q353</f>
        <v>0</v>
      </c>
      <c r="AG353" s="57" cm="1">
        <f t="array" ref="AG353">VLOOKUP(B353,'Player Data'!$A1:$AE673,21,FALSE)*$Q353</f>
        <v>0</v>
      </c>
      <c r="AH353" s="59" cm="1">
        <f t="array" ref="AH353">VLOOKUP(B353,'Player Data'!$A1:$AE673,22,FALSE)</f>
        <v>0</v>
      </c>
      <c r="AI353" s="55"/>
      <c r="AJ353" s="57"/>
      <c r="AK353" s="57"/>
      <c r="AL353" s="57"/>
      <c r="AM353" s="57"/>
      <c r="AN353" s="57"/>
      <c r="AO353" s="57"/>
      <c r="AP353" s="57"/>
      <c r="AQ353" s="60"/>
      <c r="AR353" s="61"/>
      <c r="AS353" s="55"/>
    </row>
    <row r="354" spans="1:45" ht="21.25" customHeight="1" x14ac:dyDescent="0.15">
      <c r="A354" s="62">
        <f>RANK(K354,K$2:K$671)</f>
        <v>366</v>
      </c>
      <c r="B354" s="10" t="s">
        <v>535</v>
      </c>
      <c r="C354" s="47" t="s">
        <v>145</v>
      </c>
      <c r="D354" s="48" t="str" cm="1">
        <f t="array" ref="D354">VLOOKUP(B354,'Player Data'!A1:D673,4,FALSE)</f>
        <v>G</v>
      </c>
      <c r="E354" s="76" cm="1">
        <f t="array" ref="E354">VLOOKUP(B354,G!A1:D66,3,FALSE)</f>
        <v>50</v>
      </c>
      <c r="F354" s="70" t="str" cm="1">
        <f t="array" ref="F354">VLOOKUP(B354,'Player Data'!A1:B673,2,FALSE)</f>
        <v>STL</v>
      </c>
      <c r="G354" s="66" cm="1">
        <f t="array" ref="G354">VLOOKUP(B354,'Player Data'!A1:D673,3,FALSE)</f>
        <v>33</v>
      </c>
      <c r="H354" s="67" cm="1">
        <f t="array" ref="H354">IFERROR(VLOOKUP(B354,ADP!A1:F671,6,FALSE)/1000000,VLOOKUP(B354,ADP!A1:F671,6,FALSE))</f>
        <v>6</v>
      </c>
      <c r="I354" s="52">
        <f>IF(Settings!$E$15="POINTS",(AJ354*Settings!$B$29)+(AK354*Settings!$B$21)+(AL354*Settings!$B$22)+(AN354*Settings!$B$24)+(AO354*Settings!$B$25)+(AP354*Settings!$B$27)+(AM354*Settings!$B$23),VLOOKUP(B354,'Standard Deviations'!A$1:C$672,3,FALSE))</f>
        <v>-3.1744020572562119</v>
      </c>
      <c r="J354" s="53" cm="1">
        <f t="array" ref="J354">IF(D354="G",I354/AJ354,I354/Q354)</f>
        <v>-9.0697201635891775E-2</v>
      </c>
      <c r="K354" s="52" cm="1">
        <f t="array" ref="K354">VLOOKUP(B354,G!A1:F66,6,FALSE)</f>
        <v>-5.2125873163798868</v>
      </c>
      <c r="L354" s="54" cm="1">
        <f t="array" ref="L354">IFERROR(K354/H354,"N/A")</f>
        <v>-0.8687645527299811</v>
      </c>
      <c r="M354" s="55">
        <v>134.30000000000001</v>
      </c>
      <c r="N354" s="55" cm="1">
        <f t="array" ref="N354">IFERROR(M354-A354,"N/A")</f>
        <v>-231.7</v>
      </c>
      <c r="O354" s="55"/>
      <c r="P354" s="56" cm="1">
        <f t="array" ref="P354">_xlfn.XLOOKUP($B354,ADP!A2:A671,ADP!G2:G671)</f>
        <v>0</v>
      </c>
      <c r="Q354" s="57"/>
      <c r="R354" s="55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9"/>
      <c r="AI354" s="55"/>
      <c r="AJ354" s="77" cm="1">
        <f t="array" ref="AJ354">VLOOKUP(B354,'Player Data'!$A1:$AE673,24,FALSE)</f>
        <v>35</v>
      </c>
      <c r="AK354" s="57" cm="1">
        <f t="array" ref="AK354">VLOOKUP(B354,'Player Data'!$A1:$AE673,25,FALSE)*$AJ354*IFERROR((VLOOKUP(P354,Settings!$E$28:$F$33,2,FALSE)+1),1)</f>
        <v>16.100000000000001</v>
      </c>
      <c r="AL354" s="57" cm="1">
        <f t="array" ref="AL354">AJ354-AK354-AM354</f>
        <v>14.349999999999998</v>
      </c>
      <c r="AM354" s="57" cm="1">
        <f t="array" ref="AM354">VLOOKUP(B354,'Player Data'!$A1:$AE673,27,FALSE)*$AJ354</f>
        <v>4.55</v>
      </c>
      <c r="AN354" s="57" cm="1">
        <f t="array" ref="AN354">VLOOKUP(B354,'Player Data'!$A1:$AE673,28,FALSE)*AJ354</f>
        <v>1.4000000000000001</v>
      </c>
      <c r="AO354" s="57" cm="1">
        <f t="array" ref="AO354">VLOOKUP(B354,'Player Data'!$A1:$AE673,29,FALSE)*$AJ354*IFERROR((VLOOKUP(P354,Settings!$E$28:$F$33,2,FALSE)/4)+1,1)</f>
        <v>875</v>
      </c>
      <c r="AP354" s="57" cm="1">
        <f t="array" ref="AP354">VLOOKUP(B354,'Player Data'!$A1:$AE673,31,FALSE)*$AJ354*(IFERROR(1-(VLOOKUP(P354,Settings!$E$28:$F$33,2,FALSE)/4),1))</f>
        <v>104.65</v>
      </c>
      <c r="AQ354" s="60" cm="1">
        <f t="array" ref="AQ354">1-(AP354/(AO354+AP354))</f>
        <v>0.89317613433369059</v>
      </c>
      <c r="AR354" s="61" cm="1">
        <f t="array" ref="AR354">AP354/AJ354</f>
        <v>2.99</v>
      </c>
      <c r="AS354" s="55"/>
    </row>
    <row r="355" spans="1:45" ht="21.25" customHeight="1" x14ac:dyDescent="0.15">
      <c r="A355" s="62">
        <f>RANK(K355,K$2:K$671)</f>
        <v>326</v>
      </c>
      <c r="B355" s="10" t="s">
        <v>285</v>
      </c>
      <c r="C355" s="47" t="s">
        <v>145</v>
      </c>
      <c r="D355" s="48" t="str" cm="1">
        <f t="array" ref="D355">VLOOKUP(B355,'Player Data'!A1:D673,4,FALSE)</f>
        <v>C</v>
      </c>
      <c r="E355" s="49" cm="1">
        <f t="array" ref="E355">VLOOKUP(B355,'C'!A1:C210,3,FALSE)</f>
        <v>67</v>
      </c>
      <c r="F355" s="56" t="str" cm="1">
        <f t="array" ref="F355">VLOOKUP(B355,'Player Data'!A1:B673,2,FALSE)</f>
        <v>S.J</v>
      </c>
      <c r="G355" s="71" cm="1">
        <f t="array" ref="G355">VLOOKUP(B355,'Player Data'!A1:D673,3,FALSE)</f>
        <v>19</v>
      </c>
      <c r="H355" s="51" cm="1">
        <f t="array" ref="H355">IFERROR(VLOOKUP(B355,ADP!A1:F671,6,FALSE)/1000000,VLOOKUP(B355,ADP!A1:F671,6,FALSE))</f>
        <v>0.97499999999999998</v>
      </c>
      <c r="I355" s="52">
        <f>IF(Settings!$E$15="POINTS",((R355*Q355)*Settings!$B$12)+(S355*Settings!$B$2)+(T355*Settings!$B$3)+(U355*Settings!$B$4)+(V355*Settings!$B$5)+(X355*Settings!$B$9)+(AA355*Settings!$B$6)+(W355*Settings!$B$8)+(AB355*Settings!$B$7)+(AC355*Settings!$B$14)+(AD355*Settings!$B$15)+(AE355*Settings!$B$16)+(AF355*Settings!$B$17)+(AG355*Settings!$B$18)+(Y355*Settings!$B$10)+(Z355*Settings!$B$11),VLOOKUP(B355,'Standard Deviations'!A$1:C$672,3,FALSE))</f>
        <v>1.8667163114523855</v>
      </c>
      <c r="J355" s="53" cm="1">
        <f t="array" ref="J355">IF(D355="G",I355/AJ355,I355/Q355)</f>
        <v>2.4243068979901111E-2</v>
      </c>
      <c r="K355" s="52" cm="1">
        <f t="array" ref="K355">IF(Settings!$E$18="C/LW/RW",VLOOKUP(B355,'C'!A1:F210,6,FALSE),VLOOKUP(B355,F!A1:F407,6,FALSE))</f>
        <v>-4.4932932461626791</v>
      </c>
      <c r="L355" s="54" cm="1">
        <f t="array" ref="L355">IFERROR(K355/H355,"N/A")</f>
        <v>-4.6085058935001841</v>
      </c>
      <c r="M355" s="55">
        <v>138.69999999999999</v>
      </c>
      <c r="N355" s="55" cm="1">
        <f t="array" ref="N355">IFERROR(M355-A355,"N/A")</f>
        <v>-187.3</v>
      </c>
      <c r="O355" s="55"/>
      <c r="P355" s="56" t="str" cm="1">
        <f t="array" ref="P355">_xlfn.XLOOKUP($B355,ADP!A2:A671,ADP!G2:G671)</f>
        <v>+ +</v>
      </c>
      <c r="Q355" s="57" cm="1">
        <f t="array" ref="Q355">IF(Settings!$E$12="YES",VLOOKUP(B355,'Player Data'!A1:E673,5,FALSE),84)</f>
        <v>77</v>
      </c>
      <c r="R355" s="81" cm="1">
        <f t="array" ref="R355">VLOOKUP(B355,'Player Data'!$A1:$AE673,6,FALSE)</f>
        <v>16.7</v>
      </c>
      <c r="S355" s="57" cm="1">
        <f t="array" ref="S355">VLOOKUP(B355,'Player Data'!$A1:$AE673,7,FALSE)*$Q355*IFERROR((VLOOKUP(P355,Settings!$E$28:$F$33,2,FALSE)+1),1)</f>
        <v>24.562999999999999</v>
      </c>
      <c r="T355" s="57" cm="1">
        <f t="array" ref="T355">VLOOKUP(B355,'Player Data'!$A1:$AE673,8,FALSE)*$Q355*IFERROR((VLOOKUP(P355,Settings!$E$28:$F$33,2,FALSE)+1),1)</f>
        <v>33.880000000000003</v>
      </c>
      <c r="U355" s="57" cm="1">
        <f t="array" ref="U355">SUM(S355:T355)</f>
        <v>58.442999999999998</v>
      </c>
      <c r="V355" s="57" cm="1">
        <f t="array" ref="V355">VLOOKUP(B355,'Player Data'!$A1:$AE673,10,FALSE)*$Q355*IFERROR(((VLOOKUP(P355,Settings!$E$28:$F$33,2,FALSE)/2)+1),1)</f>
        <v>143.91300000000001</v>
      </c>
      <c r="W355" s="58" cm="1">
        <f t="array" ref="W355">VLOOKUP(B355,'Player Data'!$A1:$AE673,11,FALSE)*$Q355*IFERROR((VLOOKUP(P355,Settings!$E$28:$F$33,2,FALSE)+1),1)</f>
        <v>8.4700000000000006</v>
      </c>
      <c r="X355" s="57" cm="1">
        <f t="array" ref="X355">VLOOKUP(B355,'Player Data'!$A1:$AE673,12,FALSE)*$Q355*IFERROR((VLOOKUP(P355,Settings!$E$28:$F$33,2,FALSE)+1),1)</f>
        <v>19.481000000000002</v>
      </c>
      <c r="Y355" s="57" cm="1">
        <f t="array" ref="Y355">VLOOKUP(B355,'Player Data'!$A1:$AE673,13,FALSE)*$Q355</f>
        <v>0</v>
      </c>
      <c r="Z355" s="57" cm="1">
        <f t="array" ref="Z355">VLOOKUP(B355,'Player Data'!$A1:$AE673,14,FALSE)*$Q355</f>
        <v>0</v>
      </c>
      <c r="AA355" s="57" cm="1">
        <f t="array" ref="AA355">VLOOKUP(B355,'Player Data'!$A1:$AE673,15,FALSE)*$Q355</f>
        <v>42.35</v>
      </c>
      <c r="AB355" s="57" cm="1">
        <f t="array" ref="AB355">VLOOKUP(B355,'Player Data'!$A1:$AE673,16,FALSE)*$Q355</f>
        <v>41.580000000000005</v>
      </c>
      <c r="AC355" s="57" cm="1">
        <f t="array" ref="AC355">VLOOKUP(B355,'Player Data'!$A1:$AE673,17,FALSE)*$Q355*IFERROR((VLOOKUP(P355,Settings!$E$28:$F$33,2,FALSE)+1),1)</f>
        <v>-1.6940000000000002</v>
      </c>
      <c r="AD355" s="57" cm="1">
        <f t="array" ref="AD355">VLOOKUP(B355,'Player Data'!$A1:$AE673,18,FALSE)*$Q355</f>
        <v>27.72</v>
      </c>
      <c r="AE355" s="57" cm="1">
        <f t="array" ref="AE355">VLOOKUP(B355,'Player Data'!$A1:$AE673,19,FALSE)*$Q355*IFERROR((VLOOKUP(P355,Settings!$E$28:$F$33,2,FALSE)+1),1)</f>
        <v>3.3880000000000003</v>
      </c>
      <c r="AF355" s="57" cm="1">
        <f t="array" ref="AF355">VLOOKUP(B355,'Player Data'!$A1:$AE673,20,FALSE)*$Q355</f>
        <v>361.13000000000005</v>
      </c>
      <c r="AG355" s="57" cm="1">
        <f t="array" ref="AG355">VLOOKUP(B355,'Player Data'!$A1:$AE673,21,FALSE)*$Q355</f>
        <v>428.11999999999995</v>
      </c>
      <c r="AH355" s="59" cm="1">
        <f t="array" ref="AH355">VLOOKUP(B355,'Player Data'!$A1:$AE673,22,FALSE)</f>
        <v>0.46</v>
      </c>
      <c r="AI355" s="55"/>
      <c r="AJ355" s="57"/>
      <c r="AK355" s="57"/>
      <c r="AL355" s="57"/>
      <c r="AM355" s="57"/>
      <c r="AN355" s="57"/>
      <c r="AO355" s="57"/>
      <c r="AP355" s="57"/>
      <c r="AQ355" s="60"/>
      <c r="AR355" s="61"/>
      <c r="AS355" s="55"/>
    </row>
    <row r="356" spans="1:45" ht="21.25" customHeight="1" x14ac:dyDescent="0.15">
      <c r="A356" s="62">
        <f>RANK(K356,K$2:K$671)</f>
        <v>325</v>
      </c>
      <c r="B356" s="10" t="s">
        <v>448</v>
      </c>
      <c r="C356" s="47" t="s">
        <v>145</v>
      </c>
      <c r="D356" s="48" t="str" cm="1">
        <f t="array" ref="D356">VLOOKUP(B356,'Player Data'!A1:D673,4,FALSE)</f>
        <v>C,RW</v>
      </c>
      <c r="E356" s="74" cm="1">
        <f t="array" ref="E356">VLOOKUP(B356,RW!A1:F210,3,FALSE)</f>
        <v>73</v>
      </c>
      <c r="F356" s="63" t="str" cm="1">
        <f t="array" ref="F356">VLOOKUP(B356,'Player Data'!A1:B673,2,FALSE)</f>
        <v>DAL</v>
      </c>
      <c r="G356" s="66" cm="1">
        <f t="array" ref="G356">VLOOKUP(B356,'Player Data'!A1:D673,3,FALSE)</f>
        <v>35</v>
      </c>
      <c r="H356" s="51" cm="1">
        <f t="array" ref="H356">IFERROR(VLOOKUP(B356,ADP!A1:F671,6,FALSE)/1000000,VLOOKUP(B356,ADP!A1:F671,6,FALSE))</f>
        <v>4.5</v>
      </c>
      <c r="I356" s="52">
        <f>IF(Settings!$E$15="POINTS",((R356*Q356)*Settings!$B$12)+(S356*Settings!$B$2)+(T356*Settings!$B$3)+(U356*Settings!$B$4)+(V356*Settings!$B$5)+(X356*Settings!$B$9)+(AA356*Settings!$B$6)+(W356*Settings!$B$8)+(AB356*Settings!$B$7)+(AC356*Settings!$B$14)+(AD356*Settings!$B$15)+(AE356*Settings!$B$16)+(AF356*Settings!$B$17)+(AG356*Settings!$B$18)+(Y356*Settings!$B$10)+(Z356*Settings!$B$11),VLOOKUP(B356,'Standard Deviations'!A$1:C$672,3,FALSE))</f>
        <v>2.4098861633475046</v>
      </c>
      <c r="J356" s="53" cm="1">
        <f t="array" ref="J356">IF(D356="G",I356/AJ356,I356/Q356)</f>
        <v>3.0504888143639299E-2</v>
      </c>
      <c r="K356" s="52" cm="1">
        <f t="array" ref="K356">IF(Settings!$E$18="C/LW/RW",VLOOKUP(B356,RW!A1:F210,6,FALSE),VLOOKUP(B356,F!A1:F407,6,FALSE))</f>
        <v>-4.4773484384615729</v>
      </c>
      <c r="L356" s="54" cm="1">
        <f t="array" ref="L356">IFERROR(K356/H356,"N/A")</f>
        <v>-0.99496631965812732</v>
      </c>
      <c r="M356" s="55">
        <v>136.6</v>
      </c>
      <c r="N356" s="55" cm="1">
        <f t="array" ref="N356">IFERROR(M356-A356,"N/A")</f>
        <v>-188.4</v>
      </c>
      <c r="O356" s="55"/>
      <c r="P356" s="56" cm="1">
        <f t="array" ref="P356">_xlfn.XLOOKUP($B356,ADP!A2:A671,ADP!G2:G671)</f>
        <v>0</v>
      </c>
      <c r="Q356" s="57" cm="1">
        <f t="array" ref="Q356">IF(Settings!$E$12="YES",VLOOKUP(B356,'Player Data'!A1:E673,5,FALSE),84)</f>
        <v>79</v>
      </c>
      <c r="R356" s="83" cm="1">
        <f t="array" ref="R356">VLOOKUP(B356,'Player Data'!$A1:$AE673,6,FALSE)</f>
        <v>15.2</v>
      </c>
      <c r="S356" s="57" cm="1">
        <f t="array" ref="S356">VLOOKUP(B356,'Player Data'!$A1:$AE673,7,FALSE)*$Q356*IFERROR((VLOOKUP(P356,Settings!$E$28:$F$33,2,FALSE)+1),1)</f>
        <v>20.54</v>
      </c>
      <c r="T356" s="57" cm="1">
        <f t="array" ref="T356">VLOOKUP(B356,'Player Data'!$A1:$AE673,8,FALSE)*$Q356*IFERROR((VLOOKUP(P356,Settings!$E$28:$F$33,2,FALSE)+1),1)</f>
        <v>36.340000000000003</v>
      </c>
      <c r="U356" s="57" cm="1">
        <f t="array" ref="U356">SUM(S356:T356)</f>
        <v>56.88</v>
      </c>
      <c r="V356" s="57" cm="1">
        <f t="array" ref="V356">VLOOKUP(B356,'Player Data'!$A1:$AE673,10,FALSE)*$Q356*IFERROR(((VLOOKUP(P356,Settings!$E$28:$F$33,2,FALSE)/2)+1),1)</f>
        <v>127.98</v>
      </c>
      <c r="W356" s="57" cm="1">
        <f t="array" ref="W356">VLOOKUP(B356,'Player Data'!$A1:$AE673,11,FALSE)*$Q356*IFERROR((VLOOKUP(P356,Settings!$E$28:$F$33,2,FALSE)+1),1)</f>
        <v>5.53</v>
      </c>
      <c r="X356" s="57" cm="1">
        <f t="array" ref="X356">VLOOKUP(B356,'Player Data'!$A1:$AE673,12,FALSE)*$Q356*IFERROR((VLOOKUP(P356,Settings!$E$28:$F$33,2,FALSE)+1),1)</f>
        <v>16.59</v>
      </c>
      <c r="Y356" s="57" cm="1">
        <f t="array" ref="Y356">VLOOKUP(B356,'Player Data'!$A1:$AE673,13,FALSE)*$Q356</f>
        <v>0</v>
      </c>
      <c r="Z356" s="57" cm="1">
        <f t="array" ref="Z356">VLOOKUP(B356,'Player Data'!$A1:$AE673,14,FALSE)*$Q356</f>
        <v>0</v>
      </c>
      <c r="AA356" s="57" cm="1">
        <f t="array" ref="AA356">VLOOKUP(B356,'Player Data'!$A1:$AE673,15,FALSE)*$Q356</f>
        <v>28.439999999999998</v>
      </c>
      <c r="AB356" s="57" cm="1">
        <f t="array" ref="AB356">VLOOKUP(B356,'Player Data'!$A1:$AE673,16,FALSE)*$Q356</f>
        <v>38.71</v>
      </c>
      <c r="AC356" s="57" cm="1">
        <f t="array" ref="AC356">VLOOKUP(B356,'Player Data'!$A1:$AE673,17,FALSE)*$Q356*IFERROR((VLOOKUP(P356,Settings!$E$28:$F$33,2,FALSE)+1),1)</f>
        <v>4.74</v>
      </c>
      <c r="AD356" s="57" cm="1">
        <f t="array" ref="AD356">VLOOKUP(B356,'Player Data'!$A1:$AE673,18,FALSE)*$Q356</f>
        <v>15.8</v>
      </c>
      <c r="AE356" s="57" cm="1">
        <f t="array" ref="AE356">VLOOKUP(B356,'Player Data'!$A1:$AE673,19,FALSE)*$Q356*IFERROR((VLOOKUP(P356,Settings!$E$28:$F$33,2,FALSE)+1),1)</f>
        <v>3.16</v>
      </c>
      <c r="AF356" s="57" cm="1">
        <f t="array" ref="AF356">VLOOKUP(B356,'Player Data'!$A1:$AE673,20,FALSE)*$Q356</f>
        <v>346.02</v>
      </c>
      <c r="AG356" s="57" cm="1">
        <f t="array" ref="AG356">VLOOKUP(B356,'Player Data'!$A1:$AE673,21,FALSE)*$Q356</f>
        <v>301.77999999999997</v>
      </c>
      <c r="AH356" s="59" cm="1">
        <f t="array" ref="AH356">VLOOKUP(B356,'Player Data'!$A1:$AE673,22,FALSE)</f>
        <v>0.53</v>
      </c>
      <c r="AI356" s="55"/>
      <c r="AJ356" s="57"/>
      <c r="AK356" s="57"/>
      <c r="AL356" s="57"/>
      <c r="AM356" s="57"/>
      <c r="AN356" s="57"/>
      <c r="AO356" s="57"/>
      <c r="AP356" s="57"/>
      <c r="AQ356" s="60"/>
      <c r="AR356" s="61"/>
      <c r="AS356" s="55"/>
    </row>
    <row r="357" spans="1:45" ht="21.25" customHeight="1" x14ac:dyDescent="0.15">
      <c r="A357" s="62">
        <f>RANK(K357,K$2:K$671)</f>
        <v>327</v>
      </c>
      <c r="B357" s="10" t="s">
        <v>235</v>
      </c>
      <c r="C357" s="47" t="s">
        <v>145</v>
      </c>
      <c r="D357" s="48" t="str" cm="1">
        <f t="array" ref="D357">VLOOKUP(B357,'Player Data'!A1:D673,4,FALSE)</f>
        <v>C</v>
      </c>
      <c r="E357" s="49" cm="1">
        <f t="array" ref="E357">VLOOKUP(B357,'C'!A1:C210,3,FALSE)</f>
        <v>68</v>
      </c>
      <c r="F357" s="56" t="str" cm="1">
        <f t="array" ref="F357">VLOOKUP(B357,'Player Data'!A1:B673,2,FALSE)</f>
        <v>CHI</v>
      </c>
      <c r="G357" s="71" cm="1">
        <f t="array" ref="G357">VLOOKUP(B357,'Player Data'!A1:D673,3,FALSE)</f>
        <v>19</v>
      </c>
      <c r="H357" s="51" cm="1">
        <f t="array" ref="H357">IFERROR(VLOOKUP(B357,ADP!A1:F671,6,FALSE)/1000000,VLOOKUP(B357,ADP!A1:F671,6,FALSE))</f>
        <v>0.97499999999999998</v>
      </c>
      <c r="I357" s="52">
        <f>IF(Settings!$E$15="POINTS",((R357*Q357)*Settings!$B$12)+(S357*Settings!$B$2)+(T357*Settings!$B$3)+(U357*Settings!$B$4)+(V357*Settings!$B$5)+(X357*Settings!$B$9)+(AA357*Settings!$B$6)+(W357*Settings!$B$8)+(AB357*Settings!$B$7)+(AC357*Settings!$B$14)+(AD357*Settings!$B$15)+(AE357*Settings!$B$16)+(AF357*Settings!$B$17)+(AG357*Settings!$B$18)+(Y357*Settings!$B$10)+(Z357*Settings!$B$11),VLOOKUP(B357,'Standard Deviations'!A$1:C$672,3,FALSE))</f>
        <v>1.8498351956534491</v>
      </c>
      <c r="J357" s="53" cm="1">
        <f t="array" ref="J357">IF(D357="G",I357/AJ357,I357/Q357)</f>
        <v>2.3715835841710886E-2</v>
      </c>
      <c r="K357" s="52" cm="1">
        <f t="array" ref="K357">IF(Settings!$E$18="C/LW/RW",VLOOKUP(B357,'C'!A1:F210,6,FALSE),VLOOKUP(B357,F!A1:F407,6,FALSE))</f>
        <v>-4.5101743619616155</v>
      </c>
      <c r="L357" s="54" cm="1">
        <f t="array" ref="L357">IFERROR(K357/H357,"N/A")</f>
        <v>-4.6258198584221697</v>
      </c>
      <c r="M357" s="55">
        <v>140.4</v>
      </c>
      <c r="N357" s="55" cm="1">
        <f t="array" ref="N357">IFERROR(M357-A357,"N/A")</f>
        <v>-186.6</v>
      </c>
      <c r="O357" s="55"/>
      <c r="P357" s="56" t="str" cm="1">
        <f t="array" ref="P357">_xlfn.XLOOKUP($B357,ADP!A2:A671,ADP!G2:G671)</f>
        <v>-</v>
      </c>
      <c r="Q357" s="57" cm="1">
        <f t="array" ref="Q357">IF(Settings!$E$12="YES",VLOOKUP(B357,'Player Data'!A1:E673,5,FALSE),84)</f>
        <v>78</v>
      </c>
      <c r="R357" s="55" cm="1">
        <f t="array" ref="R357">VLOOKUP(B357,'Player Data'!$A1:$AE673,6,FALSE)</f>
        <v>18.399999999999999</v>
      </c>
      <c r="S357" s="57" cm="1">
        <f t="array" ref="S357">VLOOKUP(B357,'Player Data'!$A1:$AE673,7,FALSE)*$Q357*IFERROR((VLOOKUP(P357,Settings!$E$28:$F$33,2,FALSE)+1),1)</f>
        <v>22.229999999999997</v>
      </c>
      <c r="T357" s="57" cm="1">
        <f t="array" ref="T357">VLOOKUP(B357,'Player Data'!$A1:$AE673,8,FALSE)*$Q357*IFERROR((VLOOKUP(P357,Settings!$E$28:$F$33,2,FALSE)+1),1)</f>
        <v>35.567999999999998</v>
      </c>
      <c r="U357" s="57" cm="1">
        <f t="array" ref="U357">SUM(S357:T357)</f>
        <v>57.797999999999995</v>
      </c>
      <c r="V357" s="57" cm="1">
        <f t="array" ref="V357">VLOOKUP(B357,'Player Data'!$A1:$AE673,10,FALSE)*$Q357*IFERROR(((VLOOKUP(P357,Settings!$E$28:$F$33,2,FALSE)/2)+1),1)</f>
        <v>203.05349999999999</v>
      </c>
      <c r="W357" s="58" cm="1">
        <f t="array" ref="W357">VLOOKUP(B357,'Player Data'!$A1:$AE673,11,FALSE)*$Q357*IFERROR((VLOOKUP(P357,Settings!$E$28:$F$33,2,FALSE)+1),1)</f>
        <v>4.4459999999999997</v>
      </c>
      <c r="X357" s="57" cm="1">
        <f t="array" ref="X357">VLOOKUP(B357,'Player Data'!$A1:$AE673,12,FALSE)*$Q357*IFERROR((VLOOKUP(P357,Settings!$E$28:$F$33,2,FALSE)+1),1)</f>
        <v>16.302</v>
      </c>
      <c r="Y357" s="57" cm="1">
        <f t="array" ref="Y357">VLOOKUP(B357,'Player Data'!$A1:$AE673,13,FALSE)*$Q357</f>
        <v>0</v>
      </c>
      <c r="Z357" s="57" cm="1">
        <f t="array" ref="Z357">VLOOKUP(B357,'Player Data'!$A1:$AE673,14,FALSE)*$Q357</f>
        <v>0</v>
      </c>
      <c r="AA357" s="57" cm="1">
        <f t="array" ref="AA357">VLOOKUP(B357,'Player Data'!$A1:$AE673,15,FALSE)*$Q357</f>
        <v>58.5</v>
      </c>
      <c r="AB357" s="57" cm="1">
        <f t="array" ref="AB357">VLOOKUP(B357,'Player Data'!$A1:$AE673,16,FALSE)*$Q357</f>
        <v>64.739999999999995</v>
      </c>
      <c r="AC357" s="57" cm="1">
        <f t="array" ref="AC357">VLOOKUP(B357,'Player Data'!$A1:$AE673,17,FALSE)*$Q357*IFERROR((VLOOKUP(P357,Settings!$E$28:$F$33,2,FALSE)+1),1)</f>
        <v>-6.6689999999999996</v>
      </c>
      <c r="AD357" s="57" cm="1">
        <f t="array" ref="AD357">VLOOKUP(B357,'Player Data'!$A1:$AE673,18,FALSE)*$Q357</f>
        <v>32.76</v>
      </c>
      <c r="AE357" s="57" cm="1">
        <f t="array" ref="AE357">VLOOKUP(B357,'Player Data'!$A1:$AE673,19,FALSE)*$Q357*IFERROR((VLOOKUP(P357,Settings!$E$28:$F$33,2,FALSE)+1),1)</f>
        <v>2.964</v>
      </c>
      <c r="AF357" s="57" cm="1">
        <f t="array" ref="AF357">VLOOKUP(B357,'Player Data'!$A1:$AE673,20,FALSE)*$Q357</f>
        <v>217.62</v>
      </c>
      <c r="AG357" s="57" cm="1">
        <f t="array" ref="AG357">VLOOKUP(B357,'Player Data'!$A1:$AE673,21,FALSE)*$Q357</f>
        <v>503.1</v>
      </c>
      <c r="AH357" s="59" cm="1">
        <f t="array" ref="AH357">VLOOKUP(B357,'Player Data'!$A1:$AE673,22,FALSE)</f>
        <v>0.3</v>
      </c>
      <c r="AI357" s="55"/>
      <c r="AJ357" s="57"/>
      <c r="AK357" s="57"/>
      <c r="AL357" s="57"/>
      <c r="AM357" s="57"/>
      <c r="AN357" s="57"/>
      <c r="AO357" s="57"/>
      <c r="AP357" s="57"/>
      <c r="AQ357" s="60"/>
      <c r="AR357" s="61"/>
      <c r="AS357" s="55"/>
    </row>
    <row r="358" spans="1:45" ht="21.25" customHeight="1" x14ac:dyDescent="0.15">
      <c r="A358" s="62">
        <f>RANK(K358,K$2:K$671)</f>
        <v>380</v>
      </c>
      <c r="B358" s="10" t="s">
        <v>483</v>
      </c>
      <c r="C358" s="47" t="s">
        <v>145</v>
      </c>
      <c r="D358" s="48" t="str" cm="1">
        <f t="array" ref="D358">VLOOKUP(B358,'Player Data'!A1:D673,4,FALSE)</f>
        <v>D</v>
      </c>
      <c r="E358" s="68" cm="1">
        <f t="array" ref="E358">VLOOKUP(B358,D!A1:C204,3,FALSE)</f>
        <v>179</v>
      </c>
      <c r="F358" s="70" t="str" cm="1">
        <f t="array" ref="F358">VLOOKUP(B358,'Player Data'!A1:B673,2,FALSE)</f>
        <v>L.A</v>
      </c>
      <c r="G358" s="66" cm="1">
        <f t="array" ref="G358">VLOOKUP(B358,'Player Data'!A1:D673,3,FALSE)</f>
        <v>32</v>
      </c>
      <c r="H358" s="51" cm="1">
        <f t="array" ref="H358">IFERROR(VLOOKUP(B358,ADP!A1:F671,6,FALSE)/1000000,VLOOKUP(B358,ADP!A1:F671,6,FALSE))</f>
        <v>4.5</v>
      </c>
      <c r="I358" s="52">
        <f>IF(Settings!$E$15="POINTS",((R358*Q358)*Settings!$B$12)+(S358*Settings!$B$2)+(T358*Settings!$B$3)+(U358*Settings!$B$4)+(V358*Settings!$B$5)+(X358*Settings!$B$9)+(AA358*Settings!$B$6)+(W358*Settings!$B$8)+(AB358*Settings!$B$7)+(AC358*Settings!$B$14)+(AD358*Settings!$B$15)+(AE358*Settings!$B$16)+(AF358*Settings!$B$17)+(AG358*Settings!$B$18)+(U358*Settings!$B$13)+(Y358*Settings!$B$10)+(Z358*Settings!$B$11),VLOOKUP(B358,'Standard Deviations'!A$1:C$672,3,FALSE))</f>
        <v>-4.8734092076288729</v>
      </c>
      <c r="J358" s="53" cm="1">
        <f t="array" ref="J358">IF(D358="G",I358/AJ358,I358/Q358)</f>
        <v>-5.8016776281296104E-2</v>
      </c>
      <c r="K358" s="52" cm="1">
        <f t="array" ref="K358">VLOOKUP(B358,D!A1:F204,6,FALSE)</f>
        <v>-5.4402601221464275</v>
      </c>
      <c r="L358" s="54" cm="1">
        <f t="array" ref="L358">IFERROR(K358/H358,"N/A")</f>
        <v>-1.2089466938103173</v>
      </c>
      <c r="M358" s="84" t="s">
        <v>828</v>
      </c>
      <c r="N358" s="84" t="str" cm="1">
        <f t="array" ref="N358">IFERROR(M358-A358,"N/A")</f>
        <v>N/A</v>
      </c>
      <c r="O358" s="80"/>
      <c r="P358" s="56" cm="1">
        <f t="array" ref="P358">_xlfn.XLOOKUP($B358,ADP!A2:A671,ADP!G2:G671)</f>
        <v>0</v>
      </c>
      <c r="Q358" s="57" cm="1">
        <f t="array" ref="Q358">IF(Settings!$E$12="YES",VLOOKUP(B358,'Player Data'!A1:E673,5,FALSE),84)</f>
        <v>84</v>
      </c>
      <c r="R358" s="55" cm="1">
        <f t="array" ref="R358">VLOOKUP(B358,'Player Data'!$A1:$AE673,6,FALSE)</f>
        <v>17.7</v>
      </c>
      <c r="S358" s="57" cm="1">
        <f t="array" ref="S358">VLOOKUP(B358,'Player Data'!$A1:$AE673,7,FALSE)*$Q358*IFERROR((VLOOKUP(P358,Settings!$E$28:$F$33,2,FALSE)+1),1)</f>
        <v>2.52</v>
      </c>
      <c r="T358" s="57" cm="1">
        <f t="array" ref="T358">VLOOKUP(B358,'Player Data'!$A1:$AE673,8,FALSE)*$Q358*IFERROR((VLOOKUP(P358,Settings!$E$28:$F$33,2,FALSE)+1),1)</f>
        <v>13.44</v>
      </c>
      <c r="U358" s="57" cm="1">
        <f t="array" ref="U358">SUM(S358:T358)</f>
        <v>15.959999999999999</v>
      </c>
      <c r="V358" s="57" cm="1">
        <f t="array" ref="V358">VLOOKUP(B358,'Player Data'!$A1:$AE673,10,FALSE)*$Q358*IFERROR(((VLOOKUP(P358,Settings!$E$28:$F$33,2,FALSE)/2)+1),1)</f>
        <v>65.52</v>
      </c>
      <c r="W358" s="57" cm="1">
        <f t="array" ref="W358">VLOOKUP(B358,'Player Data'!$A1:$AE673,11,FALSE)*$Q358*IFERROR((VLOOKUP(P358,Settings!$E$28:$F$33,2,FALSE)+1),1)</f>
        <v>0</v>
      </c>
      <c r="X358" s="57" cm="1">
        <f t="array" ref="X358">VLOOKUP(B358,'Player Data'!$A1:$AE673,12,FALSE)*$Q358*IFERROR((VLOOKUP(P358,Settings!$E$28:$F$33,2,FALSE)+1),1)</f>
        <v>0</v>
      </c>
      <c r="Y358" s="57" cm="1">
        <f t="array" ref="Y358">VLOOKUP(B358,'Player Data'!$A1:$AE673,13,FALSE)*$Q358</f>
        <v>0</v>
      </c>
      <c r="Z358" s="57" cm="1">
        <f t="array" ref="Z358">VLOOKUP(B358,'Player Data'!$A1:$AE673,14,FALSE)*$Q358</f>
        <v>0.84</v>
      </c>
      <c r="AA358" s="57" cm="1">
        <f t="array" ref="AA358">VLOOKUP(B358,'Player Data'!$A1:$AE673,15,FALSE)*$Q358</f>
        <v>118.44</v>
      </c>
      <c r="AB358" s="57" cm="1">
        <f t="array" ref="AB358">VLOOKUP(B358,'Player Data'!$A1:$AE673,16,FALSE)*$Q358</f>
        <v>60.48</v>
      </c>
      <c r="AC358" s="57" cm="1">
        <f t="array" ref="AC358">VLOOKUP(B358,'Player Data'!$A1:$AE673,17,FALSE)*$Q358*IFERROR((VLOOKUP(P358,Settings!$E$28:$F$33,2,FALSE)+1),1)</f>
        <v>-2.52</v>
      </c>
      <c r="AD358" s="57" cm="1">
        <f t="array" ref="AD358">VLOOKUP(B358,'Player Data'!$A1:$AE673,18,FALSE)*$Q358</f>
        <v>20.16</v>
      </c>
      <c r="AE358" s="57" cm="1">
        <f t="array" ref="AE358">VLOOKUP(B358,'Player Data'!$A1:$AE673,19,FALSE)*$Q358*IFERROR((VLOOKUP(P358,Settings!$E$28:$F$33,2,FALSE)+1),1)</f>
        <v>0</v>
      </c>
      <c r="AF358" s="57" cm="1">
        <f t="array" ref="AF358">VLOOKUP(B358,'Player Data'!$A1:$AE673,20,FALSE)*$Q358</f>
        <v>0</v>
      </c>
      <c r="AG358" s="57" cm="1">
        <f t="array" ref="AG358">VLOOKUP(B358,'Player Data'!$A1:$AE673,21,FALSE)*$Q358</f>
        <v>0</v>
      </c>
      <c r="AH358" s="59" cm="1">
        <f t="array" ref="AH358">VLOOKUP(B358,'Player Data'!$A1:$AE673,22,FALSE)</f>
        <v>0</v>
      </c>
      <c r="AI358" s="55"/>
      <c r="AJ358" s="57"/>
      <c r="AK358" s="57"/>
      <c r="AL358" s="57"/>
      <c r="AM358" s="57"/>
      <c r="AN358" s="57"/>
      <c r="AO358" s="57"/>
      <c r="AP358" s="57"/>
      <c r="AQ358" s="60"/>
      <c r="AR358" s="61"/>
      <c r="AS358" s="55"/>
    </row>
    <row r="359" spans="1:45" ht="21.25" customHeight="1" x14ac:dyDescent="0.15">
      <c r="A359" s="62">
        <f>RANK(K359,K$2:K$671)</f>
        <v>369</v>
      </c>
      <c r="B359" s="10" t="s">
        <v>324</v>
      </c>
      <c r="C359" s="47" t="s">
        <v>145</v>
      </c>
      <c r="D359" s="48" t="str" cm="1">
        <f t="array" ref="D359">VLOOKUP(B359,'Player Data'!A1:D673,4,FALSE)</f>
        <v>G</v>
      </c>
      <c r="E359" s="76" cm="1">
        <f t="array" ref="E359">VLOOKUP(B359,G!A1:D66,3,FALSE)</f>
        <v>51</v>
      </c>
      <c r="F359" s="18" t="str" cm="1">
        <f t="array" ref="F359">VLOOKUP(B359,'Player Data'!A1:B673,2,FALSE)</f>
        <v>VAN</v>
      </c>
      <c r="G359" s="11" cm="1">
        <f t="array" ref="G359">VLOOKUP(B359,'Player Data'!A1:D673,3,FALSE)</f>
        <v>30</v>
      </c>
      <c r="H359" s="51" cm="1">
        <f t="array" ref="H359">IFERROR(VLOOKUP(B359,ADP!A1:F671,6,FALSE)/1000000,VLOOKUP(B359,ADP!A1:F671,6,FALSE))</f>
        <v>8.5</v>
      </c>
      <c r="I359" s="52">
        <f>IF(Settings!$E$15="POINTS",(AJ359*Settings!$B$29)+(AK359*Settings!$B$21)+(AL359*Settings!$B$22)+(AN359*Settings!$B$24)+(AO359*Settings!$B$25)+(AP359*Settings!$B$27)+(AM359*Settings!$B$23),VLOOKUP(B359,'Standard Deviations'!A$1:C$672,3,FALSE))</f>
        <v>-3.2219524322847137</v>
      </c>
      <c r="J359" s="53" cm="1">
        <f t="array" ref="J359">IF(D359="G",I359/AJ359,I359/Q359)</f>
        <v>-7.1598942939660307E-2</v>
      </c>
      <c r="K359" s="52" cm="1">
        <f t="array" ref="K359">VLOOKUP(B359,G!A1:F66,6,FALSE)</f>
        <v>-5.2601376914083886</v>
      </c>
      <c r="L359" s="54" cm="1">
        <f t="array" ref="L359">IFERROR(K359/H359,"N/A")</f>
        <v>-0.61883972840098689</v>
      </c>
      <c r="M359" s="55">
        <v>151</v>
      </c>
      <c r="N359" s="55" cm="1">
        <f t="array" ref="N359">IFERROR(M359-A359,"N/A")</f>
        <v>-218</v>
      </c>
      <c r="O359" s="82"/>
      <c r="P359" s="56" cm="1">
        <f t="array" ref="P359">_xlfn.XLOOKUP($B359,ADP!A2:A671,ADP!G2:G671)</f>
        <v>0</v>
      </c>
      <c r="Q359" s="57"/>
      <c r="R359" s="55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9"/>
      <c r="AI359" s="55"/>
      <c r="AJ359" s="77" cm="1">
        <f t="array" ref="AJ359">VLOOKUP(B359,'Player Data'!$A1:$AE673,24,FALSE)</f>
        <v>45</v>
      </c>
      <c r="AK359" s="57" cm="1">
        <f t="array" ref="AK359">VLOOKUP(B359,'Player Data'!$A1:$AE673,25,FALSE)*$AJ359*IFERROR((VLOOKUP(P359,Settings!$E$28:$F$33,2,FALSE)+1),1)</f>
        <v>16.2</v>
      </c>
      <c r="AL359" s="57" cm="1">
        <f t="array" ref="AL359">AJ359-AK359-AM359</f>
        <v>21.6</v>
      </c>
      <c r="AM359" s="57" cm="1">
        <f t="array" ref="AM359">VLOOKUP(B359,'Player Data'!$A1:$AE673,27,FALSE)*$AJ359</f>
        <v>7.2</v>
      </c>
      <c r="AN359" s="57" cm="1">
        <f t="array" ref="AN359">VLOOKUP(B359,'Player Data'!$A1:$AE673,28,FALSE)*AJ359</f>
        <v>1.3499999999999999</v>
      </c>
      <c r="AO359" s="57" cm="1">
        <f t="array" ref="AO359">VLOOKUP(B359,'Player Data'!$A1:$AE673,29,FALSE)*$AJ359*IFERROR((VLOOKUP(P359,Settings!$E$28:$F$33,2,FALSE)/4)+1,1)</f>
        <v>1287</v>
      </c>
      <c r="AP359" s="57" cm="1">
        <f t="array" ref="AP359">VLOOKUP(B359,'Player Data'!$A1:$AE673,31,FALSE)*$AJ359*(IFERROR(1-(VLOOKUP(P359,Settings!$E$28:$F$33,2,FALSE)/4),1))</f>
        <v>143.55000000000001</v>
      </c>
      <c r="AQ359" s="60" cm="1">
        <f t="array" ref="AQ359">1-(AP359/(AO359+AP359))</f>
        <v>0.89965397923875434</v>
      </c>
      <c r="AR359" s="61" cm="1">
        <f t="array" ref="AR359">AP359/AJ359</f>
        <v>3.1900000000000004</v>
      </c>
      <c r="AS359" s="55"/>
    </row>
    <row r="360" spans="1:45" ht="21.25" customHeight="1" x14ac:dyDescent="0.15">
      <c r="A360" s="62">
        <f>RANK(K360,K$2:K$671)</f>
        <v>383</v>
      </c>
      <c r="B360" s="10" t="s">
        <v>562</v>
      </c>
      <c r="C360" s="47" t="s">
        <v>145</v>
      </c>
      <c r="D360" s="48" t="str" cm="1">
        <f t="array" ref="D360">VLOOKUP(B360,'Player Data'!A1:D673,4,FALSE)</f>
        <v>D</v>
      </c>
      <c r="E360" s="68" cm="1">
        <f t="array" ref="E360">VLOOKUP(B360,D!A1:C204,3,FALSE)</f>
        <v>180</v>
      </c>
      <c r="F360" s="65" t="str" cm="1">
        <f t="array" ref="F360">VLOOKUP(B360,'Player Data'!A1:B673,2,FALSE)</f>
        <v>NSH</v>
      </c>
      <c r="G360" s="71" cm="1">
        <f t="array" ref="G360">VLOOKUP(B360,'Player Data'!A1:D673,3,FALSE)</f>
        <v>24</v>
      </c>
      <c r="H360" s="67" cm="1">
        <f t="array" ref="H360">IFERROR(VLOOKUP(B360,ADP!A1:F671,6,FALSE)/1000000,VLOOKUP(B360,ADP!A1:F671,6,FALSE))</f>
        <v>1.575</v>
      </c>
      <c r="I360" s="52">
        <f>IF(Settings!$E$15="POINTS",((R360*Q360)*Settings!$B$12)+(S360*Settings!$B$2)+(T360*Settings!$B$3)+(U360*Settings!$B$4)+(V360*Settings!$B$5)+(X360*Settings!$B$9)+(AA360*Settings!$B$6)+(W360*Settings!$B$8)+(AB360*Settings!$B$7)+(AC360*Settings!$B$14)+(AD360*Settings!$B$15)+(AE360*Settings!$B$16)+(AF360*Settings!$B$17)+(AG360*Settings!$B$18)+(U360*Settings!$B$13)+(Y360*Settings!$B$10)+(Z360*Settings!$B$11),VLOOKUP(B360,'Standard Deviations'!A$1:C$672,3,FALSE))</f>
        <v>-4.9116384502541814</v>
      </c>
      <c r="J360" s="53" cm="1">
        <f t="array" ref="J360">IF(D360="G",I360/AJ360,I360/Q360)</f>
        <v>-6.7282718496632629E-2</v>
      </c>
      <c r="K360" s="52" cm="1">
        <f t="array" ref="K360">VLOOKUP(B360,D!A1:F204,6,FALSE)</f>
        <v>-5.4784893647717361</v>
      </c>
      <c r="L360" s="54" cm="1">
        <f t="array" ref="L360">IFERROR(K360/H360,"N/A")</f>
        <v>-3.4784059458868168</v>
      </c>
      <c r="M360" s="84" t="s">
        <v>828</v>
      </c>
      <c r="N360" s="84" t="str" cm="1">
        <f t="array" ref="N360">IFERROR(M360-A360,"N/A")</f>
        <v>N/A</v>
      </c>
      <c r="O360" s="55"/>
      <c r="P360" s="56" cm="1">
        <f t="array" ref="P360">_xlfn.XLOOKUP($B360,ADP!A2:A671,ADP!G2:G671)</f>
        <v>0</v>
      </c>
      <c r="Q360" s="57" cm="1">
        <f t="array" ref="Q360">IF(Settings!$E$12="YES",VLOOKUP(B360,'Player Data'!A1:E673,5,FALSE),84)</f>
        <v>73</v>
      </c>
      <c r="R360" s="55" cm="1">
        <f t="array" ref="R360">VLOOKUP(B360,'Player Data'!$A1:$AE673,6,FALSE)</f>
        <v>14.6</v>
      </c>
      <c r="S360" s="57" cm="1">
        <f t="array" ref="S360">VLOOKUP(B360,'Player Data'!$A1:$AE673,7,FALSE)*$Q360*IFERROR((VLOOKUP(P360,Settings!$E$28:$F$33,2,FALSE)+1),1)</f>
        <v>3.6500000000000004</v>
      </c>
      <c r="T360" s="57" cm="1">
        <f t="array" ref="T360">VLOOKUP(B360,'Player Data'!$A1:$AE673,8,FALSE)*$Q360*IFERROR((VLOOKUP(P360,Settings!$E$28:$F$33,2,FALSE)+1),1)</f>
        <v>10.220000000000001</v>
      </c>
      <c r="U360" s="57" cm="1">
        <f t="array" ref="U360">SUM(S360:T360)</f>
        <v>13.870000000000001</v>
      </c>
      <c r="V360" s="57" cm="1">
        <f t="array" ref="V360">VLOOKUP(B360,'Player Data'!$A1:$AE673,10,FALSE)*$Q360*IFERROR(((VLOOKUP(P360,Settings!$E$28:$F$33,2,FALSE)/2)+1),1)</f>
        <v>58.400000000000006</v>
      </c>
      <c r="W360" s="57" cm="1">
        <f t="array" ref="W360">VLOOKUP(B360,'Player Data'!$A1:$AE673,11,FALSE)*$Q360*IFERROR((VLOOKUP(P360,Settings!$E$28:$F$33,2,FALSE)+1),1)</f>
        <v>0</v>
      </c>
      <c r="X360" s="57" cm="1">
        <f t="array" ref="X360">VLOOKUP(B360,'Player Data'!$A1:$AE673,12,FALSE)*$Q360*IFERROR((VLOOKUP(P360,Settings!$E$28:$F$33,2,FALSE)+1),1)</f>
        <v>0.73</v>
      </c>
      <c r="Y360" s="57" cm="1">
        <f t="array" ref="Y360">VLOOKUP(B360,'Player Data'!$A1:$AE673,13,FALSE)*$Q360</f>
        <v>0</v>
      </c>
      <c r="Z360" s="57" cm="1">
        <f t="array" ref="Z360">VLOOKUP(B360,'Player Data'!$A1:$AE673,14,FALSE)*$Q360</f>
        <v>0</v>
      </c>
      <c r="AA360" s="57" cm="1">
        <f t="array" ref="AA360">VLOOKUP(B360,'Player Data'!$A1:$AE673,15,FALSE)*$Q360</f>
        <v>81.760000000000005</v>
      </c>
      <c r="AB360" s="57" cm="1">
        <f t="array" ref="AB360">VLOOKUP(B360,'Player Data'!$A1:$AE673,16,FALSE)*$Q360</f>
        <v>70.81</v>
      </c>
      <c r="AC360" s="57" cm="1">
        <f t="array" ref="AC360">VLOOKUP(B360,'Player Data'!$A1:$AE673,17,FALSE)*$Q360*IFERROR((VLOOKUP(P360,Settings!$E$28:$F$33,2,FALSE)+1),1)</f>
        <v>-2.92</v>
      </c>
      <c r="AD360" s="57" cm="1">
        <f t="array" ref="AD360">VLOOKUP(B360,'Player Data'!$A1:$AE673,18,FALSE)*$Q360</f>
        <v>23.36</v>
      </c>
      <c r="AE360" s="57" cm="1">
        <f t="array" ref="AE360">VLOOKUP(B360,'Player Data'!$A1:$AE673,19,FALSE)*$Q360*IFERROR((VLOOKUP(P360,Settings!$E$28:$F$33,2,FALSE)+1),1)</f>
        <v>0.73</v>
      </c>
      <c r="AF360" s="57" cm="1">
        <f t="array" ref="AF360">VLOOKUP(B360,'Player Data'!$A1:$AE673,20,FALSE)*$Q360</f>
        <v>0</v>
      </c>
      <c r="AG360" s="57" cm="1">
        <f t="array" ref="AG360">VLOOKUP(B360,'Player Data'!$A1:$AE673,21,FALSE)*$Q360</f>
        <v>0</v>
      </c>
      <c r="AH360" s="59" cm="1">
        <f t="array" ref="AH360">VLOOKUP(B360,'Player Data'!$A1:$AE673,22,FALSE)</f>
        <v>0</v>
      </c>
      <c r="AI360" s="55"/>
      <c r="AJ360" s="57"/>
      <c r="AK360" s="57"/>
      <c r="AL360" s="57"/>
      <c r="AM360" s="57"/>
      <c r="AN360" s="57"/>
      <c r="AO360" s="57"/>
      <c r="AP360" s="57"/>
      <c r="AQ360" s="60"/>
      <c r="AR360" s="61"/>
      <c r="AS360" s="55"/>
    </row>
    <row r="361" spans="1:45" ht="21.25" customHeight="1" x14ac:dyDescent="0.15">
      <c r="A361" s="62">
        <f>RANK(K361,K$2:K$671)</f>
        <v>330</v>
      </c>
      <c r="B361" s="10" t="s">
        <v>232</v>
      </c>
      <c r="C361" s="47" t="s">
        <v>145</v>
      </c>
      <c r="D361" s="48" t="str" cm="1">
        <f t="array" ref="D361">VLOOKUP(B361,'Player Data'!A1:D673,4,FALSE)</f>
        <v>D</v>
      </c>
      <c r="E361" s="49" cm="1">
        <f t="array" ref="E361">VLOOKUP(B361,'C'!A1:C210,3,FALSE)</f>
        <v>69</v>
      </c>
      <c r="F361" s="18" t="str" cm="1">
        <f t="array" ref="F361">VLOOKUP(B361,'Player Data'!A1:B673,2,FALSE)</f>
        <v>VAN</v>
      </c>
      <c r="G361" s="11" cm="1">
        <f t="array" ref="G361">VLOOKUP(B361,'Player Data'!A1:D673,3,FALSE)</f>
        <v>27</v>
      </c>
      <c r="H361" s="51" cm="1">
        <f t="array" ref="H361">IFERROR(VLOOKUP(B361,ADP!A1:F671,6,FALSE)/1000000,VLOOKUP(B361,ADP!A1:F671,6,FALSE))</f>
        <v>11.6</v>
      </c>
      <c r="I361" s="52">
        <f>IF(Settings!$E$15="POINTS",((R361*Q361)*Settings!$B$12)+(S361*Settings!$B$2)+(T361*Settings!$B$3)+(U361*Settings!$B$4)+(V361*Settings!$B$5)+(X361*Settings!$B$9)+(AA361*Settings!$B$6)+(W361*Settings!$B$8)+(AB361*Settings!$B$7)+(AC361*Settings!$B$14)+(AD361*Settings!$B$15)+(AE361*Settings!$B$16)+(AF361*Settings!$B$17)+(AG361*Settings!$B$18)+(Y361*Settings!$B$10)+(Z361*Settings!$B$11),VLOOKUP(B361,'Standard Deviations'!A$1:C$672,3,FALSE))</f>
        <v>1.7818902646793893</v>
      </c>
      <c r="J361" s="53" cm="1">
        <f t="array" ref="J361">IF(D361="G",I361/AJ361,I361/Q361)</f>
        <v>2.2273628308492367E-2</v>
      </c>
      <c r="K361" s="52" cm="1">
        <f t="array" ref="K361">IF(Settings!$E$18="C/LW/RW",VLOOKUP(B361,'C'!A1:F210,6,FALSE),VLOOKUP(B361,F!A1:F407,6,FALSE))</f>
        <v>-4.5781192929356749</v>
      </c>
      <c r="L361" s="54" cm="1">
        <f t="array" ref="L361">IFERROR(K361/H361,"N/A")</f>
        <v>-0.39466545628755817</v>
      </c>
      <c r="M361" s="55">
        <v>141.19999999999999</v>
      </c>
      <c r="N361" s="55" cm="1">
        <f t="array" ref="N361">IFERROR(M361-A361,"N/A")</f>
        <v>-188.8</v>
      </c>
      <c r="O361" s="55"/>
      <c r="P361" s="56" t="str" cm="1">
        <f t="array" ref="P361">_xlfn.XLOOKUP($B361,ADP!A2:A671,ADP!G2:G671)</f>
        <v>-</v>
      </c>
      <c r="Q361" s="57" cm="1">
        <f t="array" ref="Q361">IF(Settings!$E$12="YES",VLOOKUP(B361,'Player Data'!A1:E673,5,FALSE),84)</f>
        <v>80</v>
      </c>
      <c r="R361" s="81" cm="1">
        <f t="array" ref="R361">VLOOKUP(B361,'Player Data'!$A1:$AE673,6,FALSE)</f>
        <v>20.3</v>
      </c>
      <c r="S361" s="57" cm="1">
        <f t="array" ref="S361">VLOOKUP(B361,'Player Data'!$A1:$AE673,7,FALSE)*$Q361*IFERROR((VLOOKUP(P361,Settings!$E$28:$F$33,2,FALSE)+1),1)</f>
        <v>20.52</v>
      </c>
      <c r="T361" s="57" cm="1">
        <f t="array" ref="T361">VLOOKUP(B361,'Player Data'!$A1:$AE673,8,FALSE)*$Q361*IFERROR((VLOOKUP(P361,Settings!$E$28:$F$33,2,FALSE)+1),1)</f>
        <v>41.04</v>
      </c>
      <c r="U361" s="57" cm="1">
        <f t="array" ref="U361">SUM(S361:T361)</f>
        <v>61.56</v>
      </c>
      <c r="V361" s="57" cm="1">
        <f t="array" ref="V361">VLOOKUP(B361,'Player Data'!$A1:$AE673,10,FALSE)*$Q361*IFERROR(((VLOOKUP(P361,Settings!$E$28:$F$33,2,FALSE)/2)+1),1)</f>
        <v>160.68</v>
      </c>
      <c r="W361" s="58" cm="1">
        <f t="array" ref="W361">VLOOKUP(B361,'Player Data'!$A1:$AE673,11,FALSE)*$Q361*IFERROR((VLOOKUP(P361,Settings!$E$28:$F$33,2,FALSE)+1),1)</f>
        <v>6.839999999999999</v>
      </c>
      <c r="X361" s="57" cm="1">
        <f t="array" ref="X361">VLOOKUP(B361,'Player Data'!$A1:$AE673,12,FALSE)*$Q361*IFERROR((VLOOKUP(P361,Settings!$E$28:$F$33,2,FALSE)+1),1)</f>
        <v>22.799999999999997</v>
      </c>
      <c r="Y361" s="57" cm="1">
        <f t="array" ref="Y361">VLOOKUP(B361,'Player Data'!$A1:$AE673,13,FALSE)*$Q361</f>
        <v>0.8</v>
      </c>
      <c r="Z361" s="57" cm="1">
        <f t="array" ref="Z361">VLOOKUP(B361,'Player Data'!$A1:$AE673,14,FALSE)*$Q361</f>
        <v>1.6</v>
      </c>
      <c r="AA361" s="57" cm="1">
        <f t="array" ref="AA361">VLOOKUP(B361,'Player Data'!$A1:$AE673,15,FALSE)*$Q361</f>
        <v>108</v>
      </c>
      <c r="AB361" s="57" cm="1">
        <f t="array" ref="AB361">VLOOKUP(B361,'Player Data'!$A1:$AE673,16,FALSE)*$Q361</f>
        <v>80.8</v>
      </c>
      <c r="AC361" s="57" cm="1">
        <f t="array" ref="AC361">VLOOKUP(B361,'Player Data'!$A1:$AE673,17,FALSE)*$Q361*IFERROR((VLOOKUP(P361,Settings!$E$28:$F$33,2,FALSE)+1),1)</f>
        <v>-9.1199999999999992</v>
      </c>
      <c r="AD361" s="57" cm="1">
        <f t="array" ref="AD361">VLOOKUP(B361,'Player Data'!$A1:$AE673,18,FALSE)*$Q361</f>
        <v>22.400000000000002</v>
      </c>
      <c r="AE361" s="57" cm="1">
        <f t="array" ref="AE361">VLOOKUP(B361,'Player Data'!$A1:$AE673,19,FALSE)*$Q361*IFERROR((VLOOKUP(P361,Settings!$E$28:$F$33,2,FALSE)+1),1)</f>
        <v>2.2799999999999998</v>
      </c>
      <c r="AF361" s="57" cm="1">
        <f t="array" ref="AF361">VLOOKUP(B361,'Player Data'!$A1:$AE673,20,FALSE)*$Q361</f>
        <v>680.8</v>
      </c>
      <c r="AG361" s="57" cm="1">
        <f t="array" ref="AG361">VLOOKUP(B361,'Player Data'!$A1:$AE673,21,FALSE)*$Q361</f>
        <v>725.6</v>
      </c>
      <c r="AH361" s="59" cm="1">
        <f t="array" ref="AH361">VLOOKUP(B361,'Player Data'!$A1:$AE673,22,FALSE)</f>
        <v>0.48</v>
      </c>
      <c r="AI361" s="55"/>
      <c r="AJ361" s="57"/>
      <c r="AK361" s="57"/>
      <c r="AL361" s="57"/>
      <c r="AM361" s="57"/>
      <c r="AN361" s="57"/>
      <c r="AO361" s="57"/>
      <c r="AP361" s="57"/>
      <c r="AQ361" s="60"/>
      <c r="AR361" s="61"/>
      <c r="AS361" s="55"/>
    </row>
    <row r="362" spans="1:45" ht="21.25" customHeight="1" x14ac:dyDescent="0.15">
      <c r="A362" s="62">
        <f>RANK(K362,K$2:K$671)</f>
        <v>385</v>
      </c>
      <c r="B362" s="10" t="s">
        <v>620</v>
      </c>
      <c r="C362" s="47" t="s">
        <v>145</v>
      </c>
      <c r="D362" s="48" t="str" cm="1">
        <f t="array" ref="D362">VLOOKUP(B362,'Player Data'!A1:D673,4,FALSE)</f>
        <v>D</v>
      </c>
      <c r="E362" s="68" cm="1">
        <f t="array" ref="E362">VLOOKUP(B362,D!A1:C204,3,FALSE)</f>
        <v>181</v>
      </c>
      <c r="F362" s="18" t="str" cm="1">
        <f t="array" ref="F362">VLOOKUP(B362,'Player Data'!A1:B673,2,FALSE)</f>
        <v>OTT</v>
      </c>
      <c r="G362" s="11" cm="1">
        <f t="array" ref="G362">VLOOKUP(B362,'Player Data'!A1:D673,3,FALSE)</f>
        <v>27</v>
      </c>
      <c r="H362" s="67" cm="1">
        <f t="array" ref="H362">IFERROR(VLOOKUP(B362,ADP!A1:F671,6,FALSE)/1000000,VLOOKUP(B362,ADP!A1:F671,6,FALSE))</f>
        <v>0.875</v>
      </c>
      <c r="I362" s="52">
        <f>IF(Settings!$E$15="POINTS",((R362*Q362)*Settings!$B$12)+(S362*Settings!$B$2)+(T362*Settings!$B$3)+(U362*Settings!$B$4)+(V362*Settings!$B$5)+(X362*Settings!$B$9)+(AA362*Settings!$B$6)+(W362*Settings!$B$8)+(AB362*Settings!$B$7)+(AC362*Settings!$B$14)+(AD362*Settings!$B$15)+(AE362*Settings!$B$16)+(AF362*Settings!$B$17)+(AG362*Settings!$B$18)+(U362*Settings!$B$13)+(Y362*Settings!$B$10)+(Z362*Settings!$B$11),VLOOKUP(B362,'Standard Deviations'!A$1:C$672,3,FALSE))</f>
        <v>-4.9279887841252652</v>
      </c>
      <c r="J362" s="53" cm="1">
        <f t="array" ref="J362">IF(D362="G",I362/AJ362,I362/Q362)</f>
        <v>-7.5815212063465615E-2</v>
      </c>
      <c r="K362" s="52" cm="1">
        <f t="array" ref="K362">VLOOKUP(B362,D!A1:F204,6,FALSE)</f>
        <v>-5.4948396986428198</v>
      </c>
      <c r="L362" s="54" cm="1">
        <f t="array" ref="L362">IFERROR(K362/H362,"N/A")</f>
        <v>-6.2798167984489366</v>
      </c>
      <c r="M362" s="84" t="s">
        <v>828</v>
      </c>
      <c r="N362" s="84" t="str" cm="1">
        <f t="array" ref="N362">IFERROR(M362-A362,"N/A")</f>
        <v>N/A</v>
      </c>
      <c r="O362" s="55"/>
      <c r="P362" s="56" cm="1">
        <f t="array" ref="P362">_xlfn.XLOOKUP($B362,ADP!A2:A671,ADP!G2:G671)</f>
        <v>0</v>
      </c>
      <c r="Q362" s="57" cm="1">
        <f t="array" ref="Q362">IF(Settings!$E$12="YES",VLOOKUP(B362,'Player Data'!A1:E673,5,FALSE),84)</f>
        <v>65</v>
      </c>
      <c r="R362" s="55" cm="1">
        <f t="array" ref="R362">VLOOKUP(B362,'Player Data'!$A1:$AE673,6,FALSE)</f>
        <v>15.7</v>
      </c>
      <c r="S362" s="57" cm="1">
        <f t="array" ref="S362">VLOOKUP(B362,'Player Data'!$A1:$AE673,7,FALSE)*$Q362*IFERROR((VLOOKUP(P362,Settings!$E$28:$F$33,2,FALSE)+1),1)</f>
        <v>1.3</v>
      </c>
      <c r="T362" s="57" cm="1">
        <f t="array" ref="T362">VLOOKUP(B362,'Player Data'!$A1:$AE673,8,FALSE)*$Q362*IFERROR((VLOOKUP(P362,Settings!$E$28:$F$33,2,FALSE)+1),1)</f>
        <v>7.15</v>
      </c>
      <c r="U362" s="57" cm="1">
        <f t="array" ref="U362">SUM(S362:T362)</f>
        <v>8.4500000000000011</v>
      </c>
      <c r="V362" s="57" cm="1">
        <f t="array" ref="V362">VLOOKUP(B362,'Player Data'!$A1:$AE673,10,FALSE)*$Q362*IFERROR(((VLOOKUP(P362,Settings!$E$28:$F$33,2,FALSE)/2)+1),1)</f>
        <v>51.35</v>
      </c>
      <c r="W362" s="57" cm="1">
        <f t="array" ref="W362">VLOOKUP(B362,'Player Data'!$A1:$AE673,11,FALSE)*$Q362*IFERROR((VLOOKUP(P362,Settings!$E$28:$F$33,2,FALSE)+1),1)</f>
        <v>0</v>
      </c>
      <c r="X362" s="57" cm="1">
        <f t="array" ref="X362">VLOOKUP(B362,'Player Data'!$A1:$AE673,12,FALSE)*$Q362*IFERROR((VLOOKUP(P362,Settings!$E$28:$F$33,2,FALSE)+1),1)</f>
        <v>0</v>
      </c>
      <c r="Y362" s="57" cm="1">
        <f t="array" ref="Y362">VLOOKUP(B362,'Player Data'!$A1:$AE673,13,FALSE)*$Q362</f>
        <v>0</v>
      </c>
      <c r="Z362" s="57" cm="1">
        <f t="array" ref="Z362">VLOOKUP(B362,'Player Data'!$A1:$AE673,14,FALSE)*$Q362</f>
        <v>0.65</v>
      </c>
      <c r="AA362" s="57" cm="1">
        <f t="array" ref="AA362">VLOOKUP(B362,'Player Data'!$A1:$AE673,15,FALSE)*$Q362</f>
        <v>74.099999999999994</v>
      </c>
      <c r="AB362" s="57" cm="1">
        <f t="array" ref="AB362">VLOOKUP(B362,'Player Data'!$A1:$AE673,16,FALSE)*$Q362</f>
        <v>63.699999999999996</v>
      </c>
      <c r="AC362" s="57" cm="1">
        <f t="array" ref="AC362">VLOOKUP(B362,'Player Data'!$A1:$AE673,17,FALSE)*$Q362*IFERROR((VLOOKUP(P362,Settings!$E$28:$F$33,2,FALSE)+1),1)</f>
        <v>0.65</v>
      </c>
      <c r="AD362" s="57" cm="1">
        <f t="array" ref="AD362">VLOOKUP(B362,'Player Data'!$A1:$AE673,18,FALSE)*$Q362</f>
        <v>26</v>
      </c>
      <c r="AE362" s="57" cm="1">
        <f t="array" ref="AE362">VLOOKUP(B362,'Player Data'!$A1:$AE673,19,FALSE)*$Q362*IFERROR((VLOOKUP(P362,Settings!$E$28:$F$33,2,FALSE)+1),1)</f>
        <v>0</v>
      </c>
      <c r="AF362" s="57" cm="1">
        <f t="array" ref="AF362">VLOOKUP(B362,'Player Data'!$A1:$AE673,20,FALSE)*$Q362</f>
        <v>0</v>
      </c>
      <c r="AG362" s="57" cm="1">
        <f t="array" ref="AG362">VLOOKUP(B362,'Player Data'!$A1:$AE673,21,FALSE)*$Q362</f>
        <v>0</v>
      </c>
      <c r="AH362" s="59" cm="1">
        <f t="array" ref="AH362">VLOOKUP(B362,'Player Data'!$A1:$AE673,22,FALSE)</f>
        <v>0</v>
      </c>
      <c r="AI362" s="55"/>
      <c r="AJ362" s="57"/>
      <c r="AK362" s="57"/>
      <c r="AL362" s="57"/>
      <c r="AM362" s="57"/>
      <c r="AN362" s="57"/>
      <c r="AO362" s="57"/>
      <c r="AP362" s="57"/>
      <c r="AQ362" s="60"/>
      <c r="AR362" s="61"/>
      <c r="AS362" s="55"/>
    </row>
    <row r="363" spans="1:45" ht="21.25" customHeight="1" x14ac:dyDescent="0.15">
      <c r="A363" s="62">
        <f>RANK(K363,K$2:K$671)</f>
        <v>333</v>
      </c>
      <c r="B363" s="10" t="s">
        <v>318</v>
      </c>
      <c r="C363" s="47" t="s">
        <v>145</v>
      </c>
      <c r="D363" s="48" t="str" cm="1">
        <f t="array" ref="D363">VLOOKUP(B363,'Player Data'!A1:D673,4,FALSE)</f>
        <v>C,LW</v>
      </c>
      <c r="E363" s="74" cm="1">
        <f t="array" ref="E363">VLOOKUP(B363,LW!A1:C210,3,FALSE)</f>
        <v>66</v>
      </c>
      <c r="F363" s="63" t="str" cm="1">
        <f t="array" ref="F363">VLOOKUP(B363,'Player Data'!A1:B673,2,FALSE)</f>
        <v>SEA</v>
      </c>
      <c r="G363" s="11" cm="1">
        <f t="array" ref="G363">VLOOKUP(B363,'Player Data'!A1:D673,3,FALSE)</f>
        <v>30</v>
      </c>
      <c r="H363" s="67" cm="1">
        <f t="array" ref="H363">IFERROR(VLOOKUP(B363,ADP!A1:F671,6,FALSE)/1000000,VLOOKUP(B363,ADP!A1:F671,6,FALSE))</f>
        <v>5</v>
      </c>
      <c r="I363" s="52">
        <f>IF(Settings!$E$15="POINTS",((R363*Q363)*Settings!$B$12)+(S363*Settings!$B$2)+(T363*Settings!$B$3)+(U363*Settings!$B$4)+(V363*Settings!$B$5)+(X363*Settings!$B$9)+(AA363*Settings!$B$6)+(W363*Settings!$B$8)+(AB363*Settings!$B$7)+(AC363*Settings!$B$14)+(AD363*Settings!$B$15)+(AE363*Settings!$B$16)+(AF363*Settings!$B$17)+(AG363*Settings!$B$18)+(Y363*Settings!$B$10)+(Z363*Settings!$B$11),VLOOKUP(B363,'Standard Deviations'!A$1:C$672,3,FALSE))</f>
        <v>2.2491374797989487</v>
      </c>
      <c r="J363" s="53" cm="1">
        <f t="array" ref="J363">IF(D363="G",I363/AJ363,I363/Q363)</f>
        <v>2.8470094680999352E-2</v>
      </c>
      <c r="K363" s="52" cm="1">
        <f t="array" ref="K363">IF(Settings!$E$18="C/LW/RW",VLOOKUP(B363,LW!A1:F210,6,FALSE),VLOOKUP(B363,F!A1:F407,6,FALSE))</f>
        <v>-4.6452481645908605</v>
      </c>
      <c r="L363" s="54" cm="1">
        <f t="array" ref="L363">IFERROR(K363/H363,"N/A")</f>
        <v>-0.92904963291817211</v>
      </c>
      <c r="M363" s="84" t="s">
        <v>828</v>
      </c>
      <c r="N363" s="84" t="str" cm="1">
        <f t="array" ref="N363">IFERROR(M363-A363,"N/A")</f>
        <v>N/A</v>
      </c>
      <c r="O363" s="55"/>
      <c r="P363" s="56" cm="1">
        <f t="array" ref="P363">_xlfn.XLOOKUP($B363,ADP!A2:A671,ADP!G2:G671)</f>
        <v>0</v>
      </c>
      <c r="Q363" s="57" cm="1">
        <f t="array" ref="Q363">IF(Settings!$E$12="YES",VLOOKUP(B363,'Player Data'!A1:E673,5,FALSE),84)</f>
        <v>79</v>
      </c>
      <c r="R363" s="55" cm="1">
        <f t="array" ref="R363">VLOOKUP(B363,'Player Data'!$A1:$AE673,6,FALSE)</f>
        <v>16.399999999999999</v>
      </c>
      <c r="S363" s="57" cm="1">
        <f t="array" ref="S363">VLOOKUP(B363,'Player Data'!$A1:$AE673,7,FALSE)*$Q363*IFERROR((VLOOKUP(P363,Settings!$E$28:$F$33,2,FALSE)+1),1)</f>
        <v>26.07</v>
      </c>
      <c r="T363" s="57" cm="1">
        <f t="array" ref="T363">VLOOKUP(B363,'Player Data'!$A1:$AE673,8,FALSE)*$Q363*IFERROR((VLOOKUP(P363,Settings!$E$28:$F$33,2,FALSE)+1),1)</f>
        <v>33.97</v>
      </c>
      <c r="U363" s="57" cm="1">
        <f t="array" ref="U363">SUM(S363:T363)</f>
        <v>60.04</v>
      </c>
      <c r="V363" s="57" cm="1">
        <f t="array" ref="V363">VLOOKUP(B363,'Player Data'!$A1:$AE673,10,FALSE)*$Q363*IFERROR(((VLOOKUP(P363,Settings!$E$28:$F$33,2,FALSE)/2)+1),1)</f>
        <v>187.23000000000002</v>
      </c>
      <c r="W363" s="57" cm="1">
        <f t="array" ref="W363">VLOOKUP(B363,'Player Data'!$A1:$AE673,11,FALSE)*$Q363*IFERROR((VLOOKUP(P363,Settings!$E$28:$F$33,2,FALSE)+1),1)</f>
        <v>7.9</v>
      </c>
      <c r="X363" s="78" cm="1">
        <f t="array" ref="X363">VLOOKUP(B363,'Player Data'!$A1:$AE673,12,FALSE)*$Q363*IFERROR((VLOOKUP(P363,Settings!$E$28:$F$33,2,FALSE)+1),1)</f>
        <v>18.96</v>
      </c>
      <c r="Y363" s="57" cm="1">
        <f t="array" ref="Y363">VLOOKUP(B363,'Player Data'!$A1:$AE673,13,FALSE)*$Q363</f>
        <v>0</v>
      </c>
      <c r="Z363" s="57" cm="1">
        <f t="array" ref="Z363">VLOOKUP(B363,'Player Data'!$A1:$AE673,14,FALSE)*$Q363</f>
        <v>0</v>
      </c>
      <c r="AA363" s="57" cm="1">
        <f t="array" ref="AA363">VLOOKUP(B363,'Player Data'!$A1:$AE673,15,FALSE)*$Q363</f>
        <v>39.5</v>
      </c>
      <c r="AB363" s="57" cm="1">
        <f t="array" ref="AB363">VLOOKUP(B363,'Player Data'!$A1:$AE673,16,FALSE)*$Q363</f>
        <v>59.25</v>
      </c>
      <c r="AC363" s="57" cm="1">
        <f t="array" ref="AC363">VLOOKUP(B363,'Player Data'!$A1:$AE673,17,FALSE)*$Q363*IFERROR((VLOOKUP(P363,Settings!$E$28:$F$33,2,FALSE)+1),1)</f>
        <v>-5.53</v>
      </c>
      <c r="AD363" s="57" cm="1">
        <f t="array" ref="AD363">VLOOKUP(B363,'Player Data'!$A1:$AE673,18,FALSE)*$Q363</f>
        <v>22.91</v>
      </c>
      <c r="AE363" s="57" cm="1">
        <f t="array" ref="AE363">VLOOKUP(B363,'Player Data'!$A1:$AE673,19,FALSE)*$Q363*IFERROR((VLOOKUP(P363,Settings!$E$28:$F$33,2,FALSE)+1),1)</f>
        <v>3.95</v>
      </c>
      <c r="AF363" s="57" cm="1">
        <f t="array" ref="AF363">VLOOKUP(B363,'Player Data'!$A1:$AE673,20,FALSE)*$Q363</f>
        <v>60.04</v>
      </c>
      <c r="AG363" s="57" cm="1">
        <f t="array" ref="AG363">VLOOKUP(B363,'Player Data'!$A1:$AE673,21,FALSE)*$Q363</f>
        <v>65.569999999999993</v>
      </c>
      <c r="AH363" s="59" cm="1">
        <f t="array" ref="AH363">VLOOKUP(B363,'Player Data'!$A1:$AE673,22,FALSE)</f>
        <v>0.48</v>
      </c>
      <c r="AI363" s="55"/>
      <c r="AJ363" s="57"/>
      <c r="AK363" s="57"/>
      <c r="AL363" s="57"/>
      <c r="AM363" s="57"/>
      <c r="AN363" s="57"/>
      <c r="AO363" s="57"/>
      <c r="AP363" s="57"/>
      <c r="AQ363" s="60"/>
      <c r="AR363" s="61"/>
      <c r="AS363" s="55"/>
    </row>
    <row r="364" spans="1:45" ht="21.25" customHeight="1" x14ac:dyDescent="0.15">
      <c r="A364" s="62">
        <f>RANK(K364,K$2:K$671)</f>
        <v>387</v>
      </c>
      <c r="B364" s="10" t="s">
        <v>599</v>
      </c>
      <c r="C364" s="47" t="s">
        <v>145</v>
      </c>
      <c r="D364" s="48" t="str" cm="1">
        <f t="array" ref="D364">VLOOKUP(B364,'Player Data'!A1:D673,4,FALSE)</f>
        <v>D</v>
      </c>
      <c r="E364" s="68" cm="1">
        <f t="array" ref="E364">VLOOKUP(B364,D!A1:C204,3,FALSE)</f>
        <v>182</v>
      </c>
      <c r="F364" s="72" t="str" cm="1">
        <f t="array" ref="F364">VLOOKUP(B364,'Player Data'!A1:B673,2,FALSE)</f>
        <v>PIT</v>
      </c>
      <c r="G364" s="66" cm="1">
        <f t="array" ref="G364">VLOOKUP(B364,'Player Data'!A1:D673,3,FALSE)</f>
        <v>31</v>
      </c>
      <c r="H364" s="51" cm="1">
        <f t="array" ref="H364">IFERROR(VLOOKUP(B364,ADP!A1:F671,6,FALSE)/1000000,VLOOKUP(B364,ADP!A1:F671,6,FALSE))</f>
        <v>4.5</v>
      </c>
      <c r="I364" s="52">
        <f>IF(Settings!$E$15="POINTS",((R364*Q364)*Settings!$B$12)+(S364*Settings!$B$2)+(T364*Settings!$B$3)+(U364*Settings!$B$4)+(V364*Settings!$B$5)+(X364*Settings!$B$9)+(AA364*Settings!$B$6)+(W364*Settings!$B$8)+(AB364*Settings!$B$7)+(AC364*Settings!$B$14)+(AD364*Settings!$B$15)+(AE364*Settings!$B$16)+(AF364*Settings!$B$17)+(AG364*Settings!$B$18)+(U364*Settings!$B$13)+(Y364*Settings!$B$10)+(Z364*Settings!$B$11),VLOOKUP(B364,'Standard Deviations'!A$1:C$672,3,FALSE))</f>
        <v>-4.9774616797926976</v>
      </c>
      <c r="J364" s="53" cm="1">
        <f t="array" ref="J364">IF(D364="G",I364/AJ364,I364/Q364)</f>
        <v>-7.2137125794097062E-2</v>
      </c>
      <c r="K364" s="52" cm="1">
        <f t="array" ref="K364">VLOOKUP(B364,D!A1:F204,6,FALSE)</f>
        <v>-5.5443125943102523</v>
      </c>
      <c r="L364" s="54" cm="1">
        <f t="array" ref="L364">IFERROR(K364/H364,"N/A")</f>
        <v>-1.2320694654022784</v>
      </c>
      <c r="M364" s="84" t="s">
        <v>828</v>
      </c>
      <c r="N364" s="84" t="str" cm="1">
        <f t="array" ref="N364">IFERROR(M364-A364,"N/A")</f>
        <v>N/A</v>
      </c>
      <c r="O364" s="55"/>
      <c r="P364" s="56" cm="1">
        <f t="array" ref="P364">_xlfn.XLOOKUP($B364,ADP!A2:A671,ADP!G2:G671)</f>
        <v>0</v>
      </c>
      <c r="Q364" s="57" cm="1">
        <f t="array" ref="Q364">IF(Settings!$E$12="YES",VLOOKUP(B364,'Player Data'!A1:E673,5,FALSE),84)</f>
        <v>69</v>
      </c>
      <c r="R364" s="55" cm="1">
        <f t="array" ref="R364">VLOOKUP(B364,'Player Data'!$A1:$AE673,6,FALSE)</f>
        <v>16</v>
      </c>
      <c r="S364" s="57" cm="1">
        <f t="array" ref="S364">VLOOKUP(B364,'Player Data'!$A1:$AE673,7,FALSE)*$Q364*IFERROR((VLOOKUP(P364,Settings!$E$28:$F$33,2,FALSE)+1),1)</f>
        <v>1.3800000000000001</v>
      </c>
      <c r="T364" s="57" cm="1">
        <f t="array" ref="T364">VLOOKUP(B364,'Player Data'!$A1:$AE673,8,FALSE)*$Q364*IFERROR((VLOOKUP(P364,Settings!$E$28:$F$33,2,FALSE)+1),1)</f>
        <v>6.21</v>
      </c>
      <c r="U364" s="57" cm="1">
        <f t="array" ref="U364">SUM(S364:T364)</f>
        <v>7.59</v>
      </c>
      <c r="V364" s="57" cm="1">
        <f t="array" ref="V364">VLOOKUP(B364,'Player Data'!$A1:$AE673,10,FALSE)*$Q364*IFERROR(((VLOOKUP(P364,Settings!$E$28:$F$33,2,FALSE)/2)+1),1)</f>
        <v>51.75</v>
      </c>
      <c r="W364" s="57" cm="1">
        <f t="array" ref="W364">VLOOKUP(B364,'Player Data'!$A1:$AE673,11,FALSE)*$Q364*IFERROR((VLOOKUP(P364,Settings!$E$28:$F$33,2,FALSE)+1),1)</f>
        <v>0</v>
      </c>
      <c r="X364" s="57" cm="1">
        <f t="array" ref="X364">VLOOKUP(B364,'Player Data'!$A1:$AE673,12,FALSE)*$Q364*IFERROR((VLOOKUP(P364,Settings!$E$28:$F$33,2,FALSE)+1),1)</f>
        <v>0</v>
      </c>
      <c r="Y364" s="57" cm="1">
        <f t="array" ref="Y364">VLOOKUP(B364,'Player Data'!$A1:$AE673,13,FALSE)*$Q364</f>
        <v>0</v>
      </c>
      <c r="Z364" s="57" cm="1">
        <f t="array" ref="Z364">VLOOKUP(B364,'Player Data'!$A1:$AE673,14,FALSE)*$Q364</f>
        <v>0</v>
      </c>
      <c r="AA364" s="57" cm="1">
        <f t="array" ref="AA364">VLOOKUP(B364,'Player Data'!$A1:$AE673,15,FALSE)*$Q364</f>
        <v>97.289999999999992</v>
      </c>
      <c r="AB364" s="57" cm="1">
        <f t="array" ref="AB364">VLOOKUP(B364,'Player Data'!$A1:$AE673,16,FALSE)*$Q364</f>
        <v>77.97</v>
      </c>
      <c r="AC364" s="57" cm="1">
        <f t="array" ref="AC364">VLOOKUP(B364,'Player Data'!$A1:$AE673,17,FALSE)*$Q364*IFERROR((VLOOKUP(P364,Settings!$E$28:$F$33,2,FALSE)+1),1)</f>
        <v>-0.69000000000000006</v>
      </c>
      <c r="AD364" s="57" cm="1">
        <f t="array" ref="AD364">VLOOKUP(B364,'Player Data'!$A1:$AE673,18,FALSE)*$Q364</f>
        <v>26.22</v>
      </c>
      <c r="AE364" s="57" cm="1">
        <f t="array" ref="AE364">VLOOKUP(B364,'Player Data'!$A1:$AE673,19,FALSE)*$Q364*IFERROR((VLOOKUP(P364,Settings!$E$28:$F$33,2,FALSE)+1),1)</f>
        <v>0</v>
      </c>
      <c r="AF364" s="57" cm="1">
        <f t="array" ref="AF364">VLOOKUP(B364,'Player Data'!$A1:$AE673,20,FALSE)*$Q364</f>
        <v>0</v>
      </c>
      <c r="AG364" s="57" cm="1">
        <f t="array" ref="AG364">VLOOKUP(B364,'Player Data'!$A1:$AE673,21,FALSE)*$Q364</f>
        <v>0</v>
      </c>
      <c r="AH364" s="59" cm="1">
        <f t="array" ref="AH364">VLOOKUP(B364,'Player Data'!$A1:$AE673,22,FALSE)</f>
        <v>0</v>
      </c>
      <c r="AI364" s="55"/>
      <c r="AJ364" s="57"/>
      <c r="AK364" s="57"/>
      <c r="AL364" s="57"/>
      <c r="AM364" s="57"/>
      <c r="AN364" s="57"/>
      <c r="AO364" s="57"/>
      <c r="AP364" s="57"/>
      <c r="AQ364" s="60"/>
      <c r="AR364" s="61"/>
      <c r="AS364" s="55"/>
    </row>
    <row r="365" spans="1:45" ht="21.25" customHeight="1" x14ac:dyDescent="0.15">
      <c r="A365" s="62">
        <f>RANK(K365,K$2:K$671)</f>
        <v>377</v>
      </c>
      <c r="B365" s="10" t="s">
        <v>615</v>
      </c>
      <c r="C365" s="47" t="s">
        <v>145</v>
      </c>
      <c r="D365" s="48" t="str" cm="1">
        <f t="array" ref="D365">VLOOKUP(B365,'Player Data'!A1:D673,4,FALSE)</f>
        <v>G</v>
      </c>
      <c r="E365" s="76" cm="1">
        <f t="array" ref="E365">VLOOKUP(B365,G!A1:D66,3,FALSE)</f>
        <v>52</v>
      </c>
      <c r="F365" s="72" t="str" cm="1">
        <f t="array" ref="F365">VLOOKUP(B365,'Player Data'!A1:B673,2,FALSE)</f>
        <v>BOS</v>
      </c>
      <c r="G365" s="11" cm="1">
        <f t="array" ref="G365">VLOOKUP(B365,'Player Data'!A1:D673,3,FALSE)</f>
        <v>27</v>
      </c>
      <c r="H365" s="67" cm="1">
        <f t="array" ref="H365">IFERROR(VLOOKUP(B365,ADP!A1:F671,6,FALSE)/1000000,VLOOKUP(B365,ADP!A1:F671,6,FALSE))</f>
        <v>0.8125</v>
      </c>
      <c r="I365" s="52">
        <f>IF(Settings!$E$15="POINTS",(AJ365*Settings!$B$29)+(AK365*Settings!$B$21)+(AL365*Settings!$B$22)+(AN365*Settings!$B$24)+(AO365*Settings!$B$25)+(AP365*Settings!$B$27)+(AM365*Settings!$B$23),VLOOKUP(B365,'Standard Deviations'!A$1:C$672,3,FALSE))</f>
        <v>-3.3420735066065905</v>
      </c>
      <c r="J365" s="53" cm="1">
        <f t="array" ref="J365">IF(D365="G",I365/AJ365,I365/Q365)</f>
        <v>-0.13368294026426361</v>
      </c>
      <c r="K365" s="52" cm="1">
        <f t="array" ref="K365">VLOOKUP(B365,G!A1:F66,6,FALSE)</f>
        <v>-5.3802587657302654</v>
      </c>
      <c r="L365" s="54" cm="1">
        <f t="array" ref="L365">IFERROR(K365/H365,"N/A")</f>
        <v>-6.6218569424372493</v>
      </c>
      <c r="M365" s="84" t="s">
        <v>828</v>
      </c>
      <c r="N365" s="84" t="str" cm="1">
        <f t="array" ref="N365">IFERROR(M365-A365,"N/A")</f>
        <v>N/A</v>
      </c>
      <c r="O365" s="55"/>
      <c r="P365" s="56" cm="1">
        <f t="array" ref="P365">_xlfn.XLOOKUP($B365,ADP!A2:A671,ADP!G2:G671)</f>
        <v>0</v>
      </c>
      <c r="Q365" s="57"/>
      <c r="R365" s="55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9"/>
      <c r="AI365" s="55"/>
      <c r="AJ365" s="77" cm="1">
        <f t="array" ref="AJ365">VLOOKUP(B365,'Player Data'!$A1:$AE673,24,FALSE)</f>
        <v>25</v>
      </c>
      <c r="AK365" s="57" cm="1">
        <f t="array" ref="AK365">VLOOKUP(B365,'Player Data'!$A1:$AE673,25,FALSE)*$AJ365*IFERROR((VLOOKUP(P365,Settings!$E$28:$F$33,2,FALSE)+1),1)</f>
        <v>11.5</v>
      </c>
      <c r="AL365" s="57" cm="1">
        <f t="array" ref="AL365">AJ365-AK365-AM365</f>
        <v>10.25</v>
      </c>
      <c r="AM365" s="57" cm="1">
        <f t="array" ref="AM365">VLOOKUP(B365,'Player Data'!$A1:$AE673,27,FALSE)*$AJ365</f>
        <v>3.25</v>
      </c>
      <c r="AN365" s="57" cm="1">
        <f t="array" ref="AN365">VLOOKUP(B365,'Player Data'!$A1:$AE673,28,FALSE)*AJ365</f>
        <v>1</v>
      </c>
      <c r="AO365" s="57" cm="1">
        <f t="array" ref="AO365">VLOOKUP(B365,'Player Data'!$A1:$AE673,29,FALSE)*$AJ365*IFERROR((VLOOKUP(P365,Settings!$E$28:$F$33,2,FALSE)/4)+1,1)</f>
        <v>667.5</v>
      </c>
      <c r="AP365" s="57" cm="1">
        <f t="array" ref="AP365">VLOOKUP(B365,'Player Data'!$A1:$AE673,31,FALSE)*$AJ365*(IFERROR(1-(VLOOKUP(P365,Settings!$E$28:$F$33,2,FALSE)/4),1))</f>
        <v>75</v>
      </c>
      <c r="AQ365" s="60" cm="1">
        <f t="array" ref="AQ365">1-(AP365/(AO365+AP365))</f>
        <v>0.89898989898989901</v>
      </c>
      <c r="AR365" s="61" cm="1">
        <f t="array" ref="AR365">AP365/AJ365</f>
        <v>3</v>
      </c>
      <c r="AS365" s="55"/>
    </row>
    <row r="366" spans="1:45" ht="21.25" customHeight="1" x14ac:dyDescent="0.15">
      <c r="A366" s="62">
        <f>RANK(K366,K$2:K$671)</f>
        <v>335</v>
      </c>
      <c r="B366" s="10" t="s">
        <v>563</v>
      </c>
      <c r="C366" s="47" t="s">
        <v>145</v>
      </c>
      <c r="D366" s="48" t="str" cm="1">
        <f t="array" ref="D366">VLOOKUP(B366,'Player Data'!A1:D673,4,FALSE)</f>
        <v>C</v>
      </c>
      <c r="E366" s="49" cm="1">
        <f t="array" ref="E366">VLOOKUP(B366,'C'!A1:C210,3,FALSE)</f>
        <v>71</v>
      </c>
      <c r="F366" s="65" t="str" cm="1">
        <f t="array" ref="F366">VLOOKUP(B366,'Player Data'!A1:B673,2,FALSE)</f>
        <v>CAR</v>
      </c>
      <c r="G366" s="66" cm="1">
        <f t="array" ref="G366">VLOOKUP(B366,'Player Data'!A1:D673,3,FALSE)</f>
        <v>38</v>
      </c>
      <c r="H366" s="67" cm="1">
        <f t="array" ref="H366">IFERROR(VLOOKUP(B366,ADP!A1:F671,6,FALSE)/1000000,VLOOKUP(B366,ADP!A1:F671,6,FALSE))</f>
        <v>2.9180000000000001</v>
      </c>
      <c r="I366" s="52">
        <f>IF(Settings!$E$15="POINTS",((R366*Q366)*Settings!$B$12)+(S366*Settings!$B$2)+(T366*Settings!$B$3)+(U366*Settings!$B$4)+(V366*Settings!$B$5)+(X366*Settings!$B$9)+(AA366*Settings!$B$6)+(W366*Settings!$B$8)+(AB366*Settings!$B$7)+(AC366*Settings!$B$14)+(AD366*Settings!$B$15)+(AE366*Settings!$B$16)+(AF366*Settings!$B$17)+(AG366*Settings!$B$18)+(Y366*Settings!$B$10)+(Z366*Settings!$B$11),VLOOKUP(B366,'Standard Deviations'!A$1:C$672,3,FALSE))</f>
        <v>1.6985267288324548</v>
      </c>
      <c r="J366" s="53" cm="1">
        <f t="array" ref="J366">IF(D366="G",I366/AJ366,I366/Q366)</f>
        <v>2.0713740595517741E-2</v>
      </c>
      <c r="K366" s="52" cm="1">
        <f t="array" ref="K366">IF(Settings!$E$18="C/LW/RW",VLOOKUP(B366,'C'!A1:F210,6,FALSE),VLOOKUP(B366,F!A1:F407,6,FALSE))</f>
        <v>-4.6614828287826091</v>
      </c>
      <c r="L366" s="54" cm="1">
        <f t="array" ref="L366">IFERROR(K366/H366,"N/A")</f>
        <v>-1.5974924019131627</v>
      </c>
      <c r="M366" s="84" t="s">
        <v>828</v>
      </c>
      <c r="N366" s="84" t="str" cm="1">
        <f t="array" ref="N366">IFERROR(M366-A366,"N/A")</f>
        <v>N/A</v>
      </c>
      <c r="O366" s="55"/>
      <c r="P366" s="56" cm="1">
        <f t="array" ref="P366">_xlfn.XLOOKUP($B366,ADP!A2:A671,ADP!G2:G671)</f>
        <v>0</v>
      </c>
      <c r="Q366" s="57" cm="1">
        <f t="array" ref="Q366">IF(Settings!$E$12="YES",VLOOKUP(B366,'Player Data'!A1:E673,5,FALSE),84)</f>
        <v>82</v>
      </c>
      <c r="R366" s="55" cm="1">
        <f t="array" ref="R366">VLOOKUP(B366,'Player Data'!$A1:$AE673,6,FALSE)</f>
        <v>15.8</v>
      </c>
      <c r="S366" s="57" cm="1">
        <f t="array" ref="S366">VLOOKUP(B366,'Player Data'!$A1:$AE673,7,FALSE)*$Q366*IFERROR((VLOOKUP(P366,Settings!$E$28:$F$33,2,FALSE)+1),1)</f>
        <v>15.58</v>
      </c>
      <c r="T366" s="57" cm="1">
        <f t="array" ref="T366">VLOOKUP(B366,'Player Data'!$A1:$AE673,8,FALSE)*$Q366*IFERROR((VLOOKUP(P366,Settings!$E$28:$F$33,2,FALSE)+1),1)</f>
        <v>19.68</v>
      </c>
      <c r="U366" s="57" cm="1">
        <f t="array" ref="U366">SUM(S366:T366)</f>
        <v>35.26</v>
      </c>
      <c r="V366" s="57" cm="1">
        <f t="array" ref="V366">VLOOKUP(B366,'Player Data'!$A1:$AE673,10,FALSE)*$Q366*IFERROR(((VLOOKUP(P366,Settings!$E$28:$F$33,2,FALSE)/2)+1),1)</f>
        <v>114.8</v>
      </c>
      <c r="W366" s="57" cm="1">
        <f t="array" ref="W366">VLOOKUP(B366,'Player Data'!$A1:$AE673,11,FALSE)*$Q366*IFERROR((VLOOKUP(P366,Settings!$E$28:$F$33,2,FALSE)+1),1)</f>
        <v>0.82000000000000006</v>
      </c>
      <c r="X366" s="57" cm="1">
        <f t="array" ref="X366">VLOOKUP(B366,'Player Data'!$A1:$AE673,12,FALSE)*$Q366*IFERROR((VLOOKUP(P366,Settings!$E$28:$F$33,2,FALSE)+1),1)</f>
        <v>1.6400000000000001</v>
      </c>
      <c r="Y366" s="57" cm="1">
        <f t="array" ref="Y366">VLOOKUP(B366,'Player Data'!$A1:$AE673,13,FALSE)*$Q366</f>
        <v>0.82000000000000006</v>
      </c>
      <c r="Z366" s="57" cm="1">
        <f t="array" ref="Z366">VLOOKUP(B366,'Player Data'!$A1:$AE673,14,FALSE)*$Q366</f>
        <v>1.6400000000000001</v>
      </c>
      <c r="AA366" s="57" cm="1">
        <f t="array" ref="AA366">VLOOKUP(B366,'Player Data'!$A1:$AE673,15,FALSE)*$Q366</f>
        <v>50.019999999999996</v>
      </c>
      <c r="AB366" s="57" cm="1">
        <f t="array" ref="AB366">VLOOKUP(B366,'Player Data'!$A1:$AE673,16,FALSE)*$Q366</f>
        <v>159.07999999999998</v>
      </c>
      <c r="AC366" s="57" cm="1">
        <f t="array" ref="AC366">VLOOKUP(B366,'Player Data'!$A1:$AE673,17,FALSE)*$Q366*IFERROR((VLOOKUP(P366,Settings!$E$28:$F$33,2,FALSE)+1),1)</f>
        <v>5.74</v>
      </c>
      <c r="AD366" s="57" cm="1">
        <f t="array" ref="AD366">VLOOKUP(B366,'Player Data'!$A1:$AE673,18,FALSE)*$Q366</f>
        <v>27.060000000000002</v>
      </c>
      <c r="AE366" s="57" cm="1">
        <f t="array" ref="AE366">VLOOKUP(B366,'Player Data'!$A1:$AE673,19,FALSE)*$Q366*IFERROR((VLOOKUP(P366,Settings!$E$28:$F$33,2,FALSE)+1),1)</f>
        <v>2.46</v>
      </c>
      <c r="AF366" s="57" cm="1">
        <f t="array" ref="AF366">VLOOKUP(B366,'Player Data'!$A1:$AE673,20,FALSE)*$Q366</f>
        <v>876.57999999999993</v>
      </c>
      <c r="AG366" s="57" cm="1">
        <f t="array" ref="AG366">VLOOKUP(B366,'Player Data'!$A1:$AE673,21,FALSE)*$Q366</f>
        <v>693.72</v>
      </c>
      <c r="AH366" s="59" cm="1">
        <f t="array" ref="AH366">VLOOKUP(B366,'Player Data'!$A1:$AE673,22,FALSE)</f>
        <v>0.56000000000000005</v>
      </c>
      <c r="AI366" s="55"/>
      <c r="AJ366" s="57"/>
      <c r="AK366" s="57"/>
      <c r="AL366" s="57"/>
      <c r="AM366" s="57"/>
      <c r="AN366" s="57"/>
      <c r="AO366" s="57"/>
      <c r="AP366" s="57"/>
      <c r="AQ366" s="60"/>
      <c r="AR366" s="61"/>
      <c r="AS366" s="55"/>
    </row>
    <row r="367" spans="1:45" ht="21.25" customHeight="1" x14ac:dyDescent="0.15">
      <c r="A367" s="62">
        <f>RANK(K367,K$2:K$671)</f>
        <v>388</v>
      </c>
      <c r="B367" s="10" t="s">
        <v>607</v>
      </c>
      <c r="C367" s="47" t="s">
        <v>145</v>
      </c>
      <c r="D367" s="48" t="str" cm="1">
        <f t="array" ref="D367">VLOOKUP(B367,'Player Data'!A1:D673,4,FALSE)</f>
        <v>D</v>
      </c>
      <c r="E367" s="68" cm="1">
        <f t="array" ref="E367">VLOOKUP(B367,D!A1:C204,3,FALSE)</f>
        <v>183</v>
      </c>
      <c r="F367" s="56" t="str" cm="1">
        <f t="array" ref="F367">VLOOKUP(B367,'Player Data'!A1:B673,2,FALSE)</f>
        <v>UTA</v>
      </c>
      <c r="G367" s="71" cm="1">
        <f t="array" ref="G367">VLOOKUP(B367,'Player Data'!A1:D673,3,FALSE)</f>
        <v>21</v>
      </c>
      <c r="H367" s="51" cm="1">
        <f t="array" ref="H367">IFERROR(VLOOKUP(B367,ADP!A1:F671,6,FALSE)/1000000,VLOOKUP(B367,ADP!A1:F671,6,FALSE))</f>
        <v>0.95</v>
      </c>
      <c r="I367" s="52">
        <f>IF(Settings!$E$15="POINTS",((R367*Q367)*Settings!$B$12)+(S367*Settings!$B$2)+(T367*Settings!$B$3)+(U367*Settings!$B$4)+(V367*Settings!$B$5)+(X367*Settings!$B$9)+(AA367*Settings!$B$6)+(W367*Settings!$B$8)+(AB367*Settings!$B$7)+(AC367*Settings!$B$14)+(AD367*Settings!$B$15)+(AE367*Settings!$B$16)+(AF367*Settings!$B$17)+(AG367*Settings!$B$18)+(U367*Settings!$B$13)+(Y367*Settings!$B$10)+(Z367*Settings!$B$11),VLOOKUP(B367,'Standard Deviations'!A$1:C$672,3,FALSE))</f>
        <v>-5.0091470068219435</v>
      </c>
      <c r="J367" s="53" cm="1">
        <f t="array" ref="J367">IF(D367="G",I367/AJ367,I367/Q367)</f>
        <v>-8.0792693658418444E-2</v>
      </c>
      <c r="K367" s="52" cm="1">
        <f t="array" ref="K367">VLOOKUP(B367,D!A1:F204,6,FALSE)</f>
        <v>-5.5759979213394981</v>
      </c>
      <c r="L367" s="54" cm="1">
        <f t="array" ref="L367">IFERROR(K367/H367,"N/A")</f>
        <v>-5.8694714961468408</v>
      </c>
      <c r="M367" s="84" t="s">
        <v>828</v>
      </c>
      <c r="N367" s="84" t="str" cm="1">
        <f t="array" ref="N367">IFERROR(M367-A367,"N/A")</f>
        <v>N/A</v>
      </c>
      <c r="O367" s="55"/>
      <c r="P367" s="56" cm="1">
        <f t="array" ref="P367">_xlfn.XLOOKUP($B367,ADP!A2:A671,ADP!G2:G671)</f>
        <v>0</v>
      </c>
      <c r="Q367" s="57" cm="1">
        <f t="array" ref="Q367">IF(Settings!$E$12="YES",VLOOKUP(B367,'Player Data'!A1:E673,5,FALSE),84)</f>
        <v>62</v>
      </c>
      <c r="R367" s="55" cm="1">
        <f t="array" ref="R367">VLOOKUP(B367,'Player Data'!$A1:$AE673,6,FALSE)</f>
        <v>15.2</v>
      </c>
      <c r="S367" s="57" cm="1">
        <f t="array" ref="S367">VLOOKUP(B367,'Player Data'!$A1:$AE673,7,FALSE)*$Q367*IFERROR((VLOOKUP(P367,Settings!$E$28:$F$33,2,FALSE)+1),1)</f>
        <v>2.48</v>
      </c>
      <c r="T367" s="57" cm="1">
        <f t="array" ref="T367">VLOOKUP(B367,'Player Data'!$A1:$AE673,8,FALSE)*$Q367*IFERROR((VLOOKUP(P367,Settings!$E$28:$F$33,2,FALSE)+1),1)</f>
        <v>8.6800000000000015</v>
      </c>
      <c r="U367" s="57" cm="1">
        <f t="array" ref="U367">SUM(S367:T367)</f>
        <v>11.160000000000002</v>
      </c>
      <c r="V367" s="57" cm="1">
        <f t="array" ref="V367">VLOOKUP(B367,'Player Data'!$A1:$AE673,10,FALSE)*$Q367*IFERROR(((VLOOKUP(P367,Settings!$E$28:$F$33,2,FALSE)/2)+1),1)</f>
        <v>68.2</v>
      </c>
      <c r="W367" s="57" cm="1">
        <f t="array" ref="W367">VLOOKUP(B367,'Player Data'!$A1:$AE673,11,FALSE)*$Q367*IFERROR((VLOOKUP(P367,Settings!$E$28:$F$33,2,FALSE)+1),1)</f>
        <v>0</v>
      </c>
      <c r="X367" s="57" cm="1">
        <f t="array" ref="X367">VLOOKUP(B367,'Player Data'!$A1:$AE673,12,FALSE)*$Q367*IFERROR((VLOOKUP(P367,Settings!$E$28:$F$33,2,FALSE)+1),1)</f>
        <v>0</v>
      </c>
      <c r="Y367" s="57" cm="1">
        <f t="array" ref="Y367">VLOOKUP(B367,'Player Data'!$A1:$AE673,13,FALSE)*$Q367</f>
        <v>0</v>
      </c>
      <c r="Z367" s="57" cm="1">
        <f t="array" ref="Z367">VLOOKUP(B367,'Player Data'!$A1:$AE673,14,FALSE)*$Q367</f>
        <v>0</v>
      </c>
      <c r="AA367" s="57" cm="1">
        <f t="array" ref="AA367">VLOOKUP(B367,'Player Data'!$A1:$AE673,15,FALSE)*$Q367</f>
        <v>69.440000000000012</v>
      </c>
      <c r="AB367" s="57" cm="1">
        <f t="array" ref="AB367">VLOOKUP(B367,'Player Data'!$A1:$AE673,16,FALSE)*$Q367</f>
        <v>54.56</v>
      </c>
      <c r="AC367" s="57" cm="1">
        <f t="array" ref="AC367">VLOOKUP(B367,'Player Data'!$A1:$AE673,17,FALSE)*$Q367*IFERROR((VLOOKUP(P367,Settings!$E$28:$F$33,2,FALSE)+1),1)</f>
        <v>-1.24</v>
      </c>
      <c r="AD367" s="57" cm="1">
        <f t="array" ref="AD367">VLOOKUP(B367,'Player Data'!$A1:$AE673,18,FALSE)*$Q367</f>
        <v>24.8</v>
      </c>
      <c r="AE367" s="57" cm="1">
        <f t="array" ref="AE367">VLOOKUP(B367,'Player Data'!$A1:$AE673,19,FALSE)*$Q367*IFERROR((VLOOKUP(P367,Settings!$E$28:$F$33,2,FALSE)+1),1)</f>
        <v>0.62</v>
      </c>
      <c r="AF367" s="57" cm="1">
        <f t="array" ref="AF367">VLOOKUP(B367,'Player Data'!$A1:$AE673,20,FALSE)*$Q367</f>
        <v>0</v>
      </c>
      <c r="AG367" s="57" cm="1">
        <f t="array" ref="AG367">VLOOKUP(B367,'Player Data'!$A1:$AE673,21,FALSE)*$Q367</f>
        <v>0</v>
      </c>
      <c r="AH367" s="59" cm="1">
        <f t="array" ref="AH367">VLOOKUP(B367,'Player Data'!$A1:$AE673,22,FALSE)</f>
        <v>0</v>
      </c>
      <c r="AI367" s="55"/>
      <c r="AJ367" s="57"/>
      <c r="AK367" s="57"/>
      <c r="AL367" s="57"/>
      <c r="AM367" s="57"/>
      <c r="AN367" s="57"/>
      <c r="AO367" s="57"/>
      <c r="AP367" s="57"/>
      <c r="AQ367" s="60"/>
      <c r="AR367" s="61"/>
      <c r="AS367" s="55"/>
    </row>
    <row r="368" spans="1:45" ht="21.25" customHeight="1" x14ac:dyDescent="0.15">
      <c r="A368" s="62">
        <f>RANK(K368,K$2:K$671)</f>
        <v>391</v>
      </c>
      <c r="B368" s="10" t="s">
        <v>536</v>
      </c>
      <c r="C368" s="47" t="s">
        <v>145</v>
      </c>
      <c r="D368" s="48" t="str" cm="1">
        <f t="array" ref="D368">VLOOKUP(B368,'Player Data'!A1:D673,4,FALSE)</f>
        <v>D</v>
      </c>
      <c r="E368" s="68" cm="1">
        <f t="array" ref="E368">VLOOKUP(B368,D!A1:C204,3,FALSE)</f>
        <v>184</v>
      </c>
      <c r="F368" s="63" t="str" cm="1">
        <f t="array" ref="F368">VLOOKUP(B368,'Player Data'!A1:B673,2,FALSE)</f>
        <v>SEA</v>
      </c>
      <c r="G368" s="11" cm="1">
        <f t="array" ref="G368">VLOOKUP(B368,'Player Data'!A1:D673,3,FALSE)</f>
        <v>28</v>
      </c>
      <c r="H368" s="67" cm="1">
        <f t="array" ref="H368">IFERROR(VLOOKUP(B368,ADP!A1:F671,6,FALSE)/1000000,VLOOKUP(B368,ADP!A1:F671,6,FALSE))</f>
        <v>0.90749999999999997</v>
      </c>
      <c r="I368" s="52">
        <f>IF(Settings!$E$15="POINTS",((R368*Q368)*Settings!$B$12)+(S368*Settings!$B$2)+(T368*Settings!$B$3)+(U368*Settings!$B$4)+(V368*Settings!$B$5)+(X368*Settings!$B$9)+(AA368*Settings!$B$6)+(W368*Settings!$B$8)+(AB368*Settings!$B$7)+(AC368*Settings!$B$14)+(AD368*Settings!$B$15)+(AE368*Settings!$B$16)+(AF368*Settings!$B$17)+(AG368*Settings!$B$18)+(U368*Settings!$B$13)+(Y368*Settings!$B$10)+(Z368*Settings!$B$11),VLOOKUP(B368,'Standard Deviations'!A$1:C$672,3,FALSE))</f>
        <v>-5.0490589515351374</v>
      </c>
      <c r="J368" s="53" cm="1">
        <f t="array" ref="J368">IF(D368="G",I368/AJ368,I368/Q368)</f>
        <v>-7.6500893205077844E-2</v>
      </c>
      <c r="K368" s="52" cm="1">
        <f t="array" ref="K368">VLOOKUP(B368,D!A1:F204,6,FALSE)</f>
        <v>-5.615909866052692</v>
      </c>
      <c r="L368" s="54" cm="1">
        <f t="array" ref="L368">IFERROR(K368/H368,"N/A")</f>
        <v>-6.1883304309120577</v>
      </c>
      <c r="M368" s="84" t="s">
        <v>828</v>
      </c>
      <c r="N368" s="84" t="str" cm="1">
        <f t="array" ref="N368">IFERROR(M368-A368,"N/A")</f>
        <v>N/A</v>
      </c>
      <c r="O368" s="55"/>
      <c r="P368" s="56" cm="1">
        <f t="array" ref="P368">_xlfn.XLOOKUP($B368,ADP!A2:A671,ADP!G2:G671)</f>
        <v>0</v>
      </c>
      <c r="Q368" s="57" cm="1">
        <f t="array" ref="Q368">IF(Settings!$E$12="YES",VLOOKUP(B368,'Player Data'!A1:E673,5,FALSE),84)</f>
        <v>66</v>
      </c>
      <c r="R368" s="81" cm="1">
        <f t="array" ref="R368">VLOOKUP(B368,'Player Data'!$A1:$AE673,6,FALSE)</f>
        <v>17.899999999999999</v>
      </c>
      <c r="S368" s="57" cm="1">
        <f t="array" ref="S368">VLOOKUP(B368,'Player Data'!$A1:$AE673,7,FALSE)*$Q368*IFERROR((VLOOKUP(P368,Settings!$E$28:$F$33,2,FALSE)+1),1)</f>
        <v>1.32</v>
      </c>
      <c r="T368" s="57" cm="1">
        <f t="array" ref="T368">VLOOKUP(B368,'Player Data'!$A1:$AE673,8,FALSE)*$Q368*IFERROR((VLOOKUP(P368,Settings!$E$28:$F$33,2,FALSE)+1),1)</f>
        <v>13.200000000000001</v>
      </c>
      <c r="U368" s="57" cm="1">
        <f t="array" ref="U368">SUM(S368:T368)</f>
        <v>14.520000000000001</v>
      </c>
      <c r="V368" s="57" cm="1">
        <f t="array" ref="V368">VLOOKUP(B368,'Player Data'!$A1:$AE673,10,FALSE)*$Q368*IFERROR(((VLOOKUP(P368,Settings!$E$28:$F$33,2,FALSE)/2)+1),1)</f>
        <v>60.06</v>
      </c>
      <c r="W368" s="57" cm="1">
        <f t="array" ref="W368">VLOOKUP(B368,'Player Data'!$A1:$AE673,11,FALSE)*$Q368*IFERROR((VLOOKUP(P368,Settings!$E$28:$F$33,2,FALSE)+1),1)</f>
        <v>0</v>
      </c>
      <c r="X368" s="57" cm="1">
        <f t="array" ref="X368">VLOOKUP(B368,'Player Data'!$A1:$AE673,12,FALSE)*$Q368*IFERROR((VLOOKUP(P368,Settings!$E$28:$F$33,2,FALSE)+1),1)</f>
        <v>0</v>
      </c>
      <c r="Y368" s="57" cm="1">
        <f t="array" ref="Y368">VLOOKUP(B368,'Player Data'!$A1:$AE673,13,FALSE)*$Q368</f>
        <v>0</v>
      </c>
      <c r="Z368" s="57" cm="1">
        <f t="array" ref="Z368">VLOOKUP(B368,'Player Data'!$A1:$AE673,14,FALSE)*$Q368</f>
        <v>0.66</v>
      </c>
      <c r="AA368" s="57" cm="1">
        <f t="array" ref="AA368">VLOOKUP(B368,'Player Data'!$A1:$AE673,15,FALSE)*$Q368</f>
        <v>95.039999999999992</v>
      </c>
      <c r="AB368" s="57" cm="1">
        <f t="array" ref="AB368">VLOOKUP(B368,'Player Data'!$A1:$AE673,16,FALSE)*$Q368</f>
        <v>92.399999999999991</v>
      </c>
      <c r="AC368" s="57" cm="1">
        <f t="array" ref="AC368">VLOOKUP(B368,'Player Data'!$A1:$AE673,17,FALSE)*$Q368*IFERROR((VLOOKUP(P368,Settings!$E$28:$F$33,2,FALSE)+1),1)</f>
        <v>-5.28</v>
      </c>
      <c r="AD368" s="57" cm="1">
        <f t="array" ref="AD368">VLOOKUP(B368,'Player Data'!$A1:$AE673,18,FALSE)*$Q368</f>
        <v>29.7</v>
      </c>
      <c r="AE368" s="57" cm="1">
        <f t="array" ref="AE368">VLOOKUP(B368,'Player Data'!$A1:$AE673,19,FALSE)*$Q368*IFERROR((VLOOKUP(P368,Settings!$E$28:$F$33,2,FALSE)+1),1)</f>
        <v>0</v>
      </c>
      <c r="AF368" s="57" cm="1">
        <f t="array" ref="AF368">VLOOKUP(B368,'Player Data'!$A1:$AE673,20,FALSE)*$Q368</f>
        <v>0</v>
      </c>
      <c r="AG368" s="57" cm="1">
        <f t="array" ref="AG368">VLOOKUP(B368,'Player Data'!$A1:$AE673,21,FALSE)*$Q368</f>
        <v>0</v>
      </c>
      <c r="AH368" s="59" cm="1">
        <f t="array" ref="AH368">VLOOKUP(B368,'Player Data'!$A1:$AE673,22,FALSE)</f>
        <v>0</v>
      </c>
      <c r="AI368" s="55"/>
      <c r="AJ368" s="57"/>
      <c r="AK368" s="57"/>
      <c r="AL368" s="57"/>
      <c r="AM368" s="57"/>
      <c r="AN368" s="57"/>
      <c r="AO368" s="57"/>
      <c r="AP368" s="57"/>
      <c r="AQ368" s="60"/>
      <c r="AR368" s="61"/>
      <c r="AS368" s="55"/>
    </row>
    <row r="369" spans="1:45" ht="21.25" customHeight="1" x14ac:dyDescent="0.15">
      <c r="A369" s="62">
        <f>RANK(K369,K$2:K$671)</f>
        <v>337</v>
      </c>
      <c r="B369" s="10" t="s">
        <v>499</v>
      </c>
      <c r="C369" s="47" t="s">
        <v>145</v>
      </c>
      <c r="D369" s="48" t="str" cm="1">
        <f t="array" ref="D369">VLOOKUP(B369,'Player Data'!A1:D673,4,FALSE)</f>
        <v>LW,RW</v>
      </c>
      <c r="E369" s="74" cm="1">
        <f t="array" ref="E369">VLOOKUP(B369,RW!A1:F210,3,FALSE)</f>
        <v>74</v>
      </c>
      <c r="F369" s="56" t="str" cm="1">
        <f t="array" ref="F369">VLOOKUP(B369,'Player Data'!A1:B673,2,FALSE)</f>
        <v>S.J</v>
      </c>
      <c r="G369" s="71" cm="1">
        <f t="array" ref="G369">VLOOKUP(B369,'Player Data'!A1:D673,3,FALSE)</f>
        <v>20</v>
      </c>
      <c r="H369" s="51" cm="1">
        <f t="array" ref="H369">IFERROR(VLOOKUP(B369,ADP!A1:F671,6,FALSE)/1000000,VLOOKUP(B369,ADP!A1:F671,6,FALSE))</f>
        <v>0.94541699999999995</v>
      </c>
      <c r="I369" s="52">
        <f>IF(Settings!$E$15="POINTS",((R369*Q369)*Settings!$B$12)+(S369*Settings!$B$2)+(T369*Settings!$B$3)+(U369*Settings!$B$4)+(V369*Settings!$B$5)+(X369*Settings!$B$9)+(AA369*Settings!$B$6)+(W369*Settings!$B$8)+(AB369*Settings!$B$7)+(AC369*Settings!$B$14)+(AD369*Settings!$B$15)+(AE369*Settings!$B$16)+(AF369*Settings!$B$17)+(AG369*Settings!$B$18)+(Y369*Settings!$B$10)+(Z369*Settings!$B$11),VLOOKUP(B369,'Standard Deviations'!A$1:C$672,3,FALSE))</f>
        <v>2.1958013499609081</v>
      </c>
      <c r="J369" s="53" cm="1">
        <f t="array" ref="J369">IF(D369="G",I369/AJ369,I369/Q369)</f>
        <v>2.9672991215687949E-2</v>
      </c>
      <c r="K369" s="52" cm="1">
        <f t="array" ref="K369">IF(Settings!$E$18="C/LW/RW",VLOOKUP(B369,RW!A1:F210,6,FALSE),VLOOKUP(B369,F!A1:F407,6,FALSE))</f>
        <v>-4.691433251848169</v>
      </c>
      <c r="L369" s="54" cm="1">
        <f t="array" ref="L369">IFERROR(K369/H369,"N/A")</f>
        <v>-4.9622899226988402</v>
      </c>
      <c r="M369" s="84" t="s">
        <v>828</v>
      </c>
      <c r="N369" s="84" t="str" cm="1">
        <f t="array" ref="N369">IFERROR(M369-A369,"N/A")</f>
        <v>N/A</v>
      </c>
      <c r="O369" s="55"/>
      <c r="P369" s="56" cm="1">
        <f t="array" ref="P369">_xlfn.XLOOKUP($B369,ADP!A2:A671,ADP!G2:G671)</f>
        <v>0</v>
      </c>
      <c r="Q369" s="57" cm="1">
        <f t="array" ref="Q369">IF(Settings!$E$12="YES",VLOOKUP(B369,'Player Data'!A1:E673,5,FALSE),84)</f>
        <v>74</v>
      </c>
      <c r="R369" s="55" cm="1">
        <f t="array" ref="R369">VLOOKUP(B369,'Player Data'!$A1:$AE673,6,FALSE)</f>
        <v>14.9</v>
      </c>
      <c r="S369" s="57" cm="1">
        <f t="array" ref="S369">VLOOKUP(B369,'Player Data'!$A1:$AE673,7,FALSE)*$Q369*IFERROR((VLOOKUP(P369,Settings!$E$28:$F$33,2,FALSE)+1),1)</f>
        <v>25.16</v>
      </c>
      <c r="T369" s="57" cm="1">
        <f t="array" ref="T369">VLOOKUP(B369,'Player Data'!$A1:$AE673,8,FALSE)*$Q369*IFERROR((VLOOKUP(P369,Settings!$E$28:$F$33,2,FALSE)+1),1)</f>
        <v>31.08</v>
      </c>
      <c r="U369" s="57" cm="1">
        <f t="array" ref="U369">SUM(S369:T369)</f>
        <v>56.239999999999995</v>
      </c>
      <c r="V369" s="57" cm="1">
        <f t="array" ref="V369">VLOOKUP(B369,'Player Data'!$A1:$AE673,10,FALSE)*$Q369*IFERROR(((VLOOKUP(P369,Settings!$E$28:$F$33,2,FALSE)/2)+1),1)</f>
        <v>142.82</v>
      </c>
      <c r="W369" s="57" cm="1">
        <f t="array" ref="W369">VLOOKUP(B369,'Player Data'!$A1:$AE673,11,FALSE)*$Q369*IFERROR((VLOOKUP(P369,Settings!$E$28:$F$33,2,FALSE)+1),1)</f>
        <v>10.360000000000001</v>
      </c>
      <c r="X369" s="57" cm="1">
        <f t="array" ref="X369">VLOOKUP(B369,'Player Data'!$A1:$AE673,12,FALSE)*$Q369*IFERROR((VLOOKUP(P369,Settings!$E$28:$F$33,2,FALSE)+1),1)</f>
        <v>21.459999999999997</v>
      </c>
      <c r="Y369" s="57" cm="1">
        <f t="array" ref="Y369">VLOOKUP(B369,'Player Data'!$A1:$AE673,13,FALSE)*$Q369</f>
        <v>0</v>
      </c>
      <c r="Z369" s="57" cm="1">
        <f t="array" ref="Z369">VLOOKUP(B369,'Player Data'!$A1:$AE673,14,FALSE)*$Q369</f>
        <v>0</v>
      </c>
      <c r="AA369" s="57" cm="1">
        <f t="array" ref="AA369">VLOOKUP(B369,'Player Data'!$A1:$AE673,15,FALSE)*$Q369</f>
        <v>33.300000000000004</v>
      </c>
      <c r="AB369" s="57" cm="1">
        <f t="array" ref="AB369">VLOOKUP(B369,'Player Data'!$A1:$AE673,16,FALSE)*$Q369</f>
        <v>53.28</v>
      </c>
      <c r="AC369" s="57" cm="1">
        <f t="array" ref="AC369">VLOOKUP(B369,'Player Data'!$A1:$AE673,17,FALSE)*$Q369*IFERROR((VLOOKUP(P369,Settings!$E$28:$F$33,2,FALSE)+1),1)</f>
        <v>-1.48</v>
      </c>
      <c r="AD369" s="57" cm="1">
        <f t="array" ref="AD369">VLOOKUP(B369,'Player Data'!$A1:$AE673,18,FALSE)*$Q369</f>
        <v>22.2</v>
      </c>
      <c r="AE369" s="57" cm="1">
        <f t="array" ref="AE369">VLOOKUP(B369,'Player Data'!$A1:$AE673,19,FALSE)*$Q369*IFERROR((VLOOKUP(P369,Settings!$E$28:$F$33,2,FALSE)+1),1)</f>
        <v>3.7</v>
      </c>
      <c r="AF369" s="57" cm="1">
        <f t="array" ref="AF369">VLOOKUP(B369,'Player Data'!$A1:$AE673,20,FALSE)*$Q369</f>
        <v>0</v>
      </c>
      <c r="AG369" s="57" cm="1">
        <f t="array" ref="AG369">VLOOKUP(B369,'Player Data'!$A1:$AE673,21,FALSE)*$Q369</f>
        <v>0</v>
      </c>
      <c r="AH369" s="59" cm="1">
        <f t="array" ref="AH369">VLOOKUP(B369,'Player Data'!$A1:$AE673,22,FALSE)</f>
        <v>0</v>
      </c>
      <c r="AI369" s="55"/>
      <c r="AJ369" s="57"/>
      <c r="AK369" s="57"/>
      <c r="AL369" s="57"/>
      <c r="AM369" s="57"/>
      <c r="AN369" s="57"/>
      <c r="AO369" s="57"/>
      <c r="AP369" s="57"/>
      <c r="AQ369" s="60"/>
      <c r="AR369" s="61"/>
      <c r="AS369" s="55"/>
    </row>
    <row r="370" spans="1:45" ht="21.25" customHeight="1" x14ac:dyDescent="0.15">
      <c r="A370" s="62">
        <f>RANK(K370,K$2:K$671)</f>
        <v>394</v>
      </c>
      <c r="B370" s="10" t="s">
        <v>505</v>
      </c>
      <c r="C370" s="47" t="s">
        <v>145</v>
      </c>
      <c r="D370" s="48" t="str" cm="1">
        <f t="array" ref="D370">VLOOKUP(B370,'Player Data'!A1:D673,4,FALSE)</f>
        <v>D</v>
      </c>
      <c r="E370" s="68" cm="1">
        <f t="array" ref="E370">VLOOKUP(B370,D!A1:C204,3,FALSE)</f>
        <v>185</v>
      </c>
      <c r="F370" s="18" t="str" cm="1">
        <f t="array" ref="F370">VLOOKUP(B370,'Player Data'!A1:B673,2,FALSE)</f>
        <v>VAN</v>
      </c>
      <c r="G370" s="71" cm="1">
        <f t="array" ref="G370">VLOOKUP(B370,'Player Data'!A1:D673,3,FALSE)</f>
        <v>22</v>
      </c>
      <c r="H370" s="51" cm="1">
        <f t="array" ref="H370">IFERROR(VLOOKUP(B370,ADP!A1:F671,6,FALSE)/1000000,VLOOKUP(B370,ADP!A1:F671,6,FALSE))</f>
        <v>0.91333299999999995</v>
      </c>
      <c r="I370" s="52">
        <f>IF(Settings!$E$15="POINTS",((R370*Q370)*Settings!$B$12)+(S370*Settings!$B$2)+(T370*Settings!$B$3)+(U370*Settings!$B$4)+(V370*Settings!$B$5)+(X370*Settings!$B$9)+(AA370*Settings!$B$6)+(W370*Settings!$B$8)+(AB370*Settings!$B$7)+(AC370*Settings!$B$14)+(AD370*Settings!$B$15)+(AE370*Settings!$B$16)+(AF370*Settings!$B$17)+(AG370*Settings!$B$18)+(U370*Settings!$B$13)+(Y370*Settings!$B$10)+(Z370*Settings!$B$11),VLOOKUP(B370,'Standard Deviations'!A$1:C$672,3,FALSE))</f>
        <v>-5.0848844079275466</v>
      </c>
      <c r="J370" s="53" cm="1">
        <f t="array" ref="J370">IF(D370="G",I370/AJ370,I370/Q370)</f>
        <v>-7.1618090252500655E-2</v>
      </c>
      <c r="K370" s="52" cm="1">
        <f t="array" ref="K370">VLOOKUP(B370,D!A1:F204,6,FALSE)</f>
        <v>-5.6517353224451012</v>
      </c>
      <c r="L370" s="54" cm="1">
        <f t="array" ref="L370">IFERROR(K370/H370,"N/A")</f>
        <v>-6.1880336333463282</v>
      </c>
      <c r="M370" s="84" t="s">
        <v>828</v>
      </c>
      <c r="N370" s="84" t="str" cm="1">
        <f t="array" ref="N370">IFERROR(M370-A370,"N/A")</f>
        <v>N/A</v>
      </c>
      <c r="O370" s="55"/>
      <c r="P370" s="56" cm="1">
        <f t="array" ref="P370">_xlfn.XLOOKUP($B370,ADP!A2:A671,ADP!G2:G671)</f>
        <v>0</v>
      </c>
      <c r="Q370" s="57" cm="1">
        <f t="array" ref="Q370">IF(Settings!$E$12="YES",VLOOKUP(B370,'Player Data'!A1:E673,5,FALSE),84)</f>
        <v>71</v>
      </c>
      <c r="R370" s="81" cm="1">
        <f t="array" ref="R370">VLOOKUP(B370,'Player Data'!$A1:$AE673,6,FALSE)</f>
        <v>18.100000000000001</v>
      </c>
      <c r="S370" s="57" cm="1">
        <f t="array" ref="S370">VLOOKUP(B370,'Player Data'!$A1:$AE673,7,FALSE)*$Q370*IFERROR((VLOOKUP(P370,Settings!$E$28:$F$33,2,FALSE)+1),1)</f>
        <v>4.9700000000000006</v>
      </c>
      <c r="T370" s="57" cm="1">
        <f t="array" ref="T370">VLOOKUP(B370,'Player Data'!$A1:$AE673,8,FALSE)*$Q370*IFERROR((VLOOKUP(P370,Settings!$E$28:$F$33,2,FALSE)+1),1)</f>
        <v>11.36</v>
      </c>
      <c r="U370" s="57" cm="1">
        <f t="array" ref="U370">SUM(S370:T370)</f>
        <v>16.329999999999998</v>
      </c>
      <c r="V370" s="57" cm="1">
        <f t="array" ref="V370">VLOOKUP(B370,'Player Data'!$A1:$AE673,10,FALSE)*$Q370*IFERROR(((VLOOKUP(P370,Settings!$E$28:$F$33,2,FALSE)/2)+1),1)</f>
        <v>68.16</v>
      </c>
      <c r="W370" s="57" cm="1">
        <f t="array" ref="W370">VLOOKUP(B370,'Player Data'!$A1:$AE673,11,FALSE)*$Q370*IFERROR((VLOOKUP(P370,Settings!$E$28:$F$33,2,FALSE)+1),1)</f>
        <v>0</v>
      </c>
      <c r="X370" s="57" cm="1">
        <f t="array" ref="X370">VLOOKUP(B370,'Player Data'!$A1:$AE673,12,FALSE)*$Q370*IFERROR((VLOOKUP(P370,Settings!$E$28:$F$33,2,FALSE)+1),1)</f>
        <v>0</v>
      </c>
      <c r="Y370" s="57" cm="1">
        <f t="array" ref="Y370">VLOOKUP(B370,'Player Data'!$A1:$AE673,13,FALSE)*$Q370</f>
        <v>0</v>
      </c>
      <c r="Z370" s="57" cm="1">
        <f t="array" ref="Z370">VLOOKUP(B370,'Player Data'!$A1:$AE673,14,FALSE)*$Q370</f>
        <v>0</v>
      </c>
      <c r="AA370" s="57" cm="1">
        <f t="array" ref="AA370">VLOOKUP(B370,'Player Data'!$A1:$AE673,15,FALSE)*$Q370</f>
        <v>97.97999999999999</v>
      </c>
      <c r="AB370" s="57" cm="1">
        <f t="array" ref="AB370">VLOOKUP(B370,'Player Data'!$A1:$AE673,16,FALSE)*$Q370</f>
        <v>129.22</v>
      </c>
      <c r="AC370" s="57" cm="1">
        <f t="array" ref="AC370">VLOOKUP(B370,'Player Data'!$A1:$AE673,17,FALSE)*$Q370*IFERROR((VLOOKUP(P370,Settings!$E$28:$F$33,2,FALSE)+1),1)</f>
        <v>-10.65</v>
      </c>
      <c r="AD370" s="57" cm="1">
        <f t="array" ref="AD370">VLOOKUP(B370,'Player Data'!$A1:$AE673,18,FALSE)*$Q370</f>
        <v>36.92</v>
      </c>
      <c r="AE370" s="57" cm="1">
        <f t="array" ref="AE370">VLOOKUP(B370,'Player Data'!$A1:$AE673,19,FALSE)*$Q370*IFERROR((VLOOKUP(P370,Settings!$E$28:$F$33,2,FALSE)+1),1)</f>
        <v>0.71</v>
      </c>
      <c r="AF370" s="57" cm="1">
        <f t="array" ref="AF370">VLOOKUP(B370,'Player Data'!$A1:$AE673,20,FALSE)*$Q370</f>
        <v>0</v>
      </c>
      <c r="AG370" s="57" cm="1">
        <f t="array" ref="AG370">VLOOKUP(B370,'Player Data'!$A1:$AE673,21,FALSE)*$Q370</f>
        <v>0</v>
      </c>
      <c r="AH370" s="59" cm="1">
        <f t="array" ref="AH370">VLOOKUP(B370,'Player Data'!$A1:$AE673,22,FALSE)</f>
        <v>0</v>
      </c>
      <c r="AI370" s="55"/>
      <c r="AJ370" s="57"/>
      <c r="AK370" s="57"/>
      <c r="AL370" s="57"/>
      <c r="AM370" s="57"/>
      <c r="AN370" s="57"/>
      <c r="AO370" s="57"/>
      <c r="AP370" s="57"/>
      <c r="AQ370" s="60"/>
      <c r="AR370" s="61"/>
      <c r="AS370" s="55"/>
    </row>
    <row r="371" spans="1:45" ht="21.25" customHeight="1" x14ac:dyDescent="0.15">
      <c r="A371" s="62">
        <f>RANK(K371,K$2:K$671)</f>
        <v>396</v>
      </c>
      <c r="B371" s="10" t="s">
        <v>586</v>
      </c>
      <c r="C371" s="47" t="s">
        <v>145</v>
      </c>
      <c r="D371" s="48" t="str" cm="1">
        <f t="array" ref="D371">VLOOKUP(B371,'Player Data'!A1:D673,4,FALSE)</f>
        <v>D</v>
      </c>
      <c r="E371" s="68" cm="1">
        <f t="array" ref="E371">VLOOKUP(B371,D!A1:C204,3,FALSE)</f>
        <v>186</v>
      </c>
      <c r="F371" s="69" t="str" cm="1">
        <f t="array" ref="F371">VLOOKUP(B371,'Player Data'!A1:B673,2,FALSE)</f>
        <v>N.J</v>
      </c>
      <c r="G371" s="11" cm="1">
        <f t="array" ref="G371">VLOOKUP(B371,'Player Data'!A1:D673,3,FALSE)</f>
        <v>26</v>
      </c>
      <c r="H371" s="67" cm="1">
        <f t="array" ref="H371">IFERROR(VLOOKUP(B371,ADP!A1:F671,6,FALSE)/1000000,VLOOKUP(B371,ADP!A1:F671,6,FALSE))</f>
        <v>1.6</v>
      </c>
      <c r="I371" s="52">
        <f>IF(Settings!$E$15="POINTS",((R371*Q371)*Settings!$B$12)+(S371*Settings!$B$2)+(T371*Settings!$B$3)+(U371*Settings!$B$4)+(V371*Settings!$B$5)+(X371*Settings!$B$9)+(AA371*Settings!$B$6)+(W371*Settings!$B$8)+(AB371*Settings!$B$7)+(AC371*Settings!$B$14)+(AD371*Settings!$B$15)+(AE371*Settings!$B$16)+(AF371*Settings!$B$17)+(AG371*Settings!$B$18)+(U371*Settings!$B$13)+(Y371*Settings!$B$10)+(Z371*Settings!$B$11),VLOOKUP(B371,'Standard Deviations'!A$1:C$672,3,FALSE))</f>
        <v>-5.101327586024798</v>
      </c>
      <c r="J371" s="53" cm="1">
        <f t="array" ref="J371">IF(D371="G",I371/AJ371,I371/Q371)</f>
        <v>-7.613921770186266E-2</v>
      </c>
      <c r="K371" s="52" cm="1">
        <f t="array" ref="K371">VLOOKUP(B371,D!A1:F204,6,FALSE)</f>
        <v>-5.6681785005423526</v>
      </c>
      <c r="L371" s="54" cm="1">
        <f t="array" ref="L371">IFERROR(K371/H371,"N/A")</f>
        <v>-3.5426115628389701</v>
      </c>
      <c r="M371" s="84" t="s">
        <v>828</v>
      </c>
      <c r="N371" s="84" t="str" cm="1">
        <f t="array" ref="N371">IFERROR(M371-A371,"N/A")</f>
        <v>N/A</v>
      </c>
      <c r="O371" s="55"/>
      <c r="P371" s="56" cm="1">
        <f t="array" ref="P371">_xlfn.XLOOKUP($B371,ADP!A2:A671,ADP!G2:G671)</f>
        <v>0</v>
      </c>
      <c r="Q371" s="57" cm="1">
        <f t="array" ref="Q371">IF(Settings!$E$12="YES",VLOOKUP(B371,'Player Data'!A1:E673,5,FALSE),84)</f>
        <v>67</v>
      </c>
      <c r="R371" s="81" cm="1">
        <f t="array" ref="R371">VLOOKUP(B371,'Player Data'!$A1:$AE673,6,FALSE)</f>
        <v>15.3</v>
      </c>
      <c r="S371" s="57" cm="1">
        <f t="array" ref="S371">VLOOKUP(B371,'Player Data'!$A1:$AE673,7,FALSE)*$Q371*IFERROR((VLOOKUP(P371,Settings!$E$28:$F$33,2,FALSE)+1),1)</f>
        <v>2.0099999999999998</v>
      </c>
      <c r="T371" s="57" cm="1">
        <f t="array" ref="T371">VLOOKUP(B371,'Player Data'!$A1:$AE673,8,FALSE)*$Q371*IFERROR((VLOOKUP(P371,Settings!$E$28:$F$33,2,FALSE)+1),1)</f>
        <v>10.72</v>
      </c>
      <c r="U371" s="57" cm="1">
        <f t="array" ref="U371">SUM(S371:T371)</f>
        <v>12.73</v>
      </c>
      <c r="V371" s="57" cm="1">
        <f t="array" ref="V371">VLOOKUP(B371,'Player Data'!$A1:$AE673,10,FALSE)*$Q371*IFERROR(((VLOOKUP(P371,Settings!$E$28:$F$33,2,FALSE)/2)+1),1)</f>
        <v>57.62</v>
      </c>
      <c r="W371" s="57" cm="1">
        <f t="array" ref="W371">VLOOKUP(B371,'Player Data'!$A1:$AE673,11,FALSE)*$Q371*IFERROR((VLOOKUP(P371,Settings!$E$28:$F$33,2,FALSE)+1),1)</f>
        <v>0</v>
      </c>
      <c r="X371" s="57" cm="1">
        <f t="array" ref="X371">VLOOKUP(B371,'Player Data'!$A1:$AE673,12,FALSE)*$Q371*IFERROR((VLOOKUP(P371,Settings!$E$28:$F$33,2,FALSE)+1),1)</f>
        <v>0</v>
      </c>
      <c r="Y371" s="57" cm="1">
        <f t="array" ref="Y371">VLOOKUP(B371,'Player Data'!$A1:$AE673,13,FALSE)*$Q371</f>
        <v>0</v>
      </c>
      <c r="Z371" s="57" cm="1">
        <f t="array" ref="Z371">VLOOKUP(B371,'Player Data'!$A1:$AE673,14,FALSE)*$Q371</f>
        <v>0</v>
      </c>
      <c r="AA371" s="57" cm="1">
        <f t="array" ref="AA371">VLOOKUP(B371,'Player Data'!$A1:$AE673,15,FALSE)*$Q371</f>
        <v>70.350000000000009</v>
      </c>
      <c r="AB371" s="57" cm="1">
        <f t="array" ref="AB371">VLOOKUP(B371,'Player Data'!$A1:$AE673,16,FALSE)*$Q371</f>
        <v>48.239999999999995</v>
      </c>
      <c r="AC371" s="57" cm="1">
        <f t="array" ref="AC371">VLOOKUP(B371,'Player Data'!$A1:$AE673,17,FALSE)*$Q371*IFERROR((VLOOKUP(P371,Settings!$E$28:$F$33,2,FALSE)+1),1)</f>
        <v>-0.67</v>
      </c>
      <c r="AD371" s="57" cm="1">
        <f t="array" ref="AD371">VLOOKUP(B371,'Player Data'!$A1:$AE673,18,FALSE)*$Q371</f>
        <v>16.079999999999998</v>
      </c>
      <c r="AE371" s="57" cm="1">
        <f t="array" ref="AE371">VLOOKUP(B371,'Player Data'!$A1:$AE673,19,FALSE)*$Q371*IFERROR((VLOOKUP(P371,Settings!$E$28:$F$33,2,FALSE)+1),1)</f>
        <v>0</v>
      </c>
      <c r="AF371" s="57" cm="1">
        <f t="array" ref="AF371">VLOOKUP(B371,'Player Data'!$A1:$AE673,20,FALSE)*$Q371</f>
        <v>0</v>
      </c>
      <c r="AG371" s="57" cm="1">
        <f t="array" ref="AG371">VLOOKUP(B371,'Player Data'!$A1:$AE673,21,FALSE)*$Q371</f>
        <v>0</v>
      </c>
      <c r="AH371" s="59" cm="1">
        <f t="array" ref="AH371">VLOOKUP(B371,'Player Data'!$A1:$AE673,22,FALSE)</f>
        <v>0</v>
      </c>
      <c r="AI371" s="55"/>
      <c r="AJ371" s="57"/>
      <c r="AK371" s="57"/>
      <c r="AL371" s="57"/>
      <c r="AM371" s="57"/>
      <c r="AN371" s="57"/>
      <c r="AO371" s="57"/>
      <c r="AP371" s="57"/>
      <c r="AQ371" s="60"/>
      <c r="AR371" s="61"/>
      <c r="AS371" s="55"/>
    </row>
    <row r="372" spans="1:45" ht="21.25" customHeight="1" x14ac:dyDescent="0.15">
      <c r="A372" s="62">
        <f>RANK(K372,K$2:K$671)</f>
        <v>384</v>
      </c>
      <c r="B372" s="10" t="s">
        <v>648</v>
      </c>
      <c r="C372" s="47" t="s">
        <v>145</v>
      </c>
      <c r="D372" s="48" t="str" cm="1">
        <f t="array" ref="D372">VLOOKUP(B372,'Player Data'!A1:D673,4,FALSE)</f>
        <v>G</v>
      </c>
      <c r="E372" s="76" cm="1">
        <f t="array" ref="E372">VLOOKUP(B372,G!A1:D66,3,FALSE)</f>
        <v>53</v>
      </c>
      <c r="F372" s="73" t="str" cm="1">
        <f t="array" ref="F372">VLOOKUP(B372,'Player Data'!A1:B673,2,FALSE)</f>
        <v>NYR</v>
      </c>
      <c r="G372" s="66" cm="1">
        <f t="array" ref="G372">VLOOKUP(B372,'Player Data'!A1:D673,3,FALSE)</f>
        <v>32</v>
      </c>
      <c r="H372" s="51" cm="1">
        <f t="array" ref="H372">IFERROR(VLOOKUP(B372,ADP!A1:F671,6,FALSE)/1000000,VLOOKUP(B372,ADP!A1:F671,6,FALSE))</f>
        <v>3</v>
      </c>
      <c r="I372" s="52">
        <f>IF(Settings!$E$15="POINTS",(AJ372*Settings!$B$29)+(AK372*Settings!$B$21)+(AL372*Settings!$B$22)+(AN372*Settings!$B$24)+(AO372*Settings!$B$25)+(AP372*Settings!$B$27)+(AM372*Settings!$B$23),VLOOKUP(B372,'Standard Deviations'!A$1:C$672,3,FALSE))</f>
        <v>-3.4451402699581228</v>
      </c>
      <c r="J372" s="53" cm="1">
        <f t="array" ref="J372">IF(D372="G",I372/AJ372,I372/Q372)</f>
        <v>-0.1378056107983249</v>
      </c>
      <c r="K372" s="52" cm="1">
        <f t="array" ref="K372">VLOOKUP(B372,G!A1:F66,6,FALSE)</f>
        <v>-5.4833255290817977</v>
      </c>
      <c r="L372" s="54" cm="1">
        <f t="array" ref="L372">IFERROR(K372/H372,"N/A")</f>
        <v>-1.8277751763605992</v>
      </c>
      <c r="M372" s="84" t="s">
        <v>828</v>
      </c>
      <c r="N372" s="84" t="str" cm="1">
        <f t="array" ref="N372">IFERROR(M372-A372,"N/A")</f>
        <v>N/A</v>
      </c>
      <c r="O372" s="55"/>
      <c r="P372" s="56" cm="1">
        <f t="array" ref="P372">_xlfn.XLOOKUP($B372,ADP!A2:A671,ADP!G2:G671)</f>
        <v>0</v>
      </c>
      <c r="Q372" s="57"/>
      <c r="R372" s="55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9"/>
      <c r="AI372" s="55"/>
      <c r="AJ372" s="77" cm="1">
        <f t="array" ref="AJ372">VLOOKUP(B372,'Player Data'!$A1:$AE673,24,FALSE)</f>
        <v>25</v>
      </c>
      <c r="AK372" s="57" cm="1">
        <f t="array" ref="AK372">VLOOKUP(B372,'Player Data'!$A1:$AE673,25,FALSE)*$AJ372*IFERROR((VLOOKUP(P372,Settings!$E$28:$F$33,2,FALSE)+1),1)</f>
        <v>11.75</v>
      </c>
      <c r="AL372" s="57" cm="1">
        <f t="array" ref="AL372">AJ372-AK372-AM372</f>
        <v>10</v>
      </c>
      <c r="AM372" s="57" cm="1">
        <f t="array" ref="AM372">VLOOKUP(B372,'Player Data'!$A1:$AE673,27,FALSE)*$AJ372</f>
        <v>3.25</v>
      </c>
      <c r="AN372" s="57" cm="1">
        <f t="array" ref="AN372">VLOOKUP(B372,'Player Data'!$A1:$AE673,28,FALSE)*AJ372</f>
        <v>1.25</v>
      </c>
      <c r="AO372" s="57" cm="1">
        <f t="array" ref="AO372">VLOOKUP(B372,'Player Data'!$A1:$AE673,29,FALSE)*$AJ372*IFERROR((VLOOKUP(P372,Settings!$E$28:$F$33,2,FALSE)/4)+1,1)</f>
        <v>607.5</v>
      </c>
      <c r="AP372" s="57" cm="1">
        <f t="array" ref="AP372">VLOOKUP(B372,'Player Data'!$A1:$AE673,31,FALSE)*$AJ372*(IFERROR(1-(VLOOKUP(P372,Settings!$E$28:$F$33,2,FALSE)/4),1))</f>
        <v>72.5</v>
      </c>
      <c r="AQ372" s="60" cm="1">
        <f t="array" ref="AQ372">1-(AP372/(AO372+AP372))</f>
        <v>0.89338235294117652</v>
      </c>
      <c r="AR372" s="61" cm="1">
        <f t="array" ref="AR372">AP372/AJ372</f>
        <v>2.9</v>
      </c>
      <c r="AS372" s="55"/>
    </row>
    <row r="373" spans="1:45" ht="21.25" customHeight="1" x14ac:dyDescent="0.15">
      <c r="A373" s="62">
        <f>RANK(K373,K$2:K$671)</f>
        <v>397</v>
      </c>
      <c r="B373" s="10" t="s">
        <v>520</v>
      </c>
      <c r="C373" s="47" t="s">
        <v>145</v>
      </c>
      <c r="D373" s="48" t="str" cm="1">
        <f t="array" ref="D373">VLOOKUP(B373,'Player Data'!A1:D673,4,FALSE)</f>
        <v>D</v>
      </c>
      <c r="E373" s="68" cm="1">
        <f t="array" ref="E373">VLOOKUP(B373,D!A1:C204,3,FALSE)</f>
        <v>187</v>
      </c>
      <c r="F373" s="69" t="str" cm="1">
        <f t="array" ref="F373">VLOOKUP(B373,'Player Data'!A1:B673,2,FALSE)</f>
        <v>TOR</v>
      </c>
      <c r="G373" s="66" cm="1">
        <f t="array" ref="G373">VLOOKUP(B373,'Player Data'!A1:D673,3,FALSE)</f>
        <v>36</v>
      </c>
      <c r="H373" s="51" cm="1">
        <f t="array" ref="H373">IFERROR(VLOOKUP(B373,ADP!A1:F671,6,FALSE)/1000000,VLOOKUP(B373,ADP!A1:F671,6,FALSE))</f>
        <v>4.5</v>
      </c>
      <c r="I373" s="52">
        <f>IF(Settings!$E$15="POINTS",((R373*Q373)*Settings!$B$12)+(S373*Settings!$B$2)+(T373*Settings!$B$3)+(U373*Settings!$B$4)+(V373*Settings!$B$5)+(X373*Settings!$B$9)+(AA373*Settings!$B$6)+(W373*Settings!$B$8)+(AB373*Settings!$B$7)+(AC373*Settings!$B$14)+(AD373*Settings!$B$15)+(AE373*Settings!$B$16)+(AF373*Settings!$B$17)+(AG373*Settings!$B$18)+(U373*Settings!$B$13)+(Y373*Settings!$B$10)+(Z373*Settings!$B$11),VLOOKUP(B373,'Standard Deviations'!A$1:C$672,3,FALSE))</f>
        <v>-5.130382523126487</v>
      </c>
      <c r="J373" s="53" cm="1">
        <f t="array" ref="J373">IF(D373="G",I373/AJ373,I373/Q373)</f>
        <v>-7.3291178901806961E-2</v>
      </c>
      <c r="K373" s="52" cm="1">
        <f t="array" ref="K373">VLOOKUP(B373,D!A1:F204,6,FALSE)</f>
        <v>-5.6972334376440417</v>
      </c>
      <c r="L373" s="54" cm="1">
        <f t="array" ref="L373">IFERROR(K373/H373,"N/A")</f>
        <v>-1.2660518750320093</v>
      </c>
      <c r="M373" s="84" t="s">
        <v>828</v>
      </c>
      <c r="N373" s="84" t="str" cm="1">
        <f t="array" ref="N373">IFERROR(M373-A373,"N/A")</f>
        <v>N/A</v>
      </c>
      <c r="O373" s="55"/>
      <c r="P373" s="56" cm="1">
        <f t="array" ref="P373">_xlfn.XLOOKUP($B373,ADP!A2:A671,ADP!G2:G671)</f>
        <v>0</v>
      </c>
      <c r="Q373" s="57" cm="1">
        <f t="array" ref="Q373">IF(Settings!$E$12="YES",VLOOKUP(B373,'Player Data'!A1:E673,5,FALSE),84)</f>
        <v>70</v>
      </c>
      <c r="R373" s="81" cm="1">
        <f t="array" ref="R373">VLOOKUP(B373,'Player Data'!$A1:$AE673,6,FALSE)</f>
        <v>19.600000000000001</v>
      </c>
      <c r="S373" s="57" cm="1">
        <f t="array" ref="S373">VLOOKUP(B373,'Player Data'!$A1:$AE673,7,FALSE)*$Q373*IFERROR((VLOOKUP(P373,Settings!$E$28:$F$33,2,FALSE)+1),1)</f>
        <v>0</v>
      </c>
      <c r="T373" s="57" cm="1">
        <f t="array" ref="T373">VLOOKUP(B373,'Player Data'!$A1:$AE673,8,FALSE)*$Q373*IFERROR((VLOOKUP(P373,Settings!$E$28:$F$33,2,FALSE)+1),1)</f>
        <v>12.6</v>
      </c>
      <c r="U373" s="57" cm="1">
        <f t="array" ref="U373">SUM(S373:T373)</f>
        <v>12.6</v>
      </c>
      <c r="V373" s="57" cm="1">
        <f t="array" ref="V373">VLOOKUP(B373,'Player Data'!$A1:$AE673,10,FALSE)*$Q373*IFERROR(((VLOOKUP(P373,Settings!$E$28:$F$33,2,FALSE)/2)+1),1)</f>
        <v>35</v>
      </c>
      <c r="W373" s="57" cm="1">
        <f t="array" ref="W373">VLOOKUP(B373,'Player Data'!$A1:$AE673,11,FALSE)*$Q373*IFERROR((VLOOKUP(P373,Settings!$E$28:$F$33,2,FALSE)+1),1)</f>
        <v>0</v>
      </c>
      <c r="X373" s="57" cm="1">
        <f t="array" ref="X373">VLOOKUP(B373,'Player Data'!$A1:$AE673,12,FALSE)*$Q373*IFERROR((VLOOKUP(P373,Settings!$E$28:$F$33,2,FALSE)+1),1)</f>
        <v>0</v>
      </c>
      <c r="Y373" s="57" cm="1">
        <f t="array" ref="Y373">VLOOKUP(B373,'Player Data'!$A1:$AE673,13,FALSE)*$Q373</f>
        <v>0</v>
      </c>
      <c r="Z373" s="57" cm="1">
        <f t="array" ref="Z373">VLOOKUP(B373,'Player Data'!$A1:$AE673,14,FALSE)*$Q373</f>
        <v>0.70000000000000007</v>
      </c>
      <c r="AA373" s="57" cm="1">
        <f t="array" ref="AA373">VLOOKUP(B373,'Player Data'!$A1:$AE673,15,FALSE)*$Q373</f>
        <v>141.4</v>
      </c>
      <c r="AB373" s="57" cm="1">
        <f t="array" ref="AB373">VLOOKUP(B373,'Player Data'!$A1:$AE673,16,FALSE)*$Q373</f>
        <v>39.9</v>
      </c>
      <c r="AC373" s="57" cm="1">
        <f t="array" ref="AC373">VLOOKUP(B373,'Player Data'!$A1:$AE673,17,FALSE)*$Q373*IFERROR((VLOOKUP(P373,Settings!$E$28:$F$33,2,FALSE)+1),1)</f>
        <v>2.1</v>
      </c>
      <c r="AD373" s="57" cm="1">
        <f t="array" ref="AD373">VLOOKUP(B373,'Player Data'!$A1:$AE673,18,FALSE)*$Q373</f>
        <v>24.5</v>
      </c>
      <c r="AE373" s="57" cm="1">
        <f t="array" ref="AE373">VLOOKUP(B373,'Player Data'!$A1:$AE673,19,FALSE)*$Q373*IFERROR((VLOOKUP(P373,Settings!$E$28:$F$33,2,FALSE)+1),1)</f>
        <v>0</v>
      </c>
      <c r="AF373" s="57" cm="1">
        <f t="array" ref="AF373">VLOOKUP(B373,'Player Data'!$A1:$AE673,20,FALSE)*$Q373</f>
        <v>0</v>
      </c>
      <c r="AG373" s="57" cm="1">
        <f t="array" ref="AG373">VLOOKUP(B373,'Player Data'!$A1:$AE673,21,FALSE)*$Q373</f>
        <v>0</v>
      </c>
      <c r="AH373" s="59" cm="1">
        <f t="array" ref="AH373">VLOOKUP(B373,'Player Data'!$A1:$AE673,22,FALSE)</f>
        <v>0</v>
      </c>
      <c r="AI373" s="55"/>
      <c r="AJ373" s="57"/>
      <c r="AK373" s="57"/>
      <c r="AL373" s="57"/>
      <c r="AM373" s="57"/>
      <c r="AN373" s="57"/>
      <c r="AO373" s="57"/>
      <c r="AP373" s="57"/>
      <c r="AQ373" s="60"/>
      <c r="AR373" s="61"/>
      <c r="AS373" s="55"/>
    </row>
    <row r="374" spans="1:45" ht="21.25" customHeight="1" x14ac:dyDescent="0.15">
      <c r="A374" s="62">
        <f>RANK(K374,K$2:K$671)</f>
        <v>343</v>
      </c>
      <c r="B374" s="10" t="s">
        <v>462</v>
      </c>
      <c r="C374" s="47" t="s">
        <v>145</v>
      </c>
      <c r="D374" s="48" t="str" cm="1">
        <f t="array" ref="D374">VLOOKUP(B374,'Player Data'!A1:D673,4,FALSE)</f>
        <v>LW,RW</v>
      </c>
      <c r="E374" s="74" cm="1">
        <f t="array" ref="E374">VLOOKUP(B374,RW!A1:F210,3,FALSE)</f>
        <v>75</v>
      </c>
      <c r="F374" s="50" t="str" cm="1">
        <f t="array" ref="F374">VLOOKUP(B374,'Player Data'!A1:B673,2,FALSE)</f>
        <v>COL</v>
      </c>
      <c r="G374" s="66" cm="1">
        <f t="array" ref="G374">VLOOKUP(B374,'Player Data'!A1:D673,3,FALSE)</f>
        <v>31</v>
      </c>
      <c r="H374" s="67" cm="1">
        <f t="array" ref="H374">IFERROR(VLOOKUP(B374,ADP!A1:F671,6,FALSE)/1000000,VLOOKUP(B374,ADP!A1:F671,6,FALSE))</f>
        <v>4.5</v>
      </c>
      <c r="I374" s="52">
        <f>IF(Settings!$E$15="POINTS",((R374*Q374)*Settings!$B$12)+(S374*Settings!$B$2)+(T374*Settings!$B$3)+(U374*Settings!$B$4)+(V374*Settings!$B$5)+(X374*Settings!$B$9)+(AA374*Settings!$B$6)+(W374*Settings!$B$8)+(AB374*Settings!$B$7)+(AC374*Settings!$B$14)+(AD374*Settings!$B$15)+(AE374*Settings!$B$16)+(AF374*Settings!$B$17)+(AG374*Settings!$B$18)+(Y374*Settings!$B$10)+(Z374*Settings!$B$11),VLOOKUP(B374,'Standard Deviations'!A$1:C$672,3,FALSE))</f>
        <v>2.1078335059837792</v>
      </c>
      <c r="J374" s="53" cm="1">
        <f t="array" ref="J374">IF(D374="G",I374/AJ374,I374/Q374)</f>
        <v>2.773465139452341E-2</v>
      </c>
      <c r="K374" s="52" cm="1">
        <f t="array" ref="K374">IF(Settings!$E$18="C/LW/RW",VLOOKUP(B374,RW!A1:F210,6,FALSE),VLOOKUP(B374,F!A1:F407,6,FALSE))</f>
        <v>-4.7794010958252979</v>
      </c>
      <c r="L374" s="54" cm="1">
        <f t="array" ref="L374">IFERROR(K374/H374,"N/A")</f>
        <v>-1.0620891324056219</v>
      </c>
      <c r="M374" s="55">
        <v>135.9</v>
      </c>
      <c r="N374" s="55" cm="1">
        <f t="array" ref="N374">IFERROR(M374-A374,"N/A")</f>
        <v>-207.1</v>
      </c>
      <c r="O374" s="55"/>
      <c r="P374" s="56" cm="1">
        <f t="array" ref="P374">_xlfn.XLOOKUP($B374,ADP!A2:A671,ADP!G2:G671)</f>
        <v>0</v>
      </c>
      <c r="Q374" s="57" cm="1">
        <f t="array" ref="Q374">IF(Settings!$E$12="YES",VLOOKUP(B374,'Player Data'!A1:E673,5,FALSE),84)</f>
        <v>76</v>
      </c>
      <c r="R374" s="83" cm="1">
        <f t="array" ref="R374">VLOOKUP(B374,'Player Data'!$A1:$AE673,6,FALSE)</f>
        <v>17.5</v>
      </c>
      <c r="S374" s="57" cm="1">
        <f t="array" ref="S374">VLOOKUP(B374,'Player Data'!$A1:$AE673,7,FALSE)*$Q374*IFERROR((VLOOKUP(P374,Settings!$E$28:$F$33,2,FALSE)+1),1)</f>
        <v>22.04</v>
      </c>
      <c r="T374" s="57" cm="1">
        <f t="array" ref="T374">VLOOKUP(B374,'Player Data'!$A1:$AE673,8,FALSE)*$Q374*IFERROR((VLOOKUP(P374,Settings!$E$28:$F$33,2,FALSE)+1),1)</f>
        <v>23.56</v>
      </c>
      <c r="U374" s="57" cm="1">
        <f t="array" ref="U374">SUM(S374:T374)</f>
        <v>45.599999999999994</v>
      </c>
      <c r="V374" s="57" cm="1">
        <f t="array" ref="V374">VLOOKUP(B374,'Player Data'!$A1:$AE673,10,FALSE)*$Q374*IFERROR(((VLOOKUP(P374,Settings!$E$28:$F$33,2,FALSE)/2)+1),1)</f>
        <v>152.76</v>
      </c>
      <c r="W374" s="57" cm="1">
        <f t="array" ref="W374">VLOOKUP(B374,'Player Data'!$A1:$AE673,11,FALSE)*$Q374*IFERROR((VLOOKUP(P374,Settings!$E$28:$F$33,2,FALSE)+1),1)</f>
        <v>1.52</v>
      </c>
      <c r="X374" s="57" cm="1">
        <f t="array" ref="X374">VLOOKUP(B374,'Player Data'!$A1:$AE673,12,FALSE)*$Q374*IFERROR((VLOOKUP(P374,Settings!$E$28:$F$33,2,FALSE)+1),1)</f>
        <v>3.8000000000000003</v>
      </c>
      <c r="Y374" s="57" cm="1">
        <f t="array" ref="Y374">VLOOKUP(B374,'Player Data'!$A1:$AE673,13,FALSE)*$Q374</f>
        <v>0</v>
      </c>
      <c r="Z374" s="57" cm="1">
        <f t="array" ref="Z374">VLOOKUP(B374,'Player Data'!$A1:$AE673,14,FALSE)*$Q374</f>
        <v>0</v>
      </c>
      <c r="AA374" s="57" cm="1">
        <f t="array" ref="AA374">VLOOKUP(B374,'Player Data'!$A1:$AE673,15,FALSE)*$Q374</f>
        <v>36.479999999999997</v>
      </c>
      <c r="AB374" s="57" cm="1">
        <f t="array" ref="AB374">VLOOKUP(B374,'Player Data'!$A1:$AE673,16,FALSE)*$Q374</f>
        <v>47.88</v>
      </c>
      <c r="AC374" s="57" cm="1">
        <f t="array" ref="AC374">VLOOKUP(B374,'Player Data'!$A1:$AE673,17,FALSE)*$Q374*IFERROR((VLOOKUP(P374,Settings!$E$28:$F$33,2,FALSE)+1),1)</f>
        <v>9.8800000000000008</v>
      </c>
      <c r="AD374" s="57" cm="1">
        <f t="array" ref="AD374">VLOOKUP(B374,'Player Data'!$A1:$AE673,18,FALSE)*$Q374</f>
        <v>25.080000000000002</v>
      </c>
      <c r="AE374" s="57" cm="1">
        <f t="array" ref="AE374">VLOOKUP(B374,'Player Data'!$A1:$AE673,19,FALSE)*$Q374*IFERROR((VLOOKUP(P374,Settings!$E$28:$F$33,2,FALSE)+1),1)</f>
        <v>3.8000000000000003</v>
      </c>
      <c r="AF374" s="57" cm="1">
        <f t="array" ref="AF374">VLOOKUP(B374,'Player Data'!$A1:$AE673,20,FALSE)*$Q374</f>
        <v>6.08</v>
      </c>
      <c r="AG374" s="57" cm="1">
        <f t="array" ref="AG374">VLOOKUP(B374,'Player Data'!$A1:$AE673,21,FALSE)*$Q374</f>
        <v>15.200000000000001</v>
      </c>
      <c r="AH374" s="59" cm="1">
        <f t="array" ref="AH374">VLOOKUP(B374,'Player Data'!$A1:$AE673,22,FALSE)</f>
        <v>0.28999999999999998</v>
      </c>
      <c r="AI374" s="55"/>
      <c r="AJ374" s="57"/>
      <c r="AK374" s="57"/>
      <c r="AL374" s="57"/>
      <c r="AM374" s="57"/>
      <c r="AN374" s="57"/>
      <c r="AO374" s="57"/>
      <c r="AP374" s="57"/>
      <c r="AQ374" s="60"/>
      <c r="AR374" s="61"/>
      <c r="AS374" s="55"/>
    </row>
    <row r="375" spans="1:45" ht="21.25" customHeight="1" x14ac:dyDescent="0.15">
      <c r="A375" s="62">
        <f>RANK(K375,K$2:K$671)</f>
        <v>345</v>
      </c>
      <c r="B375" s="10" t="s">
        <v>485</v>
      </c>
      <c r="C375" s="47" t="s">
        <v>145</v>
      </c>
      <c r="D375" s="48" t="str" cm="1">
        <f t="array" ref="D375">VLOOKUP(B375,'Player Data'!A1:D673,4,FALSE)</f>
        <v>LW</v>
      </c>
      <c r="E375" s="75" cm="1">
        <f t="array" ref="E375">VLOOKUP(B375,LW!A1:C210,3,FALSE)</f>
        <v>69</v>
      </c>
      <c r="F375" s="56" t="str" cm="1">
        <f t="array" ref="F375">VLOOKUP(B375,'Player Data'!A1:B673,2,FALSE)</f>
        <v>UTA</v>
      </c>
      <c r="G375" s="66" cm="1">
        <f t="array" ref="G375">VLOOKUP(B375,'Player Data'!A1:D673,3,FALSE)</f>
        <v>36</v>
      </c>
      <c r="H375" s="51" cm="1">
        <f t="array" ref="H375">IFERROR(VLOOKUP(B375,ADP!A1:F671,6,FALSE)/1000000,VLOOKUP(B375,ADP!A1:F671,6,FALSE))</f>
        <v>5.4</v>
      </c>
      <c r="I375" s="52">
        <f>IF(Settings!$E$15="POINTS",((R375*Q375)*Settings!$B$12)+(S375*Settings!$B$2)+(T375*Settings!$B$3)+(U375*Settings!$B$4)+(V375*Settings!$B$5)+(X375*Settings!$B$9)+(AA375*Settings!$B$6)+(W375*Settings!$B$8)+(AB375*Settings!$B$7)+(AC375*Settings!$B$14)+(AD375*Settings!$B$15)+(AE375*Settings!$B$16)+(AF375*Settings!$B$17)+(AG375*Settings!$B$18)+(Y375*Settings!$B$10)+(Z375*Settings!$B$11),VLOOKUP(B375,'Standard Deviations'!A$1:C$672,3,FALSE))</f>
        <v>2.0357275775707722</v>
      </c>
      <c r="J375" s="53" cm="1">
        <f t="array" ref="J375">IF(D375="G",I375/AJ375,I375/Q375)</f>
        <v>2.4234852113937763E-2</v>
      </c>
      <c r="K375" s="52" cm="1">
        <f t="array" ref="K375">IF(Settings!$E$18="C/LW/RW",VLOOKUP(B375,LW!A1:F210,6,FALSE),VLOOKUP(B375,F!A1:F407,6,FALSE))</f>
        <v>-4.8586580668190376</v>
      </c>
      <c r="L375" s="54" cm="1">
        <f t="array" ref="L375">IFERROR(K375/H375,"N/A")</f>
        <v>-0.89975149385537723</v>
      </c>
      <c r="M375" s="84" t="s">
        <v>828</v>
      </c>
      <c r="N375" s="84" t="str" cm="1">
        <f t="array" ref="N375">IFERROR(M375-A375,"N/A")</f>
        <v>N/A</v>
      </c>
      <c r="O375" s="80"/>
      <c r="P375" s="56" cm="1">
        <f t="array" ref="P375">_xlfn.XLOOKUP($B375,ADP!A2:A671,ADP!G2:G671)</f>
        <v>0</v>
      </c>
      <c r="Q375" s="57" cm="1">
        <f t="array" ref="Q375">IF(Settings!$E$12="YES",VLOOKUP(B375,'Player Data'!A1:E673,5,FALSE),84)</f>
        <v>84</v>
      </c>
      <c r="R375" s="55" cm="1">
        <f t="array" ref="R375">VLOOKUP(B375,'Player Data'!$A1:$AE673,6,FALSE)</f>
        <v>14.9</v>
      </c>
      <c r="S375" s="57" cm="1">
        <f t="array" ref="S375">VLOOKUP(B375,'Player Data'!$A1:$AE673,7,FALSE)*$Q375*IFERROR((VLOOKUP(P375,Settings!$E$28:$F$33,2,FALSE)+1),1)</f>
        <v>18.48</v>
      </c>
      <c r="T375" s="57" cm="1">
        <f t="array" ref="T375">VLOOKUP(B375,'Player Data'!$A1:$AE673,8,FALSE)*$Q375*IFERROR((VLOOKUP(P375,Settings!$E$28:$F$33,2,FALSE)+1),1)</f>
        <v>20.16</v>
      </c>
      <c r="U375" s="57" cm="1">
        <f t="array" ref="U375">SUM(S375:T375)</f>
        <v>38.64</v>
      </c>
      <c r="V375" s="57" cm="1">
        <f t="array" ref="V375">VLOOKUP(B375,'Player Data'!$A1:$AE673,10,FALSE)*$Q375*IFERROR(((VLOOKUP(P375,Settings!$E$28:$F$33,2,FALSE)/2)+1),1)</f>
        <v>187.32</v>
      </c>
      <c r="W375" s="57" cm="1">
        <f t="array" ref="W375">VLOOKUP(B375,'Player Data'!$A1:$AE673,11,FALSE)*$Q375*IFERROR((VLOOKUP(P375,Settings!$E$28:$F$33,2,FALSE)+1),1)</f>
        <v>3.36</v>
      </c>
      <c r="X375" s="57" cm="1">
        <f t="array" ref="X375">VLOOKUP(B375,'Player Data'!$A1:$AE673,12,FALSE)*$Q375*IFERROR((VLOOKUP(P375,Settings!$E$28:$F$33,2,FALSE)+1),1)</f>
        <v>5.04</v>
      </c>
      <c r="Y375" s="57" cm="1">
        <f t="array" ref="Y375">VLOOKUP(B375,'Player Data'!$A1:$AE673,13,FALSE)*$Q375</f>
        <v>0</v>
      </c>
      <c r="Z375" s="57" cm="1">
        <f t="array" ref="Z375">VLOOKUP(B375,'Player Data'!$A1:$AE673,14,FALSE)*$Q375</f>
        <v>0</v>
      </c>
      <c r="AA375" s="57" cm="1">
        <f t="array" ref="AA375">VLOOKUP(B375,'Player Data'!$A1:$AE673,15,FALSE)*$Q375</f>
        <v>37.800000000000004</v>
      </c>
      <c r="AB375" s="57" cm="1">
        <f t="array" ref="AB375">VLOOKUP(B375,'Player Data'!$A1:$AE673,16,FALSE)*$Q375</f>
        <v>98.28</v>
      </c>
      <c r="AC375" s="57" cm="1">
        <f t="array" ref="AC375">VLOOKUP(B375,'Player Data'!$A1:$AE673,17,FALSE)*$Q375*IFERROR((VLOOKUP(P375,Settings!$E$28:$F$33,2,FALSE)+1),1)</f>
        <v>4.2</v>
      </c>
      <c r="AD375" s="57" cm="1">
        <f t="array" ref="AD375">VLOOKUP(B375,'Player Data'!$A1:$AE673,18,FALSE)*$Q375</f>
        <v>40.32</v>
      </c>
      <c r="AE375" s="57" cm="1">
        <f t="array" ref="AE375">VLOOKUP(B375,'Player Data'!$A1:$AE673,19,FALSE)*$Q375*IFERROR((VLOOKUP(P375,Settings!$E$28:$F$33,2,FALSE)+1),1)</f>
        <v>3.36</v>
      </c>
      <c r="AF375" s="57" cm="1">
        <f t="array" ref="AF375">VLOOKUP(B375,'Player Data'!$A1:$AE673,20,FALSE)*$Q375</f>
        <v>44.52</v>
      </c>
      <c r="AG375" s="57" cm="1">
        <f t="array" ref="AG375">VLOOKUP(B375,'Player Data'!$A1:$AE673,21,FALSE)*$Q375</f>
        <v>48.72</v>
      </c>
      <c r="AH375" s="59" cm="1">
        <f t="array" ref="AH375">VLOOKUP(B375,'Player Data'!$A1:$AE673,22,FALSE)</f>
        <v>0.48</v>
      </c>
      <c r="AI375" s="55"/>
      <c r="AJ375" s="57"/>
      <c r="AK375" s="57"/>
      <c r="AL375" s="57"/>
      <c r="AM375" s="57"/>
      <c r="AN375" s="57"/>
      <c r="AO375" s="57"/>
      <c r="AP375" s="57"/>
      <c r="AQ375" s="60"/>
      <c r="AR375" s="61"/>
      <c r="AS375" s="55"/>
    </row>
    <row r="376" spans="1:45" ht="21.25" customHeight="1" x14ac:dyDescent="0.15">
      <c r="A376" s="62">
        <f>RANK(K376,K$2:K$671)</f>
        <v>344</v>
      </c>
      <c r="B376" s="10" t="s">
        <v>426</v>
      </c>
      <c r="C376" s="47" t="s">
        <v>145</v>
      </c>
      <c r="D376" s="48" t="str" cm="1">
        <f t="array" ref="D376">VLOOKUP(B376,'Player Data'!A1:D673,4,FALSE)</f>
        <v>C</v>
      </c>
      <c r="E376" s="49" cm="1">
        <f t="array" ref="E376">VLOOKUP(B376,'C'!A1:C210,3,FALSE)</f>
        <v>72</v>
      </c>
      <c r="F376" s="72" t="str" cm="1">
        <f t="array" ref="F376">VLOOKUP(B376,'Player Data'!A1:B673,2,FALSE)</f>
        <v>BOS</v>
      </c>
      <c r="G376" s="71" cm="1">
        <f t="array" ref="G376">VLOOKUP(B376,'Player Data'!A1:D673,3,FALSE)</f>
        <v>19</v>
      </c>
      <c r="H376" s="51" cm="1">
        <f t="array" ref="H376">IFERROR(VLOOKUP(B376,ADP!A1:F671,6,FALSE)/1000000,VLOOKUP(B376,ADP!A1:F671,6,FALSE))</f>
        <v>0.97499999999999998</v>
      </c>
      <c r="I376" s="52">
        <f>IF(Settings!$E$15="POINTS",((R376*Q376)*Settings!$B$12)+(S376*Settings!$B$2)+(T376*Settings!$B$3)+(U376*Settings!$B$4)+(V376*Settings!$B$5)+(X376*Settings!$B$9)+(AA376*Settings!$B$6)+(W376*Settings!$B$8)+(AB376*Settings!$B$7)+(AC376*Settings!$B$14)+(AD376*Settings!$B$15)+(AE376*Settings!$B$16)+(AF376*Settings!$B$17)+(AG376*Settings!$B$18)+(Y376*Settings!$B$10)+(Z376*Settings!$B$11),VLOOKUP(B376,'Standard Deviations'!A$1:C$672,3,FALSE))</f>
        <v>1.5077295014378802</v>
      </c>
      <c r="J376" s="53" cm="1">
        <f t="array" ref="J376">IF(D376="G",I376/AJ376,I376/Q376)</f>
        <v>2.0374722992403786E-2</v>
      </c>
      <c r="K376" s="52" cm="1">
        <f t="array" ref="K376">IF(Settings!$E$18="C/LW/RW",VLOOKUP(B376,'C'!A1:F210,6,FALSE),VLOOKUP(B376,F!A1:F407,6,FALSE))</f>
        <v>-4.8522800561771842</v>
      </c>
      <c r="L376" s="54" cm="1">
        <f t="array" ref="L376">IFERROR(K376/H376,"N/A")</f>
        <v>-4.9766974935150605</v>
      </c>
      <c r="M376" s="84" t="s">
        <v>828</v>
      </c>
      <c r="N376" s="84" t="str" cm="1">
        <f t="array" ref="N376">IFERROR(M376-A376,"N/A")</f>
        <v>N/A</v>
      </c>
      <c r="O376" s="82"/>
      <c r="P376" s="56" cm="1">
        <f t="array" ref="P376">_xlfn.XLOOKUP($B376,ADP!A2:A671,ADP!G2:G671)</f>
        <v>0</v>
      </c>
      <c r="Q376" s="57" cm="1">
        <f t="array" ref="Q376">IF(Settings!$E$12="YES",VLOOKUP(B376,'Player Data'!A1:E673,5,FALSE),84)</f>
        <v>74</v>
      </c>
      <c r="R376" s="55" cm="1">
        <f t="array" ref="R376">VLOOKUP(B376,'Player Data'!$A1:$AE673,6,FALSE)</f>
        <v>14</v>
      </c>
      <c r="S376" s="57" cm="1">
        <f t="array" ref="S376">VLOOKUP(B376,'Player Data'!$A1:$AE673,7,FALSE)*$Q376*IFERROR((VLOOKUP(P376,Settings!$E$28:$F$33,2,FALSE)+1),1)</f>
        <v>19.98</v>
      </c>
      <c r="T376" s="57" cm="1">
        <f t="array" ref="T376">VLOOKUP(B376,'Player Data'!$A1:$AE673,8,FALSE)*$Q376*IFERROR((VLOOKUP(P376,Settings!$E$28:$F$33,2,FALSE)+1),1)</f>
        <v>25.9</v>
      </c>
      <c r="U376" s="57" cm="1">
        <f t="array" ref="U376">SUM(S376:T376)</f>
        <v>45.879999999999995</v>
      </c>
      <c r="V376" s="57" cm="1">
        <f t="array" ref="V376">VLOOKUP(B376,'Player Data'!$A1:$AE673,10,FALSE)*$Q376*IFERROR(((VLOOKUP(P376,Settings!$E$28:$F$33,2,FALSE)/2)+1),1)</f>
        <v>150.96</v>
      </c>
      <c r="W376" s="57" cm="1">
        <f t="array" ref="W376">VLOOKUP(B376,'Player Data'!$A1:$AE673,11,FALSE)*$Q376*IFERROR((VLOOKUP(P376,Settings!$E$28:$F$33,2,FALSE)+1),1)</f>
        <v>5.1800000000000006</v>
      </c>
      <c r="X376" s="57" cm="1">
        <f t="array" ref="X376">VLOOKUP(B376,'Player Data'!$A1:$AE673,12,FALSE)*$Q376*IFERROR((VLOOKUP(P376,Settings!$E$28:$F$33,2,FALSE)+1),1)</f>
        <v>11.84</v>
      </c>
      <c r="Y376" s="57" cm="1">
        <f t="array" ref="Y376">VLOOKUP(B376,'Player Data'!$A1:$AE673,13,FALSE)*$Q376</f>
        <v>0</v>
      </c>
      <c r="Z376" s="57" cm="1">
        <f t="array" ref="Z376">VLOOKUP(B376,'Player Data'!$A1:$AE673,14,FALSE)*$Q376</f>
        <v>0</v>
      </c>
      <c r="AA376" s="57" cm="1">
        <f t="array" ref="AA376">VLOOKUP(B376,'Player Data'!$A1:$AE673,15,FALSE)*$Q376</f>
        <v>31.08</v>
      </c>
      <c r="AB376" s="57" cm="1">
        <f t="array" ref="AB376">VLOOKUP(B376,'Player Data'!$A1:$AE673,16,FALSE)*$Q376</f>
        <v>87.32</v>
      </c>
      <c r="AC376" s="57" cm="1">
        <f t="array" ref="AC376">VLOOKUP(B376,'Player Data'!$A1:$AE673,17,FALSE)*$Q376*IFERROR((VLOOKUP(P376,Settings!$E$28:$F$33,2,FALSE)+1),1)</f>
        <v>0</v>
      </c>
      <c r="AD376" s="57" cm="1">
        <f t="array" ref="AD376">VLOOKUP(B376,'Player Data'!$A1:$AE673,18,FALSE)*$Q376</f>
        <v>29.6</v>
      </c>
      <c r="AE376" s="57" cm="1">
        <f t="array" ref="AE376">VLOOKUP(B376,'Player Data'!$A1:$AE673,19,FALSE)*$Q376*IFERROR((VLOOKUP(P376,Settings!$E$28:$F$33,2,FALSE)+1),1)</f>
        <v>2.96</v>
      </c>
      <c r="AF376" s="57" cm="1">
        <f t="array" ref="AF376">VLOOKUP(B376,'Player Data'!$A1:$AE673,20,FALSE)*$Q376</f>
        <v>90.28</v>
      </c>
      <c r="AG376" s="57" cm="1">
        <f t="array" ref="AG376">VLOOKUP(B376,'Player Data'!$A1:$AE673,21,FALSE)*$Q376</f>
        <v>135.42000000000002</v>
      </c>
      <c r="AH376" s="59" cm="1">
        <f t="array" ref="AH376">VLOOKUP(B376,'Player Data'!$A1:$AE673,22,FALSE)</f>
        <v>0.4</v>
      </c>
      <c r="AI376" s="55"/>
      <c r="AJ376" s="57"/>
      <c r="AK376" s="57"/>
      <c r="AL376" s="57"/>
      <c r="AM376" s="57"/>
      <c r="AN376" s="57"/>
      <c r="AO376" s="57"/>
      <c r="AP376" s="57"/>
      <c r="AQ376" s="60"/>
      <c r="AR376" s="61"/>
      <c r="AS376" s="55"/>
    </row>
    <row r="377" spans="1:45" ht="21.25" customHeight="1" x14ac:dyDescent="0.15">
      <c r="A377" s="62">
        <f>RANK(K377,K$2:K$671)</f>
        <v>389</v>
      </c>
      <c r="B377" s="10" t="s">
        <v>650</v>
      </c>
      <c r="C377" s="47" t="s">
        <v>145</v>
      </c>
      <c r="D377" s="48" t="str" cm="1">
        <f t="array" ref="D377">VLOOKUP(B377,'Player Data'!A1:D673,4,FALSE)</f>
        <v>G</v>
      </c>
      <c r="E377" s="76" cm="1">
        <f t="array" ref="E377">VLOOKUP(B377,G!A1:D66,3,FALSE)</f>
        <v>54</v>
      </c>
      <c r="F377" s="56" t="str" cm="1">
        <f t="array" ref="F377">VLOOKUP(B377,'Player Data'!A1:B673,2,FALSE)</f>
        <v>WSH</v>
      </c>
      <c r="G377" s="66" cm="1">
        <f t="array" ref="G377">VLOOKUP(B377,'Player Data'!A1:D673,3,FALSE)</f>
        <v>32</v>
      </c>
      <c r="H377" s="51" cm="1">
        <f t="array" ref="H377">IFERROR(VLOOKUP(B377,ADP!A1:F671,6,FALSE)/1000000,VLOOKUP(B377,ADP!A1:F671,6,FALSE))</f>
        <v>3</v>
      </c>
      <c r="I377" s="52">
        <f>IF(Settings!$E$15="POINTS",(AJ377*Settings!$B$29)+(AK377*Settings!$B$21)+(AL377*Settings!$B$22)+(AN377*Settings!$B$24)+(AO377*Settings!$B$25)+(AP377*Settings!$B$27)+(AM377*Settings!$B$23),VLOOKUP(B377,'Standard Deviations'!A$1:C$672,3,FALSE))</f>
        <v>-3.5439292219675491</v>
      </c>
      <c r="J377" s="53" cm="1">
        <f t="array" ref="J377">IF(D377="G",I377/AJ377,I377/Q377)</f>
        <v>-0.14175716887870196</v>
      </c>
      <c r="K377" s="52" cm="1">
        <f t="array" ref="K377">VLOOKUP(B377,G!A1:F66,6,FALSE)</f>
        <v>-5.5821144810912244</v>
      </c>
      <c r="L377" s="54" cm="1">
        <f t="array" ref="L377">IFERROR(K377/H377,"N/A")</f>
        <v>-1.8607048270304081</v>
      </c>
      <c r="M377" s="84" t="s">
        <v>828</v>
      </c>
      <c r="N377" s="84" t="str" cm="1">
        <f t="array" ref="N377">IFERROR(M377-A377,"N/A")</f>
        <v>N/A</v>
      </c>
      <c r="O377" s="55"/>
      <c r="P377" s="56" cm="1">
        <f t="array" ref="P377">_xlfn.XLOOKUP($B377,ADP!A2:A671,ADP!G2:G671)</f>
        <v>0</v>
      </c>
      <c r="Q377" s="57"/>
      <c r="R377" s="55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9"/>
      <c r="AI377" s="55"/>
      <c r="AJ377" s="77" cm="1">
        <f t="array" ref="AJ377">VLOOKUP(B377,'Player Data'!$A1:$AE673,24,FALSE)</f>
        <v>25</v>
      </c>
      <c r="AK377" s="57" cm="1">
        <f t="array" ref="AK377">VLOOKUP(B377,'Player Data'!$A1:$AE673,25,FALSE)*$AJ377*IFERROR((VLOOKUP(P377,Settings!$E$28:$F$33,2,FALSE)+1),1)</f>
        <v>13.25</v>
      </c>
      <c r="AL377" s="57" cm="1">
        <f t="array" ref="AL377">AJ377-AK377-AM377</f>
        <v>8.75</v>
      </c>
      <c r="AM377" s="57" cm="1">
        <f t="array" ref="AM377">VLOOKUP(B377,'Player Data'!$A1:$AE673,27,FALSE)*$AJ377</f>
        <v>3</v>
      </c>
      <c r="AN377" s="57" cm="1">
        <f t="array" ref="AN377">VLOOKUP(B377,'Player Data'!$A1:$AE673,28,FALSE)*AJ377</f>
        <v>1.25</v>
      </c>
      <c r="AO377" s="57" cm="1">
        <f t="array" ref="AO377">VLOOKUP(B377,'Player Data'!$A1:$AE673,29,FALSE)*$AJ377*IFERROR((VLOOKUP(P377,Settings!$E$28:$F$33,2,FALSE)/4)+1,1)</f>
        <v>600</v>
      </c>
      <c r="AP377" s="57" cm="1">
        <f t="array" ref="AP377">VLOOKUP(B377,'Player Data'!$A1:$AE673,31,FALSE)*$AJ377*(IFERROR(1-(VLOOKUP(P377,Settings!$E$28:$F$33,2,FALSE)/4),1))</f>
        <v>72.75</v>
      </c>
      <c r="AQ377" s="60" cm="1">
        <f t="array" ref="AQ377">1-(AP377/(AO377+AP377))</f>
        <v>0.89186176142697882</v>
      </c>
      <c r="AR377" s="61" cm="1">
        <f t="array" ref="AR377">AP377/AJ377</f>
        <v>2.91</v>
      </c>
      <c r="AS377" s="55"/>
    </row>
    <row r="378" spans="1:45" ht="21.25" customHeight="1" x14ac:dyDescent="0.15">
      <c r="A378" s="62">
        <f>RANK(K378,K$2:K$671)</f>
        <v>393</v>
      </c>
      <c r="B378" s="10" t="s">
        <v>480</v>
      </c>
      <c r="C378" s="47" t="s">
        <v>145</v>
      </c>
      <c r="D378" s="48" t="str" cm="1">
        <f t="array" ref="D378">VLOOKUP(B378,'Player Data'!A1:D673,4,FALSE)</f>
        <v>G</v>
      </c>
      <c r="E378" s="76" cm="1">
        <f t="array" ref="E378">VLOOKUP(B378,G!A1:D66,3,FALSE)</f>
        <v>55</v>
      </c>
      <c r="F378" s="50" t="str" cm="1">
        <f t="array" ref="F378">VLOOKUP(B378,'Player Data'!A1:B673,2,FALSE)</f>
        <v>S.J</v>
      </c>
      <c r="G378" s="11" cm="1">
        <f t="array" ref="G378">VLOOKUP(B378,'Player Data'!A1:D673,3,FALSE)</f>
        <v>30</v>
      </c>
      <c r="H378" s="51" cm="1">
        <f t="array" ref="H378">IFERROR(VLOOKUP(B378,ADP!A1:F671,6,FALSE)/1000000,VLOOKUP(B378,ADP!A1:F671,6,FALSE))</f>
        <v>3</v>
      </c>
      <c r="I378" s="52">
        <f>IF(Settings!$E$15="POINTS",(AJ378*Settings!$B$29)+(AK378*Settings!$B$21)+(AL378*Settings!$B$22)+(AN378*Settings!$B$24)+(AO378*Settings!$B$25)+(AP378*Settings!$B$27)+(AM378*Settings!$B$23),VLOOKUP(B378,'Standard Deviations'!A$1:C$672,3,FALSE))</f>
        <v>-3.5802196688777155</v>
      </c>
      <c r="J378" s="53" cm="1">
        <f t="array" ref="J378">IF(D378="G",I378/AJ378,I378/Q378)</f>
        <v>-0.1022919905393633</v>
      </c>
      <c r="K378" s="52" cm="1">
        <f t="array" ref="K378">VLOOKUP(B378,G!A1:F66,6,FALSE)</f>
        <v>-5.6184049280013904</v>
      </c>
      <c r="L378" s="54" cm="1">
        <f t="array" ref="L378">IFERROR(K378/H378,"N/A")</f>
        <v>-1.8728016426671301</v>
      </c>
      <c r="M378" s="84" t="s">
        <v>828</v>
      </c>
      <c r="N378" s="84" t="str" cm="1">
        <f t="array" ref="N378">IFERROR(M378-A378,"N/A")</f>
        <v>N/A</v>
      </c>
      <c r="O378" s="55"/>
      <c r="P378" s="56" cm="1">
        <f t="array" ref="P378">_xlfn.XLOOKUP($B378,ADP!A2:A671,ADP!G2:G671)</f>
        <v>0</v>
      </c>
      <c r="Q378" s="57"/>
      <c r="R378" s="55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9"/>
      <c r="AI378" s="55"/>
      <c r="AJ378" s="77" cm="1">
        <f t="array" ref="AJ378">VLOOKUP(B378,'Player Data'!$A1:$AE673,24,FALSE)</f>
        <v>35</v>
      </c>
      <c r="AK378" s="57" cm="1">
        <f t="array" ref="AK378">VLOOKUP(B378,'Player Data'!$A1:$AE673,25,FALSE)*$AJ378*IFERROR((VLOOKUP(P378,Settings!$E$28:$F$33,2,FALSE)+1),1)</f>
        <v>16.8</v>
      </c>
      <c r="AL378" s="57" cm="1">
        <f t="array" ref="AL378">AJ378-AK378-AM378</f>
        <v>13.649999999999999</v>
      </c>
      <c r="AM378" s="57" cm="1">
        <f t="array" ref="AM378">VLOOKUP(B378,'Player Data'!$A1:$AE673,27,FALSE)*$AJ378</f>
        <v>4.55</v>
      </c>
      <c r="AN378" s="57" cm="1">
        <f t="array" ref="AN378">VLOOKUP(B378,'Player Data'!$A1:$AE673,28,FALSE)*AJ378</f>
        <v>1.05</v>
      </c>
      <c r="AO378" s="57" cm="1">
        <f t="array" ref="AO378">VLOOKUP(B378,'Player Data'!$A1:$AE673,29,FALSE)*$AJ378*IFERROR((VLOOKUP(P378,Settings!$E$28:$F$33,2,FALSE)/4)+1,1)</f>
        <v>941.5</v>
      </c>
      <c r="AP378" s="57" cm="1">
        <f t="array" ref="AP378">VLOOKUP(B378,'Player Data'!$A1:$AE673,31,FALSE)*$AJ378*(IFERROR(1-(VLOOKUP(P378,Settings!$E$28:$F$33,2,FALSE)/4),1))</f>
        <v>108.85</v>
      </c>
      <c r="AQ378" s="60" cm="1">
        <f t="array" ref="AQ378">1-(AP378/(AO378+AP378))</f>
        <v>0.89636787737420853</v>
      </c>
      <c r="AR378" s="61" cm="1">
        <f t="array" ref="AR378">AP378/AJ378</f>
        <v>3.11</v>
      </c>
      <c r="AS378" s="55"/>
    </row>
    <row r="379" spans="1:45" ht="21.25" customHeight="1" x14ac:dyDescent="0.15">
      <c r="A379" s="62">
        <f>RANK(K379,K$2:K$671)</f>
        <v>403</v>
      </c>
      <c r="B379" s="10" t="s">
        <v>556</v>
      </c>
      <c r="C379" s="47" t="s">
        <v>145</v>
      </c>
      <c r="D379" s="48" t="str" cm="1">
        <f t="array" ref="D379">VLOOKUP(B379,'Player Data'!A1:D673,4,FALSE)</f>
        <v>D</v>
      </c>
      <c r="E379" s="68" cm="1">
        <f t="array" ref="E379">VLOOKUP(B379,D!A1:C204,3,FALSE)</f>
        <v>188</v>
      </c>
      <c r="F379" s="72" t="str" cm="1">
        <f t="array" ref="F379">VLOOKUP(B379,'Player Data'!A1:B673,2,FALSE)</f>
        <v>DET</v>
      </c>
      <c r="G379" s="11" cm="1">
        <f t="array" ref="G379">VLOOKUP(B379,'Player Data'!A1:D673,3,FALSE)</f>
        <v>25</v>
      </c>
      <c r="H379" s="67" cm="1">
        <f t="array" ref="H379">IFERROR(VLOOKUP(B379,ADP!A1:F671,6,FALSE)/1000000,VLOOKUP(B379,ADP!A1:F671,6,FALSE))</f>
        <v>1.125</v>
      </c>
      <c r="I379" s="52">
        <f>IF(Settings!$E$15="POINTS",((R379*Q379)*Settings!$B$12)+(S379*Settings!$B$2)+(T379*Settings!$B$3)+(U379*Settings!$B$4)+(V379*Settings!$B$5)+(X379*Settings!$B$9)+(AA379*Settings!$B$6)+(W379*Settings!$B$8)+(AB379*Settings!$B$7)+(AC379*Settings!$B$14)+(AD379*Settings!$B$15)+(AE379*Settings!$B$16)+(AF379*Settings!$B$17)+(AG379*Settings!$B$18)+(U379*Settings!$B$13)+(Y379*Settings!$B$10)+(Z379*Settings!$B$11),VLOOKUP(B379,'Standard Deviations'!A$1:C$672,3,FALSE))</f>
        <v>-5.2725834592941077</v>
      </c>
      <c r="J379" s="53" cm="1">
        <f t="array" ref="J379">IF(D379="G",I379/AJ379,I379/Q379)</f>
        <v>-6.6741562775874785E-2</v>
      </c>
      <c r="K379" s="52" cm="1">
        <f t="array" ref="K379">VLOOKUP(B379,D!A1:F204,6,FALSE)</f>
        <v>-5.8394343738116623</v>
      </c>
      <c r="L379" s="54" cm="1">
        <f t="array" ref="L379">IFERROR(K379/H379,"N/A")</f>
        <v>-5.1906083322770336</v>
      </c>
      <c r="M379" s="84" t="s">
        <v>828</v>
      </c>
      <c r="N379" s="84" t="str" cm="1">
        <f t="array" ref="N379">IFERROR(M379-A379,"N/A")</f>
        <v>N/A</v>
      </c>
      <c r="O379" s="55"/>
      <c r="P379" s="56" cm="1">
        <f t="array" ref="P379">_xlfn.XLOOKUP($B379,ADP!A2:A671,ADP!G2:G671)</f>
        <v>0</v>
      </c>
      <c r="Q379" s="57" cm="1">
        <f t="array" ref="Q379">IF(Settings!$E$12="YES",VLOOKUP(B379,'Player Data'!A1:E673,5,FALSE),84)</f>
        <v>79</v>
      </c>
      <c r="R379" s="55" cm="1">
        <f t="array" ref="R379">VLOOKUP(B379,'Player Data'!$A1:$AE673,6,FALSE)</f>
        <v>15.3</v>
      </c>
      <c r="S379" s="57" cm="1">
        <f t="array" ref="S379">VLOOKUP(B379,'Player Data'!$A1:$AE673,7,FALSE)*$Q379*IFERROR((VLOOKUP(P379,Settings!$E$28:$F$33,2,FALSE)+1),1)</f>
        <v>3.16</v>
      </c>
      <c r="T379" s="57" cm="1">
        <f t="array" ref="T379">VLOOKUP(B379,'Player Data'!$A1:$AE673,8,FALSE)*$Q379*IFERROR((VLOOKUP(P379,Settings!$E$28:$F$33,2,FALSE)+1),1)</f>
        <v>8.69</v>
      </c>
      <c r="U379" s="57" cm="1">
        <f t="array" ref="U379">SUM(S379:T379)</f>
        <v>11.85</v>
      </c>
      <c r="V379" s="57" cm="1">
        <f t="array" ref="V379">VLOOKUP(B379,'Player Data'!$A1:$AE673,10,FALSE)*$Q379*IFERROR(((VLOOKUP(P379,Settings!$E$28:$F$33,2,FALSE)/2)+1),1)</f>
        <v>60.04</v>
      </c>
      <c r="W379" s="57" cm="1">
        <f t="array" ref="W379">VLOOKUP(B379,'Player Data'!$A1:$AE673,11,FALSE)*$Q379*IFERROR((VLOOKUP(P379,Settings!$E$28:$F$33,2,FALSE)+1),1)</f>
        <v>0</v>
      </c>
      <c r="X379" s="57" cm="1">
        <f t="array" ref="X379">VLOOKUP(B379,'Player Data'!$A1:$AE673,12,FALSE)*$Q379*IFERROR((VLOOKUP(P379,Settings!$E$28:$F$33,2,FALSE)+1),1)</f>
        <v>0</v>
      </c>
      <c r="Y379" s="57" cm="1">
        <f t="array" ref="Y379">VLOOKUP(B379,'Player Data'!$A1:$AE673,13,FALSE)*$Q379</f>
        <v>0.79</v>
      </c>
      <c r="Z379" s="57" cm="1">
        <f t="array" ref="Z379">VLOOKUP(B379,'Player Data'!$A1:$AE673,14,FALSE)*$Q379</f>
        <v>0.79</v>
      </c>
      <c r="AA379" s="57" cm="1">
        <f t="array" ref="AA379">VLOOKUP(B379,'Player Data'!$A1:$AE673,15,FALSE)*$Q379</f>
        <v>89.27</v>
      </c>
      <c r="AB379" s="57" cm="1">
        <f t="array" ref="AB379">VLOOKUP(B379,'Player Data'!$A1:$AE673,16,FALSE)*$Q379</f>
        <v>65.569999999999993</v>
      </c>
      <c r="AC379" s="57" cm="1">
        <f t="array" ref="AC379">VLOOKUP(B379,'Player Data'!$A1:$AE673,17,FALSE)*$Q379*IFERROR((VLOOKUP(P379,Settings!$E$28:$F$33,2,FALSE)+1),1)</f>
        <v>-3.16</v>
      </c>
      <c r="AD379" s="57" cm="1">
        <f t="array" ref="AD379">VLOOKUP(B379,'Player Data'!$A1:$AE673,18,FALSE)*$Q379</f>
        <v>21.330000000000002</v>
      </c>
      <c r="AE379" s="57" cm="1">
        <f t="array" ref="AE379">VLOOKUP(B379,'Player Data'!$A1:$AE673,19,FALSE)*$Q379*IFERROR((VLOOKUP(P379,Settings!$E$28:$F$33,2,FALSE)+1),1)</f>
        <v>0.79</v>
      </c>
      <c r="AF379" s="57" cm="1">
        <f t="array" ref="AF379">VLOOKUP(B379,'Player Data'!$A1:$AE673,20,FALSE)*$Q379</f>
        <v>0</v>
      </c>
      <c r="AG379" s="57" cm="1">
        <f t="array" ref="AG379">VLOOKUP(B379,'Player Data'!$A1:$AE673,21,FALSE)*$Q379</f>
        <v>0</v>
      </c>
      <c r="AH379" s="59" cm="1">
        <f t="array" ref="AH379">VLOOKUP(B379,'Player Data'!$A1:$AE673,22,FALSE)</f>
        <v>0</v>
      </c>
      <c r="AI379" s="55"/>
      <c r="AJ379" s="57"/>
      <c r="AK379" s="57"/>
      <c r="AL379" s="57"/>
      <c r="AM379" s="57"/>
      <c r="AN379" s="57"/>
      <c r="AO379" s="57"/>
      <c r="AP379" s="57"/>
      <c r="AQ379" s="60"/>
      <c r="AR379" s="61"/>
      <c r="AS379" s="55"/>
    </row>
    <row r="380" spans="1:45" ht="21.25" customHeight="1" x14ac:dyDescent="0.15">
      <c r="A380" s="62">
        <f>RANK(K380,K$2:K$671)</f>
        <v>348</v>
      </c>
      <c r="B380" s="10" t="s">
        <v>372</v>
      </c>
      <c r="C380" s="47" t="s">
        <v>145</v>
      </c>
      <c r="D380" s="48" t="str" cm="1">
        <f t="array" ref="D380">VLOOKUP(B380,'Player Data'!A1:D673,4,FALSE)</f>
        <v>C,LW</v>
      </c>
      <c r="E380" s="74" cm="1">
        <f t="array" ref="E380">VLOOKUP(B380,LW!A1:C210,3,FALSE)</f>
        <v>71</v>
      </c>
      <c r="F380" s="50" t="str" cm="1">
        <f t="array" ref="F380">VLOOKUP(B380,'Player Data'!A1:B673,2,FALSE)</f>
        <v>ANA</v>
      </c>
      <c r="G380" s="66" cm="1">
        <f t="array" ref="G380">VLOOKUP(B380,'Player Data'!A1:D673,3,FALSE)</f>
        <v>34</v>
      </c>
      <c r="H380" s="51" cm="1">
        <f t="array" ref="H380">IFERROR(VLOOKUP(B380,ADP!A1:F671,6,FALSE)/1000000,VLOOKUP(B380,ADP!A1:F671,6,FALSE))</f>
        <v>7</v>
      </c>
      <c r="I380" s="52">
        <f>IF(Settings!$E$15="POINTS",((R380*Q380)*Settings!$B$12)+(S380*Settings!$B$2)+(T380*Settings!$B$3)+(U380*Settings!$B$4)+(V380*Settings!$B$5)+(X380*Settings!$B$9)+(AA380*Settings!$B$6)+(W380*Settings!$B$8)+(AB380*Settings!$B$7)+(AC380*Settings!$B$14)+(AD380*Settings!$B$15)+(AE380*Settings!$B$16)+(AF380*Settings!$B$17)+(AG380*Settings!$B$18)+(Y380*Settings!$B$10)+(Z380*Settings!$B$11),VLOOKUP(B380,'Standard Deviations'!A$1:C$672,3,FALSE))</f>
        <v>1.935815440417896</v>
      </c>
      <c r="J380" s="53" cm="1">
        <f t="array" ref="J380">IF(D380="G",I380/AJ380,I380/Q380)</f>
        <v>2.4503992916682229E-2</v>
      </c>
      <c r="K380" s="52" cm="1">
        <f t="array" ref="K380">IF(Settings!$E$18="C/LW/RW",VLOOKUP(B380,LW!A1:F210,6,FALSE),VLOOKUP(B380,F!A1:F407,6,FALSE))</f>
        <v>-4.9585702039719139</v>
      </c>
      <c r="L380" s="54" cm="1">
        <f t="array" ref="L380">IFERROR(K380/H380,"N/A")</f>
        <v>-0.70836717199598775</v>
      </c>
      <c r="M380" s="84" t="s">
        <v>828</v>
      </c>
      <c r="N380" s="84" t="str" cm="1">
        <f t="array" ref="N380">IFERROR(M380-A380,"N/A")</f>
        <v>N/A</v>
      </c>
      <c r="O380" s="55"/>
      <c r="P380" s="56" cm="1">
        <f t="array" ref="P380">_xlfn.XLOOKUP($B380,ADP!A2:A671,ADP!G2:G671)</f>
        <v>0</v>
      </c>
      <c r="Q380" s="57" cm="1">
        <f t="array" ref="Q380">IF(Settings!$E$12="YES",VLOOKUP(B380,'Player Data'!A1:E673,5,FALSE),84)</f>
        <v>79</v>
      </c>
      <c r="R380" s="55" cm="1">
        <f t="array" ref="R380">VLOOKUP(B380,'Player Data'!$A1:$AE673,6,FALSE)</f>
        <v>18.5</v>
      </c>
      <c r="S380" s="57" cm="1">
        <f t="array" ref="S380">VLOOKUP(B380,'Player Data'!$A1:$AE673,7,FALSE)*$Q380*IFERROR((VLOOKUP(P380,Settings!$E$28:$F$33,2,FALSE)+1),1)</f>
        <v>21.330000000000002</v>
      </c>
      <c r="T380" s="57" cm="1">
        <f t="array" ref="T380">VLOOKUP(B380,'Player Data'!$A1:$AE673,8,FALSE)*$Q380*IFERROR((VLOOKUP(P380,Settings!$E$28:$F$33,2,FALSE)+1),1)</f>
        <v>36.340000000000003</v>
      </c>
      <c r="U380" s="57" cm="1">
        <f t="array" ref="U380">SUM(S380:T380)</f>
        <v>57.67</v>
      </c>
      <c r="V380" s="57" cm="1">
        <f t="array" ref="V380">VLOOKUP(B380,'Player Data'!$A1:$AE673,10,FALSE)*$Q380*IFERROR(((VLOOKUP(P380,Settings!$E$28:$F$33,2,FALSE)/2)+1),1)</f>
        <v>154.84</v>
      </c>
      <c r="W380" s="57" cm="1">
        <f t="array" ref="W380">VLOOKUP(B380,'Player Data'!$A1:$AE673,11,FALSE)*$Q380*IFERROR((VLOOKUP(P380,Settings!$E$28:$F$33,2,FALSE)+1),1)</f>
        <v>5.53</v>
      </c>
      <c r="X380" s="57" cm="1">
        <f t="array" ref="X380">VLOOKUP(B380,'Player Data'!$A1:$AE673,12,FALSE)*$Q380*IFERROR((VLOOKUP(P380,Settings!$E$28:$F$33,2,FALSE)+1),1)</f>
        <v>17.38</v>
      </c>
      <c r="Y380" s="57" cm="1">
        <f t="array" ref="Y380">VLOOKUP(B380,'Player Data'!$A1:$AE673,13,FALSE)*$Q380</f>
        <v>0</v>
      </c>
      <c r="Z380" s="57" cm="1">
        <f t="array" ref="Z380">VLOOKUP(B380,'Player Data'!$A1:$AE673,14,FALSE)*$Q380</f>
        <v>0.79</v>
      </c>
      <c r="AA380" s="57" cm="1">
        <f t="array" ref="AA380">VLOOKUP(B380,'Player Data'!$A1:$AE673,15,FALSE)*$Q380</f>
        <v>54.51</v>
      </c>
      <c r="AB380" s="57" cm="1">
        <f t="array" ref="AB380">VLOOKUP(B380,'Player Data'!$A1:$AE673,16,FALSE)*$Q380</f>
        <v>52.14</v>
      </c>
      <c r="AC380" s="57" cm="1">
        <f t="array" ref="AC380">VLOOKUP(B380,'Player Data'!$A1:$AE673,17,FALSE)*$Q380*IFERROR((VLOOKUP(P380,Settings!$E$28:$F$33,2,FALSE)+1),1)</f>
        <v>-1.58</v>
      </c>
      <c r="AD380" s="57" cm="1">
        <f t="array" ref="AD380">VLOOKUP(B380,'Player Data'!$A1:$AE673,18,FALSE)*$Q380</f>
        <v>27.65</v>
      </c>
      <c r="AE380" s="57" cm="1">
        <f t="array" ref="AE380">VLOOKUP(B380,'Player Data'!$A1:$AE673,19,FALSE)*$Q380*IFERROR((VLOOKUP(P380,Settings!$E$28:$F$33,2,FALSE)+1),1)</f>
        <v>3.16</v>
      </c>
      <c r="AF380" s="57" cm="1">
        <f t="array" ref="AF380">VLOOKUP(B380,'Player Data'!$A1:$AE673,20,FALSE)*$Q380</f>
        <v>462.94</v>
      </c>
      <c r="AG380" s="57" cm="1">
        <f t="array" ref="AG380">VLOOKUP(B380,'Player Data'!$A1:$AE673,21,FALSE)*$Q380</f>
        <v>484.27</v>
      </c>
      <c r="AH380" s="59" cm="1">
        <f t="array" ref="AH380">VLOOKUP(B380,'Player Data'!$A1:$AE673,22,FALSE)</f>
        <v>0.49</v>
      </c>
      <c r="AI380" s="55"/>
      <c r="AJ380" s="57"/>
      <c r="AK380" s="57"/>
      <c r="AL380" s="57"/>
      <c r="AM380" s="57"/>
      <c r="AN380" s="57"/>
      <c r="AO380" s="57"/>
      <c r="AP380" s="57"/>
      <c r="AQ380" s="60"/>
      <c r="AR380" s="61"/>
      <c r="AS380" s="55"/>
    </row>
    <row r="381" spans="1:45" ht="21.25" customHeight="1" x14ac:dyDescent="0.15">
      <c r="A381" s="62">
        <f>RANK(K381,K$2:K$671)</f>
        <v>404</v>
      </c>
      <c r="B381" s="10" t="s">
        <v>437</v>
      </c>
      <c r="C381" s="47" t="s">
        <v>145</v>
      </c>
      <c r="D381" s="48" t="str" cm="1">
        <f t="array" ref="D381">VLOOKUP(B381,'Player Data'!A1:D673,4,FALSE)</f>
        <v>D</v>
      </c>
      <c r="E381" s="68" cm="1">
        <f t="array" ref="E381">VLOOKUP(B381,D!A1:C204,3,FALSE)</f>
        <v>189</v>
      </c>
      <c r="F381" s="63" t="str" cm="1">
        <f t="array" ref="F381">VLOOKUP(B381,'Player Data'!A1:B673,2,FALSE)</f>
        <v>CGY</v>
      </c>
      <c r="G381" s="11" cm="1">
        <f t="array" ref="G381">VLOOKUP(B381,'Player Data'!A1:D673,3,FALSE)</f>
        <v>29</v>
      </c>
      <c r="H381" s="51" cm="1">
        <f t="array" ref="H381">IFERROR(VLOOKUP(B381,ADP!A1:F671,6,FALSE)/1000000,VLOOKUP(B381,ADP!A1:F671,6,FALSE))</f>
        <v>2.75</v>
      </c>
      <c r="I381" s="52">
        <f>IF(Settings!$E$15="POINTS",((R381*Q381)*Settings!$B$12)+(S381*Settings!$B$2)+(T381*Settings!$B$3)+(U381*Settings!$B$4)+(V381*Settings!$B$5)+(X381*Settings!$B$9)+(AA381*Settings!$B$6)+(W381*Settings!$B$8)+(AB381*Settings!$B$7)+(AC381*Settings!$B$14)+(AD381*Settings!$B$15)+(AE381*Settings!$B$16)+(AF381*Settings!$B$17)+(AG381*Settings!$B$18)+(U381*Settings!$B$13)+(Y381*Settings!$B$10)+(Z381*Settings!$B$11),VLOOKUP(B381,'Standard Deviations'!A$1:C$672,3,FALSE))</f>
        <v>-5.2963447431492572</v>
      </c>
      <c r="J381" s="53" cm="1">
        <f t="array" ref="J381">IF(D381="G",I381/AJ381,I381/Q381)</f>
        <v>-6.6204309289365715E-2</v>
      </c>
      <c r="K381" s="52" cm="1">
        <f t="array" ref="K381">VLOOKUP(B381,D!A1:F204,6,FALSE)</f>
        <v>-5.8631956576668118</v>
      </c>
      <c r="L381" s="54" cm="1">
        <f t="array" ref="L381">IFERROR(K381/H381,"N/A")</f>
        <v>-2.1320711482424772</v>
      </c>
      <c r="M381" s="84" t="s">
        <v>828</v>
      </c>
      <c r="N381" s="84" t="str" cm="1">
        <f t="array" ref="N381">IFERROR(M381-A381,"N/A")</f>
        <v>N/A</v>
      </c>
      <c r="O381" s="55"/>
      <c r="P381" s="56" cm="1">
        <f t="array" ref="P381">_xlfn.XLOOKUP($B381,ADP!A2:A671,ADP!G2:G671)</f>
        <v>0</v>
      </c>
      <c r="Q381" s="57" cm="1">
        <f t="array" ref="Q381">IF(Settings!$E$12="YES",VLOOKUP(B381,'Player Data'!A1:E673,5,FALSE),84)</f>
        <v>80</v>
      </c>
      <c r="R381" s="55" cm="1">
        <f t="array" ref="R381">VLOOKUP(B381,'Player Data'!$A1:$AE673,6,FALSE)</f>
        <v>20.9</v>
      </c>
      <c r="S381" s="57" cm="1">
        <f t="array" ref="S381">VLOOKUP(B381,'Player Data'!$A1:$AE673,7,FALSE)*$Q381*IFERROR((VLOOKUP(P381,Settings!$E$28:$F$33,2,FALSE)+1),1)</f>
        <v>2.4</v>
      </c>
      <c r="T381" s="57" cm="1">
        <f t="array" ref="T381">VLOOKUP(B381,'Player Data'!$A1:$AE673,8,FALSE)*$Q381*IFERROR((VLOOKUP(P381,Settings!$E$28:$F$33,2,FALSE)+1),1)</f>
        <v>13.600000000000001</v>
      </c>
      <c r="U381" s="57" cm="1">
        <f t="array" ref="U381">SUM(S381:T381)</f>
        <v>16</v>
      </c>
      <c r="V381" s="57" cm="1">
        <f t="array" ref="V381">VLOOKUP(B381,'Player Data'!$A1:$AE673,10,FALSE)*$Q381*IFERROR(((VLOOKUP(P381,Settings!$E$28:$F$33,2,FALSE)/2)+1),1)</f>
        <v>63.2</v>
      </c>
      <c r="W381" s="57" cm="1">
        <f t="array" ref="W381">VLOOKUP(B381,'Player Data'!$A1:$AE673,11,FALSE)*$Q381*IFERROR((VLOOKUP(P381,Settings!$E$28:$F$33,2,FALSE)+1),1)</f>
        <v>0</v>
      </c>
      <c r="X381" s="57" cm="1">
        <f t="array" ref="X381">VLOOKUP(B381,'Player Data'!$A1:$AE673,12,FALSE)*$Q381*IFERROR((VLOOKUP(P381,Settings!$E$28:$F$33,2,FALSE)+1),1)</f>
        <v>0</v>
      </c>
      <c r="Y381" s="57" cm="1">
        <f t="array" ref="Y381">VLOOKUP(B381,'Player Data'!$A1:$AE673,13,FALSE)*$Q381</f>
        <v>0</v>
      </c>
      <c r="Z381" s="57" cm="1">
        <f t="array" ref="Z381">VLOOKUP(B381,'Player Data'!$A1:$AE673,14,FALSE)*$Q381</f>
        <v>0</v>
      </c>
      <c r="AA381" s="57" cm="1">
        <f t="array" ref="AA381">VLOOKUP(B381,'Player Data'!$A1:$AE673,15,FALSE)*$Q381</f>
        <v>136.80000000000001</v>
      </c>
      <c r="AB381" s="57" cm="1">
        <f t="array" ref="AB381">VLOOKUP(B381,'Player Data'!$A1:$AE673,16,FALSE)*$Q381</f>
        <v>116.8</v>
      </c>
      <c r="AC381" s="57" cm="1">
        <f t="array" ref="AC381">VLOOKUP(B381,'Player Data'!$A1:$AE673,17,FALSE)*$Q381*IFERROR((VLOOKUP(P381,Settings!$E$28:$F$33,2,FALSE)+1),1)</f>
        <v>-9.6</v>
      </c>
      <c r="AD381" s="57" cm="1">
        <f t="array" ref="AD381">VLOOKUP(B381,'Player Data'!$A1:$AE673,18,FALSE)*$Q381</f>
        <v>36.800000000000004</v>
      </c>
      <c r="AE381" s="57" cm="1">
        <f t="array" ref="AE381">VLOOKUP(B381,'Player Data'!$A1:$AE673,19,FALSE)*$Q381*IFERROR((VLOOKUP(P381,Settings!$E$28:$F$33,2,FALSE)+1),1)</f>
        <v>0</v>
      </c>
      <c r="AF381" s="57" cm="1">
        <f t="array" ref="AF381">VLOOKUP(B381,'Player Data'!$A1:$AE673,20,FALSE)*$Q381</f>
        <v>0</v>
      </c>
      <c r="AG381" s="57" cm="1">
        <f t="array" ref="AG381">VLOOKUP(B381,'Player Data'!$A1:$AE673,21,FALSE)*$Q381</f>
        <v>0</v>
      </c>
      <c r="AH381" s="59" cm="1">
        <f t="array" ref="AH381">VLOOKUP(B381,'Player Data'!$A1:$AE673,22,FALSE)</f>
        <v>0</v>
      </c>
      <c r="AI381" s="55"/>
      <c r="AJ381" s="57"/>
      <c r="AK381" s="57"/>
      <c r="AL381" s="57"/>
      <c r="AM381" s="57"/>
      <c r="AN381" s="57"/>
      <c r="AO381" s="57"/>
      <c r="AP381" s="57"/>
      <c r="AQ381" s="60"/>
      <c r="AR381" s="61"/>
      <c r="AS381" s="55"/>
    </row>
    <row r="382" spans="1:45" ht="21.25" customHeight="1" x14ac:dyDescent="0.15">
      <c r="A382" s="62">
        <f>RANK(K382,K$2:K$671)</f>
        <v>346</v>
      </c>
      <c r="B382" s="10" t="s">
        <v>369</v>
      </c>
      <c r="C382" s="47" t="s">
        <v>145</v>
      </c>
      <c r="D382" s="48" t="str" cm="1">
        <f t="array" ref="D382">VLOOKUP(B382,'Player Data'!A1:D673,4,FALSE)</f>
        <v>LW,RW</v>
      </c>
      <c r="E382" s="74" cm="1">
        <f t="array" ref="E382">VLOOKUP(B382,RW!A1:F210,3,FALSE)</f>
        <v>76</v>
      </c>
      <c r="F382" s="56" t="str" cm="1">
        <f t="array" ref="F382">VLOOKUP(B382,'Player Data'!A1:B673,2,FALSE)</f>
        <v>WSH</v>
      </c>
      <c r="G382" s="11" cm="1">
        <f t="array" ref="G382">VLOOKUP(B382,'Player Data'!A1:D673,3,FALSE)</f>
        <v>25</v>
      </c>
      <c r="H382" s="51" cm="1">
        <f t="array" ref="H382">IFERROR(VLOOKUP(B382,ADP!A1:F671,6,FALSE)/1000000,VLOOKUP(B382,ADP!A1:F671,6,FALSE))</f>
        <v>3.375</v>
      </c>
      <c r="I382" s="52">
        <f>IF(Settings!$E$15="POINTS",((R382*Q382)*Settings!$B$12)+(S382*Settings!$B$2)+(T382*Settings!$B$3)+(U382*Settings!$B$4)+(V382*Settings!$B$5)+(X382*Settings!$B$9)+(AA382*Settings!$B$6)+(W382*Settings!$B$8)+(AB382*Settings!$B$7)+(AC382*Settings!$B$14)+(AD382*Settings!$B$15)+(AE382*Settings!$B$16)+(AF382*Settings!$B$17)+(AG382*Settings!$B$18)+(Y382*Settings!$B$10)+(Z382*Settings!$B$11),VLOOKUP(B382,'Standard Deviations'!A$1:C$672,3,FALSE))</f>
        <v>1.9616488612455536</v>
      </c>
      <c r="J382" s="53" cm="1">
        <f t="array" ref="J382">IF(D382="G",I382/AJ382,I382/Q382)</f>
        <v>2.3922547088360408E-2</v>
      </c>
      <c r="K382" s="52" cm="1">
        <f t="array" ref="K382">IF(Settings!$E$18="C/LW/RW",VLOOKUP(B382,RW!A1:F210,6,FALSE),VLOOKUP(B382,F!A1:F407,6,FALSE))</f>
        <v>-4.9255857405635242</v>
      </c>
      <c r="L382" s="54" cm="1">
        <f t="array" ref="L382">IFERROR(K382/H382,"N/A")</f>
        <v>-1.459432812018822</v>
      </c>
      <c r="M382" s="55">
        <v>139.6</v>
      </c>
      <c r="N382" s="55" cm="1">
        <f t="array" ref="N382">IFERROR(M382-A382,"N/A")</f>
        <v>-206.4</v>
      </c>
      <c r="O382" s="55"/>
      <c r="P382" s="56" t="str" cm="1">
        <f t="array" ref="P382">_xlfn.XLOOKUP($B382,ADP!A2:A671,ADP!G2:G671)</f>
        <v>+</v>
      </c>
      <c r="Q382" s="57" cm="1">
        <f t="array" ref="Q382">IF(Settings!$E$12="YES",VLOOKUP(B382,'Player Data'!A1:E673,5,FALSE),84)</f>
        <v>82</v>
      </c>
      <c r="R382" s="83" cm="1">
        <f t="array" ref="R382">VLOOKUP(B382,'Player Data'!$A1:$AE673,6,FALSE)</f>
        <v>16.7</v>
      </c>
      <c r="S382" s="57" cm="1">
        <f t="array" ref="S382">VLOOKUP(B382,'Player Data'!$A1:$AE673,7,FALSE)*$Q382*IFERROR((VLOOKUP(P382,Settings!$E$28:$F$33,2,FALSE)+1),1)</f>
        <v>24.968999999999998</v>
      </c>
      <c r="T382" s="57" cm="1">
        <f t="array" ref="T382">VLOOKUP(B382,'Player Data'!$A1:$AE673,8,FALSE)*$Q382*IFERROR((VLOOKUP(P382,Settings!$E$28:$F$33,2,FALSE)+1),1)</f>
        <v>31.857000000000003</v>
      </c>
      <c r="U382" s="57" cm="1">
        <f t="array" ref="U382">SUM(S382:T382)</f>
        <v>56.826000000000001</v>
      </c>
      <c r="V382" s="57" cm="1">
        <f t="array" ref="V382">VLOOKUP(B382,'Player Data'!$A1:$AE673,10,FALSE)*$Q382*IFERROR(((VLOOKUP(P382,Settings!$E$28:$F$33,2,FALSE)/2)+1),1)</f>
        <v>156.333</v>
      </c>
      <c r="W382" s="57" cm="1">
        <f t="array" ref="W382">VLOOKUP(B382,'Player Data'!$A1:$AE673,11,FALSE)*$Q382*IFERROR((VLOOKUP(P382,Settings!$E$28:$F$33,2,FALSE)+1),1)</f>
        <v>0</v>
      </c>
      <c r="X382" s="57" cm="1">
        <f t="array" ref="X382">VLOOKUP(B382,'Player Data'!$A1:$AE673,12,FALSE)*$Q382*IFERROR((VLOOKUP(P382,Settings!$E$28:$F$33,2,FALSE)+1),1)</f>
        <v>1.7220000000000002</v>
      </c>
      <c r="Y382" s="57" cm="1">
        <f t="array" ref="Y382">VLOOKUP(B382,'Player Data'!$A1:$AE673,13,FALSE)*$Q382</f>
        <v>1.6400000000000001</v>
      </c>
      <c r="Z382" s="57" cm="1">
        <f t="array" ref="Z382">VLOOKUP(B382,'Player Data'!$A1:$AE673,14,FALSE)*$Q382</f>
        <v>3.2800000000000002</v>
      </c>
      <c r="AA382" s="57" cm="1">
        <f t="array" ref="AA382">VLOOKUP(B382,'Player Data'!$A1:$AE673,15,FALSE)*$Q382</f>
        <v>41.82</v>
      </c>
      <c r="AB382" s="57" cm="1">
        <f t="array" ref="AB382">VLOOKUP(B382,'Player Data'!$A1:$AE673,16,FALSE)*$Q382</f>
        <v>36.9</v>
      </c>
      <c r="AC382" s="57" cm="1">
        <f t="array" ref="AC382">VLOOKUP(B382,'Player Data'!$A1:$AE673,17,FALSE)*$Q382*IFERROR((VLOOKUP(P382,Settings!$E$28:$F$33,2,FALSE)+1),1)</f>
        <v>6.8880000000000008</v>
      </c>
      <c r="AD382" s="57" cm="1">
        <f t="array" ref="AD382">VLOOKUP(B382,'Player Data'!$A1:$AE673,18,FALSE)*$Q382</f>
        <v>21.32</v>
      </c>
      <c r="AE382" s="57" cm="1">
        <f t="array" ref="AE382">VLOOKUP(B382,'Player Data'!$A1:$AE673,19,FALSE)*$Q382*IFERROR((VLOOKUP(P382,Settings!$E$28:$F$33,2,FALSE)+1),1)</f>
        <v>3.4440000000000004</v>
      </c>
      <c r="AF382" s="57" cm="1">
        <f t="array" ref="AF382">VLOOKUP(B382,'Player Data'!$A1:$AE673,20,FALSE)*$Q382</f>
        <v>25.419999999999998</v>
      </c>
      <c r="AG382" s="57" cm="1">
        <f t="array" ref="AG382">VLOOKUP(B382,'Player Data'!$A1:$AE673,21,FALSE)*$Q382</f>
        <v>43.46</v>
      </c>
      <c r="AH382" s="59" cm="1">
        <f t="array" ref="AH382">VLOOKUP(B382,'Player Data'!$A1:$AE673,22,FALSE)</f>
        <v>0.37</v>
      </c>
      <c r="AI382" s="55"/>
      <c r="AJ382" s="57"/>
      <c r="AK382" s="57"/>
      <c r="AL382" s="57"/>
      <c r="AM382" s="57"/>
      <c r="AN382" s="57"/>
      <c r="AO382" s="57"/>
      <c r="AP382" s="57"/>
      <c r="AQ382" s="60"/>
      <c r="AR382" s="61"/>
      <c r="AS382" s="55"/>
    </row>
    <row r="383" spans="1:45" ht="21.25" customHeight="1" x14ac:dyDescent="0.15">
      <c r="A383" s="62">
        <f>RANK(K383,K$2:K$671)</f>
        <v>347</v>
      </c>
      <c r="B383" s="10" t="s">
        <v>643</v>
      </c>
      <c r="C383" s="47" t="s">
        <v>145</v>
      </c>
      <c r="D383" s="48" t="str" cm="1">
        <f t="array" ref="D383">VLOOKUP(B383,'Player Data'!A1:D673,4,FALSE)</f>
        <v>RW</v>
      </c>
      <c r="E383" s="64" cm="1">
        <f t="array" ref="E383">VLOOKUP(B383,RW!A1:F210,3,FALSE)</f>
        <v>77</v>
      </c>
      <c r="F383" s="69" t="str" cm="1">
        <f t="array" ref="F383">VLOOKUP(B383,'Player Data'!A1:B673,2,FALSE)</f>
        <v>CBJ</v>
      </c>
      <c r="G383" s="11" cm="1">
        <f t="array" ref="G383">VLOOKUP(B383,'Player Data'!A1:D673,3,FALSE)</f>
        <v>29</v>
      </c>
      <c r="H383" s="51" cm="1">
        <f t="array" ref="H383">IFERROR(VLOOKUP(B383,ADP!A1:F671,6,FALSE)/1000000,VLOOKUP(B383,ADP!A1:F671,6,FALSE))</f>
        <v>3</v>
      </c>
      <c r="I383" s="52">
        <f>IF(Settings!$E$15="POINTS",((R383*Q383)*Settings!$B$12)+(S383*Settings!$B$2)+(T383*Settings!$B$3)+(U383*Settings!$B$4)+(V383*Settings!$B$5)+(X383*Settings!$B$9)+(AA383*Settings!$B$6)+(W383*Settings!$B$8)+(AB383*Settings!$B$7)+(AC383*Settings!$B$14)+(AD383*Settings!$B$15)+(AE383*Settings!$B$16)+(AF383*Settings!$B$17)+(AG383*Settings!$B$18)+(Y383*Settings!$B$10)+(Z383*Settings!$B$11),VLOOKUP(B383,'Standard Deviations'!A$1:C$672,3,FALSE))</f>
        <v>1.9590169311411303</v>
      </c>
      <c r="J383" s="53" cm="1">
        <f t="array" ref="J383">IF(D383="G",I383/AJ383,I383/Q383)</f>
        <v>2.5115601681296541E-2</v>
      </c>
      <c r="K383" s="52" cm="1">
        <f t="array" ref="K383">IF(Settings!$E$18="C/LW/RW",VLOOKUP(B383,RW!A1:F210,6,FALSE),VLOOKUP(B383,F!A1:F407,6,FALSE))</f>
        <v>-4.928217670667947</v>
      </c>
      <c r="L383" s="54" cm="1">
        <f t="array" ref="L383">IFERROR(K383/H383,"N/A")</f>
        <v>-1.6427392235559823</v>
      </c>
      <c r="M383" s="84" t="s">
        <v>828</v>
      </c>
      <c r="N383" s="84" t="str" cm="1">
        <f t="array" ref="N383">IFERROR(M383-A383,"N/A")</f>
        <v>N/A</v>
      </c>
      <c r="O383" s="55"/>
      <c r="P383" s="56" cm="1">
        <f t="array" ref="P383">_xlfn.XLOOKUP($B383,ADP!A2:A671,ADP!G2:G671)</f>
        <v>0</v>
      </c>
      <c r="Q383" s="57" cm="1">
        <f t="array" ref="Q383">IF(Settings!$E$12="YES",VLOOKUP(B383,'Player Data'!A1:E673,5,FALSE),84)</f>
        <v>78</v>
      </c>
      <c r="R383" s="55" cm="1">
        <f t="array" ref="R383">VLOOKUP(B383,'Player Data'!$A1:$AE673,6,FALSE)</f>
        <v>13.6</v>
      </c>
      <c r="S383" s="57" cm="1">
        <f t="array" ref="S383">VLOOKUP(B383,'Player Data'!$A1:$AE673,7,FALSE)*$Q383*IFERROR((VLOOKUP(P383,Settings!$E$28:$F$33,2,FALSE)+1),1)</f>
        <v>15.600000000000001</v>
      </c>
      <c r="T383" s="57" cm="1">
        <f t="array" ref="T383">VLOOKUP(B383,'Player Data'!$A1:$AE673,8,FALSE)*$Q383*IFERROR((VLOOKUP(P383,Settings!$E$28:$F$33,2,FALSE)+1),1)</f>
        <v>13.260000000000002</v>
      </c>
      <c r="U383" s="57" cm="1">
        <f t="array" ref="U383">SUM(S383:T383)</f>
        <v>28.860000000000003</v>
      </c>
      <c r="V383" s="57" cm="1">
        <f t="array" ref="V383">VLOOKUP(B383,'Player Data'!$A1:$AE673,10,FALSE)*$Q383*IFERROR(((VLOOKUP(P383,Settings!$E$28:$F$33,2,FALSE)/2)+1),1)</f>
        <v>109.97999999999999</v>
      </c>
      <c r="W383" s="57" cm="1">
        <f t="array" ref="W383">VLOOKUP(B383,'Player Data'!$A1:$AE673,11,FALSE)*$Q383*IFERROR((VLOOKUP(P383,Settings!$E$28:$F$33,2,FALSE)+1),1)</f>
        <v>0</v>
      </c>
      <c r="X383" s="57" cm="1">
        <f t="array" ref="X383">VLOOKUP(B383,'Player Data'!$A1:$AE673,12,FALSE)*$Q383*IFERROR((VLOOKUP(P383,Settings!$E$28:$F$33,2,FALSE)+1),1)</f>
        <v>0</v>
      </c>
      <c r="Y383" s="57" cm="1">
        <f t="array" ref="Y383">VLOOKUP(B383,'Player Data'!$A1:$AE673,13,FALSE)*$Q383</f>
        <v>0.78</v>
      </c>
      <c r="Z383" s="57" cm="1">
        <f t="array" ref="Z383">VLOOKUP(B383,'Player Data'!$A1:$AE673,14,FALSE)*$Q383</f>
        <v>1.56</v>
      </c>
      <c r="AA383" s="57" cm="1">
        <f t="array" ref="AA383">VLOOKUP(B383,'Player Data'!$A1:$AE673,15,FALSE)*$Q383</f>
        <v>59.28</v>
      </c>
      <c r="AB383" s="57" cm="1">
        <f t="array" ref="AB383">VLOOKUP(B383,'Player Data'!$A1:$AE673,16,FALSE)*$Q383</f>
        <v>241.8</v>
      </c>
      <c r="AC383" s="57" cm="1">
        <f t="array" ref="AC383">VLOOKUP(B383,'Player Data'!$A1:$AE673,17,FALSE)*$Q383*IFERROR((VLOOKUP(P383,Settings!$E$28:$F$33,2,FALSE)+1),1)</f>
        <v>2.34</v>
      </c>
      <c r="AD383" s="57" cm="1">
        <f t="array" ref="AD383">VLOOKUP(B383,'Player Data'!$A1:$AE673,18,FALSE)*$Q383</f>
        <v>85.02000000000001</v>
      </c>
      <c r="AE383" s="57" cm="1">
        <f t="array" ref="AE383">VLOOKUP(B383,'Player Data'!$A1:$AE673,19,FALSE)*$Q383*IFERROR((VLOOKUP(P383,Settings!$E$28:$F$33,2,FALSE)+1),1)</f>
        <v>2.34</v>
      </c>
      <c r="AF383" s="57" cm="1">
        <f t="array" ref="AF383">VLOOKUP(B383,'Player Data'!$A1:$AE673,20,FALSE)*$Q383</f>
        <v>5.4600000000000009</v>
      </c>
      <c r="AG383" s="57" cm="1">
        <f t="array" ref="AG383">VLOOKUP(B383,'Player Data'!$A1:$AE673,21,FALSE)*$Q383</f>
        <v>13.260000000000002</v>
      </c>
      <c r="AH383" s="59" cm="1">
        <f t="array" ref="AH383">VLOOKUP(B383,'Player Data'!$A1:$AE673,22,FALSE)</f>
        <v>0.28999999999999998</v>
      </c>
      <c r="AI383" s="55"/>
      <c r="AJ383" s="57"/>
      <c r="AK383" s="57"/>
      <c r="AL383" s="57"/>
      <c r="AM383" s="57"/>
      <c r="AN383" s="57"/>
      <c r="AO383" s="57"/>
      <c r="AP383" s="57"/>
      <c r="AQ383" s="60"/>
      <c r="AR383" s="61"/>
      <c r="AS383" s="55"/>
    </row>
    <row r="384" spans="1:45" ht="21.25" customHeight="1" x14ac:dyDescent="0.15">
      <c r="A384" s="62">
        <f>RANK(K384,K$2:K$671)</f>
        <v>406</v>
      </c>
      <c r="B384" s="10" t="s">
        <v>526</v>
      </c>
      <c r="C384" s="47" t="s">
        <v>145</v>
      </c>
      <c r="D384" s="48" t="str" cm="1">
        <f t="array" ref="D384">VLOOKUP(B384,'Player Data'!A1:D673,4,FALSE)</f>
        <v>D</v>
      </c>
      <c r="E384" s="68" cm="1">
        <f t="array" ref="E384">VLOOKUP(B384,D!A1:C204,3,FALSE)</f>
        <v>190</v>
      </c>
      <c r="F384" s="72" t="str" cm="1">
        <f t="array" ref="F384">VLOOKUP(B384,'Player Data'!A1:B673,2,FALSE)</f>
        <v>PIT</v>
      </c>
      <c r="G384" s="66" cm="1">
        <f t="array" ref="G384">VLOOKUP(B384,'Player Data'!A1:D673,3,FALSE)</f>
        <v>35</v>
      </c>
      <c r="H384" s="51" cm="1">
        <f t="array" ref="H384">IFERROR(VLOOKUP(B384,ADP!A1:F671,6,FALSE)/1000000,VLOOKUP(B384,ADP!A1:F671,6,FALSE))</f>
        <v>4</v>
      </c>
      <c r="I384" s="52">
        <f>IF(Settings!$E$15="POINTS",((R384*Q384)*Settings!$B$12)+(S384*Settings!$B$2)+(T384*Settings!$B$3)+(U384*Settings!$B$4)+(V384*Settings!$B$5)+(X384*Settings!$B$9)+(AA384*Settings!$B$6)+(W384*Settings!$B$8)+(AB384*Settings!$B$7)+(AC384*Settings!$B$14)+(AD384*Settings!$B$15)+(AE384*Settings!$B$16)+(AF384*Settings!$B$17)+(AG384*Settings!$B$18)+(U384*Settings!$B$13)+(Y384*Settings!$B$10)+(Z384*Settings!$B$11),VLOOKUP(B384,'Standard Deviations'!A$1:C$672,3,FALSE))</f>
        <v>-5.3182921483823593</v>
      </c>
      <c r="J384" s="53" cm="1">
        <f t="array" ref="J384">IF(D384="G",I384/AJ384,I384/Q384)</f>
        <v>-6.6478651854779497E-2</v>
      </c>
      <c r="K384" s="52" cm="1">
        <f t="array" ref="K384">VLOOKUP(B384,D!A1:F204,6,FALSE)</f>
        <v>-5.885143062899914</v>
      </c>
      <c r="L384" s="54" cm="1">
        <f t="array" ref="L384">IFERROR(K384/H384,"N/A")</f>
        <v>-1.4712857657249785</v>
      </c>
      <c r="M384" s="84" t="s">
        <v>828</v>
      </c>
      <c r="N384" s="84" t="str" cm="1">
        <f t="array" ref="N384">IFERROR(M384-A384,"N/A")</f>
        <v>N/A</v>
      </c>
      <c r="O384" s="55"/>
      <c r="P384" s="56" cm="1">
        <f t="array" ref="P384">_xlfn.XLOOKUP($B384,ADP!A2:A671,ADP!G2:G671)</f>
        <v>0</v>
      </c>
      <c r="Q384" s="57" cm="1">
        <f t="array" ref="Q384">IF(Settings!$E$12="YES",VLOOKUP(B384,'Player Data'!A1:E673,5,FALSE),84)</f>
        <v>80</v>
      </c>
      <c r="R384" s="81" cm="1">
        <f t="array" ref="R384">VLOOKUP(B384,'Player Data'!$A1:$AE673,6,FALSE)</f>
        <v>17.5</v>
      </c>
      <c r="S384" s="57" cm="1">
        <f t="array" ref="S384">VLOOKUP(B384,'Player Data'!$A1:$AE673,7,FALSE)*$Q384*IFERROR((VLOOKUP(P384,Settings!$E$28:$F$33,2,FALSE)+1),1)</f>
        <v>0</v>
      </c>
      <c r="T384" s="57" cm="1">
        <f t="array" ref="T384">VLOOKUP(B384,'Player Data'!$A1:$AE673,8,FALSE)*$Q384*IFERROR((VLOOKUP(P384,Settings!$E$28:$F$33,2,FALSE)+1),1)</f>
        <v>15.2</v>
      </c>
      <c r="U384" s="57" cm="1">
        <f t="array" ref="U384">SUM(S384:T384)</f>
        <v>15.2</v>
      </c>
      <c r="V384" s="57" cm="1">
        <f t="array" ref="V384">VLOOKUP(B384,'Player Data'!$A1:$AE673,10,FALSE)*$Q384*IFERROR(((VLOOKUP(P384,Settings!$E$28:$F$33,2,FALSE)/2)+1),1)</f>
        <v>51.2</v>
      </c>
      <c r="W384" s="57" cm="1">
        <f t="array" ref="W384">VLOOKUP(B384,'Player Data'!$A1:$AE673,11,FALSE)*$Q384*IFERROR((VLOOKUP(P384,Settings!$E$28:$F$33,2,FALSE)+1),1)</f>
        <v>0</v>
      </c>
      <c r="X384" s="57" cm="1">
        <f t="array" ref="X384">VLOOKUP(B384,'Player Data'!$A1:$AE673,12,FALSE)*$Q384*IFERROR((VLOOKUP(P384,Settings!$E$28:$F$33,2,FALSE)+1),1)</f>
        <v>0</v>
      </c>
      <c r="Y384" s="57" cm="1">
        <f t="array" ref="Y384">VLOOKUP(B384,'Player Data'!$A1:$AE673,13,FALSE)*$Q384</f>
        <v>0</v>
      </c>
      <c r="Z384" s="57" cm="1">
        <f t="array" ref="Z384">VLOOKUP(B384,'Player Data'!$A1:$AE673,14,FALSE)*$Q384</f>
        <v>0</v>
      </c>
      <c r="AA384" s="57" cm="1">
        <f t="array" ref="AA384">VLOOKUP(B384,'Player Data'!$A1:$AE673,15,FALSE)*$Q384</f>
        <v>132.79999999999998</v>
      </c>
      <c r="AB384" s="57" cm="1">
        <f t="array" ref="AB384">VLOOKUP(B384,'Player Data'!$A1:$AE673,16,FALSE)*$Q384</f>
        <v>30.4</v>
      </c>
      <c r="AC384" s="57" cm="1">
        <f t="array" ref="AC384">VLOOKUP(B384,'Player Data'!$A1:$AE673,17,FALSE)*$Q384*IFERROR((VLOOKUP(P384,Settings!$E$28:$F$33,2,FALSE)+1),1)</f>
        <v>0</v>
      </c>
      <c r="AD384" s="57" cm="1">
        <f t="array" ref="AD384">VLOOKUP(B384,'Player Data'!$A1:$AE673,18,FALSE)*$Q384</f>
        <v>24.8</v>
      </c>
      <c r="AE384" s="57" cm="1">
        <f t="array" ref="AE384">VLOOKUP(B384,'Player Data'!$A1:$AE673,19,FALSE)*$Q384*IFERROR((VLOOKUP(P384,Settings!$E$28:$F$33,2,FALSE)+1),1)</f>
        <v>0</v>
      </c>
      <c r="AF384" s="57" cm="1">
        <f t="array" ref="AF384">VLOOKUP(B384,'Player Data'!$A1:$AE673,20,FALSE)*$Q384</f>
        <v>0</v>
      </c>
      <c r="AG384" s="57" cm="1">
        <f t="array" ref="AG384">VLOOKUP(B384,'Player Data'!$A1:$AE673,21,FALSE)*$Q384</f>
        <v>0</v>
      </c>
      <c r="AH384" s="59" cm="1">
        <f t="array" ref="AH384">VLOOKUP(B384,'Player Data'!$A1:$AE673,22,FALSE)</f>
        <v>0</v>
      </c>
      <c r="AI384" s="55"/>
      <c r="AJ384" s="57"/>
      <c r="AK384" s="57"/>
      <c r="AL384" s="57"/>
      <c r="AM384" s="57"/>
      <c r="AN384" s="57"/>
      <c r="AO384" s="57"/>
      <c r="AP384" s="57"/>
      <c r="AQ384" s="60"/>
      <c r="AR384" s="61"/>
      <c r="AS384" s="55"/>
    </row>
    <row r="385" spans="1:45" ht="21.25" customHeight="1" x14ac:dyDescent="0.15">
      <c r="A385" s="62">
        <f>RANK(K385,K$2:K$671)</f>
        <v>407</v>
      </c>
      <c r="B385" s="10" t="s">
        <v>548</v>
      </c>
      <c r="C385" s="47" t="s">
        <v>145</v>
      </c>
      <c r="D385" s="48" t="str" cm="1">
        <f t="array" ref="D385">VLOOKUP(B385,'Player Data'!A1:D673,4,FALSE)</f>
        <v>D</v>
      </c>
      <c r="E385" s="68" cm="1">
        <f t="array" ref="E385">VLOOKUP(B385,D!A1:C204,3,FALSE)</f>
        <v>191</v>
      </c>
      <c r="F385" s="63" t="str" cm="1">
        <f t="array" ref="F385">VLOOKUP(B385,'Player Data'!A1:B673,2,FALSE)</f>
        <v>CGY</v>
      </c>
      <c r="G385" s="71" cm="1">
        <f t="array" ref="G385">VLOOKUP(B385,'Player Data'!A1:D673,3,FALSE)</f>
        <v>21</v>
      </c>
      <c r="H385" s="51" cm="1">
        <f t="array" ref="H385">IFERROR(VLOOKUP(B385,ADP!A1:F671,6,FALSE)/1000000,VLOOKUP(B385,ADP!A1:F671,6,FALSE))</f>
        <v>0.95</v>
      </c>
      <c r="I385" s="52">
        <f>IF(Settings!$E$15="POINTS",((R385*Q385)*Settings!$B$12)+(S385*Settings!$B$2)+(T385*Settings!$B$3)+(U385*Settings!$B$4)+(V385*Settings!$B$5)+(X385*Settings!$B$9)+(AA385*Settings!$B$6)+(W385*Settings!$B$8)+(AB385*Settings!$B$7)+(AC385*Settings!$B$14)+(AD385*Settings!$B$15)+(AE385*Settings!$B$16)+(AF385*Settings!$B$17)+(AG385*Settings!$B$18)+(U385*Settings!$B$13)+(Y385*Settings!$B$10)+(Z385*Settings!$B$11),VLOOKUP(B385,'Standard Deviations'!A$1:C$672,3,FALSE))</f>
        <v>-5.3463622590746169</v>
      </c>
      <c r="J385" s="53" cm="1">
        <f t="array" ref="J385">IF(D385="G",I385/AJ385,I385/Q385)</f>
        <v>-8.353691029804089E-2</v>
      </c>
      <c r="K385" s="52" cm="1">
        <f t="array" ref="K385">VLOOKUP(B385,D!A1:F204,6,FALSE)</f>
        <v>-5.9132131735921716</v>
      </c>
      <c r="L385" s="54" cm="1">
        <f t="array" ref="L385">IFERROR(K385/H385,"N/A")</f>
        <v>-6.2244349195707072</v>
      </c>
      <c r="M385" s="84" t="s">
        <v>828</v>
      </c>
      <c r="N385" s="84" t="str" cm="1">
        <f t="array" ref="N385">IFERROR(M385-A385,"N/A")</f>
        <v>N/A</v>
      </c>
      <c r="O385" s="55"/>
      <c r="P385" s="56" cm="1">
        <f t="array" ref="P385">_xlfn.XLOOKUP($B385,ADP!A2:A671,ADP!G2:G671)</f>
        <v>0</v>
      </c>
      <c r="Q385" s="57" cm="1">
        <f t="array" ref="Q385">IF(Settings!$E$12="YES",VLOOKUP(B385,'Player Data'!A1:E673,5,FALSE),84)</f>
        <v>64</v>
      </c>
      <c r="R385" s="55" cm="1">
        <f t="array" ref="R385">VLOOKUP(B385,'Player Data'!$A1:$AE673,6,FALSE)</f>
        <v>16.8</v>
      </c>
      <c r="S385" s="57" cm="1">
        <f t="array" ref="S385">VLOOKUP(B385,'Player Data'!$A1:$AE673,7,FALSE)*$Q385*IFERROR((VLOOKUP(P385,Settings!$E$28:$F$33,2,FALSE)+1),1)</f>
        <v>3.84</v>
      </c>
      <c r="T385" s="57" cm="1">
        <f t="array" ref="T385">VLOOKUP(B385,'Player Data'!$A1:$AE673,8,FALSE)*$Q385*IFERROR((VLOOKUP(P385,Settings!$E$28:$F$33,2,FALSE)+1),1)</f>
        <v>11.52</v>
      </c>
      <c r="U385" s="57" cm="1">
        <f t="array" ref="U385">SUM(S385:T385)</f>
        <v>15.36</v>
      </c>
      <c r="V385" s="57" cm="1">
        <f t="array" ref="V385">VLOOKUP(B385,'Player Data'!$A1:$AE673,10,FALSE)*$Q385*IFERROR(((VLOOKUP(P385,Settings!$E$28:$F$33,2,FALSE)/2)+1),1)</f>
        <v>65.28</v>
      </c>
      <c r="W385" s="57" cm="1">
        <f t="array" ref="W385">VLOOKUP(B385,'Player Data'!$A1:$AE673,11,FALSE)*$Q385*IFERROR((VLOOKUP(P385,Settings!$E$28:$F$33,2,FALSE)+1),1)</f>
        <v>0</v>
      </c>
      <c r="X385" s="57" cm="1">
        <f t="array" ref="X385">VLOOKUP(B385,'Player Data'!$A1:$AE673,12,FALSE)*$Q385*IFERROR((VLOOKUP(P385,Settings!$E$28:$F$33,2,FALSE)+1),1)</f>
        <v>2.56</v>
      </c>
      <c r="Y385" s="57" cm="1">
        <f t="array" ref="Y385">VLOOKUP(B385,'Player Data'!$A1:$AE673,13,FALSE)*$Q385</f>
        <v>0</v>
      </c>
      <c r="Z385" s="57" cm="1">
        <f t="array" ref="Z385">VLOOKUP(B385,'Player Data'!$A1:$AE673,14,FALSE)*$Q385</f>
        <v>0</v>
      </c>
      <c r="AA385" s="57" cm="1">
        <f t="array" ref="AA385">VLOOKUP(B385,'Player Data'!$A1:$AE673,15,FALSE)*$Q385</f>
        <v>61.44</v>
      </c>
      <c r="AB385" s="57" cm="1">
        <f t="array" ref="AB385">VLOOKUP(B385,'Player Data'!$A1:$AE673,16,FALSE)*$Q385</f>
        <v>59.52</v>
      </c>
      <c r="AC385" s="57" cm="1">
        <f t="array" ref="AC385">VLOOKUP(B385,'Player Data'!$A1:$AE673,17,FALSE)*$Q385*IFERROR((VLOOKUP(P385,Settings!$E$28:$F$33,2,FALSE)+1),1)</f>
        <v>-5.76</v>
      </c>
      <c r="AD385" s="57" cm="1">
        <f t="array" ref="AD385">VLOOKUP(B385,'Player Data'!$A1:$AE673,18,FALSE)*$Q385</f>
        <v>19.84</v>
      </c>
      <c r="AE385" s="57" cm="1">
        <f t="array" ref="AE385">VLOOKUP(B385,'Player Data'!$A1:$AE673,19,FALSE)*$Q385*IFERROR((VLOOKUP(P385,Settings!$E$28:$F$33,2,FALSE)+1),1)</f>
        <v>0.64</v>
      </c>
      <c r="AF385" s="57" cm="1">
        <f t="array" ref="AF385">VLOOKUP(B385,'Player Data'!$A1:$AE673,20,FALSE)*$Q385</f>
        <v>0</v>
      </c>
      <c r="AG385" s="57" cm="1">
        <f t="array" ref="AG385">VLOOKUP(B385,'Player Data'!$A1:$AE673,21,FALSE)*$Q385</f>
        <v>0</v>
      </c>
      <c r="AH385" s="59" cm="1">
        <f t="array" ref="AH385">VLOOKUP(B385,'Player Data'!$A1:$AE673,22,FALSE)</f>
        <v>0</v>
      </c>
      <c r="AI385" s="55"/>
      <c r="AJ385" s="57"/>
      <c r="AK385" s="57"/>
      <c r="AL385" s="57"/>
      <c r="AM385" s="57"/>
      <c r="AN385" s="57"/>
      <c r="AO385" s="57"/>
      <c r="AP385" s="57"/>
      <c r="AQ385" s="60"/>
      <c r="AR385" s="61"/>
      <c r="AS385" s="55"/>
    </row>
    <row r="386" spans="1:45" ht="21.25" customHeight="1" x14ac:dyDescent="0.15">
      <c r="A386" s="62">
        <f>RANK(K386,K$2:K$671)</f>
        <v>350</v>
      </c>
      <c r="B386" s="10" t="s">
        <v>319</v>
      </c>
      <c r="C386" s="47" t="s">
        <v>145</v>
      </c>
      <c r="D386" s="48" t="str" cm="1">
        <f t="array" ref="D386">VLOOKUP(B386,'Player Data'!A1:D673,4,FALSE)</f>
        <v>LW,RW</v>
      </c>
      <c r="E386" s="74" cm="1">
        <f t="array" ref="E386">VLOOKUP(B386,RW!A1:F210,3,FALSE)</f>
        <v>78</v>
      </c>
      <c r="F386" s="18" t="str" cm="1">
        <f t="array" ref="F386">VLOOKUP(B386,'Player Data'!A1:B673,2,FALSE)</f>
        <v>VAN</v>
      </c>
      <c r="G386" s="11" cm="1">
        <f t="array" ref="G386">VLOOKUP(B386,'Player Data'!A1:D673,3,FALSE)</f>
        <v>29</v>
      </c>
      <c r="H386" s="51" cm="1">
        <f t="array" ref="H386">IFERROR(VLOOKUP(B386,ADP!A1:F671,6,FALSE)/1000000,VLOOKUP(B386,ADP!A1:F671,6,FALSE))</f>
        <v>5.5</v>
      </c>
      <c r="I386" s="52">
        <f>IF(Settings!$E$15="POINTS",((R386*Q386)*Settings!$B$12)+(S386*Settings!$B$2)+(T386*Settings!$B$3)+(U386*Settings!$B$4)+(V386*Settings!$B$5)+(X386*Settings!$B$9)+(AA386*Settings!$B$6)+(W386*Settings!$B$8)+(AB386*Settings!$B$7)+(AC386*Settings!$B$14)+(AD386*Settings!$B$15)+(AE386*Settings!$B$16)+(AF386*Settings!$B$17)+(AG386*Settings!$B$18)+(Y386*Settings!$B$10)+(Z386*Settings!$B$11),VLOOKUP(B386,'Standard Deviations'!A$1:C$672,3,FALSE))</f>
        <v>1.8804872106825958</v>
      </c>
      <c r="J386" s="53" cm="1">
        <f t="array" ref="J386">IF(D386="G",I386/AJ386,I386/Q386)</f>
        <v>2.2386752508126141E-2</v>
      </c>
      <c r="K386" s="52" cm="1">
        <f t="array" ref="K386">IF(Settings!$E$18="C/LW/RW",VLOOKUP(B386,RW!A1:F210,6,FALSE),VLOOKUP(B386,F!A1:F407,6,FALSE))</f>
        <v>-5.0067473911264813</v>
      </c>
      <c r="L386" s="54" cm="1">
        <f t="array" ref="L386">IFERROR(K386/H386,"N/A")</f>
        <v>-0.91031770747754204</v>
      </c>
      <c r="M386" s="55">
        <v>140</v>
      </c>
      <c r="N386" s="55" cm="1">
        <f t="array" ref="N386">IFERROR(M386-A386,"N/A")</f>
        <v>-210</v>
      </c>
      <c r="O386" s="55"/>
      <c r="P386" s="56" cm="1">
        <f t="array" ref="P386">_xlfn.XLOOKUP($B386,ADP!A2:A671,ADP!G2:G671)</f>
        <v>0</v>
      </c>
      <c r="Q386" s="57" cm="1">
        <f t="array" ref="Q386">IF(Settings!$E$12="YES",VLOOKUP(B386,'Player Data'!A1:E673,5,FALSE),84)</f>
        <v>84</v>
      </c>
      <c r="R386" s="81" cm="1">
        <f t="array" ref="R386">VLOOKUP(B386,'Player Data'!$A1:$AE673,6,FALSE)</f>
        <v>17.899999999999999</v>
      </c>
      <c r="S386" s="57" cm="1">
        <f t="array" ref="S386">VLOOKUP(B386,'Player Data'!$A1:$AE673,7,FALSE)*$Q386*IFERROR((VLOOKUP(P386,Settings!$E$28:$F$33,2,FALSE)+1),1)</f>
        <v>26.04</v>
      </c>
      <c r="T386" s="57" cm="1">
        <f t="array" ref="T386">VLOOKUP(B386,'Player Data'!$A1:$AE673,8,FALSE)*$Q386*IFERROR((VLOOKUP(P386,Settings!$E$28:$F$33,2,FALSE)+1),1)</f>
        <v>23.520000000000003</v>
      </c>
      <c r="U386" s="57" cm="1">
        <f t="array" ref="U386">SUM(S386:T386)</f>
        <v>49.56</v>
      </c>
      <c r="V386" s="57" cm="1">
        <f t="array" ref="V386">VLOOKUP(B386,'Player Data'!$A1:$AE673,10,FALSE)*$Q386*IFERROR(((VLOOKUP(P386,Settings!$E$28:$F$33,2,FALSE)/2)+1),1)</f>
        <v>224.28</v>
      </c>
      <c r="W386" s="58" cm="1">
        <f t="array" ref="W386">VLOOKUP(B386,'Player Data'!$A1:$AE673,11,FALSE)*$Q386*IFERROR((VLOOKUP(P386,Settings!$E$28:$F$33,2,FALSE)+1),1)</f>
        <v>15.12</v>
      </c>
      <c r="X386" s="57" cm="1">
        <f t="array" ref="X386">VLOOKUP(B386,'Player Data'!$A1:$AE673,12,FALSE)*$Q386*IFERROR((VLOOKUP(P386,Settings!$E$28:$F$33,2,FALSE)+1),1)</f>
        <v>22.68</v>
      </c>
      <c r="Y386" s="57" cm="1">
        <f t="array" ref="Y386">VLOOKUP(B386,'Player Data'!$A1:$AE673,13,FALSE)*$Q386</f>
        <v>0.84</v>
      </c>
      <c r="Z386" s="57" cm="1">
        <f t="array" ref="Z386">VLOOKUP(B386,'Player Data'!$A1:$AE673,14,FALSE)*$Q386</f>
        <v>0.84</v>
      </c>
      <c r="AA386" s="57" cm="1">
        <f t="array" ref="AA386">VLOOKUP(B386,'Player Data'!$A1:$AE673,15,FALSE)*$Q386</f>
        <v>45.36</v>
      </c>
      <c r="AB386" s="57" cm="1">
        <f t="array" ref="AB386">VLOOKUP(B386,'Player Data'!$A1:$AE673,16,FALSE)*$Q386</f>
        <v>84.84</v>
      </c>
      <c r="AC386" s="57" cm="1">
        <f t="array" ref="AC386">VLOOKUP(B386,'Player Data'!$A1:$AE673,17,FALSE)*$Q386*IFERROR((VLOOKUP(P386,Settings!$E$28:$F$33,2,FALSE)+1),1)</f>
        <v>-10.92</v>
      </c>
      <c r="AD386" s="57" cm="1">
        <f t="array" ref="AD386">VLOOKUP(B386,'Player Data'!$A1:$AE673,18,FALSE)*$Q386</f>
        <v>21</v>
      </c>
      <c r="AE386" s="57" cm="1">
        <f t="array" ref="AE386">VLOOKUP(B386,'Player Data'!$A1:$AE673,19,FALSE)*$Q386*IFERROR((VLOOKUP(P386,Settings!$E$28:$F$33,2,FALSE)+1),1)</f>
        <v>3.36</v>
      </c>
      <c r="AF386" s="57" cm="1">
        <f t="array" ref="AF386">VLOOKUP(B386,'Player Data'!$A1:$AE673,20,FALSE)*$Q386</f>
        <v>12.6</v>
      </c>
      <c r="AG386" s="57" cm="1">
        <f t="array" ref="AG386">VLOOKUP(B386,'Player Data'!$A1:$AE673,21,FALSE)*$Q386</f>
        <v>21</v>
      </c>
      <c r="AH386" s="59" cm="1">
        <f t="array" ref="AH386">VLOOKUP(B386,'Player Data'!$A1:$AE673,22,FALSE)</f>
        <v>0.38</v>
      </c>
      <c r="AI386" s="55"/>
      <c r="AJ386" s="57"/>
      <c r="AK386" s="57"/>
      <c r="AL386" s="57"/>
      <c r="AM386" s="57"/>
      <c r="AN386" s="57"/>
      <c r="AO386" s="57"/>
      <c r="AP386" s="57"/>
      <c r="AQ386" s="60"/>
      <c r="AR386" s="61"/>
      <c r="AS386" s="55"/>
    </row>
    <row r="387" spans="1:45" ht="21.25" customHeight="1" x14ac:dyDescent="0.15">
      <c r="A387" s="62">
        <f>RANK(K387,K$2:K$671)</f>
        <v>354</v>
      </c>
      <c r="B387" s="10" t="s">
        <v>401</v>
      </c>
      <c r="C387" s="47" t="s">
        <v>145</v>
      </c>
      <c r="D387" s="48" t="str" cm="1">
        <f t="array" ref="D387">VLOOKUP(B387,'Player Data'!A1:D673,4,FALSE)</f>
        <v>RW</v>
      </c>
      <c r="E387" s="64" cm="1">
        <f t="array" ref="E387">VLOOKUP(B387,RW!A1:F210,3,FALSE)</f>
        <v>79</v>
      </c>
      <c r="F387" s="73" t="str" cm="1">
        <f t="array" ref="F387">VLOOKUP(B387,'Player Data'!A1:B673,2,FALSE)</f>
        <v>BUF</v>
      </c>
      <c r="G387" s="71" cm="1">
        <f t="array" ref="G387">VLOOKUP(B387,'Player Data'!A1:D673,3,FALSE)</f>
        <v>25</v>
      </c>
      <c r="H387" s="67" cm="1">
        <f t="array" ref="H387">IFERROR(VLOOKUP(B387,ADP!A1:F671,6,FALSE)/1000000,VLOOKUP(B387,ADP!A1:F671,6,FALSE))</f>
        <v>3.375</v>
      </c>
      <c r="I387" s="52">
        <f>IF(Settings!$E$15="POINTS",((R387*Q387)*Settings!$B$12)+(S387*Settings!$B$2)+(T387*Settings!$B$3)+(U387*Settings!$B$4)+(V387*Settings!$B$5)+(X387*Settings!$B$9)+(AA387*Settings!$B$6)+(W387*Settings!$B$8)+(AB387*Settings!$B$7)+(AC387*Settings!$B$14)+(AD387*Settings!$B$15)+(AE387*Settings!$B$16)+(AF387*Settings!$B$17)+(AG387*Settings!$B$18)+(Y387*Settings!$B$10)+(Z387*Settings!$B$11),VLOOKUP(B387,'Standard Deviations'!A$1:C$672,3,FALSE))</f>
        <v>1.8361168039480686</v>
      </c>
      <c r="J387" s="53" cm="1">
        <f t="array" ref="J387">IF(D387="G",I387/AJ387,I387/Q387)</f>
        <v>2.3845672778546347E-2</v>
      </c>
      <c r="K387" s="52" cm="1">
        <f t="array" ref="K387">IF(Settings!$E$18="C/LW/RW",VLOOKUP(B387,RW!A1:F210,6,FALSE),VLOOKUP(B387,F!A1:F407,6,FALSE))</f>
        <v>-5.0511177978610089</v>
      </c>
      <c r="L387" s="54" cm="1">
        <f t="array" ref="L387">IFERROR(K387/H387,"N/A")</f>
        <v>-1.4966274956625212</v>
      </c>
      <c r="M387" s="84" t="s">
        <v>828</v>
      </c>
      <c r="N387" s="84" t="str" cm="1">
        <f t="array" ref="N387">IFERROR(M387-A387,"N/A")</f>
        <v>N/A</v>
      </c>
      <c r="O387" s="55"/>
      <c r="P387" s="56" cm="1">
        <f t="array" ref="P387">_xlfn.XLOOKUP($B387,ADP!A2:A671,ADP!G2:G671)</f>
        <v>0</v>
      </c>
      <c r="Q387" s="57" cm="1">
        <f t="array" ref="Q387">IF(Settings!$E$12="YES",VLOOKUP(B387,'Player Data'!A1:E673,5,FALSE),84)</f>
        <v>77</v>
      </c>
      <c r="R387" s="55" cm="1">
        <f t="array" ref="R387">VLOOKUP(B387,'Player Data'!$A1:$AE673,6,FALSE)</f>
        <v>15.8</v>
      </c>
      <c r="S387" s="57" cm="1">
        <f t="array" ref="S387">VLOOKUP(B387,'Player Data'!$A1:$AE673,7,FALSE)*$Q387*IFERROR((VLOOKUP(P387,Settings!$E$28:$F$33,2,FALSE)+1),1)</f>
        <v>19.25</v>
      </c>
      <c r="T387" s="57" cm="1">
        <f t="array" ref="T387">VLOOKUP(B387,'Player Data'!$A1:$AE673,8,FALSE)*$Q387*IFERROR((VLOOKUP(P387,Settings!$E$28:$F$33,2,FALSE)+1),1)</f>
        <v>30.03</v>
      </c>
      <c r="U387" s="57" cm="1">
        <f t="array" ref="U387">SUM(S387:T387)</f>
        <v>49.28</v>
      </c>
      <c r="V387" s="57" cm="1">
        <f t="array" ref="V387">VLOOKUP(B387,'Player Data'!$A1:$AE673,10,FALSE)*$Q387*IFERROR(((VLOOKUP(P387,Settings!$E$28:$F$33,2,FALSE)/2)+1),1)</f>
        <v>174.79</v>
      </c>
      <c r="W387" s="57" cm="1">
        <f t="array" ref="W387">VLOOKUP(B387,'Player Data'!$A1:$AE673,11,FALSE)*$Q387*IFERROR((VLOOKUP(P387,Settings!$E$28:$F$33,2,FALSE)+1),1)</f>
        <v>4.62</v>
      </c>
      <c r="X387" s="78" cm="1">
        <f t="array" ref="X387">VLOOKUP(B387,'Player Data'!$A1:$AE673,12,FALSE)*$Q387*IFERROR((VLOOKUP(P387,Settings!$E$28:$F$33,2,FALSE)+1),1)</f>
        <v>14.63</v>
      </c>
      <c r="Y387" s="57" cm="1">
        <f t="array" ref="Y387">VLOOKUP(B387,'Player Data'!$A1:$AE673,13,FALSE)*$Q387</f>
        <v>0</v>
      </c>
      <c r="Z387" s="57" cm="1">
        <f t="array" ref="Z387">VLOOKUP(B387,'Player Data'!$A1:$AE673,14,FALSE)*$Q387</f>
        <v>0</v>
      </c>
      <c r="AA387" s="57" cm="1">
        <f t="array" ref="AA387">VLOOKUP(B387,'Player Data'!$A1:$AE673,15,FALSE)*$Q387</f>
        <v>26.180000000000003</v>
      </c>
      <c r="AB387" s="57" cm="1">
        <f t="array" ref="AB387">VLOOKUP(B387,'Player Data'!$A1:$AE673,16,FALSE)*$Q387</f>
        <v>50.82</v>
      </c>
      <c r="AC387" s="57" cm="1">
        <f t="array" ref="AC387">VLOOKUP(B387,'Player Data'!$A1:$AE673,17,FALSE)*$Q387*IFERROR((VLOOKUP(P387,Settings!$E$28:$F$33,2,FALSE)+1),1)</f>
        <v>0.77</v>
      </c>
      <c r="AD387" s="57" cm="1">
        <f t="array" ref="AD387">VLOOKUP(B387,'Player Data'!$A1:$AE673,18,FALSE)*$Q387</f>
        <v>21.560000000000002</v>
      </c>
      <c r="AE387" s="57" cm="1">
        <f t="array" ref="AE387">VLOOKUP(B387,'Player Data'!$A1:$AE673,19,FALSE)*$Q387*IFERROR((VLOOKUP(P387,Settings!$E$28:$F$33,2,FALSE)+1),1)</f>
        <v>3.08</v>
      </c>
      <c r="AF387" s="57" cm="1">
        <f t="array" ref="AF387">VLOOKUP(B387,'Player Data'!$A1:$AE673,20,FALSE)*$Q387</f>
        <v>2.31</v>
      </c>
      <c r="AG387" s="57" cm="1">
        <f t="array" ref="AG387">VLOOKUP(B387,'Player Data'!$A1:$AE673,21,FALSE)*$Q387</f>
        <v>9.24</v>
      </c>
      <c r="AH387" s="59" cm="1">
        <f t="array" ref="AH387">VLOOKUP(B387,'Player Data'!$A1:$AE673,22,FALSE)</f>
        <v>0.22</v>
      </c>
      <c r="AI387" s="55"/>
      <c r="AJ387" s="57"/>
      <c r="AK387" s="57"/>
      <c r="AL387" s="57"/>
      <c r="AM387" s="57"/>
      <c r="AN387" s="57"/>
      <c r="AO387" s="57"/>
      <c r="AP387" s="57"/>
      <c r="AQ387" s="60"/>
      <c r="AR387" s="61"/>
      <c r="AS387" s="55"/>
    </row>
    <row r="388" spans="1:45" ht="21.25" customHeight="1" x14ac:dyDescent="0.15">
      <c r="A388" s="62">
        <f>RANK(K388,K$2:K$671)</f>
        <v>359</v>
      </c>
      <c r="B388" s="10" t="s">
        <v>451</v>
      </c>
      <c r="C388" s="47" t="s">
        <v>145</v>
      </c>
      <c r="D388" s="48" t="str" cm="1">
        <f t="array" ref="D388">VLOOKUP(B388,'Player Data'!A1:D673,4,FALSE)</f>
        <v>LW</v>
      </c>
      <c r="E388" s="75" cm="1">
        <f t="array" ref="E388">VLOOKUP(B388,LW!A1:C210,3,FALSE)</f>
        <v>74</v>
      </c>
      <c r="F388" s="56" t="str" cm="1">
        <f t="array" ref="F388">VLOOKUP(B388,'Player Data'!A1:B673,2,FALSE)</f>
        <v>S.J</v>
      </c>
      <c r="G388" s="66" cm="1">
        <f t="array" ref="G388">VLOOKUP(B388,'Player Data'!A1:D673,3,FALSE)</f>
        <v>31</v>
      </c>
      <c r="H388" s="51" cm="1">
        <f t="array" ref="H388">IFERROR(VLOOKUP(B388,ADP!A1:F671,6,FALSE)/1000000,VLOOKUP(B388,ADP!A1:F671,6,FALSE))</f>
        <v>6.75</v>
      </c>
      <c r="I388" s="52">
        <f>IF(Settings!$E$15="POINTS",((R388*Q388)*Settings!$B$12)+(S388*Settings!$B$2)+(T388*Settings!$B$3)+(U388*Settings!$B$4)+(V388*Settings!$B$5)+(X388*Settings!$B$9)+(AA388*Settings!$B$6)+(W388*Settings!$B$8)+(AB388*Settings!$B$7)+(AC388*Settings!$B$14)+(AD388*Settings!$B$15)+(AE388*Settings!$B$16)+(AF388*Settings!$B$17)+(AG388*Settings!$B$18)+(Y388*Settings!$B$10)+(Z388*Settings!$B$11),VLOOKUP(B388,'Standard Deviations'!A$1:C$672,3,FALSE))</f>
        <v>1.7797162366062214</v>
      </c>
      <c r="J388" s="53" cm="1">
        <f t="array" ref="J388">IF(D388="G",I388/AJ388,I388/Q388)</f>
        <v>2.2528053627926852E-2</v>
      </c>
      <c r="K388" s="52" cm="1">
        <f t="array" ref="K388">IF(Settings!$E$18="C/LW/RW",VLOOKUP(B388,LW!A1:F210,6,FALSE),VLOOKUP(B388,F!A1:F407,6,FALSE))</f>
        <v>-5.1146694077835884</v>
      </c>
      <c r="L388" s="54" cm="1">
        <f t="array" ref="L388">IFERROR(K388/H388,"N/A")</f>
        <v>-0.75772880115312424</v>
      </c>
      <c r="M388" s="55">
        <v>132.19999999999999</v>
      </c>
      <c r="N388" s="55" cm="1">
        <f t="array" ref="N388">IFERROR(M388-A388,"N/A")</f>
        <v>-226.8</v>
      </c>
      <c r="O388" s="55"/>
      <c r="P388" s="56" cm="1">
        <f t="array" ref="P388">_xlfn.XLOOKUP($B388,ADP!A2:A671,ADP!G2:G671)</f>
        <v>0</v>
      </c>
      <c r="Q388" s="57" cm="1">
        <f t="array" ref="Q388">IF(Settings!$E$12="YES",VLOOKUP(B388,'Player Data'!A1:E673,5,FALSE),84)</f>
        <v>79</v>
      </c>
      <c r="R388" s="83" cm="1">
        <f t="array" ref="R388">VLOOKUP(B388,'Player Data'!$A1:$AE673,6,FALSE)</f>
        <v>16.2</v>
      </c>
      <c r="S388" s="57" cm="1">
        <f t="array" ref="S388">VLOOKUP(B388,'Player Data'!$A1:$AE673,7,FALSE)*$Q388*IFERROR((VLOOKUP(P388,Settings!$E$28:$F$33,2,FALSE)+1),1)</f>
        <v>22.12</v>
      </c>
      <c r="T388" s="57" cm="1">
        <f t="array" ref="T388">VLOOKUP(B388,'Player Data'!$A1:$AE673,8,FALSE)*$Q388*IFERROR((VLOOKUP(P388,Settings!$E$28:$F$33,2,FALSE)+1),1)</f>
        <v>30.02</v>
      </c>
      <c r="U388" s="57" cm="1">
        <f t="array" ref="U388">SUM(S388:T388)</f>
        <v>52.14</v>
      </c>
      <c r="V388" s="57" cm="1">
        <f t="array" ref="V388">VLOOKUP(B388,'Player Data'!$A1:$AE673,10,FALSE)*$Q388*IFERROR(((VLOOKUP(P388,Settings!$E$28:$F$33,2,FALSE)/2)+1),1)</f>
        <v>146.94</v>
      </c>
      <c r="W388" s="57" cm="1">
        <f t="array" ref="W388">VLOOKUP(B388,'Player Data'!$A1:$AE673,11,FALSE)*$Q388*IFERROR((VLOOKUP(P388,Settings!$E$28:$F$33,2,FALSE)+1),1)</f>
        <v>3.95</v>
      </c>
      <c r="X388" s="57" cm="1">
        <f t="array" ref="X388">VLOOKUP(B388,'Player Data'!$A1:$AE673,12,FALSE)*$Q388*IFERROR((VLOOKUP(P388,Settings!$E$28:$F$33,2,FALSE)+1),1)</f>
        <v>7.9</v>
      </c>
      <c r="Y388" s="57" cm="1">
        <f t="array" ref="Y388">VLOOKUP(B388,'Player Data'!$A1:$AE673,13,FALSE)*$Q388</f>
        <v>0</v>
      </c>
      <c r="Z388" s="57" cm="1">
        <f t="array" ref="Z388">VLOOKUP(B388,'Player Data'!$A1:$AE673,14,FALSE)*$Q388</f>
        <v>0</v>
      </c>
      <c r="AA388" s="57" cm="1">
        <f t="array" ref="AA388">VLOOKUP(B388,'Player Data'!$A1:$AE673,15,FALSE)*$Q388</f>
        <v>33.18</v>
      </c>
      <c r="AB388" s="57" cm="1">
        <f t="array" ref="AB388">VLOOKUP(B388,'Player Data'!$A1:$AE673,16,FALSE)*$Q388</f>
        <v>98.75</v>
      </c>
      <c r="AC388" s="57" cm="1">
        <f t="array" ref="AC388">VLOOKUP(B388,'Player Data'!$A1:$AE673,17,FALSE)*$Q388*IFERROR((VLOOKUP(P388,Settings!$E$28:$F$33,2,FALSE)+1),1)</f>
        <v>0</v>
      </c>
      <c r="AD388" s="57" cm="1">
        <f t="array" ref="AD388">VLOOKUP(B388,'Player Data'!$A1:$AE673,18,FALSE)*$Q388</f>
        <v>51.35</v>
      </c>
      <c r="AE388" s="57" cm="1">
        <f t="array" ref="AE388">VLOOKUP(B388,'Player Data'!$A1:$AE673,19,FALSE)*$Q388*IFERROR((VLOOKUP(P388,Settings!$E$28:$F$33,2,FALSE)+1),1)</f>
        <v>3.16</v>
      </c>
      <c r="AF388" s="57" cm="1">
        <f t="array" ref="AF388">VLOOKUP(B388,'Player Data'!$A1:$AE673,20,FALSE)*$Q388</f>
        <v>15.8</v>
      </c>
      <c r="AG388" s="57" cm="1">
        <f t="array" ref="AG388">VLOOKUP(B388,'Player Data'!$A1:$AE673,21,FALSE)*$Q388</f>
        <v>22.12</v>
      </c>
      <c r="AH388" s="59" cm="1">
        <f t="array" ref="AH388">VLOOKUP(B388,'Player Data'!$A1:$AE673,22,FALSE)</f>
        <v>0.42</v>
      </c>
      <c r="AI388" s="55"/>
      <c r="AJ388" s="57"/>
      <c r="AK388" s="57"/>
      <c r="AL388" s="57"/>
      <c r="AM388" s="57"/>
      <c r="AN388" s="57"/>
      <c r="AO388" s="57"/>
      <c r="AP388" s="57"/>
      <c r="AQ388" s="60"/>
      <c r="AR388" s="61"/>
      <c r="AS388" s="55"/>
    </row>
    <row r="389" spans="1:45" ht="21.25" customHeight="1" x14ac:dyDescent="0.15">
      <c r="A389" s="62">
        <f>RANK(K389,K$2:K$671)</f>
        <v>361</v>
      </c>
      <c r="B389" s="10" t="s">
        <v>539</v>
      </c>
      <c r="C389" s="47" t="s">
        <v>145</v>
      </c>
      <c r="D389" s="48" t="str" cm="1">
        <f t="array" ref="D389">VLOOKUP(B389,'Player Data'!A1:D673,4,FALSE)</f>
        <v>C,LW</v>
      </c>
      <c r="E389" s="74" cm="1">
        <f t="array" ref="E389">VLOOKUP(B389,LW!A1:C210,3,FALSE)</f>
        <v>75</v>
      </c>
      <c r="F389" s="72" t="str" cm="1">
        <f t="array" ref="F389">VLOOKUP(B389,'Player Data'!A1:B673,2,FALSE)</f>
        <v>DET</v>
      </c>
      <c r="G389" s="71" cm="1">
        <f t="array" ref="G389">VLOOKUP(B389,'Player Data'!A1:D673,3,FALSE)</f>
        <v>22</v>
      </c>
      <c r="H389" s="51" cm="1">
        <f t="array" ref="H389">IFERROR(VLOOKUP(B389,ADP!A1:F671,6,FALSE)/1000000,VLOOKUP(B389,ADP!A1:F671,6,FALSE))</f>
        <v>0.88666699999999998</v>
      </c>
      <c r="I389" s="52">
        <f>IF(Settings!$E$15="POINTS",((R389*Q389)*Settings!$B$12)+(S389*Settings!$B$2)+(T389*Settings!$B$3)+(U389*Settings!$B$4)+(V389*Settings!$B$5)+(X389*Settings!$B$9)+(AA389*Settings!$B$6)+(W389*Settings!$B$8)+(AB389*Settings!$B$7)+(AC389*Settings!$B$14)+(AD389*Settings!$B$15)+(AE389*Settings!$B$16)+(AF389*Settings!$B$17)+(AG389*Settings!$B$18)+(Y389*Settings!$B$10)+(Z389*Settings!$B$11),VLOOKUP(B389,'Standard Deviations'!A$1:C$672,3,FALSE))</f>
        <v>1.7602687179570573</v>
      </c>
      <c r="J389" s="53" cm="1">
        <f t="array" ref="J389">IF(D389="G",I389/AJ389,I389/Q389)</f>
        <v>2.1466691682403137E-2</v>
      </c>
      <c r="K389" s="52" cm="1">
        <f t="array" ref="K389">IF(Settings!$E$18="C/LW/RW",VLOOKUP(B389,LW!A1:F210,6,FALSE),VLOOKUP(B389,F!A1:F407,6,FALSE))</f>
        <v>-5.1341169264327524</v>
      </c>
      <c r="L389" s="54" cm="1">
        <f t="array" ref="L389">IFERROR(K389/H389,"N/A")</f>
        <v>-5.7903552590011271</v>
      </c>
      <c r="M389" s="84" t="s">
        <v>828</v>
      </c>
      <c r="N389" s="84" t="str" cm="1">
        <f t="array" ref="N389">IFERROR(M389-A389,"N/A")</f>
        <v>N/A</v>
      </c>
      <c r="O389" s="55"/>
      <c r="P389" s="56" cm="1">
        <f t="array" ref="P389">_xlfn.XLOOKUP($B389,ADP!A2:A671,ADP!G2:G671)</f>
        <v>0</v>
      </c>
      <c r="Q389" s="57" cm="1">
        <f t="array" ref="Q389">IF(Settings!$E$12="YES",VLOOKUP(B389,'Player Data'!A1:E673,5,FALSE),84)</f>
        <v>82</v>
      </c>
      <c r="R389" s="81" cm="1">
        <f t="array" ref="R389">VLOOKUP(B389,'Player Data'!$A1:$AE673,6,FALSE)</f>
        <v>15.4</v>
      </c>
      <c r="S389" s="57" cm="1">
        <f t="array" ref="S389">VLOOKUP(B389,'Player Data'!$A1:$AE673,7,FALSE)*$Q389*IFERROR((VLOOKUP(P389,Settings!$E$28:$F$33,2,FALSE)+1),1)</f>
        <v>17.22</v>
      </c>
      <c r="T389" s="57" cm="1">
        <f t="array" ref="T389">VLOOKUP(B389,'Player Data'!$A1:$AE673,8,FALSE)*$Q389*IFERROR((VLOOKUP(P389,Settings!$E$28:$F$33,2,FALSE)+1),1)</f>
        <v>18.86</v>
      </c>
      <c r="U389" s="57" cm="1">
        <f t="array" ref="U389">SUM(S389:T389)</f>
        <v>36.08</v>
      </c>
      <c r="V389" s="57" cm="1">
        <f t="array" ref="V389">VLOOKUP(B389,'Player Data'!$A1:$AE673,10,FALSE)*$Q389*IFERROR(((VLOOKUP(P389,Settings!$E$28:$F$33,2,FALSE)/2)+1),1)</f>
        <v>155.79999999999998</v>
      </c>
      <c r="W389" s="57" cm="1">
        <f t="array" ref="W389">VLOOKUP(B389,'Player Data'!$A1:$AE673,11,FALSE)*$Q389*IFERROR((VLOOKUP(P389,Settings!$E$28:$F$33,2,FALSE)+1),1)</f>
        <v>2.46</v>
      </c>
      <c r="X389" s="57" cm="1">
        <f t="array" ref="X389">VLOOKUP(B389,'Player Data'!$A1:$AE673,12,FALSE)*$Q389*IFERROR((VLOOKUP(P389,Settings!$E$28:$F$33,2,FALSE)+1),1)</f>
        <v>5.74</v>
      </c>
      <c r="Y389" s="57" cm="1">
        <f t="array" ref="Y389">VLOOKUP(B389,'Player Data'!$A1:$AE673,13,FALSE)*$Q389</f>
        <v>0</v>
      </c>
      <c r="Z389" s="57" cm="1">
        <f t="array" ref="Z389">VLOOKUP(B389,'Player Data'!$A1:$AE673,14,FALSE)*$Q389</f>
        <v>0.82000000000000006</v>
      </c>
      <c r="AA389" s="57" cm="1">
        <f t="array" ref="AA389">VLOOKUP(B389,'Player Data'!$A1:$AE673,15,FALSE)*$Q389</f>
        <v>52.480000000000004</v>
      </c>
      <c r="AB389" s="57" cm="1">
        <f t="array" ref="AB389">VLOOKUP(B389,'Player Data'!$A1:$AE673,16,FALSE)*$Q389</f>
        <v>180.4</v>
      </c>
      <c r="AC389" s="57" cm="1">
        <f t="array" ref="AC389">VLOOKUP(B389,'Player Data'!$A1:$AE673,17,FALSE)*$Q389*IFERROR((VLOOKUP(P389,Settings!$E$28:$F$33,2,FALSE)+1),1)</f>
        <v>-1.6400000000000001</v>
      </c>
      <c r="AD389" s="57" cm="1">
        <f t="array" ref="AD389">VLOOKUP(B389,'Player Data'!$A1:$AE673,18,FALSE)*$Q389</f>
        <v>27.060000000000002</v>
      </c>
      <c r="AE389" s="57" cm="1">
        <f t="array" ref="AE389">VLOOKUP(B389,'Player Data'!$A1:$AE673,19,FALSE)*$Q389*IFERROR((VLOOKUP(P389,Settings!$E$28:$F$33,2,FALSE)+1),1)</f>
        <v>2.46</v>
      </c>
      <c r="AF389" s="57" cm="1">
        <f t="array" ref="AF389">VLOOKUP(B389,'Player Data'!$A1:$AE673,20,FALSE)*$Q389</f>
        <v>257.48</v>
      </c>
      <c r="AG389" s="57" cm="1">
        <f t="array" ref="AG389">VLOOKUP(B389,'Player Data'!$A1:$AE673,21,FALSE)*$Q389</f>
        <v>274.7</v>
      </c>
      <c r="AH389" s="59" cm="1">
        <f t="array" ref="AH389">VLOOKUP(B389,'Player Data'!$A1:$AE673,22,FALSE)</f>
        <v>0.48</v>
      </c>
      <c r="AI389" s="55"/>
      <c r="AJ389" s="57"/>
      <c r="AK389" s="57"/>
      <c r="AL389" s="57"/>
      <c r="AM389" s="57"/>
      <c r="AN389" s="57"/>
      <c r="AO389" s="57"/>
      <c r="AP389" s="57"/>
      <c r="AQ389" s="60"/>
      <c r="AR389" s="61"/>
      <c r="AS389" s="55"/>
    </row>
    <row r="390" spans="1:45" ht="21.25" customHeight="1" x14ac:dyDescent="0.15">
      <c r="A390" s="62">
        <f>RANK(K390,K$2:K$671)</f>
        <v>356</v>
      </c>
      <c r="B390" s="10" t="s">
        <v>603</v>
      </c>
      <c r="C390" s="47" t="s">
        <v>145</v>
      </c>
      <c r="D390" s="48" t="str" cm="1">
        <f t="array" ref="D390">VLOOKUP(B390,'Player Data'!A1:D673,4,FALSE)</f>
        <v>LW,RW</v>
      </c>
      <c r="E390" s="74" cm="1">
        <f t="array" ref="E390">VLOOKUP(B390,RW!A1:F210,3,FALSE)</f>
        <v>80</v>
      </c>
      <c r="F390" s="18" t="str" cm="1">
        <f t="array" ref="F390">VLOOKUP(B390,'Player Data'!A1:B673,2,FALSE)</f>
        <v>OTT</v>
      </c>
      <c r="G390" s="11" cm="1">
        <f t="array" ref="G390">VLOOKUP(B390,'Player Data'!A1:D673,3,FALSE)</f>
        <v>27</v>
      </c>
      <c r="H390" s="51" cm="1">
        <f t="array" ref="H390">IFERROR(VLOOKUP(B390,ADP!A1:F671,6,FALSE)/1000000,VLOOKUP(B390,ADP!A1:F671,6,FALSE))</f>
        <v>4.2750000000000004</v>
      </c>
      <c r="I390" s="52">
        <f>IF(Settings!$E$15="POINTS",((R390*Q390)*Settings!$B$12)+(S390*Settings!$B$2)+(T390*Settings!$B$3)+(U390*Settings!$B$4)+(V390*Settings!$B$5)+(X390*Settings!$B$9)+(AA390*Settings!$B$6)+(W390*Settings!$B$8)+(AB390*Settings!$B$7)+(AC390*Settings!$B$14)+(AD390*Settings!$B$15)+(AE390*Settings!$B$16)+(AF390*Settings!$B$17)+(AG390*Settings!$B$18)+(Y390*Settings!$B$10)+(Z390*Settings!$B$11),VLOOKUP(B390,'Standard Deviations'!A$1:C$672,3,FALSE))</f>
        <v>1.8144933703892363</v>
      </c>
      <c r="J390" s="53" cm="1">
        <f t="array" ref="J390">IF(D390="G",I390/AJ390,I390/Q390)</f>
        <v>2.1601111552252812E-2</v>
      </c>
      <c r="K390" s="52" cm="1">
        <f t="array" ref="K390">IF(Settings!$E$18="C/LW/RW",VLOOKUP(B390,RW!A1:F210,6,FALSE),VLOOKUP(B390,F!A1:F407,6,FALSE))</f>
        <v>-5.0727412314198412</v>
      </c>
      <c r="L390" s="54" cm="1">
        <f t="array" ref="L390">IFERROR(K390/H390,"N/A")</f>
        <v>-1.1866061360046412</v>
      </c>
      <c r="M390" s="84" t="s">
        <v>828</v>
      </c>
      <c r="N390" s="84" t="str" cm="1">
        <f t="array" ref="N390">IFERROR(M390-A390,"N/A")</f>
        <v>N/A</v>
      </c>
      <c r="O390" s="55"/>
      <c r="P390" s="56" cm="1">
        <f t="array" ref="P390">_xlfn.XLOOKUP($B390,ADP!A2:A671,ADP!G2:G671)</f>
        <v>0</v>
      </c>
      <c r="Q390" s="57" cm="1">
        <f t="array" ref="Q390">IF(Settings!$E$12="YES",VLOOKUP(B390,'Player Data'!A1:E673,5,FALSE),84)</f>
        <v>84</v>
      </c>
      <c r="R390" s="55" cm="1">
        <f t="array" ref="R390">VLOOKUP(B390,'Player Data'!$A1:$AE673,6,FALSE)</f>
        <v>12.8</v>
      </c>
      <c r="S390" s="57" cm="1">
        <f t="array" ref="S390">VLOOKUP(B390,'Player Data'!$A1:$AE673,7,FALSE)*$Q390*IFERROR((VLOOKUP(P390,Settings!$E$28:$F$33,2,FALSE)+1),1)</f>
        <v>16.8</v>
      </c>
      <c r="T390" s="57" cm="1">
        <f t="array" ref="T390">VLOOKUP(B390,'Player Data'!$A1:$AE673,8,FALSE)*$Q390*IFERROR((VLOOKUP(P390,Settings!$E$28:$F$33,2,FALSE)+1),1)</f>
        <v>17.64</v>
      </c>
      <c r="U390" s="57" cm="1">
        <f t="array" ref="U390">SUM(S390:T390)</f>
        <v>34.44</v>
      </c>
      <c r="V390" s="57" cm="1">
        <f t="array" ref="V390">VLOOKUP(B390,'Player Data'!$A1:$AE673,10,FALSE)*$Q390*IFERROR(((VLOOKUP(P390,Settings!$E$28:$F$33,2,FALSE)/2)+1),1)</f>
        <v>147</v>
      </c>
      <c r="W390" s="57" cm="1">
        <f t="array" ref="W390">VLOOKUP(B390,'Player Data'!$A1:$AE673,11,FALSE)*$Q390*IFERROR((VLOOKUP(P390,Settings!$E$28:$F$33,2,FALSE)+1),1)</f>
        <v>3.36</v>
      </c>
      <c r="X390" s="57" cm="1">
        <f t="array" ref="X390">VLOOKUP(B390,'Player Data'!$A1:$AE673,12,FALSE)*$Q390*IFERROR((VLOOKUP(P390,Settings!$E$28:$F$33,2,FALSE)+1),1)</f>
        <v>6.72</v>
      </c>
      <c r="Y390" s="57" cm="1">
        <f t="array" ref="Y390">VLOOKUP(B390,'Player Data'!$A1:$AE673,13,FALSE)*$Q390</f>
        <v>0</v>
      </c>
      <c r="Z390" s="57" cm="1">
        <f t="array" ref="Z390">VLOOKUP(B390,'Player Data'!$A1:$AE673,14,FALSE)*$Q390</f>
        <v>0</v>
      </c>
      <c r="AA390" s="57" cm="1">
        <f t="array" ref="AA390">VLOOKUP(B390,'Player Data'!$A1:$AE673,15,FALSE)*$Q390</f>
        <v>47.040000000000006</v>
      </c>
      <c r="AB390" s="57" cm="1">
        <f t="array" ref="AB390">VLOOKUP(B390,'Player Data'!$A1:$AE673,16,FALSE)*$Q390</f>
        <v>147.84</v>
      </c>
      <c r="AC390" s="57" cm="1">
        <f t="array" ref="AC390">VLOOKUP(B390,'Player Data'!$A1:$AE673,17,FALSE)*$Q390*IFERROR((VLOOKUP(P390,Settings!$E$28:$F$33,2,FALSE)+1),1)</f>
        <v>2.52</v>
      </c>
      <c r="AD390" s="57" cm="1">
        <f t="array" ref="AD390">VLOOKUP(B390,'Player Data'!$A1:$AE673,18,FALSE)*$Q390</f>
        <v>18.48</v>
      </c>
      <c r="AE390" s="57" cm="1">
        <f t="array" ref="AE390">VLOOKUP(B390,'Player Data'!$A1:$AE673,19,FALSE)*$Q390*IFERROR((VLOOKUP(P390,Settings!$E$28:$F$33,2,FALSE)+1),1)</f>
        <v>3.36</v>
      </c>
      <c r="AF390" s="57" cm="1">
        <f t="array" ref="AF390">VLOOKUP(B390,'Player Data'!$A1:$AE673,20,FALSE)*$Q390</f>
        <v>10.08</v>
      </c>
      <c r="AG390" s="57" cm="1">
        <f t="array" ref="AG390">VLOOKUP(B390,'Player Data'!$A1:$AE673,21,FALSE)*$Q390</f>
        <v>13.44</v>
      </c>
      <c r="AH390" s="59" cm="1">
        <f t="array" ref="AH390">VLOOKUP(B390,'Player Data'!$A1:$AE673,22,FALSE)</f>
        <v>0.44</v>
      </c>
      <c r="AI390" s="55"/>
      <c r="AJ390" s="57"/>
      <c r="AK390" s="57"/>
      <c r="AL390" s="57"/>
      <c r="AM390" s="57"/>
      <c r="AN390" s="57"/>
      <c r="AO390" s="57"/>
      <c r="AP390" s="57"/>
      <c r="AQ390" s="60"/>
      <c r="AR390" s="61"/>
      <c r="AS390" s="55"/>
    </row>
    <row r="391" spans="1:45" ht="21.25" customHeight="1" x14ac:dyDescent="0.15">
      <c r="A391" s="62">
        <f>RANK(K391,K$2:K$671)</f>
        <v>405</v>
      </c>
      <c r="B391" s="10" t="s">
        <v>655</v>
      </c>
      <c r="C391" s="47" t="s">
        <v>145</v>
      </c>
      <c r="D391" s="48" t="str" cm="1">
        <f t="array" ref="D391">VLOOKUP(B391,'Player Data'!A1:D673,4,FALSE)</f>
        <v>G</v>
      </c>
      <c r="E391" s="76" cm="1">
        <f t="array" ref="E391">VLOOKUP(B391,G!A1:D66,3,FALSE)</f>
        <v>56</v>
      </c>
      <c r="F391" s="72" t="str" cm="1">
        <f t="array" ref="F391">VLOOKUP(B391,'Player Data'!A1:B673,2,FALSE)</f>
        <v>DET</v>
      </c>
      <c r="G391" s="11" cm="1">
        <f t="array" ref="G391">VLOOKUP(B391,'Player Data'!A1:D673,3,FALSE)</f>
        <v>27</v>
      </c>
      <c r="H391" s="67" cm="1">
        <f t="array" ref="H391">IFERROR(VLOOKUP(B391,ADP!A1:F671,6,FALSE)/1000000,VLOOKUP(B391,ADP!A1:F671,6,FALSE))</f>
        <v>2</v>
      </c>
      <c r="I391" s="52">
        <f>IF(Settings!$E$15="POINTS",(AJ391*Settings!$B$29)+(AK391*Settings!$B$21)+(AL391*Settings!$B$22)+(AN391*Settings!$B$24)+(AO391*Settings!$B$25)+(AP391*Settings!$B$27)+(AM391*Settings!$B$23),VLOOKUP(B391,'Standard Deviations'!A$1:C$672,3,FALSE))</f>
        <v>-3.8310264542219823</v>
      </c>
      <c r="J391" s="53" cm="1">
        <f t="array" ref="J391">IF(D391="G",I391/AJ391,I391/Q391)</f>
        <v>-0.15324105816887928</v>
      </c>
      <c r="K391" s="52" cm="1">
        <f t="array" ref="K391">VLOOKUP(B391,G!A1:F66,6,FALSE)</f>
        <v>-5.8692117133456572</v>
      </c>
      <c r="L391" s="54" cm="1">
        <f t="array" ref="L391">IFERROR(K391/H391,"N/A")</f>
        <v>-2.9346058566728286</v>
      </c>
      <c r="M391" s="84" t="s">
        <v>828</v>
      </c>
      <c r="N391" s="84" t="str" cm="1">
        <f t="array" ref="N391">IFERROR(M391-A391,"N/A")</f>
        <v>N/A</v>
      </c>
      <c r="O391" s="55"/>
      <c r="P391" s="56" cm="1">
        <f t="array" ref="P391">_xlfn.XLOOKUP($B391,ADP!A2:A671,ADP!G2:G671)</f>
        <v>0</v>
      </c>
      <c r="Q391" s="57"/>
      <c r="R391" s="55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9"/>
      <c r="AI391" s="55"/>
      <c r="AJ391" s="77" cm="1">
        <f t="array" ref="AJ391">VLOOKUP(B391,'Player Data'!$A1:$AE673,24,FALSE)</f>
        <v>25</v>
      </c>
      <c r="AK391" s="57" cm="1">
        <f t="array" ref="AK391">VLOOKUP(B391,'Player Data'!$A1:$AE673,25,FALSE)*$AJ391*IFERROR((VLOOKUP(P391,Settings!$E$28:$F$33,2,FALSE)+1),1)</f>
        <v>11.5</v>
      </c>
      <c r="AL391" s="57" cm="1">
        <f t="array" ref="AL391">AJ391-AK391-AM391</f>
        <v>10</v>
      </c>
      <c r="AM391" s="57" cm="1">
        <f t="array" ref="AM391">VLOOKUP(B391,'Player Data'!$A1:$AE673,27,FALSE)*$AJ391</f>
        <v>3.5000000000000004</v>
      </c>
      <c r="AN391" s="57" cm="1">
        <f t="array" ref="AN391">VLOOKUP(B391,'Player Data'!$A1:$AE673,28,FALSE)*AJ391</f>
        <v>1.25</v>
      </c>
      <c r="AO391" s="57" cm="1">
        <f t="array" ref="AO391">VLOOKUP(B391,'Player Data'!$A1:$AE673,29,FALSE)*$AJ391*IFERROR((VLOOKUP(P391,Settings!$E$28:$F$33,2,FALSE)/4)+1,1)</f>
        <v>607.5</v>
      </c>
      <c r="AP391" s="57" cm="1">
        <f t="array" ref="AP391">VLOOKUP(B391,'Player Data'!$A1:$AE673,31,FALSE)*$AJ391*(IFERROR(1-(VLOOKUP(P391,Settings!$E$28:$F$33,2,FALSE)/4),1))</f>
        <v>73.25</v>
      </c>
      <c r="AQ391" s="60" cm="1">
        <f t="array" ref="AQ391">1-(AP391/(AO391+AP391))</f>
        <v>0.89239809034153506</v>
      </c>
      <c r="AR391" s="61" cm="1">
        <f t="array" ref="AR391">AP391/AJ391</f>
        <v>2.93</v>
      </c>
      <c r="AS391" s="55"/>
    </row>
    <row r="392" spans="1:45" ht="21.25" customHeight="1" x14ac:dyDescent="0.15">
      <c r="A392" s="62">
        <f>RANK(K392,K$2:K$671)</f>
        <v>413</v>
      </c>
      <c r="B392" s="10" t="s">
        <v>512</v>
      </c>
      <c r="C392" s="47" t="s">
        <v>145</v>
      </c>
      <c r="D392" s="48" t="str" cm="1">
        <f t="array" ref="D392">VLOOKUP(B392,'Player Data'!A1:D673,4,FALSE)</f>
        <v>D</v>
      </c>
      <c r="E392" s="68" cm="1">
        <f t="array" ref="E392">VLOOKUP(B392,D!A1:C204,3,FALSE)</f>
        <v>192</v>
      </c>
      <c r="F392" s="50" t="str" cm="1">
        <f t="array" ref="F392">VLOOKUP(B392,'Player Data'!A1:B673,2,FALSE)</f>
        <v>ANA</v>
      </c>
      <c r="G392" s="66" cm="1">
        <f t="array" ref="G392">VLOOKUP(B392,'Player Data'!A1:D673,3,FALSE)</f>
        <v>36</v>
      </c>
      <c r="H392" s="51" cm="1">
        <f t="array" ref="H392">IFERROR(VLOOKUP(B392,ADP!A1:F671,6,FALSE)/1000000,VLOOKUP(B392,ADP!A1:F671,6,FALSE))</f>
        <v>2.25</v>
      </c>
      <c r="I392" s="52">
        <f>IF(Settings!$E$15="POINTS",((R392*Q392)*Settings!$B$12)+(S392*Settings!$B$2)+(T392*Settings!$B$3)+(U392*Settings!$B$4)+(V392*Settings!$B$5)+(X392*Settings!$B$9)+(AA392*Settings!$B$6)+(W392*Settings!$B$8)+(AB392*Settings!$B$7)+(AC392*Settings!$B$14)+(AD392*Settings!$B$15)+(AE392*Settings!$B$16)+(AF392*Settings!$B$17)+(AG392*Settings!$B$18)+(U392*Settings!$B$13)+(Y392*Settings!$B$10)+(Z392*Settings!$B$11),VLOOKUP(B392,'Standard Deviations'!A$1:C$672,3,FALSE))</f>
        <v>-5.552338543707199</v>
      </c>
      <c r="J392" s="53" cm="1">
        <f t="array" ref="J392">IF(D392="G",I392/AJ392,I392/Q392)</f>
        <v>-7.1183827483425624E-2</v>
      </c>
      <c r="K392" s="52" cm="1">
        <f t="array" ref="K392">VLOOKUP(B392,D!A1:F204,6,FALSE)</f>
        <v>-6.1191894582247537</v>
      </c>
      <c r="L392" s="54" cm="1">
        <f t="array" ref="L392">IFERROR(K392/H392,"N/A")</f>
        <v>-2.7196397592110015</v>
      </c>
      <c r="M392" s="84" t="s">
        <v>828</v>
      </c>
      <c r="N392" s="84" t="str" cm="1">
        <f t="array" ref="N392">IFERROR(M392-A392,"N/A")</f>
        <v>N/A</v>
      </c>
      <c r="O392" s="55"/>
      <c r="P392" s="56" cm="1">
        <f t="array" ref="P392">_xlfn.XLOOKUP($B392,ADP!A2:A671,ADP!G2:G671)</f>
        <v>0</v>
      </c>
      <c r="Q392" s="57" cm="1">
        <f t="array" ref="Q392">IF(Settings!$E$12="YES",VLOOKUP(B392,'Player Data'!A1:E673,5,FALSE),84)</f>
        <v>78</v>
      </c>
      <c r="R392" s="81" cm="1">
        <f t="array" ref="R392">VLOOKUP(B392,'Player Data'!$A1:$AE673,6,FALSE)</f>
        <v>19.5</v>
      </c>
      <c r="S392" s="57" cm="1">
        <f t="array" ref="S392">VLOOKUP(B392,'Player Data'!$A1:$AE673,7,FALSE)*$Q392*IFERROR((VLOOKUP(P392,Settings!$E$28:$F$33,2,FALSE)+1),1)</f>
        <v>0.78</v>
      </c>
      <c r="T392" s="57" cm="1">
        <f t="array" ref="T392">VLOOKUP(B392,'Player Data'!$A1:$AE673,8,FALSE)*$Q392*IFERROR((VLOOKUP(P392,Settings!$E$28:$F$33,2,FALSE)+1),1)</f>
        <v>13.260000000000002</v>
      </c>
      <c r="U392" s="57" cm="1">
        <f t="array" ref="U392">SUM(S392:T392)</f>
        <v>14.040000000000001</v>
      </c>
      <c r="V392" s="57" cm="1">
        <f t="array" ref="V392">VLOOKUP(B392,'Player Data'!$A1:$AE673,10,FALSE)*$Q392*IFERROR(((VLOOKUP(P392,Settings!$E$28:$F$33,2,FALSE)/2)+1),1)</f>
        <v>41.34</v>
      </c>
      <c r="W392" s="57" cm="1">
        <f t="array" ref="W392">VLOOKUP(B392,'Player Data'!$A1:$AE673,11,FALSE)*$Q392*IFERROR((VLOOKUP(P392,Settings!$E$28:$F$33,2,FALSE)+1),1)</f>
        <v>0</v>
      </c>
      <c r="X392" s="57" cm="1">
        <f t="array" ref="X392">VLOOKUP(B392,'Player Data'!$A1:$AE673,12,FALSE)*$Q392*IFERROR((VLOOKUP(P392,Settings!$E$28:$F$33,2,FALSE)+1),1)</f>
        <v>0</v>
      </c>
      <c r="Y392" s="57" cm="1">
        <f t="array" ref="Y392">VLOOKUP(B392,'Player Data'!$A1:$AE673,13,FALSE)*$Q392</f>
        <v>0</v>
      </c>
      <c r="Z392" s="57" cm="1">
        <f t="array" ref="Z392">VLOOKUP(B392,'Player Data'!$A1:$AE673,14,FALSE)*$Q392</f>
        <v>0</v>
      </c>
      <c r="AA392" s="57" cm="1">
        <f t="array" ref="AA392">VLOOKUP(B392,'Player Data'!$A1:$AE673,15,FALSE)*$Q392</f>
        <v>93.6</v>
      </c>
      <c r="AB392" s="57" cm="1">
        <f t="array" ref="AB392">VLOOKUP(B392,'Player Data'!$A1:$AE673,16,FALSE)*$Q392</f>
        <v>63.180000000000007</v>
      </c>
      <c r="AC392" s="57" cm="1">
        <f t="array" ref="AC392">VLOOKUP(B392,'Player Data'!$A1:$AE673,17,FALSE)*$Q392*IFERROR((VLOOKUP(P392,Settings!$E$28:$F$33,2,FALSE)+1),1)</f>
        <v>-3.12</v>
      </c>
      <c r="AD392" s="57" cm="1">
        <f t="array" ref="AD392">VLOOKUP(B392,'Player Data'!$A1:$AE673,18,FALSE)*$Q392</f>
        <v>16.38</v>
      </c>
      <c r="AE392" s="57" cm="1">
        <f t="array" ref="AE392">VLOOKUP(B392,'Player Data'!$A1:$AE673,19,FALSE)*$Q392*IFERROR((VLOOKUP(P392,Settings!$E$28:$F$33,2,FALSE)+1),1)</f>
        <v>0</v>
      </c>
      <c r="AF392" s="57" cm="1">
        <f t="array" ref="AF392">VLOOKUP(B392,'Player Data'!$A1:$AE673,20,FALSE)*$Q392</f>
        <v>0</v>
      </c>
      <c r="AG392" s="57" cm="1">
        <f t="array" ref="AG392">VLOOKUP(B392,'Player Data'!$A1:$AE673,21,FALSE)*$Q392</f>
        <v>0</v>
      </c>
      <c r="AH392" s="59" cm="1">
        <f t="array" ref="AH392">VLOOKUP(B392,'Player Data'!$A1:$AE673,22,FALSE)</f>
        <v>0</v>
      </c>
      <c r="AI392" s="55"/>
      <c r="AJ392" s="57"/>
      <c r="AK392" s="57"/>
      <c r="AL392" s="57"/>
      <c r="AM392" s="57"/>
      <c r="AN392" s="57"/>
      <c r="AO392" s="57"/>
      <c r="AP392" s="57"/>
      <c r="AQ392" s="60"/>
      <c r="AR392" s="61"/>
      <c r="AS392" s="55"/>
    </row>
    <row r="393" spans="1:45" ht="21.25" customHeight="1" x14ac:dyDescent="0.15">
      <c r="A393" s="62">
        <f>RANK(K393,K$2:K$671)</f>
        <v>408</v>
      </c>
      <c r="B393" s="10" t="s">
        <v>659</v>
      </c>
      <c r="C393" s="47" t="s">
        <v>145</v>
      </c>
      <c r="D393" s="48" t="str" cm="1">
        <f t="array" ref="D393">VLOOKUP(B393,'Player Data'!A1:D673,4,FALSE)</f>
        <v>G</v>
      </c>
      <c r="E393" s="76" cm="1">
        <f t="array" ref="E393">VLOOKUP(B393,G!A1:D66,3,FALSE)</f>
        <v>57</v>
      </c>
      <c r="F393" s="69" t="str" cm="1">
        <f t="array" ref="F393">VLOOKUP(B393,'Player Data'!A1:B673,2,FALSE)</f>
        <v>CBJ</v>
      </c>
      <c r="G393" s="66" cm="1">
        <f t="array" ref="G393">VLOOKUP(B393,'Player Data'!A1:D673,3,FALSE)</f>
        <v>32</v>
      </c>
      <c r="H393" s="67" cm="1">
        <f t="array" ref="H393">IFERROR(VLOOKUP(B393,ADP!A1:F671,6,FALSE)/1000000,VLOOKUP(B393,ADP!A1:F671,6,FALSE))</f>
        <v>5.4</v>
      </c>
      <c r="I393" s="52">
        <f>IF(Settings!$E$15="POINTS",(AJ393*Settings!$B$29)+(AK393*Settings!$B$21)+(AL393*Settings!$B$22)+(AN393*Settings!$B$24)+(AO393*Settings!$B$25)+(AP393*Settings!$B$27)+(AM393*Settings!$B$23),VLOOKUP(B393,'Standard Deviations'!A$1:C$672,3,FALSE))</f>
        <v>-3.9292157303871766</v>
      </c>
      <c r="J393" s="53" cm="1">
        <f t="array" ref="J393">IF(D393="G",I393/AJ393,I393/Q393)</f>
        <v>-0.15716862921548708</v>
      </c>
      <c r="K393" s="52" cm="1">
        <f t="array" ref="K393">VLOOKUP(B393,G!A1:F66,6,FALSE)</f>
        <v>-5.9674009895108515</v>
      </c>
      <c r="L393" s="54" cm="1">
        <f t="array" ref="L393">IFERROR(K393/H393,"N/A")</f>
        <v>-1.1050742573168242</v>
      </c>
      <c r="M393" s="84" t="s">
        <v>828</v>
      </c>
      <c r="N393" s="84" t="str" cm="1">
        <f t="array" ref="N393">IFERROR(M393-A393,"N/A")</f>
        <v>N/A</v>
      </c>
      <c r="O393" s="55"/>
      <c r="P393" s="56" cm="1">
        <f t="array" ref="P393">_xlfn.XLOOKUP($B393,ADP!A2:A671,ADP!G2:G671)</f>
        <v>0</v>
      </c>
      <c r="Q393" s="57"/>
      <c r="R393" s="55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9"/>
      <c r="AI393" s="55"/>
      <c r="AJ393" s="77" cm="1">
        <f t="array" ref="AJ393">VLOOKUP(B393,'Player Data'!$A1:$AE673,24,FALSE)</f>
        <v>25</v>
      </c>
      <c r="AK393" s="57" cm="1">
        <f t="array" ref="AK393">VLOOKUP(B393,'Player Data'!$A1:$AE673,25,FALSE)*$AJ393*IFERROR((VLOOKUP(P393,Settings!$E$28:$F$33,2,FALSE)+1),1)</f>
        <v>12.25</v>
      </c>
      <c r="AL393" s="57" cm="1">
        <f t="array" ref="AL393">AJ393-AK393-AM393</f>
        <v>9.5</v>
      </c>
      <c r="AM393" s="57" cm="1">
        <f t="array" ref="AM393">VLOOKUP(B393,'Player Data'!$A1:$AE673,27,FALSE)*$AJ393</f>
        <v>3.25</v>
      </c>
      <c r="AN393" s="57" cm="1">
        <f t="array" ref="AN393">VLOOKUP(B393,'Player Data'!$A1:$AE673,28,FALSE)*AJ393</f>
        <v>1.25</v>
      </c>
      <c r="AO393" s="57" cm="1">
        <f t="array" ref="AO393">VLOOKUP(B393,'Player Data'!$A1:$AE673,29,FALSE)*$AJ393*IFERROR((VLOOKUP(P393,Settings!$E$28:$F$33,2,FALSE)/4)+1,1)</f>
        <v>600</v>
      </c>
      <c r="AP393" s="57" cm="1">
        <f t="array" ref="AP393">VLOOKUP(B393,'Player Data'!$A1:$AE673,31,FALSE)*$AJ393*(IFERROR(1-(VLOOKUP(P393,Settings!$E$28:$F$33,2,FALSE)/4),1))</f>
        <v>73.25</v>
      </c>
      <c r="AQ393" s="60" cm="1">
        <f t="array" ref="AQ393">1-(AP393/(AO393+AP393))</f>
        <v>0.8911994058670627</v>
      </c>
      <c r="AR393" s="61" cm="1">
        <f t="array" ref="AR393">AP393/AJ393</f>
        <v>2.93</v>
      </c>
      <c r="AS393" s="55"/>
    </row>
    <row r="394" spans="1:45" ht="21.25" customHeight="1" x14ac:dyDescent="0.15">
      <c r="A394" s="62">
        <f>RANK(K394,K$2:K$671)</f>
        <v>368</v>
      </c>
      <c r="B394" s="10" t="s">
        <v>435</v>
      </c>
      <c r="C394" s="47" t="s">
        <v>145</v>
      </c>
      <c r="D394" s="48" t="str" cm="1">
        <f t="array" ref="D394">VLOOKUP(B394,'Player Data'!A1:D673,4,FALSE)</f>
        <v>LW,RW</v>
      </c>
      <c r="E394" s="74" cm="1">
        <f t="array" ref="E394">VLOOKUP(B394,RW!A1:F210,3,FALSE)</f>
        <v>81</v>
      </c>
      <c r="F394" s="63" t="str" cm="1">
        <f t="array" ref="F394">VLOOKUP(B394,'Player Data'!A1:B673,2,FALSE)</f>
        <v>SEA</v>
      </c>
      <c r="G394" s="11" cm="1">
        <f t="array" ref="G394">VLOOKUP(B394,'Player Data'!A1:D673,3,FALSE)</f>
        <v>30</v>
      </c>
      <c r="H394" s="51" cm="1">
        <f t="array" ref="H394">IFERROR(VLOOKUP(B394,ADP!A1:F671,6,FALSE)/1000000,VLOOKUP(B394,ADP!A1:F671,6,FALSE))</f>
        <v>5.75</v>
      </c>
      <c r="I394" s="52">
        <f>IF(Settings!$E$15="POINTS",((R394*Q394)*Settings!$B$12)+(S394*Settings!$B$2)+(T394*Settings!$B$3)+(U394*Settings!$B$4)+(V394*Settings!$B$5)+(X394*Settings!$B$9)+(AA394*Settings!$B$6)+(W394*Settings!$B$8)+(AB394*Settings!$B$7)+(AC394*Settings!$B$14)+(AD394*Settings!$B$15)+(AE394*Settings!$B$16)+(AF394*Settings!$B$17)+(AG394*Settings!$B$18)+(Y394*Settings!$B$10)+(Z394*Settings!$B$11),VLOOKUP(B394,'Standard Deviations'!A$1:C$672,3,FALSE))</f>
        <v>1.6638795859358606</v>
      </c>
      <c r="J394" s="53" cm="1">
        <f t="array" ref="J394">IF(D394="G",I394/AJ394,I394/Q394)</f>
        <v>2.0798494824198259E-2</v>
      </c>
      <c r="K394" s="52" cm="1">
        <f t="array" ref="K394">IF(Settings!$E$18="C/LW/RW",VLOOKUP(B394,RW!A1:F210,6,FALSE),VLOOKUP(B394,F!A1:F407,6,FALSE))</f>
        <v>-5.2233550158732172</v>
      </c>
      <c r="L394" s="54" cm="1">
        <f t="array" ref="L394">IFERROR(K394/H394,"N/A")</f>
        <v>-0.9084095679779508</v>
      </c>
      <c r="M394" s="55">
        <v>132.19999999999999</v>
      </c>
      <c r="N394" s="55" cm="1">
        <f t="array" ref="N394">IFERROR(M394-A394,"N/A")</f>
        <v>-235.8</v>
      </c>
      <c r="O394" s="55"/>
      <c r="P394" s="56" cm="1">
        <f t="array" ref="P394">_xlfn.XLOOKUP($B394,ADP!A2:A671,ADP!G2:G671)</f>
        <v>0</v>
      </c>
      <c r="Q394" s="57" cm="1">
        <f t="array" ref="Q394">IF(Settings!$E$12="YES",VLOOKUP(B394,'Player Data'!A1:E673,5,FALSE),84)</f>
        <v>80</v>
      </c>
      <c r="R394" s="55" cm="1">
        <f t="array" ref="R394">VLOOKUP(B394,'Player Data'!$A1:$AE673,6,FALSE)</f>
        <v>16.100000000000001</v>
      </c>
      <c r="S394" s="57" cm="1">
        <f t="array" ref="S394">VLOOKUP(B394,'Player Data'!$A1:$AE673,7,FALSE)*$Q394*IFERROR((VLOOKUP(P394,Settings!$E$28:$F$33,2,FALSE)+1),1)</f>
        <v>25.6</v>
      </c>
      <c r="T394" s="57" cm="1">
        <f t="array" ref="T394">VLOOKUP(B394,'Player Data'!$A1:$AE673,8,FALSE)*$Q394*IFERROR((VLOOKUP(P394,Settings!$E$28:$F$33,2,FALSE)+1),1)</f>
        <v>18.400000000000002</v>
      </c>
      <c r="U394" s="57" cm="1">
        <f t="array" ref="U394">SUM(S394:T394)</f>
        <v>44</v>
      </c>
      <c r="V394" s="57" cm="1">
        <f t="array" ref="V394">VLOOKUP(B394,'Player Data'!$A1:$AE673,10,FALSE)*$Q394*IFERROR(((VLOOKUP(P394,Settings!$E$28:$F$33,2,FALSE)/2)+1),1)</f>
        <v>190.39999999999998</v>
      </c>
      <c r="W394" s="57" cm="1">
        <f t="array" ref="W394">VLOOKUP(B394,'Player Data'!$A1:$AE673,11,FALSE)*$Q394*IFERROR((VLOOKUP(P394,Settings!$E$28:$F$33,2,FALSE)+1),1)</f>
        <v>3.2</v>
      </c>
      <c r="X394" s="57" cm="1">
        <f t="array" ref="X394">VLOOKUP(B394,'Player Data'!$A1:$AE673,12,FALSE)*$Q394*IFERROR((VLOOKUP(P394,Settings!$E$28:$F$33,2,FALSE)+1),1)</f>
        <v>5.6000000000000005</v>
      </c>
      <c r="Y394" s="57" cm="1">
        <f t="array" ref="Y394">VLOOKUP(B394,'Player Data'!$A1:$AE673,13,FALSE)*$Q394</f>
        <v>0</v>
      </c>
      <c r="Z394" s="57" cm="1">
        <f t="array" ref="Z394">VLOOKUP(B394,'Player Data'!$A1:$AE673,14,FALSE)*$Q394</f>
        <v>0</v>
      </c>
      <c r="AA394" s="57" cm="1">
        <f t="array" ref="AA394">VLOOKUP(B394,'Player Data'!$A1:$AE673,15,FALSE)*$Q394</f>
        <v>29.6</v>
      </c>
      <c r="AB394" s="57" cm="1">
        <f t="array" ref="AB394">VLOOKUP(B394,'Player Data'!$A1:$AE673,16,FALSE)*$Q394</f>
        <v>158.4</v>
      </c>
      <c r="AC394" s="57" cm="1">
        <f t="array" ref="AC394">VLOOKUP(B394,'Player Data'!$A1:$AE673,17,FALSE)*$Q394*IFERROR((VLOOKUP(P394,Settings!$E$28:$F$33,2,FALSE)+1),1)</f>
        <v>-6.4</v>
      </c>
      <c r="AD394" s="57" cm="1">
        <f t="array" ref="AD394">VLOOKUP(B394,'Player Data'!$A1:$AE673,18,FALSE)*$Q394</f>
        <v>36.800000000000004</v>
      </c>
      <c r="AE394" s="57" cm="1">
        <f t="array" ref="AE394">VLOOKUP(B394,'Player Data'!$A1:$AE673,19,FALSE)*$Q394*IFERROR((VLOOKUP(P394,Settings!$E$28:$F$33,2,FALSE)+1),1)</f>
        <v>3.2</v>
      </c>
      <c r="AF394" s="57" cm="1">
        <f t="array" ref="AF394">VLOOKUP(B394,'Player Data'!$A1:$AE673,20,FALSE)*$Q394</f>
        <v>6.4</v>
      </c>
      <c r="AG394" s="57" cm="1">
        <f t="array" ref="AG394">VLOOKUP(B394,'Player Data'!$A1:$AE673,21,FALSE)*$Q394</f>
        <v>10.4</v>
      </c>
      <c r="AH394" s="59" cm="1">
        <f t="array" ref="AH394">VLOOKUP(B394,'Player Data'!$A1:$AE673,22,FALSE)</f>
        <v>0.39</v>
      </c>
      <c r="AI394" s="55"/>
      <c r="AJ394" s="57"/>
      <c r="AK394" s="57"/>
      <c r="AL394" s="57"/>
      <c r="AM394" s="57"/>
      <c r="AN394" s="57"/>
      <c r="AO394" s="57"/>
      <c r="AP394" s="57"/>
      <c r="AQ394" s="60"/>
      <c r="AR394" s="61"/>
      <c r="AS394" s="55"/>
    </row>
    <row r="395" spans="1:45" ht="21.25" customHeight="1" x14ac:dyDescent="0.15">
      <c r="A395" s="62">
        <f>RANK(K395,K$2:K$671)</f>
        <v>371</v>
      </c>
      <c r="B395" s="10" t="s">
        <v>468</v>
      </c>
      <c r="C395" s="47" t="s">
        <v>145</v>
      </c>
      <c r="D395" s="48" t="str" cm="1">
        <f t="array" ref="D395">VLOOKUP(B395,'Player Data'!A1:D673,4,FALSE)</f>
        <v>LW</v>
      </c>
      <c r="E395" s="75" cm="1">
        <f t="array" ref="E395">VLOOKUP(B395,LW!A1:C210,3,FALSE)</f>
        <v>77</v>
      </c>
      <c r="F395" s="69" t="str" cm="1">
        <f t="array" ref="F395">VLOOKUP(B395,'Player Data'!A1:B673,2,FALSE)</f>
        <v>CBJ</v>
      </c>
      <c r="G395" s="11" cm="1">
        <f t="array" ref="G395">VLOOKUP(B395,'Player Data'!A1:D673,3,FALSE)</f>
        <v>26</v>
      </c>
      <c r="H395" s="67" cm="1">
        <f t="array" ref="H395">IFERROR(VLOOKUP(B395,ADP!A1:F671,6,FALSE)/1000000,VLOOKUP(B395,ADP!A1:F671,6,FALSE))</f>
        <v>4.1749999999999998</v>
      </c>
      <c r="I395" s="52">
        <f>IF(Settings!$E$15="POINTS",((R395*Q395)*Settings!$B$12)+(S395*Settings!$B$2)+(T395*Settings!$B$3)+(U395*Settings!$B$4)+(V395*Settings!$B$5)+(X395*Settings!$B$9)+(AA395*Settings!$B$6)+(W395*Settings!$B$8)+(AB395*Settings!$B$7)+(AC395*Settings!$B$14)+(AD395*Settings!$B$15)+(AE395*Settings!$B$16)+(AF395*Settings!$B$17)+(AG395*Settings!$B$18)+(Y395*Settings!$B$10)+(Z395*Settings!$B$11),VLOOKUP(B395,'Standard Deviations'!A$1:C$672,3,FALSE))</f>
        <v>1.6074994153132207</v>
      </c>
      <c r="J395" s="53" cm="1">
        <f t="array" ref="J395">IF(D395="G",I395/AJ395,I395/Q395)</f>
        <v>2.0348093864724314E-2</v>
      </c>
      <c r="K395" s="52" cm="1">
        <f t="array" ref="K395">IF(Settings!$E$18="C/LW/RW",VLOOKUP(B395,LW!A1:F210,6,FALSE),VLOOKUP(B395,F!A1:F407,6,FALSE))</f>
        <v>-5.2868862290765888</v>
      </c>
      <c r="L395" s="54" cm="1">
        <f t="array" ref="L395">IFERROR(K395/H395,"N/A")</f>
        <v>-1.2663200548686442</v>
      </c>
      <c r="M395" s="84" t="s">
        <v>828</v>
      </c>
      <c r="N395" s="84" t="str" cm="1">
        <f t="array" ref="N395">IFERROR(M395-A395,"N/A")</f>
        <v>N/A</v>
      </c>
      <c r="O395" s="80"/>
      <c r="P395" s="56" cm="1">
        <f t="array" ref="P395">_xlfn.XLOOKUP($B395,ADP!A2:A671,ADP!G2:G671)</f>
        <v>0</v>
      </c>
      <c r="Q395" s="57" cm="1">
        <f t="array" ref="Q395">IF(Settings!$E$12="YES",VLOOKUP(B395,'Player Data'!A1:E673,5,FALSE),84)</f>
        <v>79</v>
      </c>
      <c r="R395" s="81" cm="1">
        <f t="array" ref="R395">VLOOKUP(B395,'Player Data'!$A1:$AE673,6,FALSE)</f>
        <v>15.1</v>
      </c>
      <c r="S395" s="57" cm="1">
        <f t="array" ref="S395">VLOOKUP(B395,'Player Data'!$A1:$AE673,7,FALSE)*$Q395*IFERROR((VLOOKUP(P395,Settings!$E$28:$F$33,2,FALSE)+1),1)</f>
        <v>18.96</v>
      </c>
      <c r="T395" s="57" cm="1">
        <f t="array" ref="T395">VLOOKUP(B395,'Player Data'!$A1:$AE673,8,FALSE)*$Q395*IFERROR((VLOOKUP(P395,Settings!$E$28:$F$33,2,FALSE)+1),1)</f>
        <v>21.330000000000002</v>
      </c>
      <c r="U395" s="57" cm="1">
        <f t="array" ref="U395">SUM(S395:T395)</f>
        <v>40.290000000000006</v>
      </c>
      <c r="V395" s="57" cm="1">
        <f t="array" ref="V395">VLOOKUP(B395,'Player Data'!$A1:$AE673,10,FALSE)*$Q395*IFERROR(((VLOOKUP(P395,Settings!$E$28:$F$33,2,FALSE)/2)+1),1)</f>
        <v>141.41</v>
      </c>
      <c r="W395" s="57" cm="1">
        <f t="array" ref="W395">VLOOKUP(B395,'Player Data'!$A1:$AE673,11,FALSE)*$Q395*IFERROR((VLOOKUP(P395,Settings!$E$28:$F$33,2,FALSE)+1),1)</f>
        <v>4.74</v>
      </c>
      <c r="X395" s="78" cm="1">
        <f t="array" ref="X395">VLOOKUP(B395,'Player Data'!$A1:$AE673,12,FALSE)*$Q395*IFERROR((VLOOKUP(P395,Settings!$E$28:$F$33,2,FALSE)+1),1)</f>
        <v>7.1099999999999994</v>
      </c>
      <c r="Y395" s="57" cm="1">
        <f t="array" ref="Y395">VLOOKUP(B395,'Player Data'!$A1:$AE673,13,FALSE)*$Q395</f>
        <v>0</v>
      </c>
      <c r="Z395" s="57" cm="1">
        <f t="array" ref="Z395">VLOOKUP(B395,'Player Data'!$A1:$AE673,14,FALSE)*$Q395</f>
        <v>0</v>
      </c>
      <c r="AA395" s="57" cm="1">
        <f t="array" ref="AA395">VLOOKUP(B395,'Player Data'!$A1:$AE673,15,FALSE)*$Q395</f>
        <v>41.08</v>
      </c>
      <c r="AB395" s="57" cm="1">
        <f t="array" ref="AB395">VLOOKUP(B395,'Player Data'!$A1:$AE673,16,FALSE)*$Q395</f>
        <v>110.6</v>
      </c>
      <c r="AC395" s="57" cm="1">
        <f t="array" ref="AC395">VLOOKUP(B395,'Player Data'!$A1:$AE673,17,FALSE)*$Q395*IFERROR((VLOOKUP(P395,Settings!$E$28:$F$33,2,FALSE)+1),1)</f>
        <v>3.16</v>
      </c>
      <c r="AD395" s="57" cm="1">
        <f t="array" ref="AD395">VLOOKUP(B395,'Player Data'!$A1:$AE673,18,FALSE)*$Q395</f>
        <v>50.56</v>
      </c>
      <c r="AE395" s="57" cm="1">
        <f t="array" ref="AE395">VLOOKUP(B395,'Player Data'!$A1:$AE673,19,FALSE)*$Q395*IFERROR((VLOOKUP(P395,Settings!$E$28:$F$33,2,FALSE)+1),1)</f>
        <v>3.16</v>
      </c>
      <c r="AF395" s="57" cm="1">
        <f t="array" ref="AF395">VLOOKUP(B395,'Player Data'!$A1:$AE673,20,FALSE)*$Q395</f>
        <v>56.879999999999995</v>
      </c>
      <c r="AG395" s="57" cm="1">
        <f t="array" ref="AG395">VLOOKUP(B395,'Player Data'!$A1:$AE673,21,FALSE)*$Q395</f>
        <v>102.7</v>
      </c>
      <c r="AH395" s="59" cm="1">
        <f t="array" ref="AH395">VLOOKUP(B395,'Player Data'!$A1:$AE673,22,FALSE)</f>
        <v>0.36</v>
      </c>
      <c r="AI395" s="55"/>
      <c r="AJ395" s="57"/>
      <c r="AK395" s="57"/>
      <c r="AL395" s="57"/>
      <c r="AM395" s="57"/>
      <c r="AN395" s="57"/>
      <c r="AO395" s="57"/>
      <c r="AP395" s="57"/>
      <c r="AQ395" s="60"/>
      <c r="AR395" s="61"/>
      <c r="AS395" s="55"/>
    </row>
    <row r="396" spans="1:45" ht="21.25" customHeight="1" x14ac:dyDescent="0.15">
      <c r="A396" s="62">
        <f>RANK(K396,K$2:K$671)</f>
        <v>416</v>
      </c>
      <c r="B396" s="10" t="s">
        <v>478</v>
      </c>
      <c r="C396" s="47" t="s">
        <v>145</v>
      </c>
      <c r="D396" s="48" t="str" cm="1">
        <f t="array" ref="D396">VLOOKUP(B396,'Player Data'!A1:D673,4,FALSE)</f>
        <v>D</v>
      </c>
      <c r="E396" s="68" cm="1">
        <f t="array" ref="E396">VLOOKUP(B396,D!A1:C204,3,FALSE)</f>
        <v>193</v>
      </c>
      <c r="F396" s="56" t="str" cm="1">
        <f t="array" ref="F396">VLOOKUP(B396,'Player Data'!A1:B673,2,FALSE)</f>
        <v>CHI</v>
      </c>
      <c r="G396" s="71" cm="1">
        <f t="array" ref="G396">VLOOKUP(B396,'Player Data'!A1:D673,3,FALSE)</f>
        <v>24</v>
      </c>
      <c r="H396" s="67" cm="1">
        <f t="array" ref="H396">IFERROR(VLOOKUP(B396,ADP!A1:F671,6,FALSE)/1000000,VLOOKUP(B396,ADP!A1:F671,6,FALSE))</f>
        <v>1.7</v>
      </c>
      <c r="I396" s="52">
        <f>IF(Settings!$E$15="POINTS",((R396*Q396)*Settings!$B$12)+(S396*Settings!$B$2)+(T396*Settings!$B$3)+(U396*Settings!$B$4)+(V396*Settings!$B$5)+(X396*Settings!$B$9)+(AA396*Settings!$B$6)+(W396*Settings!$B$8)+(AB396*Settings!$B$7)+(AC396*Settings!$B$14)+(AD396*Settings!$B$15)+(AE396*Settings!$B$16)+(AF396*Settings!$B$17)+(AG396*Settings!$B$18)+(U396*Settings!$B$13)+(Y396*Settings!$B$10)+(Z396*Settings!$B$11),VLOOKUP(B396,'Standard Deviations'!A$1:C$672,3,FALSE))</f>
        <v>-5.6115692403722148</v>
      </c>
      <c r="J396" s="53" cm="1">
        <f t="array" ref="J396">IF(D396="G",I396/AJ396,I396/Q396)</f>
        <v>-7.4820923204962864E-2</v>
      </c>
      <c r="K396" s="52" cm="1">
        <f t="array" ref="K396">VLOOKUP(B396,D!A1:F204,6,FALSE)</f>
        <v>-6.1784201548897695</v>
      </c>
      <c r="L396" s="54" cm="1">
        <f t="array" ref="L396">IFERROR(K396/H396,"N/A")</f>
        <v>-3.6343647969939821</v>
      </c>
      <c r="M396" s="84" t="s">
        <v>828</v>
      </c>
      <c r="N396" s="84" t="str" cm="1">
        <f t="array" ref="N396">IFERROR(M396-A396,"N/A")</f>
        <v>N/A</v>
      </c>
      <c r="O396" s="82"/>
      <c r="P396" s="56" cm="1">
        <f t="array" ref="P396">_xlfn.XLOOKUP($B396,ADP!A2:A671,ADP!G2:G671)</f>
        <v>0</v>
      </c>
      <c r="Q396" s="57" cm="1">
        <f t="array" ref="Q396">IF(Settings!$E$12="YES",VLOOKUP(B396,'Player Data'!A1:E673,5,FALSE),84)</f>
        <v>75</v>
      </c>
      <c r="R396" s="55" cm="1">
        <f t="array" ref="R396">VLOOKUP(B396,'Player Data'!$A1:$AE673,6,FALSE)</f>
        <v>19.8</v>
      </c>
      <c r="S396" s="57" cm="1">
        <f t="array" ref="S396">VLOOKUP(B396,'Player Data'!$A1:$AE673,7,FALSE)*$Q396*IFERROR((VLOOKUP(P396,Settings!$E$28:$F$33,2,FALSE)+1),1)</f>
        <v>6</v>
      </c>
      <c r="T396" s="57" cm="1">
        <f t="array" ref="T396">VLOOKUP(B396,'Player Data'!$A1:$AE673,8,FALSE)*$Q396*IFERROR((VLOOKUP(P396,Settings!$E$28:$F$33,2,FALSE)+1),1)</f>
        <v>12.750000000000002</v>
      </c>
      <c r="U396" s="57" cm="1">
        <f t="array" ref="U396">SUM(S396:T396)</f>
        <v>18.75</v>
      </c>
      <c r="V396" s="57" cm="1">
        <f t="array" ref="V396">VLOOKUP(B396,'Player Data'!$A1:$AE673,10,FALSE)*$Q396*IFERROR(((VLOOKUP(P396,Settings!$E$28:$F$33,2,FALSE)/2)+1),1)</f>
        <v>82.5</v>
      </c>
      <c r="W396" s="57" cm="1">
        <f t="array" ref="W396">VLOOKUP(B396,'Player Data'!$A1:$AE673,11,FALSE)*$Q396*IFERROR((VLOOKUP(P396,Settings!$E$28:$F$33,2,FALSE)+1),1)</f>
        <v>0</v>
      </c>
      <c r="X396" s="57" cm="1">
        <f t="array" ref="X396">VLOOKUP(B396,'Player Data'!$A1:$AE673,12,FALSE)*$Q396*IFERROR((VLOOKUP(P396,Settings!$E$28:$F$33,2,FALSE)+1),1)</f>
        <v>0</v>
      </c>
      <c r="Y396" s="57" cm="1">
        <f t="array" ref="Y396">VLOOKUP(B396,'Player Data'!$A1:$AE673,13,FALSE)*$Q396</f>
        <v>0</v>
      </c>
      <c r="Z396" s="57" cm="1">
        <f t="array" ref="Z396">VLOOKUP(B396,'Player Data'!$A1:$AE673,14,FALSE)*$Q396</f>
        <v>0</v>
      </c>
      <c r="AA396" s="57" cm="1">
        <f t="array" ref="AA396">VLOOKUP(B396,'Player Data'!$A1:$AE673,15,FALSE)*$Q396</f>
        <v>91.5</v>
      </c>
      <c r="AB396" s="57" cm="1">
        <f t="array" ref="AB396">VLOOKUP(B396,'Player Data'!$A1:$AE673,16,FALSE)*$Q396</f>
        <v>56.25</v>
      </c>
      <c r="AC396" s="57" cm="1">
        <f t="array" ref="AC396">VLOOKUP(B396,'Player Data'!$A1:$AE673,17,FALSE)*$Q396*IFERROR((VLOOKUP(P396,Settings!$E$28:$F$33,2,FALSE)+1),1)</f>
        <v>-8.25</v>
      </c>
      <c r="AD396" s="57" cm="1">
        <f t="array" ref="AD396">VLOOKUP(B396,'Player Data'!$A1:$AE673,18,FALSE)*$Q396</f>
        <v>33.75</v>
      </c>
      <c r="AE396" s="57" cm="1">
        <f t="array" ref="AE396">VLOOKUP(B396,'Player Data'!$A1:$AE673,19,FALSE)*$Q396*IFERROR((VLOOKUP(P396,Settings!$E$28:$F$33,2,FALSE)+1),1)</f>
        <v>0.75</v>
      </c>
      <c r="AF396" s="57" cm="1">
        <f t="array" ref="AF396">VLOOKUP(B396,'Player Data'!$A1:$AE673,20,FALSE)*$Q396</f>
        <v>0</v>
      </c>
      <c r="AG396" s="57" cm="1">
        <f t="array" ref="AG396">VLOOKUP(B396,'Player Data'!$A1:$AE673,21,FALSE)*$Q396</f>
        <v>0</v>
      </c>
      <c r="AH396" s="59" cm="1">
        <f t="array" ref="AH396">VLOOKUP(B396,'Player Data'!$A1:$AE673,22,FALSE)</f>
        <v>0</v>
      </c>
      <c r="AI396" s="55"/>
      <c r="AJ396" s="57"/>
      <c r="AK396" s="57"/>
      <c r="AL396" s="57"/>
      <c r="AM396" s="57"/>
      <c r="AN396" s="57"/>
      <c r="AO396" s="57"/>
      <c r="AP396" s="57"/>
      <c r="AQ396" s="60"/>
      <c r="AR396" s="61"/>
      <c r="AS396" s="55"/>
    </row>
    <row r="397" spans="1:45" ht="21.25" customHeight="1" x14ac:dyDescent="0.15">
      <c r="A397" s="62">
        <f>RANK(K397,K$2:K$671)</f>
        <v>420</v>
      </c>
      <c r="B397" s="10" t="s">
        <v>667</v>
      </c>
      <c r="C397" s="47" t="s">
        <v>145</v>
      </c>
      <c r="D397" s="48" t="str" cm="1">
        <f t="array" ref="D397">VLOOKUP(B397,'Player Data'!A1:D673,4,FALSE)</f>
        <v>D</v>
      </c>
      <c r="E397" s="68" cm="1">
        <f t="array" ref="E397">VLOOKUP(B397,D!A1:C204,3,FALSE)</f>
        <v>194</v>
      </c>
      <c r="F397" s="69" t="str" cm="1">
        <f t="array" ref="F397">VLOOKUP(B397,'Player Data'!A1:B673,2,FALSE)</f>
        <v>CBJ</v>
      </c>
      <c r="G397" s="11" cm="1">
        <f t="array" ref="G397">VLOOKUP(B397,'Player Data'!A1:D673,3,FALSE)</f>
        <v>27</v>
      </c>
      <c r="H397" s="67" cm="1">
        <f t="array" ref="H397">IFERROR(VLOOKUP(B397,ADP!A1:F671,6,FALSE)/1000000,VLOOKUP(B397,ADP!A1:F671,6,FALSE))</f>
        <v>0.97499999999999998</v>
      </c>
      <c r="I397" s="52">
        <f>IF(Settings!$E$15="POINTS",((R397*Q397)*Settings!$B$12)+(S397*Settings!$B$2)+(T397*Settings!$B$3)+(U397*Settings!$B$4)+(V397*Settings!$B$5)+(X397*Settings!$B$9)+(AA397*Settings!$B$6)+(W397*Settings!$B$8)+(AB397*Settings!$B$7)+(AC397*Settings!$B$14)+(AD397*Settings!$B$15)+(AE397*Settings!$B$16)+(AF397*Settings!$B$17)+(AG397*Settings!$B$18)+(U397*Settings!$B$13)+(Y397*Settings!$B$10)+(Z397*Settings!$B$11),VLOOKUP(B397,'Standard Deviations'!A$1:C$672,3,FALSE))</f>
        <v>-5.67977158640746</v>
      </c>
      <c r="J397" s="53" cm="1">
        <f t="array" ref="J397">IF(D397="G",I397/AJ397,I397/Q397)</f>
        <v>-8.3526052741286175E-2</v>
      </c>
      <c r="K397" s="52" cm="1">
        <f t="array" ref="K397">VLOOKUP(B397,D!A1:F204,6,FALSE)</f>
        <v>-6.2466225009250147</v>
      </c>
      <c r="L397" s="54" cm="1">
        <f t="array" ref="L397">IFERROR(K397/H397,"N/A")</f>
        <v>-6.406792308641041</v>
      </c>
      <c r="M397" s="84" t="s">
        <v>828</v>
      </c>
      <c r="N397" s="84" t="str" cm="1">
        <f t="array" ref="N397">IFERROR(M397-A397,"N/A")</f>
        <v>N/A</v>
      </c>
      <c r="O397" s="55"/>
      <c r="P397" s="56" cm="1">
        <f t="array" ref="P397">_xlfn.XLOOKUP($B397,ADP!A2:A671,ADP!G2:G671)</f>
        <v>0</v>
      </c>
      <c r="Q397" s="57" cm="1">
        <f t="array" ref="Q397">IF(Settings!$E$12="YES",VLOOKUP(B397,'Player Data'!A1:E673,5,FALSE),84)</f>
        <v>68</v>
      </c>
      <c r="R397" s="55" cm="1">
        <f t="array" ref="R397">VLOOKUP(B397,'Player Data'!$A1:$AE673,6,FALSE)</f>
        <v>10.1</v>
      </c>
      <c r="S397" s="57" cm="1">
        <f t="array" ref="S397">VLOOKUP(B397,'Player Data'!$A1:$AE673,7,FALSE)*$Q397*IFERROR((VLOOKUP(P397,Settings!$E$28:$F$33,2,FALSE)+1),1)</f>
        <v>0.68</v>
      </c>
      <c r="T397" s="57" cm="1">
        <f t="array" ref="T397">VLOOKUP(B397,'Player Data'!$A1:$AE673,8,FALSE)*$Q397*IFERROR((VLOOKUP(P397,Settings!$E$28:$F$33,2,FALSE)+1),1)</f>
        <v>5.44</v>
      </c>
      <c r="U397" s="57" cm="1">
        <f t="array" ref="U397">SUM(S397:T397)</f>
        <v>6.12</v>
      </c>
      <c r="V397" s="57" cm="1">
        <f t="array" ref="V397">VLOOKUP(B397,'Player Data'!$A1:$AE673,10,FALSE)*$Q397*IFERROR(((VLOOKUP(P397,Settings!$E$28:$F$33,2,FALSE)/2)+1),1)</f>
        <v>40.799999999999997</v>
      </c>
      <c r="W397" s="57" cm="1">
        <f t="array" ref="W397">VLOOKUP(B397,'Player Data'!$A1:$AE673,11,FALSE)*$Q397*IFERROR((VLOOKUP(P397,Settings!$E$28:$F$33,2,FALSE)+1),1)</f>
        <v>0</v>
      </c>
      <c r="X397" s="57" cm="1">
        <f t="array" ref="X397">VLOOKUP(B397,'Player Data'!$A1:$AE673,12,FALSE)*$Q397*IFERROR((VLOOKUP(P397,Settings!$E$28:$F$33,2,FALSE)+1),1)</f>
        <v>0</v>
      </c>
      <c r="Y397" s="57" cm="1">
        <f t="array" ref="Y397">VLOOKUP(B397,'Player Data'!$A1:$AE673,13,FALSE)*$Q397</f>
        <v>0</v>
      </c>
      <c r="Z397" s="57" cm="1">
        <f t="array" ref="Z397">VLOOKUP(B397,'Player Data'!$A1:$AE673,14,FALSE)*$Q397</f>
        <v>0</v>
      </c>
      <c r="AA397" s="57" cm="1">
        <f t="array" ref="AA397">VLOOKUP(B397,'Player Data'!$A1:$AE673,15,FALSE)*$Q397</f>
        <v>46.24</v>
      </c>
      <c r="AB397" s="57" cm="1">
        <f t="array" ref="AB397">VLOOKUP(B397,'Player Data'!$A1:$AE673,16,FALSE)*$Q397</f>
        <v>51.68</v>
      </c>
      <c r="AC397" s="57" cm="1">
        <f t="array" ref="AC397">VLOOKUP(B397,'Player Data'!$A1:$AE673,17,FALSE)*$Q397*IFERROR((VLOOKUP(P397,Settings!$E$28:$F$33,2,FALSE)+1),1)</f>
        <v>0</v>
      </c>
      <c r="AD397" s="57" cm="1">
        <f t="array" ref="AD397">VLOOKUP(B397,'Player Data'!$A1:$AE673,18,FALSE)*$Q397</f>
        <v>12.92</v>
      </c>
      <c r="AE397" s="57" cm="1">
        <f t="array" ref="AE397">VLOOKUP(B397,'Player Data'!$A1:$AE673,19,FALSE)*$Q397*IFERROR((VLOOKUP(P397,Settings!$E$28:$F$33,2,FALSE)+1),1)</f>
        <v>0</v>
      </c>
      <c r="AF397" s="57" cm="1">
        <f t="array" ref="AF397">VLOOKUP(B397,'Player Data'!$A1:$AE673,20,FALSE)*$Q397</f>
        <v>0</v>
      </c>
      <c r="AG397" s="57" cm="1">
        <f t="array" ref="AG397">VLOOKUP(B397,'Player Data'!$A1:$AE673,21,FALSE)*$Q397</f>
        <v>0</v>
      </c>
      <c r="AH397" s="59" cm="1">
        <f t="array" ref="AH397">VLOOKUP(B397,'Player Data'!$A1:$AE673,22,FALSE)</f>
        <v>0</v>
      </c>
      <c r="AI397" s="55"/>
      <c r="AJ397" s="57"/>
      <c r="AK397" s="57"/>
      <c r="AL397" s="57"/>
      <c r="AM397" s="57"/>
      <c r="AN397" s="57"/>
      <c r="AO397" s="57"/>
      <c r="AP397" s="57"/>
      <c r="AQ397" s="60"/>
      <c r="AR397" s="61"/>
      <c r="AS397" s="55"/>
    </row>
    <row r="398" spans="1:45" ht="21.25" customHeight="1" x14ac:dyDescent="0.15">
      <c r="A398" s="62">
        <f>RANK(K398,K$2:K$671)</f>
        <v>373</v>
      </c>
      <c r="B398" s="10" t="s">
        <v>363</v>
      </c>
      <c r="C398" s="47" t="s">
        <v>145</v>
      </c>
      <c r="D398" s="48" t="str" cm="1">
        <f t="array" ref="D398">VLOOKUP(B398,'Player Data'!A1:D673,4,FALSE)</f>
        <v>LW,RW</v>
      </c>
      <c r="E398" s="74" cm="1">
        <f t="array" ref="E398">VLOOKUP(B398,RW!A1:F210,3,FALSE)</f>
        <v>82</v>
      </c>
      <c r="F398" s="69" t="str" cm="1">
        <f t="array" ref="F398">VLOOKUP(B398,'Player Data'!A1:B673,2,FALSE)</f>
        <v>CBJ</v>
      </c>
      <c r="G398" s="66" cm="1">
        <f t="array" ref="G398">VLOOKUP(B398,'Player Data'!A1:D673,3,FALSE)</f>
        <v>31</v>
      </c>
      <c r="H398" s="51" cm="1">
        <f t="array" ref="H398">IFERROR(VLOOKUP(B398,ADP!A1:F671,6,FALSE)/1000000,VLOOKUP(B398,ADP!A1:F671,6,FALSE))</f>
        <v>6.125</v>
      </c>
      <c r="I398" s="52">
        <f>IF(Settings!$E$15="POINTS",((R398*Q398)*Settings!$B$12)+(S398*Settings!$B$2)+(T398*Settings!$B$3)+(U398*Settings!$B$4)+(V398*Settings!$B$5)+(X398*Settings!$B$9)+(AA398*Settings!$B$6)+(W398*Settings!$B$8)+(AB398*Settings!$B$7)+(AC398*Settings!$B$14)+(AD398*Settings!$B$15)+(AE398*Settings!$B$16)+(AF398*Settings!$B$17)+(AG398*Settings!$B$18)+(Y398*Settings!$B$10)+(Z398*Settings!$B$11),VLOOKUP(B398,'Standard Deviations'!A$1:C$672,3,FALSE))</f>
        <v>1.5721087725076734</v>
      </c>
      <c r="J398" s="53" cm="1">
        <f t="array" ref="J398">IF(D398="G",I398/AJ398,I398/Q398)</f>
        <v>2.1244713141995587E-2</v>
      </c>
      <c r="K398" s="52" cm="1">
        <f t="array" ref="K398">IF(Settings!$E$18="C/LW/RW",VLOOKUP(B398,RW!A1:F210,6,FALSE),VLOOKUP(B398,F!A1:F407,6,FALSE))</f>
        <v>-5.3151258293014045</v>
      </c>
      <c r="L398" s="54" cm="1">
        <f t="array" ref="L398">IFERROR(K398/H398,"N/A")</f>
        <v>-0.86777564560022935</v>
      </c>
      <c r="M398" s="55">
        <v>142.9</v>
      </c>
      <c r="N398" s="55" cm="1">
        <f t="array" ref="N398">IFERROR(M398-A398,"N/A")</f>
        <v>-230.1</v>
      </c>
      <c r="O398" s="55"/>
      <c r="P398" s="56" cm="1">
        <f t="array" ref="P398">_xlfn.XLOOKUP($B398,ADP!A2:A671,ADP!G2:G671)</f>
        <v>0</v>
      </c>
      <c r="Q398" s="57" cm="1">
        <f t="array" ref="Q398">IF(Settings!$E$12="YES",VLOOKUP(B398,'Player Data'!A1:E673,5,FALSE),84)</f>
        <v>74</v>
      </c>
      <c r="R398" s="55" cm="1">
        <f t="array" ref="R398">VLOOKUP(B398,'Player Data'!$A1:$AE673,6,FALSE)</f>
        <v>18.600000000000001</v>
      </c>
      <c r="S398" s="57" cm="1">
        <f t="array" ref="S398">VLOOKUP(B398,'Player Data'!$A1:$AE673,7,FALSE)*$Q398*IFERROR((VLOOKUP(P398,Settings!$E$28:$F$33,2,FALSE)+1),1)</f>
        <v>20.720000000000002</v>
      </c>
      <c r="T398" s="57" cm="1">
        <f t="array" ref="T398">VLOOKUP(B398,'Player Data'!$A1:$AE673,8,FALSE)*$Q398*IFERROR((VLOOKUP(P398,Settings!$E$28:$F$33,2,FALSE)+1),1)</f>
        <v>27.38</v>
      </c>
      <c r="U398" s="57" cm="1">
        <f t="array" ref="U398">SUM(S398:T398)</f>
        <v>48.1</v>
      </c>
      <c r="V398" s="57" cm="1">
        <f t="array" ref="V398">VLOOKUP(B398,'Player Data'!$A1:$AE673,10,FALSE)*$Q398*IFERROR(((VLOOKUP(P398,Settings!$E$28:$F$33,2,FALSE)/2)+1),1)</f>
        <v>162.80000000000001</v>
      </c>
      <c r="W398" s="57" cm="1">
        <f t="array" ref="W398">VLOOKUP(B398,'Player Data'!$A1:$AE673,11,FALSE)*$Q398*IFERROR((VLOOKUP(P398,Settings!$E$28:$F$33,2,FALSE)+1),1)</f>
        <v>3.7</v>
      </c>
      <c r="X398" s="78" cm="1">
        <f t="array" ref="X398">VLOOKUP(B398,'Player Data'!$A1:$AE673,12,FALSE)*$Q398*IFERROR((VLOOKUP(P398,Settings!$E$28:$F$33,2,FALSE)+1),1)</f>
        <v>6.66</v>
      </c>
      <c r="Y398" s="57" cm="1">
        <f t="array" ref="Y398">VLOOKUP(B398,'Player Data'!$A1:$AE673,13,FALSE)*$Q398</f>
        <v>0.74</v>
      </c>
      <c r="Z398" s="57" cm="1">
        <f t="array" ref="Z398">VLOOKUP(B398,'Player Data'!$A1:$AE673,14,FALSE)*$Q398</f>
        <v>0.74</v>
      </c>
      <c r="AA398" s="57" cm="1">
        <f t="array" ref="AA398">VLOOKUP(B398,'Player Data'!$A1:$AE673,15,FALSE)*$Q398</f>
        <v>28.86</v>
      </c>
      <c r="AB398" s="57" cm="1">
        <f t="array" ref="AB398">VLOOKUP(B398,'Player Data'!$A1:$AE673,16,FALSE)*$Q398</f>
        <v>65.86</v>
      </c>
      <c r="AC398" s="57" cm="1">
        <f t="array" ref="AC398">VLOOKUP(B398,'Player Data'!$A1:$AE673,17,FALSE)*$Q398*IFERROR((VLOOKUP(P398,Settings!$E$28:$F$33,2,FALSE)+1),1)</f>
        <v>2.96</v>
      </c>
      <c r="AD398" s="57" cm="1">
        <f t="array" ref="AD398">VLOOKUP(B398,'Player Data'!$A1:$AE673,18,FALSE)*$Q398</f>
        <v>22.2</v>
      </c>
      <c r="AE398" s="57" cm="1">
        <f t="array" ref="AE398">VLOOKUP(B398,'Player Data'!$A1:$AE673,19,FALSE)*$Q398*IFERROR((VLOOKUP(P398,Settings!$E$28:$F$33,2,FALSE)+1),1)</f>
        <v>3.7</v>
      </c>
      <c r="AF398" s="57" cm="1">
        <f t="array" ref="AF398">VLOOKUP(B398,'Player Data'!$A1:$AE673,20,FALSE)*$Q398</f>
        <v>2.2199999999999998</v>
      </c>
      <c r="AG398" s="57" cm="1">
        <f t="array" ref="AG398">VLOOKUP(B398,'Player Data'!$A1:$AE673,21,FALSE)*$Q398</f>
        <v>2.96</v>
      </c>
      <c r="AH398" s="59" cm="1">
        <f t="array" ref="AH398">VLOOKUP(B398,'Player Data'!$A1:$AE673,22,FALSE)</f>
        <v>0.45</v>
      </c>
      <c r="AI398" s="55"/>
      <c r="AJ398" s="57"/>
      <c r="AK398" s="57"/>
      <c r="AL398" s="57"/>
      <c r="AM398" s="57"/>
      <c r="AN398" s="57"/>
      <c r="AO398" s="57"/>
      <c r="AP398" s="57"/>
      <c r="AQ398" s="60"/>
      <c r="AR398" s="61"/>
      <c r="AS398" s="55"/>
    </row>
    <row r="399" spans="1:45" ht="21.25" customHeight="1" x14ac:dyDescent="0.15">
      <c r="A399" s="62">
        <f>RANK(K399,K$2:K$671)</f>
        <v>374</v>
      </c>
      <c r="B399" s="10" t="s">
        <v>377</v>
      </c>
      <c r="C399" s="47" t="s">
        <v>145</v>
      </c>
      <c r="D399" s="48" t="str" cm="1">
        <f t="array" ref="D399">VLOOKUP(B399,'Player Data'!A1:D673,4,FALSE)</f>
        <v>LW,RW</v>
      </c>
      <c r="E399" s="74" cm="1">
        <f t="array" ref="E399">VLOOKUP(B399,RW!A1:F210,3,FALSE)</f>
        <v>83</v>
      </c>
      <c r="F399" s="72" t="str" cm="1">
        <f t="array" ref="F399">VLOOKUP(B399,'Player Data'!A1:B673,2,FALSE)</f>
        <v>DET</v>
      </c>
      <c r="G399" s="66" cm="1">
        <f t="array" ref="G399">VLOOKUP(B399,'Player Data'!A1:D673,3,FALSE)</f>
        <v>33</v>
      </c>
      <c r="H399" s="51" cm="1">
        <f t="array" ref="H399">IFERROR(VLOOKUP(B399,ADP!A1:F671,6,FALSE)/1000000,VLOOKUP(B399,ADP!A1:F671,6,FALSE))</f>
        <v>5</v>
      </c>
      <c r="I399" s="52">
        <f>IF(Settings!$E$15="POINTS",((R399*Q399)*Settings!$B$12)+(S399*Settings!$B$2)+(T399*Settings!$B$3)+(U399*Settings!$B$4)+(V399*Settings!$B$5)+(X399*Settings!$B$9)+(AA399*Settings!$B$6)+(W399*Settings!$B$8)+(AB399*Settings!$B$7)+(AC399*Settings!$B$14)+(AD399*Settings!$B$15)+(AE399*Settings!$B$16)+(AF399*Settings!$B$17)+(AG399*Settings!$B$18)+(Y399*Settings!$B$10)+(Z399*Settings!$B$11),VLOOKUP(B399,'Standard Deviations'!A$1:C$672,3,FALSE))</f>
        <v>1.5717455871639181</v>
      </c>
      <c r="J399" s="53" cm="1">
        <f t="array" ref="J399">IF(D399="G",I399/AJ399,I399/Q399)</f>
        <v>2.1530761467998878E-2</v>
      </c>
      <c r="K399" s="52" cm="1">
        <f t="array" ref="K399">IF(Settings!$E$18="C/LW/RW",VLOOKUP(B399,RW!A1:F210,6,FALSE),VLOOKUP(B399,F!A1:F407,6,FALSE))</f>
        <v>-5.3154890146451592</v>
      </c>
      <c r="L399" s="54" cm="1">
        <f t="array" ref="L399">IFERROR(K399/H399,"N/A")</f>
        <v>-1.0630978029290319</v>
      </c>
      <c r="M399" s="84" t="s">
        <v>828</v>
      </c>
      <c r="N399" s="84" t="str" cm="1">
        <f t="array" ref="N399">IFERROR(M399-A399,"N/A")</f>
        <v>N/A</v>
      </c>
      <c r="O399" s="55"/>
      <c r="P399" s="56" cm="1">
        <f t="array" ref="P399">_xlfn.XLOOKUP($B399,ADP!A2:A671,ADP!G2:G671)</f>
        <v>0</v>
      </c>
      <c r="Q399" s="57" cm="1">
        <f t="array" ref="Q399">IF(Settings!$E$12="YES",VLOOKUP(B399,'Player Data'!A1:E673,5,FALSE),84)</f>
        <v>73</v>
      </c>
      <c r="R399" s="81" cm="1">
        <f t="array" ref="R399">VLOOKUP(B399,'Player Data'!$A1:$AE673,6,FALSE)</f>
        <v>15.8</v>
      </c>
      <c r="S399" s="57" cm="1">
        <f t="array" ref="S399">VLOOKUP(B399,'Player Data'!$A1:$AE673,7,FALSE)*$Q399*IFERROR((VLOOKUP(P399,Settings!$E$28:$F$33,2,FALSE)+1),1)</f>
        <v>23.36</v>
      </c>
      <c r="T399" s="57" cm="1">
        <f t="array" ref="T399">VLOOKUP(B399,'Player Data'!$A1:$AE673,8,FALSE)*$Q399*IFERROR((VLOOKUP(P399,Settings!$E$28:$F$33,2,FALSE)+1),1)</f>
        <v>27.009999999999998</v>
      </c>
      <c r="U399" s="57" cm="1">
        <f t="array" ref="U399">SUM(S399:T399)</f>
        <v>50.37</v>
      </c>
      <c r="V399" s="57" cm="1">
        <f t="array" ref="V399">VLOOKUP(B399,'Player Data'!$A1:$AE673,10,FALSE)*$Q399*IFERROR(((VLOOKUP(P399,Settings!$E$28:$F$33,2,FALSE)/2)+1),1)</f>
        <v>192.72</v>
      </c>
      <c r="W399" s="57" cm="1">
        <f t="array" ref="W399">VLOOKUP(B399,'Player Data'!$A1:$AE673,11,FALSE)*$Q399*IFERROR((VLOOKUP(P399,Settings!$E$28:$F$33,2,FALSE)+1),1)</f>
        <v>4.38</v>
      </c>
      <c r="X399" s="78" cm="1">
        <f t="array" ref="X399">VLOOKUP(B399,'Player Data'!$A1:$AE673,12,FALSE)*$Q399*IFERROR((VLOOKUP(P399,Settings!$E$28:$F$33,2,FALSE)+1),1)</f>
        <v>11.68</v>
      </c>
      <c r="Y399" s="57" cm="1">
        <f t="array" ref="Y399">VLOOKUP(B399,'Player Data'!$A1:$AE673,13,FALSE)*$Q399</f>
        <v>0</v>
      </c>
      <c r="Z399" s="57" cm="1">
        <f t="array" ref="Z399">VLOOKUP(B399,'Player Data'!$A1:$AE673,14,FALSE)*$Q399</f>
        <v>0</v>
      </c>
      <c r="AA399" s="57" cm="1">
        <f t="array" ref="AA399">VLOOKUP(B399,'Player Data'!$A1:$AE673,15,FALSE)*$Q399</f>
        <v>35.769999999999996</v>
      </c>
      <c r="AB399" s="57" cm="1">
        <f t="array" ref="AB399">VLOOKUP(B399,'Player Data'!$A1:$AE673,16,FALSE)*$Q399</f>
        <v>35.769999999999996</v>
      </c>
      <c r="AC399" s="57" cm="1">
        <f t="array" ref="AC399">VLOOKUP(B399,'Player Data'!$A1:$AE673,17,FALSE)*$Q399*IFERROR((VLOOKUP(P399,Settings!$E$28:$F$33,2,FALSE)+1),1)</f>
        <v>0</v>
      </c>
      <c r="AD399" s="57" cm="1">
        <f t="array" ref="AD399">VLOOKUP(B399,'Player Data'!$A1:$AE673,18,FALSE)*$Q399</f>
        <v>29.200000000000003</v>
      </c>
      <c r="AE399" s="57" cm="1">
        <f t="array" ref="AE399">VLOOKUP(B399,'Player Data'!$A1:$AE673,19,FALSE)*$Q399*IFERROR((VLOOKUP(P399,Settings!$E$28:$F$33,2,FALSE)+1),1)</f>
        <v>3.6500000000000004</v>
      </c>
      <c r="AF399" s="57" cm="1">
        <f t="array" ref="AF399">VLOOKUP(B399,'Player Data'!$A1:$AE673,20,FALSE)*$Q399</f>
        <v>10.220000000000001</v>
      </c>
      <c r="AG399" s="57" cm="1">
        <f t="array" ref="AG399">VLOOKUP(B399,'Player Data'!$A1:$AE673,21,FALSE)*$Q399</f>
        <v>13.870000000000001</v>
      </c>
      <c r="AH399" s="59" cm="1">
        <f t="array" ref="AH399">VLOOKUP(B399,'Player Data'!$A1:$AE673,22,FALSE)</f>
        <v>0.41</v>
      </c>
      <c r="AI399" s="55"/>
      <c r="AJ399" s="57"/>
      <c r="AK399" s="57"/>
      <c r="AL399" s="57"/>
      <c r="AM399" s="57"/>
      <c r="AN399" s="57"/>
      <c r="AO399" s="57"/>
      <c r="AP399" s="57"/>
      <c r="AQ399" s="60"/>
      <c r="AR399" s="61"/>
      <c r="AS399" s="55"/>
    </row>
    <row r="400" spans="1:45" ht="21.25" customHeight="1" x14ac:dyDescent="0.15">
      <c r="A400" s="62">
        <f>RANK(K400,K$2:K$671)</f>
        <v>375</v>
      </c>
      <c r="B400" s="10" t="s">
        <v>443</v>
      </c>
      <c r="C400" s="47" t="s">
        <v>145</v>
      </c>
      <c r="D400" s="48" t="str" cm="1">
        <f t="array" ref="D400">VLOOKUP(B400,'Player Data'!A1:D673,4,FALSE)</f>
        <v>LW,RW</v>
      </c>
      <c r="E400" s="74" cm="1">
        <f t="array" ref="E400">VLOOKUP(B400,RW!A1:F210,3,FALSE)</f>
        <v>84</v>
      </c>
      <c r="F400" s="56" t="str" cm="1">
        <f t="array" ref="F400">VLOOKUP(B400,'Player Data'!A1:B673,2,FALSE)</f>
        <v>PHI</v>
      </c>
      <c r="G400" s="71" cm="1">
        <f t="array" ref="G400">VLOOKUP(B400,'Player Data'!A1:D673,3,FALSE)</f>
        <v>24</v>
      </c>
      <c r="H400" s="51" cm="1">
        <f t="array" ref="H400">IFERROR(VLOOKUP(B400,ADP!A1:F671,6,FALSE)/1000000,VLOOKUP(B400,ADP!A1:F671,6,FALSE))</f>
        <v>3.75</v>
      </c>
      <c r="I400" s="52">
        <f>IF(Settings!$E$15="POINTS",((R400*Q400)*Settings!$B$12)+(S400*Settings!$B$2)+(T400*Settings!$B$3)+(U400*Settings!$B$4)+(V400*Settings!$B$5)+(X400*Settings!$B$9)+(AA400*Settings!$B$6)+(W400*Settings!$B$8)+(AB400*Settings!$B$7)+(AC400*Settings!$B$14)+(AD400*Settings!$B$15)+(AE400*Settings!$B$16)+(AF400*Settings!$B$17)+(AG400*Settings!$B$18)+(Y400*Settings!$B$10)+(Z400*Settings!$B$11),VLOOKUP(B400,'Standard Deviations'!A$1:C$672,3,FALSE))</f>
        <v>1.5627608533187733</v>
      </c>
      <c r="J400" s="53" cm="1">
        <f t="array" ref="J400">IF(D400="G",I400/AJ400,I400/Q400)</f>
        <v>2.1118389909713153E-2</v>
      </c>
      <c r="K400" s="52" cm="1">
        <f t="array" ref="K400">IF(Settings!$E$18="C/LW/RW",VLOOKUP(B400,RW!A1:F210,6,FALSE),VLOOKUP(B400,F!A1:F407,6,FALSE))</f>
        <v>-5.3244737484903037</v>
      </c>
      <c r="L400" s="54" cm="1">
        <f t="array" ref="L400">IFERROR(K400/H400,"N/A")</f>
        <v>-1.419859666264081</v>
      </c>
      <c r="M400" s="55">
        <v>132.69999999999999</v>
      </c>
      <c r="N400" s="55" cm="1">
        <f t="array" ref="N400">IFERROR(M400-A400,"N/A")</f>
        <v>-242.3</v>
      </c>
      <c r="O400" s="80"/>
      <c r="P400" s="56" t="str" cm="1">
        <f t="array" ref="P400">_xlfn.XLOOKUP($B400,ADP!A2:A671,ADP!G2:G671)</f>
        <v>+</v>
      </c>
      <c r="Q400" s="57" cm="1">
        <f t="array" ref="Q400">IF(Settings!$E$12="YES",VLOOKUP(B400,'Player Data'!A1:E673,5,FALSE),84)</f>
        <v>74</v>
      </c>
      <c r="R400" s="55" cm="1">
        <f t="array" ref="R400">VLOOKUP(B400,'Player Data'!$A1:$AE673,6,FALSE)</f>
        <v>17.399999999999999</v>
      </c>
      <c r="S400" s="57" cm="1">
        <f t="array" ref="S400">VLOOKUP(B400,'Player Data'!$A1:$AE673,7,FALSE)*$Q400*IFERROR((VLOOKUP(P400,Settings!$E$28:$F$33,2,FALSE)+1),1)</f>
        <v>25.641000000000002</v>
      </c>
      <c r="T400" s="57" cm="1">
        <f t="array" ref="T400">VLOOKUP(B400,'Player Data'!$A1:$AE673,8,FALSE)*$Q400*IFERROR((VLOOKUP(P400,Settings!$E$28:$F$33,2,FALSE)+1),1)</f>
        <v>18.648</v>
      </c>
      <c r="U400" s="57" cm="1">
        <f t="array" ref="U400">SUM(S400:T400)</f>
        <v>44.289000000000001</v>
      </c>
      <c r="V400" s="57" cm="1">
        <f t="array" ref="V400">VLOOKUP(B400,'Player Data'!$A1:$AE673,10,FALSE)*$Q400*IFERROR(((VLOOKUP(P400,Settings!$E$28:$F$33,2,FALSE)/2)+1),1)</f>
        <v>154.73400000000001</v>
      </c>
      <c r="W400" s="57" cm="1">
        <f t="array" ref="W400">VLOOKUP(B400,'Player Data'!$A1:$AE673,11,FALSE)*$Q400*IFERROR((VLOOKUP(P400,Settings!$E$28:$F$33,2,FALSE)+1),1)</f>
        <v>5.4390000000000009</v>
      </c>
      <c r="X400" s="57" cm="1">
        <f t="array" ref="X400">VLOOKUP(B400,'Player Data'!$A1:$AE673,12,FALSE)*$Q400*IFERROR((VLOOKUP(P400,Settings!$E$28:$F$33,2,FALSE)+1),1)</f>
        <v>9.3239999999999998</v>
      </c>
      <c r="Y400" s="57" cm="1">
        <f t="array" ref="Y400">VLOOKUP(B400,'Player Data'!$A1:$AE673,13,FALSE)*$Q400</f>
        <v>0.74</v>
      </c>
      <c r="Z400" s="57" cm="1">
        <f t="array" ref="Z400">VLOOKUP(B400,'Player Data'!$A1:$AE673,14,FALSE)*$Q400</f>
        <v>0.74</v>
      </c>
      <c r="AA400" s="57" cm="1">
        <f t="array" ref="AA400">VLOOKUP(B400,'Player Data'!$A1:$AE673,15,FALSE)*$Q400</f>
        <v>52.54</v>
      </c>
      <c r="AB400" s="57" cm="1">
        <f t="array" ref="AB400">VLOOKUP(B400,'Player Data'!$A1:$AE673,16,FALSE)*$Q400</f>
        <v>71.78</v>
      </c>
      <c r="AC400" s="57" cm="1">
        <f t="array" ref="AC400">VLOOKUP(B400,'Player Data'!$A1:$AE673,17,FALSE)*$Q400*IFERROR((VLOOKUP(P400,Settings!$E$28:$F$33,2,FALSE)+1),1)</f>
        <v>2.331</v>
      </c>
      <c r="AD400" s="57" cm="1">
        <f t="array" ref="AD400">VLOOKUP(B400,'Player Data'!$A1:$AE673,18,FALSE)*$Q400</f>
        <v>32.56</v>
      </c>
      <c r="AE400" s="57" cm="1">
        <f t="array" ref="AE400">VLOOKUP(B400,'Player Data'!$A1:$AE673,19,FALSE)*$Q400*IFERROR((VLOOKUP(P400,Settings!$E$28:$F$33,2,FALSE)+1),1)</f>
        <v>3.8850000000000002</v>
      </c>
      <c r="AF400" s="57" cm="1">
        <f t="array" ref="AF400">VLOOKUP(B400,'Player Data'!$A1:$AE673,20,FALSE)*$Q400</f>
        <v>0.74</v>
      </c>
      <c r="AG400" s="57" cm="1">
        <f t="array" ref="AG400">VLOOKUP(B400,'Player Data'!$A1:$AE673,21,FALSE)*$Q400</f>
        <v>2.96</v>
      </c>
      <c r="AH400" s="59" cm="1">
        <f t="array" ref="AH400">VLOOKUP(B400,'Player Data'!$A1:$AE673,22,FALSE)</f>
        <v>0.21</v>
      </c>
      <c r="AI400" s="55"/>
      <c r="AJ400" s="57"/>
      <c r="AK400" s="57"/>
      <c r="AL400" s="57"/>
      <c r="AM400" s="57"/>
      <c r="AN400" s="57"/>
      <c r="AO400" s="57"/>
      <c r="AP400" s="57"/>
      <c r="AQ400" s="60"/>
      <c r="AR400" s="61"/>
      <c r="AS400" s="55"/>
    </row>
    <row r="401" spans="1:45" ht="21.25" customHeight="1" x14ac:dyDescent="0.15">
      <c r="A401" s="62">
        <f>RANK(K401,K$2:K$671)</f>
        <v>422</v>
      </c>
      <c r="B401" s="10" t="s">
        <v>623</v>
      </c>
      <c r="C401" s="47" t="s">
        <v>145</v>
      </c>
      <c r="D401" s="48" t="str" cm="1">
        <f t="array" ref="D401">VLOOKUP(B401,'Player Data'!A1:D673,4,FALSE)</f>
        <v>D</v>
      </c>
      <c r="E401" s="68" cm="1">
        <f t="array" ref="E401">VLOOKUP(B401,D!A1:C204,3,FALSE)</f>
        <v>195</v>
      </c>
      <c r="F401" s="56" t="str" cm="1">
        <f t="array" ref="F401">VLOOKUP(B401,'Player Data'!A1:B673,2,FALSE)</f>
        <v>NYR</v>
      </c>
      <c r="G401" s="71" cm="1">
        <f t="array" ref="G401">VLOOKUP(B401,'Player Data'!A1:D673,3,FALSE)</f>
        <v>23</v>
      </c>
      <c r="H401" s="51" cm="1">
        <f t="array" ref="H401">IFERROR(VLOOKUP(B401,ADP!A1:F671,6,FALSE)/1000000,VLOOKUP(B401,ADP!A1:F671,6,FALSE))</f>
        <v>0.85</v>
      </c>
      <c r="I401" s="52">
        <f>IF(Settings!$E$15="POINTS",((R401*Q401)*Settings!$B$12)+(S401*Settings!$B$2)+(T401*Settings!$B$3)+(U401*Settings!$B$4)+(V401*Settings!$B$5)+(X401*Settings!$B$9)+(AA401*Settings!$B$6)+(W401*Settings!$B$8)+(AB401*Settings!$B$7)+(AC401*Settings!$B$14)+(AD401*Settings!$B$15)+(AE401*Settings!$B$16)+(AF401*Settings!$B$17)+(AG401*Settings!$B$18)+(U401*Settings!$B$13)+(Y401*Settings!$B$10)+(Z401*Settings!$B$11),VLOOKUP(B401,'Standard Deviations'!A$1:C$672,3,FALSE))</f>
        <v>-5.7058237436342276</v>
      </c>
      <c r="J401" s="53" cm="1">
        <f t="array" ref="J401">IF(D401="G",I401/AJ401,I401/Q401)</f>
        <v>-0.10188970970775406</v>
      </c>
      <c r="K401" s="52" cm="1">
        <f t="array" ref="K401">VLOOKUP(B401,D!A1:F204,6,FALSE)</f>
        <v>-6.2726746581517823</v>
      </c>
      <c r="L401" s="54" cm="1">
        <f t="array" ref="L401">IFERROR(K401/H401,"N/A")</f>
        <v>-7.3796172448844501</v>
      </c>
      <c r="M401" s="84" t="s">
        <v>828</v>
      </c>
      <c r="N401" s="84" t="str" cm="1">
        <f t="array" ref="N401">IFERROR(M401-A401,"N/A")</f>
        <v>N/A</v>
      </c>
      <c r="O401" s="82"/>
      <c r="P401" s="56" cm="1">
        <f t="array" ref="P401">_xlfn.XLOOKUP($B401,ADP!A2:A671,ADP!G2:G671)</f>
        <v>0</v>
      </c>
      <c r="Q401" s="57" cm="1">
        <f t="array" ref="Q401">IF(Settings!$E$12="YES",VLOOKUP(B401,'Player Data'!A1:E673,5,FALSE),84)</f>
        <v>56</v>
      </c>
      <c r="R401" s="55" cm="1">
        <f t="array" ref="R401">VLOOKUP(B401,'Player Data'!$A1:$AE673,6,FALSE)</f>
        <v>15.5</v>
      </c>
      <c r="S401" s="57" cm="1">
        <f t="array" ref="S401">VLOOKUP(B401,'Player Data'!$A1:$AE673,7,FALSE)*$Q401*IFERROR((VLOOKUP(P401,Settings!$E$28:$F$33,2,FALSE)+1),1)</f>
        <v>1.68</v>
      </c>
      <c r="T401" s="57" cm="1">
        <f t="array" ref="T401">VLOOKUP(B401,'Player Data'!$A1:$AE673,8,FALSE)*$Q401*IFERROR((VLOOKUP(P401,Settings!$E$28:$F$33,2,FALSE)+1),1)</f>
        <v>7.8400000000000007</v>
      </c>
      <c r="U401" s="57" cm="1">
        <f t="array" ref="U401">SUM(S401:T401)</f>
        <v>9.5200000000000014</v>
      </c>
      <c r="V401" s="57" cm="1">
        <f t="array" ref="V401">VLOOKUP(B401,'Player Data'!$A1:$AE673,10,FALSE)*$Q401*IFERROR(((VLOOKUP(P401,Settings!$E$28:$F$33,2,FALSE)/2)+1),1)</f>
        <v>42</v>
      </c>
      <c r="W401" s="57" cm="1">
        <f t="array" ref="W401">VLOOKUP(B401,'Player Data'!$A1:$AE673,11,FALSE)*$Q401*IFERROR((VLOOKUP(P401,Settings!$E$28:$F$33,2,FALSE)+1),1)</f>
        <v>0</v>
      </c>
      <c r="X401" s="57" cm="1">
        <f t="array" ref="X401">VLOOKUP(B401,'Player Data'!$A1:$AE673,12,FALSE)*$Q401*IFERROR((VLOOKUP(P401,Settings!$E$28:$F$33,2,FALSE)+1),1)</f>
        <v>0</v>
      </c>
      <c r="Y401" s="57" cm="1">
        <f t="array" ref="Y401">VLOOKUP(B401,'Player Data'!$A1:$AE673,13,FALSE)*$Q401</f>
        <v>0</v>
      </c>
      <c r="Z401" s="57" cm="1">
        <f t="array" ref="Z401">VLOOKUP(B401,'Player Data'!$A1:$AE673,14,FALSE)*$Q401</f>
        <v>0</v>
      </c>
      <c r="AA401" s="57" cm="1">
        <f t="array" ref="AA401">VLOOKUP(B401,'Player Data'!$A1:$AE673,15,FALSE)*$Q401</f>
        <v>70.56</v>
      </c>
      <c r="AB401" s="57" cm="1">
        <f t="array" ref="AB401">VLOOKUP(B401,'Player Data'!$A1:$AE673,16,FALSE)*$Q401</f>
        <v>48.16</v>
      </c>
      <c r="AC401" s="57" cm="1">
        <f t="array" ref="AC401">VLOOKUP(B401,'Player Data'!$A1:$AE673,17,FALSE)*$Q401*IFERROR((VLOOKUP(P401,Settings!$E$28:$F$33,2,FALSE)+1),1)</f>
        <v>-1.1200000000000001</v>
      </c>
      <c r="AD401" s="57" cm="1">
        <f t="array" ref="AD401">VLOOKUP(B401,'Player Data'!$A1:$AE673,18,FALSE)*$Q401</f>
        <v>21.28</v>
      </c>
      <c r="AE401" s="57" cm="1">
        <f t="array" ref="AE401">VLOOKUP(B401,'Player Data'!$A1:$AE673,19,FALSE)*$Q401*IFERROR((VLOOKUP(P401,Settings!$E$28:$F$33,2,FALSE)+1),1)</f>
        <v>0</v>
      </c>
      <c r="AF401" s="57" cm="1">
        <f t="array" ref="AF401">VLOOKUP(B401,'Player Data'!$A1:$AE673,20,FALSE)*$Q401</f>
        <v>0</v>
      </c>
      <c r="AG401" s="57" cm="1">
        <f t="array" ref="AG401">VLOOKUP(B401,'Player Data'!$A1:$AE673,21,FALSE)*$Q401</f>
        <v>0</v>
      </c>
      <c r="AH401" s="59" cm="1">
        <f t="array" ref="AH401">VLOOKUP(B401,'Player Data'!$A1:$AE673,22,FALSE)</f>
        <v>0</v>
      </c>
      <c r="AI401" s="55"/>
      <c r="AJ401" s="57"/>
      <c r="AK401" s="57"/>
      <c r="AL401" s="57"/>
      <c r="AM401" s="57"/>
      <c r="AN401" s="57"/>
      <c r="AO401" s="57"/>
      <c r="AP401" s="57"/>
      <c r="AQ401" s="60"/>
      <c r="AR401" s="61"/>
      <c r="AS401" s="55"/>
    </row>
    <row r="402" spans="1:45" ht="21.25" customHeight="1" x14ac:dyDescent="0.15">
      <c r="A402" s="62">
        <f>RANK(K402,K$2:K$671)</f>
        <v>424</v>
      </c>
      <c r="B402" s="10" t="s">
        <v>590</v>
      </c>
      <c r="C402" s="47" t="s">
        <v>145</v>
      </c>
      <c r="D402" s="48" t="str" cm="1">
        <f t="array" ref="D402">VLOOKUP(B402,'Player Data'!A1:D673,4,FALSE)</f>
        <v>D</v>
      </c>
      <c r="E402" s="68" cm="1">
        <f t="array" ref="E402">VLOOKUP(B402,D!A1:C204,3,FALSE)</f>
        <v>196</v>
      </c>
      <c r="F402" s="72" t="str" cm="1">
        <f t="array" ref="F402">VLOOKUP(B402,'Player Data'!A1:B673,2,FALSE)</f>
        <v>NYI</v>
      </c>
      <c r="G402" s="66" cm="1">
        <f t="array" ref="G402">VLOOKUP(B402,'Player Data'!A1:D673,3,FALSE)</f>
        <v>33</v>
      </c>
      <c r="H402" s="51" cm="1">
        <f t="array" ref="H402">IFERROR(VLOOKUP(B402,ADP!A1:F671,6,FALSE)/1000000,VLOOKUP(B402,ADP!A1:F671,6,FALSE))</f>
        <v>3.5</v>
      </c>
      <c r="I402" s="52">
        <f>IF(Settings!$E$15="POINTS",((R402*Q402)*Settings!$B$12)+(S402*Settings!$B$2)+(T402*Settings!$B$3)+(U402*Settings!$B$4)+(V402*Settings!$B$5)+(X402*Settings!$B$9)+(AA402*Settings!$B$6)+(W402*Settings!$B$8)+(AB402*Settings!$B$7)+(AC402*Settings!$B$14)+(AD402*Settings!$B$15)+(AE402*Settings!$B$16)+(AF402*Settings!$B$17)+(AG402*Settings!$B$18)+(U402*Settings!$B$13)+(Y402*Settings!$B$10)+(Z402*Settings!$B$11),VLOOKUP(B402,'Standard Deviations'!A$1:C$672,3,FALSE))</f>
        <v>-5.7111440751327702</v>
      </c>
      <c r="J402" s="53" cm="1">
        <f t="array" ref="J402">IF(D402="G",I402/AJ402,I402/Q402)</f>
        <v>-7.4170702274451564E-2</v>
      </c>
      <c r="K402" s="52" cm="1">
        <f t="array" ref="K402">VLOOKUP(B402,D!A1:F204,6,FALSE)</f>
        <v>-6.2779949896503249</v>
      </c>
      <c r="L402" s="54" cm="1">
        <f t="array" ref="L402">IFERROR(K402/H402,"N/A")</f>
        <v>-1.7937128541858072</v>
      </c>
      <c r="M402" s="84" t="s">
        <v>828</v>
      </c>
      <c r="N402" s="84" t="str" cm="1">
        <f t="array" ref="N402">IFERROR(M402-A402,"N/A")</f>
        <v>N/A</v>
      </c>
      <c r="O402" s="55"/>
      <c r="P402" s="56" cm="1">
        <f t="array" ref="P402">_xlfn.XLOOKUP($B402,ADP!A2:A671,ADP!G2:G671)</f>
        <v>0</v>
      </c>
      <c r="Q402" s="57" cm="1">
        <f t="array" ref="Q402">IF(Settings!$E$12="YES",VLOOKUP(B402,'Player Data'!A1:E673,5,FALSE),84)</f>
        <v>77</v>
      </c>
      <c r="R402" s="55" cm="1">
        <f t="array" ref="R402">VLOOKUP(B402,'Player Data'!$A1:$AE673,6,FALSE)</f>
        <v>16.5</v>
      </c>
      <c r="S402" s="57" cm="1">
        <f t="array" ref="S402">VLOOKUP(B402,'Player Data'!$A1:$AE673,7,FALSE)*$Q402*IFERROR((VLOOKUP(P402,Settings!$E$28:$F$33,2,FALSE)+1),1)</f>
        <v>0.77</v>
      </c>
      <c r="T402" s="57" cm="1">
        <f t="array" ref="T402">VLOOKUP(B402,'Player Data'!$A1:$AE673,8,FALSE)*$Q402*IFERROR((VLOOKUP(P402,Settings!$E$28:$F$33,2,FALSE)+1),1)</f>
        <v>8.4700000000000006</v>
      </c>
      <c r="U402" s="57" cm="1">
        <f t="array" ref="U402">SUM(S402:T402)</f>
        <v>9.24</v>
      </c>
      <c r="V402" s="57" cm="1">
        <f t="array" ref="V402">VLOOKUP(B402,'Player Data'!$A1:$AE673,10,FALSE)*$Q402*IFERROR(((VLOOKUP(P402,Settings!$E$28:$F$33,2,FALSE)/2)+1),1)</f>
        <v>47.74</v>
      </c>
      <c r="W402" s="57" cm="1">
        <f t="array" ref="W402">VLOOKUP(B402,'Player Data'!$A1:$AE673,11,FALSE)*$Q402*IFERROR((VLOOKUP(P402,Settings!$E$28:$F$33,2,FALSE)+1),1)</f>
        <v>0</v>
      </c>
      <c r="X402" s="57" cm="1">
        <f t="array" ref="X402">VLOOKUP(B402,'Player Data'!$A1:$AE673,12,FALSE)*$Q402*IFERROR((VLOOKUP(P402,Settings!$E$28:$F$33,2,FALSE)+1),1)</f>
        <v>0</v>
      </c>
      <c r="Y402" s="57" cm="1">
        <f t="array" ref="Y402">VLOOKUP(B402,'Player Data'!$A1:$AE673,13,FALSE)*$Q402</f>
        <v>0</v>
      </c>
      <c r="Z402" s="57" cm="1">
        <f t="array" ref="Z402">VLOOKUP(B402,'Player Data'!$A1:$AE673,14,FALSE)*$Q402</f>
        <v>0</v>
      </c>
      <c r="AA402" s="57" cm="1">
        <f t="array" ref="AA402">VLOOKUP(B402,'Player Data'!$A1:$AE673,15,FALSE)*$Q402</f>
        <v>93.94</v>
      </c>
      <c r="AB402" s="57" cm="1">
        <f t="array" ref="AB402">VLOOKUP(B402,'Player Data'!$A1:$AE673,16,FALSE)*$Q402</f>
        <v>82.39</v>
      </c>
      <c r="AC402" s="57" cm="1">
        <f t="array" ref="AC402">VLOOKUP(B402,'Player Data'!$A1:$AE673,17,FALSE)*$Q402*IFERROR((VLOOKUP(P402,Settings!$E$28:$F$33,2,FALSE)+1),1)</f>
        <v>-4.62</v>
      </c>
      <c r="AD402" s="57" cm="1">
        <f t="array" ref="AD402">VLOOKUP(B402,'Player Data'!$A1:$AE673,18,FALSE)*$Q402</f>
        <v>46.199999999999996</v>
      </c>
      <c r="AE402" s="57" cm="1">
        <f t="array" ref="AE402">VLOOKUP(B402,'Player Data'!$A1:$AE673,19,FALSE)*$Q402*IFERROR((VLOOKUP(P402,Settings!$E$28:$F$33,2,FALSE)+1),1)</f>
        <v>0</v>
      </c>
      <c r="AF402" s="57" cm="1">
        <f t="array" ref="AF402">VLOOKUP(B402,'Player Data'!$A1:$AE673,20,FALSE)*$Q402</f>
        <v>0</v>
      </c>
      <c r="AG402" s="57" cm="1">
        <f t="array" ref="AG402">VLOOKUP(B402,'Player Data'!$A1:$AE673,21,FALSE)*$Q402</f>
        <v>0</v>
      </c>
      <c r="AH402" s="59" cm="1">
        <f t="array" ref="AH402">VLOOKUP(B402,'Player Data'!$A1:$AE673,22,FALSE)</f>
        <v>0</v>
      </c>
      <c r="AI402" s="55"/>
      <c r="AJ402" s="57"/>
      <c r="AK402" s="57"/>
      <c r="AL402" s="57"/>
      <c r="AM402" s="57"/>
      <c r="AN402" s="57"/>
      <c r="AO402" s="57"/>
      <c r="AP402" s="57"/>
      <c r="AQ402" s="60"/>
      <c r="AR402" s="61"/>
      <c r="AS402" s="55"/>
    </row>
    <row r="403" spans="1:45" ht="21.25" customHeight="1" x14ac:dyDescent="0.15">
      <c r="A403" s="62">
        <f>RANK(K403,K$2:K$671)</f>
        <v>412</v>
      </c>
      <c r="B403" s="10" t="s">
        <v>502</v>
      </c>
      <c r="C403" s="47" t="s">
        <v>145</v>
      </c>
      <c r="D403" s="48" t="str" cm="1">
        <f t="array" ref="D403">VLOOKUP(B403,'Player Data'!A1:D673,4,FALSE)</f>
        <v>G</v>
      </c>
      <c r="E403" s="76" cm="1">
        <f t="array" ref="E403">VLOOKUP(B403,G!A1:D66,3,FALSE)</f>
        <v>58</v>
      </c>
      <c r="F403" s="18" t="str" cm="1">
        <f t="array" ref="F403">VLOOKUP(B403,'Player Data'!A1:B673,2,FALSE)</f>
        <v>SEA</v>
      </c>
      <c r="G403" s="66" cm="1">
        <f t="array" ref="G403">VLOOKUP(B403,'Player Data'!A1:D673,3,FALSE)</f>
        <v>34</v>
      </c>
      <c r="H403" s="67" cm="1">
        <f t="array" ref="H403">IFERROR(VLOOKUP(B403,ADP!A1:F671,6,FALSE)/1000000,VLOOKUP(B403,ADP!A1:F671,6,FALSE))</f>
        <v>5.9</v>
      </c>
      <c r="I403" s="52">
        <f>IF(Settings!$E$15="POINTS",(AJ403*Settings!$B$29)+(AK403*Settings!$B$21)+(AL403*Settings!$B$22)+(AN403*Settings!$B$24)+(AO403*Settings!$B$25)+(AP403*Settings!$B$27)+(AM403*Settings!$B$23),VLOOKUP(B403,'Standard Deviations'!A$1:C$672,3,FALSE))</f>
        <v>-4.0523464725260023</v>
      </c>
      <c r="J403" s="53" cm="1">
        <f t="array" ref="J403">IF(D403="G",I403/AJ403,I403/Q403)</f>
        <v>-0.11578132778645721</v>
      </c>
      <c r="K403" s="52" cm="1">
        <f t="array" ref="K403">VLOOKUP(B403,G!A1:F66,6,FALSE)</f>
        <v>-6.0905317316496772</v>
      </c>
      <c r="L403" s="54" cm="1">
        <f t="array" ref="L403">IFERROR(K403/H403,"N/A")</f>
        <v>-1.0322935138389282</v>
      </c>
      <c r="M403" s="84" t="s">
        <v>828</v>
      </c>
      <c r="N403" s="84" t="str" cm="1">
        <f t="array" ref="N403">IFERROR(M403-A403,"N/A")</f>
        <v>N/A</v>
      </c>
      <c r="O403" s="55"/>
      <c r="P403" s="56" cm="1">
        <f t="array" ref="P403">_xlfn.XLOOKUP($B403,ADP!A2:A671,ADP!G2:G671)</f>
        <v>0</v>
      </c>
      <c r="Q403" s="57"/>
      <c r="R403" s="55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9"/>
      <c r="AI403" s="55"/>
      <c r="AJ403" s="77" cm="1">
        <f t="array" ref="AJ403">VLOOKUP(B403,'Player Data'!$A1:$AE673,24,FALSE)</f>
        <v>35</v>
      </c>
      <c r="AK403" s="57" cm="1">
        <f t="array" ref="AK403">VLOOKUP(B403,'Player Data'!$A1:$AE673,25,FALSE)*$AJ403*IFERROR((VLOOKUP(P403,Settings!$E$28:$F$33,2,FALSE)+1),1)</f>
        <v>13.3</v>
      </c>
      <c r="AL403" s="57" cm="1">
        <f t="array" ref="AL403">AJ403-AK403-AM403</f>
        <v>16.099999999999998</v>
      </c>
      <c r="AM403" s="57" cm="1">
        <f t="array" ref="AM403">VLOOKUP(B403,'Player Data'!$A1:$AE673,27,FALSE)*$AJ403</f>
        <v>5.6000000000000005</v>
      </c>
      <c r="AN403" s="57" cm="1">
        <f t="array" ref="AN403">VLOOKUP(B403,'Player Data'!$A1:$AE673,28,FALSE)*AJ403</f>
        <v>1.05</v>
      </c>
      <c r="AO403" s="57" cm="1">
        <f t="array" ref="AO403">VLOOKUP(B403,'Player Data'!$A1:$AE673,29,FALSE)*$AJ403*IFERROR((VLOOKUP(P403,Settings!$E$28:$F$33,2,FALSE)/4)+1,1)</f>
        <v>945</v>
      </c>
      <c r="AP403" s="57" cm="1">
        <f t="array" ref="AP403">VLOOKUP(B403,'Player Data'!$A1:$AE673,31,FALSE)*$AJ403*(IFERROR(1-(VLOOKUP(P403,Settings!$E$28:$F$33,2,FALSE)/4),1))</f>
        <v>108.85</v>
      </c>
      <c r="AQ403" s="60" cm="1">
        <f t="array" ref="AQ403">1-(AP403/(AO403+AP403))</f>
        <v>0.8967120557954168</v>
      </c>
      <c r="AR403" s="61" cm="1">
        <f t="array" ref="AR403">AP403/AJ403</f>
        <v>3.11</v>
      </c>
      <c r="AS403" s="55"/>
    </row>
    <row r="404" spans="1:45" ht="21.25" customHeight="1" x14ac:dyDescent="0.15">
      <c r="A404" s="62">
        <f>RANK(K404,K$2:K$671)</f>
        <v>378</v>
      </c>
      <c r="B404" s="10" t="s">
        <v>528</v>
      </c>
      <c r="C404" s="47" t="s">
        <v>145</v>
      </c>
      <c r="D404" s="48" t="str" cm="1">
        <f t="array" ref="D404">VLOOKUP(B404,'Player Data'!A1:D673,4,FALSE)</f>
        <v>LW,RW</v>
      </c>
      <c r="E404" s="74" cm="1">
        <f t="array" ref="E404">VLOOKUP(B404,RW!A1:F210,3,FALSE)</f>
        <v>85</v>
      </c>
      <c r="F404" s="65" t="str" cm="1">
        <f t="array" ref="F404">VLOOKUP(B404,'Player Data'!A1:B673,2,FALSE)</f>
        <v>STL</v>
      </c>
      <c r="G404" s="71" cm="1">
        <f t="array" ref="G404">VLOOKUP(B404,'Player Data'!A1:D673,3,FALSE)</f>
        <v>24</v>
      </c>
      <c r="H404" s="67" cm="1">
        <f t="array" ref="H404">IFERROR(VLOOKUP(B404,ADP!A1:F671,6,FALSE)/1000000,VLOOKUP(B404,ADP!A1:F671,6,FALSE))</f>
        <v>3.75</v>
      </c>
      <c r="I404" s="52">
        <f>IF(Settings!$E$15="POINTS",((R404*Q404)*Settings!$B$12)+(S404*Settings!$B$2)+(T404*Settings!$B$3)+(U404*Settings!$B$4)+(V404*Settings!$B$5)+(X404*Settings!$B$9)+(AA404*Settings!$B$6)+(W404*Settings!$B$8)+(AB404*Settings!$B$7)+(AC404*Settings!$B$14)+(AD404*Settings!$B$15)+(AE404*Settings!$B$16)+(AF404*Settings!$B$17)+(AG404*Settings!$B$18)+(Y404*Settings!$B$10)+(Z404*Settings!$B$11),VLOOKUP(B404,'Standard Deviations'!A$1:C$672,3,FALSE))</f>
        <v>1.5012186707405824</v>
      </c>
      <c r="J404" s="53" cm="1">
        <f t="array" ref="J404">IF(D404="G",I404/AJ404,I404/Q404)</f>
        <v>1.8533563836303484E-2</v>
      </c>
      <c r="K404" s="52" cm="1">
        <f t="array" ref="K404">IF(Settings!$E$18="C/LW/RW",VLOOKUP(B404,RW!A1:F210,6,FALSE),VLOOKUP(B404,F!A1:F407,6,FALSE))</f>
        <v>-5.3860159310684956</v>
      </c>
      <c r="L404" s="54" cm="1">
        <f t="array" ref="L404">IFERROR(K404/H404,"N/A")</f>
        <v>-1.4362709149515989</v>
      </c>
      <c r="M404" s="55">
        <v>128.9</v>
      </c>
      <c r="N404" s="55" cm="1">
        <f t="array" ref="N404">IFERROR(M404-A404,"N/A")</f>
        <v>-249.1</v>
      </c>
      <c r="O404" s="55"/>
      <c r="P404" s="56" cm="1">
        <f t="array" ref="P404">_xlfn.XLOOKUP($B404,ADP!A2:A671,ADP!G2:G671)</f>
        <v>0</v>
      </c>
      <c r="Q404" s="57" cm="1">
        <f t="array" ref="Q404">IF(Settings!$E$12="YES",VLOOKUP(B404,'Player Data'!A1:E673,5,FALSE),84)</f>
        <v>81</v>
      </c>
      <c r="R404" s="55" cm="1">
        <f t="array" ref="R404">VLOOKUP(B404,'Player Data'!$A1:$AE673,6,FALSE)</f>
        <v>14.5</v>
      </c>
      <c r="S404" s="57" cm="1">
        <f t="array" ref="S404">VLOOKUP(B404,'Player Data'!$A1:$AE673,7,FALSE)*$Q404*IFERROR((VLOOKUP(P404,Settings!$E$28:$F$33,2,FALSE)+1),1)</f>
        <v>19.439999999999998</v>
      </c>
      <c r="T404" s="57" cm="1">
        <f t="array" ref="T404">VLOOKUP(B404,'Player Data'!$A1:$AE673,8,FALSE)*$Q404*IFERROR((VLOOKUP(P404,Settings!$E$28:$F$33,2,FALSE)+1),1)</f>
        <v>22.680000000000003</v>
      </c>
      <c r="U404" s="57" cm="1">
        <f t="array" ref="U404">SUM(S404:T404)</f>
        <v>42.120000000000005</v>
      </c>
      <c r="V404" s="57" cm="1">
        <f t="array" ref="V404">VLOOKUP(B404,'Player Data'!$A1:$AE673,10,FALSE)*$Q404*IFERROR(((VLOOKUP(P404,Settings!$E$28:$F$33,2,FALSE)/2)+1),1)</f>
        <v>109.35000000000001</v>
      </c>
      <c r="W404" s="57" cm="1">
        <f t="array" ref="W404">VLOOKUP(B404,'Player Data'!$A1:$AE673,11,FALSE)*$Q404*IFERROR((VLOOKUP(P404,Settings!$E$28:$F$33,2,FALSE)+1),1)</f>
        <v>3.24</v>
      </c>
      <c r="X404" s="57" cm="1">
        <f t="array" ref="X404">VLOOKUP(B404,'Player Data'!$A1:$AE673,12,FALSE)*$Q404*IFERROR((VLOOKUP(P404,Settings!$E$28:$F$33,2,FALSE)+1),1)</f>
        <v>9.7199999999999989</v>
      </c>
      <c r="Y404" s="57" cm="1">
        <f t="array" ref="Y404">VLOOKUP(B404,'Player Data'!$A1:$AE673,13,FALSE)*$Q404</f>
        <v>0</v>
      </c>
      <c r="Z404" s="57" cm="1">
        <f t="array" ref="Z404">VLOOKUP(B404,'Player Data'!$A1:$AE673,14,FALSE)*$Q404</f>
        <v>0</v>
      </c>
      <c r="AA404" s="57" cm="1">
        <f t="array" ref="AA404">VLOOKUP(B404,'Player Data'!$A1:$AE673,15,FALSE)*$Q404</f>
        <v>43.74</v>
      </c>
      <c r="AB404" s="57" cm="1">
        <f t="array" ref="AB404">VLOOKUP(B404,'Player Data'!$A1:$AE673,16,FALSE)*$Q404</f>
        <v>154.70999999999998</v>
      </c>
      <c r="AC404" s="57" cm="1">
        <f t="array" ref="AC404">VLOOKUP(B404,'Player Data'!$A1:$AE673,17,FALSE)*$Q404*IFERROR((VLOOKUP(P404,Settings!$E$28:$F$33,2,FALSE)+1),1)</f>
        <v>-0.81</v>
      </c>
      <c r="AD404" s="57" cm="1">
        <f t="array" ref="AD404">VLOOKUP(B404,'Player Data'!$A1:$AE673,18,FALSE)*$Q404</f>
        <v>38.879999999999995</v>
      </c>
      <c r="AE404" s="57" cm="1">
        <f t="array" ref="AE404">VLOOKUP(B404,'Player Data'!$A1:$AE673,19,FALSE)*$Q404*IFERROR((VLOOKUP(P404,Settings!$E$28:$F$33,2,FALSE)+1),1)</f>
        <v>2.4299999999999997</v>
      </c>
      <c r="AF404" s="57" cm="1">
        <f t="array" ref="AF404">VLOOKUP(B404,'Player Data'!$A1:$AE673,20,FALSE)*$Q404</f>
        <v>7.29</v>
      </c>
      <c r="AG404" s="57" cm="1">
        <f t="array" ref="AG404">VLOOKUP(B404,'Player Data'!$A1:$AE673,21,FALSE)*$Q404</f>
        <v>15.39</v>
      </c>
      <c r="AH404" s="59" cm="1">
        <f t="array" ref="AH404">VLOOKUP(B404,'Player Data'!$A1:$AE673,22,FALSE)</f>
        <v>0.32</v>
      </c>
      <c r="AI404" s="55"/>
      <c r="AJ404" s="57"/>
      <c r="AK404" s="57"/>
      <c r="AL404" s="57"/>
      <c r="AM404" s="57"/>
      <c r="AN404" s="57"/>
      <c r="AO404" s="57"/>
      <c r="AP404" s="57"/>
      <c r="AQ404" s="60"/>
      <c r="AR404" s="61"/>
      <c r="AS404" s="55"/>
    </row>
    <row r="405" spans="1:45" ht="21.25" customHeight="1" x14ac:dyDescent="0.15">
      <c r="A405" s="62">
        <f>RANK(K405,K$2:K$671)</f>
        <v>381</v>
      </c>
      <c r="B405" s="10" t="s">
        <v>511</v>
      </c>
      <c r="C405" s="47" t="s">
        <v>145</v>
      </c>
      <c r="D405" s="48" t="str" cm="1">
        <f t="array" ref="D405">VLOOKUP(B405,'Player Data'!A1:D673,4,FALSE)</f>
        <v>LW</v>
      </c>
      <c r="E405" s="75" cm="1">
        <f t="array" ref="E405">VLOOKUP(B405,LW!A1:C210,3,FALSE)</f>
        <v>82</v>
      </c>
      <c r="F405" s="65" t="str" cm="1">
        <f t="array" ref="F405">VLOOKUP(B405,'Player Data'!A1:B673,2,FALSE)</f>
        <v>CAR</v>
      </c>
      <c r="G405" s="66" cm="1">
        <f t="array" ref="G405">VLOOKUP(B405,'Player Data'!A1:D673,3,FALSE)</f>
        <v>34</v>
      </c>
      <c r="H405" s="51" cm="1">
        <f t="array" ref="H405">IFERROR(VLOOKUP(B405,ADP!A1:F671,6,FALSE)/1000000,VLOOKUP(B405,ADP!A1:F671,6,FALSE))</f>
        <v>3.1659999999999999</v>
      </c>
      <c r="I405" s="52">
        <f>IF(Settings!$E$15="POINTS",((R405*Q405)*Settings!$B$12)+(S405*Settings!$B$2)+(T405*Settings!$B$3)+(U405*Settings!$B$4)+(V405*Settings!$B$5)+(X405*Settings!$B$9)+(AA405*Settings!$B$6)+(W405*Settings!$B$8)+(AB405*Settings!$B$7)+(AC405*Settings!$B$14)+(AD405*Settings!$B$15)+(AE405*Settings!$B$16)+(AF405*Settings!$B$17)+(AG405*Settings!$B$18)+(Y405*Settings!$B$10)+(Z405*Settings!$B$11),VLOOKUP(B405,'Standard Deviations'!A$1:C$672,3,FALSE))</f>
        <v>1.4364954754847701</v>
      </c>
      <c r="J405" s="53" cm="1">
        <f t="array" ref="J405">IF(D405="G",I405/AJ405,I405/Q405)</f>
        <v>1.8901256256378552E-2</v>
      </c>
      <c r="K405" s="52" cm="1">
        <f t="array" ref="K405">IF(Settings!$E$18="C/LW/RW",VLOOKUP(B405,LW!A1:F210,6,FALSE),VLOOKUP(B405,F!A1:F407,6,FALSE))</f>
        <v>-5.4578901689050401</v>
      </c>
      <c r="L405" s="54" cm="1">
        <f t="array" ref="L405">IFERROR(K405/H405,"N/A")</f>
        <v>-1.7239071916945801</v>
      </c>
      <c r="M405" s="84" t="s">
        <v>828</v>
      </c>
      <c r="N405" s="84" t="str" cm="1">
        <f t="array" ref="N405">IFERROR(M405-A405,"N/A")</f>
        <v>N/A</v>
      </c>
      <c r="O405" s="55"/>
      <c r="P405" s="56" cm="1">
        <f t="array" ref="P405">_xlfn.XLOOKUP($B405,ADP!A2:A671,ADP!G2:G671)</f>
        <v>0</v>
      </c>
      <c r="Q405" s="57" cm="1">
        <f t="array" ref="Q405">IF(Settings!$E$12="YES",VLOOKUP(B405,'Player Data'!A1:E673,5,FALSE),84)</f>
        <v>76</v>
      </c>
      <c r="R405" s="81" cm="1">
        <f t="array" ref="R405">VLOOKUP(B405,'Player Data'!$A1:$AE673,6,FALSE)</f>
        <v>15.6</v>
      </c>
      <c r="S405" s="57" cm="1">
        <f t="array" ref="S405">VLOOKUP(B405,'Player Data'!$A1:$AE673,7,FALSE)*$Q405*IFERROR((VLOOKUP(P405,Settings!$E$28:$F$33,2,FALSE)+1),1)</f>
        <v>17.48</v>
      </c>
      <c r="T405" s="57" cm="1">
        <f t="array" ref="T405">VLOOKUP(B405,'Player Data'!$A1:$AE673,8,FALSE)*$Q405*IFERROR((VLOOKUP(P405,Settings!$E$28:$F$33,2,FALSE)+1),1)</f>
        <v>25.840000000000003</v>
      </c>
      <c r="U405" s="57" cm="1">
        <f t="array" ref="U405">SUM(S405:T405)</f>
        <v>43.320000000000007</v>
      </c>
      <c r="V405" s="57" cm="1">
        <f t="array" ref="V405">VLOOKUP(B405,'Player Data'!$A1:$AE673,10,FALSE)*$Q405*IFERROR(((VLOOKUP(P405,Settings!$E$28:$F$33,2,FALSE)/2)+1),1)</f>
        <v>139.84</v>
      </c>
      <c r="W405" s="57" cm="1">
        <f t="array" ref="W405">VLOOKUP(B405,'Player Data'!$A1:$AE673,11,FALSE)*$Q405*IFERROR((VLOOKUP(P405,Settings!$E$28:$F$33,2,FALSE)+1),1)</f>
        <v>3.04</v>
      </c>
      <c r="X405" s="57" cm="1">
        <f t="array" ref="X405">VLOOKUP(B405,'Player Data'!$A1:$AE673,12,FALSE)*$Q405*IFERROR((VLOOKUP(P405,Settings!$E$28:$F$33,2,FALSE)+1),1)</f>
        <v>7.6000000000000005</v>
      </c>
      <c r="Y405" s="57" cm="1">
        <f t="array" ref="Y405">VLOOKUP(B405,'Player Data'!$A1:$AE673,13,FALSE)*$Q405</f>
        <v>0</v>
      </c>
      <c r="Z405" s="57" cm="1">
        <f t="array" ref="Z405">VLOOKUP(B405,'Player Data'!$A1:$AE673,14,FALSE)*$Q405</f>
        <v>0</v>
      </c>
      <c r="AA405" s="57" cm="1">
        <f t="array" ref="AA405">VLOOKUP(B405,'Player Data'!$A1:$AE673,15,FALSE)*$Q405</f>
        <v>34.200000000000003</v>
      </c>
      <c r="AB405" s="57" cm="1">
        <f t="array" ref="AB405">VLOOKUP(B405,'Player Data'!$A1:$AE673,16,FALSE)*$Q405</f>
        <v>53.959999999999994</v>
      </c>
      <c r="AC405" s="57" cm="1">
        <f t="array" ref="AC405">VLOOKUP(B405,'Player Data'!$A1:$AE673,17,FALSE)*$Q405*IFERROR((VLOOKUP(P405,Settings!$E$28:$F$33,2,FALSE)+1),1)</f>
        <v>6.84</v>
      </c>
      <c r="AD405" s="57" cm="1">
        <f t="array" ref="AD405">VLOOKUP(B405,'Player Data'!$A1:$AE673,18,FALSE)*$Q405</f>
        <v>33.44</v>
      </c>
      <c r="AE405" s="57" cm="1">
        <f t="array" ref="AE405">VLOOKUP(B405,'Player Data'!$A1:$AE673,19,FALSE)*$Q405*IFERROR((VLOOKUP(P405,Settings!$E$28:$F$33,2,FALSE)+1),1)</f>
        <v>3.04</v>
      </c>
      <c r="AF405" s="57" cm="1">
        <f t="array" ref="AF405">VLOOKUP(B405,'Player Data'!$A1:$AE673,20,FALSE)*$Q405</f>
        <v>25.840000000000003</v>
      </c>
      <c r="AG405" s="57" cm="1">
        <f t="array" ref="AG405">VLOOKUP(B405,'Player Data'!$A1:$AE673,21,FALSE)*$Q405</f>
        <v>31.919999999999998</v>
      </c>
      <c r="AH405" s="59" cm="1">
        <f t="array" ref="AH405">VLOOKUP(B405,'Player Data'!$A1:$AE673,22,FALSE)</f>
        <v>0.44</v>
      </c>
      <c r="AI405" s="55"/>
      <c r="AJ405" s="57"/>
      <c r="AK405" s="57"/>
      <c r="AL405" s="57"/>
      <c r="AM405" s="57"/>
      <c r="AN405" s="57"/>
      <c r="AO405" s="57"/>
      <c r="AP405" s="57"/>
      <c r="AQ405" s="60"/>
      <c r="AR405" s="61"/>
      <c r="AS405" s="55"/>
    </row>
    <row r="406" spans="1:45" ht="21.25" customHeight="1" x14ac:dyDescent="0.15">
      <c r="A406" s="62">
        <f>RANK(K406,K$2:K$671)</f>
        <v>382</v>
      </c>
      <c r="B406" s="10" t="s">
        <v>587</v>
      </c>
      <c r="C406" s="47" t="s">
        <v>145</v>
      </c>
      <c r="D406" s="48" t="str" cm="1">
        <f t="array" ref="D406">VLOOKUP(B406,'Player Data'!A1:D673,4,FALSE)</f>
        <v>C,RW</v>
      </c>
      <c r="E406" s="74" cm="1">
        <f t="array" ref="E406">VLOOKUP(B406,RW!A1:F210,3,FALSE)</f>
        <v>86</v>
      </c>
      <c r="F406" s="65" t="str" cm="1">
        <f t="array" ref="F406">VLOOKUP(B406,'Player Data'!A1:B673,2,FALSE)</f>
        <v>NSH</v>
      </c>
      <c r="G406" s="71" cm="1">
        <f t="array" ref="G406">VLOOKUP(B406,'Player Data'!A1:D673,3,FALSE)</f>
        <v>21</v>
      </c>
      <c r="H406" s="51" cm="1">
        <f t="array" ref="H406">IFERROR(VLOOKUP(B406,ADP!A1:F671,6,FALSE)/1000000,VLOOKUP(B406,ADP!A1:F671,6,FALSE))</f>
        <v>0.95</v>
      </c>
      <c r="I406" s="52">
        <f>IF(Settings!$E$15="POINTS",((R406*Q406)*Settings!$B$12)+(S406*Settings!$B$2)+(T406*Settings!$B$3)+(U406*Settings!$B$4)+(V406*Settings!$B$5)+(X406*Settings!$B$9)+(AA406*Settings!$B$6)+(W406*Settings!$B$8)+(AB406*Settings!$B$7)+(AC406*Settings!$B$14)+(AD406*Settings!$B$15)+(AE406*Settings!$B$16)+(AF406*Settings!$B$17)+(AG406*Settings!$B$18)+(Y406*Settings!$B$10)+(Z406*Settings!$B$11),VLOOKUP(B406,'Standard Deviations'!A$1:C$672,3,FALSE))</f>
        <v>1.4115741189852895</v>
      </c>
      <c r="J406" s="53" cm="1">
        <f t="array" ref="J406">IF(D406="G",I406/AJ406,I406/Q406)</f>
        <v>1.7868026822598602E-2</v>
      </c>
      <c r="K406" s="52" cm="1">
        <f t="array" ref="K406">IF(Settings!$E$18="C/LW/RW",VLOOKUP(B406,RW!A1:F210,6,FALSE),VLOOKUP(B406,F!A1:F407,6,FALSE))</f>
        <v>-5.4756604828237876</v>
      </c>
      <c r="L406" s="54" cm="1">
        <f t="array" ref="L406">IFERROR(K406/H406,"N/A")</f>
        <v>-5.7638531398145139</v>
      </c>
      <c r="M406" s="84" t="s">
        <v>828</v>
      </c>
      <c r="N406" s="84" t="str" cm="1">
        <f t="array" ref="N406">IFERROR(M406-A406,"N/A")</f>
        <v>N/A</v>
      </c>
      <c r="O406" s="55"/>
      <c r="P406" s="56" cm="1">
        <f t="array" ref="P406">_xlfn.XLOOKUP($B406,ADP!A2:A671,ADP!G2:G671)</f>
        <v>0</v>
      </c>
      <c r="Q406" s="57" cm="1">
        <f t="array" ref="Q406">IF(Settings!$E$12="YES",VLOOKUP(B406,'Player Data'!A1:E673,5,FALSE),84)</f>
        <v>79</v>
      </c>
      <c r="R406" s="81" cm="1">
        <f t="array" ref="R406">VLOOKUP(B406,'Player Data'!$A1:$AE673,6,FALSE)</f>
        <v>13.4</v>
      </c>
      <c r="S406" s="57" cm="1">
        <f t="array" ref="S406">VLOOKUP(B406,'Player Data'!$A1:$AE673,7,FALSE)*$Q406*IFERROR((VLOOKUP(P406,Settings!$E$28:$F$33,2,FALSE)+1),1)</f>
        <v>23.7</v>
      </c>
      <c r="T406" s="57" cm="1">
        <f t="array" ref="T406">VLOOKUP(B406,'Player Data'!$A1:$AE673,8,FALSE)*$Q406*IFERROR((VLOOKUP(P406,Settings!$E$28:$F$33,2,FALSE)+1),1)</f>
        <v>25.28</v>
      </c>
      <c r="U406" s="57" cm="1">
        <f t="array" ref="U406">SUM(S406:T406)</f>
        <v>48.980000000000004</v>
      </c>
      <c r="V406" s="57" cm="1">
        <f t="array" ref="V406">VLOOKUP(B406,'Player Data'!$A1:$AE673,10,FALSE)*$Q406*IFERROR(((VLOOKUP(P406,Settings!$E$28:$F$33,2,FALSE)/2)+1),1)</f>
        <v>160.36999999999998</v>
      </c>
      <c r="W406" s="57" cm="1">
        <f t="array" ref="W406">VLOOKUP(B406,'Player Data'!$A1:$AE673,11,FALSE)*$Q406*IFERROR((VLOOKUP(P406,Settings!$E$28:$F$33,2,FALSE)+1),1)</f>
        <v>6.32</v>
      </c>
      <c r="X406" s="57" cm="1">
        <f t="array" ref="X406">VLOOKUP(B406,'Player Data'!$A1:$AE673,12,FALSE)*$Q406*IFERROR((VLOOKUP(P406,Settings!$E$28:$F$33,2,FALSE)+1),1)</f>
        <v>15.01</v>
      </c>
      <c r="Y406" s="57" cm="1">
        <f t="array" ref="Y406">VLOOKUP(B406,'Player Data'!$A1:$AE673,13,FALSE)*$Q406</f>
        <v>0</v>
      </c>
      <c r="Z406" s="57" cm="1">
        <f t="array" ref="Z406">VLOOKUP(B406,'Player Data'!$A1:$AE673,14,FALSE)*$Q406</f>
        <v>0</v>
      </c>
      <c r="AA406" s="57" cm="1">
        <f t="array" ref="AA406">VLOOKUP(B406,'Player Data'!$A1:$AE673,15,FALSE)*$Q406</f>
        <v>36.340000000000003</v>
      </c>
      <c r="AB406" s="57" cm="1">
        <f t="array" ref="AB406">VLOOKUP(B406,'Player Data'!$A1:$AE673,16,FALSE)*$Q406</f>
        <v>76.63</v>
      </c>
      <c r="AC406" s="57" cm="1">
        <f t="array" ref="AC406">VLOOKUP(B406,'Player Data'!$A1:$AE673,17,FALSE)*$Q406*IFERROR((VLOOKUP(P406,Settings!$E$28:$F$33,2,FALSE)+1),1)</f>
        <v>-3.16</v>
      </c>
      <c r="AD406" s="57" cm="1">
        <f t="array" ref="AD406">VLOOKUP(B406,'Player Data'!$A1:$AE673,18,FALSE)*$Q406</f>
        <v>21.330000000000002</v>
      </c>
      <c r="AE406" s="57" cm="1">
        <f t="array" ref="AE406">VLOOKUP(B406,'Player Data'!$A1:$AE673,19,FALSE)*$Q406*IFERROR((VLOOKUP(P406,Settings!$E$28:$F$33,2,FALSE)+1),1)</f>
        <v>3.16</v>
      </c>
      <c r="AF406" s="57" cm="1">
        <f t="array" ref="AF406">VLOOKUP(B406,'Player Data'!$A1:$AE673,20,FALSE)*$Q406</f>
        <v>97.17</v>
      </c>
      <c r="AG406" s="57" cm="1">
        <f t="array" ref="AG406">VLOOKUP(B406,'Player Data'!$A1:$AE673,21,FALSE)*$Q406</f>
        <v>149.31</v>
      </c>
      <c r="AH406" s="59" cm="1">
        <f t="array" ref="AH406">VLOOKUP(B406,'Player Data'!$A1:$AE673,22,FALSE)</f>
        <v>0.39</v>
      </c>
      <c r="AI406" s="55"/>
      <c r="AJ406" s="57"/>
      <c r="AK406" s="57"/>
      <c r="AL406" s="57"/>
      <c r="AM406" s="57"/>
      <c r="AN406" s="57"/>
      <c r="AO406" s="57"/>
      <c r="AP406" s="57"/>
      <c r="AQ406" s="60"/>
      <c r="AR406" s="61"/>
      <c r="AS406" s="55"/>
    </row>
    <row r="407" spans="1:45" ht="21.25" customHeight="1" x14ac:dyDescent="0.15">
      <c r="A407" s="62">
        <f>RANK(K407,K$2:K$671)</f>
        <v>386</v>
      </c>
      <c r="B407" s="10" t="s">
        <v>310</v>
      </c>
      <c r="C407" s="47" t="s">
        <v>145</v>
      </c>
      <c r="D407" s="48" t="str" cm="1">
        <f t="array" ref="D407">VLOOKUP(B407,'Player Data'!A1:D673,4,FALSE)</f>
        <v>C</v>
      </c>
      <c r="E407" s="49" cm="1">
        <f t="array" ref="E407">VLOOKUP(B407,'C'!A1:C210,3,FALSE)</f>
        <v>77</v>
      </c>
      <c r="F407" s="18" t="str" cm="1">
        <f t="array" ref="F407">VLOOKUP(B407,'Player Data'!A1:B673,2,FALSE)</f>
        <v>VAN</v>
      </c>
      <c r="G407" s="71" cm="1">
        <f t="array" ref="G407">VLOOKUP(B407,'Player Data'!A1:D673,3,FALSE)</f>
        <v>25</v>
      </c>
      <c r="H407" s="51" cm="1">
        <f t="array" ref="H407">IFERROR(VLOOKUP(B407,ADP!A1:F671,6,FALSE)/1000000,VLOOKUP(B407,ADP!A1:F671,6,FALSE))</f>
        <v>5</v>
      </c>
      <c r="I407" s="52">
        <f>IF(Settings!$E$15="POINTS",((R407*Q407)*Settings!$B$12)+(S407*Settings!$B$2)+(T407*Settings!$B$3)+(U407*Settings!$B$4)+(V407*Settings!$B$5)+(X407*Settings!$B$9)+(AA407*Settings!$B$6)+(W407*Settings!$B$8)+(AB407*Settings!$B$7)+(AC407*Settings!$B$14)+(AD407*Settings!$B$15)+(AE407*Settings!$B$16)+(AF407*Settings!$B$17)+(AG407*Settings!$B$18)+(Y407*Settings!$B$10)+(Z407*Settings!$B$11),VLOOKUP(B407,'Standard Deviations'!A$1:C$672,3,FALSE))</f>
        <v>0.85367784570938654</v>
      </c>
      <c r="J407" s="53" cm="1">
        <f t="array" ref="J407">IF(D407="G",I407/AJ407,I407/Q407)</f>
        <v>1.0944587765504955E-2</v>
      </c>
      <c r="K407" s="52" cm="1">
        <f t="array" ref="K407">IF(Settings!$E$18="C/LW/RW",VLOOKUP(B407,'C'!A1:F210,6,FALSE),VLOOKUP(B407,F!A1:F407,6,FALSE))</f>
        <v>-5.5063317119056778</v>
      </c>
      <c r="L407" s="54" cm="1">
        <f t="array" ref="L407">IFERROR(K407/H407,"N/A")</f>
        <v>-1.1012663423811355</v>
      </c>
      <c r="M407" s="84" t="s">
        <v>828</v>
      </c>
      <c r="N407" s="84" t="str" cm="1">
        <f t="array" ref="N407">IFERROR(M407-A407,"N/A")</f>
        <v>N/A</v>
      </c>
      <c r="O407" s="55"/>
      <c r="P407" s="56" cm="1">
        <f t="array" ref="P407">_xlfn.XLOOKUP($B407,ADP!A2:A671,ADP!G2:G671)</f>
        <v>0</v>
      </c>
      <c r="Q407" s="57" cm="1">
        <f t="array" ref="Q407">IF(Settings!$E$12="YES",VLOOKUP(B407,'Player Data'!A1:E673,5,FALSE),84)</f>
        <v>78</v>
      </c>
      <c r="R407" s="81" cm="1">
        <f t="array" ref="R407">VLOOKUP(B407,'Player Data'!$A1:$AE673,6,FALSE)</f>
        <v>19.100000000000001</v>
      </c>
      <c r="S407" s="57" cm="1">
        <f t="array" ref="S407">VLOOKUP(B407,'Player Data'!$A1:$AE673,7,FALSE)*$Q407*IFERROR((VLOOKUP(P407,Settings!$E$28:$F$33,2,FALSE)+1),1)</f>
        <v>22.619999999999997</v>
      </c>
      <c r="T407" s="57" cm="1">
        <f t="array" ref="T407">VLOOKUP(B407,'Player Data'!$A1:$AE673,8,FALSE)*$Q407*IFERROR((VLOOKUP(P407,Settings!$E$28:$F$33,2,FALSE)+1),1)</f>
        <v>35.880000000000003</v>
      </c>
      <c r="U407" s="57" cm="1">
        <f t="array" ref="U407">SUM(S407:T407)</f>
        <v>58.5</v>
      </c>
      <c r="V407" s="57" cm="1">
        <f t="array" ref="V407">VLOOKUP(B407,'Player Data'!$A1:$AE673,10,FALSE)*$Q407*IFERROR(((VLOOKUP(P407,Settings!$E$28:$F$33,2,FALSE)/2)+1),1)</f>
        <v>137.28</v>
      </c>
      <c r="W407" s="58" cm="1">
        <f t="array" ref="W407">VLOOKUP(B407,'Player Data'!$A1:$AE673,11,FALSE)*$Q407*IFERROR((VLOOKUP(P407,Settings!$E$28:$F$33,2,FALSE)+1),1)</f>
        <v>7.02</v>
      </c>
      <c r="X407" s="57" cm="1">
        <f t="array" ref="X407">VLOOKUP(B407,'Player Data'!$A1:$AE673,12,FALSE)*$Q407*IFERROR((VLOOKUP(P407,Settings!$E$28:$F$33,2,FALSE)+1),1)</f>
        <v>21.060000000000002</v>
      </c>
      <c r="Y407" s="57" cm="1">
        <f t="array" ref="Y407">VLOOKUP(B407,'Player Data'!$A1:$AE673,13,FALSE)*$Q407</f>
        <v>0</v>
      </c>
      <c r="Z407" s="57" cm="1">
        <f t="array" ref="Z407">VLOOKUP(B407,'Player Data'!$A1:$AE673,14,FALSE)*$Q407</f>
        <v>0.78</v>
      </c>
      <c r="AA407" s="57" cm="1">
        <f t="array" ref="AA407">VLOOKUP(B407,'Player Data'!$A1:$AE673,15,FALSE)*$Q407</f>
        <v>43.680000000000007</v>
      </c>
      <c r="AB407" s="57" cm="1">
        <f t="array" ref="AB407">VLOOKUP(B407,'Player Data'!$A1:$AE673,16,FALSE)*$Q407</f>
        <v>65.52</v>
      </c>
      <c r="AC407" s="57" cm="1">
        <f t="array" ref="AC407">VLOOKUP(B407,'Player Data'!$A1:$AE673,17,FALSE)*$Q407*IFERROR((VLOOKUP(P407,Settings!$E$28:$F$33,2,FALSE)+1),1)</f>
        <v>-8.58</v>
      </c>
      <c r="AD407" s="57" cm="1">
        <f t="array" ref="AD407">VLOOKUP(B407,'Player Data'!$A1:$AE673,18,FALSE)*$Q407</f>
        <v>28.86</v>
      </c>
      <c r="AE407" s="57" cm="1">
        <f t="array" ref="AE407">VLOOKUP(B407,'Player Data'!$A1:$AE673,19,FALSE)*$Q407*IFERROR((VLOOKUP(P407,Settings!$E$28:$F$33,2,FALSE)+1),1)</f>
        <v>3.12</v>
      </c>
      <c r="AF407" s="57" cm="1">
        <f t="array" ref="AF407">VLOOKUP(B407,'Player Data'!$A1:$AE673,20,FALSE)*$Q407</f>
        <v>446.15999999999997</v>
      </c>
      <c r="AG407" s="57" cm="1">
        <f t="array" ref="AG407">VLOOKUP(B407,'Player Data'!$A1:$AE673,21,FALSE)*$Q407</f>
        <v>504.65999999999997</v>
      </c>
      <c r="AH407" s="59" cm="1">
        <f t="array" ref="AH407">VLOOKUP(B407,'Player Data'!$A1:$AE673,22,FALSE)</f>
        <v>0.47</v>
      </c>
      <c r="AI407" s="55"/>
      <c r="AJ407" s="57"/>
      <c r="AK407" s="57"/>
      <c r="AL407" s="57"/>
      <c r="AM407" s="57"/>
      <c r="AN407" s="57"/>
      <c r="AO407" s="57"/>
      <c r="AP407" s="57"/>
      <c r="AQ407" s="60"/>
      <c r="AR407" s="61"/>
      <c r="AS407" s="55"/>
    </row>
    <row r="408" spans="1:45" ht="21.25" customHeight="1" x14ac:dyDescent="0.15">
      <c r="A408" s="62">
        <f>RANK(K408,K$2:K$671)</f>
        <v>436</v>
      </c>
      <c r="B408" s="10" t="s">
        <v>376</v>
      </c>
      <c r="C408" s="47" t="s">
        <v>145</v>
      </c>
      <c r="D408" s="48" t="str" cm="1">
        <f t="array" ref="D408">VLOOKUP(B408,'Player Data'!A1:D673,4,FALSE)</f>
        <v>D</v>
      </c>
      <c r="E408" s="68" cm="1">
        <f t="array" ref="E408">VLOOKUP(B408,D!A1:C204,3,FALSE)</f>
        <v>197</v>
      </c>
      <c r="F408" s="18" t="str" cm="1">
        <f t="array" ref="F408">VLOOKUP(B408,'Player Data'!A1:B673,2,FALSE)</f>
        <v>VAN</v>
      </c>
      <c r="G408" s="71" cm="1">
        <f t="array" ref="G408">VLOOKUP(B408,'Player Data'!A1:D673,3,FALSE)</f>
        <v>21</v>
      </c>
      <c r="H408" s="51" cm="1">
        <f t="array" ref="H408">IFERROR(VLOOKUP(B408,ADP!A1:F671,6,FALSE)/1000000,VLOOKUP(B408,ADP!A1:F671,6,FALSE))</f>
        <v>0.95</v>
      </c>
      <c r="I408" s="52">
        <f>IF(Settings!$E$15="POINTS",((R408*Q408)*Settings!$B$12)+(S408*Settings!$B$2)+(T408*Settings!$B$3)+(U408*Settings!$B$4)+(V408*Settings!$B$5)+(X408*Settings!$B$9)+(AA408*Settings!$B$6)+(W408*Settings!$B$8)+(AB408*Settings!$B$7)+(AC408*Settings!$B$14)+(AD408*Settings!$B$15)+(AE408*Settings!$B$16)+(AF408*Settings!$B$17)+(AG408*Settings!$B$18)+(U408*Settings!$B$13)+(Y408*Settings!$B$10)+(Z408*Settings!$B$11),VLOOKUP(B408,'Standard Deviations'!A$1:C$672,3,FALSE))</f>
        <v>-5.9184636209914485</v>
      </c>
      <c r="J408" s="53" cm="1">
        <f t="array" ref="J408">IF(D408="G",I408/AJ408,I408/Q408)</f>
        <v>-7.4917261025208209E-2</v>
      </c>
      <c r="K408" s="52" cm="1">
        <f t="array" ref="K408">VLOOKUP(B408,D!A1:F204,6,FALSE)</f>
        <v>-6.4853145355090032</v>
      </c>
      <c r="L408" s="54" cm="1">
        <f t="array" ref="L408">IFERROR(K408/H408,"N/A")</f>
        <v>-6.8266468794831612</v>
      </c>
      <c r="M408" s="84" t="s">
        <v>828</v>
      </c>
      <c r="N408" s="84" t="str" cm="1">
        <f t="array" ref="N408">IFERROR(M408-A408,"N/A")</f>
        <v>N/A</v>
      </c>
      <c r="O408" s="80"/>
      <c r="P408" s="56" cm="1">
        <f t="array" ref="P408">_xlfn.XLOOKUP($B408,ADP!A2:A671,ADP!G2:G671)</f>
        <v>0</v>
      </c>
      <c r="Q408" s="57" cm="1">
        <f t="array" ref="Q408">IF(Settings!$E$12="YES",VLOOKUP(B408,'Player Data'!A1:E673,5,FALSE),84)</f>
        <v>79</v>
      </c>
      <c r="R408" s="81" cm="1">
        <f t="array" ref="R408">VLOOKUP(B408,'Player Data'!$A1:$AE673,6,FALSE)</f>
        <v>19.399999999999999</v>
      </c>
      <c r="S408" s="57" cm="1">
        <f t="array" ref="S408">VLOOKUP(B408,'Player Data'!$A1:$AE673,7,FALSE)*$Q408*IFERROR((VLOOKUP(P408,Settings!$E$28:$F$33,2,FALSE)+1),1)</f>
        <v>5.53</v>
      </c>
      <c r="T408" s="57" cm="1">
        <f t="array" ref="T408">VLOOKUP(B408,'Player Data'!$A1:$AE673,8,FALSE)*$Q408*IFERROR((VLOOKUP(P408,Settings!$E$28:$F$33,2,FALSE)+1),1)</f>
        <v>18.96</v>
      </c>
      <c r="U408" s="57" cm="1">
        <f t="array" ref="U408">SUM(S408:T408)</f>
        <v>24.490000000000002</v>
      </c>
      <c r="V408" s="57" cm="1">
        <f t="array" ref="V408">VLOOKUP(B408,'Player Data'!$A1:$AE673,10,FALSE)*$Q408*IFERROR(((VLOOKUP(P408,Settings!$E$28:$F$33,2,FALSE)/2)+1),1)</f>
        <v>72.680000000000007</v>
      </c>
      <c r="W408" s="57" cm="1">
        <f t="array" ref="W408">VLOOKUP(B408,'Player Data'!$A1:$AE673,11,FALSE)*$Q408*IFERROR((VLOOKUP(P408,Settings!$E$28:$F$33,2,FALSE)+1),1)</f>
        <v>0</v>
      </c>
      <c r="X408" s="57" cm="1">
        <f t="array" ref="X408">VLOOKUP(B408,'Player Data'!$A1:$AE673,12,FALSE)*$Q408*IFERROR((VLOOKUP(P408,Settings!$E$28:$F$33,2,FALSE)+1),1)</f>
        <v>3.95</v>
      </c>
      <c r="Y408" s="57" cm="1">
        <f t="array" ref="Y408">VLOOKUP(B408,'Player Data'!$A1:$AE673,13,FALSE)*$Q408</f>
        <v>0</v>
      </c>
      <c r="Z408" s="57" cm="1">
        <f t="array" ref="Z408">VLOOKUP(B408,'Player Data'!$A1:$AE673,14,FALSE)*$Q408</f>
        <v>0</v>
      </c>
      <c r="AA408" s="57" cm="1">
        <f t="array" ref="AA408">VLOOKUP(B408,'Player Data'!$A1:$AE673,15,FALSE)*$Q408</f>
        <v>94.009999999999991</v>
      </c>
      <c r="AB408" s="57" cm="1">
        <f t="array" ref="AB408">VLOOKUP(B408,'Player Data'!$A1:$AE673,16,FALSE)*$Q408</f>
        <v>57.67</v>
      </c>
      <c r="AC408" s="57" cm="1">
        <f t="array" ref="AC408">VLOOKUP(B408,'Player Data'!$A1:$AE673,17,FALSE)*$Q408*IFERROR((VLOOKUP(P408,Settings!$E$28:$F$33,2,FALSE)+1),1)</f>
        <v>-12.64</v>
      </c>
      <c r="AD408" s="57" cm="1">
        <f t="array" ref="AD408">VLOOKUP(B408,'Player Data'!$A1:$AE673,18,FALSE)*$Q408</f>
        <v>29.23</v>
      </c>
      <c r="AE408" s="57" cm="1">
        <f t="array" ref="AE408">VLOOKUP(B408,'Player Data'!$A1:$AE673,19,FALSE)*$Q408*IFERROR((VLOOKUP(P408,Settings!$E$28:$F$33,2,FALSE)+1),1)</f>
        <v>0.79</v>
      </c>
      <c r="AF408" s="57" cm="1">
        <f t="array" ref="AF408">VLOOKUP(B408,'Player Data'!$A1:$AE673,20,FALSE)*$Q408</f>
        <v>0</v>
      </c>
      <c r="AG408" s="57" cm="1">
        <f t="array" ref="AG408">VLOOKUP(B408,'Player Data'!$A1:$AE673,21,FALSE)*$Q408</f>
        <v>0</v>
      </c>
      <c r="AH408" s="59" cm="1">
        <f t="array" ref="AH408">VLOOKUP(B408,'Player Data'!$A1:$AE673,22,FALSE)</f>
        <v>0</v>
      </c>
      <c r="AI408" s="55"/>
      <c r="AJ408" s="57"/>
      <c r="AK408" s="57"/>
      <c r="AL408" s="57"/>
      <c r="AM408" s="57"/>
      <c r="AN408" s="57"/>
      <c r="AO408" s="57"/>
      <c r="AP408" s="57"/>
      <c r="AQ408" s="60"/>
      <c r="AR408" s="61"/>
      <c r="AS408" s="55"/>
    </row>
    <row r="409" spans="1:45" ht="21.25" customHeight="1" x14ac:dyDescent="0.15">
      <c r="A409" s="62">
        <f>RANK(K409,K$2:K$671)</f>
        <v>395</v>
      </c>
      <c r="B409" s="10" t="s">
        <v>681</v>
      </c>
      <c r="C409" s="47" t="s">
        <v>145</v>
      </c>
      <c r="D409" s="48" t="str" cm="1">
        <f t="array" ref="D409">VLOOKUP(B409,'Player Data'!A1:D673,4,FALSE)</f>
        <v>C,LW</v>
      </c>
      <c r="E409" s="74" cm="1">
        <f t="array" ref="E409">VLOOKUP(B409,LW!A1:C210,3,FALSE)</f>
        <v>85</v>
      </c>
      <c r="F409" s="56" t="str" cm="1">
        <f t="array" ref="F409">VLOOKUP(B409,'Player Data'!A1:B673,2,FALSE)</f>
        <v>UTA</v>
      </c>
      <c r="G409" s="11" cm="1">
        <f t="array" ref="G409">VLOOKUP(B409,'Player Data'!A1:D673,3,FALSE)</f>
        <v>26</v>
      </c>
      <c r="H409" s="51" cm="1">
        <f t="array" ref="H409">IFERROR(VLOOKUP(B409,ADP!A1:F671,6,FALSE)/1000000,VLOOKUP(B409,ADP!A1:F671,6,FALSE))</f>
        <v>4.25</v>
      </c>
      <c r="I409" s="52">
        <f>IF(Settings!$E$15="POINTS",((R409*Q409)*Settings!$B$12)+(S409*Settings!$B$2)+(T409*Settings!$B$3)+(U409*Settings!$B$4)+(V409*Settings!$B$5)+(X409*Settings!$B$9)+(AA409*Settings!$B$6)+(W409*Settings!$B$8)+(AB409*Settings!$B$7)+(AC409*Settings!$B$14)+(AD409*Settings!$B$15)+(AE409*Settings!$B$16)+(AF409*Settings!$B$17)+(AG409*Settings!$B$18)+(Y409*Settings!$B$10)+(Z409*Settings!$B$11),VLOOKUP(B409,'Standard Deviations'!A$1:C$672,3,FALSE))</f>
        <v>1.232299799373078</v>
      </c>
      <c r="J409" s="53" cm="1">
        <f t="array" ref="J409">IF(D409="G",I409/AJ409,I409/Q409)</f>
        <v>1.5213577770037999E-2</v>
      </c>
      <c r="K409" s="52" cm="1">
        <f t="array" ref="K409">IF(Settings!$E$18="C/LW/RW",VLOOKUP(B409,LW!A1:F210,6,FALSE),VLOOKUP(B409,F!A1:F407,6,FALSE))</f>
        <v>-5.6620858450167315</v>
      </c>
      <c r="L409" s="54" cm="1">
        <f t="array" ref="L409">IFERROR(K409/H409,"N/A")</f>
        <v>-1.3322554929451134</v>
      </c>
      <c r="M409" s="84" t="s">
        <v>828</v>
      </c>
      <c r="N409" s="84" t="str" cm="1">
        <f t="array" ref="N409">IFERROR(M409-A409,"N/A")</f>
        <v>N/A</v>
      </c>
      <c r="O409" s="82"/>
      <c r="P409" s="56" cm="1">
        <f t="array" ref="P409">_xlfn.XLOOKUP($B409,ADP!A2:A671,ADP!G2:G671)</f>
        <v>0</v>
      </c>
      <c r="Q409" s="57" cm="1">
        <f t="array" ref="Q409">IF(Settings!$E$12="YES",VLOOKUP(B409,'Player Data'!A1:E673,5,FALSE),84)</f>
        <v>81</v>
      </c>
      <c r="R409" s="83" cm="1">
        <f t="array" ref="R409">VLOOKUP(B409,'Player Data'!$A1:$AE673,6,FALSE)</f>
        <v>12.7</v>
      </c>
      <c r="S409" s="57" cm="1">
        <f t="array" ref="S409">VLOOKUP(B409,'Player Data'!$A1:$AE673,7,FALSE)*$Q409*IFERROR((VLOOKUP(P409,Settings!$E$28:$F$33,2,FALSE)+1),1)</f>
        <v>9.7199999999999989</v>
      </c>
      <c r="T409" s="57" cm="1">
        <f t="array" ref="T409">VLOOKUP(B409,'Player Data'!$A1:$AE673,8,FALSE)*$Q409*IFERROR((VLOOKUP(P409,Settings!$E$28:$F$33,2,FALSE)+1),1)</f>
        <v>15.39</v>
      </c>
      <c r="U409" s="57" cm="1">
        <f t="array" ref="U409">SUM(S409:T409)</f>
        <v>25.11</v>
      </c>
      <c r="V409" s="57" cm="1">
        <f t="array" ref="V409">VLOOKUP(B409,'Player Data'!$A1:$AE673,10,FALSE)*$Q409*IFERROR(((VLOOKUP(P409,Settings!$E$28:$F$33,2,FALSE)/2)+1),1)</f>
        <v>93.149999999999991</v>
      </c>
      <c r="W409" s="57" cm="1">
        <f t="array" ref="W409">VLOOKUP(B409,'Player Data'!$A1:$AE673,11,FALSE)*$Q409*IFERROR((VLOOKUP(P409,Settings!$E$28:$F$33,2,FALSE)+1),1)</f>
        <v>0</v>
      </c>
      <c r="X409" s="57" cm="1">
        <f t="array" ref="X409">VLOOKUP(B409,'Player Data'!$A1:$AE673,12,FALSE)*$Q409*IFERROR((VLOOKUP(P409,Settings!$E$28:$F$33,2,FALSE)+1),1)</f>
        <v>0</v>
      </c>
      <c r="Y409" s="57" cm="1">
        <f t="array" ref="Y409">VLOOKUP(B409,'Player Data'!$A1:$AE673,13,FALSE)*$Q409</f>
        <v>0.81</v>
      </c>
      <c r="Z409" s="57" cm="1">
        <f t="array" ref="Z409">VLOOKUP(B409,'Player Data'!$A1:$AE673,14,FALSE)*$Q409</f>
        <v>0.81</v>
      </c>
      <c r="AA409" s="57" cm="1">
        <f t="array" ref="AA409">VLOOKUP(B409,'Player Data'!$A1:$AE673,15,FALSE)*$Q409</f>
        <v>45.360000000000007</v>
      </c>
      <c r="AB409" s="57" cm="1">
        <f t="array" ref="AB409">VLOOKUP(B409,'Player Data'!$A1:$AE673,16,FALSE)*$Q409</f>
        <v>249.48000000000002</v>
      </c>
      <c r="AC409" s="57" cm="1">
        <f t="array" ref="AC409">VLOOKUP(B409,'Player Data'!$A1:$AE673,17,FALSE)*$Q409*IFERROR((VLOOKUP(P409,Settings!$E$28:$F$33,2,FALSE)+1),1)</f>
        <v>1.62</v>
      </c>
      <c r="AD409" s="57" cm="1">
        <f t="array" ref="AD409">VLOOKUP(B409,'Player Data'!$A1:$AE673,18,FALSE)*$Q409</f>
        <v>56.699999999999996</v>
      </c>
      <c r="AE409" s="57" cm="1">
        <f t="array" ref="AE409">VLOOKUP(B409,'Player Data'!$A1:$AE673,19,FALSE)*$Q409*IFERROR((VLOOKUP(P409,Settings!$E$28:$F$33,2,FALSE)+1),1)</f>
        <v>1.62</v>
      </c>
      <c r="AF409" s="57" cm="1">
        <f t="array" ref="AF409">VLOOKUP(B409,'Player Data'!$A1:$AE673,20,FALSE)*$Q409</f>
        <v>306.99</v>
      </c>
      <c r="AG409" s="57" cm="1">
        <f t="array" ref="AG409">VLOOKUP(B409,'Player Data'!$A1:$AE673,21,FALSE)*$Q409</f>
        <v>314.27999999999997</v>
      </c>
      <c r="AH409" s="59" cm="1">
        <f t="array" ref="AH409">VLOOKUP(B409,'Player Data'!$A1:$AE673,22,FALSE)</f>
        <v>0.49</v>
      </c>
      <c r="AI409" s="55"/>
      <c r="AJ409" s="57"/>
      <c r="AK409" s="57"/>
      <c r="AL409" s="57"/>
      <c r="AM409" s="57"/>
      <c r="AN409" s="57"/>
      <c r="AO409" s="57"/>
      <c r="AP409" s="57"/>
      <c r="AQ409" s="60"/>
      <c r="AR409" s="61"/>
      <c r="AS409" s="55"/>
    </row>
    <row r="410" spans="1:45" ht="21.25" customHeight="1" x14ac:dyDescent="0.15">
      <c r="A410" s="62">
        <f>RANK(K410,K$2:K$671)</f>
        <v>390</v>
      </c>
      <c r="B410" s="10" t="s">
        <v>354</v>
      </c>
      <c r="C410" s="47" t="s">
        <v>145</v>
      </c>
      <c r="D410" s="48" t="str" cm="1">
        <f t="array" ref="D410">VLOOKUP(B410,'Player Data'!A1:D673,4,FALSE)</f>
        <v>LW,RW</v>
      </c>
      <c r="E410" s="74" cm="1">
        <f t="array" ref="E410">VLOOKUP(B410,RW!A1:F210,3,FALSE)</f>
        <v>87</v>
      </c>
      <c r="F410" s="56" t="str" cm="1">
        <f t="array" ref="F410">VLOOKUP(B410,'Player Data'!A1:B673,2,FALSE)</f>
        <v>CHI</v>
      </c>
      <c r="G410" s="66" cm="1">
        <f t="array" ref="G410">VLOOKUP(B410,'Player Data'!A1:D673,3,FALSE)</f>
        <v>31</v>
      </c>
      <c r="H410" s="51" cm="1">
        <f t="array" ref="H410">IFERROR(VLOOKUP(B410,ADP!A1:F671,6,FALSE)/1000000,VLOOKUP(B410,ADP!A1:F671,6,FALSE))</f>
        <v>5.5</v>
      </c>
      <c r="I410" s="52">
        <f>IF(Settings!$E$15="POINTS",((R410*Q410)*Settings!$B$12)+(S410*Settings!$B$2)+(T410*Settings!$B$3)+(U410*Settings!$B$4)+(V410*Settings!$B$5)+(X410*Settings!$B$9)+(AA410*Settings!$B$6)+(W410*Settings!$B$8)+(AB410*Settings!$B$7)+(AC410*Settings!$B$14)+(AD410*Settings!$B$15)+(AE410*Settings!$B$16)+(AF410*Settings!$B$17)+(AG410*Settings!$B$18)+(Y410*Settings!$B$10)+(Z410*Settings!$B$11),VLOOKUP(B410,'Standard Deviations'!A$1:C$672,3,FALSE))</f>
        <v>1.2759586930884397</v>
      </c>
      <c r="J410" s="53" cm="1">
        <f t="array" ref="J410">IF(D410="G",I410/AJ410,I410/Q410)</f>
        <v>1.5372996302270358E-2</v>
      </c>
      <c r="K410" s="52" cm="1">
        <f t="array" ref="K410">IF(Settings!$E$18="C/LW/RW",VLOOKUP(B410,RW!A1:F210,6,FALSE),VLOOKUP(B410,F!A1:F407,6,FALSE))</f>
        <v>-5.6112759087206374</v>
      </c>
      <c r="L410" s="54" cm="1">
        <f t="array" ref="L410">IFERROR(K410/H410,"N/A")</f>
        <v>-1.0202319834037523</v>
      </c>
      <c r="M410" s="55">
        <v>136.4</v>
      </c>
      <c r="N410" s="55" cm="1">
        <f t="array" ref="N410">IFERROR(M410-A410,"N/A")</f>
        <v>-253.6</v>
      </c>
      <c r="O410" s="55"/>
      <c r="P410" s="56" cm="1">
        <f t="array" ref="P410">_xlfn.XLOOKUP($B410,ADP!A2:A671,ADP!G2:G671)</f>
        <v>0</v>
      </c>
      <c r="Q410" s="57" cm="1">
        <f t="array" ref="Q410">IF(Settings!$E$12="YES",VLOOKUP(B410,'Player Data'!A1:E673,5,FALSE),84)</f>
        <v>83</v>
      </c>
      <c r="R410" s="55" cm="1">
        <f t="array" ref="R410">VLOOKUP(B410,'Player Data'!$A1:$AE673,6,FALSE)</f>
        <v>17.7</v>
      </c>
      <c r="S410" s="57" cm="1">
        <f t="array" ref="S410">VLOOKUP(B410,'Player Data'!$A1:$AE673,7,FALSE)*$Q410*IFERROR((VLOOKUP(P410,Settings!$E$28:$F$33,2,FALSE)+1),1)</f>
        <v>27.39</v>
      </c>
      <c r="T410" s="57" cm="1">
        <f t="array" ref="T410">VLOOKUP(B410,'Player Data'!$A1:$AE673,8,FALSE)*$Q410*IFERROR((VLOOKUP(P410,Settings!$E$28:$F$33,2,FALSE)+1),1)</f>
        <v>26.560000000000002</v>
      </c>
      <c r="U410" s="57" cm="1">
        <f t="array" ref="U410">SUM(S410:T410)</f>
        <v>53.95</v>
      </c>
      <c r="V410" s="57" cm="1">
        <f t="array" ref="V410">VLOOKUP(B410,'Player Data'!$A1:$AE673,10,FALSE)*$Q410*IFERROR(((VLOOKUP(P410,Settings!$E$28:$F$33,2,FALSE)/2)+1),1)</f>
        <v>167.66</v>
      </c>
      <c r="W410" s="58" cm="1">
        <f t="array" ref="W410">VLOOKUP(B410,'Player Data'!$A1:$AE673,11,FALSE)*$Q410*IFERROR((VLOOKUP(P410,Settings!$E$28:$F$33,2,FALSE)+1),1)</f>
        <v>9.9599999999999991</v>
      </c>
      <c r="X410" s="57" cm="1">
        <f t="array" ref="X410">VLOOKUP(B410,'Player Data'!$A1:$AE673,12,FALSE)*$Q410*IFERROR((VLOOKUP(P410,Settings!$E$28:$F$33,2,FALSE)+1),1)</f>
        <v>19.919999999999998</v>
      </c>
      <c r="Y410" s="57" cm="1">
        <f t="array" ref="Y410">VLOOKUP(B410,'Player Data'!$A1:$AE673,13,FALSE)*$Q410</f>
        <v>0</v>
      </c>
      <c r="Z410" s="57" cm="1">
        <f t="array" ref="Z410">VLOOKUP(B410,'Player Data'!$A1:$AE673,14,FALSE)*$Q410</f>
        <v>0</v>
      </c>
      <c r="AA410" s="57" cm="1">
        <f t="array" ref="AA410">VLOOKUP(B410,'Player Data'!$A1:$AE673,15,FALSE)*$Q410</f>
        <v>29.049999999999997</v>
      </c>
      <c r="AB410" s="57" cm="1">
        <f t="array" ref="AB410">VLOOKUP(B410,'Player Data'!$A1:$AE673,16,FALSE)*$Q410</f>
        <v>63.08</v>
      </c>
      <c r="AC410" s="57" cm="1">
        <f t="array" ref="AC410">VLOOKUP(B410,'Player Data'!$A1:$AE673,17,FALSE)*$Q410*IFERROR((VLOOKUP(P410,Settings!$E$28:$F$33,2,FALSE)+1),1)</f>
        <v>-7.47</v>
      </c>
      <c r="AD410" s="57" cm="1">
        <f t="array" ref="AD410">VLOOKUP(B410,'Player Data'!$A1:$AE673,18,FALSE)*$Q410</f>
        <v>33.200000000000003</v>
      </c>
      <c r="AE410" s="57" cm="1">
        <f t="array" ref="AE410">VLOOKUP(B410,'Player Data'!$A1:$AE673,19,FALSE)*$Q410*IFERROR((VLOOKUP(P410,Settings!$E$28:$F$33,2,FALSE)+1),1)</f>
        <v>3.3200000000000003</v>
      </c>
      <c r="AF410" s="57" cm="1">
        <f t="array" ref="AF410">VLOOKUP(B410,'Player Data'!$A1:$AE673,20,FALSE)*$Q410</f>
        <v>39.01</v>
      </c>
      <c r="AG410" s="57" cm="1">
        <f t="array" ref="AG410">VLOOKUP(B410,'Player Data'!$A1:$AE673,21,FALSE)*$Q410</f>
        <v>53.120000000000005</v>
      </c>
      <c r="AH410" s="59" cm="1">
        <f t="array" ref="AH410">VLOOKUP(B410,'Player Data'!$A1:$AE673,22,FALSE)</f>
        <v>0.42</v>
      </c>
      <c r="AI410" s="55"/>
      <c r="AJ410" s="57"/>
      <c r="AK410" s="57"/>
      <c r="AL410" s="57"/>
      <c r="AM410" s="57"/>
      <c r="AN410" s="57"/>
      <c r="AO410" s="57"/>
      <c r="AP410" s="57"/>
      <c r="AQ410" s="60"/>
      <c r="AR410" s="61"/>
      <c r="AS410" s="55"/>
    </row>
    <row r="411" spans="1:45" ht="21.25" customHeight="1" x14ac:dyDescent="0.15">
      <c r="A411" s="62">
        <f>RANK(K411,K$2:K$671)</f>
        <v>392</v>
      </c>
      <c r="B411" s="10" t="s">
        <v>582</v>
      </c>
      <c r="C411" s="47" t="s">
        <v>145</v>
      </c>
      <c r="D411" s="48" t="str" cm="1">
        <f t="array" ref="D411">VLOOKUP(B411,'Player Data'!A1:D673,4,FALSE)</f>
        <v>C,LW,RW</v>
      </c>
      <c r="E411" s="74" cm="1">
        <f t="array" ref="E411">VLOOKUP(B411,RW!A1:F210,3,FALSE)</f>
        <v>88</v>
      </c>
      <c r="F411" s="63" t="str" cm="1">
        <f t="array" ref="F411">VLOOKUP(B411,'Player Data'!A1:B673,2,FALSE)</f>
        <v>DAL</v>
      </c>
      <c r="G411" s="66" cm="1">
        <f t="array" ref="G411">VLOOKUP(B411,'Player Data'!A1:D673,3,FALSE)</f>
        <v>37</v>
      </c>
      <c r="H411" s="67" cm="1">
        <f t="array" ref="H411">IFERROR(VLOOKUP(B411,ADP!A1:F671,6,FALSE)/1000000,VLOOKUP(B411,ADP!A1:F671,6,FALSE))</f>
        <v>0.875</v>
      </c>
      <c r="I411" s="52">
        <f>IF(Settings!$E$15="POINTS",((R411*Q411)*Settings!$B$12)+(S411*Settings!$B$2)+(T411*Settings!$B$3)+(U411*Settings!$B$4)+(V411*Settings!$B$5)+(X411*Settings!$B$9)+(AA411*Settings!$B$6)+(W411*Settings!$B$8)+(AB411*Settings!$B$7)+(AC411*Settings!$B$14)+(AD411*Settings!$B$15)+(AE411*Settings!$B$16)+(AF411*Settings!$B$17)+(AG411*Settings!$B$18)+(Y411*Settings!$B$10)+(Z411*Settings!$B$11),VLOOKUP(B411,'Standard Deviations'!A$1:C$672,3,FALSE))</f>
        <v>1.2688511221708321</v>
      </c>
      <c r="J411" s="53" cm="1">
        <f t="array" ref="J411">IF(D411="G",I411/AJ411,I411/Q411)</f>
        <v>1.5860639027135401E-2</v>
      </c>
      <c r="K411" s="52" cm="1">
        <f t="array" ref="K411">IF(Settings!$E$18="C/LW/RW",VLOOKUP(B411,RW!A1:F210,6,FALSE),VLOOKUP(B411,F!A1:F407,6,FALSE))</f>
        <v>-5.6183834796382452</v>
      </c>
      <c r="L411" s="54" cm="1">
        <f t="array" ref="L411">IFERROR(K411/H411,"N/A")</f>
        <v>-6.4210096910151373</v>
      </c>
      <c r="M411" s="84" t="s">
        <v>828</v>
      </c>
      <c r="N411" s="84" t="str" cm="1">
        <f t="array" ref="N411">IFERROR(M411-A411,"N/A")</f>
        <v>N/A</v>
      </c>
      <c r="O411" s="55"/>
      <c r="P411" s="56" cm="1">
        <f t="array" ref="P411">_xlfn.XLOOKUP($B411,ADP!A2:A671,ADP!G2:G671)</f>
        <v>0</v>
      </c>
      <c r="Q411" s="57" cm="1">
        <f t="array" ref="Q411">IF(Settings!$E$12="YES",VLOOKUP(B411,'Player Data'!A1:E673,5,FALSE),84)</f>
        <v>80</v>
      </c>
      <c r="R411" s="55" cm="1">
        <f t="array" ref="R411">VLOOKUP(B411,'Player Data'!$A1:$AE673,6,FALSE)</f>
        <v>12.5</v>
      </c>
      <c r="S411" s="57" cm="1">
        <f t="array" ref="S411">VLOOKUP(B411,'Player Data'!$A1:$AE673,7,FALSE)*$Q411*IFERROR((VLOOKUP(P411,Settings!$E$28:$F$33,2,FALSE)+1),1)</f>
        <v>16</v>
      </c>
      <c r="T411" s="57" cm="1">
        <f t="array" ref="T411">VLOOKUP(B411,'Player Data'!$A1:$AE673,8,FALSE)*$Q411*IFERROR((VLOOKUP(P411,Settings!$E$28:$F$33,2,FALSE)+1),1)</f>
        <v>24.8</v>
      </c>
      <c r="U411" s="57" cm="1">
        <f t="array" ref="U411">SUM(S411:T411)</f>
        <v>40.799999999999997</v>
      </c>
      <c r="V411" s="57" cm="1">
        <f t="array" ref="V411">VLOOKUP(B411,'Player Data'!$A1:$AE673,10,FALSE)*$Q411*IFERROR(((VLOOKUP(P411,Settings!$E$28:$F$33,2,FALSE)/2)+1),1)</f>
        <v>108</v>
      </c>
      <c r="W411" s="57" cm="1">
        <f t="array" ref="W411">VLOOKUP(B411,'Player Data'!$A1:$AE673,11,FALSE)*$Q411*IFERROR((VLOOKUP(P411,Settings!$E$28:$F$33,2,FALSE)+1),1)</f>
        <v>1.6</v>
      </c>
      <c r="X411" s="57" cm="1">
        <f t="array" ref="X411">VLOOKUP(B411,'Player Data'!$A1:$AE673,12,FALSE)*$Q411*IFERROR((VLOOKUP(P411,Settings!$E$28:$F$33,2,FALSE)+1),1)</f>
        <v>6.4</v>
      </c>
      <c r="Y411" s="57" cm="1">
        <f t="array" ref="Y411">VLOOKUP(B411,'Player Data'!$A1:$AE673,13,FALSE)*$Q411</f>
        <v>0</v>
      </c>
      <c r="Z411" s="57" cm="1">
        <f t="array" ref="Z411">VLOOKUP(B411,'Player Data'!$A1:$AE673,14,FALSE)*$Q411</f>
        <v>0</v>
      </c>
      <c r="AA411" s="57" cm="1">
        <f t="array" ref="AA411">VLOOKUP(B411,'Player Data'!$A1:$AE673,15,FALSE)*$Q411</f>
        <v>35.200000000000003</v>
      </c>
      <c r="AB411" s="57" cm="1">
        <f t="array" ref="AB411">VLOOKUP(B411,'Player Data'!$A1:$AE673,16,FALSE)*$Q411</f>
        <v>102.4</v>
      </c>
      <c r="AC411" s="57" cm="1">
        <f t="array" ref="AC411">VLOOKUP(B411,'Player Data'!$A1:$AE673,17,FALSE)*$Q411*IFERROR((VLOOKUP(P411,Settings!$E$28:$F$33,2,FALSE)+1),1)</f>
        <v>5.6000000000000005</v>
      </c>
      <c r="AD411" s="57" cm="1">
        <f t="array" ref="AD411">VLOOKUP(B411,'Player Data'!$A1:$AE673,18,FALSE)*$Q411</f>
        <v>56.8</v>
      </c>
      <c r="AE411" s="57" cm="1">
        <f t="array" ref="AE411">VLOOKUP(B411,'Player Data'!$A1:$AE673,19,FALSE)*$Q411*IFERROR((VLOOKUP(P411,Settings!$E$28:$F$33,2,FALSE)+1),1)</f>
        <v>2.4</v>
      </c>
      <c r="AF411" s="57" cm="1">
        <f t="array" ref="AF411">VLOOKUP(B411,'Player Data'!$A1:$AE673,20,FALSE)*$Q411</f>
        <v>150.39999999999998</v>
      </c>
      <c r="AG411" s="57" cm="1">
        <f t="array" ref="AG411">VLOOKUP(B411,'Player Data'!$A1:$AE673,21,FALSE)*$Q411</f>
        <v>122.4</v>
      </c>
      <c r="AH411" s="59" cm="1">
        <f t="array" ref="AH411">VLOOKUP(B411,'Player Data'!$A1:$AE673,22,FALSE)</f>
        <v>0.55000000000000004</v>
      </c>
      <c r="AI411" s="55"/>
      <c r="AJ411" s="57"/>
      <c r="AK411" s="57"/>
      <c r="AL411" s="57"/>
      <c r="AM411" s="57"/>
      <c r="AN411" s="57"/>
      <c r="AO411" s="57"/>
      <c r="AP411" s="57"/>
      <c r="AQ411" s="60"/>
      <c r="AR411" s="61"/>
      <c r="AS411" s="55"/>
    </row>
    <row r="412" spans="1:45" ht="21.25" customHeight="1" x14ac:dyDescent="0.15">
      <c r="A412" s="62">
        <f>RANK(K412,K$2:K$671)</f>
        <v>441</v>
      </c>
      <c r="B412" s="10" t="s">
        <v>509</v>
      </c>
      <c r="C412" s="47" t="s">
        <v>145</v>
      </c>
      <c r="D412" s="48" t="str" cm="1">
        <f t="array" ref="D412">VLOOKUP(B412,'Player Data'!A1:D673,4,FALSE)</f>
        <v>D</v>
      </c>
      <c r="E412" s="68" cm="1">
        <f t="array" ref="E412">VLOOKUP(B412,D!A1:C204,3,FALSE)</f>
        <v>198</v>
      </c>
      <c r="F412" s="56" t="str" cm="1">
        <f t="array" ref="F412">VLOOKUP(B412,'Player Data'!A1:B673,2,FALSE)</f>
        <v>CHI</v>
      </c>
      <c r="G412" s="66" cm="1">
        <f t="array" ref="G412">VLOOKUP(B412,'Player Data'!A1:D673,3,FALSE)</f>
        <v>37</v>
      </c>
      <c r="H412" s="67" cm="1">
        <f t="array" ref="H412">IFERROR(VLOOKUP(B412,ADP!A1:F671,6,FALSE)/1000000,VLOOKUP(B412,ADP!A1:F671,6,FALSE))</f>
        <v>4</v>
      </c>
      <c r="I412" s="52">
        <f>IF(Settings!$E$15="POINTS",((R412*Q412)*Settings!$B$12)+(S412*Settings!$B$2)+(T412*Settings!$B$3)+(U412*Settings!$B$4)+(V412*Settings!$B$5)+(X412*Settings!$B$9)+(AA412*Settings!$B$6)+(W412*Settings!$B$8)+(AB412*Settings!$B$7)+(AC412*Settings!$B$14)+(AD412*Settings!$B$15)+(AE412*Settings!$B$16)+(AF412*Settings!$B$17)+(AG412*Settings!$B$18)+(U412*Settings!$B$13)+(Y412*Settings!$B$10)+(Z412*Settings!$B$11),VLOOKUP(B412,'Standard Deviations'!A$1:C$672,3,FALSE))</f>
        <v>-6.0173940157489074</v>
      </c>
      <c r="J412" s="53" cm="1">
        <f t="array" ref="J412">IF(D412="G",I412/AJ412,I412/Q412)</f>
        <v>-7.1635643044629854E-2</v>
      </c>
      <c r="K412" s="52" cm="1">
        <f t="array" ref="K412">VLOOKUP(B412,D!A1:F204,6,FALSE)</f>
        <v>-6.5842449302664621</v>
      </c>
      <c r="L412" s="54" cm="1">
        <f t="array" ref="L412">IFERROR(K412/H412,"N/A")</f>
        <v>-1.6460612325666155</v>
      </c>
      <c r="M412" s="84" t="s">
        <v>828</v>
      </c>
      <c r="N412" s="84" t="str" cm="1">
        <f t="array" ref="N412">IFERROR(M412-A412,"N/A")</f>
        <v>N/A</v>
      </c>
      <c r="O412" s="55"/>
      <c r="P412" s="56" cm="1">
        <f t="array" ref="P412">_xlfn.XLOOKUP($B412,ADP!A2:A671,ADP!G2:G671)</f>
        <v>0</v>
      </c>
      <c r="Q412" s="57" cm="1">
        <f t="array" ref="Q412">IF(Settings!$E$12="YES",VLOOKUP(B412,'Player Data'!A1:E673,5,FALSE),84)</f>
        <v>84</v>
      </c>
      <c r="R412" s="55" cm="1">
        <f t="array" ref="R412">VLOOKUP(B412,'Player Data'!$A1:$AE673,6,FALSE)</f>
        <v>18.100000000000001</v>
      </c>
      <c r="S412" s="57" cm="1">
        <f t="array" ref="S412">VLOOKUP(B412,'Player Data'!$A1:$AE673,7,FALSE)*$Q412*IFERROR((VLOOKUP(P412,Settings!$E$28:$F$33,2,FALSE)+1),1)</f>
        <v>-0.84</v>
      </c>
      <c r="T412" s="57" cm="1">
        <f t="array" ref="T412">VLOOKUP(B412,'Player Data'!$A1:$AE673,8,FALSE)*$Q412*IFERROR((VLOOKUP(P412,Settings!$E$28:$F$33,2,FALSE)+1),1)</f>
        <v>12.6</v>
      </c>
      <c r="U412" s="57" cm="1">
        <f t="array" ref="U412">SUM(S412:T412)</f>
        <v>11.76</v>
      </c>
      <c r="V412" s="57" cm="1">
        <f t="array" ref="V412">VLOOKUP(B412,'Player Data'!$A1:$AE673,10,FALSE)*$Q412*IFERROR(((VLOOKUP(P412,Settings!$E$28:$F$33,2,FALSE)/2)+1),1)</f>
        <v>34.44</v>
      </c>
      <c r="W412" s="57" cm="1">
        <f t="array" ref="W412">VLOOKUP(B412,'Player Data'!$A1:$AE673,11,FALSE)*$Q412*IFERROR((VLOOKUP(P412,Settings!$E$28:$F$33,2,FALSE)+1),1)</f>
        <v>0</v>
      </c>
      <c r="X412" s="57" cm="1">
        <f t="array" ref="X412">VLOOKUP(B412,'Player Data'!$A1:$AE673,12,FALSE)*$Q412*IFERROR((VLOOKUP(P412,Settings!$E$28:$F$33,2,FALSE)+1),1)</f>
        <v>0</v>
      </c>
      <c r="Y412" s="57" cm="1">
        <f t="array" ref="Y412">VLOOKUP(B412,'Player Data'!$A1:$AE673,13,FALSE)*$Q412</f>
        <v>0</v>
      </c>
      <c r="Z412" s="57" cm="1">
        <f t="array" ref="Z412">VLOOKUP(B412,'Player Data'!$A1:$AE673,14,FALSE)*$Q412</f>
        <v>0</v>
      </c>
      <c r="AA412" s="57" cm="1">
        <f t="array" ref="AA412">VLOOKUP(B412,'Player Data'!$A1:$AE673,15,FALSE)*$Q412</f>
        <v>157.08000000000001</v>
      </c>
      <c r="AB412" s="57" cm="1">
        <f t="array" ref="AB412">VLOOKUP(B412,'Player Data'!$A1:$AE673,16,FALSE)*$Q412</f>
        <v>85.68</v>
      </c>
      <c r="AC412" s="57" cm="1">
        <f t="array" ref="AC412">VLOOKUP(B412,'Player Data'!$A1:$AE673,17,FALSE)*$Q412*IFERROR((VLOOKUP(P412,Settings!$E$28:$F$33,2,FALSE)+1),1)</f>
        <v>-5.8800000000000008</v>
      </c>
      <c r="AD412" s="57" cm="1">
        <f t="array" ref="AD412">VLOOKUP(B412,'Player Data'!$A1:$AE673,18,FALSE)*$Q412</f>
        <v>56.28</v>
      </c>
      <c r="AE412" s="57" cm="1">
        <f t="array" ref="AE412">VLOOKUP(B412,'Player Data'!$A1:$AE673,19,FALSE)*$Q412*IFERROR((VLOOKUP(P412,Settings!$E$28:$F$33,2,FALSE)+1),1)</f>
        <v>0</v>
      </c>
      <c r="AF412" s="57" cm="1">
        <f t="array" ref="AF412">VLOOKUP(B412,'Player Data'!$A1:$AE673,20,FALSE)*$Q412</f>
        <v>0</v>
      </c>
      <c r="AG412" s="57" cm="1">
        <f t="array" ref="AG412">VLOOKUP(B412,'Player Data'!$A1:$AE673,21,FALSE)*$Q412</f>
        <v>0</v>
      </c>
      <c r="AH412" s="59" cm="1">
        <f t="array" ref="AH412">VLOOKUP(B412,'Player Data'!$A1:$AE673,22,FALSE)</f>
        <v>0</v>
      </c>
      <c r="AI412" s="55"/>
      <c r="AJ412" s="57"/>
      <c r="AK412" s="57"/>
      <c r="AL412" s="57"/>
      <c r="AM412" s="57"/>
      <c r="AN412" s="57"/>
      <c r="AO412" s="57"/>
      <c r="AP412" s="57"/>
      <c r="AQ412" s="60"/>
      <c r="AR412" s="61"/>
      <c r="AS412" s="55"/>
    </row>
    <row r="413" spans="1:45" ht="21.25" customHeight="1" x14ac:dyDescent="0.15">
      <c r="A413" s="62">
        <f>RANK(K413,K$2:K$671)</f>
        <v>400</v>
      </c>
      <c r="B413" s="10" t="s">
        <v>646</v>
      </c>
      <c r="C413" s="47" t="s">
        <v>145</v>
      </c>
      <c r="D413" s="48" t="str" cm="1">
        <f t="array" ref="D413">VLOOKUP(B413,'Player Data'!A1:D673,4,FALSE)</f>
        <v>C,LW</v>
      </c>
      <c r="E413" s="74" cm="1">
        <f t="array" ref="E413">VLOOKUP(B413,LW!A1:C210,3,FALSE)</f>
        <v>87</v>
      </c>
      <c r="F413" s="50" t="str" cm="1">
        <f t="array" ref="F413">VLOOKUP(B413,'Player Data'!A1:B673,2,FALSE)</f>
        <v>COL</v>
      </c>
      <c r="G413" s="11" cm="1">
        <f t="array" ref="G413">VLOOKUP(B413,'Player Data'!A1:D673,3,FALSE)</f>
        <v>27</v>
      </c>
      <c r="H413" s="51" cm="1">
        <f t="array" ref="H413">IFERROR(VLOOKUP(B413,ADP!A1:F671,6,FALSE)/1000000,VLOOKUP(B413,ADP!A1:F671,6,FALSE))</f>
        <v>1.7</v>
      </c>
      <c r="I413" s="52">
        <f>IF(Settings!$E$15="POINTS",((R413*Q413)*Settings!$B$12)+(S413*Settings!$B$2)+(T413*Settings!$B$3)+(U413*Settings!$B$4)+(V413*Settings!$B$5)+(X413*Settings!$B$9)+(AA413*Settings!$B$6)+(W413*Settings!$B$8)+(AB413*Settings!$B$7)+(AC413*Settings!$B$14)+(AD413*Settings!$B$15)+(AE413*Settings!$B$16)+(AF413*Settings!$B$17)+(AG413*Settings!$B$18)+(Y413*Settings!$B$10)+(Z413*Settings!$B$11),VLOOKUP(B413,'Standard Deviations'!A$1:C$672,3,FALSE))</f>
        <v>1.1407932374886602</v>
      </c>
      <c r="J413" s="53" cm="1">
        <f t="array" ref="J413">IF(D413="G",I413/AJ413,I413/Q413)</f>
        <v>1.3580871874865003E-2</v>
      </c>
      <c r="K413" s="52" cm="1">
        <f t="array" ref="K413">IF(Settings!$E$18="C/LW/RW",VLOOKUP(B413,LW!A1:F210,6,FALSE),VLOOKUP(B413,F!A1:F407,6,FALSE))</f>
        <v>-5.7535924069011495</v>
      </c>
      <c r="L413" s="54" cm="1">
        <f t="array" ref="L413">IFERROR(K413/H413,"N/A")</f>
        <v>-3.3844661217065588</v>
      </c>
      <c r="M413" s="84" t="s">
        <v>828</v>
      </c>
      <c r="N413" s="84" t="str" cm="1">
        <f t="array" ref="N413">IFERROR(M413-A413,"N/A")</f>
        <v>N/A</v>
      </c>
      <c r="O413" s="55"/>
      <c r="P413" s="56" cm="1">
        <f t="array" ref="P413">_xlfn.XLOOKUP($B413,ADP!A2:A671,ADP!G2:G671)</f>
        <v>0</v>
      </c>
      <c r="Q413" s="57" cm="1">
        <f t="array" ref="Q413">IF(Settings!$E$12="YES",VLOOKUP(B413,'Player Data'!A1:E673,5,FALSE),84)</f>
        <v>84</v>
      </c>
      <c r="R413" s="55" cm="1">
        <f t="array" ref="R413">VLOOKUP(B413,'Player Data'!$A1:$AE673,6,FALSE)</f>
        <v>12.7</v>
      </c>
      <c r="S413" s="57" cm="1">
        <f t="array" ref="S413">VLOOKUP(B413,'Player Data'!$A1:$AE673,7,FALSE)*$Q413*IFERROR((VLOOKUP(P413,Settings!$E$28:$F$33,2,FALSE)+1),1)</f>
        <v>14.280000000000001</v>
      </c>
      <c r="T413" s="57" cm="1">
        <f t="array" ref="T413">VLOOKUP(B413,'Player Data'!$A1:$AE673,8,FALSE)*$Q413*IFERROR((VLOOKUP(P413,Settings!$E$28:$F$33,2,FALSE)+1),1)</f>
        <v>12.6</v>
      </c>
      <c r="U413" s="57" cm="1">
        <f t="array" ref="U413">SUM(S413:T413)</f>
        <v>26.880000000000003</v>
      </c>
      <c r="V413" s="57" cm="1">
        <f t="array" ref="V413">VLOOKUP(B413,'Player Data'!$A1:$AE673,10,FALSE)*$Q413*IFERROR(((VLOOKUP(P413,Settings!$E$28:$F$33,2,FALSE)/2)+1),1)</f>
        <v>102.48</v>
      </c>
      <c r="W413" s="57" cm="1">
        <f t="array" ref="W413">VLOOKUP(B413,'Player Data'!$A1:$AE673,11,FALSE)*$Q413*IFERROR((VLOOKUP(P413,Settings!$E$28:$F$33,2,FALSE)+1),1)</f>
        <v>0</v>
      </c>
      <c r="X413" s="57" cm="1">
        <f t="array" ref="X413">VLOOKUP(B413,'Player Data'!$A1:$AE673,12,FALSE)*$Q413*IFERROR((VLOOKUP(P413,Settings!$E$28:$F$33,2,FALSE)+1),1)</f>
        <v>0</v>
      </c>
      <c r="Y413" s="57" cm="1">
        <f t="array" ref="Y413">VLOOKUP(B413,'Player Data'!$A1:$AE673,13,FALSE)*$Q413</f>
        <v>0.84</v>
      </c>
      <c r="Z413" s="57" cm="1">
        <f t="array" ref="Z413">VLOOKUP(B413,'Player Data'!$A1:$AE673,14,FALSE)*$Q413</f>
        <v>1.68</v>
      </c>
      <c r="AA413" s="57" cm="1">
        <f t="array" ref="AA413">VLOOKUP(B413,'Player Data'!$A1:$AE673,15,FALSE)*$Q413</f>
        <v>62.16</v>
      </c>
      <c r="AB413" s="57" cm="1">
        <f t="array" ref="AB413">VLOOKUP(B413,'Player Data'!$A1:$AE673,16,FALSE)*$Q413</f>
        <v>170.51999999999998</v>
      </c>
      <c r="AC413" s="57" cm="1">
        <f t="array" ref="AC413">VLOOKUP(B413,'Player Data'!$A1:$AE673,17,FALSE)*$Q413*IFERROR((VLOOKUP(P413,Settings!$E$28:$F$33,2,FALSE)+1),1)</f>
        <v>6.72</v>
      </c>
      <c r="AD413" s="57" cm="1">
        <f t="array" ref="AD413">VLOOKUP(B413,'Player Data'!$A1:$AE673,18,FALSE)*$Q413</f>
        <v>30.24</v>
      </c>
      <c r="AE413" s="57" cm="1">
        <f t="array" ref="AE413">VLOOKUP(B413,'Player Data'!$A1:$AE673,19,FALSE)*$Q413*IFERROR((VLOOKUP(P413,Settings!$E$28:$F$33,2,FALSE)+1),1)</f>
        <v>2.52</v>
      </c>
      <c r="AF413" s="57" cm="1">
        <f t="array" ref="AF413">VLOOKUP(B413,'Player Data'!$A1:$AE673,20,FALSE)*$Q413</f>
        <v>91.56</v>
      </c>
      <c r="AG413" s="57" cm="1">
        <f t="array" ref="AG413">VLOOKUP(B413,'Player Data'!$A1:$AE673,21,FALSE)*$Q413</f>
        <v>163.79999999999998</v>
      </c>
      <c r="AH413" s="59" cm="1">
        <f t="array" ref="AH413">VLOOKUP(B413,'Player Data'!$A1:$AE673,22,FALSE)</f>
        <v>0.36</v>
      </c>
      <c r="AI413" s="55"/>
      <c r="AJ413" s="57"/>
      <c r="AK413" s="57"/>
      <c r="AL413" s="57"/>
      <c r="AM413" s="57"/>
      <c r="AN413" s="57"/>
      <c r="AO413" s="57"/>
      <c r="AP413" s="57"/>
      <c r="AQ413" s="60"/>
      <c r="AR413" s="61"/>
      <c r="AS413" s="55"/>
    </row>
    <row r="414" spans="1:45" ht="21.25" customHeight="1" x14ac:dyDescent="0.15">
      <c r="A414" s="62">
        <f>RANK(K414,K$2:K$671)</f>
        <v>443</v>
      </c>
      <c r="B414" s="10" t="s">
        <v>629</v>
      </c>
      <c r="C414" s="47" t="s">
        <v>145</v>
      </c>
      <c r="D414" s="48" t="str" cm="1">
        <f t="array" ref="D414">VLOOKUP(B414,'Player Data'!A1:D673,4,FALSE)</f>
        <v>D</v>
      </c>
      <c r="E414" s="68" cm="1">
        <f t="array" ref="E414">VLOOKUP(B414,D!A1:C204,3,FALSE)</f>
        <v>199</v>
      </c>
      <c r="F414" s="72" t="str" cm="1">
        <f t="array" ref="F414">VLOOKUP(B414,'Player Data'!A1:B673,2,FALSE)</f>
        <v>NYI</v>
      </c>
      <c r="G414" s="11" cm="1">
        <f t="array" ref="G414">VLOOKUP(B414,'Player Data'!A1:D673,3,FALSE)</f>
        <v>26</v>
      </c>
      <c r="H414" s="51" cm="1">
        <f t="array" ref="H414">IFERROR(VLOOKUP(B414,ADP!A1:F671,6,FALSE)/1000000,VLOOKUP(B414,ADP!A1:F671,6,FALSE))</f>
        <v>0</v>
      </c>
      <c r="I414" s="52">
        <f>IF(Settings!$E$15="POINTS",((R414*Q414)*Settings!$B$12)+(S414*Settings!$B$2)+(T414*Settings!$B$3)+(U414*Settings!$B$4)+(V414*Settings!$B$5)+(X414*Settings!$B$9)+(AA414*Settings!$B$6)+(W414*Settings!$B$8)+(AB414*Settings!$B$7)+(AC414*Settings!$B$14)+(AD414*Settings!$B$15)+(AE414*Settings!$B$16)+(AF414*Settings!$B$17)+(AG414*Settings!$B$18)+(U414*Settings!$B$13)+(Y414*Settings!$B$10)+(Z414*Settings!$B$11),VLOOKUP(B414,'Standard Deviations'!A$1:C$672,3,FALSE))</f>
        <v>-6.0760654005215233</v>
      </c>
      <c r="J414" s="53" cm="1">
        <f t="array" ref="J414">IF(D414="G",I414/AJ414,I414/Q414)</f>
        <v>-9.644548254796069E-2</v>
      </c>
      <c r="K414" s="52" cm="1">
        <f t="array" ref="K414">VLOOKUP(B414,D!A1:F204,6,FALSE)</f>
        <v>-6.642916315039078</v>
      </c>
      <c r="L414" s="79" t="str" cm="1">
        <f t="array" ref="L414">IFERROR(K414/H414,"N/A")</f>
        <v>N/A</v>
      </c>
      <c r="M414" s="84" t="s">
        <v>828</v>
      </c>
      <c r="N414" s="84" t="str" cm="1">
        <f t="array" ref="N414">IFERROR(M414-A414,"N/A")</f>
        <v>N/A</v>
      </c>
      <c r="O414" s="55"/>
      <c r="P414" s="56" cm="1">
        <f t="array" ref="P414">_xlfn.XLOOKUP($B414,ADP!A2:A671,ADP!G2:G671)</f>
        <v>0</v>
      </c>
      <c r="Q414" s="57" cm="1">
        <f t="array" ref="Q414">IF(Settings!$E$12="YES",VLOOKUP(B414,'Player Data'!A1:E673,5,FALSE),84)</f>
        <v>63</v>
      </c>
      <c r="R414" s="55" cm="1">
        <f t="array" ref="R414">VLOOKUP(B414,'Player Data'!$A1:$AE673,6,FALSE)</f>
        <v>12.8</v>
      </c>
      <c r="S414" s="57" cm="1">
        <f t="array" ref="S414">VLOOKUP(B414,'Player Data'!$A1:$AE673,7,FALSE)*$Q414*IFERROR((VLOOKUP(P414,Settings!$E$28:$F$33,2,FALSE)+1),1)</f>
        <v>2.52</v>
      </c>
      <c r="T414" s="57" cm="1">
        <f t="array" ref="T414">VLOOKUP(B414,'Player Data'!$A1:$AE673,8,FALSE)*$Q414*IFERROR((VLOOKUP(P414,Settings!$E$28:$F$33,2,FALSE)+1),1)</f>
        <v>8.19</v>
      </c>
      <c r="U414" s="57" cm="1">
        <f t="array" ref="U414">SUM(S414:T414)</f>
        <v>10.709999999999999</v>
      </c>
      <c r="V414" s="57" cm="1">
        <f t="array" ref="V414">VLOOKUP(B414,'Player Data'!$A1:$AE673,10,FALSE)*$Q414*IFERROR(((VLOOKUP(P414,Settings!$E$28:$F$33,2,FALSE)/2)+1),1)</f>
        <v>46.62</v>
      </c>
      <c r="W414" s="57" cm="1">
        <f t="array" ref="W414">VLOOKUP(B414,'Player Data'!$A1:$AE673,11,FALSE)*$Q414*IFERROR((VLOOKUP(P414,Settings!$E$28:$F$33,2,FALSE)+1),1)</f>
        <v>0</v>
      </c>
      <c r="X414" s="57" cm="1">
        <f t="array" ref="X414">VLOOKUP(B414,'Player Data'!$A1:$AE673,12,FALSE)*$Q414*IFERROR((VLOOKUP(P414,Settings!$E$28:$F$33,2,FALSE)+1),1)</f>
        <v>0.63</v>
      </c>
      <c r="Y414" s="57" cm="1">
        <f t="array" ref="Y414">VLOOKUP(B414,'Player Data'!$A1:$AE673,13,FALSE)*$Q414</f>
        <v>0</v>
      </c>
      <c r="Z414" s="57" cm="1">
        <f t="array" ref="Z414">VLOOKUP(B414,'Player Data'!$A1:$AE673,14,FALSE)*$Q414</f>
        <v>0</v>
      </c>
      <c r="AA414" s="57" cm="1">
        <f t="array" ref="AA414">VLOOKUP(B414,'Player Data'!$A1:$AE673,15,FALSE)*$Q414</f>
        <v>52.29</v>
      </c>
      <c r="AB414" s="57" cm="1">
        <f t="array" ref="AB414">VLOOKUP(B414,'Player Data'!$A1:$AE673,16,FALSE)*$Q414</f>
        <v>45.99</v>
      </c>
      <c r="AC414" s="57" cm="1">
        <f t="array" ref="AC414">VLOOKUP(B414,'Player Data'!$A1:$AE673,17,FALSE)*$Q414*IFERROR((VLOOKUP(P414,Settings!$E$28:$F$33,2,FALSE)+1),1)</f>
        <v>-3.78</v>
      </c>
      <c r="AD414" s="57" cm="1">
        <f t="array" ref="AD414">VLOOKUP(B414,'Player Data'!$A1:$AE673,18,FALSE)*$Q414</f>
        <v>14.49</v>
      </c>
      <c r="AE414" s="57" cm="1">
        <f t="array" ref="AE414">VLOOKUP(B414,'Player Data'!$A1:$AE673,19,FALSE)*$Q414*IFERROR((VLOOKUP(P414,Settings!$E$28:$F$33,2,FALSE)+1),1)</f>
        <v>0.63</v>
      </c>
      <c r="AF414" s="57" cm="1">
        <f t="array" ref="AF414">VLOOKUP(B414,'Player Data'!$A1:$AE673,20,FALSE)*$Q414</f>
        <v>0</v>
      </c>
      <c r="AG414" s="57" cm="1">
        <f t="array" ref="AG414">VLOOKUP(B414,'Player Data'!$A1:$AE673,21,FALSE)*$Q414</f>
        <v>0</v>
      </c>
      <c r="AH414" s="59" cm="1">
        <f t="array" ref="AH414">VLOOKUP(B414,'Player Data'!$A1:$AE673,22,FALSE)</f>
        <v>0</v>
      </c>
      <c r="AI414" s="55"/>
      <c r="AJ414" s="57"/>
      <c r="AK414" s="57"/>
      <c r="AL414" s="57"/>
      <c r="AM414" s="57"/>
      <c r="AN414" s="57"/>
      <c r="AO414" s="57"/>
      <c r="AP414" s="57"/>
      <c r="AQ414" s="60"/>
      <c r="AR414" s="61"/>
      <c r="AS414" s="55"/>
    </row>
    <row r="415" spans="1:45" ht="21.25" customHeight="1" x14ac:dyDescent="0.15">
      <c r="A415" s="62">
        <f>RANK(K415,K$2:K$671)</f>
        <v>398</v>
      </c>
      <c r="B415" s="10" t="s">
        <v>571</v>
      </c>
      <c r="C415" s="47" t="s">
        <v>145</v>
      </c>
      <c r="D415" s="48" t="str" cm="1">
        <f t="array" ref="D415">VLOOKUP(B415,'Player Data'!A1:D673,4,FALSE)</f>
        <v>LW,RW</v>
      </c>
      <c r="E415" s="74" cm="1">
        <f t="array" ref="E415">VLOOKUP(B415,RW!A1:F210,3,FALSE)</f>
        <v>89</v>
      </c>
      <c r="F415" s="69" t="str" cm="1">
        <f t="array" ref="F415">VLOOKUP(B415,'Player Data'!A1:B673,2,FALSE)</f>
        <v>MTL</v>
      </c>
      <c r="G415" s="71" cm="1">
        <f t="array" ref="G415">VLOOKUP(B415,'Player Data'!A1:D673,3,FALSE)</f>
        <v>23</v>
      </c>
      <c r="H415" s="51" cm="1">
        <f t="array" ref="H415">IFERROR(VLOOKUP(B415,ADP!A1:F671,6,FALSE)/1000000,VLOOKUP(B415,ADP!A1:F671,6,FALSE))</f>
        <v>0.86333300000000002</v>
      </c>
      <c r="I415" s="52">
        <f>IF(Settings!$E$15="POINTS",((R415*Q415)*Settings!$B$12)+(S415*Settings!$B$2)+(T415*Settings!$B$3)+(U415*Settings!$B$4)+(V415*Settings!$B$5)+(X415*Settings!$B$9)+(AA415*Settings!$B$6)+(W415*Settings!$B$8)+(AB415*Settings!$B$7)+(AC415*Settings!$B$14)+(AD415*Settings!$B$15)+(AE415*Settings!$B$16)+(AF415*Settings!$B$17)+(AG415*Settings!$B$18)+(Y415*Settings!$B$10)+(Z415*Settings!$B$11),VLOOKUP(B415,'Standard Deviations'!A$1:C$672,3,FALSE))</f>
        <v>1.1862128219755155</v>
      </c>
      <c r="J415" s="53" cm="1">
        <f t="array" ref="J415">IF(D415="G",I415/AJ415,I415/Q415)</f>
        <v>1.5608063447046256E-2</v>
      </c>
      <c r="K415" s="52" cm="1">
        <f t="array" ref="K415">IF(Settings!$E$18="C/LW/RW",VLOOKUP(B415,RW!A1:F210,6,FALSE),VLOOKUP(B415,F!A1:F407,6,FALSE))</f>
        <v>-5.7010217798335621</v>
      </c>
      <c r="L415" s="54" cm="1">
        <f t="array" ref="L415">IFERROR(K415/H415,"N/A")</f>
        <v>-6.6035026806962804</v>
      </c>
      <c r="M415" s="84" t="s">
        <v>828</v>
      </c>
      <c r="N415" s="84" t="str" cm="1">
        <f t="array" ref="N415">IFERROR(M415-A415,"N/A")</f>
        <v>N/A</v>
      </c>
      <c r="O415" s="55"/>
      <c r="P415" s="56" cm="1">
        <f t="array" ref="P415">_xlfn.XLOOKUP($B415,ADP!A2:A671,ADP!G2:G671)</f>
        <v>0</v>
      </c>
      <c r="Q415" s="57" cm="1">
        <f t="array" ref="Q415">IF(Settings!$E$12="YES",VLOOKUP(B415,'Player Data'!A1:E673,5,FALSE),84)</f>
        <v>76</v>
      </c>
      <c r="R415" s="55" cm="1">
        <f t="array" ref="R415">VLOOKUP(B415,'Player Data'!$A1:$AE673,6,FALSE)</f>
        <v>14.5</v>
      </c>
      <c r="S415" s="57" cm="1">
        <f t="array" ref="S415">VLOOKUP(B415,'Player Data'!$A1:$AE673,7,FALSE)*$Q415*IFERROR((VLOOKUP(P415,Settings!$E$28:$F$33,2,FALSE)+1),1)</f>
        <v>15.200000000000001</v>
      </c>
      <c r="T415" s="57" cm="1">
        <f t="array" ref="T415">VLOOKUP(B415,'Player Data'!$A1:$AE673,8,FALSE)*$Q415*IFERROR((VLOOKUP(P415,Settings!$E$28:$F$33,2,FALSE)+1),1)</f>
        <v>17.48</v>
      </c>
      <c r="U415" s="57" cm="1">
        <f t="array" ref="U415">SUM(S415:T415)</f>
        <v>32.68</v>
      </c>
      <c r="V415" s="57" cm="1">
        <f t="array" ref="V415">VLOOKUP(B415,'Player Data'!$A1:$AE673,10,FALSE)*$Q415*IFERROR(((VLOOKUP(P415,Settings!$E$28:$F$33,2,FALSE)/2)+1),1)</f>
        <v>107.91999999999999</v>
      </c>
      <c r="W415" s="57" cm="1">
        <f t="array" ref="W415">VLOOKUP(B415,'Player Data'!$A1:$AE673,11,FALSE)*$Q415*IFERROR((VLOOKUP(P415,Settings!$E$28:$F$33,2,FALSE)+1),1)</f>
        <v>3.8000000000000003</v>
      </c>
      <c r="X415" s="57" cm="1">
        <f t="array" ref="X415">VLOOKUP(B415,'Player Data'!$A1:$AE673,12,FALSE)*$Q415*IFERROR((VLOOKUP(P415,Settings!$E$28:$F$33,2,FALSE)+1),1)</f>
        <v>7.6000000000000005</v>
      </c>
      <c r="Y415" s="57" cm="1">
        <f t="array" ref="Y415">VLOOKUP(B415,'Player Data'!$A1:$AE673,13,FALSE)*$Q415</f>
        <v>0</v>
      </c>
      <c r="Z415" s="57" cm="1">
        <f t="array" ref="Z415">VLOOKUP(B415,'Player Data'!$A1:$AE673,14,FALSE)*$Q415</f>
        <v>0</v>
      </c>
      <c r="AA415" s="57" cm="1">
        <f t="array" ref="AA415">VLOOKUP(B415,'Player Data'!$A1:$AE673,15,FALSE)*$Q415</f>
        <v>40.28</v>
      </c>
      <c r="AB415" s="57" cm="1">
        <f t="array" ref="AB415">VLOOKUP(B415,'Player Data'!$A1:$AE673,16,FALSE)*$Q415</f>
        <v>140.6</v>
      </c>
      <c r="AC415" s="57" cm="1">
        <f t="array" ref="AC415">VLOOKUP(B415,'Player Data'!$A1:$AE673,17,FALSE)*$Q415*IFERROR((VLOOKUP(P415,Settings!$E$28:$F$33,2,FALSE)+1),1)</f>
        <v>3.8000000000000003</v>
      </c>
      <c r="AD415" s="57" cm="1">
        <f t="array" ref="AD415">VLOOKUP(B415,'Player Data'!$A1:$AE673,18,FALSE)*$Q415</f>
        <v>28.88</v>
      </c>
      <c r="AE415" s="57" cm="1">
        <f t="array" ref="AE415">VLOOKUP(B415,'Player Data'!$A1:$AE673,19,FALSE)*$Q415*IFERROR((VLOOKUP(P415,Settings!$E$28:$F$33,2,FALSE)+1),1)</f>
        <v>2.2799999999999998</v>
      </c>
      <c r="AF415" s="57" cm="1">
        <f t="array" ref="AF415">VLOOKUP(B415,'Player Data'!$A1:$AE673,20,FALSE)*$Q415</f>
        <v>14.44</v>
      </c>
      <c r="AG415" s="57" cm="1">
        <f t="array" ref="AG415">VLOOKUP(B415,'Player Data'!$A1:$AE673,21,FALSE)*$Q415</f>
        <v>20.520000000000003</v>
      </c>
      <c r="AH415" s="59" cm="1">
        <f t="array" ref="AH415">VLOOKUP(B415,'Player Data'!$A1:$AE673,22,FALSE)</f>
        <v>0.41</v>
      </c>
      <c r="AI415" s="55"/>
      <c r="AJ415" s="57"/>
      <c r="AK415" s="57"/>
      <c r="AL415" s="57"/>
      <c r="AM415" s="57"/>
      <c r="AN415" s="57"/>
      <c r="AO415" s="57"/>
      <c r="AP415" s="57"/>
      <c r="AQ415" s="60"/>
      <c r="AR415" s="61"/>
      <c r="AS415" s="55"/>
    </row>
    <row r="416" spans="1:45" ht="21.25" customHeight="1" x14ac:dyDescent="0.15">
      <c r="A416" s="62">
        <f>RANK(K416,K$2:K$671)</f>
        <v>399</v>
      </c>
      <c r="B416" s="10" t="s">
        <v>330</v>
      </c>
      <c r="C416" s="47" t="s">
        <v>145</v>
      </c>
      <c r="D416" s="48" t="str" cm="1">
        <f t="array" ref="D416">VLOOKUP(B416,'Player Data'!A1:D673,4,FALSE)</f>
        <v>RW</v>
      </c>
      <c r="E416" s="64" cm="1">
        <f t="array" ref="E416">VLOOKUP(B416,RW!A1:F210,3,FALSE)</f>
        <v>90</v>
      </c>
      <c r="F416" s="56" t="str" cm="1">
        <f t="array" ref="F416">VLOOKUP(B416,'Player Data'!A1:B673,2,FALSE)</f>
        <v>CHI</v>
      </c>
      <c r="G416" s="11" cm="1">
        <f t="array" ref="G416">VLOOKUP(B416,'Player Data'!A1:D673,3,FALSE)</f>
        <v>26</v>
      </c>
      <c r="H416" s="51" cm="1">
        <f t="array" ref="H416">IFERROR(VLOOKUP(B416,ADP!A1:F671,6,FALSE)/1000000,VLOOKUP(B416,ADP!A1:F671,6,FALSE))</f>
        <v>8</v>
      </c>
      <c r="I416" s="52">
        <f>IF(Settings!$E$15="POINTS",((R416*Q416)*Settings!$B$12)+(S416*Settings!$B$2)+(T416*Settings!$B$3)+(U416*Settings!$B$4)+(V416*Settings!$B$5)+(X416*Settings!$B$9)+(AA416*Settings!$B$6)+(W416*Settings!$B$8)+(AB416*Settings!$B$7)+(AC416*Settings!$B$14)+(AD416*Settings!$B$15)+(AE416*Settings!$B$16)+(AF416*Settings!$B$17)+(AG416*Settings!$B$18)+(Y416*Settings!$B$10)+(Z416*Settings!$B$11),VLOOKUP(B416,'Standard Deviations'!A$1:C$672,3,FALSE))</f>
        <v>1.1701183337854659</v>
      </c>
      <c r="J416" s="53" cm="1">
        <f t="array" ref="J416">IF(D416="G",I416/AJ416,I416/Q416)</f>
        <v>1.5196341997213843E-2</v>
      </c>
      <c r="K416" s="52" cm="1">
        <f t="array" ref="K416">IF(Settings!$E$18="C/LW/RW",VLOOKUP(B416,RW!A1:F210,6,FALSE),VLOOKUP(B416,F!A1:F407,6,FALSE))</f>
        <v>-5.7171162680236112</v>
      </c>
      <c r="L416" s="54" cm="1">
        <f t="array" ref="L416">IFERROR(K416/H416,"N/A")</f>
        <v>-0.7146395335029514</v>
      </c>
      <c r="M416" s="55">
        <v>132</v>
      </c>
      <c r="N416" s="55" cm="1">
        <f t="array" ref="N416">IFERROR(M416-A416,"N/A")</f>
        <v>-267</v>
      </c>
      <c r="O416" s="55"/>
      <c r="P416" s="56" cm="1">
        <f t="array" ref="P416">_xlfn.XLOOKUP($B416,ADP!A2:A671,ADP!G2:G671)</f>
        <v>0</v>
      </c>
      <c r="Q416" s="57" cm="1">
        <f t="array" ref="Q416">IF(Settings!$E$12="YES",VLOOKUP(B416,'Player Data'!A1:E673,5,FALSE),84)</f>
        <v>77</v>
      </c>
      <c r="R416" s="55" cm="1">
        <f t="array" ref="R416">VLOOKUP(B416,'Player Data'!$A1:$AE673,6,FALSE)</f>
        <v>17.399999999999999</v>
      </c>
      <c r="S416" s="57" cm="1">
        <f t="array" ref="S416">VLOOKUP(B416,'Player Data'!$A1:$AE673,7,FALSE)*$Q416*IFERROR((VLOOKUP(P416,Settings!$E$28:$F$33,2,FALSE)+1),1)</f>
        <v>17.71</v>
      </c>
      <c r="T416" s="57" cm="1">
        <f t="array" ref="T416">VLOOKUP(B416,'Player Data'!$A1:$AE673,8,FALSE)*$Q416*IFERROR((VLOOKUP(P416,Settings!$E$28:$F$33,2,FALSE)+1),1)</f>
        <v>37.729999999999997</v>
      </c>
      <c r="U416" s="57" cm="1">
        <f t="array" ref="U416">SUM(S416:T416)</f>
        <v>55.44</v>
      </c>
      <c r="V416" s="57" cm="1">
        <f t="array" ref="V416">VLOOKUP(B416,'Player Data'!$A1:$AE673,10,FALSE)*$Q416*IFERROR(((VLOOKUP(P416,Settings!$E$28:$F$33,2,FALSE)/2)+1),1)</f>
        <v>180.95000000000002</v>
      </c>
      <c r="W416" s="57" cm="1">
        <f t="array" ref="W416">VLOOKUP(B416,'Player Data'!$A1:$AE673,11,FALSE)*$Q416*IFERROR((VLOOKUP(P416,Settings!$E$28:$F$33,2,FALSE)+1),1)</f>
        <v>4.62</v>
      </c>
      <c r="X416" s="78" cm="1">
        <f t="array" ref="X416">VLOOKUP(B416,'Player Data'!$A1:$AE673,12,FALSE)*$Q416*IFERROR((VLOOKUP(P416,Settings!$E$28:$F$33,2,FALSE)+1),1)</f>
        <v>20.790000000000003</v>
      </c>
      <c r="Y416" s="57" cm="1">
        <f t="array" ref="Y416">VLOOKUP(B416,'Player Data'!$A1:$AE673,13,FALSE)*$Q416</f>
        <v>0</v>
      </c>
      <c r="Z416" s="57" cm="1">
        <f t="array" ref="Z416">VLOOKUP(B416,'Player Data'!$A1:$AE673,14,FALSE)*$Q416</f>
        <v>0</v>
      </c>
      <c r="AA416" s="57" cm="1">
        <f t="array" ref="AA416">VLOOKUP(B416,'Player Data'!$A1:$AE673,15,FALSE)*$Q416</f>
        <v>26.180000000000003</v>
      </c>
      <c r="AB416" s="57" cm="1">
        <f t="array" ref="AB416">VLOOKUP(B416,'Player Data'!$A1:$AE673,16,FALSE)*$Q416</f>
        <v>29.26</v>
      </c>
      <c r="AC416" s="57" cm="1">
        <f t="array" ref="AC416">VLOOKUP(B416,'Player Data'!$A1:$AE673,17,FALSE)*$Q416*IFERROR((VLOOKUP(P416,Settings!$E$28:$F$33,2,FALSE)+1),1)</f>
        <v>-5.3900000000000006</v>
      </c>
      <c r="AD416" s="57" cm="1">
        <f t="array" ref="AD416">VLOOKUP(B416,'Player Data'!$A1:$AE673,18,FALSE)*$Q416</f>
        <v>16.940000000000001</v>
      </c>
      <c r="AE416" s="57" cm="1">
        <f t="array" ref="AE416">VLOOKUP(B416,'Player Data'!$A1:$AE673,19,FALSE)*$Q416*IFERROR((VLOOKUP(P416,Settings!$E$28:$F$33,2,FALSE)+1),1)</f>
        <v>2.31</v>
      </c>
      <c r="AF416" s="57" cm="1">
        <f t="array" ref="AF416">VLOOKUP(B416,'Player Data'!$A1:$AE673,20,FALSE)*$Q416</f>
        <v>3.85</v>
      </c>
      <c r="AG416" s="57" cm="1">
        <f t="array" ref="AG416">VLOOKUP(B416,'Player Data'!$A1:$AE673,21,FALSE)*$Q416</f>
        <v>10.01</v>
      </c>
      <c r="AH416" s="59" cm="1">
        <f t="array" ref="AH416">VLOOKUP(B416,'Player Data'!$A1:$AE673,22,FALSE)</f>
        <v>0.28999999999999998</v>
      </c>
      <c r="AI416" s="55"/>
      <c r="AJ416" s="57"/>
      <c r="AK416" s="57"/>
      <c r="AL416" s="57"/>
      <c r="AM416" s="57"/>
      <c r="AN416" s="57"/>
      <c r="AO416" s="57"/>
      <c r="AP416" s="57"/>
      <c r="AQ416" s="60"/>
      <c r="AR416" s="61"/>
      <c r="AS416" s="55"/>
    </row>
    <row r="417" spans="1:45" ht="21.25" customHeight="1" x14ac:dyDescent="0.15">
      <c r="A417" s="62">
        <f>RANK(K417,K$2:K$671)</f>
        <v>445</v>
      </c>
      <c r="B417" s="10" t="s">
        <v>367</v>
      </c>
      <c r="C417" s="47" t="s">
        <v>145</v>
      </c>
      <c r="D417" s="48" t="str" cm="1">
        <f t="array" ref="D417">VLOOKUP(B417,'Player Data'!A1:D673,4,FALSE)</f>
        <v>D</v>
      </c>
      <c r="E417" s="68" cm="1">
        <f t="array" ref="E417">VLOOKUP(B417,D!A1:C204,3,FALSE)</f>
        <v>200</v>
      </c>
      <c r="F417" s="56" t="str" cm="1">
        <f t="array" ref="F417">VLOOKUP(B417,'Player Data'!A1:B673,2,FALSE)</f>
        <v>CHI</v>
      </c>
      <c r="G417" s="11" cm="1">
        <f t="array" ref="G417">VLOOKUP(B417,'Player Data'!A1:D673,3,FALSE)</f>
        <v>25</v>
      </c>
      <c r="H417" s="51" cm="1">
        <f t="array" ref="H417">IFERROR(VLOOKUP(B417,ADP!A1:F671,6,FALSE)/1000000,VLOOKUP(B417,ADP!A1:F671,6,FALSE))</f>
        <v>4.5999999999999996</v>
      </c>
      <c r="I417" s="52">
        <f>IF(Settings!$E$15="POINTS",((R417*Q417)*Settings!$B$12)+(S417*Settings!$B$2)+(T417*Settings!$B$3)+(U417*Settings!$B$4)+(V417*Settings!$B$5)+(X417*Settings!$B$9)+(AA417*Settings!$B$6)+(W417*Settings!$B$8)+(AB417*Settings!$B$7)+(AC417*Settings!$B$14)+(AD417*Settings!$B$15)+(AE417*Settings!$B$16)+(AF417*Settings!$B$17)+(AG417*Settings!$B$18)+(U417*Settings!$B$13)+(Y417*Settings!$B$10)+(Z417*Settings!$B$11),VLOOKUP(B417,'Standard Deviations'!A$1:C$672,3,FALSE))</f>
        <v>-6.1047226589952999</v>
      </c>
      <c r="J417" s="53" cm="1">
        <f t="array" ref="J417">IF(D417="G",I417/AJ417,I417/Q417)</f>
        <v>-7.3550875409581926E-2</v>
      </c>
      <c r="K417" s="52" cm="1">
        <f t="array" ref="K417">VLOOKUP(B417,D!A1:F204,6,FALSE)</f>
        <v>-6.6715735735128545</v>
      </c>
      <c r="L417" s="54" cm="1">
        <f t="array" ref="L417">IFERROR(K417/H417,"N/A")</f>
        <v>-1.4503420811984467</v>
      </c>
      <c r="M417" s="84" t="s">
        <v>828</v>
      </c>
      <c r="N417" s="84" t="str" cm="1">
        <f t="array" ref="N417">IFERROR(M417-A417,"N/A")</f>
        <v>N/A</v>
      </c>
      <c r="O417" s="55"/>
      <c r="P417" s="56" cm="1">
        <f t="array" ref="P417">_xlfn.XLOOKUP($B417,ADP!A2:A671,ADP!G2:G671)</f>
        <v>0</v>
      </c>
      <c r="Q417" s="57" cm="1">
        <f t="array" ref="Q417">IF(Settings!$E$12="YES",VLOOKUP(B417,'Player Data'!A1:E673,5,FALSE),84)</f>
        <v>83</v>
      </c>
      <c r="R417" s="55" cm="1">
        <f t="array" ref="R417">VLOOKUP(B417,'Player Data'!$A1:$AE673,6,FALSE)</f>
        <v>21.9</v>
      </c>
      <c r="S417" s="57" cm="1">
        <f t="array" ref="S417">VLOOKUP(B417,'Player Data'!$A1:$AE673,7,FALSE)*$Q417*IFERROR((VLOOKUP(P417,Settings!$E$28:$F$33,2,FALSE)+1),1)</f>
        <v>3.3200000000000003</v>
      </c>
      <c r="T417" s="57" cm="1">
        <f t="array" ref="T417">VLOOKUP(B417,'Player Data'!$A1:$AE673,8,FALSE)*$Q417*IFERROR((VLOOKUP(P417,Settings!$E$28:$F$33,2,FALSE)+1),1)</f>
        <v>19.09</v>
      </c>
      <c r="U417" s="57" cm="1">
        <f t="array" ref="U417">SUM(S417:T417)</f>
        <v>22.41</v>
      </c>
      <c r="V417" s="57" cm="1">
        <f t="array" ref="V417">VLOOKUP(B417,'Player Data'!$A1:$AE673,10,FALSE)*$Q417*IFERROR(((VLOOKUP(P417,Settings!$E$28:$F$33,2,FALSE)/2)+1),1)</f>
        <v>94.61999999999999</v>
      </c>
      <c r="W417" s="57" cm="1">
        <f t="array" ref="W417">VLOOKUP(B417,'Player Data'!$A1:$AE673,11,FALSE)*$Q417*IFERROR((VLOOKUP(P417,Settings!$E$28:$F$33,2,FALSE)+1),1)</f>
        <v>0</v>
      </c>
      <c r="X417" s="57" cm="1">
        <f t="array" ref="X417">VLOOKUP(B417,'Player Data'!$A1:$AE673,12,FALSE)*$Q417*IFERROR((VLOOKUP(P417,Settings!$E$28:$F$33,2,FALSE)+1),1)</f>
        <v>0</v>
      </c>
      <c r="Y417" s="57" cm="1">
        <f t="array" ref="Y417">VLOOKUP(B417,'Player Data'!$A1:$AE673,13,FALSE)*$Q417</f>
        <v>0</v>
      </c>
      <c r="Z417" s="57" cm="1">
        <f t="array" ref="Z417">VLOOKUP(B417,'Player Data'!$A1:$AE673,14,FALSE)*$Q417</f>
        <v>0.83000000000000007</v>
      </c>
      <c r="AA417" s="57" cm="1">
        <f t="array" ref="AA417">VLOOKUP(B417,'Player Data'!$A1:$AE673,15,FALSE)*$Q417</f>
        <v>137.78</v>
      </c>
      <c r="AB417" s="57" cm="1">
        <f t="array" ref="AB417">VLOOKUP(B417,'Player Data'!$A1:$AE673,16,FALSE)*$Q417</f>
        <v>48.97</v>
      </c>
      <c r="AC417" s="57" cm="1">
        <f t="array" ref="AC417">VLOOKUP(B417,'Player Data'!$A1:$AE673,17,FALSE)*$Q417*IFERROR((VLOOKUP(P417,Settings!$E$28:$F$33,2,FALSE)+1),1)</f>
        <v>-11.620000000000001</v>
      </c>
      <c r="AD417" s="57" cm="1">
        <f t="array" ref="AD417">VLOOKUP(B417,'Player Data'!$A1:$AE673,18,FALSE)*$Q417</f>
        <v>24.069999999999997</v>
      </c>
      <c r="AE417" s="57" cm="1">
        <f t="array" ref="AE417">VLOOKUP(B417,'Player Data'!$A1:$AE673,19,FALSE)*$Q417*IFERROR((VLOOKUP(P417,Settings!$E$28:$F$33,2,FALSE)+1),1)</f>
        <v>0.83000000000000007</v>
      </c>
      <c r="AF417" s="57" cm="1">
        <f t="array" ref="AF417">VLOOKUP(B417,'Player Data'!$A1:$AE673,20,FALSE)*$Q417</f>
        <v>0</v>
      </c>
      <c r="AG417" s="57" cm="1">
        <f t="array" ref="AG417">VLOOKUP(B417,'Player Data'!$A1:$AE673,21,FALSE)*$Q417</f>
        <v>0</v>
      </c>
      <c r="AH417" s="59" cm="1">
        <f t="array" ref="AH417">VLOOKUP(B417,'Player Data'!$A1:$AE673,22,FALSE)</f>
        <v>0</v>
      </c>
      <c r="AI417" s="55"/>
      <c r="AJ417" s="57"/>
      <c r="AK417" s="57"/>
      <c r="AL417" s="57"/>
      <c r="AM417" s="57"/>
      <c r="AN417" s="57"/>
      <c r="AO417" s="57"/>
      <c r="AP417" s="57"/>
      <c r="AQ417" s="60"/>
      <c r="AR417" s="61"/>
      <c r="AS417" s="55"/>
    </row>
    <row r="418" spans="1:45" ht="21.25" customHeight="1" x14ac:dyDescent="0.15">
      <c r="A418" s="62">
        <f>RANK(K418,K$2:K$671)</f>
        <v>402</v>
      </c>
      <c r="B418" s="10" t="s">
        <v>538</v>
      </c>
      <c r="C418" s="47" t="s">
        <v>145</v>
      </c>
      <c r="D418" s="48" t="str" cm="1">
        <f t="array" ref="D418">VLOOKUP(B418,'Player Data'!A1:D673,4,FALSE)</f>
        <v>C</v>
      </c>
      <c r="E418" s="49" cm="1">
        <f t="array" ref="E418">VLOOKUP(B418,'C'!A1:C210,3,FALSE)</f>
        <v>82</v>
      </c>
      <c r="F418" s="56" t="str" cm="1">
        <f t="array" ref="F418">VLOOKUP(B418,'Player Data'!A1:B673,2,FALSE)</f>
        <v>PHI</v>
      </c>
      <c r="G418" s="11" cm="1">
        <f t="array" ref="G418">VLOOKUP(B418,'Player Data'!A1:D673,3,FALSE)</f>
        <v>27</v>
      </c>
      <c r="H418" s="51" cm="1">
        <f t="array" ref="H418">IFERROR(VLOOKUP(B418,ADP!A1:F671,6,FALSE)/1000000,VLOOKUP(B418,ADP!A1:F671,6,FALSE))</f>
        <v>4</v>
      </c>
      <c r="I418" s="52">
        <f>IF(Settings!$E$15="POINTS",((R418*Q418)*Settings!$B$12)+(S418*Settings!$B$2)+(T418*Settings!$B$3)+(U418*Settings!$B$4)+(V418*Settings!$B$5)+(X418*Settings!$B$9)+(AA418*Settings!$B$6)+(W418*Settings!$B$8)+(AB418*Settings!$B$7)+(AC418*Settings!$B$14)+(AD418*Settings!$B$15)+(AE418*Settings!$B$16)+(AF418*Settings!$B$17)+(AG418*Settings!$B$18)+(Y418*Settings!$B$10)+(Z418*Settings!$B$11),VLOOKUP(B418,'Standard Deviations'!A$1:C$672,3,FALSE))</f>
        <v>0.53333738844142942</v>
      </c>
      <c r="J418" s="53" cm="1">
        <f t="array" ref="J418">IF(D418="G",I418/AJ418,I418/Q418)</f>
        <v>6.5844122029806102E-3</v>
      </c>
      <c r="K418" s="52" cm="1">
        <f t="array" ref="K418">IF(Settings!$E$18="C/LW/RW",VLOOKUP(B418,'C'!A1:F210,6,FALSE),VLOOKUP(B418,F!A1:F407,6,FALSE))</f>
        <v>-5.8266721691736345</v>
      </c>
      <c r="L418" s="54" cm="1">
        <f t="array" ref="L418">IFERROR(K418/H418,"N/A")</f>
        <v>-1.4566680422934086</v>
      </c>
      <c r="M418" s="84" t="s">
        <v>828</v>
      </c>
      <c r="N418" s="84" t="str" cm="1">
        <f t="array" ref="N418">IFERROR(M418-A418,"N/A")</f>
        <v>N/A</v>
      </c>
      <c r="O418" s="55"/>
      <c r="P418" s="56" cm="1">
        <f t="array" ref="P418">_xlfn.XLOOKUP($B418,ADP!A2:A671,ADP!G2:G671)</f>
        <v>0</v>
      </c>
      <c r="Q418" s="57" cm="1">
        <f t="array" ref="Q418">IF(Settings!$E$12="YES",VLOOKUP(B418,'Player Data'!A1:E673,5,FALSE),84)</f>
        <v>81</v>
      </c>
      <c r="R418" s="83" cm="1">
        <f t="array" ref="R418">VLOOKUP(B418,'Player Data'!$A1:$AE673,6,FALSE)</f>
        <v>14.9</v>
      </c>
      <c r="S418" s="57" cm="1">
        <f t="array" ref="S418">VLOOKUP(B418,'Player Data'!$A1:$AE673,7,FALSE)*$Q418*IFERROR((VLOOKUP(P418,Settings!$E$28:$F$33,2,FALSE)+1),1)</f>
        <v>16.2</v>
      </c>
      <c r="T418" s="57" cm="1">
        <f t="array" ref="T418">VLOOKUP(B418,'Player Data'!$A1:$AE673,8,FALSE)*$Q418*IFERROR((VLOOKUP(P418,Settings!$E$28:$F$33,2,FALSE)+1),1)</f>
        <v>24.3</v>
      </c>
      <c r="U418" s="57" cm="1">
        <f t="array" ref="U418">SUM(S418:T418)</f>
        <v>40.5</v>
      </c>
      <c r="V418" s="57" cm="1">
        <f t="array" ref="V418">VLOOKUP(B418,'Player Data'!$A1:$AE673,10,FALSE)*$Q418*IFERROR(((VLOOKUP(P418,Settings!$E$28:$F$33,2,FALSE)/2)+1),1)</f>
        <v>123.93</v>
      </c>
      <c r="W418" s="57" cm="1">
        <f t="array" ref="W418">VLOOKUP(B418,'Player Data'!$A1:$AE673,11,FALSE)*$Q418*IFERROR((VLOOKUP(P418,Settings!$E$28:$F$33,2,FALSE)+1),1)</f>
        <v>2.4299999999999997</v>
      </c>
      <c r="X418" s="57" cm="1">
        <f t="array" ref="X418">VLOOKUP(B418,'Player Data'!$A1:$AE673,12,FALSE)*$Q418*IFERROR((VLOOKUP(P418,Settings!$E$28:$F$33,2,FALSE)+1),1)</f>
        <v>6.48</v>
      </c>
      <c r="Y418" s="57" cm="1">
        <f t="array" ref="Y418">VLOOKUP(B418,'Player Data'!$A1:$AE673,13,FALSE)*$Q418</f>
        <v>0.81</v>
      </c>
      <c r="Z418" s="57" cm="1">
        <f t="array" ref="Z418">VLOOKUP(B418,'Player Data'!$A1:$AE673,14,FALSE)*$Q418</f>
        <v>0.81</v>
      </c>
      <c r="AA418" s="57" cm="1">
        <f t="array" ref="AA418">VLOOKUP(B418,'Player Data'!$A1:$AE673,15,FALSE)*$Q418</f>
        <v>49.41</v>
      </c>
      <c r="AB418" s="57" cm="1">
        <f t="array" ref="AB418">VLOOKUP(B418,'Player Data'!$A1:$AE673,16,FALSE)*$Q418</f>
        <v>95.58</v>
      </c>
      <c r="AC418" s="57" cm="1">
        <f t="array" ref="AC418">VLOOKUP(B418,'Player Data'!$A1:$AE673,17,FALSE)*$Q418*IFERROR((VLOOKUP(P418,Settings!$E$28:$F$33,2,FALSE)+1),1)</f>
        <v>1.62</v>
      </c>
      <c r="AD418" s="57" cm="1">
        <f t="array" ref="AD418">VLOOKUP(B418,'Player Data'!$A1:$AE673,18,FALSE)*$Q418</f>
        <v>21.87</v>
      </c>
      <c r="AE418" s="57" cm="1">
        <f t="array" ref="AE418">VLOOKUP(B418,'Player Data'!$A1:$AE673,19,FALSE)*$Q418*IFERROR((VLOOKUP(P418,Settings!$E$28:$F$33,2,FALSE)+1),1)</f>
        <v>2.4299999999999997</v>
      </c>
      <c r="AF418" s="57" cm="1">
        <f t="array" ref="AF418">VLOOKUP(B418,'Player Data'!$A1:$AE673,20,FALSE)*$Q418</f>
        <v>409.05</v>
      </c>
      <c r="AG418" s="57" cm="1">
        <f t="array" ref="AG418">VLOOKUP(B418,'Player Data'!$A1:$AE673,21,FALSE)*$Q418</f>
        <v>503.01</v>
      </c>
      <c r="AH418" s="59" cm="1">
        <f t="array" ref="AH418">VLOOKUP(B418,'Player Data'!$A1:$AE673,22,FALSE)</f>
        <v>0.45</v>
      </c>
      <c r="AI418" s="55"/>
      <c r="AJ418" s="57"/>
      <c r="AK418" s="57"/>
      <c r="AL418" s="57"/>
      <c r="AM418" s="57"/>
      <c r="AN418" s="57"/>
      <c r="AO418" s="57"/>
      <c r="AP418" s="57"/>
      <c r="AQ418" s="60"/>
      <c r="AR418" s="61"/>
      <c r="AS418" s="55"/>
    </row>
    <row r="419" spans="1:45" ht="21.25" customHeight="1" x14ac:dyDescent="0.15">
      <c r="A419" s="62">
        <f>RANK(K419,K$2:K$671)</f>
        <v>401</v>
      </c>
      <c r="B419" s="10" t="s">
        <v>332</v>
      </c>
      <c r="C419" s="47" t="s">
        <v>145</v>
      </c>
      <c r="D419" s="48" t="str" cm="1">
        <f t="array" ref="D419">VLOOKUP(B419,'Player Data'!A1:D673,4,FALSE)</f>
        <v>LW,RW</v>
      </c>
      <c r="E419" s="74" cm="1">
        <f t="array" ref="E419">VLOOKUP(B419,RW!A1:F210,3,FALSE)</f>
        <v>91</v>
      </c>
      <c r="F419" s="72" t="str" cm="1">
        <f t="array" ref="F419">VLOOKUP(B419,'Player Data'!A1:B673,2,FALSE)</f>
        <v>FLA</v>
      </c>
      <c r="G419" s="66" cm="1">
        <f t="array" ref="G419">VLOOKUP(B419,'Player Data'!A1:D673,3,FALSE)</f>
        <v>38</v>
      </c>
      <c r="H419" s="51" cm="1">
        <f t="array" ref="H419">IFERROR(VLOOKUP(B419,ADP!A1:F671,6,FALSE)/1000000,VLOOKUP(B419,ADP!A1:F671,6,FALSE))</f>
        <v>5.25</v>
      </c>
      <c r="I419" s="52">
        <f>IF(Settings!$E$15="POINTS",((R419*Q419)*Settings!$B$12)+(S419*Settings!$B$2)+(T419*Settings!$B$3)+(U419*Settings!$B$4)+(V419*Settings!$B$5)+(X419*Settings!$B$9)+(AA419*Settings!$B$6)+(W419*Settings!$B$8)+(AB419*Settings!$B$7)+(AC419*Settings!$B$14)+(AD419*Settings!$B$15)+(AE419*Settings!$B$16)+(AF419*Settings!$B$17)+(AG419*Settings!$B$18)+(Y419*Settings!$B$10)+(Z419*Settings!$B$11),VLOOKUP(B419,'Standard Deviations'!A$1:C$672,3,FALSE))</f>
        <v>1.0796955962659789</v>
      </c>
      <c r="J419" s="53" cm="1">
        <f t="array" ref="J419">IF(D419="G",I419/AJ419,I419/Q419)</f>
        <v>1.6114859645760878E-2</v>
      </c>
      <c r="K419" s="52" cm="1">
        <f t="array" ref="K419">IF(Settings!$E$18="C/LW/RW",VLOOKUP(B419,RW!A1:F210,6,FALSE),VLOOKUP(B419,F!A1:F407,6,FALSE))</f>
        <v>-5.8075390055430987</v>
      </c>
      <c r="L419" s="54" cm="1">
        <f t="array" ref="L419">IFERROR(K419/H419,"N/A")</f>
        <v>-1.1061979058177331</v>
      </c>
      <c r="M419" s="55">
        <v>147.1</v>
      </c>
      <c r="N419" s="55" cm="1">
        <f t="array" ref="N419">IFERROR(M419-A419,"N/A")</f>
        <v>-253.9</v>
      </c>
      <c r="O419" s="55"/>
      <c r="P419" s="56" cm="1">
        <f t="array" ref="P419">_xlfn.XLOOKUP($B419,ADP!A2:A671,ADP!G2:G671)</f>
        <v>0</v>
      </c>
      <c r="Q419" s="57" cm="1">
        <f t="array" ref="Q419">IF(Settings!$E$12="YES",VLOOKUP(B419,'Player Data'!A1:E673,5,FALSE),84)</f>
        <v>67</v>
      </c>
      <c r="R419" s="55" cm="1">
        <f t="array" ref="R419">VLOOKUP(B419,'Player Data'!$A1:$AE673,6,FALSE)</f>
        <v>16.8</v>
      </c>
      <c r="S419" s="57" cm="1">
        <f t="array" ref="S419">VLOOKUP(B419,'Player Data'!$A1:$AE673,7,FALSE)*$Q419*IFERROR((VLOOKUP(P419,Settings!$E$28:$F$33,2,FALSE)+1),1)</f>
        <v>21.44</v>
      </c>
      <c r="T419" s="57" cm="1">
        <f t="array" ref="T419">VLOOKUP(B419,'Player Data'!$A1:$AE673,8,FALSE)*$Q419*IFERROR((VLOOKUP(P419,Settings!$E$28:$F$33,2,FALSE)+1),1)</f>
        <v>23.45</v>
      </c>
      <c r="U419" s="57" cm="1">
        <f t="array" ref="U419">SUM(S419:T419)</f>
        <v>44.89</v>
      </c>
      <c r="V419" s="57" cm="1">
        <f t="array" ref="V419">VLOOKUP(B419,'Player Data'!$A1:$AE673,10,FALSE)*$Q419*IFERROR(((VLOOKUP(P419,Settings!$E$28:$F$33,2,FALSE)/2)+1),1)</f>
        <v>148.74</v>
      </c>
      <c r="W419" s="57" cm="1">
        <f t="array" ref="W419">VLOOKUP(B419,'Player Data'!$A1:$AE673,11,FALSE)*$Q419*IFERROR((VLOOKUP(P419,Settings!$E$28:$F$33,2,FALSE)+1),1)</f>
        <v>3.35</v>
      </c>
      <c r="X419" s="78" cm="1">
        <f t="array" ref="X419">VLOOKUP(B419,'Player Data'!$A1:$AE673,12,FALSE)*$Q419*IFERROR((VLOOKUP(P419,Settings!$E$28:$F$33,2,FALSE)+1),1)</f>
        <v>11.39</v>
      </c>
      <c r="Y419" s="57" cm="1">
        <f t="array" ref="Y419">VLOOKUP(B419,'Player Data'!$A1:$AE673,13,FALSE)*$Q419</f>
        <v>0</v>
      </c>
      <c r="Z419" s="57" cm="1">
        <f t="array" ref="Z419">VLOOKUP(B419,'Player Data'!$A1:$AE673,14,FALSE)*$Q419</f>
        <v>0.67</v>
      </c>
      <c r="AA419" s="57" cm="1">
        <f t="array" ref="AA419">VLOOKUP(B419,'Player Data'!$A1:$AE673,15,FALSE)*$Q419</f>
        <v>24.79</v>
      </c>
      <c r="AB419" s="57" cm="1">
        <f t="array" ref="AB419">VLOOKUP(B419,'Player Data'!$A1:$AE673,16,FALSE)*$Q419</f>
        <v>57.62</v>
      </c>
      <c r="AC419" s="57" cm="1">
        <f t="array" ref="AC419">VLOOKUP(B419,'Player Data'!$A1:$AE673,17,FALSE)*$Q419*IFERROR((VLOOKUP(P419,Settings!$E$28:$F$33,2,FALSE)+1),1)</f>
        <v>1.34</v>
      </c>
      <c r="AD419" s="57" cm="1">
        <f t="array" ref="AD419">VLOOKUP(B419,'Player Data'!$A1:$AE673,18,FALSE)*$Q419</f>
        <v>44.89</v>
      </c>
      <c r="AE419" s="57" cm="1">
        <f t="array" ref="AE419">VLOOKUP(B419,'Player Data'!$A1:$AE673,19,FALSE)*$Q419*IFERROR((VLOOKUP(P419,Settings!$E$28:$F$33,2,FALSE)+1),1)</f>
        <v>3.35</v>
      </c>
      <c r="AF419" s="57" cm="1">
        <f t="array" ref="AF419">VLOOKUP(B419,'Player Data'!$A1:$AE673,20,FALSE)*$Q419</f>
        <v>5.36</v>
      </c>
      <c r="AG419" s="57" cm="1">
        <f t="array" ref="AG419">VLOOKUP(B419,'Player Data'!$A1:$AE673,21,FALSE)*$Q419</f>
        <v>11.39</v>
      </c>
      <c r="AH419" s="59" cm="1">
        <f t="array" ref="AH419">VLOOKUP(B419,'Player Data'!$A1:$AE673,22,FALSE)</f>
        <v>0.32</v>
      </c>
      <c r="AI419" s="55"/>
      <c r="AJ419" s="57"/>
      <c r="AK419" s="57"/>
      <c r="AL419" s="57"/>
      <c r="AM419" s="57"/>
      <c r="AN419" s="57"/>
      <c r="AO419" s="57"/>
      <c r="AP419" s="57"/>
      <c r="AQ419" s="60"/>
      <c r="AR419" s="61"/>
      <c r="AS419" s="55"/>
    </row>
    <row r="420" spans="1:45" ht="21.25" customHeight="1" x14ac:dyDescent="0.15">
      <c r="A420" s="62">
        <f>RANK(K420,K$2:K$671)</f>
        <v>449</v>
      </c>
      <c r="B420" s="10" t="s">
        <v>487</v>
      </c>
      <c r="C420" s="47" t="s">
        <v>145</v>
      </c>
      <c r="D420" s="48" t="str" cm="1">
        <f t="array" ref="D420">VLOOKUP(B420,'Player Data'!A1:D673,4,FALSE)</f>
        <v>D</v>
      </c>
      <c r="E420" s="68" cm="1">
        <f t="array" ref="E420">VLOOKUP(B420,D!A1:C204,3,FALSE)</f>
        <v>201</v>
      </c>
      <c r="F420" s="63" t="str" cm="1">
        <f t="array" ref="F420">VLOOKUP(B420,'Player Data'!A1:B673,2,FALSE)</f>
        <v>SEA</v>
      </c>
      <c r="G420" s="11" cm="1">
        <f t="array" ref="G420">VLOOKUP(B420,'Player Data'!A1:D673,3,FALSE)</f>
        <v>28</v>
      </c>
      <c r="H420" s="51" cm="1">
        <f t="array" ref="H420">IFERROR(VLOOKUP(B420,ADP!A1:F671,6,FALSE)/1000000,VLOOKUP(B420,ADP!A1:F671,6,FALSE))</f>
        <v>4.5</v>
      </c>
      <c r="I420" s="52">
        <f>IF(Settings!$E$15="POINTS",((R420*Q420)*Settings!$B$12)+(S420*Settings!$B$2)+(T420*Settings!$B$3)+(U420*Settings!$B$4)+(V420*Settings!$B$5)+(X420*Settings!$B$9)+(AA420*Settings!$B$6)+(W420*Settings!$B$8)+(AB420*Settings!$B$7)+(AC420*Settings!$B$14)+(AD420*Settings!$B$15)+(AE420*Settings!$B$16)+(AF420*Settings!$B$17)+(AG420*Settings!$B$18)+(U420*Settings!$B$13)+(Y420*Settings!$B$10)+(Z420*Settings!$B$11),VLOOKUP(B420,'Standard Deviations'!A$1:C$672,3,FALSE))</f>
        <v>-6.2287577701819785</v>
      </c>
      <c r="J420" s="53" cm="1">
        <f t="array" ref="J420">IF(D420="G",I420/AJ420,I420/Q420)</f>
        <v>-7.6898244076320718E-2</v>
      </c>
      <c r="K420" s="52" cm="1">
        <f t="array" ref="K420">VLOOKUP(B420,D!A1:F204,6,FALSE)</f>
        <v>-6.7956086846995332</v>
      </c>
      <c r="L420" s="54" cm="1">
        <f t="array" ref="L420">IFERROR(K420/H420,"N/A")</f>
        <v>-1.510135263266563</v>
      </c>
      <c r="M420" s="84" t="s">
        <v>828</v>
      </c>
      <c r="N420" s="84" t="str" cm="1">
        <f t="array" ref="N420">IFERROR(M420-A420,"N/A")</f>
        <v>N/A</v>
      </c>
      <c r="O420" s="55"/>
      <c r="P420" s="56" cm="1">
        <f t="array" ref="P420">_xlfn.XLOOKUP($B420,ADP!A2:A671,ADP!G2:G671)</f>
        <v>0</v>
      </c>
      <c r="Q420" s="57" cm="1">
        <f t="array" ref="Q420">IF(Settings!$E$12="YES",VLOOKUP(B420,'Player Data'!A1:E673,5,FALSE),84)</f>
        <v>81</v>
      </c>
      <c r="R420" s="55" cm="1">
        <f t="array" ref="R420">VLOOKUP(B420,'Player Data'!$A1:$AE673,6,FALSE)</f>
        <v>18.5</v>
      </c>
      <c r="S420" s="57" cm="1">
        <f t="array" ref="S420">VLOOKUP(B420,'Player Data'!$A1:$AE673,7,FALSE)*$Q420*IFERROR((VLOOKUP(P420,Settings!$E$28:$F$33,2,FALSE)+1),1)</f>
        <v>2.4299999999999997</v>
      </c>
      <c r="T420" s="57" cm="1">
        <f t="array" ref="T420">VLOOKUP(B420,'Player Data'!$A1:$AE673,8,FALSE)*$Q420*IFERROR((VLOOKUP(P420,Settings!$E$28:$F$33,2,FALSE)+1),1)</f>
        <v>12.96</v>
      </c>
      <c r="U420" s="57" cm="1">
        <f t="array" ref="U420">SUM(S420:T420)</f>
        <v>15.39</v>
      </c>
      <c r="V420" s="57" cm="1">
        <f t="array" ref="V420">VLOOKUP(B420,'Player Data'!$A1:$AE673,10,FALSE)*$Q420*IFERROR(((VLOOKUP(P420,Settings!$E$28:$F$33,2,FALSE)/2)+1),1)</f>
        <v>55.080000000000005</v>
      </c>
      <c r="W420" s="57" cm="1">
        <f t="array" ref="W420">VLOOKUP(B420,'Player Data'!$A1:$AE673,11,FALSE)*$Q420*IFERROR((VLOOKUP(P420,Settings!$E$28:$F$33,2,FALSE)+1),1)</f>
        <v>0</v>
      </c>
      <c r="X420" s="57" cm="1">
        <f t="array" ref="X420">VLOOKUP(B420,'Player Data'!$A1:$AE673,12,FALSE)*$Q420*IFERROR((VLOOKUP(P420,Settings!$E$28:$F$33,2,FALSE)+1),1)</f>
        <v>0</v>
      </c>
      <c r="Y420" s="57" cm="1">
        <f t="array" ref="Y420">VLOOKUP(B420,'Player Data'!$A1:$AE673,13,FALSE)*$Q420</f>
        <v>0</v>
      </c>
      <c r="Z420" s="57" cm="1">
        <f t="array" ref="Z420">VLOOKUP(B420,'Player Data'!$A1:$AE673,14,FALSE)*$Q420</f>
        <v>0.81</v>
      </c>
      <c r="AA420" s="57" cm="1">
        <f t="array" ref="AA420">VLOOKUP(B420,'Player Data'!$A1:$AE673,15,FALSE)*$Q420</f>
        <v>125.55</v>
      </c>
      <c r="AB420" s="57" cm="1">
        <f t="array" ref="AB420">VLOOKUP(B420,'Player Data'!$A1:$AE673,16,FALSE)*$Q420</f>
        <v>72.900000000000006</v>
      </c>
      <c r="AC420" s="57" cm="1">
        <f t="array" ref="AC420">VLOOKUP(B420,'Player Data'!$A1:$AE673,17,FALSE)*$Q420*IFERROR((VLOOKUP(P420,Settings!$E$28:$F$33,2,FALSE)+1),1)</f>
        <v>-8.91</v>
      </c>
      <c r="AD420" s="57" cm="1">
        <f t="array" ref="AD420">VLOOKUP(B420,'Player Data'!$A1:$AE673,18,FALSE)*$Q420</f>
        <v>44.550000000000004</v>
      </c>
      <c r="AE420" s="57" cm="1">
        <f t="array" ref="AE420">VLOOKUP(B420,'Player Data'!$A1:$AE673,19,FALSE)*$Q420*IFERROR((VLOOKUP(P420,Settings!$E$28:$F$33,2,FALSE)+1),1)</f>
        <v>0</v>
      </c>
      <c r="AF420" s="57" cm="1">
        <f t="array" ref="AF420">VLOOKUP(B420,'Player Data'!$A1:$AE673,20,FALSE)*$Q420</f>
        <v>0</v>
      </c>
      <c r="AG420" s="57" cm="1">
        <f t="array" ref="AG420">VLOOKUP(B420,'Player Data'!$A1:$AE673,21,FALSE)*$Q420</f>
        <v>0.81</v>
      </c>
      <c r="AH420" s="59" cm="1">
        <f t="array" ref="AH420">VLOOKUP(B420,'Player Data'!$A1:$AE673,22,FALSE)</f>
        <v>0</v>
      </c>
      <c r="AI420" s="55"/>
      <c r="AJ420" s="57"/>
      <c r="AK420" s="57"/>
      <c r="AL420" s="57"/>
      <c r="AM420" s="57"/>
      <c r="AN420" s="57"/>
      <c r="AO420" s="57"/>
      <c r="AP420" s="57"/>
      <c r="AQ420" s="60"/>
      <c r="AR420" s="61"/>
      <c r="AS420" s="55"/>
    </row>
    <row r="421" spans="1:45" ht="21.25" customHeight="1" x14ac:dyDescent="0.15">
      <c r="A421" s="62">
        <f>RANK(K421,K$2:K$671)</f>
        <v>409</v>
      </c>
      <c r="B421" s="10" t="s">
        <v>313</v>
      </c>
      <c r="C421" s="47" t="s">
        <v>145</v>
      </c>
      <c r="D421" s="48" t="str" cm="1">
        <f t="array" ref="D421">VLOOKUP(B421,'Player Data'!A1:D673,4,FALSE)</f>
        <v>LW,RW</v>
      </c>
      <c r="E421" s="74" cm="1">
        <f t="array" ref="E421">VLOOKUP(B421,RW!A1:F210,3,FALSE)</f>
        <v>92</v>
      </c>
      <c r="F421" s="18" t="str" cm="1">
        <f t="array" ref="F421">VLOOKUP(B421,'Player Data'!A1:B673,2,FALSE)</f>
        <v>VAN</v>
      </c>
      <c r="G421" s="11" cm="1">
        <f t="array" ref="G421">VLOOKUP(B421,'Player Data'!A1:D673,3,FALSE)</f>
        <v>29</v>
      </c>
      <c r="H421" s="51" cm="1">
        <f t="array" ref="H421">IFERROR(VLOOKUP(B421,ADP!A1:F671,6,FALSE)/1000000,VLOOKUP(B421,ADP!A1:F671,6,FALSE))</f>
        <v>7.25</v>
      </c>
      <c r="I421" s="52">
        <f>IF(Settings!$E$15="POINTS",((R421*Q421)*Settings!$B$12)+(S421*Settings!$B$2)+(T421*Settings!$B$3)+(U421*Settings!$B$4)+(V421*Settings!$B$5)+(X421*Settings!$B$9)+(AA421*Settings!$B$6)+(W421*Settings!$B$8)+(AB421*Settings!$B$7)+(AC421*Settings!$B$14)+(AD421*Settings!$B$15)+(AE421*Settings!$B$16)+(AF421*Settings!$B$17)+(AG421*Settings!$B$18)+(Y421*Settings!$B$10)+(Z421*Settings!$B$11),VLOOKUP(B421,'Standard Deviations'!A$1:C$672,3,FALSE))</f>
        <v>0.904929393653362</v>
      </c>
      <c r="J421" s="53" cm="1">
        <f t="array" ref="J421">IF(D421="G",I421/AJ421,I421/Q421)</f>
        <v>1.1035724312845878E-2</v>
      </c>
      <c r="K421" s="52" cm="1">
        <f t="array" ref="K421">IF(Settings!$E$18="C/LW/RW",VLOOKUP(B421,RW!A1:F210,6,FALSE),VLOOKUP(B421,F!A1:F407,6,FALSE))</f>
        <v>-5.9823052081557151</v>
      </c>
      <c r="L421" s="54" cm="1">
        <f t="array" ref="L421">IFERROR(K421/H421,"N/A")</f>
        <v>-0.82514554595251244</v>
      </c>
      <c r="M421" s="55">
        <v>140.19999999999999</v>
      </c>
      <c r="N421" s="55" cm="1">
        <f t="array" ref="N421">IFERROR(M421-A421,"N/A")</f>
        <v>-268.8</v>
      </c>
      <c r="O421" s="55"/>
      <c r="P421" s="56" cm="1">
        <f t="array" ref="P421">_xlfn.XLOOKUP($B421,ADP!A2:A671,ADP!G2:G671)</f>
        <v>0</v>
      </c>
      <c r="Q421" s="57" cm="1">
        <f t="array" ref="Q421">IF(Settings!$E$12="YES",VLOOKUP(B421,'Player Data'!A1:E673,5,FALSE),84)</f>
        <v>82</v>
      </c>
      <c r="R421" s="55" cm="1">
        <f t="array" ref="R421">VLOOKUP(B421,'Player Data'!$A1:$AE673,6,FALSE)</f>
        <v>19.3</v>
      </c>
      <c r="S421" s="57" cm="1">
        <f t="array" ref="S421">VLOOKUP(B421,'Player Data'!$A1:$AE673,7,FALSE)*$Q421*IFERROR((VLOOKUP(P421,Settings!$E$28:$F$33,2,FALSE)+1),1)</f>
        <v>27.880000000000003</v>
      </c>
      <c r="T421" s="57" cm="1">
        <f t="array" ref="T421">VLOOKUP(B421,'Player Data'!$A1:$AE673,8,FALSE)*$Q421*IFERROR((VLOOKUP(P421,Settings!$E$28:$F$33,2,FALSE)+1),1)</f>
        <v>29.52</v>
      </c>
      <c r="U421" s="57" cm="1">
        <f t="array" ref="U421">SUM(S421:T421)</f>
        <v>57.400000000000006</v>
      </c>
      <c r="V421" s="57" cm="1">
        <f t="array" ref="V421">VLOOKUP(B421,'Player Data'!$A1:$AE673,10,FALSE)*$Q421*IFERROR(((VLOOKUP(P421,Settings!$E$28:$F$33,2,FALSE)/2)+1),1)</f>
        <v>183.68</v>
      </c>
      <c r="W421" s="58" cm="1">
        <f t="array" ref="W421">VLOOKUP(B421,'Player Data'!$A1:$AE673,11,FALSE)*$Q421*IFERROR((VLOOKUP(P421,Settings!$E$28:$F$33,2,FALSE)+1),1)</f>
        <v>8.2000000000000011</v>
      </c>
      <c r="X421" s="57" cm="1">
        <f t="array" ref="X421">VLOOKUP(B421,'Player Data'!$A1:$AE673,12,FALSE)*$Q421*IFERROR((VLOOKUP(P421,Settings!$E$28:$F$33,2,FALSE)+1),1)</f>
        <v>20.5</v>
      </c>
      <c r="Y421" s="57" cm="1">
        <f t="array" ref="Y421">VLOOKUP(B421,'Player Data'!$A1:$AE673,13,FALSE)*$Q421</f>
        <v>0.82000000000000006</v>
      </c>
      <c r="Z421" s="57" cm="1">
        <f t="array" ref="Z421">VLOOKUP(B421,'Player Data'!$A1:$AE673,14,FALSE)*$Q421</f>
        <v>1.6400000000000001</v>
      </c>
      <c r="AA421" s="57" cm="1">
        <f t="array" ref="AA421">VLOOKUP(B421,'Player Data'!$A1:$AE673,15,FALSE)*$Q421</f>
        <v>34.44</v>
      </c>
      <c r="AB421" s="57" cm="1">
        <f t="array" ref="AB421">VLOOKUP(B421,'Player Data'!$A1:$AE673,16,FALSE)*$Q421</f>
        <v>67.239999999999995</v>
      </c>
      <c r="AC421" s="57" cm="1">
        <f t="array" ref="AC421">VLOOKUP(B421,'Player Data'!$A1:$AE673,17,FALSE)*$Q421*IFERROR((VLOOKUP(P421,Settings!$E$28:$F$33,2,FALSE)+1),1)</f>
        <v>-12.299999999999999</v>
      </c>
      <c r="AD421" s="57" cm="1">
        <f t="array" ref="AD421">VLOOKUP(B421,'Player Data'!$A1:$AE673,18,FALSE)*$Q421</f>
        <v>18.04</v>
      </c>
      <c r="AE421" s="57" cm="1">
        <f t="array" ref="AE421">VLOOKUP(B421,'Player Data'!$A1:$AE673,19,FALSE)*$Q421*IFERROR((VLOOKUP(P421,Settings!$E$28:$F$33,2,FALSE)+1),1)</f>
        <v>3.2800000000000002</v>
      </c>
      <c r="AF421" s="57" cm="1">
        <f t="array" ref="AF421">VLOOKUP(B421,'Player Data'!$A1:$AE673,20,FALSE)*$Q421</f>
        <v>48.379999999999995</v>
      </c>
      <c r="AG421" s="57" cm="1">
        <f t="array" ref="AG421">VLOOKUP(B421,'Player Data'!$A1:$AE673,21,FALSE)*$Q421</f>
        <v>71.34</v>
      </c>
      <c r="AH421" s="59" cm="1">
        <f t="array" ref="AH421">VLOOKUP(B421,'Player Data'!$A1:$AE673,22,FALSE)</f>
        <v>0.41</v>
      </c>
      <c r="AI421" s="55"/>
      <c r="AJ421" s="57"/>
      <c r="AK421" s="57"/>
      <c r="AL421" s="57"/>
      <c r="AM421" s="57"/>
      <c r="AN421" s="57"/>
      <c r="AO421" s="57"/>
      <c r="AP421" s="57"/>
      <c r="AQ421" s="60"/>
      <c r="AR421" s="61"/>
      <c r="AS421" s="55"/>
    </row>
    <row r="422" spans="1:45" ht="21.25" customHeight="1" x14ac:dyDescent="0.15">
      <c r="A422" s="62">
        <f>RANK(K422,K$2:K$671)</f>
        <v>414</v>
      </c>
      <c r="B422" s="10" t="s">
        <v>537</v>
      </c>
      <c r="C422" s="47" t="s">
        <v>145</v>
      </c>
      <c r="D422" s="48" t="str" cm="1">
        <f t="array" ref="D422">VLOOKUP(B422,'Player Data'!A1:D673,4,FALSE)</f>
        <v>C,LW</v>
      </c>
      <c r="E422" s="74" cm="1">
        <f t="array" ref="E422">VLOOKUP(B422,LW!A1:C210,3,FALSE)</f>
        <v>92</v>
      </c>
      <c r="F422" s="65" t="str" cm="1">
        <f t="array" ref="F422">VLOOKUP(B422,'Player Data'!A1:B673,2,FALSE)</f>
        <v>NSH</v>
      </c>
      <c r="G422" s="11" cm="1">
        <f t="array" ref="G422">VLOOKUP(B422,'Player Data'!A1:D673,3,FALSE)</f>
        <v>30</v>
      </c>
      <c r="H422" s="67" cm="1">
        <f t="array" ref="H422">IFERROR(VLOOKUP(B422,ADP!A1:F671,6,FALSE)/1000000,VLOOKUP(B422,ADP!A1:F671,6,FALSE))</f>
        <v>4</v>
      </c>
      <c r="I422" s="52">
        <f>IF(Settings!$E$15="POINTS",((R422*Q422)*Settings!$B$12)+(S422*Settings!$B$2)+(T422*Settings!$B$3)+(U422*Settings!$B$4)+(V422*Settings!$B$5)+(X422*Settings!$B$9)+(AA422*Settings!$B$6)+(W422*Settings!$B$8)+(AB422*Settings!$B$7)+(AC422*Settings!$B$14)+(AD422*Settings!$B$15)+(AE422*Settings!$B$16)+(AF422*Settings!$B$17)+(AG422*Settings!$B$18)+(Y422*Settings!$B$10)+(Z422*Settings!$B$11),VLOOKUP(B422,'Standard Deviations'!A$1:C$672,3,FALSE))</f>
        <v>0.77160668474823146</v>
      </c>
      <c r="J422" s="53" cm="1">
        <f t="array" ref="J422">IF(D422="G",I422/AJ422,I422/Q422)</f>
        <v>9.7671732246611583E-3</v>
      </c>
      <c r="K422" s="52" cm="1">
        <f t="array" ref="K422">IF(Settings!$E$18="C/LW/RW",VLOOKUP(B422,LW!A1:F210,6,FALSE),VLOOKUP(B422,F!A1:F407,6,FALSE))</f>
        <v>-6.122778959641578</v>
      </c>
      <c r="L422" s="54" cm="1">
        <f t="array" ref="L422">IFERROR(K422/H422,"N/A")</f>
        <v>-1.5306947399103945</v>
      </c>
      <c r="M422" s="84" t="s">
        <v>828</v>
      </c>
      <c r="N422" s="84" t="str" cm="1">
        <f t="array" ref="N422">IFERROR(M422-A422,"N/A")</f>
        <v>N/A</v>
      </c>
      <c r="O422" s="55"/>
      <c r="P422" s="56" cm="1">
        <f t="array" ref="P422">_xlfn.XLOOKUP($B422,ADP!A2:A671,ADP!G2:G671)</f>
        <v>0</v>
      </c>
      <c r="Q422" s="57" cm="1">
        <f t="array" ref="Q422">IF(Settings!$E$12="YES",VLOOKUP(B422,'Player Data'!A1:E673,5,FALSE),84)</f>
        <v>79</v>
      </c>
      <c r="R422" s="81" cm="1">
        <f t="array" ref="R422">VLOOKUP(B422,'Player Data'!$A1:$AE673,6,FALSE)</f>
        <v>14.8</v>
      </c>
      <c r="S422" s="57" cm="1">
        <f t="array" ref="S422">VLOOKUP(B422,'Player Data'!$A1:$AE673,7,FALSE)*$Q422*IFERROR((VLOOKUP(P422,Settings!$E$28:$F$33,2,FALSE)+1),1)</f>
        <v>13.430000000000001</v>
      </c>
      <c r="T422" s="57" cm="1">
        <f t="array" ref="T422">VLOOKUP(B422,'Player Data'!$A1:$AE673,8,FALSE)*$Q422*IFERROR((VLOOKUP(P422,Settings!$E$28:$F$33,2,FALSE)+1),1)</f>
        <v>17.38</v>
      </c>
      <c r="U422" s="57" cm="1">
        <f t="array" ref="U422">SUM(S422:T422)</f>
        <v>30.810000000000002</v>
      </c>
      <c r="V422" s="57" cm="1">
        <f t="array" ref="V422">VLOOKUP(B422,'Player Data'!$A1:$AE673,10,FALSE)*$Q422*IFERROR(((VLOOKUP(P422,Settings!$E$28:$F$33,2,FALSE)/2)+1),1)</f>
        <v>158.79</v>
      </c>
      <c r="W422" s="57" cm="1">
        <f t="array" ref="W422">VLOOKUP(B422,'Player Data'!$A1:$AE673,11,FALSE)*$Q422*IFERROR((VLOOKUP(P422,Settings!$E$28:$F$33,2,FALSE)+1),1)</f>
        <v>0.79</v>
      </c>
      <c r="X422" s="57" cm="1">
        <f t="array" ref="X422">VLOOKUP(B422,'Player Data'!$A1:$AE673,12,FALSE)*$Q422*IFERROR((VLOOKUP(P422,Settings!$E$28:$F$33,2,FALSE)+1),1)</f>
        <v>2.37</v>
      </c>
      <c r="Y422" s="57" cm="1">
        <f t="array" ref="Y422">VLOOKUP(B422,'Player Data'!$A1:$AE673,13,FALSE)*$Q422</f>
        <v>0</v>
      </c>
      <c r="Z422" s="57" cm="1">
        <f t="array" ref="Z422">VLOOKUP(B422,'Player Data'!$A1:$AE673,14,FALSE)*$Q422</f>
        <v>0</v>
      </c>
      <c r="AA422" s="57" cm="1">
        <f t="array" ref="AA422">VLOOKUP(B422,'Player Data'!$A1:$AE673,15,FALSE)*$Q422</f>
        <v>37.92</v>
      </c>
      <c r="AB422" s="57" cm="1">
        <f t="array" ref="AB422">VLOOKUP(B422,'Player Data'!$A1:$AE673,16,FALSE)*$Q422</f>
        <v>169.06</v>
      </c>
      <c r="AC422" s="57" cm="1">
        <f t="array" ref="AC422">VLOOKUP(B422,'Player Data'!$A1:$AE673,17,FALSE)*$Q422*IFERROR((VLOOKUP(P422,Settings!$E$28:$F$33,2,FALSE)+1),1)</f>
        <v>-1.58</v>
      </c>
      <c r="AD422" s="57" cm="1">
        <f t="array" ref="AD422">VLOOKUP(B422,'Player Data'!$A1:$AE673,18,FALSE)*$Q422</f>
        <v>29.23</v>
      </c>
      <c r="AE422" s="57" cm="1">
        <f t="array" ref="AE422">VLOOKUP(B422,'Player Data'!$A1:$AE673,19,FALSE)*$Q422*IFERROR((VLOOKUP(P422,Settings!$E$28:$F$33,2,FALSE)+1),1)</f>
        <v>1.58</v>
      </c>
      <c r="AF422" s="57" cm="1">
        <f t="array" ref="AF422">VLOOKUP(B422,'Player Data'!$A1:$AE673,20,FALSE)*$Q422</f>
        <v>121.66</v>
      </c>
      <c r="AG422" s="57" cm="1">
        <f t="array" ref="AG422">VLOOKUP(B422,'Player Data'!$A1:$AE673,21,FALSE)*$Q422</f>
        <v>140.62</v>
      </c>
      <c r="AH422" s="59" cm="1">
        <f t="array" ref="AH422">VLOOKUP(B422,'Player Data'!$A1:$AE673,22,FALSE)</f>
        <v>0.46</v>
      </c>
      <c r="AI422" s="55"/>
      <c r="AJ422" s="57"/>
      <c r="AK422" s="57"/>
      <c r="AL422" s="57"/>
      <c r="AM422" s="57"/>
      <c r="AN422" s="57"/>
      <c r="AO422" s="57"/>
      <c r="AP422" s="57"/>
      <c r="AQ422" s="60"/>
      <c r="AR422" s="61"/>
      <c r="AS422" s="55"/>
    </row>
    <row r="423" spans="1:45" ht="21.25" customHeight="1" x14ac:dyDescent="0.15">
      <c r="A423" s="62">
        <f>RANK(K423,K$2:K$671)</f>
        <v>410</v>
      </c>
      <c r="B423" s="10" t="s">
        <v>596</v>
      </c>
      <c r="C423" s="47" t="s">
        <v>145</v>
      </c>
      <c r="D423" s="48" t="str" cm="1">
        <f t="array" ref="D423">VLOOKUP(B423,'Player Data'!A1:D673,4,FALSE)</f>
        <v>LW,RW</v>
      </c>
      <c r="E423" s="74" cm="1">
        <f t="array" ref="E423">VLOOKUP(B423,RW!A1:F210,3,FALSE)</f>
        <v>93</v>
      </c>
      <c r="F423" s="50" t="str" cm="1">
        <f t="array" ref="F423">VLOOKUP(B423,'Player Data'!A1:B673,2,FALSE)</f>
        <v>COL</v>
      </c>
      <c r="G423" s="66" cm="1">
        <f t="array" ref="G423">VLOOKUP(B423,'Player Data'!A1:D673,3,FALSE)</f>
        <v>33</v>
      </c>
      <c r="H423" s="51" cm="1">
        <f t="array" ref="H423">IFERROR(VLOOKUP(B423,ADP!A1:F671,6,FALSE)/1000000,VLOOKUP(B423,ADP!A1:F671,6,FALSE))</f>
        <v>7</v>
      </c>
      <c r="I423" s="52">
        <f>IF(Settings!$E$15="POINTS",((R423*Q423)*Settings!$B$12)+(S423*Settings!$B$2)+(T423*Settings!$B$3)+(U423*Settings!$B$4)+(V423*Settings!$B$5)+(X423*Settings!$B$9)+(AA423*Settings!$B$6)+(W423*Settings!$B$8)+(AB423*Settings!$B$7)+(AC423*Settings!$B$14)+(AD423*Settings!$B$15)+(AE423*Settings!$B$16)+(AF423*Settings!$B$17)+(AG423*Settings!$B$18)+(Y423*Settings!$B$10)+(Z423*Settings!$B$11),VLOOKUP(B423,'Standard Deviations'!A$1:C$672,3,FALSE))</f>
        <v>0.81570949302161677</v>
      </c>
      <c r="J423" s="53" cm="1">
        <f t="array" ref="J423">IF(D423="G",I423/AJ423,I423/Q423)</f>
        <v>1.3156604726155109E-2</v>
      </c>
      <c r="K423" s="52" cm="1">
        <f t="array" ref="K423">IF(Settings!$E$18="C/LW/RW",VLOOKUP(B423,RW!A1:F210,6,FALSE),VLOOKUP(B423,F!A1:F407,6,FALSE))</f>
        <v>-6.0715251087874611</v>
      </c>
      <c r="L423" s="54" cm="1">
        <f t="array" ref="L423">IFERROR(K423/H423,"N/A")</f>
        <v>-0.86736072982678014</v>
      </c>
      <c r="M423" s="55">
        <v>132.6</v>
      </c>
      <c r="N423" s="55" cm="1">
        <f t="array" ref="N423">IFERROR(M423-A423,"N/A")</f>
        <v>-277.39999999999998</v>
      </c>
      <c r="O423" s="55"/>
      <c r="P423" s="56" cm="1">
        <f t="array" ref="P423">_xlfn.XLOOKUP($B423,ADP!A2:A671,ADP!G2:G671)</f>
        <v>0</v>
      </c>
      <c r="Q423" s="57" cm="1">
        <f t="array" ref="Q423">IF(Settings!$E$12="YES",VLOOKUP(B423,'Player Data'!A1:E673,5,FALSE),84)</f>
        <v>62</v>
      </c>
      <c r="R423" s="55" cm="1">
        <f t="array" ref="R423">VLOOKUP(B423,'Player Data'!$A1:$AE673,6,FALSE)</f>
        <v>16</v>
      </c>
      <c r="S423" s="57" cm="1">
        <f t="array" ref="S423">VLOOKUP(B423,'Player Data'!$A1:$AE673,7,FALSE)*$Q423*IFERROR((VLOOKUP(P423,Settings!$E$28:$F$33,2,FALSE)+1),1)</f>
        <v>13.02</v>
      </c>
      <c r="T423" s="57" cm="1">
        <f t="array" ref="T423">VLOOKUP(B423,'Player Data'!$A1:$AE673,8,FALSE)*$Q423*IFERROR((VLOOKUP(P423,Settings!$E$28:$F$33,2,FALSE)+1),1)</f>
        <v>20.46</v>
      </c>
      <c r="U423" s="57" cm="1">
        <f t="array" ref="U423">SUM(S423:T423)</f>
        <v>33.480000000000004</v>
      </c>
      <c r="V423" s="57" cm="1">
        <f t="array" ref="V423">VLOOKUP(B423,'Player Data'!$A1:$AE673,10,FALSE)*$Q423*IFERROR(((VLOOKUP(P423,Settings!$E$28:$F$33,2,FALSE)/2)+1),1)</f>
        <v>128.34</v>
      </c>
      <c r="W423" s="57" cm="1">
        <f t="array" ref="W423">VLOOKUP(B423,'Player Data'!$A1:$AE673,11,FALSE)*$Q423*IFERROR((VLOOKUP(P423,Settings!$E$28:$F$33,2,FALSE)+1),1)</f>
        <v>2.48</v>
      </c>
      <c r="X423" s="78" cm="1">
        <f t="array" ref="X423">VLOOKUP(B423,'Player Data'!$A1:$AE673,12,FALSE)*$Q423*IFERROR((VLOOKUP(P423,Settings!$E$28:$F$33,2,FALSE)+1),1)</f>
        <v>6.2</v>
      </c>
      <c r="Y423" s="57" cm="1">
        <f t="array" ref="Y423">VLOOKUP(B423,'Player Data'!$A1:$AE673,13,FALSE)*$Q423</f>
        <v>0</v>
      </c>
      <c r="Z423" s="57" cm="1">
        <f t="array" ref="Z423">VLOOKUP(B423,'Player Data'!$A1:$AE673,14,FALSE)*$Q423</f>
        <v>0</v>
      </c>
      <c r="AA423" s="57" cm="1">
        <f t="array" ref="AA423">VLOOKUP(B423,'Player Data'!$A1:$AE673,15,FALSE)*$Q423</f>
        <v>31</v>
      </c>
      <c r="AB423" s="57" cm="1">
        <f t="array" ref="AB423">VLOOKUP(B423,'Player Data'!$A1:$AE673,16,FALSE)*$Q423</f>
        <v>80.600000000000009</v>
      </c>
      <c r="AC423" s="57" cm="1">
        <f t="array" ref="AC423">VLOOKUP(B423,'Player Data'!$A1:$AE673,17,FALSE)*$Q423*IFERROR((VLOOKUP(P423,Settings!$E$28:$F$33,2,FALSE)+1),1)</f>
        <v>6.82</v>
      </c>
      <c r="AD423" s="57" cm="1">
        <f t="array" ref="AD423">VLOOKUP(B423,'Player Data'!$A1:$AE673,18,FALSE)*$Q423</f>
        <v>36.58</v>
      </c>
      <c r="AE423" s="57" cm="1">
        <f t="array" ref="AE423">VLOOKUP(B423,'Player Data'!$A1:$AE673,19,FALSE)*$Q423*IFERROR((VLOOKUP(P423,Settings!$E$28:$F$33,2,FALSE)+1),1)</f>
        <v>2.48</v>
      </c>
      <c r="AF423" s="57" cm="1">
        <f t="array" ref="AF423">VLOOKUP(B423,'Player Data'!$A1:$AE673,20,FALSE)*$Q423</f>
        <v>163.68</v>
      </c>
      <c r="AG423" s="57" cm="1">
        <f t="array" ref="AG423">VLOOKUP(B423,'Player Data'!$A1:$AE673,21,FALSE)*$Q423</f>
        <v>99.2</v>
      </c>
      <c r="AH423" s="59" cm="1">
        <f t="array" ref="AH423">VLOOKUP(B423,'Player Data'!$A1:$AE673,22,FALSE)</f>
        <v>0.62</v>
      </c>
      <c r="AI423" s="55"/>
      <c r="AJ423" s="57"/>
      <c r="AK423" s="57"/>
      <c r="AL423" s="57"/>
      <c r="AM423" s="57"/>
      <c r="AN423" s="57"/>
      <c r="AO423" s="57"/>
      <c r="AP423" s="57"/>
      <c r="AQ423" s="60"/>
      <c r="AR423" s="61"/>
      <c r="AS423" s="55"/>
    </row>
    <row r="424" spans="1:45" ht="21.25" customHeight="1" x14ac:dyDescent="0.15">
      <c r="A424" s="62">
        <f>RANK(K424,K$2:K$671)</f>
        <v>411</v>
      </c>
      <c r="B424" s="10" t="s">
        <v>567</v>
      </c>
      <c r="C424" s="47" t="s">
        <v>145</v>
      </c>
      <c r="D424" s="48" t="str" cm="1">
        <f t="array" ref="D424">VLOOKUP(B424,'Player Data'!A1:D673,4,FALSE)</f>
        <v>LW,RW</v>
      </c>
      <c r="E424" s="74" cm="1">
        <f t="array" ref="E424">VLOOKUP(B424,RW!A1:F210,3,FALSE)</f>
        <v>94</v>
      </c>
      <c r="F424" s="72" t="str" cm="1">
        <f t="array" ref="F424">VLOOKUP(B424,'Player Data'!A1:B673,2,FALSE)</f>
        <v>NYI</v>
      </c>
      <c r="G424" s="71" cm="1">
        <f t="array" ref="G424">VLOOKUP(B424,'Player Data'!A1:D673,3,FALSE)</f>
        <v>24</v>
      </c>
      <c r="H424" s="67" cm="1">
        <f t="array" ref="H424">IFERROR(VLOOKUP(B424,ADP!A1:F671,6,FALSE)/1000000,VLOOKUP(B424,ADP!A1:F671,6,FALSE))</f>
        <v>1.1000000000000001</v>
      </c>
      <c r="I424" s="52">
        <f>IF(Settings!$E$15="POINTS",((R424*Q424)*Settings!$B$12)+(S424*Settings!$B$2)+(T424*Settings!$B$3)+(U424*Settings!$B$4)+(V424*Settings!$B$5)+(X424*Settings!$B$9)+(AA424*Settings!$B$6)+(W424*Settings!$B$8)+(AB424*Settings!$B$7)+(AC424*Settings!$B$14)+(AD424*Settings!$B$15)+(AE424*Settings!$B$16)+(AF424*Settings!$B$17)+(AG424*Settings!$B$18)+(Y424*Settings!$B$10)+(Z424*Settings!$B$11),VLOOKUP(B424,'Standard Deviations'!A$1:C$672,3,FALSE))</f>
        <v>0.81039487407421129</v>
      </c>
      <c r="J424" s="53" cm="1">
        <f t="array" ref="J424">IF(D424="G",I424/AJ424,I424/Q424)</f>
        <v>1.0258162962964701E-2</v>
      </c>
      <c r="K424" s="52" cm="1">
        <f t="array" ref="K424">IF(Settings!$E$18="C/LW/RW",VLOOKUP(B424,RW!A1:F210,6,FALSE),VLOOKUP(B424,F!A1:F407,6,FALSE))</f>
        <v>-6.0768397277348658</v>
      </c>
      <c r="L424" s="54" cm="1">
        <f t="array" ref="L424">IFERROR(K424/H424,"N/A")</f>
        <v>-5.5243997524862412</v>
      </c>
      <c r="M424" s="84" t="s">
        <v>828</v>
      </c>
      <c r="N424" s="84" t="str" cm="1">
        <f t="array" ref="N424">IFERROR(M424-A424,"N/A")</f>
        <v>N/A</v>
      </c>
      <c r="O424" s="55"/>
      <c r="P424" s="56" cm="1">
        <f t="array" ref="P424">_xlfn.XLOOKUP($B424,ADP!A2:A671,ADP!G2:G671)</f>
        <v>0</v>
      </c>
      <c r="Q424" s="57" cm="1">
        <f t="array" ref="Q424">IF(Settings!$E$12="YES",VLOOKUP(B424,'Player Data'!A1:E673,5,FALSE),84)</f>
        <v>79</v>
      </c>
      <c r="R424" s="83" cm="1">
        <f t="array" ref="R424">VLOOKUP(B424,'Player Data'!$A1:$AE673,6,FALSE)</f>
        <v>15.6</v>
      </c>
      <c r="S424" s="57" cm="1">
        <f t="array" ref="S424">VLOOKUP(B424,'Player Data'!$A1:$AE673,7,FALSE)*$Q424*IFERROR((VLOOKUP(P424,Settings!$E$28:$F$33,2,FALSE)+1),1)</f>
        <v>18.170000000000002</v>
      </c>
      <c r="T424" s="57" cm="1">
        <f t="array" ref="T424">VLOOKUP(B424,'Player Data'!$A1:$AE673,8,FALSE)*$Q424*IFERROR((VLOOKUP(P424,Settings!$E$28:$F$33,2,FALSE)+1),1)</f>
        <v>12.64</v>
      </c>
      <c r="U424" s="57" cm="1">
        <f t="array" ref="U424">SUM(S424:T424)</f>
        <v>30.810000000000002</v>
      </c>
      <c r="V424" s="57" cm="1">
        <f t="array" ref="V424">VLOOKUP(B424,'Player Data'!$A1:$AE673,10,FALSE)*$Q424*IFERROR(((VLOOKUP(P424,Settings!$E$28:$F$33,2,FALSE)/2)+1),1)</f>
        <v>143.78</v>
      </c>
      <c r="W424" s="57" cm="1">
        <f t="array" ref="W424">VLOOKUP(B424,'Player Data'!$A1:$AE673,11,FALSE)*$Q424*IFERROR((VLOOKUP(P424,Settings!$E$28:$F$33,2,FALSE)+1),1)</f>
        <v>3.16</v>
      </c>
      <c r="X424" s="57" cm="1">
        <f t="array" ref="X424">VLOOKUP(B424,'Player Data'!$A1:$AE673,12,FALSE)*$Q424*IFERROR((VLOOKUP(P424,Settings!$E$28:$F$33,2,FALSE)+1),1)</f>
        <v>4.74</v>
      </c>
      <c r="Y424" s="57" cm="1">
        <f t="array" ref="Y424">VLOOKUP(B424,'Player Data'!$A1:$AE673,13,FALSE)*$Q424</f>
        <v>0</v>
      </c>
      <c r="Z424" s="57" cm="1">
        <f t="array" ref="Z424">VLOOKUP(B424,'Player Data'!$A1:$AE673,14,FALSE)*$Q424</f>
        <v>0</v>
      </c>
      <c r="AA424" s="57" cm="1">
        <f t="array" ref="AA424">VLOOKUP(B424,'Player Data'!$A1:$AE673,15,FALSE)*$Q424</f>
        <v>45.82</v>
      </c>
      <c r="AB424" s="57" cm="1">
        <f t="array" ref="AB424">VLOOKUP(B424,'Player Data'!$A1:$AE673,16,FALSE)*$Q424</f>
        <v>206.98000000000002</v>
      </c>
      <c r="AC424" s="57" cm="1">
        <f t="array" ref="AC424">VLOOKUP(B424,'Player Data'!$A1:$AE673,17,FALSE)*$Q424*IFERROR((VLOOKUP(P424,Settings!$E$28:$F$33,2,FALSE)+1),1)</f>
        <v>-5.53</v>
      </c>
      <c r="AD424" s="57" cm="1">
        <f t="array" ref="AD424">VLOOKUP(B424,'Player Data'!$A1:$AE673,18,FALSE)*$Q424</f>
        <v>23.7</v>
      </c>
      <c r="AE424" s="57" cm="1">
        <f t="array" ref="AE424">VLOOKUP(B424,'Player Data'!$A1:$AE673,19,FALSE)*$Q424*IFERROR((VLOOKUP(P424,Settings!$E$28:$F$33,2,FALSE)+1),1)</f>
        <v>2.37</v>
      </c>
      <c r="AF424" s="57" cm="1">
        <f t="array" ref="AF424">VLOOKUP(B424,'Player Data'!$A1:$AE673,20,FALSE)*$Q424</f>
        <v>4.74</v>
      </c>
      <c r="AG424" s="57" cm="1">
        <f t="array" ref="AG424">VLOOKUP(B424,'Player Data'!$A1:$AE673,21,FALSE)*$Q424</f>
        <v>12.64</v>
      </c>
      <c r="AH424" s="59" cm="1">
        <f t="array" ref="AH424">VLOOKUP(B424,'Player Data'!$A1:$AE673,22,FALSE)</f>
        <v>0.28000000000000003</v>
      </c>
      <c r="AI424" s="55"/>
      <c r="AJ424" s="57"/>
      <c r="AK424" s="57"/>
      <c r="AL424" s="57"/>
      <c r="AM424" s="57"/>
      <c r="AN424" s="57"/>
      <c r="AO424" s="57"/>
      <c r="AP424" s="57"/>
      <c r="AQ424" s="60"/>
      <c r="AR424" s="61"/>
      <c r="AS424" s="55"/>
    </row>
    <row r="425" spans="1:45" ht="21.25" customHeight="1" x14ac:dyDescent="0.15">
      <c r="A425" s="62">
        <f>RANK(K425,K$2:K$671)</f>
        <v>417</v>
      </c>
      <c r="B425" s="10" t="s">
        <v>663</v>
      </c>
      <c r="C425" s="47" t="s">
        <v>145</v>
      </c>
      <c r="D425" s="48" t="str" cm="1">
        <f t="array" ref="D425">VLOOKUP(B425,'Player Data'!A1:D673,4,FALSE)</f>
        <v>C,LW</v>
      </c>
      <c r="E425" s="74" cm="1">
        <f t="array" ref="E425">VLOOKUP(B425,LW!A1:C210,3,FALSE)</f>
        <v>94</v>
      </c>
      <c r="F425" s="63" t="str" cm="1">
        <f t="array" ref="F425">VLOOKUP(B425,'Player Data'!A1:B673,2,FALSE)</f>
        <v>DAL</v>
      </c>
      <c r="G425" s="11" cm="1">
        <f t="array" ref="G425">VLOOKUP(B425,'Player Data'!A1:D673,3,FALSE)</f>
        <v>25</v>
      </c>
      <c r="H425" s="51" cm="1">
        <f t="array" ref="H425">IFERROR(VLOOKUP(B425,ADP!A1:F671,6,FALSE)/1000000,VLOOKUP(B425,ADP!A1:F671,6,FALSE))</f>
        <v>0.95</v>
      </c>
      <c r="I425" s="52">
        <f>IF(Settings!$E$15="POINTS",((R425*Q425)*Settings!$B$12)+(S425*Settings!$B$2)+(T425*Settings!$B$3)+(U425*Settings!$B$4)+(V425*Settings!$B$5)+(X425*Settings!$B$9)+(AA425*Settings!$B$6)+(W425*Settings!$B$8)+(AB425*Settings!$B$7)+(AC425*Settings!$B$14)+(AD425*Settings!$B$15)+(AE425*Settings!$B$16)+(AF425*Settings!$B$17)+(AG425*Settings!$B$18)+(Y425*Settings!$B$10)+(Z425*Settings!$B$11),VLOOKUP(B425,'Standard Deviations'!A$1:C$672,3,FALSE))</f>
        <v>0.71433347191421137</v>
      </c>
      <c r="J425" s="53" cm="1">
        <f t="array" ref="J425">IF(D425="G",I425/AJ425,I425/Q425)</f>
        <v>8.8189317520273001E-3</v>
      </c>
      <c r="K425" s="52" cm="1">
        <f t="array" ref="K425">IF(Settings!$E$18="C/LW/RW",VLOOKUP(B425,LW!A1:F210,6,FALSE),VLOOKUP(B425,F!A1:F407,6,FALSE))</f>
        <v>-6.1800521724755981</v>
      </c>
      <c r="L425" s="54" cm="1">
        <f t="array" ref="L425">IFERROR(K425/H425,"N/A")</f>
        <v>-6.5053180762901039</v>
      </c>
      <c r="M425" s="84" t="s">
        <v>828</v>
      </c>
      <c r="N425" s="84" t="str" cm="1">
        <f t="array" ref="N425">IFERROR(M425-A425,"N/A")</f>
        <v>N/A</v>
      </c>
      <c r="O425" s="55"/>
      <c r="P425" s="56" cm="1">
        <f t="array" ref="P425">_xlfn.XLOOKUP($B425,ADP!A2:A671,ADP!G2:G671)</f>
        <v>0</v>
      </c>
      <c r="Q425" s="57" cm="1">
        <f t="array" ref="Q425">IF(Settings!$E$12="YES",VLOOKUP(B425,'Player Data'!A1:E673,5,FALSE),84)</f>
        <v>81</v>
      </c>
      <c r="R425" s="55" cm="1">
        <f t="array" ref="R425">VLOOKUP(B425,'Player Data'!$A1:$AE673,6,FALSE)</f>
        <v>13.5</v>
      </c>
      <c r="S425" s="57" cm="1">
        <f t="array" ref="S425">VLOOKUP(B425,'Player Data'!$A1:$AE673,7,FALSE)*$Q425*IFERROR((VLOOKUP(P425,Settings!$E$28:$F$33,2,FALSE)+1),1)</f>
        <v>14.58</v>
      </c>
      <c r="T425" s="57" cm="1">
        <f t="array" ref="T425">VLOOKUP(B425,'Player Data'!$A1:$AE673,8,FALSE)*$Q425*IFERROR((VLOOKUP(P425,Settings!$E$28:$F$33,2,FALSE)+1),1)</f>
        <v>18.630000000000003</v>
      </c>
      <c r="U425" s="57" cm="1">
        <f t="array" ref="U425">SUM(S425:T425)</f>
        <v>33.21</v>
      </c>
      <c r="V425" s="57" cm="1">
        <f t="array" ref="V425">VLOOKUP(B425,'Player Data'!$A1:$AE673,10,FALSE)*$Q425*IFERROR(((VLOOKUP(P425,Settings!$E$28:$F$33,2,FALSE)/2)+1),1)</f>
        <v>97.2</v>
      </c>
      <c r="W425" s="57" cm="1">
        <f t="array" ref="W425">VLOOKUP(B425,'Player Data'!$A1:$AE673,11,FALSE)*$Q425*IFERROR((VLOOKUP(P425,Settings!$E$28:$F$33,2,FALSE)+1),1)</f>
        <v>2.4299999999999997</v>
      </c>
      <c r="X425" s="57" cm="1">
        <f t="array" ref="X425">VLOOKUP(B425,'Player Data'!$A1:$AE673,12,FALSE)*$Q425*IFERROR((VLOOKUP(P425,Settings!$E$28:$F$33,2,FALSE)+1),1)</f>
        <v>5.6700000000000008</v>
      </c>
      <c r="Y425" s="57" cm="1">
        <f t="array" ref="Y425">VLOOKUP(B425,'Player Data'!$A1:$AE673,13,FALSE)*$Q425</f>
        <v>0</v>
      </c>
      <c r="Z425" s="57" cm="1">
        <f t="array" ref="Z425">VLOOKUP(B425,'Player Data'!$A1:$AE673,14,FALSE)*$Q425</f>
        <v>0</v>
      </c>
      <c r="AA425" s="57" cm="1">
        <f t="array" ref="AA425">VLOOKUP(B425,'Player Data'!$A1:$AE673,15,FALSE)*$Q425</f>
        <v>46.169999999999995</v>
      </c>
      <c r="AB425" s="57" cm="1">
        <f t="array" ref="AB425">VLOOKUP(B425,'Player Data'!$A1:$AE673,16,FALSE)*$Q425</f>
        <v>123.93</v>
      </c>
      <c r="AC425" s="57" cm="1">
        <f t="array" ref="AC425">VLOOKUP(B425,'Player Data'!$A1:$AE673,17,FALSE)*$Q425*IFERROR((VLOOKUP(P425,Settings!$E$28:$F$33,2,FALSE)+1),1)</f>
        <v>4.8599999999999994</v>
      </c>
      <c r="AD425" s="57" cm="1">
        <f t="array" ref="AD425">VLOOKUP(B425,'Player Data'!$A1:$AE673,18,FALSE)*$Q425</f>
        <v>35.64</v>
      </c>
      <c r="AE425" s="57" cm="1">
        <f t="array" ref="AE425">VLOOKUP(B425,'Player Data'!$A1:$AE673,19,FALSE)*$Q425*IFERROR((VLOOKUP(P425,Settings!$E$28:$F$33,2,FALSE)+1),1)</f>
        <v>2.4299999999999997</v>
      </c>
      <c r="AF425" s="57" cm="1">
        <f t="array" ref="AF425">VLOOKUP(B425,'Player Data'!$A1:$AE673,20,FALSE)*$Q425</f>
        <v>191.97</v>
      </c>
      <c r="AG425" s="57" cm="1">
        <f t="array" ref="AG425">VLOOKUP(B425,'Player Data'!$A1:$AE673,21,FALSE)*$Q425</f>
        <v>155.51999999999998</v>
      </c>
      <c r="AH425" s="59" cm="1">
        <f t="array" ref="AH425">VLOOKUP(B425,'Player Data'!$A1:$AE673,22,FALSE)</f>
        <v>0.55000000000000004</v>
      </c>
      <c r="AI425" s="55"/>
      <c r="AJ425" s="57"/>
      <c r="AK425" s="57"/>
      <c r="AL425" s="57"/>
      <c r="AM425" s="57"/>
      <c r="AN425" s="57"/>
      <c r="AO425" s="57"/>
      <c r="AP425" s="57"/>
      <c r="AQ425" s="60"/>
      <c r="AR425" s="61"/>
      <c r="AS425" s="55"/>
    </row>
    <row r="426" spans="1:45" ht="21.25" customHeight="1" x14ac:dyDescent="0.15">
      <c r="A426" s="62">
        <f>RANK(K426,K$2:K$671)</f>
        <v>418</v>
      </c>
      <c r="B426" s="10" t="s">
        <v>750</v>
      </c>
      <c r="C426" s="47" t="s">
        <v>145</v>
      </c>
      <c r="D426" s="48" t="str" cm="1">
        <f t="array" ref="D426">VLOOKUP(B426,'Player Data'!A1:D673,4,FALSE)</f>
        <v>C,LW</v>
      </c>
      <c r="E426" s="74" cm="1">
        <f t="array" ref="E426">VLOOKUP(B426,LW!A1:C210,3,FALSE)</f>
        <v>95</v>
      </c>
      <c r="F426" s="63" t="str" cm="1">
        <f t="array" ref="F426">VLOOKUP(B426,'Player Data'!A1:B673,2,FALSE)</f>
        <v>EDM</v>
      </c>
      <c r="G426" s="71" cm="1">
        <f t="array" ref="G426">VLOOKUP(B426,'Player Data'!A1:D673,3,FALSE)</f>
        <v>23</v>
      </c>
      <c r="H426" s="51" cm="1">
        <f t="array" ref="H426">IFERROR(VLOOKUP(B426,ADP!A1:F671,6,FALSE)/1000000,VLOOKUP(B426,ADP!A1:F671,6,FALSE))</f>
        <v>1.2</v>
      </c>
      <c r="I426" s="52">
        <f>IF(Settings!$E$15="POINTS",((R426*Q426)*Settings!$B$12)+(S426*Settings!$B$2)+(T426*Settings!$B$3)+(U426*Settings!$B$4)+(V426*Settings!$B$5)+(X426*Settings!$B$9)+(AA426*Settings!$B$6)+(W426*Settings!$B$8)+(AB426*Settings!$B$7)+(AC426*Settings!$B$14)+(AD426*Settings!$B$15)+(AE426*Settings!$B$16)+(AF426*Settings!$B$17)+(AG426*Settings!$B$18)+(Y426*Settings!$B$10)+(Z426*Settings!$B$11),VLOOKUP(B426,'Standard Deviations'!A$1:C$672,3,FALSE))</f>
        <v>0.70853096857718834</v>
      </c>
      <c r="J426" s="53" cm="1">
        <f t="array" ref="J426">IF(D426="G",I426/AJ426,I426/Q426)</f>
        <v>9.4470795810291785E-3</v>
      </c>
      <c r="K426" s="52" cm="1">
        <f t="array" ref="K426">IF(Settings!$E$18="C/LW/RW",VLOOKUP(B426,LW!A1:F210,6,FALSE),VLOOKUP(B426,F!A1:F407,6,FALSE))</f>
        <v>-6.1858546758126209</v>
      </c>
      <c r="L426" s="54" cm="1">
        <f t="array" ref="L426">IFERROR(K426/H426,"N/A")</f>
        <v>-5.1548788965105174</v>
      </c>
      <c r="M426" s="84" t="s">
        <v>828</v>
      </c>
      <c r="N426" s="84" t="str" cm="1">
        <f t="array" ref="N426">IFERROR(M426-A426,"N/A")</f>
        <v>N/A</v>
      </c>
      <c r="O426" s="55"/>
      <c r="P426" s="56" cm="1">
        <f t="array" ref="P426">_xlfn.XLOOKUP($B426,ADP!A2:A671,ADP!G2:G671)</f>
        <v>0</v>
      </c>
      <c r="Q426" s="57" cm="1">
        <f t="array" ref="Q426">IF(Settings!$E$12="YES",VLOOKUP(B426,'Player Data'!A1:E673,5,FALSE),84)</f>
        <v>75</v>
      </c>
      <c r="R426" s="55" cm="1">
        <f t="array" ref="R426">VLOOKUP(B426,'Player Data'!$A1:$AE673,6,FALSE)</f>
        <v>11.5</v>
      </c>
      <c r="S426" s="57" cm="1">
        <f t="array" ref="S426">VLOOKUP(B426,'Player Data'!$A1:$AE673,7,FALSE)*$Q426*IFERROR((VLOOKUP(P426,Settings!$E$28:$F$33,2,FALSE)+1),1)</f>
        <v>7.5</v>
      </c>
      <c r="T426" s="57" cm="1">
        <f t="array" ref="T426">VLOOKUP(B426,'Player Data'!$A1:$AE673,8,FALSE)*$Q426*IFERROR((VLOOKUP(P426,Settings!$E$28:$F$33,2,FALSE)+1),1)</f>
        <v>12</v>
      </c>
      <c r="U426" s="57" cm="1">
        <f t="array" ref="U426">SUM(S426:T426)</f>
        <v>19.5</v>
      </c>
      <c r="V426" s="57" cm="1">
        <f t="array" ref="V426">VLOOKUP(B426,'Player Data'!$A1:$AE673,10,FALSE)*$Q426*IFERROR(((VLOOKUP(P426,Settings!$E$28:$F$33,2,FALSE)/2)+1),1)</f>
        <v>75</v>
      </c>
      <c r="W426" s="57" cm="1">
        <f t="array" ref="W426">VLOOKUP(B426,'Player Data'!$A1:$AE673,11,FALSE)*$Q426*IFERROR((VLOOKUP(P426,Settings!$E$28:$F$33,2,FALSE)+1),1)</f>
        <v>0.75</v>
      </c>
      <c r="X426" s="57" cm="1">
        <f t="array" ref="X426">VLOOKUP(B426,'Player Data'!$A1:$AE673,12,FALSE)*$Q426*IFERROR((VLOOKUP(P426,Settings!$E$28:$F$33,2,FALSE)+1),1)</f>
        <v>1.5</v>
      </c>
      <c r="Y426" s="57" cm="1">
        <f t="array" ref="Y426">VLOOKUP(B426,'Player Data'!$A1:$AE673,13,FALSE)*$Q426</f>
        <v>0</v>
      </c>
      <c r="Z426" s="57" cm="1">
        <f t="array" ref="Z426">VLOOKUP(B426,'Player Data'!$A1:$AE673,14,FALSE)*$Q426</f>
        <v>0</v>
      </c>
      <c r="AA426" s="57" cm="1">
        <f t="array" ref="AA426">VLOOKUP(B426,'Player Data'!$A1:$AE673,15,FALSE)*$Q426</f>
        <v>36</v>
      </c>
      <c r="AB426" s="57" cm="1">
        <f t="array" ref="AB426">VLOOKUP(B426,'Player Data'!$A1:$AE673,16,FALSE)*$Q426</f>
        <v>231.75</v>
      </c>
      <c r="AC426" s="57" cm="1">
        <f t="array" ref="AC426">VLOOKUP(B426,'Player Data'!$A1:$AE673,17,FALSE)*$Q426*IFERROR((VLOOKUP(P426,Settings!$E$28:$F$33,2,FALSE)+1),1)</f>
        <v>3.75</v>
      </c>
      <c r="AD426" s="57" cm="1">
        <f t="array" ref="AD426">VLOOKUP(B426,'Player Data'!$A1:$AE673,18,FALSE)*$Q426</f>
        <v>36.75</v>
      </c>
      <c r="AE426" s="57" cm="1">
        <f t="array" ref="AE426">VLOOKUP(B426,'Player Data'!$A1:$AE673,19,FALSE)*$Q426*IFERROR((VLOOKUP(P426,Settings!$E$28:$F$33,2,FALSE)+1),1)</f>
        <v>1.5</v>
      </c>
      <c r="AF426" s="57" cm="1">
        <f t="array" ref="AF426">VLOOKUP(B426,'Player Data'!$A1:$AE673,20,FALSE)*$Q426</f>
        <v>35.25</v>
      </c>
      <c r="AG426" s="57" cm="1">
        <f t="array" ref="AG426">VLOOKUP(B426,'Player Data'!$A1:$AE673,21,FALSE)*$Q426</f>
        <v>48</v>
      </c>
      <c r="AH426" s="59" cm="1">
        <f t="array" ref="AH426">VLOOKUP(B426,'Player Data'!$A1:$AE673,22,FALSE)</f>
        <v>0.42</v>
      </c>
      <c r="AI426" s="55"/>
      <c r="AJ426" s="57"/>
      <c r="AK426" s="57"/>
      <c r="AL426" s="57"/>
      <c r="AM426" s="57"/>
      <c r="AN426" s="57"/>
      <c r="AO426" s="57"/>
      <c r="AP426" s="57"/>
      <c r="AQ426" s="60"/>
      <c r="AR426" s="61"/>
      <c r="AS426" s="55"/>
    </row>
    <row r="427" spans="1:45" ht="21.25" customHeight="1" x14ac:dyDescent="0.15">
      <c r="A427" s="62">
        <f>RANK(K427,K$2:K$671)</f>
        <v>415</v>
      </c>
      <c r="B427" s="10" t="s">
        <v>496</v>
      </c>
      <c r="C427" s="47" t="s">
        <v>145</v>
      </c>
      <c r="D427" s="48" t="str" cm="1">
        <f t="array" ref="D427">VLOOKUP(B427,'Player Data'!A1:D673,4,FALSE)</f>
        <v>LW,RW</v>
      </c>
      <c r="E427" s="74" cm="1">
        <f t="array" ref="E427">VLOOKUP(B427,RW!A1:F210,3,FALSE)</f>
        <v>95</v>
      </c>
      <c r="F427" s="56" t="str" cm="1">
        <f t="array" ref="F427">VLOOKUP(B427,'Player Data'!A1:B673,2,FALSE)</f>
        <v>S.J</v>
      </c>
      <c r="G427" s="66" cm="1">
        <f t="array" ref="G427">VLOOKUP(B427,'Player Data'!A1:D673,3,FALSE)</f>
        <v>34</v>
      </c>
      <c r="H427" s="51" cm="1">
        <f t="array" ref="H427">IFERROR(VLOOKUP(B427,ADP!A1:F671,6,FALSE)/1000000,VLOOKUP(B427,ADP!A1:F671,6,FALSE))</f>
        <v>6</v>
      </c>
      <c r="I427" s="52">
        <f>IF(Settings!$E$15="POINTS",((R427*Q427)*Settings!$B$12)+(S427*Settings!$B$2)+(T427*Settings!$B$3)+(U427*Settings!$B$4)+(V427*Settings!$B$5)+(X427*Settings!$B$9)+(AA427*Settings!$B$6)+(W427*Settings!$B$8)+(AB427*Settings!$B$7)+(AC427*Settings!$B$14)+(AD427*Settings!$B$15)+(AE427*Settings!$B$16)+(AF427*Settings!$B$17)+(AG427*Settings!$B$18)+(Y427*Settings!$B$10)+(Z427*Settings!$B$11),VLOOKUP(B427,'Standard Deviations'!A$1:C$672,3,FALSE))</f>
        <v>0.71954987042451113</v>
      </c>
      <c r="J427" s="53" cm="1">
        <f t="array" ref="J427">IF(D427="G",I427/AJ427,I427/Q427)</f>
        <v>8.6692755472832662E-3</v>
      </c>
      <c r="K427" s="52" cm="1">
        <f t="array" ref="K427">IF(Settings!$E$18="C/LW/RW",VLOOKUP(B427,RW!A1:F210,6,FALSE),VLOOKUP(B427,F!A1:F407,6,FALSE))</f>
        <v>-6.1676847313845666</v>
      </c>
      <c r="L427" s="54" cm="1">
        <f t="array" ref="L427">IFERROR(K427/H427,"N/A")</f>
        <v>-1.027947455230761</v>
      </c>
      <c r="M427" s="84" t="s">
        <v>828</v>
      </c>
      <c r="N427" s="84" t="str" cm="1">
        <f t="array" ref="N427">IFERROR(M427-A427,"N/A")</f>
        <v>N/A</v>
      </c>
      <c r="O427" s="55"/>
      <c r="P427" s="56" cm="1">
        <f t="array" ref="P427">_xlfn.XLOOKUP($B427,ADP!A2:A671,ADP!G2:G671)</f>
        <v>0</v>
      </c>
      <c r="Q427" s="57" cm="1">
        <f t="array" ref="Q427">IF(Settings!$E$12="YES",VLOOKUP(B427,'Player Data'!A1:E673,5,FALSE),84)</f>
        <v>83</v>
      </c>
      <c r="R427" s="83" cm="1">
        <f t="array" ref="R427">VLOOKUP(B427,'Player Data'!$A1:$AE673,6,FALSE)</f>
        <v>13.5</v>
      </c>
      <c r="S427" s="57" cm="1">
        <f t="array" ref="S427">VLOOKUP(B427,'Player Data'!$A1:$AE673,7,FALSE)*$Q427*IFERROR((VLOOKUP(P427,Settings!$E$28:$F$33,2,FALSE)+1),1)</f>
        <v>21.580000000000002</v>
      </c>
      <c r="T427" s="57" cm="1">
        <f t="array" ref="T427">VLOOKUP(B427,'Player Data'!$A1:$AE673,8,FALSE)*$Q427*IFERROR((VLOOKUP(P427,Settings!$E$28:$F$33,2,FALSE)+1),1)</f>
        <v>23.240000000000002</v>
      </c>
      <c r="U427" s="57" cm="1">
        <f t="array" ref="U427">SUM(S427:T427)</f>
        <v>44.820000000000007</v>
      </c>
      <c r="V427" s="57" cm="1">
        <f t="array" ref="V427">VLOOKUP(B427,'Player Data'!$A1:$AE673,10,FALSE)*$Q427*IFERROR(((VLOOKUP(P427,Settings!$E$28:$F$33,2,FALSE)/2)+1),1)</f>
        <v>175.13</v>
      </c>
      <c r="W427" s="57" cm="1">
        <f t="array" ref="W427">VLOOKUP(B427,'Player Data'!$A1:$AE673,11,FALSE)*$Q427*IFERROR((VLOOKUP(P427,Settings!$E$28:$F$33,2,FALSE)+1),1)</f>
        <v>4.9799999999999995</v>
      </c>
      <c r="X427" s="57" cm="1">
        <f t="array" ref="X427">VLOOKUP(B427,'Player Data'!$A1:$AE673,12,FALSE)*$Q427*IFERROR((VLOOKUP(P427,Settings!$E$28:$F$33,2,FALSE)+1),1)</f>
        <v>11.620000000000001</v>
      </c>
      <c r="Y427" s="57" cm="1">
        <f t="array" ref="Y427">VLOOKUP(B427,'Player Data'!$A1:$AE673,13,FALSE)*$Q427</f>
        <v>0</v>
      </c>
      <c r="Z427" s="57" cm="1">
        <f t="array" ref="Z427">VLOOKUP(B427,'Player Data'!$A1:$AE673,14,FALSE)*$Q427</f>
        <v>0</v>
      </c>
      <c r="AA427" s="57" cm="1">
        <f t="array" ref="AA427">VLOOKUP(B427,'Player Data'!$A1:$AE673,15,FALSE)*$Q427</f>
        <v>30.71</v>
      </c>
      <c r="AB427" s="57" cm="1">
        <f t="array" ref="AB427">VLOOKUP(B427,'Player Data'!$A1:$AE673,16,FALSE)*$Q427</f>
        <v>57.269999999999996</v>
      </c>
      <c r="AC427" s="57" cm="1">
        <f t="array" ref="AC427">VLOOKUP(B427,'Player Data'!$A1:$AE673,17,FALSE)*$Q427*IFERROR((VLOOKUP(P427,Settings!$E$28:$F$33,2,FALSE)+1),1)</f>
        <v>-2.4899999999999998</v>
      </c>
      <c r="AD427" s="57" cm="1">
        <f t="array" ref="AD427">VLOOKUP(B427,'Player Data'!$A1:$AE673,18,FALSE)*$Q427</f>
        <v>14.110000000000001</v>
      </c>
      <c r="AE427" s="57" cm="1">
        <f t="array" ref="AE427">VLOOKUP(B427,'Player Data'!$A1:$AE673,19,FALSE)*$Q427*IFERROR((VLOOKUP(P427,Settings!$E$28:$F$33,2,FALSE)+1),1)</f>
        <v>3.3200000000000003</v>
      </c>
      <c r="AF427" s="57" cm="1">
        <f t="array" ref="AF427">VLOOKUP(B427,'Player Data'!$A1:$AE673,20,FALSE)*$Q427</f>
        <v>10.790000000000001</v>
      </c>
      <c r="AG427" s="57" cm="1">
        <f t="array" ref="AG427">VLOOKUP(B427,'Player Data'!$A1:$AE673,21,FALSE)*$Q427</f>
        <v>16.600000000000001</v>
      </c>
      <c r="AH427" s="59" cm="1">
        <f t="array" ref="AH427">VLOOKUP(B427,'Player Data'!$A1:$AE673,22,FALSE)</f>
        <v>0.4</v>
      </c>
      <c r="AI427" s="55"/>
      <c r="AJ427" s="57"/>
      <c r="AK427" s="57"/>
      <c r="AL427" s="57"/>
      <c r="AM427" s="57"/>
      <c r="AN427" s="57"/>
      <c r="AO427" s="57"/>
      <c r="AP427" s="57"/>
      <c r="AQ427" s="60"/>
      <c r="AR427" s="61"/>
      <c r="AS427" s="55"/>
    </row>
    <row r="428" spans="1:45" ht="21.25" customHeight="1" x14ac:dyDescent="0.15">
      <c r="A428" s="62">
        <f>RANK(K428,K$2:K$671)</f>
        <v>419</v>
      </c>
      <c r="B428" s="10" t="s">
        <v>503</v>
      </c>
      <c r="C428" s="47" t="s">
        <v>145</v>
      </c>
      <c r="D428" s="48" t="str" cm="1">
        <f t="array" ref="D428">VLOOKUP(B428,'Player Data'!A1:D673,4,FALSE)</f>
        <v>C</v>
      </c>
      <c r="E428" s="49" cm="1">
        <f t="array" ref="E428">VLOOKUP(B428,'C'!A1:C210,3,FALSE)</f>
        <v>90</v>
      </c>
      <c r="F428" s="69" t="str" cm="1">
        <f t="array" ref="F428">VLOOKUP(B428,'Player Data'!A1:B673,2,FALSE)</f>
        <v>CBJ</v>
      </c>
      <c r="G428" s="66" cm="1">
        <f t="array" ref="G428">VLOOKUP(B428,'Player Data'!A1:D673,3,FALSE)</f>
        <v>31</v>
      </c>
      <c r="H428" s="51" cm="1">
        <f t="array" ref="H428">IFERROR(VLOOKUP(B428,ADP!A1:F671,6,FALSE)/1000000,VLOOKUP(B428,ADP!A1:F671,6,FALSE))</f>
        <v>5.5</v>
      </c>
      <c r="I428" s="52">
        <f>IF(Settings!$E$15="POINTS",((R428*Q428)*Settings!$B$12)+(S428*Settings!$B$2)+(T428*Settings!$B$3)+(U428*Settings!$B$4)+(V428*Settings!$B$5)+(X428*Settings!$B$9)+(AA428*Settings!$B$6)+(W428*Settings!$B$8)+(AB428*Settings!$B$7)+(AC428*Settings!$B$14)+(AD428*Settings!$B$15)+(AE428*Settings!$B$16)+(AF428*Settings!$B$17)+(AG428*Settings!$B$18)+(Y428*Settings!$B$10)+(Z428*Settings!$B$11),VLOOKUP(B428,'Standard Deviations'!A$1:C$672,3,FALSE))</f>
        <v>0.11555335280860674</v>
      </c>
      <c r="J428" s="53" cm="1">
        <f t="array" ref="J428">IF(D428="G",I428/AJ428,I428/Q428)</f>
        <v>1.4444169101075841E-3</v>
      </c>
      <c r="K428" s="52" cm="1">
        <f t="array" ref="K428">IF(Settings!$E$18="C/LW/RW",VLOOKUP(B428,'C'!A1:F210,6,FALSE),VLOOKUP(B428,F!A1:F407,6,FALSE))</f>
        <v>-6.2444562048064576</v>
      </c>
      <c r="L428" s="54" cm="1">
        <f t="array" ref="L428">IFERROR(K428/H428,"N/A")</f>
        <v>-1.1353556736011741</v>
      </c>
      <c r="M428" s="84" t="s">
        <v>828</v>
      </c>
      <c r="N428" s="84" t="str" cm="1">
        <f t="array" ref="N428">IFERROR(M428-A428,"N/A")</f>
        <v>N/A</v>
      </c>
      <c r="O428" s="55"/>
      <c r="P428" s="56" cm="1">
        <f t="array" ref="P428">_xlfn.XLOOKUP($B428,ADP!A2:A671,ADP!G2:G671)</f>
        <v>0</v>
      </c>
      <c r="Q428" s="57" cm="1">
        <f t="array" ref="Q428">IF(Settings!$E$12="YES",VLOOKUP(B428,'Player Data'!A1:E673,5,FALSE),84)</f>
        <v>80</v>
      </c>
      <c r="R428" s="83" cm="1">
        <f t="array" ref="R428">VLOOKUP(B428,'Player Data'!$A1:$AE673,6,FALSE)</f>
        <v>15.7</v>
      </c>
      <c r="S428" s="57" cm="1">
        <f t="array" ref="S428">VLOOKUP(B428,'Player Data'!$A1:$AE673,7,FALSE)*$Q428*IFERROR((VLOOKUP(P428,Settings!$E$28:$F$33,2,FALSE)+1),1)</f>
        <v>15.2</v>
      </c>
      <c r="T428" s="57" cm="1">
        <f t="array" ref="T428">VLOOKUP(B428,'Player Data'!$A1:$AE673,8,FALSE)*$Q428*IFERROR((VLOOKUP(P428,Settings!$E$28:$F$33,2,FALSE)+1),1)</f>
        <v>25.6</v>
      </c>
      <c r="U428" s="57" cm="1">
        <f t="array" ref="U428">SUM(S428:T428)</f>
        <v>40.799999999999997</v>
      </c>
      <c r="V428" s="57" cm="1">
        <f t="array" ref="V428">VLOOKUP(B428,'Player Data'!$A1:$AE673,10,FALSE)*$Q428*IFERROR(((VLOOKUP(P428,Settings!$E$28:$F$33,2,FALSE)/2)+1),1)</f>
        <v>128</v>
      </c>
      <c r="W428" s="57" cm="1">
        <f t="array" ref="W428">VLOOKUP(B428,'Player Data'!$A1:$AE673,11,FALSE)*$Q428*IFERROR((VLOOKUP(P428,Settings!$E$28:$F$33,2,FALSE)+1),1)</f>
        <v>2.4</v>
      </c>
      <c r="X428" s="57" cm="1">
        <f t="array" ref="X428">VLOOKUP(B428,'Player Data'!$A1:$AE673,12,FALSE)*$Q428*IFERROR((VLOOKUP(P428,Settings!$E$28:$F$33,2,FALSE)+1),1)</f>
        <v>8</v>
      </c>
      <c r="Y428" s="57" cm="1">
        <f t="array" ref="Y428">VLOOKUP(B428,'Player Data'!$A1:$AE673,13,FALSE)*$Q428</f>
        <v>1.6</v>
      </c>
      <c r="Z428" s="57" cm="1">
        <f t="array" ref="Z428">VLOOKUP(B428,'Player Data'!$A1:$AE673,14,FALSE)*$Q428</f>
        <v>2.4</v>
      </c>
      <c r="AA428" s="57" cm="1">
        <f t="array" ref="AA428">VLOOKUP(B428,'Player Data'!$A1:$AE673,15,FALSE)*$Q428</f>
        <v>37.599999999999994</v>
      </c>
      <c r="AB428" s="57" cm="1">
        <f t="array" ref="AB428">VLOOKUP(B428,'Player Data'!$A1:$AE673,16,FALSE)*$Q428</f>
        <v>48</v>
      </c>
      <c r="AC428" s="57" cm="1">
        <f t="array" ref="AC428">VLOOKUP(B428,'Player Data'!$A1:$AE673,17,FALSE)*$Q428*IFERROR((VLOOKUP(P428,Settings!$E$28:$F$33,2,FALSE)+1),1)</f>
        <v>3.2</v>
      </c>
      <c r="AD428" s="57" cm="1">
        <f t="array" ref="AD428">VLOOKUP(B428,'Player Data'!$A1:$AE673,18,FALSE)*$Q428</f>
        <v>17.600000000000001</v>
      </c>
      <c r="AE428" s="57" cm="1">
        <f t="array" ref="AE428">VLOOKUP(B428,'Player Data'!$A1:$AE673,19,FALSE)*$Q428*IFERROR((VLOOKUP(P428,Settings!$E$28:$F$33,2,FALSE)+1),1)</f>
        <v>2.4</v>
      </c>
      <c r="AF428" s="57" cm="1">
        <f t="array" ref="AF428">VLOOKUP(B428,'Player Data'!$A1:$AE673,20,FALSE)*$Q428</f>
        <v>618.40000000000009</v>
      </c>
      <c r="AG428" s="57" cm="1">
        <f t="array" ref="AG428">VLOOKUP(B428,'Player Data'!$A1:$AE673,21,FALSE)*$Q428</f>
        <v>547.20000000000005</v>
      </c>
      <c r="AH428" s="59" cm="1">
        <f t="array" ref="AH428">VLOOKUP(B428,'Player Data'!$A1:$AE673,22,FALSE)</f>
        <v>0.53</v>
      </c>
      <c r="AI428" s="55"/>
      <c r="AJ428" s="57"/>
      <c r="AK428" s="57"/>
      <c r="AL428" s="57"/>
      <c r="AM428" s="57"/>
      <c r="AN428" s="57"/>
      <c r="AO428" s="57"/>
      <c r="AP428" s="57"/>
      <c r="AQ428" s="60"/>
      <c r="AR428" s="61"/>
      <c r="AS428" s="55"/>
    </row>
    <row r="429" spans="1:45" ht="21.25" customHeight="1" x14ac:dyDescent="0.15">
      <c r="A429" s="62">
        <f>RANK(K429,K$2:K$671)</f>
        <v>423</v>
      </c>
      <c r="B429" s="10" t="s">
        <v>516</v>
      </c>
      <c r="C429" s="47" t="s">
        <v>145</v>
      </c>
      <c r="D429" s="48" t="str" cm="1">
        <f t="array" ref="D429">VLOOKUP(B429,'Player Data'!A1:D673,4,FALSE)</f>
        <v>C</v>
      </c>
      <c r="E429" s="49" cm="1">
        <f t="array" ref="E429">VLOOKUP(B429,'C'!A1:C210,3,FALSE)</f>
        <v>91</v>
      </c>
      <c r="F429" s="73" t="str" cm="1">
        <f t="array" ref="F429">VLOOKUP(B429,'Player Data'!A1:B673,2,FALSE)</f>
        <v>BUF</v>
      </c>
      <c r="G429" s="11" cm="1">
        <f t="array" ref="G429">VLOOKUP(B429,'Player Data'!A1:D673,3,FALSE)</f>
        <v>27</v>
      </c>
      <c r="H429" s="51" cm="1">
        <f t="array" ref="H429">IFERROR(VLOOKUP(B429,ADP!A1:F671,6,FALSE)/1000000,VLOOKUP(B429,ADP!A1:F671,6,FALSE))</f>
        <v>7.95</v>
      </c>
      <c r="I429" s="52">
        <f>IF(Settings!$E$15="POINTS",((R429*Q429)*Settings!$B$12)+(S429*Settings!$B$2)+(T429*Settings!$B$3)+(U429*Settings!$B$4)+(V429*Settings!$B$5)+(X429*Settings!$B$9)+(AA429*Settings!$B$6)+(W429*Settings!$B$8)+(AB429*Settings!$B$7)+(AC429*Settings!$B$14)+(AD429*Settings!$B$15)+(AE429*Settings!$B$16)+(AF429*Settings!$B$17)+(AG429*Settings!$B$18)+(Y429*Settings!$B$10)+(Z429*Settings!$B$11),VLOOKUP(B429,'Standard Deviations'!A$1:C$672,3,FALSE))</f>
        <v>8.5333851978878453E-2</v>
      </c>
      <c r="J429" s="53" cm="1">
        <f t="array" ref="J429">IF(D429="G",I429/AJ429,I429/Q429)</f>
        <v>1.2018852391391332E-3</v>
      </c>
      <c r="K429" s="52" cm="1">
        <f t="array" ref="K429">IF(Settings!$E$18="C/LW/RW",VLOOKUP(B429,'C'!A1:F210,6,FALSE),VLOOKUP(B429,F!A1:F407,6,FALSE))</f>
        <v>-6.2746757056361853</v>
      </c>
      <c r="L429" s="54" cm="1">
        <f t="array" ref="L429">IFERROR(K429/H429,"N/A")</f>
        <v>-0.78926738435675281</v>
      </c>
      <c r="M429" s="84" t="s">
        <v>828</v>
      </c>
      <c r="N429" s="84" t="str" cm="1">
        <f t="array" ref="N429">IFERROR(M429-A429,"N/A")</f>
        <v>N/A</v>
      </c>
      <c r="O429" s="55"/>
      <c r="P429" s="56" cm="1">
        <f t="array" ref="P429">_xlfn.XLOOKUP($B429,ADP!A2:A671,ADP!G2:G671)</f>
        <v>0</v>
      </c>
      <c r="Q429" s="57" cm="1">
        <f t="array" ref="Q429">IF(Settings!$E$12="YES",VLOOKUP(B429,'Player Data'!A1:E673,5,FALSE),84)</f>
        <v>71</v>
      </c>
      <c r="R429" s="55" cm="1">
        <f t="array" ref="R429">VLOOKUP(B429,'Player Data'!$A1:$AE673,6,FALSE)</f>
        <v>15</v>
      </c>
      <c r="S429" s="57" cm="1">
        <f t="array" ref="S429">VLOOKUP(B429,'Player Data'!$A1:$AE673,7,FALSE)*$Q429*IFERROR((VLOOKUP(P429,Settings!$E$28:$F$33,2,FALSE)+1),1)</f>
        <v>18.46</v>
      </c>
      <c r="T429" s="57" cm="1">
        <f t="array" ref="T429">VLOOKUP(B429,'Player Data'!$A1:$AE673,8,FALSE)*$Q429*IFERROR((VLOOKUP(P429,Settings!$E$28:$F$33,2,FALSE)+1),1)</f>
        <v>20.59</v>
      </c>
      <c r="U429" s="57" cm="1">
        <f t="array" ref="U429">SUM(S429:T429)</f>
        <v>39.049999999999997</v>
      </c>
      <c r="V429" s="57" cm="1">
        <f t="array" ref="V429">VLOOKUP(B429,'Player Data'!$A1:$AE673,10,FALSE)*$Q429*IFERROR(((VLOOKUP(P429,Settings!$E$28:$F$33,2,FALSE)/2)+1),1)</f>
        <v>107.21</v>
      </c>
      <c r="W429" s="57" cm="1">
        <f t="array" ref="W429">VLOOKUP(B429,'Player Data'!$A1:$AE673,11,FALSE)*$Q429*IFERROR((VLOOKUP(P429,Settings!$E$28:$F$33,2,FALSE)+1),1)</f>
        <v>3.5500000000000003</v>
      </c>
      <c r="X429" s="78" cm="1">
        <f t="array" ref="X429">VLOOKUP(B429,'Player Data'!$A1:$AE673,12,FALSE)*$Q429*IFERROR((VLOOKUP(P429,Settings!$E$28:$F$33,2,FALSE)+1),1)</f>
        <v>8.52</v>
      </c>
      <c r="Y429" s="57" cm="1">
        <f t="array" ref="Y429">VLOOKUP(B429,'Player Data'!$A1:$AE673,13,FALSE)*$Q429</f>
        <v>0</v>
      </c>
      <c r="Z429" s="57" cm="1">
        <f t="array" ref="Z429">VLOOKUP(B429,'Player Data'!$A1:$AE673,14,FALSE)*$Q429</f>
        <v>0</v>
      </c>
      <c r="AA429" s="57" cm="1">
        <f t="array" ref="AA429">VLOOKUP(B429,'Player Data'!$A1:$AE673,15,FALSE)*$Q429</f>
        <v>41.89</v>
      </c>
      <c r="AB429" s="57" cm="1">
        <f t="array" ref="AB429">VLOOKUP(B429,'Player Data'!$A1:$AE673,16,FALSE)*$Q429</f>
        <v>81.649999999999991</v>
      </c>
      <c r="AC429" s="57" cm="1">
        <f t="array" ref="AC429">VLOOKUP(B429,'Player Data'!$A1:$AE673,17,FALSE)*$Q429*IFERROR((VLOOKUP(P429,Settings!$E$28:$F$33,2,FALSE)+1),1)</f>
        <v>1.42</v>
      </c>
      <c r="AD429" s="57" cm="1">
        <f t="array" ref="AD429">VLOOKUP(B429,'Player Data'!$A1:$AE673,18,FALSE)*$Q429</f>
        <v>28.400000000000002</v>
      </c>
      <c r="AE429" s="57" cm="1">
        <f t="array" ref="AE429">VLOOKUP(B429,'Player Data'!$A1:$AE673,19,FALSE)*$Q429*IFERROR((VLOOKUP(P429,Settings!$E$28:$F$33,2,FALSE)+1),1)</f>
        <v>2.84</v>
      </c>
      <c r="AF429" s="57" cm="1">
        <f t="array" ref="AF429">VLOOKUP(B429,'Player Data'!$A1:$AE673,20,FALSE)*$Q429</f>
        <v>445.88</v>
      </c>
      <c r="AG429" s="57" cm="1">
        <f t="array" ref="AG429">VLOOKUP(B429,'Player Data'!$A1:$AE673,21,FALSE)*$Q429</f>
        <v>413.22</v>
      </c>
      <c r="AH429" s="59" cm="1">
        <f t="array" ref="AH429">VLOOKUP(B429,'Player Data'!$A1:$AE673,22,FALSE)</f>
        <v>0.52</v>
      </c>
      <c r="AI429" s="55"/>
      <c r="AJ429" s="57"/>
      <c r="AK429" s="57"/>
      <c r="AL429" s="57"/>
      <c r="AM429" s="57"/>
      <c r="AN429" s="57"/>
      <c r="AO429" s="57"/>
      <c r="AP429" s="57"/>
      <c r="AQ429" s="60"/>
      <c r="AR429" s="61"/>
      <c r="AS429" s="55"/>
    </row>
    <row r="430" spans="1:45" ht="21.25" customHeight="1" x14ac:dyDescent="0.15">
      <c r="A430" s="62">
        <f>RANK(K430,K$2:K$671)</f>
        <v>421</v>
      </c>
      <c r="B430" s="10" t="s">
        <v>482</v>
      </c>
      <c r="C430" s="47" t="s">
        <v>145</v>
      </c>
      <c r="D430" s="48" t="str" cm="1">
        <f t="array" ref="D430">VLOOKUP(B430,'Player Data'!A1:D673,4,FALSE)</f>
        <v>C,RW</v>
      </c>
      <c r="E430" s="74" cm="1">
        <f t="array" ref="E430">VLOOKUP(B430,RW!A1:F210,3,FALSE)</f>
        <v>96</v>
      </c>
      <c r="F430" s="65" t="str" cm="1">
        <f t="array" ref="F430">VLOOKUP(B430,'Player Data'!A1:B673,2,FALSE)</f>
        <v>NSH</v>
      </c>
      <c r="G430" s="71" cm="1">
        <f t="array" ref="G430">VLOOKUP(B430,'Player Data'!A1:D673,3,FALSE)</f>
        <v>24</v>
      </c>
      <c r="H430" s="51" cm="1">
        <f t="array" ref="H430">IFERROR(VLOOKUP(B430,ADP!A1:F671,6,FALSE)/1000000,VLOOKUP(B430,ADP!A1:F671,6,FALSE))</f>
        <v>5.5</v>
      </c>
      <c r="I430" s="52">
        <f>IF(Settings!$E$15="POINTS",((R430*Q430)*Settings!$B$12)+(S430*Settings!$B$2)+(T430*Settings!$B$3)+(U430*Settings!$B$4)+(V430*Settings!$B$5)+(X430*Settings!$B$9)+(AA430*Settings!$B$6)+(W430*Settings!$B$8)+(AB430*Settings!$B$7)+(AC430*Settings!$B$14)+(AD430*Settings!$B$15)+(AE430*Settings!$B$16)+(AF430*Settings!$B$17)+(AG430*Settings!$B$18)+(Y430*Settings!$B$10)+(Z430*Settings!$B$11),VLOOKUP(B430,'Standard Deviations'!A$1:C$672,3,FALSE))</f>
        <v>0.62485121821834455</v>
      </c>
      <c r="J430" s="53" cm="1">
        <f t="array" ref="J430">IF(D430="G",I430/AJ430,I430/Q430)</f>
        <v>7.6201368075407873E-3</v>
      </c>
      <c r="K430" s="52" cm="1">
        <f t="array" ref="K430">IF(Settings!$E$18="C/LW/RW",VLOOKUP(B430,RW!A1:F210,6,FALSE),VLOOKUP(B430,F!A1:F407,6,FALSE))</f>
        <v>-6.2623833835907332</v>
      </c>
      <c r="L430" s="54" cm="1">
        <f t="array" ref="L430">IFERROR(K430/H430,"N/A")</f>
        <v>-1.1386151606528605</v>
      </c>
      <c r="M430" s="84" t="s">
        <v>828</v>
      </c>
      <c r="N430" s="84" t="str" cm="1">
        <f t="array" ref="N430">IFERROR(M430-A430,"N/A")</f>
        <v>N/A</v>
      </c>
      <c r="O430" s="55"/>
      <c r="P430" s="56" cm="1">
        <f t="array" ref="P430">_xlfn.XLOOKUP($B430,ADP!A2:A671,ADP!G2:G671)</f>
        <v>0</v>
      </c>
      <c r="Q430" s="57" cm="1">
        <f t="array" ref="Q430">IF(Settings!$E$12="YES",VLOOKUP(B430,'Player Data'!A1:E673,5,FALSE),84)</f>
        <v>82</v>
      </c>
      <c r="R430" s="55" cm="1">
        <f t="array" ref="R430">VLOOKUP(B430,'Player Data'!$A1:$AE673,6,FALSE)</f>
        <v>16.3</v>
      </c>
      <c r="S430" s="57" cm="1">
        <f t="array" ref="S430">VLOOKUP(B430,'Player Data'!$A1:$AE673,7,FALSE)*$Q430*IFERROR((VLOOKUP(P430,Settings!$E$28:$F$33,2,FALSE)+1),1)</f>
        <v>20.5</v>
      </c>
      <c r="T430" s="57" cm="1">
        <f t="array" ref="T430">VLOOKUP(B430,'Player Data'!$A1:$AE673,8,FALSE)*$Q430*IFERROR((VLOOKUP(P430,Settings!$E$28:$F$33,2,FALSE)+1),1)</f>
        <v>25.419999999999998</v>
      </c>
      <c r="U430" s="57" cm="1">
        <f t="array" ref="U430">SUM(S430:T430)</f>
        <v>45.92</v>
      </c>
      <c r="V430" s="57" cm="1">
        <f t="array" ref="V430">VLOOKUP(B430,'Player Data'!$A1:$AE673,10,FALSE)*$Q430*IFERROR(((VLOOKUP(P430,Settings!$E$28:$F$33,2,FALSE)/2)+1),1)</f>
        <v>152.52000000000001</v>
      </c>
      <c r="W430" s="57" cm="1">
        <f t="array" ref="W430">VLOOKUP(B430,'Player Data'!$A1:$AE673,11,FALSE)*$Q430*IFERROR((VLOOKUP(P430,Settings!$E$28:$F$33,2,FALSE)+1),1)</f>
        <v>2.46</v>
      </c>
      <c r="X430" s="57" cm="1">
        <f t="array" ref="X430">VLOOKUP(B430,'Player Data'!$A1:$AE673,12,FALSE)*$Q430*IFERROR((VLOOKUP(P430,Settings!$E$28:$F$33,2,FALSE)+1),1)</f>
        <v>9.84</v>
      </c>
      <c r="Y430" s="57" cm="1">
        <f t="array" ref="Y430">VLOOKUP(B430,'Player Data'!$A1:$AE673,13,FALSE)*$Q430</f>
        <v>0</v>
      </c>
      <c r="Z430" s="57" cm="1">
        <f t="array" ref="Z430">VLOOKUP(B430,'Player Data'!$A1:$AE673,14,FALSE)*$Q430</f>
        <v>0</v>
      </c>
      <c r="AA430" s="57" cm="1">
        <f t="array" ref="AA430">VLOOKUP(B430,'Player Data'!$A1:$AE673,15,FALSE)*$Q430</f>
        <v>30.34</v>
      </c>
      <c r="AB430" s="57" cm="1">
        <f t="array" ref="AB430">VLOOKUP(B430,'Player Data'!$A1:$AE673,16,FALSE)*$Q430</f>
        <v>77.899999999999991</v>
      </c>
      <c r="AC430" s="57" cm="1">
        <f t="array" ref="AC430">VLOOKUP(B430,'Player Data'!$A1:$AE673,17,FALSE)*$Q430*IFERROR((VLOOKUP(P430,Settings!$E$28:$F$33,2,FALSE)+1),1)</f>
        <v>-2.46</v>
      </c>
      <c r="AD430" s="57" cm="1">
        <f t="array" ref="AD430">VLOOKUP(B430,'Player Data'!$A1:$AE673,18,FALSE)*$Q430</f>
        <v>22.96</v>
      </c>
      <c r="AE430" s="57" cm="1">
        <f t="array" ref="AE430">VLOOKUP(B430,'Player Data'!$A1:$AE673,19,FALSE)*$Q430*IFERROR((VLOOKUP(P430,Settings!$E$28:$F$33,2,FALSE)+1),1)</f>
        <v>2.46</v>
      </c>
      <c r="AF430" s="57" cm="1">
        <f t="array" ref="AF430">VLOOKUP(B430,'Player Data'!$A1:$AE673,20,FALSE)*$Q430</f>
        <v>128.74</v>
      </c>
      <c r="AG430" s="57" cm="1">
        <f t="array" ref="AG430">VLOOKUP(B430,'Player Data'!$A1:$AE673,21,FALSE)*$Q430</f>
        <v>153.34</v>
      </c>
      <c r="AH430" s="59" cm="1">
        <f t="array" ref="AH430">VLOOKUP(B430,'Player Data'!$A1:$AE673,22,FALSE)</f>
        <v>0.46</v>
      </c>
      <c r="AI430" s="55"/>
      <c r="AJ430" s="57"/>
      <c r="AK430" s="57"/>
      <c r="AL430" s="57"/>
      <c r="AM430" s="57"/>
      <c r="AN430" s="57"/>
      <c r="AO430" s="57"/>
      <c r="AP430" s="57"/>
      <c r="AQ430" s="60"/>
      <c r="AR430" s="61"/>
      <c r="AS430" s="55"/>
    </row>
    <row r="431" spans="1:45" ht="21.25" customHeight="1" x14ac:dyDescent="0.15">
      <c r="A431" s="62">
        <f>RANK(K431,K$2:K$671)</f>
        <v>427</v>
      </c>
      <c r="B431" s="10" t="s">
        <v>317</v>
      </c>
      <c r="C431" s="47" t="s">
        <v>145</v>
      </c>
      <c r="D431" s="48" t="str" cm="1">
        <f t="array" ref="D431">VLOOKUP(B431,'Player Data'!A1:D673,4,FALSE)</f>
        <v>C</v>
      </c>
      <c r="E431" s="49" cm="1">
        <f t="array" ref="E431">VLOOKUP(B431,'C'!A1:C210,3,FALSE)</f>
        <v>94</v>
      </c>
      <c r="F431" s="63" t="str" cm="1">
        <f t="array" ref="F431">VLOOKUP(B431,'Player Data'!A1:B673,2,FALSE)</f>
        <v>SEA</v>
      </c>
      <c r="G431" s="71" cm="1">
        <f t="array" ref="G431">VLOOKUP(B431,'Player Data'!A1:D673,3,FALSE)</f>
        <v>23</v>
      </c>
      <c r="H431" s="51" cm="1">
        <f t="array" ref="H431">IFERROR(VLOOKUP(B431,ADP!A1:F671,6,FALSE)/1000000,VLOOKUP(B431,ADP!A1:F671,6,FALSE))</f>
        <v>7.1420000000000003</v>
      </c>
      <c r="I431" s="52">
        <f>IF(Settings!$E$15="POINTS",((R431*Q431)*Settings!$B$12)+(S431*Settings!$B$2)+(T431*Settings!$B$3)+(U431*Settings!$B$4)+(V431*Settings!$B$5)+(X431*Settings!$B$9)+(AA431*Settings!$B$6)+(W431*Settings!$B$8)+(AB431*Settings!$B$7)+(AC431*Settings!$B$14)+(AD431*Settings!$B$15)+(AE431*Settings!$B$16)+(AF431*Settings!$B$17)+(AG431*Settings!$B$18)+(Y431*Settings!$B$10)+(Z431*Settings!$B$11),VLOOKUP(B431,'Standard Deviations'!A$1:C$672,3,FALSE))</f>
        <v>3.74115864641138E-2</v>
      </c>
      <c r="J431" s="53" cm="1">
        <f t="array" ref="J431">IF(D431="G",I431/AJ431,I431/Q431)</f>
        <v>4.4537602933468809E-4</v>
      </c>
      <c r="K431" s="52" cm="1">
        <f t="array" ref="K431">IF(Settings!$E$18="C/LW/RW",VLOOKUP(B431,'C'!A1:F210,6,FALSE),VLOOKUP(B431,F!A1:F407,6,FALSE))</f>
        <v>-6.3225979711509499</v>
      </c>
      <c r="L431" s="54" cm="1">
        <f t="array" ref="L431">IFERROR(K431/H431,"N/A")</f>
        <v>-0.88526994835493555</v>
      </c>
      <c r="M431" s="84" t="s">
        <v>828</v>
      </c>
      <c r="N431" s="84" t="str" cm="1">
        <f t="array" ref="N431">IFERROR(M431-A431,"N/A")</f>
        <v>N/A</v>
      </c>
      <c r="O431" s="55"/>
      <c r="P431" s="56" cm="1">
        <f t="array" ref="P431">_xlfn.XLOOKUP($B431,ADP!A2:A671,ADP!G2:G671)</f>
        <v>0</v>
      </c>
      <c r="Q431" s="57" cm="1">
        <f t="array" ref="Q431">IF(Settings!$E$12="YES",VLOOKUP(B431,'Player Data'!A1:E673,5,FALSE),84)</f>
        <v>84</v>
      </c>
      <c r="R431" s="55" cm="1">
        <f t="array" ref="R431">VLOOKUP(B431,'Player Data'!$A1:$AE673,6,FALSE)</f>
        <v>20.2</v>
      </c>
      <c r="S431" s="57" cm="1">
        <f t="array" ref="S431">VLOOKUP(B431,'Player Data'!$A1:$AE673,7,FALSE)*$Q431*IFERROR((VLOOKUP(P431,Settings!$E$28:$F$33,2,FALSE)+1),1)</f>
        <v>22.68</v>
      </c>
      <c r="T431" s="57" cm="1">
        <f t="array" ref="T431">VLOOKUP(B431,'Player Data'!$A1:$AE673,8,FALSE)*$Q431*IFERROR((VLOOKUP(P431,Settings!$E$28:$F$33,2,FALSE)+1),1)</f>
        <v>31.08</v>
      </c>
      <c r="U431" s="57" cm="1">
        <f t="array" ref="U431">SUM(S431:T431)</f>
        <v>53.76</v>
      </c>
      <c r="V431" s="57" cm="1">
        <f t="array" ref="V431">VLOOKUP(B431,'Player Data'!$A1:$AE673,10,FALSE)*$Q431*IFERROR(((VLOOKUP(P431,Settings!$E$28:$F$33,2,FALSE)/2)+1),1)</f>
        <v>162.96</v>
      </c>
      <c r="W431" s="57" cm="1">
        <f t="array" ref="W431">VLOOKUP(B431,'Player Data'!$A1:$AE673,11,FALSE)*$Q431*IFERROR((VLOOKUP(P431,Settings!$E$28:$F$33,2,FALSE)+1),1)</f>
        <v>5.8800000000000008</v>
      </c>
      <c r="X431" s="78" cm="1">
        <f t="array" ref="X431">VLOOKUP(B431,'Player Data'!$A1:$AE673,12,FALSE)*$Q431*IFERROR((VLOOKUP(P431,Settings!$E$28:$F$33,2,FALSE)+1),1)</f>
        <v>12.6</v>
      </c>
      <c r="Y431" s="57" cm="1">
        <f t="array" ref="Y431">VLOOKUP(B431,'Player Data'!$A1:$AE673,13,FALSE)*$Q431</f>
        <v>0</v>
      </c>
      <c r="Z431" s="57" cm="1">
        <f t="array" ref="Z431">VLOOKUP(B431,'Player Data'!$A1:$AE673,14,FALSE)*$Q431</f>
        <v>0</v>
      </c>
      <c r="AA431" s="57" cm="1">
        <f t="array" ref="AA431">VLOOKUP(B431,'Player Data'!$A1:$AE673,15,FALSE)*$Q431</f>
        <v>73.08</v>
      </c>
      <c r="AB431" s="57" cm="1">
        <f t="array" ref="AB431">VLOOKUP(B431,'Player Data'!$A1:$AE673,16,FALSE)*$Q431</f>
        <v>42</v>
      </c>
      <c r="AC431" s="57" cm="1">
        <f t="array" ref="AC431">VLOOKUP(B431,'Player Data'!$A1:$AE673,17,FALSE)*$Q431*IFERROR((VLOOKUP(P431,Settings!$E$28:$F$33,2,FALSE)+1),1)</f>
        <v>-6.72</v>
      </c>
      <c r="AD431" s="57" cm="1">
        <f t="array" ref="AD431">VLOOKUP(B431,'Player Data'!$A1:$AE673,18,FALSE)*$Q431</f>
        <v>25.2</v>
      </c>
      <c r="AE431" s="57" cm="1">
        <f t="array" ref="AE431">VLOOKUP(B431,'Player Data'!$A1:$AE673,19,FALSE)*$Q431*IFERROR((VLOOKUP(P431,Settings!$E$28:$F$33,2,FALSE)+1),1)</f>
        <v>3.36</v>
      </c>
      <c r="AF431" s="57" cm="1">
        <f t="array" ref="AF431">VLOOKUP(B431,'Player Data'!$A1:$AE673,20,FALSE)*$Q431</f>
        <v>572.04</v>
      </c>
      <c r="AG431" s="57" cm="1">
        <f t="array" ref="AG431">VLOOKUP(B431,'Player Data'!$A1:$AE673,21,FALSE)*$Q431</f>
        <v>628.32000000000005</v>
      </c>
      <c r="AH431" s="59" cm="1">
        <f t="array" ref="AH431">VLOOKUP(B431,'Player Data'!$A1:$AE673,22,FALSE)</f>
        <v>0.48</v>
      </c>
      <c r="AI431" s="55"/>
      <c r="AJ431" s="57"/>
      <c r="AK431" s="57"/>
      <c r="AL431" s="57"/>
      <c r="AM431" s="57"/>
      <c r="AN431" s="57"/>
      <c r="AO431" s="57"/>
      <c r="AP431" s="57"/>
      <c r="AQ431" s="60"/>
      <c r="AR431" s="61"/>
      <c r="AS431" s="55"/>
    </row>
    <row r="432" spans="1:45" ht="21.25" customHeight="1" x14ac:dyDescent="0.15">
      <c r="A432" s="62">
        <f>RANK(K432,K$2:K$671)</f>
        <v>425</v>
      </c>
      <c r="B432" s="10" t="s">
        <v>409</v>
      </c>
      <c r="C432" s="47" t="s">
        <v>145</v>
      </c>
      <c r="D432" s="48" t="str" cm="1">
        <f t="array" ref="D432">VLOOKUP(B432,'Player Data'!A1:D673,4,FALSE)</f>
        <v>RW</v>
      </c>
      <c r="E432" s="64" cm="1">
        <f t="array" ref="E432">VLOOKUP(B432,RW!A1:F210,3,FALSE)</f>
        <v>97</v>
      </c>
      <c r="F432" s="72" t="str" cm="1">
        <f t="array" ref="F432">VLOOKUP(B432,'Player Data'!A1:B673,2,FALSE)</f>
        <v>NYI</v>
      </c>
      <c r="G432" s="66" cm="1">
        <f t="array" ref="G432">VLOOKUP(B432,'Player Data'!A1:D673,3,FALSE)</f>
        <v>35</v>
      </c>
      <c r="H432" s="67" cm="1">
        <f t="array" ref="H432">IFERROR(VLOOKUP(B432,ADP!A1:F671,6,FALSE)/1000000,VLOOKUP(B432,ADP!A1:F671,6,FALSE))</f>
        <v>4.75</v>
      </c>
      <c r="I432" s="52">
        <f>IF(Settings!$E$15="POINTS",((R432*Q432)*Settings!$B$12)+(S432*Settings!$B$2)+(T432*Settings!$B$3)+(U432*Settings!$B$4)+(V432*Settings!$B$5)+(X432*Settings!$B$9)+(AA432*Settings!$B$6)+(W432*Settings!$B$8)+(AB432*Settings!$B$7)+(AC432*Settings!$B$14)+(AD432*Settings!$B$15)+(AE432*Settings!$B$16)+(AF432*Settings!$B$17)+(AG432*Settings!$B$18)+(Y432*Settings!$B$10)+(Z432*Settings!$B$11),VLOOKUP(B432,'Standard Deviations'!A$1:C$672,3,FALSE))</f>
        <v>0.58350898171183985</v>
      </c>
      <c r="J432" s="53" cm="1">
        <f t="array" ref="J432">IF(D432="G",I432/AJ432,I432/Q432)</f>
        <v>7.885256509619458E-3</v>
      </c>
      <c r="K432" s="52" cm="1">
        <f t="array" ref="K432">IF(Settings!$E$18="C/LW/RW",VLOOKUP(B432,RW!A1:F210,6,FALSE),VLOOKUP(B432,F!A1:F407,6,FALSE))</f>
        <v>-6.3037256200972376</v>
      </c>
      <c r="L432" s="54" cm="1">
        <f t="array" ref="L432">IFERROR(K432/H432,"N/A")</f>
        <v>-1.3271001305467869</v>
      </c>
      <c r="M432" s="84" t="s">
        <v>828</v>
      </c>
      <c r="N432" s="84" t="str" cm="1">
        <f t="array" ref="N432">IFERROR(M432-A432,"N/A")</f>
        <v>N/A</v>
      </c>
      <c r="O432" s="55"/>
      <c r="P432" s="56" cm="1">
        <f t="array" ref="P432">_xlfn.XLOOKUP($B432,ADP!A2:A671,ADP!G2:G671)</f>
        <v>0</v>
      </c>
      <c r="Q432" s="57" cm="1">
        <f t="array" ref="Q432">IF(Settings!$E$12="YES",VLOOKUP(B432,'Player Data'!A1:E673,5,FALSE),84)</f>
        <v>74</v>
      </c>
      <c r="R432" s="83" cm="1">
        <f t="array" ref="R432">VLOOKUP(B432,'Player Data'!$A1:$AE673,6,FALSE)</f>
        <v>17.8</v>
      </c>
      <c r="S432" s="57" cm="1">
        <f t="array" ref="S432">VLOOKUP(B432,'Player Data'!$A1:$AE673,7,FALSE)*$Q432*IFERROR((VLOOKUP(P432,Settings!$E$28:$F$33,2,FALSE)+1),1)</f>
        <v>19.240000000000002</v>
      </c>
      <c r="T432" s="57" cm="1">
        <f t="array" ref="T432">VLOOKUP(B432,'Player Data'!$A1:$AE673,8,FALSE)*$Q432*IFERROR((VLOOKUP(P432,Settings!$E$28:$F$33,2,FALSE)+1),1)</f>
        <v>24.42</v>
      </c>
      <c r="U432" s="57" cm="1">
        <f t="array" ref="U432">SUM(S432:T432)</f>
        <v>43.660000000000004</v>
      </c>
      <c r="V432" s="57" cm="1">
        <f t="array" ref="V432">VLOOKUP(B432,'Player Data'!$A1:$AE673,10,FALSE)*$Q432*IFERROR(((VLOOKUP(P432,Settings!$E$28:$F$33,2,FALSE)/2)+1),1)</f>
        <v>179.07999999999998</v>
      </c>
      <c r="W432" s="58" cm="1">
        <f t="array" ref="W432">VLOOKUP(B432,'Player Data'!$A1:$AE673,11,FALSE)*$Q432*IFERROR((VLOOKUP(P432,Settings!$E$28:$F$33,2,FALSE)+1),1)</f>
        <v>5.92</v>
      </c>
      <c r="X432" s="57" cm="1">
        <f t="array" ref="X432">VLOOKUP(B432,'Player Data'!$A1:$AE673,12,FALSE)*$Q432*IFERROR((VLOOKUP(P432,Settings!$E$28:$F$33,2,FALSE)+1),1)</f>
        <v>14.06</v>
      </c>
      <c r="Y432" s="57" cm="1">
        <f t="array" ref="Y432">VLOOKUP(B432,'Player Data'!$A1:$AE673,13,FALSE)*$Q432</f>
        <v>0.74</v>
      </c>
      <c r="Z432" s="57" cm="1">
        <f t="array" ref="Z432">VLOOKUP(B432,'Player Data'!$A1:$AE673,14,FALSE)*$Q432</f>
        <v>0.74</v>
      </c>
      <c r="AA432" s="57" cm="1">
        <f t="array" ref="AA432">VLOOKUP(B432,'Player Data'!$A1:$AE673,15,FALSE)*$Q432</f>
        <v>34.78</v>
      </c>
      <c r="AB432" s="57" cm="1">
        <f t="array" ref="AB432">VLOOKUP(B432,'Player Data'!$A1:$AE673,16,FALSE)*$Q432</f>
        <v>55.5</v>
      </c>
      <c r="AC432" s="57" cm="1">
        <f t="array" ref="AC432">VLOOKUP(B432,'Player Data'!$A1:$AE673,17,FALSE)*$Q432*IFERROR((VLOOKUP(P432,Settings!$E$28:$F$33,2,FALSE)+1),1)</f>
        <v>-3.7</v>
      </c>
      <c r="AD432" s="57" cm="1">
        <f t="array" ref="AD432">VLOOKUP(B432,'Player Data'!$A1:$AE673,18,FALSE)*$Q432</f>
        <v>23.68</v>
      </c>
      <c r="AE432" s="57" cm="1">
        <f t="array" ref="AE432">VLOOKUP(B432,'Player Data'!$A1:$AE673,19,FALSE)*$Q432*IFERROR((VLOOKUP(P432,Settings!$E$28:$F$33,2,FALSE)+1),1)</f>
        <v>2.96</v>
      </c>
      <c r="AF432" s="57" cm="1">
        <f t="array" ref="AF432">VLOOKUP(B432,'Player Data'!$A1:$AE673,20,FALSE)*$Q432</f>
        <v>8.879999999999999</v>
      </c>
      <c r="AG432" s="57" cm="1">
        <f t="array" ref="AG432">VLOOKUP(B432,'Player Data'!$A1:$AE673,21,FALSE)*$Q432</f>
        <v>12.58</v>
      </c>
      <c r="AH432" s="59" cm="1">
        <f t="array" ref="AH432">VLOOKUP(B432,'Player Data'!$A1:$AE673,22,FALSE)</f>
        <v>0.41</v>
      </c>
      <c r="AI432" s="55"/>
      <c r="AJ432" s="57"/>
      <c r="AK432" s="57"/>
      <c r="AL432" s="57"/>
      <c r="AM432" s="57"/>
      <c r="AN432" s="57"/>
      <c r="AO432" s="57"/>
      <c r="AP432" s="57"/>
      <c r="AQ432" s="60"/>
      <c r="AR432" s="61"/>
      <c r="AS432" s="55"/>
    </row>
    <row r="433" spans="1:45" ht="21.25" customHeight="1" x14ac:dyDescent="0.15">
      <c r="A433" s="62">
        <f>RANK(K433,K$2:K$671)</f>
        <v>426</v>
      </c>
      <c r="B433" s="10" t="s">
        <v>529</v>
      </c>
      <c r="C433" s="47" t="s">
        <v>145</v>
      </c>
      <c r="D433" s="48" t="str" cm="1">
        <f t="array" ref="D433">VLOOKUP(B433,'Player Data'!A1:D673,4,FALSE)</f>
        <v>RW</v>
      </c>
      <c r="E433" s="64" cm="1">
        <f t="array" ref="E433">VLOOKUP(B433,RW!A1:F210,3,FALSE)</f>
        <v>98</v>
      </c>
      <c r="F433" s="63" t="str" cm="1">
        <f t="array" ref="F433">VLOOKUP(B433,'Player Data'!A1:B673,2,FALSE)</f>
        <v>SEA</v>
      </c>
      <c r="G433" s="71" cm="1">
        <f t="array" ref="G433">VLOOKUP(B433,'Player Data'!A1:D673,3,FALSE)</f>
        <v>23</v>
      </c>
      <c r="H433" s="51" cm="1">
        <f t="array" ref="H433">IFERROR(VLOOKUP(B433,ADP!A1:F671,6,FALSE)/1000000,VLOOKUP(B433,ADP!A1:F671,6,FALSE))</f>
        <v>3.85</v>
      </c>
      <c r="I433" s="52">
        <f>IF(Settings!$E$15="POINTS",((R433*Q433)*Settings!$B$12)+(S433*Settings!$B$2)+(T433*Settings!$B$3)+(U433*Settings!$B$4)+(V433*Settings!$B$5)+(X433*Settings!$B$9)+(AA433*Settings!$B$6)+(W433*Settings!$B$8)+(AB433*Settings!$B$7)+(AC433*Settings!$B$14)+(AD433*Settings!$B$15)+(AE433*Settings!$B$16)+(AF433*Settings!$B$17)+(AG433*Settings!$B$18)+(Y433*Settings!$B$10)+(Z433*Settings!$B$11),VLOOKUP(B433,'Standard Deviations'!A$1:C$672,3,FALSE))</f>
        <v>0.56844503962675152</v>
      </c>
      <c r="J433" s="53" cm="1">
        <f t="array" ref="J433">IF(D433="G",I433/AJ433,I433/Q433)</f>
        <v>7.0178399953919942E-3</v>
      </c>
      <c r="K433" s="52" cm="1">
        <f t="array" ref="K433">IF(Settings!$E$18="C/LW/RW",VLOOKUP(B433,RW!A1:F210,6,FALSE),VLOOKUP(B433,F!A1:F407,6,FALSE))</f>
        <v>-6.3187895621823262</v>
      </c>
      <c r="L433" s="54" cm="1">
        <f t="array" ref="L433">IFERROR(K433/H433,"N/A")</f>
        <v>-1.6412440421252794</v>
      </c>
      <c r="M433" s="84" t="s">
        <v>828</v>
      </c>
      <c r="N433" s="84" t="str" cm="1">
        <f t="array" ref="N433">IFERROR(M433-A433,"N/A")</f>
        <v>N/A</v>
      </c>
      <c r="O433" s="55"/>
      <c r="P433" s="56" cm="1">
        <f t="array" ref="P433">_xlfn.XLOOKUP($B433,ADP!A2:A671,ADP!G2:G671)</f>
        <v>0</v>
      </c>
      <c r="Q433" s="57" cm="1">
        <f t="array" ref="Q433">IF(Settings!$E$12="YES",VLOOKUP(B433,'Player Data'!A1:E673,5,FALSE),84)</f>
        <v>81</v>
      </c>
      <c r="R433" s="55" cm="1">
        <f t="array" ref="R433">VLOOKUP(B433,'Player Data'!$A1:$AE673,6,FALSE)</f>
        <v>14.9</v>
      </c>
      <c r="S433" s="57" cm="1">
        <f t="array" ref="S433">VLOOKUP(B433,'Player Data'!$A1:$AE673,7,FALSE)*$Q433*IFERROR((VLOOKUP(P433,Settings!$E$28:$F$33,2,FALSE)+1),1)</f>
        <v>15.39</v>
      </c>
      <c r="T433" s="57" cm="1">
        <f t="array" ref="T433">VLOOKUP(B433,'Player Data'!$A1:$AE673,8,FALSE)*$Q433*IFERROR((VLOOKUP(P433,Settings!$E$28:$F$33,2,FALSE)+1),1)</f>
        <v>21.060000000000002</v>
      </c>
      <c r="U433" s="57" cm="1">
        <f t="array" ref="U433">SUM(S433:T433)</f>
        <v>36.450000000000003</v>
      </c>
      <c r="V433" s="57" cm="1">
        <f t="array" ref="V433">VLOOKUP(B433,'Player Data'!$A1:$AE673,10,FALSE)*$Q433*IFERROR(((VLOOKUP(P433,Settings!$E$28:$F$33,2,FALSE)/2)+1),1)</f>
        <v>165.24</v>
      </c>
      <c r="W433" s="57" cm="1">
        <f t="array" ref="W433">VLOOKUP(B433,'Player Data'!$A1:$AE673,11,FALSE)*$Q433*IFERROR((VLOOKUP(P433,Settings!$E$28:$F$33,2,FALSE)+1),1)</f>
        <v>2.4299999999999997</v>
      </c>
      <c r="X433" s="57" cm="1">
        <f t="array" ref="X433">VLOOKUP(B433,'Player Data'!$A1:$AE673,12,FALSE)*$Q433*IFERROR((VLOOKUP(P433,Settings!$E$28:$F$33,2,FALSE)+1),1)</f>
        <v>6.48</v>
      </c>
      <c r="Y433" s="57" cm="1">
        <f t="array" ref="Y433">VLOOKUP(B433,'Player Data'!$A1:$AE673,13,FALSE)*$Q433</f>
        <v>0</v>
      </c>
      <c r="Z433" s="57" cm="1">
        <f t="array" ref="Z433">VLOOKUP(B433,'Player Data'!$A1:$AE673,14,FALSE)*$Q433</f>
        <v>0</v>
      </c>
      <c r="AA433" s="57" cm="1">
        <f t="array" ref="AA433">VLOOKUP(B433,'Player Data'!$A1:$AE673,15,FALSE)*$Q433</f>
        <v>40.5</v>
      </c>
      <c r="AB433" s="57" cm="1">
        <f t="array" ref="AB433">VLOOKUP(B433,'Player Data'!$A1:$AE673,16,FALSE)*$Q433</f>
        <v>154.70999999999998</v>
      </c>
      <c r="AC433" s="57" cm="1">
        <f t="array" ref="AC433">VLOOKUP(B433,'Player Data'!$A1:$AE673,17,FALSE)*$Q433*IFERROR((VLOOKUP(P433,Settings!$E$28:$F$33,2,FALSE)+1),1)</f>
        <v>-5.6700000000000008</v>
      </c>
      <c r="AD433" s="57" cm="1">
        <f t="array" ref="AD433">VLOOKUP(B433,'Player Data'!$A1:$AE673,18,FALSE)*$Q433</f>
        <v>25.92</v>
      </c>
      <c r="AE433" s="57" cm="1">
        <f t="array" ref="AE433">VLOOKUP(B433,'Player Data'!$A1:$AE673,19,FALSE)*$Q433*IFERROR((VLOOKUP(P433,Settings!$E$28:$F$33,2,FALSE)+1),1)</f>
        <v>2.4299999999999997</v>
      </c>
      <c r="AF433" s="57" cm="1">
        <f t="array" ref="AF433">VLOOKUP(B433,'Player Data'!$A1:$AE673,20,FALSE)*$Q433</f>
        <v>2.4299999999999997</v>
      </c>
      <c r="AG433" s="57" cm="1">
        <f t="array" ref="AG433">VLOOKUP(B433,'Player Data'!$A1:$AE673,21,FALSE)*$Q433</f>
        <v>8.91</v>
      </c>
      <c r="AH433" s="59" cm="1">
        <f t="array" ref="AH433">VLOOKUP(B433,'Player Data'!$A1:$AE673,22,FALSE)</f>
        <v>0.24</v>
      </c>
      <c r="AI433" s="55"/>
      <c r="AJ433" s="57"/>
      <c r="AK433" s="57"/>
      <c r="AL433" s="57"/>
      <c r="AM433" s="57"/>
      <c r="AN433" s="57"/>
      <c r="AO433" s="57"/>
      <c r="AP433" s="57"/>
      <c r="AQ433" s="60"/>
      <c r="AR433" s="61"/>
      <c r="AS433" s="55"/>
    </row>
    <row r="434" spans="1:45" ht="21.25" customHeight="1" x14ac:dyDescent="0.15">
      <c r="A434" s="62">
        <f>RANK(K434,K$2:K$671)</f>
        <v>467</v>
      </c>
      <c r="B434" s="10" t="s">
        <v>635</v>
      </c>
      <c r="C434" s="47" t="s">
        <v>145</v>
      </c>
      <c r="D434" s="48" t="str" cm="1">
        <f t="array" ref="D434">VLOOKUP(B434,'Player Data'!A1:D673,4,FALSE)</f>
        <v>G</v>
      </c>
      <c r="E434" s="76" cm="1">
        <f t="array" ref="E434">VLOOKUP(B434,G!A1:D66,3,FALSE)</f>
        <v>59</v>
      </c>
      <c r="F434" s="18" t="str" cm="1">
        <f t="array" ref="F434">VLOOKUP(B434,'Player Data'!A1:B673,2,FALSE)</f>
        <v>CGY</v>
      </c>
      <c r="G434" s="11" cm="1">
        <f t="array" ref="G434">VLOOKUP(B434,'Player Data'!A1:D673,3,FALSE)</f>
        <v>29</v>
      </c>
      <c r="H434" s="51" cm="1">
        <f t="array" ref="H434">IFERROR(VLOOKUP(B434,ADP!A1:F671,6,FALSE)/1000000,VLOOKUP(B434,ADP!A1:F671,6,FALSE))</f>
        <v>1.35</v>
      </c>
      <c r="I434" s="52">
        <f>IF(Settings!$E$15="POINTS",(AJ434*Settings!$B$29)+(AK434*Settings!$B$21)+(AL434*Settings!$B$22)+(AN434*Settings!$B$24)+(AO434*Settings!$B$25)+(AP434*Settings!$B$27)+(AM434*Settings!$B$23),VLOOKUP(B434,'Standard Deviations'!A$1:C$672,3,FALSE))</f>
        <v>-5.0525297096037898</v>
      </c>
      <c r="J434" s="53" cm="1">
        <f t="array" ref="J434">IF(D434="G",I434/AJ434,I434/Q434)</f>
        <v>-0.20210118838415159</v>
      </c>
      <c r="K434" s="52" cm="1">
        <f t="array" ref="K434">VLOOKUP(B434,G!A1:F66,6,FALSE)</f>
        <v>-7.0907149687274647</v>
      </c>
      <c r="L434" s="54" cm="1">
        <f t="array" ref="L434">IFERROR(K434/H434,"N/A")</f>
        <v>-5.2523814583166404</v>
      </c>
      <c r="M434" s="84" t="s">
        <v>828</v>
      </c>
      <c r="N434" s="84" t="str" cm="1">
        <f t="array" ref="N434">IFERROR(M434-A434,"N/A")</f>
        <v>N/A</v>
      </c>
      <c r="O434" s="55"/>
      <c r="P434" s="56" cm="1">
        <f t="array" ref="P434">_xlfn.XLOOKUP($B434,ADP!A2:A671,ADP!G2:G671)</f>
        <v>0</v>
      </c>
      <c r="Q434" s="57"/>
      <c r="R434" s="55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9"/>
      <c r="AI434" s="55"/>
      <c r="AJ434" s="77" cm="1">
        <f t="array" ref="AJ434">VLOOKUP(B434,'Player Data'!$A1:$AE673,24,FALSE)</f>
        <v>25</v>
      </c>
      <c r="AK434" s="57" cm="1">
        <f t="array" ref="AK434">VLOOKUP(B434,'Player Data'!$A1:$AE673,25,FALSE)*$AJ434*IFERROR((VLOOKUP(P434,Settings!$E$28:$F$33,2,FALSE)+1),1)</f>
        <v>8.5</v>
      </c>
      <c r="AL434" s="57" cm="1">
        <f t="array" ref="AL434">AJ434-AK434-AM434</f>
        <v>12.5</v>
      </c>
      <c r="AM434" s="57" cm="1">
        <f t="array" ref="AM434">VLOOKUP(B434,'Player Data'!$A1:$AE673,27,FALSE)*$AJ434</f>
        <v>4</v>
      </c>
      <c r="AN434" s="57" cm="1">
        <f t="array" ref="AN434">VLOOKUP(B434,'Player Data'!$A1:$AE673,28,FALSE)*AJ434</f>
        <v>0.75</v>
      </c>
      <c r="AO434" s="57" cm="1">
        <f t="array" ref="AO434">VLOOKUP(B434,'Player Data'!$A1:$AE673,29,FALSE)*$AJ434*IFERROR((VLOOKUP(P434,Settings!$E$28:$F$33,2,FALSE)/4)+1,1)</f>
        <v>677.5</v>
      </c>
      <c r="AP434" s="57" cm="1">
        <f t="array" ref="AP434">VLOOKUP(B434,'Player Data'!$A1:$AE673,31,FALSE)*$AJ434*(IFERROR(1-(VLOOKUP(P434,Settings!$E$28:$F$33,2,FALSE)/4),1))</f>
        <v>77.75</v>
      </c>
      <c r="AQ434" s="60" cm="1">
        <f t="array" ref="AQ434">1-(AP434/(AO434+AP434))</f>
        <v>0.89705395564382651</v>
      </c>
      <c r="AR434" s="61" cm="1">
        <f t="array" ref="AR434">AP434/AJ434</f>
        <v>3.11</v>
      </c>
      <c r="AS434" s="55"/>
    </row>
    <row r="435" spans="1:45" ht="21.25" customHeight="1" x14ac:dyDescent="0.15">
      <c r="A435" s="62">
        <f>RANK(K435,K$2:K$671)</f>
        <v>428</v>
      </c>
      <c r="B435" s="10" t="s">
        <v>531</v>
      </c>
      <c r="C435" s="47" t="s">
        <v>145</v>
      </c>
      <c r="D435" s="48" t="str" cm="1">
        <f t="array" ref="D435">VLOOKUP(B435,'Player Data'!A1:D673,4,FALSE)</f>
        <v>RW</v>
      </c>
      <c r="E435" s="64" cm="1">
        <f t="array" ref="E435">VLOOKUP(B435,RW!A1:F210,3,FALSE)</f>
        <v>99</v>
      </c>
      <c r="F435" s="56" t="str" cm="1">
        <f t="array" ref="F435">VLOOKUP(B435,'Player Data'!A1:B673,2,FALSE)</f>
        <v>CHI</v>
      </c>
      <c r="G435" s="71" cm="1">
        <f t="array" ref="G435">VLOOKUP(B435,'Player Data'!A1:D673,3,FALSE)</f>
        <v>22</v>
      </c>
      <c r="H435" s="51" cm="1">
        <f t="array" ref="H435">IFERROR(VLOOKUP(B435,ADP!A1:F671,6,FALSE)/1000000,VLOOKUP(B435,ADP!A1:F671,6,FALSE))</f>
        <v>1.075</v>
      </c>
      <c r="I435" s="52">
        <f>IF(Settings!$E$15="POINTS",((R435*Q435)*Settings!$B$12)+(S435*Settings!$B$2)+(T435*Settings!$B$3)+(U435*Settings!$B$4)+(V435*Settings!$B$5)+(X435*Settings!$B$9)+(AA435*Settings!$B$6)+(W435*Settings!$B$8)+(AB435*Settings!$B$7)+(AC435*Settings!$B$14)+(AD435*Settings!$B$15)+(AE435*Settings!$B$16)+(AF435*Settings!$B$17)+(AG435*Settings!$B$18)+(Y435*Settings!$B$10)+(Z435*Settings!$B$11),VLOOKUP(B435,'Standard Deviations'!A$1:C$672,3,FALSE))</f>
        <v>0.54410987921097398</v>
      </c>
      <c r="J435" s="53" cm="1">
        <f t="array" ref="J435">IF(D435="G",I435/AJ435,I435/Q435)</f>
        <v>7.0663620676749868E-3</v>
      </c>
      <c r="K435" s="52" cm="1">
        <f t="array" ref="K435">IF(Settings!$E$18="C/LW/RW",VLOOKUP(B435,RW!A1:F210,6,FALSE),VLOOKUP(B435,F!A1:F407,6,FALSE))</f>
        <v>-6.3431247225981036</v>
      </c>
      <c r="L435" s="54" cm="1">
        <f t="array" ref="L435">IFERROR(K435/H435,"N/A")</f>
        <v>-5.9005811373005619</v>
      </c>
      <c r="M435" s="84" t="s">
        <v>828</v>
      </c>
      <c r="N435" s="84" t="str" cm="1">
        <f t="array" ref="N435">IFERROR(M435-A435,"N/A")</f>
        <v>N/A</v>
      </c>
      <c r="O435" s="55"/>
      <c r="P435" s="56" cm="1">
        <f t="array" ref="P435">_xlfn.XLOOKUP($B435,ADP!A2:A671,ADP!G2:G671)</f>
        <v>0</v>
      </c>
      <c r="Q435" s="57" cm="1">
        <f t="array" ref="Q435">IF(Settings!$E$12="YES",VLOOKUP(B435,'Player Data'!A1:E673,5,FALSE),84)</f>
        <v>77</v>
      </c>
      <c r="R435" s="55" cm="1">
        <f t="array" ref="R435">VLOOKUP(B435,'Player Data'!$A1:$AE673,6,FALSE)</f>
        <v>15</v>
      </c>
      <c r="S435" s="57" cm="1">
        <f t="array" ref="S435">VLOOKUP(B435,'Player Data'!$A1:$AE673,7,FALSE)*$Q435*IFERROR((VLOOKUP(P435,Settings!$E$28:$F$33,2,FALSE)+1),1)</f>
        <v>18.48</v>
      </c>
      <c r="T435" s="57" cm="1">
        <f t="array" ref="T435">VLOOKUP(B435,'Player Data'!$A1:$AE673,8,FALSE)*$Q435*IFERROR((VLOOKUP(P435,Settings!$E$28:$F$33,2,FALSE)+1),1)</f>
        <v>19.25</v>
      </c>
      <c r="U435" s="57" cm="1">
        <f t="array" ref="U435">SUM(S435:T435)</f>
        <v>37.730000000000004</v>
      </c>
      <c r="V435" s="57" cm="1">
        <f t="array" ref="V435">VLOOKUP(B435,'Player Data'!$A1:$AE673,10,FALSE)*$Q435*IFERROR(((VLOOKUP(P435,Settings!$E$28:$F$33,2,FALSE)/2)+1),1)</f>
        <v>146.29999999999998</v>
      </c>
      <c r="W435" s="57" cm="1">
        <f t="array" ref="W435">VLOOKUP(B435,'Player Data'!$A1:$AE673,11,FALSE)*$Q435*IFERROR((VLOOKUP(P435,Settings!$E$28:$F$33,2,FALSE)+1),1)</f>
        <v>3.85</v>
      </c>
      <c r="X435" s="57" cm="1">
        <f t="array" ref="X435">VLOOKUP(B435,'Player Data'!$A1:$AE673,12,FALSE)*$Q435*IFERROR((VLOOKUP(P435,Settings!$E$28:$F$33,2,FALSE)+1),1)</f>
        <v>8.4700000000000006</v>
      </c>
      <c r="Y435" s="57" cm="1">
        <f t="array" ref="Y435">VLOOKUP(B435,'Player Data'!$A1:$AE673,13,FALSE)*$Q435</f>
        <v>0</v>
      </c>
      <c r="Z435" s="57" cm="1">
        <f t="array" ref="Z435">VLOOKUP(B435,'Player Data'!$A1:$AE673,14,FALSE)*$Q435</f>
        <v>0</v>
      </c>
      <c r="AA435" s="57" cm="1">
        <f t="array" ref="AA435">VLOOKUP(B435,'Player Data'!$A1:$AE673,15,FALSE)*$Q435</f>
        <v>33.11</v>
      </c>
      <c r="AB435" s="57" cm="1">
        <f t="array" ref="AB435">VLOOKUP(B435,'Player Data'!$A1:$AE673,16,FALSE)*$Q435</f>
        <v>90.86</v>
      </c>
      <c r="AC435" s="57" cm="1">
        <f t="array" ref="AC435">VLOOKUP(B435,'Player Data'!$A1:$AE673,17,FALSE)*$Q435*IFERROR((VLOOKUP(P435,Settings!$E$28:$F$33,2,FALSE)+1),1)</f>
        <v>0</v>
      </c>
      <c r="AD435" s="57" cm="1">
        <f t="array" ref="AD435">VLOOKUP(B435,'Player Data'!$A1:$AE673,18,FALSE)*$Q435</f>
        <v>30.8</v>
      </c>
      <c r="AE435" s="57" cm="1">
        <f t="array" ref="AE435">VLOOKUP(B435,'Player Data'!$A1:$AE673,19,FALSE)*$Q435*IFERROR((VLOOKUP(P435,Settings!$E$28:$F$33,2,FALSE)+1),1)</f>
        <v>2.31</v>
      </c>
      <c r="AF435" s="57" cm="1">
        <f t="array" ref="AF435">VLOOKUP(B435,'Player Data'!$A1:$AE673,20,FALSE)*$Q435</f>
        <v>0</v>
      </c>
      <c r="AG435" s="57" cm="1">
        <f t="array" ref="AG435">VLOOKUP(B435,'Player Data'!$A1:$AE673,21,FALSE)*$Q435</f>
        <v>0</v>
      </c>
      <c r="AH435" s="59" cm="1">
        <f t="array" ref="AH435">VLOOKUP(B435,'Player Data'!$A1:$AE673,22,FALSE)</f>
        <v>0.4</v>
      </c>
      <c r="AI435" s="55"/>
      <c r="AJ435" s="57"/>
      <c r="AK435" s="57"/>
      <c r="AL435" s="57"/>
      <c r="AM435" s="57"/>
      <c r="AN435" s="57"/>
      <c r="AO435" s="57"/>
      <c r="AP435" s="57"/>
      <c r="AQ435" s="60"/>
      <c r="AR435" s="61"/>
      <c r="AS435" s="55"/>
    </row>
    <row r="436" spans="1:45" ht="21.25" customHeight="1" x14ac:dyDescent="0.15">
      <c r="A436" s="62">
        <f>RANK(K436,K$2:K$671)</f>
        <v>429</v>
      </c>
      <c r="B436" s="10" t="s">
        <v>416</v>
      </c>
      <c r="C436" s="47" t="s">
        <v>145</v>
      </c>
      <c r="D436" s="48" t="str" cm="1">
        <f t="array" ref="D436">VLOOKUP(B436,'Player Data'!A1:D673,4,FALSE)</f>
        <v>C</v>
      </c>
      <c r="E436" s="49" cm="1">
        <f t="array" ref="E436">VLOOKUP(B436,'C'!A1:C210,3,FALSE)</f>
        <v>95</v>
      </c>
      <c r="F436" s="63" t="str" cm="1">
        <f t="array" ref="F436">VLOOKUP(B436,'Player Data'!A1:B673,2,FALSE)</f>
        <v>CGY</v>
      </c>
      <c r="G436" s="11" cm="1">
        <f t="array" ref="G436">VLOOKUP(B436,'Player Data'!A1:D673,3,FALSE)</f>
        <v>27</v>
      </c>
      <c r="H436" s="67" cm="1">
        <f t="array" ref="H436">IFERROR(VLOOKUP(B436,ADP!A1:F671,6,FALSE)/1000000,VLOOKUP(B436,ADP!A1:F671,6,FALSE))</f>
        <v>4.375</v>
      </c>
      <c r="I436" s="52">
        <f>IF(Settings!$E$15="POINTS",((R436*Q436)*Settings!$B$12)+(S436*Settings!$B$2)+(T436*Settings!$B$3)+(U436*Settings!$B$4)+(V436*Settings!$B$5)+(X436*Settings!$B$9)+(AA436*Settings!$B$6)+(W436*Settings!$B$8)+(AB436*Settings!$B$7)+(AC436*Settings!$B$14)+(AD436*Settings!$B$15)+(AE436*Settings!$B$16)+(AF436*Settings!$B$17)+(AG436*Settings!$B$18)+(Y436*Settings!$B$10)+(Z436*Settings!$B$11),VLOOKUP(B436,'Standard Deviations'!A$1:C$672,3,FALSE))</f>
        <v>-1.7596548786048993E-2</v>
      </c>
      <c r="J436" s="53" cm="1">
        <f t="array" ref="J436">IF(D436="G",I436/AJ436,I436/Q436)</f>
        <v>-2.1200661188010836E-4</v>
      </c>
      <c r="K436" s="52" cm="1">
        <f t="array" ref="K436">IF(Settings!$E$18="C/LW/RW",VLOOKUP(B436,'C'!A1:F210,6,FALSE),VLOOKUP(B436,F!A1:F407,6,FALSE))</f>
        <v>-6.3776061064011129</v>
      </c>
      <c r="L436" s="54" cm="1">
        <f t="array" ref="L436">IFERROR(K436/H436,"N/A")</f>
        <v>-1.4577385386059687</v>
      </c>
      <c r="M436" s="84" t="s">
        <v>828</v>
      </c>
      <c r="N436" s="84" t="str" cm="1">
        <f t="array" ref="N436">IFERROR(M436-A436,"N/A")</f>
        <v>N/A</v>
      </c>
      <c r="O436" s="80"/>
      <c r="P436" s="56" cm="1">
        <f t="array" ref="P436">_xlfn.XLOOKUP($B436,ADP!A2:A671,ADP!G2:G671)</f>
        <v>0</v>
      </c>
      <c r="Q436" s="57" cm="1">
        <f t="array" ref="Q436">IF(Settings!$E$12="YES",VLOOKUP(B436,'Player Data'!A1:E673,5,FALSE),84)</f>
        <v>83</v>
      </c>
      <c r="R436" s="55" cm="1">
        <f t="array" ref="R436">VLOOKUP(B436,'Player Data'!$A1:$AE673,6,FALSE)</f>
        <v>15.9</v>
      </c>
      <c r="S436" s="57" cm="1">
        <f t="array" ref="S436">VLOOKUP(B436,'Player Data'!$A1:$AE673,7,FALSE)*$Q436*IFERROR((VLOOKUP(P436,Settings!$E$28:$F$33,2,FALSE)+1),1)</f>
        <v>19.919999999999998</v>
      </c>
      <c r="T436" s="57" cm="1">
        <f t="array" ref="T436">VLOOKUP(B436,'Player Data'!$A1:$AE673,8,FALSE)*$Q436*IFERROR((VLOOKUP(P436,Settings!$E$28:$F$33,2,FALSE)+1),1)</f>
        <v>26.560000000000002</v>
      </c>
      <c r="U436" s="57" cm="1">
        <f t="array" ref="U436">SUM(S436:T436)</f>
        <v>46.480000000000004</v>
      </c>
      <c r="V436" s="57" cm="1">
        <f t="array" ref="V436">VLOOKUP(B436,'Player Data'!$A1:$AE673,10,FALSE)*$Q436*IFERROR(((VLOOKUP(P436,Settings!$E$28:$F$33,2,FALSE)/2)+1),1)</f>
        <v>156.04</v>
      </c>
      <c r="W436" s="57" cm="1">
        <f t="array" ref="W436">VLOOKUP(B436,'Player Data'!$A1:$AE673,11,FALSE)*$Q436*IFERROR((VLOOKUP(P436,Settings!$E$28:$F$33,2,FALSE)+1),1)</f>
        <v>5.8100000000000005</v>
      </c>
      <c r="X436" s="78" cm="1">
        <f t="array" ref="X436">VLOOKUP(B436,'Player Data'!$A1:$AE673,12,FALSE)*$Q436*IFERROR((VLOOKUP(P436,Settings!$E$28:$F$33,2,FALSE)+1),1)</f>
        <v>14.94</v>
      </c>
      <c r="Y436" s="57" cm="1">
        <f t="array" ref="Y436">VLOOKUP(B436,'Player Data'!$A1:$AE673,13,FALSE)*$Q436</f>
        <v>0</v>
      </c>
      <c r="Z436" s="57" cm="1">
        <f t="array" ref="Z436">VLOOKUP(B436,'Player Data'!$A1:$AE673,14,FALSE)*$Q436</f>
        <v>0</v>
      </c>
      <c r="AA436" s="57" cm="1">
        <f t="array" ref="AA436">VLOOKUP(B436,'Player Data'!$A1:$AE673,15,FALSE)*$Q436</f>
        <v>49.8</v>
      </c>
      <c r="AB436" s="57" cm="1">
        <f t="array" ref="AB436">VLOOKUP(B436,'Player Data'!$A1:$AE673,16,FALSE)*$Q436</f>
        <v>70.55</v>
      </c>
      <c r="AC436" s="57" cm="1">
        <f t="array" ref="AC436">VLOOKUP(B436,'Player Data'!$A1:$AE673,17,FALSE)*$Q436*IFERROR((VLOOKUP(P436,Settings!$E$28:$F$33,2,FALSE)+1),1)</f>
        <v>-7.47</v>
      </c>
      <c r="AD436" s="57" cm="1">
        <f t="array" ref="AD436">VLOOKUP(B436,'Player Data'!$A1:$AE673,18,FALSE)*$Q436</f>
        <v>27.39</v>
      </c>
      <c r="AE436" s="57" cm="1">
        <f t="array" ref="AE436">VLOOKUP(B436,'Player Data'!$A1:$AE673,19,FALSE)*$Q436*IFERROR((VLOOKUP(P436,Settings!$E$28:$F$33,2,FALSE)+1),1)</f>
        <v>2.4899999999999998</v>
      </c>
      <c r="AF436" s="57" cm="1">
        <f t="array" ref="AF436">VLOOKUP(B436,'Player Data'!$A1:$AE673,20,FALSE)*$Q436</f>
        <v>571.04</v>
      </c>
      <c r="AG436" s="57" cm="1">
        <f t="array" ref="AG436">VLOOKUP(B436,'Player Data'!$A1:$AE673,21,FALSE)*$Q436</f>
        <v>504.64</v>
      </c>
      <c r="AH436" s="59" cm="1">
        <f t="array" ref="AH436">VLOOKUP(B436,'Player Data'!$A1:$AE673,22,FALSE)</f>
        <v>0.53</v>
      </c>
      <c r="AI436" s="55"/>
      <c r="AJ436" s="57"/>
      <c r="AK436" s="57"/>
      <c r="AL436" s="57"/>
      <c r="AM436" s="57"/>
      <c r="AN436" s="57"/>
      <c r="AO436" s="57"/>
      <c r="AP436" s="57"/>
      <c r="AQ436" s="60"/>
      <c r="AR436" s="61"/>
      <c r="AS436" s="55"/>
    </row>
    <row r="437" spans="1:45" ht="21.25" customHeight="1" x14ac:dyDescent="0.15">
      <c r="A437" s="62">
        <f>RANK(K437,K$2:K$671)</f>
        <v>430</v>
      </c>
      <c r="B437" s="10" t="s">
        <v>440</v>
      </c>
      <c r="C437" s="47" t="s">
        <v>145</v>
      </c>
      <c r="D437" s="48" t="str" cm="1">
        <f t="array" ref="D437">VLOOKUP(B437,'Player Data'!A1:D673,4,FALSE)</f>
        <v>C</v>
      </c>
      <c r="E437" s="49" cm="1">
        <f t="array" ref="E437">VLOOKUP(B437,'C'!A1:C210,3,FALSE)</f>
        <v>96</v>
      </c>
      <c r="F437" s="73" t="str" cm="1">
        <f t="array" ref="F437">VLOOKUP(B437,'Player Data'!A1:B673,2,FALSE)</f>
        <v>BUF</v>
      </c>
      <c r="G437" s="11" cm="1">
        <f t="array" ref="G437">VLOOKUP(B437,'Player Data'!A1:D673,3,FALSE)</f>
        <v>27</v>
      </c>
      <c r="H437" s="51" cm="1">
        <f t="array" ref="H437">IFERROR(VLOOKUP(B437,ADP!A1:F671,6,FALSE)/1000000,VLOOKUP(B437,ADP!A1:F671,6,FALSE))</f>
        <v>5</v>
      </c>
      <c r="I437" s="52">
        <f>IF(Settings!$E$15="POINTS",((R437*Q437)*Settings!$B$12)+(S437*Settings!$B$2)+(T437*Settings!$B$3)+(U437*Settings!$B$4)+(V437*Settings!$B$5)+(X437*Settings!$B$9)+(AA437*Settings!$B$6)+(W437*Settings!$B$8)+(AB437*Settings!$B$7)+(AC437*Settings!$B$14)+(AD437*Settings!$B$15)+(AE437*Settings!$B$16)+(AF437*Settings!$B$17)+(AG437*Settings!$B$18)+(Y437*Settings!$B$10)+(Z437*Settings!$B$11),VLOOKUP(B437,'Standard Deviations'!A$1:C$672,3,FALSE))</f>
        <v>-2.7705415505515751E-2</v>
      </c>
      <c r="J437" s="53" cm="1">
        <f t="array" ref="J437">IF(D437="G",I437/AJ437,I437/Q437)</f>
        <v>-3.3380018681344279E-4</v>
      </c>
      <c r="K437" s="52" cm="1">
        <f t="array" ref="K437">IF(Settings!$E$18="C/LW/RW",VLOOKUP(B437,'C'!A1:F210,6,FALSE),VLOOKUP(B437,F!A1:F407,6,FALSE))</f>
        <v>-6.3877149731205796</v>
      </c>
      <c r="L437" s="54" cm="1">
        <f t="array" ref="L437">IFERROR(K437/H437,"N/A")</f>
        <v>-1.2775429946241159</v>
      </c>
      <c r="M437" s="84" t="s">
        <v>828</v>
      </c>
      <c r="N437" s="84" t="str" cm="1">
        <f t="array" ref="N437">IFERROR(M437-A437,"N/A")</f>
        <v>N/A</v>
      </c>
      <c r="O437" s="82"/>
      <c r="P437" s="56" cm="1">
        <f t="array" ref="P437">_xlfn.XLOOKUP($B437,ADP!A2:A671,ADP!G2:G671)</f>
        <v>0</v>
      </c>
      <c r="Q437" s="57" cm="1">
        <f t="array" ref="Q437">IF(Settings!$E$12="YES",VLOOKUP(B437,'Player Data'!A1:E673,5,FALSE),84)</f>
        <v>83</v>
      </c>
      <c r="R437" s="55" cm="1">
        <f t="array" ref="R437">VLOOKUP(B437,'Player Data'!$A1:$AE673,6,FALSE)</f>
        <v>17.3</v>
      </c>
      <c r="S437" s="57" cm="1">
        <f t="array" ref="S437">VLOOKUP(B437,'Player Data'!$A1:$AE673,7,FALSE)*$Q437*IFERROR((VLOOKUP(P437,Settings!$E$28:$F$33,2,FALSE)+1),1)</f>
        <v>17.43</v>
      </c>
      <c r="T437" s="57" cm="1">
        <f t="array" ref="T437">VLOOKUP(B437,'Player Data'!$A1:$AE673,8,FALSE)*$Q437*IFERROR((VLOOKUP(P437,Settings!$E$28:$F$33,2,FALSE)+1),1)</f>
        <v>35.69</v>
      </c>
      <c r="U437" s="57" cm="1">
        <f t="array" ref="U437">SUM(S437:T437)</f>
        <v>53.12</v>
      </c>
      <c r="V437" s="57" cm="1">
        <f t="array" ref="V437">VLOOKUP(B437,'Player Data'!$A1:$AE673,10,FALSE)*$Q437*IFERROR(((VLOOKUP(P437,Settings!$E$28:$F$33,2,FALSE)/2)+1),1)</f>
        <v>107.07000000000001</v>
      </c>
      <c r="W437" s="57" cm="1">
        <f t="array" ref="W437">VLOOKUP(B437,'Player Data'!$A1:$AE673,11,FALSE)*$Q437*IFERROR((VLOOKUP(P437,Settings!$E$28:$F$33,2,FALSE)+1),1)</f>
        <v>0.83000000000000007</v>
      </c>
      <c r="X437" s="57" cm="1">
        <f t="array" ref="X437">VLOOKUP(B437,'Player Data'!$A1:$AE673,12,FALSE)*$Q437*IFERROR((VLOOKUP(P437,Settings!$E$28:$F$33,2,FALSE)+1),1)</f>
        <v>6.6400000000000006</v>
      </c>
      <c r="Y437" s="57" cm="1">
        <f t="array" ref="Y437">VLOOKUP(B437,'Player Data'!$A1:$AE673,13,FALSE)*$Q437</f>
        <v>3.3200000000000003</v>
      </c>
      <c r="Z437" s="57" cm="1">
        <f t="array" ref="Z437">VLOOKUP(B437,'Player Data'!$A1:$AE673,14,FALSE)*$Q437</f>
        <v>4.9799999999999995</v>
      </c>
      <c r="AA437" s="57" cm="1">
        <f t="array" ref="AA437">VLOOKUP(B437,'Player Data'!$A1:$AE673,15,FALSE)*$Q437</f>
        <v>36.520000000000003</v>
      </c>
      <c r="AB437" s="57" cm="1">
        <f t="array" ref="AB437">VLOOKUP(B437,'Player Data'!$A1:$AE673,16,FALSE)*$Q437</f>
        <v>27.39</v>
      </c>
      <c r="AC437" s="57" cm="1">
        <f t="array" ref="AC437">VLOOKUP(B437,'Player Data'!$A1:$AE673,17,FALSE)*$Q437*IFERROR((VLOOKUP(P437,Settings!$E$28:$F$33,2,FALSE)+1),1)</f>
        <v>2.4899999999999998</v>
      </c>
      <c r="AD437" s="57" cm="1">
        <f t="array" ref="AD437">VLOOKUP(B437,'Player Data'!$A1:$AE673,18,FALSE)*$Q437</f>
        <v>19.09</v>
      </c>
      <c r="AE437" s="57" cm="1">
        <f t="array" ref="AE437">VLOOKUP(B437,'Player Data'!$A1:$AE673,19,FALSE)*$Q437*IFERROR((VLOOKUP(P437,Settings!$E$28:$F$33,2,FALSE)+1),1)</f>
        <v>2.4899999999999998</v>
      </c>
      <c r="AF437" s="57" cm="1">
        <f t="array" ref="AF437">VLOOKUP(B437,'Player Data'!$A1:$AE673,20,FALSE)*$Q437</f>
        <v>621.67000000000007</v>
      </c>
      <c r="AG437" s="57" cm="1">
        <f t="array" ref="AG437">VLOOKUP(B437,'Player Data'!$A1:$AE673,21,FALSE)*$Q437</f>
        <v>623.32999999999993</v>
      </c>
      <c r="AH437" s="59" cm="1">
        <f t="array" ref="AH437">VLOOKUP(B437,'Player Data'!$A1:$AE673,22,FALSE)</f>
        <v>0.5</v>
      </c>
      <c r="AI437" s="55"/>
      <c r="AJ437" s="57"/>
      <c r="AK437" s="57"/>
      <c r="AL437" s="57"/>
      <c r="AM437" s="57"/>
      <c r="AN437" s="57"/>
      <c r="AO437" s="57"/>
      <c r="AP437" s="57"/>
      <c r="AQ437" s="60"/>
      <c r="AR437" s="61"/>
      <c r="AS437" s="55"/>
    </row>
    <row r="438" spans="1:45" ht="21.25" customHeight="1" x14ac:dyDescent="0.15">
      <c r="A438" s="62">
        <f>RANK(K438,K$2:K$671)</f>
        <v>432</v>
      </c>
      <c r="B438" s="10" t="s">
        <v>425</v>
      </c>
      <c r="C438" s="47" t="s">
        <v>145</v>
      </c>
      <c r="D438" s="48" t="str" cm="1">
        <f t="array" ref="D438">VLOOKUP(B438,'Player Data'!A1:D673,4,FALSE)</f>
        <v>C</v>
      </c>
      <c r="E438" s="49" cm="1">
        <f t="array" ref="E438">VLOOKUP(B438,'C'!A1:C210,3,FALSE)</f>
        <v>97</v>
      </c>
      <c r="F438" s="72" t="str" cm="1">
        <f t="array" ref="F438">VLOOKUP(B438,'Player Data'!A1:B673,2,FALSE)</f>
        <v>BOS</v>
      </c>
      <c r="G438" s="66" cm="1">
        <f t="array" ref="G438">VLOOKUP(B438,'Player Data'!A1:D673,3,FALSE)</f>
        <v>31</v>
      </c>
      <c r="H438" s="51" cm="1">
        <f t="array" ref="H438">IFERROR(VLOOKUP(B438,ADP!A1:F671,6,FALSE)/1000000,VLOOKUP(B438,ADP!A1:F671,6,FALSE))</f>
        <v>7.75</v>
      </c>
      <c r="I438" s="52">
        <f>IF(Settings!$E$15="POINTS",((R438*Q438)*Settings!$B$12)+(S438*Settings!$B$2)+(T438*Settings!$B$3)+(U438*Settings!$B$4)+(V438*Settings!$B$5)+(X438*Settings!$B$9)+(AA438*Settings!$B$6)+(W438*Settings!$B$8)+(AB438*Settings!$B$7)+(AC438*Settings!$B$14)+(AD438*Settings!$B$15)+(AE438*Settings!$B$16)+(AF438*Settings!$B$17)+(AG438*Settings!$B$18)+(Y438*Settings!$B$10)+(Z438*Settings!$B$11),VLOOKUP(B438,'Standard Deviations'!A$1:C$672,3,FALSE))</f>
        <v>-5.458255523612765E-2</v>
      </c>
      <c r="J438" s="53" cm="1">
        <f t="array" ref="J438">IF(D438="G",I438/AJ438,I438/Q438)</f>
        <v>-6.7385870661885983E-4</v>
      </c>
      <c r="K438" s="52" cm="1">
        <f t="array" ref="K438">IF(Settings!$E$18="C/LW/RW",VLOOKUP(B438,'C'!A1:F210,6,FALSE),VLOOKUP(B438,F!A1:F407,6,FALSE))</f>
        <v>-6.4145921128511922</v>
      </c>
      <c r="L438" s="54" cm="1">
        <f t="array" ref="L438">IFERROR(K438/H438,"N/A")</f>
        <v>-0.82768930488402481</v>
      </c>
      <c r="M438" s="84" t="s">
        <v>828</v>
      </c>
      <c r="N438" s="84" t="str" cm="1">
        <f t="array" ref="N438">IFERROR(M438-A438,"N/A")</f>
        <v>N/A</v>
      </c>
      <c r="O438" s="55"/>
      <c r="P438" s="56" cm="1">
        <f t="array" ref="P438">_xlfn.XLOOKUP($B438,ADP!A2:A671,ADP!G2:G671)</f>
        <v>0</v>
      </c>
      <c r="Q438" s="57" cm="1">
        <f t="array" ref="Q438">IF(Settings!$E$12="YES",VLOOKUP(B438,'Player Data'!A1:E673,5,FALSE),84)</f>
        <v>81</v>
      </c>
      <c r="R438" s="83" cm="1">
        <f t="array" ref="R438">VLOOKUP(B438,'Player Data'!$A1:$AE673,6,FALSE)</f>
        <v>16.8</v>
      </c>
      <c r="S438" s="57" cm="1">
        <f t="array" ref="S438">VLOOKUP(B438,'Player Data'!$A1:$AE673,7,FALSE)*$Q438*IFERROR((VLOOKUP(P438,Settings!$E$28:$F$33,2,FALSE)+1),1)</f>
        <v>15.39</v>
      </c>
      <c r="T438" s="57" cm="1">
        <f t="array" ref="T438">VLOOKUP(B438,'Player Data'!$A1:$AE673,8,FALSE)*$Q438*IFERROR((VLOOKUP(P438,Settings!$E$28:$F$33,2,FALSE)+1),1)</f>
        <v>27.540000000000003</v>
      </c>
      <c r="U438" s="57" cm="1">
        <f t="array" ref="U438">SUM(S438:T438)</f>
        <v>42.930000000000007</v>
      </c>
      <c r="V438" s="57" cm="1">
        <f t="array" ref="V438">VLOOKUP(B438,'Player Data'!$A1:$AE673,10,FALSE)*$Q438*IFERROR(((VLOOKUP(P438,Settings!$E$28:$F$33,2,FALSE)/2)+1),1)</f>
        <v>132.84</v>
      </c>
      <c r="W438" s="57" cm="1">
        <f t="array" ref="W438">VLOOKUP(B438,'Player Data'!$A1:$AE673,11,FALSE)*$Q438*IFERROR((VLOOKUP(P438,Settings!$E$28:$F$33,2,FALSE)+1),1)</f>
        <v>3.24</v>
      </c>
      <c r="X438" s="57" cm="1">
        <f t="array" ref="X438">VLOOKUP(B438,'Player Data'!$A1:$AE673,12,FALSE)*$Q438*IFERROR((VLOOKUP(P438,Settings!$E$28:$F$33,2,FALSE)+1),1)</f>
        <v>11.340000000000002</v>
      </c>
      <c r="Y438" s="57" cm="1">
        <f t="array" ref="Y438">VLOOKUP(B438,'Player Data'!$A1:$AE673,13,FALSE)*$Q438</f>
        <v>0</v>
      </c>
      <c r="Z438" s="57" cm="1">
        <f t="array" ref="Z438">VLOOKUP(B438,'Player Data'!$A1:$AE673,14,FALSE)*$Q438</f>
        <v>0.81</v>
      </c>
      <c r="AA438" s="57" cm="1">
        <f t="array" ref="AA438">VLOOKUP(B438,'Player Data'!$A1:$AE673,15,FALSE)*$Q438</f>
        <v>66.42</v>
      </c>
      <c r="AB438" s="57" cm="1">
        <f t="array" ref="AB438">VLOOKUP(B438,'Player Data'!$A1:$AE673,16,FALSE)*$Q438</f>
        <v>71.28</v>
      </c>
      <c r="AC438" s="57" cm="1">
        <f t="array" ref="AC438">VLOOKUP(B438,'Player Data'!$A1:$AE673,17,FALSE)*$Q438*IFERROR((VLOOKUP(P438,Settings!$E$28:$F$33,2,FALSE)+1),1)</f>
        <v>-2.4299999999999997</v>
      </c>
      <c r="AD438" s="57" cm="1">
        <f t="array" ref="AD438">VLOOKUP(B438,'Player Data'!$A1:$AE673,18,FALSE)*$Q438</f>
        <v>24.3</v>
      </c>
      <c r="AE438" s="57" cm="1">
        <f t="array" ref="AE438">VLOOKUP(B438,'Player Data'!$A1:$AE673,19,FALSE)*$Q438*IFERROR((VLOOKUP(P438,Settings!$E$28:$F$33,2,FALSE)+1),1)</f>
        <v>2.4299999999999997</v>
      </c>
      <c r="AF438" s="57" cm="1">
        <f t="array" ref="AF438">VLOOKUP(B438,'Player Data'!$A1:$AE673,20,FALSE)*$Q438</f>
        <v>716.85</v>
      </c>
      <c r="AG438" s="57" cm="1">
        <f t="array" ref="AG438">VLOOKUP(B438,'Player Data'!$A1:$AE673,21,FALSE)*$Q438</f>
        <v>567</v>
      </c>
      <c r="AH438" s="59" cm="1">
        <f t="array" ref="AH438">VLOOKUP(B438,'Player Data'!$A1:$AE673,22,FALSE)</f>
        <v>0.56000000000000005</v>
      </c>
      <c r="AI438" s="55"/>
      <c r="AJ438" s="57"/>
      <c r="AK438" s="57"/>
      <c r="AL438" s="57"/>
      <c r="AM438" s="57"/>
      <c r="AN438" s="57"/>
      <c r="AO438" s="57"/>
      <c r="AP438" s="57"/>
      <c r="AQ438" s="60"/>
      <c r="AR438" s="61"/>
      <c r="AS438" s="55"/>
    </row>
    <row r="439" spans="1:45" ht="21.25" customHeight="1" x14ac:dyDescent="0.15">
      <c r="A439" s="62">
        <f>RANK(K439,K$2:K$671)</f>
        <v>434</v>
      </c>
      <c r="B439" s="10" t="s">
        <v>420</v>
      </c>
      <c r="C439" s="47" t="s">
        <v>145</v>
      </c>
      <c r="D439" s="48" t="str" cm="1">
        <f t="array" ref="D439">VLOOKUP(B439,'Player Data'!A1:D673,4,FALSE)</f>
        <v>C</v>
      </c>
      <c r="E439" s="49" cm="1">
        <f t="array" ref="E439">VLOOKUP(B439,'C'!A1:C210,3,FALSE)</f>
        <v>98</v>
      </c>
      <c r="F439" s="72" t="str" cm="1">
        <f t="array" ref="F439">VLOOKUP(B439,'Player Data'!A1:B673,2,FALSE)</f>
        <v>PIT</v>
      </c>
      <c r="G439" s="71" cm="1">
        <f t="array" ref="G439">VLOOKUP(B439,'Player Data'!A1:D673,3,FALSE)</f>
        <v>19</v>
      </c>
      <c r="H439" s="51" cm="1">
        <f t="array" ref="H439">IFERROR(VLOOKUP(B439,ADP!A1:F671,6,FALSE)/1000000,VLOOKUP(B439,ADP!A1:F671,6,FALSE))</f>
        <v>0.97499999999999998</v>
      </c>
      <c r="I439" s="52">
        <f>IF(Settings!$E$15="POINTS",((R439*Q439)*Settings!$B$12)+(S439*Settings!$B$2)+(T439*Settings!$B$3)+(U439*Settings!$B$4)+(V439*Settings!$B$5)+(X439*Settings!$B$9)+(AA439*Settings!$B$6)+(W439*Settings!$B$8)+(AB439*Settings!$B$7)+(AC439*Settings!$B$14)+(AD439*Settings!$B$15)+(AE439*Settings!$B$16)+(AF439*Settings!$B$17)+(AG439*Settings!$B$18)+(Y439*Settings!$B$10)+(Z439*Settings!$B$11),VLOOKUP(B439,'Standard Deviations'!A$1:C$672,3,FALSE))</f>
        <v>-6.9349538817844794E-2</v>
      </c>
      <c r="J439" s="53" cm="1">
        <f t="array" ref="J439">IF(D439="G",I439/AJ439,I439/Q439)</f>
        <v>-8.4572608314444867E-4</v>
      </c>
      <c r="K439" s="52" cm="1">
        <f t="array" ref="K439">IF(Settings!$E$18="C/LW/RW",VLOOKUP(B439,'C'!A1:F210,6,FALSE),VLOOKUP(B439,F!A1:F407,6,FALSE))</f>
        <v>-6.4293590964329086</v>
      </c>
      <c r="L439" s="54" cm="1">
        <f t="array" ref="L439">IFERROR(K439/H439,"N/A")</f>
        <v>-6.5942144578799065</v>
      </c>
      <c r="M439" s="84" t="s">
        <v>828</v>
      </c>
      <c r="N439" s="84" t="str" cm="1">
        <f t="array" ref="N439">IFERROR(M439-A439,"N/A")</f>
        <v>N/A</v>
      </c>
      <c r="O439" s="55"/>
      <c r="P439" s="56" cm="1">
        <f t="array" ref="P439">_xlfn.XLOOKUP($B439,ADP!A2:A671,ADP!G2:G671)</f>
        <v>0</v>
      </c>
      <c r="Q439" s="57" cm="1">
        <f t="array" ref="Q439">IF(Settings!$E$12="YES",VLOOKUP(B439,'Player Data'!A1:E673,5,FALSE),84)</f>
        <v>82</v>
      </c>
      <c r="R439" s="55" cm="1">
        <f t="array" ref="R439">VLOOKUP(B439,'Player Data'!$A1:$AE673,6,FALSE)</f>
        <v>15.9</v>
      </c>
      <c r="S439" s="57" cm="1">
        <f t="array" ref="S439">VLOOKUP(B439,'Player Data'!$A1:$AE673,7,FALSE)*$Q439*IFERROR((VLOOKUP(P439,Settings!$E$28:$F$33,2,FALSE)+1),1)</f>
        <v>18.04</v>
      </c>
      <c r="T439" s="57" cm="1">
        <f t="array" ref="T439">VLOOKUP(B439,'Player Data'!$A1:$AE673,8,FALSE)*$Q439*IFERROR((VLOOKUP(P439,Settings!$E$28:$F$33,2,FALSE)+1),1)</f>
        <v>21.32</v>
      </c>
      <c r="U439" s="57" cm="1">
        <f t="array" ref="U439">SUM(S439:T439)</f>
        <v>39.36</v>
      </c>
      <c r="V439" s="57" cm="1">
        <f t="array" ref="V439">VLOOKUP(B439,'Player Data'!$A1:$AE673,10,FALSE)*$Q439*IFERROR(((VLOOKUP(P439,Settings!$E$28:$F$33,2,FALSE)/2)+1),1)</f>
        <v>159.9</v>
      </c>
      <c r="W439" s="57" cm="1">
        <f t="array" ref="W439">VLOOKUP(B439,'Player Data'!$A1:$AE673,11,FALSE)*$Q439*IFERROR((VLOOKUP(P439,Settings!$E$28:$F$33,2,FALSE)+1),1)</f>
        <v>3.2800000000000002</v>
      </c>
      <c r="X439" s="57" cm="1">
        <f t="array" ref="X439">VLOOKUP(B439,'Player Data'!$A1:$AE673,12,FALSE)*$Q439*IFERROR((VLOOKUP(P439,Settings!$E$28:$F$33,2,FALSE)+1),1)</f>
        <v>9.02</v>
      </c>
      <c r="Y439" s="57" cm="1">
        <f t="array" ref="Y439">VLOOKUP(B439,'Player Data'!$A1:$AE673,13,FALSE)*$Q439</f>
        <v>0</v>
      </c>
      <c r="Z439" s="57" cm="1">
        <f t="array" ref="Z439">VLOOKUP(B439,'Player Data'!$A1:$AE673,14,FALSE)*$Q439</f>
        <v>1.6400000000000001</v>
      </c>
      <c r="AA439" s="57" cm="1">
        <f t="array" ref="AA439">VLOOKUP(B439,'Player Data'!$A1:$AE673,15,FALSE)*$Q439</f>
        <v>61.5</v>
      </c>
      <c r="AB439" s="57" cm="1">
        <f t="array" ref="AB439">VLOOKUP(B439,'Player Data'!$A1:$AE673,16,FALSE)*$Q439</f>
        <v>41.82</v>
      </c>
      <c r="AC439" s="57" cm="1">
        <f t="array" ref="AC439">VLOOKUP(B439,'Player Data'!$A1:$AE673,17,FALSE)*$Q439*IFERROR((VLOOKUP(P439,Settings!$E$28:$F$33,2,FALSE)+1),1)</f>
        <v>0</v>
      </c>
      <c r="AD439" s="57" cm="1">
        <f t="array" ref="AD439">VLOOKUP(B439,'Player Data'!$A1:$AE673,18,FALSE)*$Q439</f>
        <v>24.599999999999998</v>
      </c>
      <c r="AE439" s="57" cm="1">
        <f t="array" ref="AE439">VLOOKUP(B439,'Player Data'!$A1:$AE673,19,FALSE)*$Q439*IFERROR((VLOOKUP(P439,Settings!$E$28:$F$33,2,FALSE)+1),1)</f>
        <v>2.46</v>
      </c>
      <c r="AF439" s="57" cm="1">
        <f t="array" ref="AF439">VLOOKUP(B439,'Player Data'!$A1:$AE673,20,FALSE)*$Q439</f>
        <v>317.34000000000003</v>
      </c>
      <c r="AG439" s="57" cm="1">
        <f t="array" ref="AG439">VLOOKUP(B439,'Player Data'!$A1:$AE673,21,FALSE)*$Q439</f>
        <v>412.46000000000004</v>
      </c>
      <c r="AH439" s="59" cm="1">
        <f t="array" ref="AH439">VLOOKUP(B439,'Player Data'!$A1:$AE673,22,FALSE)</f>
        <v>0.43</v>
      </c>
      <c r="AI439" s="55"/>
      <c r="AJ439" s="57"/>
      <c r="AK439" s="57"/>
      <c r="AL439" s="57"/>
      <c r="AM439" s="57"/>
      <c r="AN439" s="57"/>
      <c r="AO439" s="57"/>
      <c r="AP439" s="57"/>
      <c r="AQ439" s="60"/>
      <c r="AR439" s="61"/>
      <c r="AS439" s="55"/>
    </row>
    <row r="440" spans="1:45" ht="21.25" customHeight="1" x14ac:dyDescent="0.15">
      <c r="A440" s="62">
        <f>RANK(K440,K$2:K$671)</f>
        <v>431</v>
      </c>
      <c r="B440" s="10" t="s">
        <v>405</v>
      </c>
      <c r="C440" s="47" t="s">
        <v>145</v>
      </c>
      <c r="D440" s="48" t="str" cm="1">
        <f t="array" ref="D440">VLOOKUP(B440,'Player Data'!A1:D673,4,FALSE)</f>
        <v>C,LW,RW</v>
      </c>
      <c r="E440" s="74" cm="1">
        <f t="array" ref="E440">VLOOKUP(B440,RW!A1:F210,3,FALSE)</f>
        <v>100</v>
      </c>
      <c r="F440" s="65" t="str" cm="1">
        <f t="array" ref="F440">VLOOKUP(B440,'Player Data'!A1:B673,2,FALSE)</f>
        <v>STL</v>
      </c>
      <c r="G440" s="66" cm="1">
        <f t="array" ref="G440">VLOOKUP(B440,'Player Data'!A1:D673,3,FALSE)</f>
        <v>31</v>
      </c>
      <c r="H440" s="51" cm="1">
        <f t="array" ref="H440">IFERROR(VLOOKUP(B440,ADP!A1:F671,6,FALSE)/1000000,VLOOKUP(B440,ADP!A1:F671,6,FALSE))</f>
        <v>8</v>
      </c>
      <c r="I440" s="52">
        <f>IF(Settings!$E$15="POINTS",((R440*Q440)*Settings!$B$12)+(S440*Settings!$B$2)+(T440*Settings!$B$3)+(U440*Settings!$B$4)+(V440*Settings!$B$5)+(X440*Settings!$B$9)+(AA440*Settings!$B$6)+(W440*Settings!$B$8)+(AB440*Settings!$B$7)+(AC440*Settings!$B$14)+(AD440*Settings!$B$15)+(AE440*Settings!$B$16)+(AF440*Settings!$B$17)+(AG440*Settings!$B$18)+(Y440*Settings!$B$10)+(Z440*Settings!$B$11),VLOOKUP(B440,'Standard Deviations'!A$1:C$672,3,FALSE))</f>
        <v>0.47492829953690191</v>
      </c>
      <c r="J440" s="53" cm="1">
        <f t="array" ref="J440">IF(D440="G",I440/AJ440,I440/Q440)</f>
        <v>5.7220277052638787E-3</v>
      </c>
      <c r="K440" s="52" cm="1">
        <f t="array" ref="K440">IF(Settings!$E$18="C/LW/RW",VLOOKUP(B440,RW!A1:F210,6,FALSE),VLOOKUP(B440,F!A1:F407,6,FALSE))</f>
        <v>-6.4123063022721754</v>
      </c>
      <c r="L440" s="54" cm="1">
        <f t="array" ref="L440">IFERROR(K440/H440,"N/A")</f>
        <v>-0.80153828778402192</v>
      </c>
      <c r="M440" s="84" t="s">
        <v>828</v>
      </c>
      <c r="N440" s="84" t="str" cm="1">
        <f t="array" ref="N440">IFERROR(M440-A440,"N/A")</f>
        <v>N/A</v>
      </c>
      <c r="O440" s="55"/>
      <c r="P440" s="56" cm="1">
        <f t="array" ref="P440">_xlfn.XLOOKUP($B440,ADP!A2:A671,ADP!G2:G671)</f>
        <v>0</v>
      </c>
      <c r="Q440" s="57" cm="1">
        <f t="array" ref="Q440">IF(Settings!$E$12="YES",VLOOKUP(B440,'Player Data'!A1:E673,5,FALSE),84)</f>
        <v>83</v>
      </c>
      <c r="R440" s="55" cm="1">
        <f t="array" ref="R440">VLOOKUP(B440,'Player Data'!$A1:$AE673,6,FALSE)</f>
        <v>17.100000000000001</v>
      </c>
      <c r="S440" s="57" cm="1">
        <f t="array" ref="S440">VLOOKUP(B440,'Player Data'!$A1:$AE673,7,FALSE)*$Q440*IFERROR((VLOOKUP(P440,Settings!$E$28:$F$33,2,FALSE)+1),1)</f>
        <v>19.919999999999998</v>
      </c>
      <c r="T440" s="57" cm="1">
        <f t="array" ref="T440">VLOOKUP(B440,'Player Data'!$A1:$AE673,8,FALSE)*$Q440*IFERROR((VLOOKUP(P440,Settings!$E$28:$F$33,2,FALSE)+1),1)</f>
        <v>29.049999999999997</v>
      </c>
      <c r="U440" s="57" cm="1">
        <f t="array" ref="U440">SUM(S440:T440)</f>
        <v>48.97</v>
      </c>
      <c r="V440" s="57" cm="1">
        <f t="array" ref="V440">VLOOKUP(B440,'Player Data'!$A1:$AE673,10,FALSE)*$Q440*IFERROR(((VLOOKUP(P440,Settings!$E$28:$F$33,2,FALSE)/2)+1),1)</f>
        <v>147.74</v>
      </c>
      <c r="W440" s="57" cm="1">
        <f t="array" ref="W440">VLOOKUP(B440,'Player Data'!$A1:$AE673,11,FALSE)*$Q440*IFERROR((VLOOKUP(P440,Settings!$E$28:$F$33,2,FALSE)+1),1)</f>
        <v>3.3200000000000003</v>
      </c>
      <c r="X440" s="57" cm="1">
        <f t="array" ref="X440">VLOOKUP(B440,'Player Data'!$A1:$AE673,12,FALSE)*$Q440*IFERROR((VLOOKUP(P440,Settings!$E$28:$F$33,2,FALSE)+1),1)</f>
        <v>11.620000000000001</v>
      </c>
      <c r="Y440" s="57" cm="1">
        <f t="array" ref="Y440">VLOOKUP(B440,'Player Data'!$A1:$AE673,13,FALSE)*$Q440</f>
        <v>0.83000000000000007</v>
      </c>
      <c r="Z440" s="57" cm="1">
        <f t="array" ref="Z440">VLOOKUP(B440,'Player Data'!$A1:$AE673,14,FALSE)*$Q440</f>
        <v>1.6600000000000001</v>
      </c>
      <c r="AA440" s="57" cm="1">
        <f t="array" ref="AA440">VLOOKUP(B440,'Player Data'!$A1:$AE673,15,FALSE)*$Q440</f>
        <v>37.35</v>
      </c>
      <c r="AB440" s="57" cm="1">
        <f t="array" ref="AB440">VLOOKUP(B440,'Player Data'!$A1:$AE673,16,FALSE)*$Q440</f>
        <v>39.01</v>
      </c>
      <c r="AC440" s="57" cm="1">
        <f t="array" ref="AC440">VLOOKUP(B440,'Player Data'!$A1:$AE673,17,FALSE)*$Q440*IFERROR((VLOOKUP(P440,Settings!$E$28:$F$33,2,FALSE)+1),1)</f>
        <v>-0.83000000000000007</v>
      </c>
      <c r="AD440" s="57" cm="1">
        <f t="array" ref="AD440">VLOOKUP(B440,'Player Data'!$A1:$AE673,18,FALSE)*$Q440</f>
        <v>29.049999999999997</v>
      </c>
      <c r="AE440" s="57" cm="1">
        <f t="array" ref="AE440">VLOOKUP(B440,'Player Data'!$A1:$AE673,19,FALSE)*$Q440*IFERROR((VLOOKUP(P440,Settings!$E$28:$F$33,2,FALSE)+1),1)</f>
        <v>2.4899999999999998</v>
      </c>
      <c r="AF440" s="57" cm="1">
        <f t="array" ref="AF440">VLOOKUP(B440,'Player Data'!$A1:$AE673,20,FALSE)*$Q440</f>
        <v>85.490000000000009</v>
      </c>
      <c r="AG440" s="57" cm="1">
        <f t="array" ref="AG440">VLOOKUP(B440,'Player Data'!$A1:$AE673,21,FALSE)*$Q440</f>
        <v>125.33</v>
      </c>
      <c r="AH440" s="59" cm="1">
        <f t="array" ref="AH440">VLOOKUP(B440,'Player Data'!$A1:$AE673,22,FALSE)</f>
        <v>0.4</v>
      </c>
      <c r="AI440" s="55"/>
      <c r="AJ440" s="57"/>
      <c r="AK440" s="57"/>
      <c r="AL440" s="57"/>
      <c r="AM440" s="57"/>
      <c r="AN440" s="57"/>
      <c r="AO440" s="57"/>
      <c r="AP440" s="57"/>
      <c r="AQ440" s="60"/>
      <c r="AR440" s="61"/>
      <c r="AS440" s="55"/>
    </row>
    <row r="441" spans="1:45" ht="21.25" customHeight="1" x14ac:dyDescent="0.15">
      <c r="A441" s="62">
        <f>RANK(K441,K$2:K$671)</f>
        <v>433</v>
      </c>
      <c r="B441" s="10" t="s">
        <v>519</v>
      </c>
      <c r="C441" s="47" t="s">
        <v>145</v>
      </c>
      <c r="D441" s="48" t="str" cm="1">
        <f t="array" ref="D441">VLOOKUP(B441,'Player Data'!A1:D673,4,FALSE)</f>
        <v>LW,RW</v>
      </c>
      <c r="E441" s="74" cm="1">
        <f t="array" ref="E441">VLOOKUP(B441,RW!A1:F210,3,FALSE)</f>
        <v>101</v>
      </c>
      <c r="F441" s="69" t="str" cm="1">
        <f t="array" ref="F441">VLOOKUP(B441,'Player Data'!A1:B673,2,FALSE)</f>
        <v>N.J</v>
      </c>
      <c r="G441" s="71" cm="1">
        <f t="array" ref="G441">VLOOKUP(B441,'Player Data'!A1:D673,3,FALSE)</f>
        <v>19</v>
      </c>
      <c r="H441" s="51" cm="1">
        <f t="array" ref="H441">IFERROR(VLOOKUP(B441,ADP!A1:F671,6,FALSE)/1000000,VLOOKUP(B441,ADP!A1:F671,6,FALSE))</f>
        <v>4.75</v>
      </c>
      <c r="I441" s="52">
        <f>IF(Settings!$E$15="POINTS",((R441*Q441)*Settings!$B$12)+(S441*Settings!$B$2)+(T441*Settings!$B$3)+(U441*Settings!$B$4)+(V441*Settings!$B$5)+(X441*Settings!$B$9)+(AA441*Settings!$B$6)+(W441*Settings!$B$8)+(AB441*Settings!$B$7)+(AC441*Settings!$B$14)+(AD441*Settings!$B$15)+(AE441*Settings!$B$16)+(AF441*Settings!$B$17)+(AG441*Settings!$B$18)+(Y441*Settings!$B$10)+(Z441*Settings!$B$11),VLOOKUP(B441,'Standard Deviations'!A$1:C$672,3,FALSE))</f>
        <v>0.46581080199341396</v>
      </c>
      <c r="J441" s="53" cm="1">
        <f t="array" ref="J441">IF(D441="G",I441/AJ441,I441/Q441)</f>
        <v>6.2947405674785668E-3</v>
      </c>
      <c r="K441" s="52" cm="1">
        <f t="array" ref="K441">IF(Settings!$E$18="C/LW/RW",VLOOKUP(B441,RW!A1:F210,6,FALSE),VLOOKUP(B441,F!A1:F407,6,FALSE))</f>
        <v>-6.4214237998156634</v>
      </c>
      <c r="L441" s="54" cm="1">
        <f t="array" ref="L441">IFERROR(K441/H441,"N/A")</f>
        <v>-1.3518786946980343</v>
      </c>
      <c r="M441" s="55">
        <v>138.80000000000001</v>
      </c>
      <c r="N441" s="55" cm="1">
        <f t="array" ref="N441">IFERROR(M441-A441,"N/A")</f>
        <v>-294.2</v>
      </c>
      <c r="O441" s="55"/>
      <c r="P441" s="56" cm="1">
        <f t="array" ref="P441">_xlfn.XLOOKUP($B441,ADP!A2:A671,ADP!G2:G671)</f>
        <v>0</v>
      </c>
      <c r="Q441" s="57" cm="1">
        <f t="array" ref="Q441">IF(Settings!$E$12="YES",VLOOKUP(B441,'Player Data'!A1:E673,5,FALSE),84)</f>
        <v>74</v>
      </c>
      <c r="R441" s="83" cm="1">
        <f t="array" ref="R441">VLOOKUP(B441,'Player Data'!$A1:$AE673,6,FALSE)</f>
        <v>13.9</v>
      </c>
      <c r="S441" s="57" cm="1">
        <f t="array" ref="S441">VLOOKUP(B441,'Player Data'!$A1:$AE673,7,FALSE)*$Q441*IFERROR((VLOOKUP(P441,Settings!$E$28:$F$33,2,FALSE)+1),1)</f>
        <v>23.68</v>
      </c>
      <c r="T441" s="57" cm="1">
        <f t="array" ref="T441">VLOOKUP(B441,'Player Data'!$A1:$AE673,8,FALSE)*$Q441*IFERROR((VLOOKUP(P441,Settings!$E$28:$F$33,2,FALSE)+1),1)</f>
        <v>24.42</v>
      </c>
      <c r="U441" s="57" cm="1">
        <f t="array" ref="U441">SUM(S441:T441)</f>
        <v>48.1</v>
      </c>
      <c r="V441" s="57" cm="1">
        <f t="array" ref="V441">VLOOKUP(B441,'Player Data'!$A1:$AE673,10,FALSE)*$Q441*IFERROR(((VLOOKUP(P441,Settings!$E$28:$F$33,2,FALSE)/2)+1),1)</f>
        <v>128.02000000000001</v>
      </c>
      <c r="W441" s="57" cm="1">
        <f t="array" ref="W441">VLOOKUP(B441,'Player Data'!$A1:$AE673,11,FALSE)*$Q441*IFERROR((VLOOKUP(P441,Settings!$E$28:$F$33,2,FALSE)+1),1)</f>
        <v>2.96</v>
      </c>
      <c r="X441" s="57" cm="1">
        <f t="array" ref="X441">VLOOKUP(B441,'Player Data'!$A1:$AE673,12,FALSE)*$Q441*IFERROR((VLOOKUP(P441,Settings!$E$28:$F$33,2,FALSE)+1),1)</f>
        <v>5.92</v>
      </c>
      <c r="Y441" s="57" cm="1">
        <f t="array" ref="Y441">VLOOKUP(B441,'Player Data'!$A1:$AE673,13,FALSE)*$Q441</f>
        <v>0</v>
      </c>
      <c r="Z441" s="57" cm="1">
        <f t="array" ref="Z441">VLOOKUP(B441,'Player Data'!$A1:$AE673,14,FALSE)*$Q441</f>
        <v>0</v>
      </c>
      <c r="AA441" s="57" cm="1">
        <f t="array" ref="AA441">VLOOKUP(B441,'Player Data'!$A1:$AE673,15,FALSE)*$Q441</f>
        <v>38.480000000000004</v>
      </c>
      <c r="AB441" s="57" cm="1">
        <f t="array" ref="AB441">VLOOKUP(B441,'Player Data'!$A1:$AE673,16,FALSE)*$Q441</f>
        <v>56.24</v>
      </c>
      <c r="AC441" s="57" cm="1">
        <f t="array" ref="AC441">VLOOKUP(B441,'Player Data'!$A1:$AE673,17,FALSE)*$Q441*IFERROR((VLOOKUP(P441,Settings!$E$28:$F$33,2,FALSE)+1),1)</f>
        <v>1.48</v>
      </c>
      <c r="AD441" s="57" cm="1">
        <f t="array" ref="AD441">VLOOKUP(B441,'Player Data'!$A1:$AE673,18,FALSE)*$Q441</f>
        <v>37</v>
      </c>
      <c r="AE441" s="57" cm="1">
        <f t="array" ref="AE441">VLOOKUP(B441,'Player Data'!$A1:$AE673,19,FALSE)*$Q441*IFERROR((VLOOKUP(P441,Settings!$E$28:$F$33,2,FALSE)+1),1)</f>
        <v>3.7</v>
      </c>
      <c r="AF441" s="57" cm="1">
        <f t="array" ref="AF441">VLOOKUP(B441,'Player Data'!$A1:$AE673,20,FALSE)*$Q441</f>
        <v>10.360000000000001</v>
      </c>
      <c r="AG441" s="57" cm="1">
        <f t="array" ref="AG441">VLOOKUP(B441,'Player Data'!$A1:$AE673,21,FALSE)*$Q441</f>
        <v>24.42</v>
      </c>
      <c r="AH441" s="59" cm="1">
        <f t="array" ref="AH441">VLOOKUP(B441,'Player Data'!$A1:$AE673,22,FALSE)</f>
        <v>0.3</v>
      </c>
      <c r="AI441" s="55"/>
      <c r="AJ441" s="57"/>
      <c r="AK441" s="57"/>
      <c r="AL441" s="57"/>
      <c r="AM441" s="57"/>
      <c r="AN441" s="57"/>
      <c r="AO441" s="57"/>
      <c r="AP441" s="57"/>
      <c r="AQ441" s="60"/>
      <c r="AR441" s="61"/>
      <c r="AS441" s="55"/>
    </row>
    <row r="442" spans="1:45" ht="21.25" customHeight="1" x14ac:dyDescent="0.15">
      <c r="A442" s="62">
        <f>RANK(K442,K$2:K$671)</f>
        <v>435</v>
      </c>
      <c r="B442" s="10" t="s">
        <v>490</v>
      </c>
      <c r="C442" s="47" t="s">
        <v>145</v>
      </c>
      <c r="D442" s="48" t="str" cm="1">
        <f t="array" ref="D442">VLOOKUP(B442,'Player Data'!A1:D673,4,FALSE)</f>
        <v>C,RW</v>
      </c>
      <c r="E442" s="74" cm="1">
        <f t="array" ref="E442">VLOOKUP(B442,RW!A1:F210,3,FALSE)</f>
        <v>102</v>
      </c>
      <c r="F442" s="63" t="str" cm="1">
        <f t="array" ref="F442">VLOOKUP(B442,'Player Data'!A1:B673,2,FALSE)</f>
        <v>EDM</v>
      </c>
      <c r="G442" s="71" cm="1">
        <f t="array" ref="G442">VLOOKUP(B442,'Player Data'!A1:D673,3,FALSE)</f>
        <v>22</v>
      </c>
      <c r="H442" s="51" cm="1">
        <f t="array" ref="H442">IFERROR(VLOOKUP(B442,ADP!A1:F671,6,FALSE)/1000000,VLOOKUP(B442,ADP!A1:F671,6,FALSE))</f>
        <v>0.88666699999999998</v>
      </c>
      <c r="I442" s="52">
        <f>IF(Settings!$E$15="POINTS",((R442*Q442)*Settings!$B$12)+(S442*Settings!$B$2)+(T442*Settings!$B$3)+(U442*Settings!$B$4)+(V442*Settings!$B$5)+(X442*Settings!$B$9)+(AA442*Settings!$B$6)+(W442*Settings!$B$8)+(AB442*Settings!$B$7)+(AC442*Settings!$B$14)+(AD442*Settings!$B$15)+(AE442*Settings!$B$16)+(AF442*Settings!$B$17)+(AG442*Settings!$B$18)+(Y442*Settings!$B$10)+(Z442*Settings!$B$11),VLOOKUP(B442,'Standard Deviations'!A$1:C$672,3,FALSE))</f>
        <v>0.45346267784411021</v>
      </c>
      <c r="J442" s="53" cm="1">
        <f t="array" ref="J442">IF(D442="G",I442/AJ442,I442/Q442)</f>
        <v>5.5983046647421009E-3</v>
      </c>
      <c r="K442" s="52" cm="1">
        <f t="array" ref="K442">IF(Settings!$E$18="C/LW/RW",VLOOKUP(B442,RW!A1:F210,6,FALSE),VLOOKUP(B442,F!A1:F407,6,FALSE))</f>
        <v>-6.4337719239649669</v>
      </c>
      <c r="L442" s="54" cm="1">
        <f t="array" ref="L442">IFERROR(K442/H442,"N/A")</f>
        <v>-7.2561310209638643</v>
      </c>
      <c r="M442" s="55">
        <v>134.30000000000001</v>
      </c>
      <c r="N442" s="55" cm="1">
        <f t="array" ref="N442">IFERROR(M442-A442,"N/A")</f>
        <v>-300.7</v>
      </c>
      <c r="O442" s="55"/>
      <c r="P442" s="56" t="str" cm="1">
        <f t="array" ref="P442">_xlfn.XLOOKUP($B442,ADP!A2:A671,ADP!G2:G671)</f>
        <v>+</v>
      </c>
      <c r="Q442" s="57" cm="1">
        <f t="array" ref="Q442">IF(Settings!$E$12="YES",VLOOKUP(B442,'Player Data'!A1:E673,5,FALSE),84)</f>
        <v>81</v>
      </c>
      <c r="R442" s="81" cm="1">
        <f t="array" ref="R442">VLOOKUP(B442,'Player Data'!$A1:$AE673,6,FALSE)</f>
        <v>15.8</v>
      </c>
      <c r="S442" s="57" cm="1">
        <f t="array" ref="S442">VLOOKUP(B442,'Player Data'!$A1:$AE673,7,FALSE)*$Q442*IFERROR((VLOOKUP(P442,Settings!$E$28:$F$33,2,FALSE)+1),1)</f>
        <v>18.711000000000002</v>
      </c>
      <c r="T442" s="57" cm="1">
        <f t="array" ref="T442">VLOOKUP(B442,'Player Data'!$A1:$AE673,8,FALSE)*$Q442*IFERROR((VLOOKUP(P442,Settings!$E$28:$F$33,2,FALSE)+1),1)</f>
        <v>22.963500000000003</v>
      </c>
      <c r="U442" s="57" cm="1">
        <f t="array" ref="U442">SUM(S442:T442)</f>
        <v>41.674500000000009</v>
      </c>
      <c r="V442" s="57" cm="1">
        <f t="array" ref="V442">VLOOKUP(B442,'Player Data'!$A1:$AE673,10,FALSE)*$Q442*IFERROR(((VLOOKUP(P442,Settings!$E$28:$F$33,2,FALSE)/2)+1),1)</f>
        <v>150.27525</v>
      </c>
      <c r="W442" s="57" cm="1">
        <f t="array" ref="W442">VLOOKUP(B442,'Player Data'!$A1:$AE673,11,FALSE)*$Q442*IFERROR((VLOOKUP(P442,Settings!$E$28:$F$33,2,FALSE)+1),1)</f>
        <v>3.4020000000000006</v>
      </c>
      <c r="X442" s="57" cm="1">
        <f t="array" ref="X442">VLOOKUP(B442,'Player Data'!$A1:$AE673,12,FALSE)*$Q442*IFERROR((VLOOKUP(P442,Settings!$E$28:$F$33,2,FALSE)+1),1)</f>
        <v>5.9535000000000009</v>
      </c>
      <c r="Y442" s="57" cm="1">
        <f t="array" ref="Y442">VLOOKUP(B442,'Player Data'!$A1:$AE673,13,FALSE)*$Q442</f>
        <v>1.62</v>
      </c>
      <c r="Z442" s="57" cm="1">
        <f t="array" ref="Z442">VLOOKUP(B442,'Player Data'!$A1:$AE673,14,FALSE)*$Q442</f>
        <v>1.62</v>
      </c>
      <c r="AA442" s="57" cm="1">
        <f t="array" ref="AA442">VLOOKUP(B442,'Player Data'!$A1:$AE673,15,FALSE)*$Q442</f>
        <v>39.69</v>
      </c>
      <c r="AB442" s="57" cm="1">
        <f t="array" ref="AB442">VLOOKUP(B442,'Player Data'!$A1:$AE673,16,FALSE)*$Q442</f>
        <v>27.540000000000003</v>
      </c>
      <c r="AC442" s="57" cm="1">
        <f t="array" ref="AC442">VLOOKUP(B442,'Player Data'!$A1:$AE673,17,FALSE)*$Q442*IFERROR((VLOOKUP(P442,Settings!$E$28:$F$33,2,FALSE)+1),1)</f>
        <v>5.1029999999999998</v>
      </c>
      <c r="AD442" s="57" cm="1">
        <f t="array" ref="AD442">VLOOKUP(B442,'Player Data'!$A1:$AE673,18,FALSE)*$Q442</f>
        <v>21.060000000000002</v>
      </c>
      <c r="AE442" s="57" cm="1">
        <f t="array" ref="AE442">VLOOKUP(B442,'Player Data'!$A1:$AE673,19,FALSE)*$Q442*IFERROR((VLOOKUP(P442,Settings!$E$28:$F$33,2,FALSE)+1),1)</f>
        <v>3.4020000000000006</v>
      </c>
      <c r="AF442" s="57" cm="1">
        <f t="array" ref="AF442">VLOOKUP(B442,'Player Data'!$A1:$AE673,20,FALSE)*$Q442</f>
        <v>34.83</v>
      </c>
      <c r="AG442" s="57" cm="1">
        <f t="array" ref="AG442">VLOOKUP(B442,'Player Data'!$A1:$AE673,21,FALSE)*$Q442</f>
        <v>50.22</v>
      </c>
      <c r="AH442" s="59" cm="1">
        <f t="array" ref="AH442">VLOOKUP(B442,'Player Data'!$A1:$AE673,22,FALSE)</f>
        <v>0.41</v>
      </c>
      <c r="AI442" s="55"/>
      <c r="AJ442" s="57"/>
      <c r="AK442" s="57"/>
      <c r="AL442" s="57"/>
      <c r="AM442" s="57"/>
      <c r="AN442" s="57"/>
      <c r="AO442" s="57"/>
      <c r="AP442" s="57"/>
      <c r="AQ442" s="60"/>
      <c r="AR442" s="61"/>
      <c r="AS442" s="55"/>
    </row>
    <row r="443" spans="1:45" ht="21.25" customHeight="1" x14ac:dyDescent="0.15">
      <c r="A443" s="62">
        <f>RANK(K443,K$2:K$671)</f>
        <v>439</v>
      </c>
      <c r="B443" s="10" t="s">
        <v>441</v>
      </c>
      <c r="C443" s="47" t="s">
        <v>145</v>
      </c>
      <c r="D443" s="48" t="str" cm="1">
        <f t="array" ref="D443">VLOOKUP(B443,'Player Data'!A1:D673,4,FALSE)</f>
        <v>C,LW</v>
      </c>
      <c r="E443" s="74" cm="1">
        <f t="array" ref="E443">VLOOKUP(B443,LW!A1:C210,3,FALSE)</f>
        <v>98</v>
      </c>
      <c r="F443" s="65" t="str" cm="1">
        <f t="array" ref="F443">VLOOKUP(B443,'Player Data'!A1:B673,2,FALSE)</f>
        <v>STL</v>
      </c>
      <c r="G443" s="11" cm="1">
        <f t="array" ref="G443">VLOOKUP(B443,'Player Data'!A1:D673,3,FALSE)</f>
        <v>25</v>
      </c>
      <c r="H443" s="51" cm="1">
        <f t="array" ref="H443">IFERROR(VLOOKUP(B443,ADP!A1:F671,6,FALSE)/1000000,VLOOKUP(B443,ADP!A1:F671,6,FALSE))</f>
        <v>6.8</v>
      </c>
      <c r="I443" s="52">
        <f>IF(Settings!$E$15="POINTS",((R443*Q443)*Settings!$B$12)+(S443*Settings!$B$2)+(T443*Settings!$B$3)+(U443*Settings!$B$4)+(V443*Settings!$B$5)+(X443*Settings!$B$9)+(AA443*Settings!$B$6)+(W443*Settings!$B$8)+(AB443*Settings!$B$7)+(AC443*Settings!$B$14)+(AD443*Settings!$B$15)+(AE443*Settings!$B$16)+(AF443*Settings!$B$17)+(AG443*Settings!$B$18)+(Y443*Settings!$B$10)+(Z443*Settings!$B$11),VLOOKUP(B443,'Standard Deviations'!A$1:C$672,3,FALSE))</f>
        <v>0.35096192515902436</v>
      </c>
      <c r="J443" s="53" cm="1">
        <f t="array" ref="J443">IF(D443="G",I443/AJ443,I443/Q443)</f>
        <v>4.2284569296267994E-3</v>
      </c>
      <c r="K443" s="52" cm="1">
        <f t="array" ref="K443">IF(Settings!$E$18="C/LW/RW",VLOOKUP(B443,LW!A1:F210,6,FALSE),VLOOKUP(B443,F!A1:F407,6,FALSE))</f>
        <v>-6.5434237192307858</v>
      </c>
      <c r="L443" s="54" cm="1">
        <f t="array" ref="L443">IFERROR(K443/H443,"N/A")</f>
        <v>-0.96226819400452734</v>
      </c>
      <c r="M443" s="84" t="s">
        <v>828</v>
      </c>
      <c r="N443" s="84" t="str" cm="1">
        <f t="array" ref="N443">IFERROR(M443-A443,"N/A")</f>
        <v>N/A</v>
      </c>
      <c r="O443" s="55"/>
      <c r="P443" s="56" cm="1">
        <f t="array" ref="P443">_xlfn.XLOOKUP($B443,ADP!A2:A671,ADP!G2:G671)</f>
        <v>0</v>
      </c>
      <c r="Q443" s="57" cm="1">
        <f t="array" ref="Q443">IF(Settings!$E$12="YES",VLOOKUP(B443,'Player Data'!A1:E673,5,FALSE),84)</f>
        <v>83</v>
      </c>
      <c r="R443" s="55" cm="1">
        <f t="array" ref="R443">VLOOKUP(B443,'Player Data'!$A1:$AE673,6,FALSE)</f>
        <v>16.600000000000001</v>
      </c>
      <c r="S443" s="57" cm="1">
        <f t="array" ref="S443">VLOOKUP(B443,'Player Data'!$A1:$AE673,7,FALSE)*$Q443*IFERROR((VLOOKUP(P443,Settings!$E$28:$F$33,2,FALSE)+1),1)</f>
        <v>19.919999999999998</v>
      </c>
      <c r="T443" s="57" cm="1">
        <f t="array" ref="T443">VLOOKUP(B443,'Player Data'!$A1:$AE673,8,FALSE)*$Q443*IFERROR((VLOOKUP(P443,Settings!$E$28:$F$33,2,FALSE)+1),1)</f>
        <v>30.71</v>
      </c>
      <c r="U443" s="57" cm="1">
        <f t="array" ref="U443">SUM(S443:T443)</f>
        <v>50.629999999999995</v>
      </c>
      <c r="V443" s="57" cm="1">
        <f t="array" ref="V443">VLOOKUP(B443,'Player Data'!$A1:$AE673,10,FALSE)*$Q443*IFERROR(((VLOOKUP(P443,Settings!$E$28:$F$33,2,FALSE)/2)+1),1)</f>
        <v>160.19</v>
      </c>
      <c r="W443" s="57" cm="1">
        <f t="array" ref="W443">VLOOKUP(B443,'Player Data'!$A1:$AE673,11,FALSE)*$Q443*IFERROR((VLOOKUP(P443,Settings!$E$28:$F$33,2,FALSE)+1),1)</f>
        <v>3.3200000000000003</v>
      </c>
      <c r="X443" s="57" cm="1">
        <f t="array" ref="X443">VLOOKUP(B443,'Player Data'!$A1:$AE673,12,FALSE)*$Q443*IFERROR((VLOOKUP(P443,Settings!$E$28:$F$33,2,FALSE)+1),1)</f>
        <v>8.3000000000000007</v>
      </c>
      <c r="Y443" s="57" cm="1">
        <f t="array" ref="Y443">VLOOKUP(B443,'Player Data'!$A1:$AE673,13,FALSE)*$Q443</f>
        <v>0</v>
      </c>
      <c r="Z443" s="57" cm="1">
        <f t="array" ref="Z443">VLOOKUP(B443,'Player Data'!$A1:$AE673,14,FALSE)*$Q443</f>
        <v>1.6600000000000001</v>
      </c>
      <c r="AA443" s="57" cm="1">
        <f t="array" ref="AA443">VLOOKUP(B443,'Player Data'!$A1:$AE673,15,FALSE)*$Q443</f>
        <v>45.650000000000006</v>
      </c>
      <c r="AB443" s="57" cm="1">
        <f t="array" ref="AB443">VLOOKUP(B443,'Player Data'!$A1:$AE673,16,FALSE)*$Q443</f>
        <v>50.629999999999995</v>
      </c>
      <c r="AC443" s="57" cm="1">
        <f t="array" ref="AC443">VLOOKUP(B443,'Player Data'!$A1:$AE673,17,FALSE)*$Q443*IFERROR((VLOOKUP(P443,Settings!$E$28:$F$33,2,FALSE)+1),1)</f>
        <v>-2.4899999999999998</v>
      </c>
      <c r="AD443" s="57" cm="1">
        <f t="array" ref="AD443">VLOOKUP(B443,'Player Data'!$A1:$AE673,18,FALSE)*$Q443</f>
        <v>34.86</v>
      </c>
      <c r="AE443" s="57" cm="1">
        <f t="array" ref="AE443">VLOOKUP(B443,'Player Data'!$A1:$AE673,19,FALSE)*$Q443*IFERROR((VLOOKUP(P443,Settings!$E$28:$F$33,2,FALSE)+1),1)</f>
        <v>2.4899999999999998</v>
      </c>
      <c r="AF443" s="57" cm="1">
        <f t="array" ref="AF443">VLOOKUP(B443,'Player Data'!$A1:$AE673,20,FALSE)*$Q443</f>
        <v>267.26</v>
      </c>
      <c r="AG443" s="57" cm="1">
        <f t="array" ref="AG443">VLOOKUP(B443,'Player Data'!$A1:$AE673,21,FALSE)*$Q443</f>
        <v>337.81</v>
      </c>
      <c r="AH443" s="59" cm="1">
        <f t="array" ref="AH443">VLOOKUP(B443,'Player Data'!$A1:$AE673,22,FALSE)</f>
        <v>0.44</v>
      </c>
      <c r="AI443" s="55"/>
      <c r="AJ443" s="57"/>
      <c r="AK443" s="57"/>
      <c r="AL443" s="57"/>
      <c r="AM443" s="57"/>
      <c r="AN443" s="57"/>
      <c r="AO443" s="57"/>
      <c r="AP443" s="57"/>
      <c r="AQ443" s="60"/>
      <c r="AR443" s="61"/>
      <c r="AS443" s="55"/>
    </row>
    <row r="444" spans="1:45" ht="21.25" customHeight="1" x14ac:dyDescent="0.15">
      <c r="A444" s="62">
        <f>RANK(K444,K$2:K$671)</f>
        <v>437</v>
      </c>
      <c r="B444" s="10" t="s">
        <v>415</v>
      </c>
      <c r="C444" s="47" t="s">
        <v>145</v>
      </c>
      <c r="D444" s="48" t="str" cm="1">
        <f t="array" ref="D444">VLOOKUP(B444,'Player Data'!A1:D673,4,FALSE)</f>
        <v>RW</v>
      </c>
      <c r="E444" s="64" cm="1">
        <f t="array" ref="E444">VLOOKUP(B444,RW!A1:F210,3,FALSE)</f>
        <v>103</v>
      </c>
      <c r="F444" s="70" t="str" cm="1">
        <f t="array" ref="F444">VLOOKUP(B444,'Player Data'!A1:B673,2,FALSE)</f>
        <v>L.A</v>
      </c>
      <c r="G444" s="66" cm="1">
        <f t="array" ref="G444">VLOOKUP(B444,'Player Data'!A1:D673,3,FALSE)</f>
        <v>39</v>
      </c>
      <c r="H444" s="67" cm="1">
        <f t="array" ref="H444">IFERROR(VLOOKUP(B444,ADP!A1:F671,6,FALSE)/1000000,VLOOKUP(B444,ADP!A1:F671,6,FALSE))</f>
        <v>1</v>
      </c>
      <c r="I444" s="52">
        <f>IF(Settings!$E$15="POINTS",((R444*Q444)*Settings!$B$12)+(S444*Settings!$B$2)+(T444*Settings!$B$3)+(U444*Settings!$B$4)+(V444*Settings!$B$5)+(X444*Settings!$B$9)+(AA444*Settings!$B$6)+(W444*Settings!$B$8)+(AB444*Settings!$B$7)+(AC444*Settings!$B$14)+(AD444*Settings!$B$15)+(AE444*Settings!$B$16)+(AF444*Settings!$B$17)+(AG444*Settings!$B$18)+(Y444*Settings!$B$10)+(Z444*Settings!$B$11),VLOOKUP(B444,'Standard Deviations'!A$1:C$672,3,FALSE))</f>
        <v>0.37385773034224135</v>
      </c>
      <c r="J444" s="53" cm="1">
        <f t="array" ref="J444">IF(D444="G",I444/AJ444,I444/Q444)</f>
        <v>4.8552951992498873E-3</v>
      </c>
      <c r="K444" s="52" cm="1">
        <f t="array" ref="K444">IF(Settings!$E$18="C/LW/RW",VLOOKUP(B444,RW!A1:F210,6,FALSE),VLOOKUP(B444,F!A1:F407,6,FALSE))</f>
        <v>-6.5133768714668365</v>
      </c>
      <c r="L444" s="54" cm="1">
        <f t="array" ref="L444">IFERROR(K444/H444,"N/A")</f>
        <v>-6.5133768714668365</v>
      </c>
      <c r="M444" s="84" t="s">
        <v>828</v>
      </c>
      <c r="N444" s="84" t="str" cm="1">
        <f t="array" ref="N444">IFERROR(M444-A444,"N/A")</f>
        <v>N/A</v>
      </c>
      <c r="O444" s="55"/>
      <c r="P444" s="56" cm="1">
        <f t="array" ref="P444">_xlfn.XLOOKUP($B444,ADP!A2:A671,ADP!G2:G671)</f>
        <v>0</v>
      </c>
      <c r="Q444" s="57" cm="1">
        <f t="array" ref="Q444">IF(Settings!$E$12="YES",VLOOKUP(B444,'Player Data'!A1:E673,5,FALSE),84)</f>
        <v>77</v>
      </c>
      <c r="R444" s="83" cm="1">
        <f t="array" ref="R444">VLOOKUP(B444,'Player Data'!$A1:$AE673,6,FALSE)</f>
        <v>16.3</v>
      </c>
      <c r="S444" s="57" cm="1">
        <f t="array" ref="S444">VLOOKUP(B444,'Player Data'!$A1:$AE673,7,FALSE)*$Q444*IFERROR((VLOOKUP(P444,Settings!$E$28:$F$33,2,FALSE)+1),1)</f>
        <v>14.63</v>
      </c>
      <c r="T444" s="57" cm="1">
        <f t="array" ref="T444">VLOOKUP(B444,'Player Data'!$A1:$AE673,8,FALSE)*$Q444*IFERROR((VLOOKUP(P444,Settings!$E$28:$F$33,2,FALSE)+1),1)</f>
        <v>33.880000000000003</v>
      </c>
      <c r="U444" s="57" cm="1">
        <f t="array" ref="U444">SUM(S444:T444)</f>
        <v>48.510000000000005</v>
      </c>
      <c r="V444" s="57" cm="1">
        <f t="array" ref="V444">VLOOKUP(B444,'Player Data'!$A1:$AE673,10,FALSE)*$Q444*IFERROR(((VLOOKUP(P444,Settings!$E$28:$F$33,2,FALSE)/2)+1),1)</f>
        <v>135.52000000000001</v>
      </c>
      <c r="W444" s="57" cm="1">
        <f t="array" ref="W444">VLOOKUP(B444,'Player Data'!$A1:$AE673,11,FALSE)*$Q444*IFERROR((VLOOKUP(P444,Settings!$E$28:$F$33,2,FALSE)+1),1)</f>
        <v>3.08</v>
      </c>
      <c r="X444" s="78" cm="1">
        <f t="array" ref="X444">VLOOKUP(B444,'Player Data'!$A1:$AE673,12,FALSE)*$Q444*IFERROR((VLOOKUP(P444,Settings!$E$28:$F$33,2,FALSE)+1),1)</f>
        <v>14.63</v>
      </c>
      <c r="Y444" s="57" cm="1">
        <f t="array" ref="Y444">VLOOKUP(B444,'Player Data'!$A1:$AE673,13,FALSE)*$Q444</f>
        <v>0</v>
      </c>
      <c r="Z444" s="57" cm="1">
        <f t="array" ref="Z444">VLOOKUP(B444,'Player Data'!$A1:$AE673,14,FALSE)*$Q444</f>
        <v>0</v>
      </c>
      <c r="AA444" s="57" cm="1">
        <f t="array" ref="AA444">VLOOKUP(B444,'Player Data'!$A1:$AE673,15,FALSE)*$Q444</f>
        <v>35.42</v>
      </c>
      <c r="AB444" s="57" cm="1">
        <f t="array" ref="AB444">VLOOKUP(B444,'Player Data'!$A1:$AE673,16,FALSE)*$Q444</f>
        <v>30.03</v>
      </c>
      <c r="AC444" s="57" cm="1">
        <f t="array" ref="AC444">VLOOKUP(B444,'Player Data'!$A1:$AE673,17,FALSE)*$Q444*IFERROR((VLOOKUP(P444,Settings!$E$28:$F$33,2,FALSE)+1),1)</f>
        <v>0</v>
      </c>
      <c r="AD444" s="57" cm="1">
        <f t="array" ref="AD444">VLOOKUP(B444,'Player Data'!$A1:$AE673,18,FALSE)*$Q444</f>
        <v>25.41</v>
      </c>
      <c r="AE444" s="57" cm="1">
        <f t="array" ref="AE444">VLOOKUP(B444,'Player Data'!$A1:$AE673,19,FALSE)*$Q444*IFERROR((VLOOKUP(P444,Settings!$E$28:$F$33,2,FALSE)+1),1)</f>
        <v>2.31</v>
      </c>
      <c r="AF444" s="57" cm="1">
        <f t="array" ref="AF444">VLOOKUP(B444,'Player Data'!$A1:$AE673,20,FALSE)*$Q444</f>
        <v>26.180000000000003</v>
      </c>
      <c r="AG444" s="57" cm="1">
        <f t="array" ref="AG444">VLOOKUP(B444,'Player Data'!$A1:$AE673,21,FALSE)*$Q444</f>
        <v>36.19</v>
      </c>
      <c r="AH444" s="59" cm="1">
        <f t="array" ref="AH444">VLOOKUP(B444,'Player Data'!$A1:$AE673,22,FALSE)</f>
        <v>0.42</v>
      </c>
      <c r="AI444" s="55"/>
      <c r="AJ444" s="57"/>
      <c r="AK444" s="57"/>
      <c r="AL444" s="57"/>
      <c r="AM444" s="57"/>
      <c r="AN444" s="57"/>
      <c r="AO444" s="57"/>
      <c r="AP444" s="57"/>
      <c r="AQ444" s="60"/>
      <c r="AR444" s="61"/>
      <c r="AS444" s="55"/>
    </row>
    <row r="445" spans="1:45" ht="21.25" customHeight="1" x14ac:dyDescent="0.15">
      <c r="A445" s="62">
        <f>RANK(K445,K$2:K$671)</f>
        <v>480</v>
      </c>
      <c r="B445" s="10" t="s">
        <v>701</v>
      </c>
      <c r="C445" s="47" t="s">
        <v>145</v>
      </c>
      <c r="D445" s="48" t="str" cm="1">
        <f t="array" ref="D445">VLOOKUP(B445,'Player Data'!A1:D673,4,FALSE)</f>
        <v>G</v>
      </c>
      <c r="E445" s="76" cm="1">
        <f t="array" ref="E445">VLOOKUP(B445,G!A1:D66,3,FALSE)</f>
        <v>60</v>
      </c>
      <c r="F445" s="65" t="str" cm="1">
        <f t="array" ref="F445">VLOOKUP(B445,'Player Data'!A1:B673,2,FALSE)</f>
        <v>NSH</v>
      </c>
      <c r="G445" s="11" cm="1">
        <f t="array" ref="G445">VLOOKUP(B445,'Player Data'!A1:D673,3,FALSE)</f>
        <v>26</v>
      </c>
      <c r="H445" s="51" cm="1">
        <f t="array" ref="H445">IFERROR(VLOOKUP(B445,ADP!A1:F671,6,FALSE)/1000000,VLOOKUP(B445,ADP!A1:F671,6,FALSE))</f>
        <v>1.25</v>
      </c>
      <c r="I445" s="52">
        <f>IF(Settings!$E$15="POINTS",(AJ445*Settings!$B$29)+(AK445*Settings!$B$21)+(AL445*Settings!$B$22)+(AN445*Settings!$B$24)+(AO445*Settings!$B$25)+(AP445*Settings!$B$27)+(AM445*Settings!$B$23),VLOOKUP(B445,'Standard Deviations'!A$1:C$672,3,FALSE))</f>
        <v>-5.2424544900268097</v>
      </c>
      <c r="J445" s="53" cm="1">
        <f t="array" ref="J445">IF(D445="G",I445/AJ445,I445/Q445)</f>
        <v>-0.2621227245013405</v>
      </c>
      <c r="K445" s="52" cm="1">
        <f t="array" ref="K445">VLOOKUP(B445,G!A1:F66,6,FALSE)</f>
        <v>-7.2806397491504846</v>
      </c>
      <c r="L445" s="54" cm="1">
        <f t="array" ref="L445">IFERROR(K445/H445,"N/A")</f>
        <v>-5.8245117993203879</v>
      </c>
      <c r="M445" s="84" t="s">
        <v>828</v>
      </c>
      <c r="N445" s="84" t="str" cm="1">
        <f t="array" ref="N445">IFERROR(M445-A445,"N/A")</f>
        <v>N/A</v>
      </c>
      <c r="O445" s="55"/>
      <c r="P445" s="56" cm="1">
        <f t="array" ref="P445">_xlfn.XLOOKUP($B445,ADP!A2:A671,ADP!G2:G671)</f>
        <v>0</v>
      </c>
      <c r="Q445" s="57"/>
      <c r="R445" s="55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9"/>
      <c r="AI445" s="55"/>
      <c r="AJ445" s="77" cm="1">
        <f t="array" ref="AJ445">VLOOKUP(B445,'Player Data'!$A1:$AE673,24,FALSE)</f>
        <v>20</v>
      </c>
      <c r="AK445" s="57" cm="1">
        <f t="array" ref="AK445">VLOOKUP(B445,'Player Data'!$A1:$AE673,25,FALSE)*$AJ445*IFERROR((VLOOKUP(P445,Settings!$E$28:$F$33,2,FALSE)+1),1)</f>
        <v>8.8000000000000007</v>
      </c>
      <c r="AL445" s="57" cm="1">
        <f t="array" ref="AL445">AJ445-AK445-AM445</f>
        <v>8.3999999999999986</v>
      </c>
      <c r="AM445" s="57" cm="1">
        <f t="array" ref="AM445">VLOOKUP(B445,'Player Data'!$A1:$AE673,27,FALSE)*$AJ445</f>
        <v>2.8000000000000003</v>
      </c>
      <c r="AN445" s="57" cm="1">
        <f t="array" ref="AN445">VLOOKUP(B445,'Player Data'!$A1:$AE673,28,FALSE)*AJ445</f>
        <v>0.8</v>
      </c>
      <c r="AO445" s="57" cm="1">
        <f t="array" ref="AO445">VLOOKUP(B445,'Player Data'!$A1:$AE673,29,FALSE)*$AJ445*IFERROR((VLOOKUP(P445,Settings!$E$28:$F$33,2,FALSE)/4)+1,1)</f>
        <v>498</v>
      </c>
      <c r="AP445" s="57" cm="1">
        <f t="array" ref="AP445">VLOOKUP(B445,'Player Data'!$A1:$AE673,31,FALSE)*$AJ445*(IFERROR(1-(VLOOKUP(P445,Settings!$E$28:$F$33,2,FALSE)/4),1))</f>
        <v>60.199999999999996</v>
      </c>
      <c r="AQ445" s="60" cm="1">
        <f t="array" ref="AQ445">1-(AP445/(AO445+AP445))</f>
        <v>0.89215335005374419</v>
      </c>
      <c r="AR445" s="61" cm="1">
        <f t="array" ref="AR445">AP445/AJ445</f>
        <v>3.01</v>
      </c>
      <c r="AS445" s="55"/>
    </row>
    <row r="446" spans="1:45" ht="21.25" customHeight="1" x14ac:dyDescent="0.15">
      <c r="A446" s="62">
        <f>RANK(K446,K$2:K$671)</f>
        <v>438</v>
      </c>
      <c r="B446" s="10" t="s">
        <v>335</v>
      </c>
      <c r="C446" s="47" t="s">
        <v>145</v>
      </c>
      <c r="D446" s="48" t="str" cm="1">
        <f t="array" ref="D446">VLOOKUP(B446,'Player Data'!A1:D673,4,FALSE)</f>
        <v>RW</v>
      </c>
      <c r="E446" s="64" cm="1">
        <f t="array" ref="E446">VLOOKUP(B446,RW!A1:F210,3,FALSE)</f>
        <v>104</v>
      </c>
      <c r="F446" s="63" t="str" cm="1">
        <f t="array" ref="F446">VLOOKUP(B446,'Player Data'!A1:B673,2,FALSE)</f>
        <v>CGY</v>
      </c>
      <c r="G446" s="71" cm="1">
        <f t="array" ref="G446">VLOOKUP(B446,'Player Data'!A1:D673,3,FALSE)</f>
        <v>23</v>
      </c>
      <c r="H446" s="51" cm="1">
        <f t="array" ref="H446">IFERROR(VLOOKUP(B446,ADP!A1:F671,6,FALSE)/1000000,VLOOKUP(B446,ADP!A1:F671,6,FALSE))</f>
        <v>6.5</v>
      </c>
      <c r="I446" s="52">
        <f>IF(Settings!$E$15="POINTS",((R446*Q446)*Settings!$B$12)+(S446*Settings!$B$2)+(T446*Settings!$B$3)+(U446*Settings!$B$4)+(V446*Settings!$B$5)+(X446*Settings!$B$9)+(AA446*Settings!$B$6)+(W446*Settings!$B$8)+(AB446*Settings!$B$7)+(AC446*Settings!$B$14)+(AD446*Settings!$B$15)+(AE446*Settings!$B$16)+(AF446*Settings!$B$17)+(AG446*Settings!$B$18)+(Y446*Settings!$B$10)+(Z446*Settings!$B$11),VLOOKUP(B446,'Standard Deviations'!A$1:C$672,3,FALSE))</f>
        <v>0.35672529280345389</v>
      </c>
      <c r="J446" s="53" cm="1">
        <f t="array" ref="J446">IF(D446="G",I446/AJ446,I446/Q446)</f>
        <v>4.3503084488226082E-3</v>
      </c>
      <c r="K446" s="52" cm="1">
        <f t="array" ref="K446">IF(Settings!$E$18="C/LW/RW",VLOOKUP(B446,RW!A1:F210,6,FALSE),VLOOKUP(B446,F!A1:F407,6,FALSE))</f>
        <v>-6.5305093090056232</v>
      </c>
      <c r="L446" s="54" cm="1">
        <f t="array" ref="L446">IFERROR(K446/H446,"N/A")</f>
        <v>-1.004693739847019</v>
      </c>
      <c r="M446" s="84" t="s">
        <v>828</v>
      </c>
      <c r="N446" s="84" t="str" cm="1">
        <f t="array" ref="N446">IFERROR(M446-A446,"N/A")</f>
        <v>N/A</v>
      </c>
      <c r="O446" s="55"/>
      <c r="P446" s="56" cm="1">
        <f t="array" ref="P446">_xlfn.XLOOKUP($B446,ADP!A2:A671,ADP!G2:G671)</f>
        <v>0</v>
      </c>
      <c r="Q446" s="57" cm="1">
        <f t="array" ref="Q446">IF(Settings!$E$12="YES",VLOOKUP(B446,'Player Data'!A1:E673,5,FALSE),84)</f>
        <v>82</v>
      </c>
      <c r="R446" s="55" cm="1">
        <f t="array" ref="R446">VLOOKUP(B446,'Player Data'!$A1:$AE673,6,FALSE)</f>
        <v>17.600000000000001</v>
      </c>
      <c r="S446" s="57" cm="1">
        <f t="array" ref="S446">VLOOKUP(B446,'Player Data'!$A1:$AE673,7,FALSE)*$Q446*IFERROR((VLOOKUP(P446,Settings!$E$28:$F$33,2,FALSE)+1),1)</f>
        <v>22.96</v>
      </c>
      <c r="T446" s="57" cm="1">
        <f t="array" ref="T446">VLOOKUP(B446,'Player Data'!$A1:$AE673,8,FALSE)*$Q446*IFERROR((VLOOKUP(P446,Settings!$E$28:$F$33,2,FALSE)+1),1)</f>
        <v>29.52</v>
      </c>
      <c r="U446" s="57" cm="1">
        <f t="array" ref="U446">SUM(S446:T446)</f>
        <v>52.480000000000004</v>
      </c>
      <c r="V446" s="57" cm="1">
        <f t="array" ref="V446">VLOOKUP(B446,'Player Data'!$A1:$AE673,10,FALSE)*$Q446*IFERROR(((VLOOKUP(P446,Settings!$E$28:$F$33,2,FALSE)/2)+1),1)</f>
        <v>207.45999999999998</v>
      </c>
      <c r="W446" s="57" cm="1">
        <f t="array" ref="W446">VLOOKUP(B446,'Player Data'!$A1:$AE673,11,FALSE)*$Q446*IFERROR((VLOOKUP(P446,Settings!$E$28:$F$33,2,FALSE)+1),1)</f>
        <v>6.5600000000000005</v>
      </c>
      <c r="X446" s="78" cm="1">
        <f t="array" ref="X446">VLOOKUP(B446,'Player Data'!$A1:$AE673,12,FALSE)*$Q446*IFERROR((VLOOKUP(P446,Settings!$E$28:$F$33,2,FALSE)+1),1)</f>
        <v>17.22</v>
      </c>
      <c r="Y446" s="57" cm="1">
        <f t="array" ref="Y446">VLOOKUP(B446,'Player Data'!$A1:$AE673,13,FALSE)*$Q446</f>
        <v>0</v>
      </c>
      <c r="Z446" s="57" cm="1">
        <f t="array" ref="Z446">VLOOKUP(B446,'Player Data'!$A1:$AE673,14,FALSE)*$Q446</f>
        <v>0</v>
      </c>
      <c r="AA446" s="57" cm="1">
        <f t="array" ref="AA446">VLOOKUP(B446,'Player Data'!$A1:$AE673,15,FALSE)*$Q446</f>
        <v>29.52</v>
      </c>
      <c r="AB446" s="57" cm="1">
        <f t="array" ref="AB446">VLOOKUP(B446,'Player Data'!$A1:$AE673,16,FALSE)*$Q446</f>
        <v>34.44</v>
      </c>
      <c r="AC446" s="57" cm="1">
        <f t="array" ref="AC446">VLOOKUP(B446,'Player Data'!$A1:$AE673,17,FALSE)*$Q446*IFERROR((VLOOKUP(P446,Settings!$E$28:$F$33,2,FALSE)+1),1)</f>
        <v>-9.84</v>
      </c>
      <c r="AD446" s="57" cm="1">
        <f t="array" ref="AD446">VLOOKUP(B446,'Player Data'!$A1:$AE673,18,FALSE)*$Q446</f>
        <v>31.16</v>
      </c>
      <c r="AE446" s="57" cm="1">
        <f t="array" ref="AE446">VLOOKUP(B446,'Player Data'!$A1:$AE673,19,FALSE)*$Q446*IFERROR((VLOOKUP(P446,Settings!$E$28:$F$33,2,FALSE)+1),1)</f>
        <v>3.2800000000000002</v>
      </c>
      <c r="AF446" s="57" cm="1">
        <f t="array" ref="AF446">VLOOKUP(B446,'Player Data'!$A1:$AE673,20,FALSE)*$Q446</f>
        <v>72.16</v>
      </c>
      <c r="AG446" s="57" cm="1">
        <f t="array" ref="AG446">VLOOKUP(B446,'Player Data'!$A1:$AE673,21,FALSE)*$Q446</f>
        <v>108.24000000000001</v>
      </c>
      <c r="AH446" s="59" cm="1">
        <f t="array" ref="AH446">VLOOKUP(B446,'Player Data'!$A1:$AE673,22,FALSE)</f>
        <v>0.4</v>
      </c>
      <c r="AI446" s="55"/>
      <c r="AJ446" s="57"/>
      <c r="AK446" s="57"/>
      <c r="AL446" s="57"/>
      <c r="AM446" s="57"/>
      <c r="AN446" s="57"/>
      <c r="AO446" s="57"/>
      <c r="AP446" s="57"/>
      <c r="AQ446" s="60"/>
      <c r="AR446" s="61"/>
      <c r="AS446" s="55"/>
    </row>
    <row r="447" spans="1:45" ht="21.25" customHeight="1" x14ac:dyDescent="0.15">
      <c r="A447" s="62">
        <f>RANK(K447,K$2:K$671)</f>
        <v>440</v>
      </c>
      <c r="B447" s="10" t="s">
        <v>551</v>
      </c>
      <c r="C447" s="47" t="s">
        <v>145</v>
      </c>
      <c r="D447" s="48" t="str" cm="1">
        <f t="array" ref="D447">VLOOKUP(B447,'Player Data'!A1:D673,4,FALSE)</f>
        <v>C,RW</v>
      </c>
      <c r="E447" s="74" cm="1">
        <f t="array" ref="E447">VLOOKUP(B447,RW!A1:F210,3,FALSE)</f>
        <v>105</v>
      </c>
      <c r="F447" s="69" t="str" cm="1">
        <f t="array" ref="F447">VLOOKUP(B447,'Player Data'!A1:B673,2,FALSE)</f>
        <v>TOR</v>
      </c>
      <c r="G447" s="11" cm="1">
        <f t="array" ref="G447">VLOOKUP(B447,'Player Data'!A1:D673,3,FALSE)</f>
        <v>29</v>
      </c>
      <c r="H447" s="51" cm="1">
        <f t="array" ref="H447">IFERROR(VLOOKUP(B447,ADP!A1:F671,6,FALSE)/1000000,VLOOKUP(B447,ADP!A1:F671,6,FALSE))</f>
        <v>4</v>
      </c>
      <c r="I447" s="52">
        <f>IF(Settings!$E$15="POINTS",((R447*Q447)*Settings!$B$12)+(S447*Settings!$B$2)+(T447*Settings!$B$3)+(U447*Settings!$B$4)+(V447*Settings!$B$5)+(X447*Settings!$B$9)+(AA447*Settings!$B$6)+(W447*Settings!$B$8)+(AB447*Settings!$B$7)+(AC447*Settings!$B$14)+(AD447*Settings!$B$15)+(AE447*Settings!$B$16)+(AF447*Settings!$B$17)+(AG447*Settings!$B$18)+(Y447*Settings!$B$10)+(Z447*Settings!$B$11),VLOOKUP(B447,'Standard Deviations'!A$1:C$672,3,FALSE))</f>
        <v>0.31408262778479779</v>
      </c>
      <c r="J447" s="53" cm="1">
        <f t="array" ref="J447">IF(D447="G",I447/AJ447,I447/Q447)</f>
        <v>3.9757294656303519E-3</v>
      </c>
      <c r="K447" s="52" cm="1">
        <f t="array" ref="K447">IF(Settings!$E$18="C/LW/RW",VLOOKUP(B447,RW!A1:F210,6,FALSE),VLOOKUP(B447,F!A1:F407,6,FALSE))</f>
        <v>-6.5731519740242801</v>
      </c>
      <c r="L447" s="54" cm="1">
        <f t="array" ref="L447">IFERROR(K447/H447,"N/A")</f>
        <v>-1.64328799350607</v>
      </c>
      <c r="M447" s="55">
        <v>130.5</v>
      </c>
      <c r="N447" s="55" cm="1">
        <f t="array" ref="N447">IFERROR(M447-A447,"N/A")</f>
        <v>-309.5</v>
      </c>
      <c r="O447" s="55"/>
      <c r="P447" s="56" cm="1">
        <f t="array" ref="P447">_xlfn.XLOOKUP($B447,ADP!A2:A671,ADP!G2:G671)</f>
        <v>0</v>
      </c>
      <c r="Q447" s="57" cm="1">
        <f t="array" ref="Q447">IF(Settings!$E$12="YES",VLOOKUP(B447,'Player Data'!A1:E673,5,FALSE),84)</f>
        <v>79</v>
      </c>
      <c r="R447" s="83" cm="1">
        <f t="array" ref="R447">VLOOKUP(B447,'Player Data'!$A1:$AE673,6,FALSE)</f>
        <v>14.5</v>
      </c>
      <c r="S447" s="57" cm="1">
        <f t="array" ref="S447">VLOOKUP(B447,'Player Data'!$A1:$AE673,7,FALSE)*$Q447*IFERROR((VLOOKUP(P447,Settings!$E$28:$F$33,2,FALSE)+1),1)</f>
        <v>21.330000000000002</v>
      </c>
      <c r="T447" s="57" cm="1">
        <f t="array" ref="T447">VLOOKUP(B447,'Player Data'!$A1:$AE673,8,FALSE)*$Q447*IFERROR((VLOOKUP(P447,Settings!$E$28:$F$33,2,FALSE)+1),1)</f>
        <v>21.330000000000002</v>
      </c>
      <c r="U447" s="57" cm="1">
        <f t="array" ref="U447">SUM(S447:T447)</f>
        <v>42.660000000000004</v>
      </c>
      <c r="V447" s="57" cm="1">
        <f t="array" ref="V447">VLOOKUP(B447,'Player Data'!$A1:$AE673,10,FALSE)*$Q447*IFERROR(((VLOOKUP(P447,Settings!$E$28:$F$33,2,FALSE)/2)+1),1)</f>
        <v>161.16</v>
      </c>
      <c r="W447" s="57" cm="1">
        <f t="array" ref="W447">VLOOKUP(B447,'Player Data'!$A1:$AE673,11,FALSE)*$Q447*IFERROR((VLOOKUP(P447,Settings!$E$28:$F$33,2,FALSE)+1),1)</f>
        <v>3.95</v>
      </c>
      <c r="X447" s="57" cm="1">
        <f t="array" ref="X447">VLOOKUP(B447,'Player Data'!$A1:$AE673,12,FALSE)*$Q447*IFERROR((VLOOKUP(P447,Settings!$E$28:$F$33,2,FALSE)+1),1)</f>
        <v>8.69</v>
      </c>
      <c r="Y447" s="57" cm="1">
        <f t="array" ref="Y447">VLOOKUP(B447,'Player Data'!$A1:$AE673,13,FALSE)*$Q447</f>
        <v>0</v>
      </c>
      <c r="Z447" s="57" cm="1">
        <f t="array" ref="Z447">VLOOKUP(B447,'Player Data'!$A1:$AE673,14,FALSE)*$Q447</f>
        <v>0</v>
      </c>
      <c r="AA447" s="57" cm="1">
        <f t="array" ref="AA447">VLOOKUP(B447,'Player Data'!$A1:$AE673,15,FALSE)*$Q447</f>
        <v>29.23</v>
      </c>
      <c r="AB447" s="57" cm="1">
        <f t="array" ref="AB447">VLOOKUP(B447,'Player Data'!$A1:$AE673,16,FALSE)*$Q447</f>
        <v>45.029999999999994</v>
      </c>
      <c r="AC447" s="57" cm="1">
        <f t="array" ref="AC447">VLOOKUP(B447,'Player Data'!$A1:$AE673,17,FALSE)*$Q447*IFERROR((VLOOKUP(P447,Settings!$E$28:$F$33,2,FALSE)+1),1)</f>
        <v>0</v>
      </c>
      <c r="AD447" s="57" cm="1">
        <f t="array" ref="AD447">VLOOKUP(B447,'Player Data'!$A1:$AE673,18,FALSE)*$Q447</f>
        <v>18.170000000000002</v>
      </c>
      <c r="AE447" s="57" cm="1">
        <f t="array" ref="AE447">VLOOKUP(B447,'Player Data'!$A1:$AE673,19,FALSE)*$Q447*IFERROR((VLOOKUP(P447,Settings!$E$28:$F$33,2,FALSE)+1),1)</f>
        <v>3.16</v>
      </c>
      <c r="AF447" s="57" cm="1">
        <f t="array" ref="AF447">VLOOKUP(B447,'Player Data'!$A1:$AE673,20,FALSE)*$Q447</f>
        <v>142.20000000000002</v>
      </c>
      <c r="AG447" s="57" cm="1">
        <f t="array" ref="AG447">VLOOKUP(B447,'Player Data'!$A1:$AE673,21,FALSE)*$Q447</f>
        <v>135.88</v>
      </c>
      <c r="AH447" s="59" cm="1">
        <f t="array" ref="AH447">VLOOKUP(B447,'Player Data'!$A1:$AE673,22,FALSE)</f>
        <v>0.51</v>
      </c>
      <c r="AI447" s="55"/>
      <c r="AJ447" s="57"/>
      <c r="AK447" s="57"/>
      <c r="AL447" s="57"/>
      <c r="AM447" s="57"/>
      <c r="AN447" s="57"/>
      <c r="AO447" s="57"/>
      <c r="AP447" s="57"/>
      <c r="AQ447" s="60"/>
      <c r="AR447" s="61"/>
      <c r="AS447" s="55"/>
    </row>
    <row r="448" spans="1:45" ht="21.25" customHeight="1" x14ac:dyDescent="0.15">
      <c r="A448" s="62">
        <f>RANK(K448,K$2:K$671)</f>
        <v>444</v>
      </c>
      <c r="B448" s="10" t="s">
        <v>594</v>
      </c>
      <c r="C448" s="47" t="s">
        <v>145</v>
      </c>
      <c r="D448" s="48" t="str" cm="1">
        <f t="array" ref="D448">VLOOKUP(B448,'Player Data'!A1:D673,4,FALSE)</f>
        <v>C</v>
      </c>
      <c r="E448" s="49" cm="1">
        <f t="array" ref="E448">VLOOKUP(B448,'C'!A1:C210,3,FALSE)</f>
        <v>102</v>
      </c>
      <c r="F448" s="72" t="str" cm="1">
        <f t="array" ref="F448">VLOOKUP(B448,'Player Data'!A1:B673,2,FALSE)</f>
        <v>BOS</v>
      </c>
      <c r="G448" s="71" cm="1">
        <f t="array" ref="G448">VLOOKUP(B448,'Player Data'!A1:D673,3,FALSE)</f>
        <v>22</v>
      </c>
      <c r="H448" s="51" cm="1">
        <f t="array" ref="H448">IFERROR(VLOOKUP(B448,ADP!A1:F671,6,FALSE)/1000000,VLOOKUP(B448,ADP!A1:F671,6,FALSE))</f>
        <v>0.87916700000000003</v>
      </c>
      <c r="I448" s="52">
        <f>IF(Settings!$E$15="POINTS",((R448*Q448)*Settings!$B$12)+(S448*Settings!$B$2)+(T448*Settings!$B$3)+(U448*Settings!$B$4)+(V448*Settings!$B$5)+(X448*Settings!$B$9)+(AA448*Settings!$B$6)+(W448*Settings!$B$8)+(AB448*Settings!$B$7)+(AC448*Settings!$B$14)+(AD448*Settings!$B$15)+(AE448*Settings!$B$16)+(AF448*Settings!$B$17)+(AG448*Settings!$B$18)+(Y448*Settings!$B$10)+(Z448*Settings!$B$11),VLOOKUP(B448,'Standard Deviations'!A$1:C$672,3,FALSE))</f>
        <v>-0.30238789209029215</v>
      </c>
      <c r="J448" s="53" cm="1">
        <f t="array" ref="J448">IF(D448="G",I448/AJ448,I448/Q448)</f>
        <v>-4.0318385612038952E-3</v>
      </c>
      <c r="K448" s="52" cm="1">
        <f t="array" ref="K448">IF(Settings!$E$18="C/LW/RW",VLOOKUP(B448,'C'!A1:F210,6,FALSE),VLOOKUP(B448,F!A1:F407,6,FALSE))</f>
        <v>-6.662397449705356</v>
      </c>
      <c r="L448" s="54" cm="1">
        <f t="array" ref="L448">IFERROR(K448/H448,"N/A")</f>
        <v>-7.5780795340422875</v>
      </c>
      <c r="M448" s="84" t="s">
        <v>828</v>
      </c>
      <c r="N448" s="84" t="str" cm="1">
        <f t="array" ref="N448">IFERROR(M448-A448,"N/A")</f>
        <v>N/A</v>
      </c>
      <c r="O448" s="55"/>
      <c r="P448" s="56" cm="1">
        <f t="array" ref="P448">_xlfn.XLOOKUP($B448,ADP!A2:A671,ADP!G2:G671)</f>
        <v>0</v>
      </c>
      <c r="Q448" s="57" cm="1">
        <f t="array" ref="Q448">IF(Settings!$E$12="YES",VLOOKUP(B448,'Player Data'!A1:E673,5,FALSE),84)</f>
        <v>75</v>
      </c>
      <c r="R448" s="55" cm="1">
        <f t="array" ref="R448">VLOOKUP(B448,'Player Data'!$A1:$AE673,6,FALSE)</f>
        <v>15.5</v>
      </c>
      <c r="S448" s="57" cm="1">
        <f t="array" ref="S448">VLOOKUP(B448,'Player Data'!$A1:$AE673,7,FALSE)*$Q448*IFERROR((VLOOKUP(P448,Settings!$E$28:$F$33,2,FALSE)+1),1)</f>
        <v>15.75</v>
      </c>
      <c r="T448" s="57" cm="1">
        <f t="array" ref="T448">VLOOKUP(B448,'Player Data'!$A1:$AE673,8,FALSE)*$Q448*IFERROR((VLOOKUP(P448,Settings!$E$28:$F$33,2,FALSE)+1),1)</f>
        <v>17.25</v>
      </c>
      <c r="U448" s="57" cm="1">
        <f t="array" ref="U448">SUM(S448:T448)</f>
        <v>33</v>
      </c>
      <c r="V448" s="57" cm="1">
        <f t="array" ref="V448">VLOOKUP(B448,'Player Data'!$A1:$AE673,10,FALSE)*$Q448*IFERROR(((VLOOKUP(P448,Settings!$E$28:$F$33,2,FALSE)/2)+1),1)</f>
        <v>108.75</v>
      </c>
      <c r="W448" s="57" cm="1">
        <f t="array" ref="W448">VLOOKUP(B448,'Player Data'!$A1:$AE673,11,FALSE)*$Q448*IFERROR((VLOOKUP(P448,Settings!$E$28:$F$33,2,FALSE)+1),1)</f>
        <v>1.5</v>
      </c>
      <c r="X448" s="57" cm="1">
        <f t="array" ref="X448">VLOOKUP(B448,'Player Data'!$A1:$AE673,12,FALSE)*$Q448*IFERROR((VLOOKUP(P448,Settings!$E$28:$F$33,2,FALSE)+1),1)</f>
        <v>3.75</v>
      </c>
      <c r="Y448" s="57" cm="1">
        <f t="array" ref="Y448">VLOOKUP(B448,'Player Data'!$A1:$AE673,13,FALSE)*$Q448</f>
        <v>0</v>
      </c>
      <c r="Z448" s="57" cm="1">
        <f t="array" ref="Z448">VLOOKUP(B448,'Player Data'!$A1:$AE673,14,FALSE)*$Q448</f>
        <v>0.75</v>
      </c>
      <c r="AA448" s="57" cm="1">
        <f t="array" ref="AA448">VLOOKUP(B448,'Player Data'!$A1:$AE673,15,FALSE)*$Q448</f>
        <v>44.25</v>
      </c>
      <c r="AB448" s="57" cm="1">
        <f t="array" ref="AB448">VLOOKUP(B448,'Player Data'!$A1:$AE673,16,FALSE)*$Q448</f>
        <v>124.5</v>
      </c>
      <c r="AC448" s="57" cm="1">
        <f t="array" ref="AC448">VLOOKUP(B448,'Player Data'!$A1:$AE673,17,FALSE)*$Q448*IFERROR((VLOOKUP(P448,Settings!$E$28:$F$33,2,FALSE)+1),1)</f>
        <v>0</v>
      </c>
      <c r="AD448" s="57" cm="1">
        <f t="array" ref="AD448">VLOOKUP(B448,'Player Data'!$A1:$AE673,18,FALSE)*$Q448</f>
        <v>21.000000000000004</v>
      </c>
      <c r="AE448" s="57" cm="1">
        <f t="array" ref="AE448">VLOOKUP(B448,'Player Data'!$A1:$AE673,19,FALSE)*$Q448*IFERROR((VLOOKUP(P448,Settings!$E$28:$F$33,2,FALSE)+1),1)</f>
        <v>2.25</v>
      </c>
      <c r="AF448" s="57" cm="1">
        <f t="array" ref="AF448">VLOOKUP(B448,'Player Data'!$A1:$AE673,20,FALSE)*$Q448</f>
        <v>371.25</v>
      </c>
      <c r="AG448" s="57" cm="1">
        <f t="array" ref="AG448">VLOOKUP(B448,'Player Data'!$A1:$AE673,21,FALSE)*$Q448</f>
        <v>390</v>
      </c>
      <c r="AH448" s="59" cm="1">
        <f t="array" ref="AH448">VLOOKUP(B448,'Player Data'!$A1:$AE673,22,FALSE)</f>
        <v>0.49</v>
      </c>
      <c r="AI448" s="55"/>
      <c r="AJ448" s="57"/>
      <c r="AK448" s="57"/>
      <c r="AL448" s="57"/>
      <c r="AM448" s="57"/>
      <c r="AN448" s="57"/>
      <c r="AO448" s="57"/>
      <c r="AP448" s="57"/>
      <c r="AQ448" s="60"/>
      <c r="AR448" s="61"/>
      <c r="AS448" s="55"/>
    </row>
    <row r="449" spans="1:45" ht="21.25" customHeight="1" x14ac:dyDescent="0.15">
      <c r="A449" s="62">
        <f>RANK(K449,K$2:K$671)</f>
        <v>442</v>
      </c>
      <c r="B449" s="10" t="s">
        <v>518</v>
      </c>
      <c r="C449" s="47" t="s">
        <v>145</v>
      </c>
      <c r="D449" s="48" t="str" cm="1">
        <f t="array" ref="D449">VLOOKUP(B449,'Player Data'!A1:D673,4,FALSE)</f>
        <v>C,LW,RW</v>
      </c>
      <c r="E449" s="74" cm="1">
        <f t="array" ref="E449">VLOOKUP(B449,RW!A1:F210,3,FALSE)</f>
        <v>106</v>
      </c>
      <c r="F449" s="18" t="str" cm="1">
        <f t="array" ref="F449">VLOOKUP(B449,'Player Data'!A1:B673,2,FALSE)</f>
        <v>OTT</v>
      </c>
      <c r="G449" s="71" cm="1">
        <f t="array" ref="G449">VLOOKUP(B449,'Player Data'!A1:D673,3,FALSE)</f>
        <v>19</v>
      </c>
      <c r="H449" s="67" cm="1">
        <f t="array" ref="H449">IFERROR(VLOOKUP(B449,ADP!A1:F671,6,FALSE)/1000000,VLOOKUP(B449,ADP!A1:F671,6,FALSE))</f>
        <v>2</v>
      </c>
      <c r="I449" s="52">
        <f>IF(Settings!$E$15="POINTS",((R449*Q449)*Settings!$B$12)+(S449*Settings!$B$2)+(T449*Settings!$B$3)+(U449*Settings!$B$4)+(V449*Settings!$B$5)+(X449*Settings!$B$9)+(AA449*Settings!$B$6)+(W449*Settings!$B$8)+(AB449*Settings!$B$7)+(AC449*Settings!$B$14)+(AD449*Settings!$B$15)+(AE449*Settings!$B$16)+(AF449*Settings!$B$17)+(AG449*Settings!$B$18)+(Y449*Settings!$B$10)+(Z449*Settings!$B$11),VLOOKUP(B449,'Standard Deviations'!A$1:C$672,3,FALSE))</f>
        <v>0.24881976396979089</v>
      </c>
      <c r="J449" s="53" cm="1">
        <f t="array" ref="J449">IF(D449="G",I449/AJ449,I449/Q449)</f>
        <v>2.9621400472594154E-3</v>
      </c>
      <c r="K449" s="52" cm="1">
        <f t="array" ref="K449">IF(Settings!$E$18="C/LW/RW",VLOOKUP(B449,RW!A1:F210,6,FALSE),VLOOKUP(B449,F!A1:F407,6,FALSE))</f>
        <v>-6.6384148378392869</v>
      </c>
      <c r="L449" s="54" cm="1">
        <f t="array" ref="L449">IFERROR(K449/H449,"N/A")</f>
        <v>-3.3192074189196434</v>
      </c>
      <c r="M449" s="84" t="s">
        <v>828</v>
      </c>
      <c r="N449" s="84" t="str" cm="1">
        <f t="array" ref="N449">IFERROR(M449-A449,"N/A")</f>
        <v>N/A</v>
      </c>
      <c r="O449" s="55"/>
      <c r="P449" s="56" cm="1">
        <f t="array" ref="P449">_xlfn.XLOOKUP($B449,ADP!A2:A671,ADP!G2:G671)</f>
        <v>0</v>
      </c>
      <c r="Q449" s="57" cm="1">
        <f t="array" ref="Q449">IF(Settings!$E$12="YES",VLOOKUP(B449,'Player Data'!A1:E673,5,FALSE),84)</f>
        <v>84</v>
      </c>
      <c r="R449" s="83" cm="1">
        <f t="array" ref="R449">VLOOKUP(B449,'Player Data'!$A1:$AE673,6,FALSE)</f>
        <v>15.3</v>
      </c>
      <c r="S449" s="57" cm="1">
        <f t="array" ref="S449">VLOOKUP(B449,'Player Data'!$A1:$AE673,7,FALSE)*$Q449*IFERROR((VLOOKUP(P449,Settings!$E$28:$F$33,2,FALSE)+1),1)</f>
        <v>10.92</v>
      </c>
      <c r="T449" s="57" cm="1">
        <f t="array" ref="T449">VLOOKUP(B449,'Player Data'!$A1:$AE673,8,FALSE)*$Q449*IFERROR((VLOOKUP(P449,Settings!$E$28:$F$33,2,FALSE)+1),1)</f>
        <v>26.88</v>
      </c>
      <c r="U449" s="57" cm="1">
        <f t="array" ref="U449">SUM(S449:T449)</f>
        <v>37.799999999999997</v>
      </c>
      <c r="V449" s="57" cm="1">
        <f t="array" ref="V449">VLOOKUP(B449,'Player Data'!$A1:$AE673,10,FALSE)*$Q449*IFERROR(((VLOOKUP(P449,Settings!$E$28:$F$33,2,FALSE)/2)+1),1)</f>
        <v>124.32</v>
      </c>
      <c r="W449" s="57" cm="1">
        <f t="array" ref="W449">VLOOKUP(B449,'Player Data'!$A1:$AE673,11,FALSE)*$Q449*IFERROR((VLOOKUP(P449,Settings!$E$28:$F$33,2,FALSE)+1),1)</f>
        <v>1.68</v>
      </c>
      <c r="X449" s="57" cm="1">
        <f t="array" ref="X449">VLOOKUP(B449,'Player Data'!$A1:$AE673,12,FALSE)*$Q449*IFERROR((VLOOKUP(P449,Settings!$E$28:$F$33,2,FALSE)+1),1)</f>
        <v>10.08</v>
      </c>
      <c r="Y449" s="57" cm="1">
        <f t="array" ref="Y449">VLOOKUP(B449,'Player Data'!$A1:$AE673,13,FALSE)*$Q449</f>
        <v>0</v>
      </c>
      <c r="Z449" s="57" cm="1">
        <f t="array" ref="Z449">VLOOKUP(B449,'Player Data'!$A1:$AE673,14,FALSE)*$Q449</f>
        <v>0.84</v>
      </c>
      <c r="AA449" s="57" cm="1">
        <f t="array" ref="AA449">VLOOKUP(B449,'Player Data'!$A1:$AE673,15,FALSE)*$Q449</f>
        <v>28.560000000000002</v>
      </c>
      <c r="AB449" s="57" cm="1">
        <f t="array" ref="AB449">VLOOKUP(B449,'Player Data'!$A1:$AE673,16,FALSE)*$Q449</f>
        <v>62.16</v>
      </c>
      <c r="AC449" s="57" cm="1">
        <f t="array" ref="AC449">VLOOKUP(B449,'Player Data'!$A1:$AE673,17,FALSE)*$Q449*IFERROR((VLOOKUP(P449,Settings!$E$28:$F$33,2,FALSE)+1),1)</f>
        <v>3.36</v>
      </c>
      <c r="AD449" s="57" cm="1">
        <f t="array" ref="AD449">VLOOKUP(B449,'Player Data'!$A1:$AE673,18,FALSE)*$Q449</f>
        <v>25.2</v>
      </c>
      <c r="AE449" s="57" cm="1">
        <f t="array" ref="AE449">VLOOKUP(B449,'Player Data'!$A1:$AE673,19,FALSE)*$Q449*IFERROR((VLOOKUP(P449,Settings!$E$28:$F$33,2,FALSE)+1),1)</f>
        <v>1.68</v>
      </c>
      <c r="AF449" s="57" cm="1">
        <f t="array" ref="AF449">VLOOKUP(B449,'Player Data'!$A1:$AE673,20,FALSE)*$Q449</f>
        <v>489.72</v>
      </c>
      <c r="AG449" s="57" cm="1">
        <f t="array" ref="AG449">VLOOKUP(B449,'Player Data'!$A1:$AE673,21,FALSE)*$Q449</f>
        <v>311.64</v>
      </c>
      <c r="AH449" s="59" cm="1">
        <f t="array" ref="AH449">VLOOKUP(B449,'Player Data'!$A1:$AE673,22,FALSE)</f>
        <v>0.61</v>
      </c>
      <c r="AI449" s="55"/>
      <c r="AJ449" s="57"/>
      <c r="AK449" s="57"/>
      <c r="AL449" s="57"/>
      <c r="AM449" s="57"/>
      <c r="AN449" s="57"/>
      <c r="AO449" s="57"/>
      <c r="AP449" s="57"/>
      <c r="AQ449" s="60"/>
      <c r="AR449" s="61"/>
      <c r="AS449" s="55"/>
    </row>
    <row r="450" spans="1:45" ht="21.25" customHeight="1" x14ac:dyDescent="0.15">
      <c r="A450" s="62">
        <f>RANK(K450,K$2:K$671)</f>
        <v>446</v>
      </c>
      <c r="B450" s="10" t="s">
        <v>579</v>
      </c>
      <c r="C450" s="47" t="s">
        <v>145</v>
      </c>
      <c r="D450" s="48" t="str" cm="1">
        <f t="array" ref="D450">VLOOKUP(B450,'Player Data'!A1:D673,4,FALSE)</f>
        <v>C,LW</v>
      </c>
      <c r="E450" s="74" cm="1">
        <f t="array" ref="E450">VLOOKUP(B450,LW!A1:C210,3,FALSE)</f>
        <v>100</v>
      </c>
      <c r="F450" s="72" t="str" cm="1">
        <f t="array" ref="F450">VLOOKUP(B450,'Player Data'!A1:B673,2,FALSE)</f>
        <v>DET</v>
      </c>
      <c r="G450" s="71" cm="1">
        <f t="array" ref="G450">VLOOKUP(B450,'Player Data'!A1:D673,3,FALSE)</f>
        <v>21</v>
      </c>
      <c r="H450" s="51" cm="1">
        <f t="array" ref="H450">IFERROR(VLOOKUP(B450,ADP!A1:F671,6,FALSE)/1000000,VLOOKUP(B450,ADP!A1:F671,6,FALSE))</f>
        <v>0.92166700000000001</v>
      </c>
      <c r="I450" s="52">
        <f>IF(Settings!$E$15="POINTS",((R450*Q450)*Settings!$B$12)+(S450*Settings!$B$2)+(T450*Settings!$B$3)+(U450*Settings!$B$4)+(V450*Settings!$B$5)+(X450*Settings!$B$9)+(AA450*Settings!$B$6)+(W450*Settings!$B$8)+(AB450*Settings!$B$7)+(AC450*Settings!$B$14)+(AD450*Settings!$B$15)+(AE450*Settings!$B$16)+(AF450*Settings!$B$17)+(AG450*Settings!$B$18)+(Y450*Settings!$B$10)+(Z450*Settings!$B$11),VLOOKUP(B450,'Standard Deviations'!A$1:C$672,3,FALSE))</f>
        <v>0.18515986298906389</v>
      </c>
      <c r="J450" s="53" cm="1">
        <f t="array" ref="J450">IF(D450="G",I450/AJ450,I450/Q450)</f>
        <v>2.2308417227598059E-3</v>
      </c>
      <c r="K450" s="52" cm="1">
        <f t="array" ref="K450">IF(Settings!$E$18="C/LW/RW",VLOOKUP(B450,LW!A1:F210,6,FALSE),VLOOKUP(B450,F!A1:F407,6,FALSE))</f>
        <v>-6.7092257814007459</v>
      </c>
      <c r="L450" s="54" cm="1">
        <f t="array" ref="L450">IFERROR(K450/H450,"N/A")</f>
        <v>-7.2794466780309435</v>
      </c>
      <c r="M450" s="84" t="s">
        <v>828</v>
      </c>
      <c r="N450" s="84" t="str" cm="1">
        <f t="array" ref="N450">IFERROR(M450-A450,"N/A")</f>
        <v>N/A</v>
      </c>
      <c r="O450" s="55"/>
      <c r="P450" s="56" cm="1">
        <f t="array" ref="P450">_xlfn.XLOOKUP($B450,ADP!A2:A671,ADP!G2:G671)</f>
        <v>0</v>
      </c>
      <c r="Q450" s="57" cm="1">
        <f t="array" ref="Q450">IF(Settings!$E$12="YES",VLOOKUP(B450,'Player Data'!A1:E673,5,FALSE),84)</f>
        <v>83</v>
      </c>
      <c r="R450" s="55" cm="1">
        <f t="array" ref="R450">VLOOKUP(B450,'Player Data'!$A1:$AE673,6,FALSE)</f>
        <v>15.3</v>
      </c>
      <c r="S450" s="57" cm="1">
        <f t="array" ref="S450">VLOOKUP(B450,'Player Data'!$A1:$AE673,7,FALSE)*$Q450*IFERROR((VLOOKUP(P450,Settings!$E$28:$F$33,2,FALSE)+1),1)</f>
        <v>14.94</v>
      </c>
      <c r="T450" s="57" cm="1">
        <f t="array" ref="T450">VLOOKUP(B450,'Player Data'!$A1:$AE673,8,FALSE)*$Q450*IFERROR((VLOOKUP(P450,Settings!$E$28:$F$33,2,FALSE)+1),1)</f>
        <v>19.919999999999998</v>
      </c>
      <c r="U450" s="57" cm="1">
        <f t="array" ref="U450">SUM(S450:T450)</f>
        <v>34.86</v>
      </c>
      <c r="V450" s="57" cm="1">
        <f t="array" ref="V450">VLOOKUP(B450,'Player Data'!$A1:$AE673,10,FALSE)*$Q450*IFERROR(((VLOOKUP(P450,Settings!$E$28:$F$33,2,FALSE)/2)+1),1)</f>
        <v>126.16</v>
      </c>
      <c r="W450" s="57" cm="1">
        <f t="array" ref="W450">VLOOKUP(B450,'Player Data'!$A1:$AE673,11,FALSE)*$Q450*IFERROR((VLOOKUP(P450,Settings!$E$28:$F$33,2,FALSE)+1),1)</f>
        <v>3.3200000000000003</v>
      </c>
      <c r="X450" s="57" cm="1">
        <f t="array" ref="X450">VLOOKUP(B450,'Player Data'!$A1:$AE673,12,FALSE)*$Q450*IFERROR((VLOOKUP(P450,Settings!$E$28:$F$33,2,FALSE)+1),1)</f>
        <v>8.3000000000000007</v>
      </c>
      <c r="Y450" s="57" cm="1">
        <f t="array" ref="Y450">VLOOKUP(B450,'Player Data'!$A1:$AE673,13,FALSE)*$Q450</f>
        <v>0</v>
      </c>
      <c r="Z450" s="57" cm="1">
        <f t="array" ref="Z450">VLOOKUP(B450,'Player Data'!$A1:$AE673,14,FALSE)*$Q450</f>
        <v>0</v>
      </c>
      <c r="AA450" s="57" cm="1">
        <f t="array" ref="AA450">VLOOKUP(B450,'Player Data'!$A1:$AE673,15,FALSE)*$Q450</f>
        <v>40.67</v>
      </c>
      <c r="AB450" s="57" cm="1">
        <f t="array" ref="AB450">VLOOKUP(B450,'Player Data'!$A1:$AE673,16,FALSE)*$Q450</f>
        <v>123.67</v>
      </c>
      <c r="AC450" s="57" cm="1">
        <f t="array" ref="AC450">VLOOKUP(B450,'Player Data'!$A1:$AE673,17,FALSE)*$Q450*IFERROR((VLOOKUP(P450,Settings!$E$28:$F$33,2,FALSE)+1),1)</f>
        <v>-1.6600000000000001</v>
      </c>
      <c r="AD450" s="57" cm="1">
        <f t="array" ref="AD450">VLOOKUP(B450,'Player Data'!$A1:$AE673,18,FALSE)*$Q450</f>
        <v>14.94</v>
      </c>
      <c r="AE450" s="57" cm="1">
        <f t="array" ref="AE450">VLOOKUP(B450,'Player Data'!$A1:$AE673,19,FALSE)*$Q450*IFERROR((VLOOKUP(P450,Settings!$E$28:$F$33,2,FALSE)+1),1)</f>
        <v>2.4899999999999998</v>
      </c>
      <c r="AF450" s="57" cm="1">
        <f t="array" ref="AF450">VLOOKUP(B450,'Player Data'!$A1:$AE673,20,FALSE)*$Q450</f>
        <v>47.309999999999995</v>
      </c>
      <c r="AG450" s="57" cm="1">
        <f t="array" ref="AG450">VLOOKUP(B450,'Player Data'!$A1:$AE673,21,FALSE)*$Q450</f>
        <v>59.76</v>
      </c>
      <c r="AH450" s="59" cm="1">
        <f t="array" ref="AH450">VLOOKUP(B450,'Player Data'!$A1:$AE673,22,FALSE)</f>
        <v>0.44</v>
      </c>
      <c r="AI450" s="55"/>
      <c r="AJ450" s="57"/>
      <c r="AK450" s="57"/>
      <c r="AL450" s="57"/>
      <c r="AM450" s="57"/>
      <c r="AN450" s="57"/>
      <c r="AO450" s="57"/>
      <c r="AP450" s="57"/>
      <c r="AQ450" s="60"/>
      <c r="AR450" s="61"/>
      <c r="AS450" s="55"/>
    </row>
    <row r="451" spans="1:45" ht="21.25" customHeight="1" x14ac:dyDescent="0.15">
      <c r="A451" s="62">
        <f>RANK(K451,K$2:K$671)</f>
        <v>447</v>
      </c>
      <c r="B451" s="10" t="s">
        <v>626</v>
      </c>
      <c r="C451" s="47" t="s">
        <v>145</v>
      </c>
      <c r="D451" s="48" t="str" cm="1">
        <f t="array" ref="D451">VLOOKUP(B451,'Player Data'!A1:D673,4,FALSE)</f>
        <v>C,LW</v>
      </c>
      <c r="E451" s="74" cm="1">
        <f t="array" ref="E451">VLOOKUP(B451,LW!A1:C210,3,FALSE)</f>
        <v>101</v>
      </c>
      <c r="F451" s="63" t="str" cm="1">
        <f t="array" ref="F451">VLOOKUP(B451,'Player Data'!A1:B673,2,FALSE)</f>
        <v>VGK</v>
      </c>
      <c r="G451" s="11" cm="1">
        <f t="array" ref="G451">VLOOKUP(B451,'Player Data'!A1:D673,3,FALSE)</f>
        <v>28</v>
      </c>
      <c r="H451" s="51" cm="1">
        <f t="array" ref="H451">IFERROR(VLOOKUP(B451,ADP!A1:F671,6,FALSE)/1000000,VLOOKUP(B451,ADP!A1:F671,6,FALSE))</f>
        <v>2.5</v>
      </c>
      <c r="I451" s="52">
        <f>IF(Settings!$E$15="POINTS",((R451*Q451)*Settings!$B$12)+(S451*Settings!$B$2)+(T451*Settings!$B$3)+(U451*Settings!$B$4)+(V451*Settings!$B$5)+(X451*Settings!$B$9)+(AA451*Settings!$B$6)+(W451*Settings!$B$8)+(AB451*Settings!$B$7)+(AC451*Settings!$B$14)+(AD451*Settings!$B$15)+(AE451*Settings!$B$16)+(AF451*Settings!$B$17)+(AG451*Settings!$B$18)+(Y451*Settings!$B$10)+(Z451*Settings!$B$11),VLOOKUP(B451,'Standard Deviations'!A$1:C$672,3,FALSE))</f>
        <v>0.15479596181749355</v>
      </c>
      <c r="J451" s="53" cm="1">
        <f t="array" ref="J451">IF(D451="G",I451/AJ451,I451/Q451)</f>
        <v>1.9845636130447894E-3</v>
      </c>
      <c r="K451" s="52" cm="1">
        <f t="array" ref="K451">IF(Settings!$E$18="C/LW/RW",VLOOKUP(B451,LW!A1:F210,6,FALSE),VLOOKUP(B451,F!A1:F407,6,FALSE))</f>
        <v>-6.7395896825723165</v>
      </c>
      <c r="L451" s="54" cm="1">
        <f t="array" ref="L451">IFERROR(K451/H451,"N/A")</f>
        <v>-2.6958358730289267</v>
      </c>
      <c r="M451" s="84" t="s">
        <v>828</v>
      </c>
      <c r="N451" s="84" t="str" cm="1">
        <f t="array" ref="N451">IFERROR(M451-A451,"N/A")</f>
        <v>N/A</v>
      </c>
      <c r="O451" s="55"/>
      <c r="P451" s="56" cm="1">
        <f t="array" ref="P451">_xlfn.XLOOKUP($B451,ADP!A2:A671,ADP!G2:G671)</f>
        <v>0</v>
      </c>
      <c r="Q451" s="57" cm="1">
        <f t="array" ref="Q451">IF(Settings!$E$12="YES",VLOOKUP(B451,'Player Data'!A1:E673,5,FALSE),84)</f>
        <v>78</v>
      </c>
      <c r="R451" s="55" cm="1">
        <f t="array" ref="R451">VLOOKUP(B451,'Player Data'!$A1:$AE673,6,FALSE)</f>
        <v>15.4</v>
      </c>
      <c r="S451" s="57" cm="1">
        <f t="array" ref="S451">VLOOKUP(B451,'Player Data'!$A1:$AE673,7,FALSE)*$Q451*IFERROR((VLOOKUP(P451,Settings!$E$28:$F$33,2,FALSE)+1),1)</f>
        <v>17.16</v>
      </c>
      <c r="T451" s="57" cm="1">
        <f t="array" ref="T451">VLOOKUP(B451,'Player Data'!$A1:$AE673,8,FALSE)*$Q451*IFERROR((VLOOKUP(P451,Settings!$E$28:$F$33,2,FALSE)+1),1)</f>
        <v>16.38</v>
      </c>
      <c r="U451" s="57" cm="1">
        <f t="array" ref="U451">SUM(S451:T451)</f>
        <v>33.54</v>
      </c>
      <c r="V451" s="57" cm="1">
        <f t="array" ref="V451">VLOOKUP(B451,'Player Data'!$A1:$AE673,10,FALSE)*$Q451*IFERROR(((VLOOKUP(P451,Settings!$E$28:$F$33,2,FALSE)/2)+1),1)</f>
        <v>102.96000000000001</v>
      </c>
      <c r="W451" s="57" cm="1">
        <f t="array" ref="W451">VLOOKUP(B451,'Player Data'!$A1:$AE673,11,FALSE)*$Q451*IFERROR((VLOOKUP(P451,Settings!$E$28:$F$33,2,FALSE)+1),1)</f>
        <v>0.78</v>
      </c>
      <c r="X451" s="57" cm="1">
        <f t="array" ref="X451">VLOOKUP(B451,'Player Data'!$A1:$AE673,12,FALSE)*$Q451*IFERROR((VLOOKUP(P451,Settings!$E$28:$F$33,2,FALSE)+1),1)</f>
        <v>2.34</v>
      </c>
      <c r="Y451" s="57" cm="1">
        <f t="array" ref="Y451">VLOOKUP(B451,'Player Data'!$A1:$AE673,13,FALSE)*$Q451</f>
        <v>0.78</v>
      </c>
      <c r="Z451" s="57" cm="1">
        <f t="array" ref="Z451">VLOOKUP(B451,'Player Data'!$A1:$AE673,14,FALSE)*$Q451</f>
        <v>0.78</v>
      </c>
      <c r="AA451" s="57" cm="1">
        <f t="array" ref="AA451">VLOOKUP(B451,'Player Data'!$A1:$AE673,15,FALSE)*$Q451</f>
        <v>39</v>
      </c>
      <c r="AB451" s="57" cm="1">
        <f t="array" ref="AB451">VLOOKUP(B451,'Player Data'!$A1:$AE673,16,FALSE)*$Q451</f>
        <v>121.68</v>
      </c>
      <c r="AC451" s="57" cm="1">
        <f t="array" ref="AC451">VLOOKUP(B451,'Player Data'!$A1:$AE673,17,FALSE)*$Q451*IFERROR((VLOOKUP(P451,Settings!$E$28:$F$33,2,FALSE)+1),1)</f>
        <v>3.12</v>
      </c>
      <c r="AD451" s="57" cm="1">
        <f t="array" ref="AD451">VLOOKUP(B451,'Player Data'!$A1:$AE673,18,FALSE)*$Q451</f>
        <v>43.680000000000007</v>
      </c>
      <c r="AE451" s="57" cm="1">
        <f t="array" ref="AE451">VLOOKUP(B451,'Player Data'!$A1:$AE673,19,FALSE)*$Q451*IFERROR((VLOOKUP(P451,Settings!$E$28:$F$33,2,FALSE)+1),1)</f>
        <v>3.12</v>
      </c>
      <c r="AF451" s="57" cm="1">
        <f t="array" ref="AF451">VLOOKUP(B451,'Player Data'!$A1:$AE673,20,FALSE)*$Q451</f>
        <v>322.91999999999996</v>
      </c>
      <c r="AG451" s="57" cm="1">
        <f t="array" ref="AG451">VLOOKUP(B451,'Player Data'!$A1:$AE673,21,FALSE)*$Q451</f>
        <v>322.14</v>
      </c>
      <c r="AH451" s="59" cm="1">
        <f t="array" ref="AH451">VLOOKUP(B451,'Player Data'!$A1:$AE673,22,FALSE)</f>
        <v>0.5</v>
      </c>
      <c r="AI451" s="55"/>
      <c r="AJ451" s="57"/>
      <c r="AK451" s="57"/>
      <c r="AL451" s="57"/>
      <c r="AM451" s="57"/>
      <c r="AN451" s="57"/>
      <c r="AO451" s="57"/>
      <c r="AP451" s="57"/>
      <c r="AQ451" s="60"/>
      <c r="AR451" s="61"/>
      <c r="AS451" s="55"/>
    </row>
    <row r="452" spans="1:45" ht="21.25" customHeight="1" x14ac:dyDescent="0.15">
      <c r="A452" s="62">
        <f>RANK(K452,K$2:K$671)</f>
        <v>501</v>
      </c>
      <c r="B452" s="10" t="s">
        <v>630</v>
      </c>
      <c r="C452" s="47" t="s">
        <v>145</v>
      </c>
      <c r="D452" s="48" t="str" cm="1">
        <f t="array" ref="D452">VLOOKUP(B452,'Player Data'!A1:D673,4,FALSE)</f>
        <v>D</v>
      </c>
      <c r="E452" s="68" cm="1">
        <f t="array" ref="E452">VLOOKUP(B452,D!A1:C204,3,FALSE)</f>
        <v>202</v>
      </c>
      <c r="F452" s="63" t="str" cm="1">
        <f t="array" ref="F452">VLOOKUP(B452,'Player Data'!A1:B673,2,FALSE)</f>
        <v>CGY</v>
      </c>
      <c r="G452" s="66" cm="1">
        <f t="array" ref="G452">VLOOKUP(B452,'Player Data'!A1:D673,3,FALSE)</f>
        <v>35</v>
      </c>
      <c r="H452" s="67" cm="1">
        <f t="array" ref="H452">IFERROR(VLOOKUP(B452,ADP!A1:F671,6,FALSE)/1000000,VLOOKUP(B452,ADP!A1:F671,6,FALSE))</f>
        <v>1.75</v>
      </c>
      <c r="I452" s="52">
        <f>IF(Settings!$E$15="POINTS",((R452*Q452)*Settings!$B$12)+(S452*Settings!$B$2)+(T452*Settings!$B$3)+(U452*Settings!$B$4)+(V452*Settings!$B$5)+(X452*Settings!$B$9)+(AA452*Settings!$B$6)+(W452*Settings!$B$8)+(AB452*Settings!$B$7)+(AC452*Settings!$B$14)+(AD452*Settings!$B$15)+(AE452*Settings!$B$16)+(AF452*Settings!$B$17)+(AG452*Settings!$B$18)+(U452*Settings!$B$13)+(Y452*Settings!$B$10)+(Z452*Settings!$B$11),VLOOKUP(B452,'Standard Deviations'!A$1:C$672,3,FALSE))</f>
        <v>-7.0892810488395632</v>
      </c>
      <c r="J452" s="53" cm="1">
        <f t="array" ref="J452">IF(D452="G",I452/AJ452,I452/Q452)</f>
        <v>-9.5801095254588686E-2</v>
      </c>
      <c r="K452" s="52" cm="1">
        <f t="array" ref="K452">VLOOKUP(B452,D!A1:F204,6,FALSE)</f>
        <v>-7.6561319633571179</v>
      </c>
      <c r="L452" s="54" cm="1">
        <f t="array" ref="L452">IFERROR(K452/H452,"N/A")</f>
        <v>-4.374932550489782</v>
      </c>
      <c r="M452" s="84" t="s">
        <v>828</v>
      </c>
      <c r="N452" s="84" t="str" cm="1">
        <f t="array" ref="N452">IFERROR(M452-A452,"N/A")</f>
        <v>N/A</v>
      </c>
      <c r="O452" s="55"/>
      <c r="P452" s="56" cm="1">
        <f t="array" ref="P452">_xlfn.XLOOKUP($B452,ADP!A2:A671,ADP!G2:G671)</f>
        <v>0</v>
      </c>
      <c r="Q452" s="57" cm="1">
        <f t="array" ref="Q452">IF(Settings!$E$12="YES",VLOOKUP(B452,'Player Data'!A1:E673,5,FALSE),84)</f>
        <v>74</v>
      </c>
      <c r="R452" s="55" cm="1">
        <f t="array" ref="R452">VLOOKUP(B452,'Player Data'!$A1:$AE673,6,FALSE)</f>
        <v>15.4</v>
      </c>
      <c r="S452" s="57" cm="1">
        <f t="array" ref="S452">VLOOKUP(B452,'Player Data'!$A1:$AE673,7,FALSE)*$Q452*IFERROR((VLOOKUP(P452,Settings!$E$28:$F$33,2,FALSE)+1),1)</f>
        <v>0</v>
      </c>
      <c r="T452" s="57" cm="1">
        <f t="array" ref="T452">VLOOKUP(B452,'Player Data'!$A1:$AE673,8,FALSE)*$Q452*IFERROR((VLOOKUP(P452,Settings!$E$28:$F$33,2,FALSE)+1),1)</f>
        <v>6.66</v>
      </c>
      <c r="U452" s="57" cm="1">
        <f t="array" ref="U452">SUM(S452:T452)</f>
        <v>6.66</v>
      </c>
      <c r="V452" s="57" cm="1">
        <f t="array" ref="V452">VLOOKUP(B452,'Player Data'!$A1:$AE673,10,FALSE)*$Q452*IFERROR(((VLOOKUP(P452,Settings!$E$28:$F$33,2,FALSE)/2)+1),1)</f>
        <v>25.9</v>
      </c>
      <c r="W452" s="57" cm="1">
        <f t="array" ref="W452">VLOOKUP(B452,'Player Data'!$A1:$AE673,11,FALSE)*$Q452*IFERROR((VLOOKUP(P452,Settings!$E$28:$F$33,2,FALSE)+1),1)</f>
        <v>0</v>
      </c>
      <c r="X452" s="57" cm="1">
        <f t="array" ref="X452">VLOOKUP(B452,'Player Data'!$A1:$AE673,12,FALSE)*$Q452*IFERROR((VLOOKUP(P452,Settings!$E$28:$F$33,2,FALSE)+1),1)</f>
        <v>0</v>
      </c>
      <c r="Y452" s="57" cm="1">
        <f t="array" ref="Y452">VLOOKUP(B452,'Player Data'!$A1:$AE673,13,FALSE)*$Q452</f>
        <v>0</v>
      </c>
      <c r="Z452" s="57" cm="1">
        <f t="array" ref="Z452">VLOOKUP(B452,'Player Data'!$A1:$AE673,14,FALSE)*$Q452</f>
        <v>0</v>
      </c>
      <c r="AA452" s="57" cm="1">
        <f t="array" ref="AA452">VLOOKUP(B452,'Player Data'!$A1:$AE673,15,FALSE)*$Q452</f>
        <v>101.38000000000001</v>
      </c>
      <c r="AB452" s="57" cm="1">
        <f t="array" ref="AB452">VLOOKUP(B452,'Player Data'!$A1:$AE673,16,FALSE)*$Q452</f>
        <v>65.12</v>
      </c>
      <c r="AC452" s="57" cm="1">
        <f t="array" ref="AC452">VLOOKUP(B452,'Player Data'!$A1:$AE673,17,FALSE)*$Q452*IFERROR((VLOOKUP(P452,Settings!$E$28:$F$33,2,FALSE)+1),1)</f>
        <v>-6.66</v>
      </c>
      <c r="AD452" s="57" cm="1">
        <f t="array" ref="AD452">VLOOKUP(B452,'Player Data'!$A1:$AE673,18,FALSE)*$Q452</f>
        <v>35.519999999999996</v>
      </c>
      <c r="AE452" s="57" cm="1">
        <f t="array" ref="AE452">VLOOKUP(B452,'Player Data'!$A1:$AE673,19,FALSE)*$Q452*IFERROR((VLOOKUP(P452,Settings!$E$28:$F$33,2,FALSE)+1),1)</f>
        <v>0</v>
      </c>
      <c r="AF452" s="57" cm="1">
        <f t="array" ref="AF452">VLOOKUP(B452,'Player Data'!$A1:$AE673,20,FALSE)*$Q452</f>
        <v>0</v>
      </c>
      <c r="AG452" s="57" cm="1">
        <f t="array" ref="AG452">VLOOKUP(B452,'Player Data'!$A1:$AE673,21,FALSE)*$Q452</f>
        <v>0</v>
      </c>
      <c r="AH452" s="59" cm="1">
        <f t="array" ref="AH452">VLOOKUP(B452,'Player Data'!$A1:$AE673,22,FALSE)</f>
        <v>0</v>
      </c>
      <c r="AI452" s="55"/>
      <c r="AJ452" s="57"/>
      <c r="AK452" s="57"/>
      <c r="AL452" s="57"/>
      <c r="AM452" s="57"/>
      <c r="AN452" s="57"/>
      <c r="AO452" s="57"/>
      <c r="AP452" s="57"/>
      <c r="AQ452" s="60"/>
      <c r="AR452" s="61"/>
      <c r="AS452" s="55"/>
    </row>
    <row r="453" spans="1:45" ht="21.25" customHeight="1" x14ac:dyDescent="0.15">
      <c r="A453" s="62">
        <f>RANK(K453,K$2:K$671)</f>
        <v>448</v>
      </c>
      <c r="B453" s="10" t="s">
        <v>633</v>
      </c>
      <c r="C453" s="47" t="s">
        <v>145</v>
      </c>
      <c r="D453" s="48" t="str" cm="1">
        <f t="array" ref="D453">VLOOKUP(B453,'Player Data'!A1:D673,4,FALSE)</f>
        <v>C</v>
      </c>
      <c r="E453" s="49" cm="1">
        <f t="array" ref="E453">VLOOKUP(B453,'C'!A1:C210,3,FALSE)</f>
        <v>105</v>
      </c>
      <c r="F453" s="65" t="str" cm="1">
        <f t="array" ref="F453">VLOOKUP(B453,'Player Data'!A1:B673,2,FALSE)</f>
        <v>T.B</v>
      </c>
      <c r="G453" s="66" cm="1">
        <f t="array" ref="G453">VLOOKUP(B453,'Player Data'!A1:D673,3,FALSE)</f>
        <v>34</v>
      </c>
      <c r="H453" s="51" cm="1">
        <f t="array" ref="H453">IFERROR(VLOOKUP(B453,ADP!A1:F671,6,FALSE)/1000000,VLOOKUP(B453,ADP!A1:F671,6,FALSE))</f>
        <v>2.33</v>
      </c>
      <c r="I453" s="52">
        <f>IF(Settings!$E$15="POINTS",((R453*Q453)*Settings!$B$12)+(S453*Settings!$B$2)+(T453*Settings!$B$3)+(U453*Settings!$B$4)+(V453*Settings!$B$5)+(X453*Settings!$B$9)+(AA453*Settings!$B$6)+(W453*Settings!$B$8)+(AB453*Settings!$B$7)+(AC453*Settings!$B$14)+(AD453*Settings!$B$15)+(AE453*Settings!$B$16)+(AF453*Settings!$B$17)+(AG453*Settings!$B$18)+(Y453*Settings!$B$10)+(Z453*Settings!$B$11),VLOOKUP(B453,'Standard Deviations'!A$1:C$672,3,FALSE))</f>
        <v>-0.42427317063778447</v>
      </c>
      <c r="J453" s="53" cm="1">
        <f t="array" ref="J453">IF(D453="G",I453/AJ453,I453/Q453)</f>
        <v>-5.3034146329723059E-3</v>
      </c>
      <c r="K453" s="52" cm="1">
        <f t="array" ref="K453">IF(Settings!$E$18="C/LW/RW",VLOOKUP(B453,'C'!A1:F210,6,FALSE),VLOOKUP(B453,F!A1:F407,6,FALSE))</f>
        <v>-6.7842827282528484</v>
      </c>
      <c r="L453" s="54" cm="1">
        <f t="array" ref="L453">IFERROR(K453/H453,"N/A")</f>
        <v>-2.9117093254304067</v>
      </c>
      <c r="M453" s="84" t="s">
        <v>828</v>
      </c>
      <c r="N453" s="84" t="str" cm="1">
        <f t="array" ref="N453">IFERROR(M453-A453,"N/A")</f>
        <v>N/A</v>
      </c>
      <c r="O453" s="55"/>
      <c r="P453" s="56" cm="1">
        <f t="array" ref="P453">_xlfn.XLOOKUP($B453,ADP!A2:A671,ADP!G2:G671)</f>
        <v>0</v>
      </c>
      <c r="Q453" s="57" cm="1">
        <f t="array" ref="Q453">IF(Settings!$E$12="YES",VLOOKUP(B453,'Player Data'!A1:E673,5,FALSE),84)</f>
        <v>80</v>
      </c>
      <c r="R453" s="83" cm="1">
        <f t="array" ref="R453">VLOOKUP(B453,'Player Data'!$A1:$AE673,6,FALSE)</f>
        <v>15.1</v>
      </c>
      <c r="S453" s="57" cm="1">
        <f t="array" ref="S453">VLOOKUP(B453,'Player Data'!$A1:$AE673,7,FALSE)*$Q453*IFERROR((VLOOKUP(P453,Settings!$E$28:$F$33,2,FALSE)+1),1)</f>
        <v>8.8000000000000007</v>
      </c>
      <c r="T453" s="57" cm="1">
        <f t="array" ref="T453">VLOOKUP(B453,'Player Data'!$A1:$AE673,8,FALSE)*$Q453*IFERROR((VLOOKUP(P453,Settings!$E$28:$F$33,2,FALSE)+1),1)</f>
        <v>19.2</v>
      </c>
      <c r="U453" s="57" cm="1">
        <f t="array" ref="U453">SUM(S453:T453)</f>
        <v>28</v>
      </c>
      <c r="V453" s="57" cm="1">
        <f t="array" ref="V453">VLOOKUP(B453,'Player Data'!$A1:$AE673,10,FALSE)*$Q453*IFERROR(((VLOOKUP(P453,Settings!$E$28:$F$33,2,FALSE)/2)+1),1)</f>
        <v>104</v>
      </c>
      <c r="W453" s="57" cm="1">
        <f t="array" ref="W453">VLOOKUP(B453,'Player Data'!$A1:$AE673,11,FALSE)*$Q453*IFERROR((VLOOKUP(P453,Settings!$E$28:$F$33,2,FALSE)+1),1)</f>
        <v>0</v>
      </c>
      <c r="X453" s="57" cm="1">
        <f t="array" ref="X453">VLOOKUP(B453,'Player Data'!$A1:$AE673,12,FALSE)*$Q453*IFERROR((VLOOKUP(P453,Settings!$E$28:$F$33,2,FALSE)+1),1)</f>
        <v>0</v>
      </c>
      <c r="Y453" s="57" cm="1">
        <f t="array" ref="Y453">VLOOKUP(B453,'Player Data'!$A1:$AE673,13,FALSE)*$Q453</f>
        <v>0</v>
      </c>
      <c r="Z453" s="57" cm="1">
        <f t="array" ref="Z453">VLOOKUP(B453,'Player Data'!$A1:$AE673,14,FALSE)*$Q453</f>
        <v>0.8</v>
      </c>
      <c r="AA453" s="57" cm="1">
        <f t="array" ref="AA453">VLOOKUP(B453,'Player Data'!$A1:$AE673,15,FALSE)*$Q453</f>
        <v>33.6</v>
      </c>
      <c r="AB453" s="57" cm="1">
        <f t="array" ref="AB453">VLOOKUP(B453,'Player Data'!$A1:$AE673,16,FALSE)*$Q453</f>
        <v>108.80000000000001</v>
      </c>
      <c r="AC453" s="57" cm="1">
        <f t="array" ref="AC453">VLOOKUP(B453,'Player Data'!$A1:$AE673,17,FALSE)*$Q453*IFERROR((VLOOKUP(P453,Settings!$E$28:$F$33,2,FALSE)+1),1)</f>
        <v>5.6000000000000005</v>
      </c>
      <c r="AD453" s="57" cm="1">
        <f t="array" ref="AD453">VLOOKUP(B453,'Player Data'!$A1:$AE673,18,FALSE)*$Q453</f>
        <v>46.4</v>
      </c>
      <c r="AE453" s="57" cm="1">
        <f t="array" ref="AE453">VLOOKUP(B453,'Player Data'!$A1:$AE673,19,FALSE)*$Q453*IFERROR((VLOOKUP(P453,Settings!$E$28:$F$33,2,FALSE)+1),1)</f>
        <v>1.6</v>
      </c>
      <c r="AF453" s="57" cm="1">
        <f t="array" ref="AF453">VLOOKUP(B453,'Player Data'!$A1:$AE673,20,FALSE)*$Q453</f>
        <v>380</v>
      </c>
      <c r="AG453" s="57" cm="1">
        <f t="array" ref="AG453">VLOOKUP(B453,'Player Data'!$A1:$AE673,21,FALSE)*$Q453</f>
        <v>428.8</v>
      </c>
      <c r="AH453" s="59" cm="1">
        <f t="array" ref="AH453">VLOOKUP(B453,'Player Data'!$A1:$AE673,22,FALSE)</f>
        <v>0.47</v>
      </c>
      <c r="AI453" s="55"/>
      <c r="AJ453" s="57"/>
      <c r="AK453" s="57"/>
      <c r="AL453" s="57"/>
      <c r="AM453" s="57"/>
      <c r="AN453" s="57"/>
      <c r="AO453" s="57"/>
      <c r="AP453" s="57"/>
      <c r="AQ453" s="60"/>
      <c r="AR453" s="61"/>
      <c r="AS453" s="55"/>
    </row>
    <row r="454" spans="1:45" ht="21.25" customHeight="1" x14ac:dyDescent="0.15">
      <c r="A454" s="62">
        <f>RANK(K454,K$2:K$671)</f>
        <v>451</v>
      </c>
      <c r="B454" s="10" t="s">
        <v>665</v>
      </c>
      <c r="C454" s="47" t="s">
        <v>145</v>
      </c>
      <c r="D454" s="48" t="str" cm="1">
        <f t="array" ref="D454">VLOOKUP(B454,'Player Data'!A1:D673,4,FALSE)</f>
        <v>C,LW</v>
      </c>
      <c r="E454" s="74" cm="1">
        <f t="array" ref="E454">VLOOKUP(B454,LW!A1:C210,3,FALSE)</f>
        <v>102</v>
      </c>
      <c r="F454" s="65" t="str" cm="1">
        <f t="array" ref="F454">VLOOKUP(B454,'Player Data'!A1:B673,2,FALSE)</f>
        <v>T.B</v>
      </c>
      <c r="G454" s="11" cm="1">
        <f t="array" ref="G454">VLOOKUP(B454,'Player Data'!A1:D673,3,FALSE)</f>
        <v>25</v>
      </c>
      <c r="H454" s="67" cm="1">
        <f t="array" ref="H454">IFERROR(VLOOKUP(B454,ADP!A1:F671,6,FALSE)/1000000,VLOOKUP(B454,ADP!A1:F671,6,FALSE))</f>
        <v>1.2</v>
      </c>
      <c r="I454" s="52">
        <f>IF(Settings!$E$15="POINTS",((R454*Q454)*Settings!$B$12)+(S454*Settings!$B$2)+(T454*Settings!$B$3)+(U454*Settings!$B$4)+(V454*Settings!$B$5)+(X454*Settings!$B$9)+(AA454*Settings!$B$6)+(W454*Settings!$B$8)+(AB454*Settings!$B$7)+(AC454*Settings!$B$14)+(AD454*Settings!$B$15)+(AE454*Settings!$B$16)+(AF454*Settings!$B$17)+(AG454*Settings!$B$18)+(Y454*Settings!$B$10)+(Z454*Settings!$B$11),VLOOKUP(B454,'Standard Deviations'!A$1:C$672,3,FALSE))</f>
        <v>4.9254592597852698E-2</v>
      </c>
      <c r="J454" s="53" cm="1">
        <f t="array" ref="J454">IF(D454="G",I454/AJ454,I454/Q454)</f>
        <v>6.396700337383467E-4</v>
      </c>
      <c r="K454" s="52" cm="1">
        <f t="array" ref="K454">IF(Settings!$E$18="C/LW/RW",VLOOKUP(B454,LW!A1:F210,6,FALSE),VLOOKUP(B454,F!A1:F407,6,FALSE))</f>
        <v>-6.8451310517919568</v>
      </c>
      <c r="L454" s="54" cm="1">
        <f t="array" ref="L454">IFERROR(K454/H454,"N/A")</f>
        <v>-5.7042758764932975</v>
      </c>
      <c r="M454" s="84" t="s">
        <v>828</v>
      </c>
      <c r="N454" s="84" t="str" cm="1">
        <f t="array" ref="N454">IFERROR(M454-A454,"N/A")</f>
        <v>N/A</v>
      </c>
      <c r="O454" s="55"/>
      <c r="P454" s="56" cm="1">
        <f t="array" ref="P454">_xlfn.XLOOKUP($B454,ADP!A2:A671,ADP!G2:G671)</f>
        <v>0</v>
      </c>
      <c r="Q454" s="57" cm="1">
        <f t="array" ref="Q454">IF(Settings!$E$12="YES",VLOOKUP(B454,'Player Data'!A1:E673,5,FALSE),84)</f>
        <v>77</v>
      </c>
      <c r="R454" s="55" cm="1">
        <f t="array" ref="R454">VLOOKUP(B454,'Player Data'!$A1:$AE673,6,FALSE)</f>
        <v>12.9</v>
      </c>
      <c r="S454" s="57" cm="1">
        <f t="array" ref="S454">VLOOKUP(B454,'Player Data'!$A1:$AE673,7,FALSE)*$Q454*IFERROR((VLOOKUP(P454,Settings!$E$28:$F$33,2,FALSE)+1),1)</f>
        <v>11.549999999999999</v>
      </c>
      <c r="T454" s="57" cm="1">
        <f t="array" ref="T454">VLOOKUP(B454,'Player Data'!$A1:$AE673,8,FALSE)*$Q454*IFERROR((VLOOKUP(P454,Settings!$E$28:$F$33,2,FALSE)+1),1)</f>
        <v>20.02</v>
      </c>
      <c r="U454" s="57" cm="1">
        <f t="array" ref="U454">SUM(S454:T454)</f>
        <v>31.57</v>
      </c>
      <c r="V454" s="57" cm="1">
        <f t="array" ref="V454">VLOOKUP(B454,'Player Data'!$A1:$AE673,10,FALSE)*$Q454*IFERROR(((VLOOKUP(P454,Settings!$E$28:$F$33,2,FALSE)/2)+1),1)</f>
        <v>83.160000000000011</v>
      </c>
      <c r="W454" s="57" cm="1">
        <f t="array" ref="W454">VLOOKUP(B454,'Player Data'!$A1:$AE673,11,FALSE)*$Q454*IFERROR((VLOOKUP(P454,Settings!$E$28:$F$33,2,FALSE)+1),1)</f>
        <v>0.77</v>
      </c>
      <c r="X454" s="57" cm="1">
        <f t="array" ref="X454">VLOOKUP(B454,'Player Data'!$A1:$AE673,12,FALSE)*$Q454*IFERROR((VLOOKUP(P454,Settings!$E$28:$F$33,2,FALSE)+1),1)</f>
        <v>3.08</v>
      </c>
      <c r="Y454" s="57" cm="1">
        <f t="array" ref="Y454">VLOOKUP(B454,'Player Data'!$A1:$AE673,13,FALSE)*$Q454</f>
        <v>0</v>
      </c>
      <c r="Z454" s="57" cm="1">
        <f t="array" ref="Z454">VLOOKUP(B454,'Player Data'!$A1:$AE673,14,FALSE)*$Q454</f>
        <v>0</v>
      </c>
      <c r="AA454" s="57" cm="1">
        <f t="array" ref="AA454">VLOOKUP(B454,'Player Data'!$A1:$AE673,15,FALSE)*$Q454</f>
        <v>30.03</v>
      </c>
      <c r="AB454" s="57" cm="1">
        <f t="array" ref="AB454">VLOOKUP(B454,'Player Data'!$A1:$AE673,16,FALSE)*$Q454</f>
        <v>87.779999999999987</v>
      </c>
      <c r="AC454" s="57" cm="1">
        <f t="array" ref="AC454">VLOOKUP(B454,'Player Data'!$A1:$AE673,17,FALSE)*$Q454*IFERROR((VLOOKUP(P454,Settings!$E$28:$F$33,2,FALSE)+1),1)</f>
        <v>8.4700000000000006</v>
      </c>
      <c r="AD454" s="57" cm="1">
        <f t="array" ref="AD454">VLOOKUP(B454,'Player Data'!$A1:$AE673,18,FALSE)*$Q454</f>
        <v>27.72</v>
      </c>
      <c r="AE454" s="57" cm="1">
        <f t="array" ref="AE454">VLOOKUP(B454,'Player Data'!$A1:$AE673,19,FALSE)*$Q454*IFERROR((VLOOKUP(P454,Settings!$E$28:$F$33,2,FALSE)+1),1)</f>
        <v>2.31</v>
      </c>
      <c r="AF454" s="57" cm="1">
        <f t="array" ref="AF454">VLOOKUP(B454,'Player Data'!$A1:$AE673,20,FALSE)*$Q454</f>
        <v>8.4700000000000006</v>
      </c>
      <c r="AG454" s="57" cm="1">
        <f t="array" ref="AG454">VLOOKUP(B454,'Player Data'!$A1:$AE673,21,FALSE)*$Q454</f>
        <v>13.090000000000002</v>
      </c>
      <c r="AH454" s="59" cm="1">
        <f t="array" ref="AH454">VLOOKUP(B454,'Player Data'!$A1:$AE673,22,FALSE)</f>
        <v>0.38</v>
      </c>
      <c r="AI454" s="55"/>
      <c r="AJ454" s="57"/>
      <c r="AK454" s="57"/>
      <c r="AL454" s="57"/>
      <c r="AM454" s="57"/>
      <c r="AN454" s="57"/>
      <c r="AO454" s="57"/>
      <c r="AP454" s="57"/>
      <c r="AQ454" s="60"/>
      <c r="AR454" s="61"/>
      <c r="AS454" s="55"/>
    </row>
    <row r="455" spans="1:45" ht="21.25" customHeight="1" x14ac:dyDescent="0.15">
      <c r="A455" s="62">
        <f>RANK(K455,K$2:K$671)</f>
        <v>453</v>
      </c>
      <c r="B455" s="10" t="s">
        <v>566</v>
      </c>
      <c r="C455" s="47" t="s">
        <v>145</v>
      </c>
      <c r="D455" s="48" t="str" cm="1">
        <f t="array" ref="D455">VLOOKUP(B455,'Player Data'!A1:D673,4,FALSE)</f>
        <v>C,LW</v>
      </c>
      <c r="E455" s="74" cm="1">
        <f t="array" ref="E455">VLOOKUP(B455,LW!A1:C210,3,FALSE)</f>
        <v>104</v>
      </c>
      <c r="F455" s="72" t="str" cm="1">
        <f t="array" ref="F455">VLOOKUP(B455,'Player Data'!A1:B673,2,FALSE)</f>
        <v>NYI</v>
      </c>
      <c r="G455" s="66" cm="1">
        <f t="array" ref="G455">VLOOKUP(B455,'Player Data'!A1:D673,3,FALSE)</f>
        <v>35</v>
      </c>
      <c r="H455" s="51" cm="1">
        <f t="array" ref="H455">IFERROR(VLOOKUP(B455,ADP!A1:F671,6,FALSE)/1000000,VLOOKUP(B455,ADP!A1:F671,6,FALSE))</f>
        <v>6.5</v>
      </c>
      <c r="I455" s="52">
        <f>IF(Settings!$E$15="POINTS",((R455*Q455)*Settings!$B$12)+(S455*Settings!$B$2)+(T455*Settings!$B$3)+(U455*Settings!$B$4)+(V455*Settings!$B$5)+(X455*Settings!$B$9)+(AA455*Settings!$B$6)+(W455*Settings!$B$8)+(AB455*Settings!$B$7)+(AC455*Settings!$B$14)+(AD455*Settings!$B$15)+(AE455*Settings!$B$16)+(AF455*Settings!$B$17)+(AG455*Settings!$B$18)+(Y455*Settings!$B$10)+(Z455*Settings!$B$11),VLOOKUP(B455,'Standard Deviations'!A$1:C$672,3,FALSE))</f>
        <v>4.1407157569736119E-2</v>
      </c>
      <c r="J455" s="53" cm="1">
        <f t="array" ref="J455">IF(D455="G",I455/AJ455,I455/Q455)</f>
        <v>4.9294235202066805E-4</v>
      </c>
      <c r="K455" s="52" cm="1">
        <f t="array" ref="K455">IF(Settings!$E$18="C/LW/RW",VLOOKUP(B455,LW!A1:F210,6,FALSE),VLOOKUP(B455,F!A1:F407,6,FALSE))</f>
        <v>-6.8529784868200734</v>
      </c>
      <c r="L455" s="54" cm="1">
        <f t="array" ref="L455">IFERROR(K455/H455,"N/A")</f>
        <v>-1.0543043825877036</v>
      </c>
      <c r="M455" s="84" t="s">
        <v>828</v>
      </c>
      <c r="N455" s="84" t="str" cm="1">
        <f t="array" ref="N455">IFERROR(M455-A455,"N/A")</f>
        <v>N/A</v>
      </c>
      <c r="O455" s="55"/>
      <c r="P455" s="56" cm="1">
        <f t="array" ref="P455">_xlfn.XLOOKUP($B455,ADP!A2:A671,ADP!G2:G671)</f>
        <v>0</v>
      </c>
      <c r="Q455" s="57" cm="1">
        <f t="array" ref="Q455">IF(Settings!$E$12="YES",VLOOKUP(B455,'Player Data'!A1:E673,5,FALSE),84)</f>
        <v>84</v>
      </c>
      <c r="R455" s="83" cm="1">
        <f t="array" ref="R455">VLOOKUP(B455,'Player Data'!$A1:$AE673,6,FALSE)</f>
        <v>15.6</v>
      </c>
      <c r="S455" s="57" cm="1">
        <f t="array" ref="S455">VLOOKUP(B455,'Player Data'!$A1:$AE673,7,FALSE)*$Q455*IFERROR((VLOOKUP(P455,Settings!$E$28:$F$33,2,FALSE)+1),1)</f>
        <v>15.12</v>
      </c>
      <c r="T455" s="57" cm="1">
        <f t="array" ref="T455">VLOOKUP(B455,'Player Data'!$A1:$AE673,8,FALSE)*$Q455*IFERROR((VLOOKUP(P455,Settings!$E$28:$F$33,2,FALSE)+1),1)</f>
        <v>21.84</v>
      </c>
      <c r="U455" s="57" cm="1">
        <f t="array" ref="U455">SUM(S455:T455)</f>
        <v>36.96</v>
      </c>
      <c r="V455" s="57" cm="1">
        <f t="array" ref="V455">VLOOKUP(B455,'Player Data'!$A1:$AE673,10,FALSE)*$Q455*IFERROR(((VLOOKUP(P455,Settings!$E$28:$F$33,2,FALSE)/2)+1),1)</f>
        <v>115.91999999999999</v>
      </c>
      <c r="W455" s="57" cm="1">
        <f t="array" ref="W455">VLOOKUP(B455,'Player Data'!$A1:$AE673,11,FALSE)*$Q455*IFERROR((VLOOKUP(P455,Settings!$E$28:$F$33,2,FALSE)+1),1)</f>
        <v>1.68</v>
      </c>
      <c r="X455" s="57" cm="1">
        <f t="array" ref="X455">VLOOKUP(B455,'Player Data'!$A1:$AE673,12,FALSE)*$Q455*IFERROR((VLOOKUP(P455,Settings!$E$28:$F$33,2,FALSE)+1),1)</f>
        <v>5.8800000000000008</v>
      </c>
      <c r="Y455" s="57" cm="1">
        <f t="array" ref="Y455">VLOOKUP(B455,'Player Data'!$A1:$AE673,13,FALSE)*$Q455</f>
        <v>0</v>
      </c>
      <c r="Z455" s="57" cm="1">
        <f t="array" ref="Z455">VLOOKUP(B455,'Player Data'!$A1:$AE673,14,FALSE)*$Q455</f>
        <v>0</v>
      </c>
      <c r="AA455" s="57" cm="1">
        <f t="array" ref="AA455">VLOOKUP(B455,'Player Data'!$A1:$AE673,15,FALSE)*$Q455</f>
        <v>40.32</v>
      </c>
      <c r="AB455" s="57" cm="1">
        <f t="array" ref="AB455">VLOOKUP(B455,'Player Data'!$A1:$AE673,16,FALSE)*$Q455</f>
        <v>165.48</v>
      </c>
      <c r="AC455" s="57" cm="1">
        <f t="array" ref="AC455">VLOOKUP(B455,'Player Data'!$A1:$AE673,17,FALSE)*$Q455*IFERROR((VLOOKUP(P455,Settings!$E$28:$F$33,2,FALSE)+1),1)</f>
        <v>-5.04</v>
      </c>
      <c r="AD455" s="57" cm="1">
        <f t="array" ref="AD455">VLOOKUP(B455,'Player Data'!$A1:$AE673,18,FALSE)*$Q455</f>
        <v>49.559999999999995</v>
      </c>
      <c r="AE455" s="57" cm="1">
        <f t="array" ref="AE455">VLOOKUP(B455,'Player Data'!$A1:$AE673,19,FALSE)*$Q455*IFERROR((VLOOKUP(P455,Settings!$E$28:$F$33,2,FALSE)+1),1)</f>
        <v>2.52</v>
      </c>
      <c r="AF455" s="57" cm="1">
        <f t="array" ref="AF455">VLOOKUP(B455,'Player Data'!$A1:$AE673,20,FALSE)*$Q455</f>
        <v>446.88</v>
      </c>
      <c r="AG455" s="57" cm="1">
        <f t="array" ref="AG455">VLOOKUP(B455,'Player Data'!$A1:$AE673,21,FALSE)*$Q455</f>
        <v>404.88</v>
      </c>
      <c r="AH455" s="59" cm="1">
        <f t="array" ref="AH455">VLOOKUP(B455,'Player Data'!$A1:$AE673,22,FALSE)</f>
        <v>0.52</v>
      </c>
      <c r="AI455" s="55"/>
      <c r="AJ455" s="57"/>
      <c r="AK455" s="57"/>
      <c r="AL455" s="57"/>
      <c r="AM455" s="57"/>
      <c r="AN455" s="57"/>
      <c r="AO455" s="57"/>
      <c r="AP455" s="57"/>
      <c r="AQ455" s="60"/>
      <c r="AR455" s="61"/>
      <c r="AS455" s="55"/>
    </row>
    <row r="456" spans="1:45" ht="21.25" customHeight="1" x14ac:dyDescent="0.15">
      <c r="A456" s="62">
        <f>RANK(K456,K$2:K$671)</f>
        <v>455</v>
      </c>
      <c r="B456" s="10" t="s">
        <v>540</v>
      </c>
      <c r="C456" s="47" t="s">
        <v>145</v>
      </c>
      <c r="D456" s="48" t="str" cm="1">
        <f t="array" ref="D456">VLOOKUP(B456,'Player Data'!A1:D673,4,FALSE)</f>
        <v>LW</v>
      </c>
      <c r="E456" s="75" cm="1">
        <f t="array" ref="E456">VLOOKUP(B456,LW!A1:C210,3,FALSE)</f>
        <v>107</v>
      </c>
      <c r="F456" s="69" t="str" cm="1">
        <f t="array" ref="F456">VLOOKUP(B456,'Player Data'!A1:B673,2,FALSE)</f>
        <v>TOR</v>
      </c>
      <c r="G456" s="71" cm="1">
        <f t="array" ref="G456">VLOOKUP(B456,'Player Data'!A1:D673,3,FALSE)</f>
        <v>21</v>
      </c>
      <c r="H456" s="51" cm="1">
        <f t="array" ref="H456">IFERROR(VLOOKUP(B456,ADP!A1:F671,6,FALSE)/1000000,VLOOKUP(B456,ADP!A1:F671,6,FALSE))</f>
        <v>0.9</v>
      </c>
      <c r="I456" s="52">
        <f>IF(Settings!$E$15="POINTS",((R456*Q456)*Settings!$B$12)+(S456*Settings!$B$2)+(T456*Settings!$B$3)+(U456*Settings!$B$4)+(V456*Settings!$B$5)+(X456*Settings!$B$9)+(AA456*Settings!$B$6)+(W456*Settings!$B$8)+(AB456*Settings!$B$7)+(AC456*Settings!$B$14)+(AD456*Settings!$B$15)+(AE456*Settings!$B$16)+(AF456*Settings!$B$17)+(AG456*Settings!$B$18)+(Y456*Settings!$B$10)+(Z456*Settings!$B$11),VLOOKUP(B456,'Standard Deviations'!A$1:C$672,3,FALSE))</f>
        <v>1.0756906888957918E-3</v>
      </c>
      <c r="J456" s="53" cm="1">
        <f t="array" ref="J456">IF(D456="G",I456/AJ456,I456/Q456)</f>
        <v>1.3970008946698595E-5</v>
      </c>
      <c r="K456" s="52" cm="1">
        <f t="array" ref="K456">IF(Settings!$E$18="C/LW/RW",VLOOKUP(B456,LW!A1:F210,6,FALSE),VLOOKUP(B456,F!A1:F407,6,FALSE))</f>
        <v>-6.8933099537009141</v>
      </c>
      <c r="L456" s="54" cm="1">
        <f t="array" ref="L456">IFERROR(K456/H456,"N/A")</f>
        <v>-7.6592332818899047</v>
      </c>
      <c r="M456" s="84" t="s">
        <v>828</v>
      </c>
      <c r="N456" s="84" t="str" cm="1">
        <f t="array" ref="N456">IFERROR(M456-A456,"N/A")</f>
        <v>N/A</v>
      </c>
      <c r="O456" s="55"/>
      <c r="P456" s="56" cm="1">
        <f t="array" ref="P456">_xlfn.XLOOKUP($B456,ADP!A2:A671,ADP!G2:G671)</f>
        <v>0</v>
      </c>
      <c r="Q456" s="57" cm="1">
        <f t="array" ref="Q456">IF(Settings!$E$12="YES",VLOOKUP(B456,'Player Data'!A1:E673,5,FALSE),84)</f>
        <v>77</v>
      </c>
      <c r="R456" s="81" cm="1">
        <f t="array" ref="R456">VLOOKUP(B456,'Player Data'!$A1:$AE673,6,FALSE)</f>
        <v>15.8</v>
      </c>
      <c r="S456" s="57" cm="1">
        <f t="array" ref="S456">VLOOKUP(B456,'Player Data'!$A1:$AE673,7,FALSE)*$Q456*IFERROR((VLOOKUP(P456,Settings!$E$28:$F$33,2,FALSE)+1),1)</f>
        <v>15.4</v>
      </c>
      <c r="T456" s="57" cm="1">
        <f t="array" ref="T456">VLOOKUP(B456,'Player Data'!$A1:$AE673,8,FALSE)*$Q456*IFERROR((VLOOKUP(P456,Settings!$E$28:$F$33,2,FALSE)+1),1)</f>
        <v>23.87</v>
      </c>
      <c r="U456" s="57" cm="1">
        <f t="array" ref="U456">SUM(S456:T456)</f>
        <v>39.270000000000003</v>
      </c>
      <c r="V456" s="57" cm="1">
        <f t="array" ref="V456">VLOOKUP(B456,'Player Data'!$A1:$AE673,10,FALSE)*$Q456*IFERROR(((VLOOKUP(P456,Settings!$E$28:$F$33,2,FALSE)/2)+1),1)</f>
        <v>117.81</v>
      </c>
      <c r="W456" s="57" cm="1">
        <f t="array" ref="W456">VLOOKUP(B456,'Player Data'!$A1:$AE673,11,FALSE)*$Q456*IFERROR((VLOOKUP(P456,Settings!$E$28:$F$33,2,FALSE)+1),1)</f>
        <v>2.31</v>
      </c>
      <c r="X456" s="57" cm="1">
        <f t="array" ref="X456">VLOOKUP(B456,'Player Data'!$A1:$AE673,12,FALSE)*$Q456*IFERROR((VLOOKUP(P456,Settings!$E$28:$F$33,2,FALSE)+1),1)</f>
        <v>7.7</v>
      </c>
      <c r="Y456" s="57" cm="1">
        <f t="array" ref="Y456">VLOOKUP(B456,'Player Data'!$A1:$AE673,13,FALSE)*$Q456</f>
        <v>0</v>
      </c>
      <c r="Z456" s="57" cm="1">
        <f t="array" ref="Z456">VLOOKUP(B456,'Player Data'!$A1:$AE673,14,FALSE)*$Q456</f>
        <v>0</v>
      </c>
      <c r="AA456" s="57" cm="1">
        <f t="array" ref="AA456">VLOOKUP(B456,'Player Data'!$A1:$AE673,15,FALSE)*$Q456</f>
        <v>38.5</v>
      </c>
      <c r="AB456" s="57" cm="1">
        <f t="array" ref="AB456">VLOOKUP(B456,'Player Data'!$A1:$AE673,16,FALSE)*$Q456</f>
        <v>83.160000000000011</v>
      </c>
      <c r="AC456" s="57" cm="1">
        <f t="array" ref="AC456">VLOOKUP(B456,'Player Data'!$A1:$AE673,17,FALSE)*$Q456*IFERROR((VLOOKUP(P456,Settings!$E$28:$F$33,2,FALSE)+1),1)</f>
        <v>0.77</v>
      </c>
      <c r="AD456" s="57" cm="1">
        <f t="array" ref="AD456">VLOOKUP(B456,'Player Data'!$A1:$AE673,18,FALSE)*$Q456</f>
        <v>36.96</v>
      </c>
      <c r="AE456" s="57" cm="1">
        <f t="array" ref="AE456">VLOOKUP(B456,'Player Data'!$A1:$AE673,19,FALSE)*$Q456*IFERROR((VLOOKUP(P456,Settings!$E$28:$F$33,2,FALSE)+1),1)</f>
        <v>2.31</v>
      </c>
      <c r="AF456" s="57" cm="1">
        <f t="array" ref="AF456">VLOOKUP(B456,'Player Data'!$A1:$AE673,20,FALSE)*$Q456</f>
        <v>2.31</v>
      </c>
      <c r="AG456" s="57" cm="1">
        <f t="array" ref="AG456">VLOOKUP(B456,'Player Data'!$A1:$AE673,21,FALSE)*$Q456</f>
        <v>5.3900000000000006</v>
      </c>
      <c r="AH456" s="59" cm="1">
        <f t="array" ref="AH456">VLOOKUP(B456,'Player Data'!$A1:$AE673,22,FALSE)</f>
        <v>0.33</v>
      </c>
      <c r="AI456" s="55"/>
      <c r="AJ456" s="57"/>
      <c r="AK456" s="57"/>
      <c r="AL456" s="57"/>
      <c r="AM456" s="57"/>
      <c r="AN456" s="57"/>
      <c r="AO456" s="57"/>
      <c r="AP456" s="57"/>
      <c r="AQ456" s="60"/>
      <c r="AR456" s="61"/>
      <c r="AS456" s="55"/>
    </row>
    <row r="457" spans="1:45" ht="21.25" customHeight="1" x14ac:dyDescent="0.15">
      <c r="A457" s="62">
        <f>RANK(K457,K$2:K$671)</f>
        <v>456</v>
      </c>
      <c r="B457" s="10" t="s">
        <v>728</v>
      </c>
      <c r="C457" s="47" t="s">
        <v>145</v>
      </c>
      <c r="D457" s="48" t="str" cm="1">
        <f t="array" ref="D457">VLOOKUP(B457,'Player Data'!A1:D673,4,FALSE)</f>
        <v>LW</v>
      </c>
      <c r="E457" s="75" cm="1">
        <f t="array" ref="E457">VLOOKUP(B457,LW!A1:C210,3,FALSE)</f>
        <v>108</v>
      </c>
      <c r="F457" s="70" t="str" cm="1">
        <f t="array" ref="F457">VLOOKUP(B457,'Player Data'!A1:B673,2,FALSE)</f>
        <v>MIN</v>
      </c>
      <c r="G457" s="66" cm="1">
        <f t="array" ref="G457">VLOOKUP(B457,'Player Data'!A1:D673,3,FALSE)</f>
        <v>35</v>
      </c>
      <c r="H457" s="51" cm="1">
        <f t="array" ref="H457">IFERROR(VLOOKUP(B457,ADP!A1:F671,6,FALSE)/1000000,VLOOKUP(B457,ADP!A1:F671,6,FALSE))</f>
        <v>4</v>
      </c>
      <c r="I457" s="52">
        <f>IF(Settings!$E$15="POINTS",((R457*Q457)*Settings!$B$12)+(S457*Settings!$B$2)+(T457*Settings!$B$3)+(U457*Settings!$B$4)+(V457*Settings!$B$5)+(X457*Settings!$B$9)+(AA457*Settings!$B$6)+(W457*Settings!$B$8)+(AB457*Settings!$B$7)+(AC457*Settings!$B$14)+(AD457*Settings!$B$15)+(AE457*Settings!$B$16)+(AF457*Settings!$B$17)+(AG457*Settings!$B$18)+(Y457*Settings!$B$10)+(Z457*Settings!$B$11),VLOOKUP(B457,'Standard Deviations'!A$1:C$672,3,FALSE))</f>
        <v>-3.2807839921433768E-6</v>
      </c>
      <c r="J457" s="53" cm="1">
        <f t="array" ref="J457">IF(D457="G",I457/AJ457,I457/Q457)</f>
        <v>-4.3168210422939168E-8</v>
      </c>
      <c r="K457" s="52" cm="1">
        <f t="array" ref="K457">IF(Settings!$E$18="C/LW/RW",VLOOKUP(B457,LW!A1:F210,6,FALSE),VLOOKUP(B457,F!A1:F407,6,FALSE))</f>
        <v>-6.8943889251738018</v>
      </c>
      <c r="L457" s="54" cm="1">
        <f t="array" ref="L457">IFERROR(K457/H457,"N/A")</f>
        <v>-1.7235972312934504</v>
      </c>
      <c r="M457" s="84" t="s">
        <v>828</v>
      </c>
      <c r="N457" s="84" t="str" cm="1">
        <f t="array" ref="N457">IFERROR(M457-A457,"N/A")</f>
        <v>N/A</v>
      </c>
      <c r="O457" s="55"/>
      <c r="P457" s="56" cm="1">
        <f t="array" ref="P457">_xlfn.XLOOKUP($B457,ADP!A2:A671,ADP!G2:G671)</f>
        <v>0</v>
      </c>
      <c r="Q457" s="57" cm="1">
        <f t="array" ref="Q457">IF(Settings!$E$12="YES",VLOOKUP(B457,'Player Data'!A1:E673,5,FALSE),84)</f>
        <v>76</v>
      </c>
      <c r="R457" s="55" cm="1">
        <f t="array" ref="R457">VLOOKUP(B457,'Player Data'!$A1:$AE673,6,FALSE)</f>
        <v>12.7</v>
      </c>
      <c r="S457" s="57" cm="1">
        <f t="array" ref="S457">VLOOKUP(B457,'Player Data'!$A1:$AE673,7,FALSE)*$Q457*IFERROR((VLOOKUP(P457,Settings!$E$28:$F$33,2,FALSE)+1),1)</f>
        <v>9.1199999999999992</v>
      </c>
      <c r="T457" s="57" cm="1">
        <f t="array" ref="T457">VLOOKUP(B457,'Player Data'!$A1:$AE673,8,FALSE)*$Q457*IFERROR((VLOOKUP(P457,Settings!$E$28:$F$33,2,FALSE)+1),1)</f>
        <v>9.8800000000000008</v>
      </c>
      <c r="U457" s="57" cm="1">
        <f t="array" ref="U457">SUM(S457:T457)</f>
        <v>19</v>
      </c>
      <c r="V457" s="57" cm="1">
        <f t="array" ref="V457">VLOOKUP(B457,'Player Data'!$A1:$AE673,10,FALSE)*$Q457*IFERROR(((VLOOKUP(P457,Settings!$E$28:$F$33,2,FALSE)/2)+1),1)</f>
        <v>77.52</v>
      </c>
      <c r="W457" s="57" cm="1">
        <f t="array" ref="W457">VLOOKUP(B457,'Player Data'!$A1:$AE673,11,FALSE)*$Q457*IFERROR((VLOOKUP(P457,Settings!$E$28:$F$33,2,FALSE)+1),1)</f>
        <v>0</v>
      </c>
      <c r="X457" s="57" cm="1">
        <f t="array" ref="X457">VLOOKUP(B457,'Player Data'!$A1:$AE673,12,FALSE)*$Q457*IFERROR((VLOOKUP(P457,Settings!$E$28:$F$33,2,FALSE)+1),1)</f>
        <v>0</v>
      </c>
      <c r="Y457" s="57" cm="1">
        <f t="array" ref="Y457">VLOOKUP(B457,'Player Data'!$A1:$AE673,13,FALSE)*$Q457</f>
        <v>0</v>
      </c>
      <c r="Z457" s="57" cm="1">
        <f t="array" ref="Z457">VLOOKUP(B457,'Player Data'!$A1:$AE673,14,FALSE)*$Q457</f>
        <v>0</v>
      </c>
      <c r="AA457" s="57" cm="1">
        <f t="array" ref="AA457">VLOOKUP(B457,'Player Data'!$A1:$AE673,15,FALSE)*$Q457</f>
        <v>53.199999999999996</v>
      </c>
      <c r="AB457" s="57" cm="1">
        <f t="array" ref="AB457">VLOOKUP(B457,'Player Data'!$A1:$AE673,16,FALSE)*$Q457</f>
        <v>217.35999999999999</v>
      </c>
      <c r="AC457" s="57" cm="1">
        <f t="array" ref="AC457">VLOOKUP(B457,'Player Data'!$A1:$AE673,17,FALSE)*$Q457*IFERROR((VLOOKUP(P457,Settings!$E$28:$F$33,2,FALSE)+1),1)</f>
        <v>2.2799999999999998</v>
      </c>
      <c r="AD457" s="57" cm="1">
        <f t="array" ref="AD457">VLOOKUP(B457,'Player Data'!$A1:$AE673,18,FALSE)*$Q457</f>
        <v>57</v>
      </c>
      <c r="AE457" s="57" cm="1">
        <f t="array" ref="AE457">VLOOKUP(B457,'Player Data'!$A1:$AE673,19,FALSE)*$Q457*IFERROR((VLOOKUP(P457,Settings!$E$28:$F$33,2,FALSE)+1),1)</f>
        <v>1.52</v>
      </c>
      <c r="AF457" s="57" cm="1">
        <f t="array" ref="AF457">VLOOKUP(B457,'Player Data'!$A1:$AE673,20,FALSE)*$Q457</f>
        <v>9.8800000000000008</v>
      </c>
      <c r="AG457" s="57" cm="1">
        <f t="array" ref="AG457">VLOOKUP(B457,'Player Data'!$A1:$AE673,21,FALSE)*$Q457</f>
        <v>14.44</v>
      </c>
      <c r="AH457" s="59" cm="1">
        <f t="array" ref="AH457">VLOOKUP(B457,'Player Data'!$A1:$AE673,22,FALSE)</f>
        <v>0.4</v>
      </c>
      <c r="AI457" s="55"/>
      <c r="AJ457" s="57"/>
      <c r="AK457" s="57"/>
      <c r="AL457" s="57"/>
      <c r="AM457" s="57"/>
      <c r="AN457" s="57"/>
      <c r="AO457" s="57"/>
      <c r="AP457" s="57"/>
      <c r="AQ457" s="60"/>
      <c r="AR457" s="61"/>
      <c r="AS457" s="55"/>
    </row>
    <row r="458" spans="1:45" ht="21.25" customHeight="1" x14ac:dyDescent="0.15">
      <c r="A458" s="62">
        <f>RANK(K458,K$2:K$671)</f>
        <v>457</v>
      </c>
      <c r="B458" s="10" t="s">
        <v>740</v>
      </c>
      <c r="C458" s="47" t="s">
        <v>145</v>
      </c>
      <c r="D458" s="48" t="str" cm="1">
        <f t="array" ref="D458">VLOOKUP(B458,'Player Data'!A1:D673,4,FALSE)</f>
        <v>LW</v>
      </c>
      <c r="E458" s="75" cm="1">
        <f t="array" ref="E458">VLOOKUP(B458,LW!A1:C210,3,FALSE)</f>
        <v>109</v>
      </c>
      <c r="F458" s="50" t="str" cm="1">
        <f t="array" ref="F458">VLOOKUP(B458,'Player Data'!A1:B673,2,FALSE)</f>
        <v>COL</v>
      </c>
      <c r="G458" s="71" cm="1">
        <f t="array" ref="G458">VLOOKUP(B458,'Player Data'!A1:D673,3,FALSE)</f>
        <v>23</v>
      </c>
      <c r="H458" s="51" cm="1">
        <f t="array" ref="H458">IFERROR(VLOOKUP(B458,ADP!A1:F671,6,FALSE)/1000000,VLOOKUP(B458,ADP!A1:F671,6,FALSE))</f>
        <v>0.875</v>
      </c>
      <c r="I458" s="52">
        <f>IF(Settings!$E$15="POINTS",((R458*Q458)*Settings!$B$12)+(S458*Settings!$B$2)+(T458*Settings!$B$3)+(U458*Settings!$B$4)+(V458*Settings!$B$5)+(X458*Settings!$B$9)+(AA458*Settings!$B$6)+(W458*Settings!$B$8)+(AB458*Settings!$B$7)+(AC458*Settings!$B$14)+(AD458*Settings!$B$15)+(AE458*Settings!$B$16)+(AF458*Settings!$B$17)+(AG458*Settings!$B$18)+(Y458*Settings!$B$10)+(Z458*Settings!$B$11),VLOOKUP(B458,'Standard Deviations'!A$1:C$672,3,FALSE))</f>
        <v>-5.3452417971500132E-3</v>
      </c>
      <c r="J458" s="53" cm="1">
        <f t="array" ref="J458">IF(D458="G",I458/AJ458,I458/Q458)</f>
        <v>-7.7467272422463964E-5</v>
      </c>
      <c r="K458" s="52" cm="1">
        <f t="array" ref="K458">IF(Settings!$E$18="C/LW/RW",VLOOKUP(B458,LW!A1:F210,6,FALSE),VLOOKUP(B458,F!A1:F407,6,FALSE))</f>
        <v>-6.8997308861869602</v>
      </c>
      <c r="L458" s="54" cm="1">
        <f t="array" ref="L458">IFERROR(K458/H458,"N/A")</f>
        <v>-7.8854067270708113</v>
      </c>
      <c r="M458" s="84" t="s">
        <v>828</v>
      </c>
      <c r="N458" s="84" t="str" cm="1">
        <f t="array" ref="N458">IFERROR(M458-A458,"N/A")</f>
        <v>N/A</v>
      </c>
      <c r="O458" s="55"/>
      <c r="P458" s="56" cm="1">
        <f t="array" ref="P458">_xlfn.XLOOKUP($B458,ADP!A2:A671,ADP!G2:G671)</f>
        <v>0</v>
      </c>
      <c r="Q458" s="57" cm="1">
        <f t="array" ref="Q458">IF(Settings!$E$12="YES",VLOOKUP(B458,'Player Data'!A1:E673,5,FALSE),84)</f>
        <v>69</v>
      </c>
      <c r="R458" s="55" cm="1">
        <f t="array" ref="R458">VLOOKUP(B458,'Player Data'!$A1:$AE673,6,FALSE)</f>
        <v>13</v>
      </c>
      <c r="S458" s="57" cm="1">
        <f t="array" ref="S458">VLOOKUP(B458,'Player Data'!$A1:$AE673,7,FALSE)*$Q458*IFERROR((VLOOKUP(P458,Settings!$E$28:$F$33,2,FALSE)+1),1)</f>
        <v>8.2799999999999994</v>
      </c>
      <c r="T458" s="57" cm="1">
        <f t="array" ref="T458">VLOOKUP(B458,'Player Data'!$A1:$AE673,8,FALSE)*$Q458*IFERROR((VLOOKUP(P458,Settings!$E$28:$F$33,2,FALSE)+1),1)</f>
        <v>9.66</v>
      </c>
      <c r="U458" s="57" cm="1">
        <f t="array" ref="U458">SUM(S458:T458)</f>
        <v>17.939999999999998</v>
      </c>
      <c r="V458" s="57" cm="1">
        <f t="array" ref="V458">VLOOKUP(B458,'Player Data'!$A1:$AE673,10,FALSE)*$Q458*IFERROR(((VLOOKUP(P458,Settings!$E$28:$F$33,2,FALSE)/2)+1),1)</f>
        <v>84.179999999999993</v>
      </c>
      <c r="W458" s="57" cm="1">
        <f t="array" ref="W458">VLOOKUP(B458,'Player Data'!$A1:$AE673,11,FALSE)*$Q458*IFERROR((VLOOKUP(P458,Settings!$E$28:$F$33,2,FALSE)+1),1)</f>
        <v>0.69000000000000006</v>
      </c>
      <c r="X458" s="57" cm="1">
        <f t="array" ref="X458">VLOOKUP(B458,'Player Data'!$A1:$AE673,12,FALSE)*$Q458*IFERROR((VLOOKUP(P458,Settings!$E$28:$F$33,2,FALSE)+1),1)</f>
        <v>1.3800000000000001</v>
      </c>
      <c r="Y458" s="57" cm="1">
        <f t="array" ref="Y458">VLOOKUP(B458,'Player Data'!$A1:$AE673,13,FALSE)*$Q458</f>
        <v>0</v>
      </c>
      <c r="Z458" s="57" cm="1">
        <f t="array" ref="Z458">VLOOKUP(B458,'Player Data'!$A1:$AE673,14,FALSE)*$Q458</f>
        <v>0.69000000000000006</v>
      </c>
      <c r="AA458" s="57" cm="1">
        <f t="array" ref="AA458">VLOOKUP(B458,'Player Data'!$A1:$AE673,15,FALSE)*$Q458</f>
        <v>36.57</v>
      </c>
      <c r="AB458" s="57" cm="1">
        <f t="array" ref="AB458">VLOOKUP(B458,'Player Data'!$A1:$AE673,16,FALSE)*$Q458</f>
        <v>175.26</v>
      </c>
      <c r="AC458" s="57" cm="1">
        <f t="array" ref="AC458">VLOOKUP(B458,'Player Data'!$A1:$AE673,17,FALSE)*$Q458*IFERROR((VLOOKUP(P458,Settings!$E$28:$F$33,2,FALSE)+1),1)</f>
        <v>5.5200000000000005</v>
      </c>
      <c r="AD458" s="57" cm="1">
        <f t="array" ref="AD458">VLOOKUP(B458,'Player Data'!$A1:$AE673,18,FALSE)*$Q458</f>
        <v>36.57</v>
      </c>
      <c r="AE458" s="57" cm="1">
        <f t="array" ref="AE458">VLOOKUP(B458,'Player Data'!$A1:$AE673,19,FALSE)*$Q458*IFERROR((VLOOKUP(P458,Settings!$E$28:$F$33,2,FALSE)+1),1)</f>
        <v>1.3800000000000001</v>
      </c>
      <c r="AF458" s="57" cm="1">
        <f t="array" ref="AF458">VLOOKUP(B458,'Player Data'!$A1:$AE673,20,FALSE)*$Q458</f>
        <v>2.0699999999999998</v>
      </c>
      <c r="AG458" s="57" cm="1">
        <f t="array" ref="AG458">VLOOKUP(B458,'Player Data'!$A1:$AE673,21,FALSE)*$Q458</f>
        <v>12.42</v>
      </c>
      <c r="AH458" s="59" cm="1">
        <f t="array" ref="AH458">VLOOKUP(B458,'Player Data'!$A1:$AE673,22,FALSE)</f>
        <v>0.15</v>
      </c>
      <c r="AI458" s="55"/>
      <c r="AJ458" s="57"/>
      <c r="AK458" s="57"/>
      <c r="AL458" s="57"/>
      <c r="AM458" s="57"/>
      <c r="AN458" s="57"/>
      <c r="AO458" s="57"/>
      <c r="AP458" s="57"/>
      <c r="AQ458" s="60"/>
      <c r="AR458" s="61"/>
      <c r="AS458" s="55"/>
    </row>
    <row r="459" spans="1:45" ht="21.25" customHeight="1" x14ac:dyDescent="0.15">
      <c r="A459" s="62">
        <f>RANK(K459,K$2:K$671)</f>
        <v>450</v>
      </c>
      <c r="B459" s="10" t="s">
        <v>497</v>
      </c>
      <c r="C459" s="47" t="s">
        <v>145</v>
      </c>
      <c r="D459" s="48" t="str" cm="1">
        <f t="array" ref="D459">VLOOKUP(B459,'Player Data'!A1:D673,4,FALSE)</f>
        <v>LW,RW</v>
      </c>
      <c r="E459" s="74" cm="1">
        <f t="array" ref="E459">VLOOKUP(B459,RW!A1:F210,3,FALSE)</f>
        <v>107</v>
      </c>
      <c r="F459" s="72" t="str" cm="1">
        <f t="array" ref="F459">VLOOKUP(B459,'Player Data'!A1:B673,2,FALSE)</f>
        <v>PIT</v>
      </c>
      <c r="G459" s="11" cm="1">
        <f t="array" ref="G459">VLOOKUP(B459,'Player Data'!A1:D673,3,FALSE)</f>
        <v>25</v>
      </c>
      <c r="H459" s="51" cm="1">
        <f t="array" ref="H459">IFERROR(VLOOKUP(B459,ADP!A1:F671,6,FALSE)/1000000,VLOOKUP(B459,ADP!A1:F671,6,FALSE))</f>
        <v>6.25</v>
      </c>
      <c r="I459" s="52">
        <f>IF(Settings!$E$15="POINTS",((R459*Q459)*Settings!$B$12)+(S459*Settings!$B$2)+(T459*Settings!$B$3)+(U459*Settings!$B$4)+(V459*Settings!$B$5)+(X459*Settings!$B$9)+(AA459*Settings!$B$6)+(W459*Settings!$B$8)+(AB459*Settings!$B$7)+(AC459*Settings!$B$14)+(AD459*Settings!$B$15)+(AE459*Settings!$B$16)+(AF459*Settings!$B$17)+(AG459*Settings!$B$18)+(Y459*Settings!$B$10)+(Z459*Settings!$B$11),VLOOKUP(B459,'Standard Deviations'!A$1:C$672,3,FALSE))</f>
        <v>4.3036012412418709E-2</v>
      </c>
      <c r="J459" s="53" cm="1">
        <f t="array" ref="J459">IF(D459="G",I459/AJ459,I459/Q459)</f>
        <v>5.9772239461692656E-4</v>
      </c>
      <c r="K459" s="52" cm="1">
        <f t="array" ref="K459">IF(Settings!$E$18="C/LW/RW",VLOOKUP(B459,RW!A1:F210,6,FALSE),VLOOKUP(B459,F!A1:F407,6,FALSE))</f>
        <v>-6.844198589396659</v>
      </c>
      <c r="L459" s="54" cm="1">
        <f t="array" ref="L459">IFERROR(K459/H459,"N/A")</f>
        <v>-1.0950717743034655</v>
      </c>
      <c r="M459" s="55">
        <v>129.69999999999999</v>
      </c>
      <c r="N459" s="55" cm="1">
        <f t="array" ref="N459">IFERROR(M459-A459,"N/A")</f>
        <v>-320.3</v>
      </c>
      <c r="O459" s="55"/>
      <c r="P459" s="56" cm="1">
        <f t="array" ref="P459">_xlfn.XLOOKUP($B459,ADP!A2:A671,ADP!G2:G671)</f>
        <v>0</v>
      </c>
      <c r="Q459" s="57" cm="1">
        <f t="array" ref="Q459">IF(Settings!$E$12="YES",VLOOKUP(B459,'Player Data'!A1:E673,5,FALSE),84)</f>
        <v>72</v>
      </c>
      <c r="R459" s="81" cm="1">
        <f t="array" ref="R459">VLOOKUP(B459,'Player Data'!$A1:$AE673,6,FALSE)</f>
        <v>15</v>
      </c>
      <c r="S459" s="57" cm="1">
        <f t="array" ref="S459">VLOOKUP(B459,'Player Data'!$A1:$AE673,7,FALSE)*$Q459*IFERROR((VLOOKUP(P459,Settings!$E$28:$F$33,2,FALSE)+1),1)</f>
        <v>20.160000000000004</v>
      </c>
      <c r="T459" s="57" cm="1">
        <f t="array" ref="T459">VLOOKUP(B459,'Player Data'!$A1:$AE673,8,FALSE)*$Q459*IFERROR((VLOOKUP(P459,Settings!$E$28:$F$33,2,FALSE)+1),1)</f>
        <v>21.599999999999998</v>
      </c>
      <c r="U459" s="57" cm="1">
        <f t="array" ref="U459">SUM(S459:T459)</f>
        <v>41.760000000000005</v>
      </c>
      <c r="V459" s="57" cm="1">
        <f t="array" ref="V459">VLOOKUP(B459,'Player Data'!$A1:$AE673,10,FALSE)*$Q459*IFERROR(((VLOOKUP(P459,Settings!$E$28:$F$33,2,FALSE)/2)+1),1)</f>
        <v>149.76</v>
      </c>
      <c r="W459" s="57" cm="1">
        <f t="array" ref="W459">VLOOKUP(B459,'Player Data'!$A1:$AE673,11,FALSE)*$Q459*IFERROR((VLOOKUP(P459,Settings!$E$28:$F$33,2,FALSE)+1),1)</f>
        <v>2.16</v>
      </c>
      <c r="X459" s="57" cm="1">
        <f t="array" ref="X459">VLOOKUP(B459,'Player Data'!$A1:$AE673,12,FALSE)*$Q459*IFERROR((VLOOKUP(P459,Settings!$E$28:$F$33,2,FALSE)+1),1)</f>
        <v>5.0400000000000009</v>
      </c>
      <c r="Y459" s="57" cm="1">
        <f t="array" ref="Y459">VLOOKUP(B459,'Player Data'!$A1:$AE673,13,FALSE)*$Q459</f>
        <v>0</v>
      </c>
      <c r="Z459" s="57" cm="1">
        <f t="array" ref="Z459">VLOOKUP(B459,'Player Data'!$A1:$AE673,14,FALSE)*$Q459</f>
        <v>0</v>
      </c>
      <c r="AA459" s="57" cm="1">
        <f t="array" ref="AA459">VLOOKUP(B459,'Player Data'!$A1:$AE673,15,FALSE)*$Q459</f>
        <v>32.4</v>
      </c>
      <c r="AB459" s="57" cm="1">
        <f t="array" ref="AB459">VLOOKUP(B459,'Player Data'!$A1:$AE673,16,FALSE)*$Q459</f>
        <v>64.08</v>
      </c>
      <c r="AC459" s="57" cm="1">
        <f t="array" ref="AC459">VLOOKUP(B459,'Player Data'!$A1:$AE673,17,FALSE)*$Q459*IFERROR((VLOOKUP(P459,Settings!$E$28:$F$33,2,FALSE)+1),1)</f>
        <v>0</v>
      </c>
      <c r="AD459" s="57" cm="1">
        <f t="array" ref="AD459">VLOOKUP(B459,'Player Data'!$A1:$AE673,18,FALSE)*$Q459</f>
        <v>15.12</v>
      </c>
      <c r="AE459" s="57" cm="1">
        <f t="array" ref="AE459">VLOOKUP(B459,'Player Data'!$A1:$AE673,19,FALSE)*$Q459*IFERROR((VLOOKUP(P459,Settings!$E$28:$F$33,2,FALSE)+1),1)</f>
        <v>2.88</v>
      </c>
      <c r="AF459" s="57" cm="1">
        <f t="array" ref="AF459">VLOOKUP(B459,'Player Data'!$A1:$AE673,20,FALSE)*$Q459</f>
        <v>2.16</v>
      </c>
      <c r="AG459" s="57" cm="1">
        <f t="array" ref="AG459">VLOOKUP(B459,'Player Data'!$A1:$AE673,21,FALSE)*$Q459</f>
        <v>8.64</v>
      </c>
      <c r="AH459" s="59" cm="1">
        <f t="array" ref="AH459">VLOOKUP(B459,'Player Data'!$A1:$AE673,22,FALSE)</f>
        <v>0.19</v>
      </c>
      <c r="AI459" s="55"/>
      <c r="AJ459" s="57"/>
      <c r="AK459" s="57"/>
      <c r="AL459" s="57"/>
      <c r="AM459" s="57"/>
      <c r="AN459" s="57"/>
      <c r="AO459" s="57"/>
      <c r="AP459" s="57"/>
      <c r="AQ459" s="60"/>
      <c r="AR459" s="61"/>
      <c r="AS459" s="55"/>
    </row>
    <row r="460" spans="1:45" ht="21.25" customHeight="1" x14ac:dyDescent="0.15">
      <c r="A460" s="62">
        <f>RANK(K460,K$2:K$671)</f>
        <v>452</v>
      </c>
      <c r="B460" s="10" t="s">
        <v>494</v>
      </c>
      <c r="C460" s="47" t="s">
        <v>145</v>
      </c>
      <c r="D460" s="48" t="str" cm="1">
        <f t="array" ref="D460">VLOOKUP(B460,'Player Data'!A1:D673,4,FALSE)</f>
        <v>LW,RW</v>
      </c>
      <c r="E460" s="74" cm="1">
        <f t="array" ref="E460">VLOOKUP(B460,RW!A1:F210,3,FALSE)</f>
        <v>108</v>
      </c>
      <c r="F460" s="65" t="str" cm="1">
        <f t="array" ref="F460">VLOOKUP(B460,'Player Data'!A1:B673,2,FALSE)</f>
        <v>NSH</v>
      </c>
      <c r="G460" s="66" cm="1">
        <f t="array" ref="G460">VLOOKUP(B460,'Player Data'!A1:D673,3,FALSE)</f>
        <v>35</v>
      </c>
      <c r="H460" s="51" cm="1">
        <f t="array" ref="H460">IFERROR(VLOOKUP(B460,ADP!A1:F671,6,FALSE)/1000000,VLOOKUP(B460,ADP!A1:F671,6,FALSE))</f>
        <v>5.5</v>
      </c>
      <c r="I460" s="52">
        <f>IF(Settings!$E$15="POINTS",((R460*Q460)*Settings!$B$12)+(S460*Settings!$B$2)+(T460*Settings!$B$3)+(U460*Settings!$B$4)+(V460*Settings!$B$5)+(X460*Settings!$B$9)+(AA460*Settings!$B$6)+(W460*Settings!$B$8)+(AB460*Settings!$B$7)+(AC460*Settings!$B$14)+(AD460*Settings!$B$15)+(AE460*Settings!$B$16)+(AF460*Settings!$B$17)+(AG460*Settings!$B$18)+(Y460*Settings!$B$10)+(Z460*Settings!$B$11),VLOOKUP(B460,'Standard Deviations'!A$1:C$672,3,FALSE))</f>
        <v>4.0514667757939105E-2</v>
      </c>
      <c r="J460" s="53" cm="1">
        <f t="array" ref="J460">IF(D460="G",I460/AJ460,I460/Q460)</f>
        <v>5.0643334697423876E-4</v>
      </c>
      <c r="K460" s="52" cm="1">
        <f t="array" ref="K460">IF(Settings!$E$18="C/LW/RW",VLOOKUP(B460,RW!A1:F210,6,FALSE),VLOOKUP(B460,F!A1:F407,6,FALSE))</f>
        <v>-6.8467199340511389</v>
      </c>
      <c r="L460" s="54" cm="1">
        <f t="array" ref="L460">IFERROR(K460/H460,"N/A")</f>
        <v>-1.2448581698274799</v>
      </c>
      <c r="M460" s="84" t="s">
        <v>828</v>
      </c>
      <c r="N460" s="84" t="str" cm="1">
        <f t="array" ref="N460">IFERROR(M460-A460,"N/A")</f>
        <v>N/A</v>
      </c>
      <c r="O460" s="55"/>
      <c r="P460" s="56" cm="1">
        <f t="array" ref="P460">_xlfn.XLOOKUP($B460,ADP!A2:A671,ADP!G2:G671)</f>
        <v>0</v>
      </c>
      <c r="Q460" s="57" cm="1">
        <f t="array" ref="Q460">IF(Settings!$E$12="YES",VLOOKUP(B460,'Player Data'!A1:E673,5,FALSE),84)</f>
        <v>80</v>
      </c>
      <c r="R460" s="83" cm="1">
        <f t="array" ref="R460">VLOOKUP(B460,'Player Data'!$A1:$AE673,6,FALSE)</f>
        <v>15.4</v>
      </c>
      <c r="S460" s="57" cm="1">
        <f t="array" ref="S460">VLOOKUP(B460,'Player Data'!$A1:$AE673,7,FALSE)*$Q460*IFERROR((VLOOKUP(P460,Settings!$E$28:$F$33,2,FALSE)+1),1)</f>
        <v>16.8</v>
      </c>
      <c r="T460" s="57" cm="1">
        <f t="array" ref="T460">VLOOKUP(B460,'Player Data'!$A1:$AE673,8,FALSE)*$Q460*IFERROR((VLOOKUP(P460,Settings!$E$28:$F$33,2,FALSE)+1),1)</f>
        <v>23.2</v>
      </c>
      <c r="U460" s="57" cm="1">
        <f t="array" ref="U460">SUM(S460:T460)</f>
        <v>40</v>
      </c>
      <c r="V460" s="57" cm="1">
        <f t="array" ref="V460">VLOOKUP(B460,'Player Data'!$A1:$AE673,10,FALSE)*$Q460*IFERROR(((VLOOKUP(P460,Settings!$E$28:$F$33,2,FALSE)/2)+1),1)</f>
        <v>168</v>
      </c>
      <c r="W460" s="57" cm="1">
        <f t="array" ref="W460">VLOOKUP(B460,'Player Data'!$A1:$AE673,11,FALSE)*$Q460*IFERROR((VLOOKUP(P460,Settings!$E$28:$F$33,2,FALSE)+1),1)</f>
        <v>3.2</v>
      </c>
      <c r="X460" s="78" cm="1">
        <f t="array" ref="X460">VLOOKUP(B460,'Player Data'!$A1:$AE673,12,FALSE)*$Q460*IFERROR((VLOOKUP(P460,Settings!$E$28:$F$33,2,FALSE)+1),1)</f>
        <v>10.4</v>
      </c>
      <c r="Y460" s="57" cm="1">
        <f t="array" ref="Y460">VLOOKUP(B460,'Player Data'!$A1:$AE673,13,FALSE)*$Q460</f>
        <v>0</v>
      </c>
      <c r="Z460" s="57" cm="1">
        <f t="array" ref="Z460">VLOOKUP(B460,'Player Data'!$A1:$AE673,14,FALSE)*$Q460</f>
        <v>0</v>
      </c>
      <c r="AA460" s="57" cm="1">
        <f t="array" ref="AA460">VLOOKUP(B460,'Player Data'!$A1:$AE673,15,FALSE)*$Q460</f>
        <v>18.400000000000002</v>
      </c>
      <c r="AB460" s="57" cm="1">
        <f t="array" ref="AB460">VLOOKUP(B460,'Player Data'!$A1:$AE673,16,FALSE)*$Q460</f>
        <v>84</v>
      </c>
      <c r="AC460" s="57" cm="1">
        <f t="array" ref="AC460">VLOOKUP(B460,'Player Data'!$A1:$AE673,17,FALSE)*$Q460*IFERROR((VLOOKUP(P460,Settings!$E$28:$F$33,2,FALSE)+1),1)</f>
        <v>-4.8</v>
      </c>
      <c r="AD460" s="57" cm="1">
        <f t="array" ref="AD460">VLOOKUP(B460,'Player Data'!$A1:$AE673,18,FALSE)*$Q460</f>
        <v>29.6</v>
      </c>
      <c r="AE460" s="57" cm="1">
        <f t="array" ref="AE460">VLOOKUP(B460,'Player Data'!$A1:$AE673,19,FALSE)*$Q460*IFERROR((VLOOKUP(P460,Settings!$E$28:$F$33,2,FALSE)+1),1)</f>
        <v>2.4</v>
      </c>
      <c r="AF460" s="57" cm="1">
        <f t="array" ref="AF460">VLOOKUP(B460,'Player Data'!$A1:$AE673,20,FALSE)*$Q460</f>
        <v>13.600000000000001</v>
      </c>
      <c r="AG460" s="57" cm="1">
        <f t="array" ref="AG460">VLOOKUP(B460,'Player Data'!$A1:$AE673,21,FALSE)*$Q460</f>
        <v>32</v>
      </c>
      <c r="AH460" s="59" cm="1">
        <f t="array" ref="AH460">VLOOKUP(B460,'Player Data'!$A1:$AE673,22,FALSE)</f>
        <v>0.3</v>
      </c>
      <c r="AI460" s="55"/>
      <c r="AJ460" s="57"/>
      <c r="AK460" s="57"/>
      <c r="AL460" s="57"/>
      <c r="AM460" s="57"/>
      <c r="AN460" s="57"/>
      <c r="AO460" s="57"/>
      <c r="AP460" s="57"/>
      <c r="AQ460" s="60"/>
      <c r="AR460" s="61"/>
      <c r="AS460" s="55"/>
    </row>
    <row r="461" spans="1:45" ht="21.25" customHeight="1" x14ac:dyDescent="0.15">
      <c r="A461" s="62">
        <f>RANK(K461,K$2:K$671)</f>
        <v>454</v>
      </c>
      <c r="B461" s="10" t="s">
        <v>347</v>
      </c>
      <c r="C461" s="47" t="s">
        <v>145</v>
      </c>
      <c r="D461" s="48" t="str" cm="1">
        <f t="array" ref="D461">VLOOKUP(B461,'Player Data'!A1:D673,4,FALSE)</f>
        <v>LW,RW</v>
      </c>
      <c r="E461" s="74" cm="1">
        <f t="array" ref="E461">VLOOKUP(B461,RW!A1:F210,3,FALSE)</f>
        <v>109</v>
      </c>
      <c r="F461" s="63" t="str" cm="1">
        <f t="array" ref="F461">VLOOKUP(B461,'Player Data'!A1:B673,2,FALSE)</f>
        <v>CGY</v>
      </c>
      <c r="G461" s="71" cm="1">
        <f t="array" ref="G461">VLOOKUP(B461,'Player Data'!A1:D673,3,FALSE)</f>
        <v>20</v>
      </c>
      <c r="H461" s="51" cm="1">
        <f t="array" ref="H461">IFERROR(VLOOKUP(B461,ADP!A1:F671,6,FALSE)/1000000,VLOOKUP(B461,ADP!A1:F671,6,FALSE))</f>
        <v>0.95374999999999999</v>
      </c>
      <c r="I461" s="52">
        <f>IF(Settings!$E$15="POINTS",((R461*Q461)*Settings!$B$12)+(S461*Settings!$B$2)+(T461*Settings!$B$3)+(U461*Settings!$B$4)+(V461*Settings!$B$5)+(X461*Settings!$B$9)+(AA461*Settings!$B$6)+(W461*Settings!$B$8)+(AB461*Settings!$B$7)+(AC461*Settings!$B$14)+(AD461*Settings!$B$15)+(AE461*Settings!$B$16)+(AF461*Settings!$B$17)+(AG461*Settings!$B$18)+(Y461*Settings!$B$10)+(Z461*Settings!$B$11),VLOOKUP(B461,'Standard Deviations'!A$1:C$672,3,FALSE))</f>
        <v>2.8593388043536283E-2</v>
      </c>
      <c r="J461" s="53" cm="1">
        <f t="array" ref="J461">IF(D461="G",I461/AJ461,I461/Q461)</f>
        <v>3.863971357234633E-4</v>
      </c>
      <c r="K461" s="52" cm="1">
        <f t="array" ref="K461">IF(Settings!$E$18="C/LW/RW",VLOOKUP(B461,RW!A1:F210,6,FALSE),VLOOKUP(B461,F!A1:F407,6,FALSE))</f>
        <v>-6.8586412137655408</v>
      </c>
      <c r="L461" s="54" cm="1">
        <f t="array" ref="L461">IFERROR(K461/H461,"N/A")</f>
        <v>-7.1912358728865433</v>
      </c>
      <c r="M461" s="84" t="s">
        <v>828</v>
      </c>
      <c r="N461" s="84" t="str" cm="1">
        <f t="array" ref="N461">IFERROR(M461-A461,"N/A")</f>
        <v>N/A</v>
      </c>
      <c r="O461" s="55"/>
      <c r="P461" s="56" cm="1">
        <f t="array" ref="P461">_xlfn.XLOOKUP($B461,ADP!A2:A671,ADP!G2:G671)</f>
        <v>0</v>
      </c>
      <c r="Q461" s="57" cm="1">
        <f t="array" ref="Q461">IF(Settings!$E$12="YES",VLOOKUP(B461,'Player Data'!A1:E673,5,FALSE),84)</f>
        <v>74</v>
      </c>
      <c r="R461" s="81" cm="1">
        <f t="array" ref="R461">VLOOKUP(B461,'Player Data'!$A1:$AE673,6,FALSE)</f>
        <v>16.899999999999999</v>
      </c>
      <c r="S461" s="57" cm="1">
        <f t="array" ref="S461">VLOOKUP(B461,'Player Data'!$A1:$AE673,7,FALSE)*$Q461*IFERROR((VLOOKUP(P461,Settings!$E$28:$F$33,2,FALSE)+1),1)</f>
        <v>18.5</v>
      </c>
      <c r="T461" s="57" cm="1">
        <f t="array" ref="T461">VLOOKUP(B461,'Player Data'!$A1:$AE673,8,FALSE)*$Q461*IFERROR((VLOOKUP(P461,Settings!$E$28:$F$33,2,FALSE)+1),1)</f>
        <v>34.04</v>
      </c>
      <c r="U461" s="57" cm="1">
        <f t="array" ref="U461">SUM(S461:T461)</f>
        <v>52.54</v>
      </c>
      <c r="V461" s="57" cm="1">
        <f t="array" ref="V461">VLOOKUP(B461,'Player Data'!$A1:$AE673,10,FALSE)*$Q461*IFERROR(((VLOOKUP(P461,Settings!$E$28:$F$33,2,FALSE)/2)+1),1)</f>
        <v>162.06</v>
      </c>
      <c r="W461" s="57" cm="1">
        <f t="array" ref="W461">VLOOKUP(B461,'Player Data'!$A1:$AE673,11,FALSE)*$Q461*IFERROR((VLOOKUP(P461,Settings!$E$28:$F$33,2,FALSE)+1),1)</f>
        <v>5.1800000000000006</v>
      </c>
      <c r="X461" s="78" cm="1">
        <f t="array" ref="X461">VLOOKUP(B461,'Player Data'!$A1:$AE673,12,FALSE)*$Q461*IFERROR((VLOOKUP(P461,Settings!$E$28:$F$33,2,FALSE)+1),1)</f>
        <v>19.98</v>
      </c>
      <c r="Y461" s="57" cm="1">
        <f t="array" ref="Y461">VLOOKUP(B461,'Player Data'!$A1:$AE673,13,FALSE)*$Q461</f>
        <v>0</v>
      </c>
      <c r="Z461" s="57" cm="1">
        <f t="array" ref="Z461">VLOOKUP(B461,'Player Data'!$A1:$AE673,14,FALSE)*$Q461</f>
        <v>0</v>
      </c>
      <c r="AA461" s="57" cm="1">
        <f t="array" ref="AA461">VLOOKUP(B461,'Player Data'!$A1:$AE673,15,FALSE)*$Q461</f>
        <v>51.8</v>
      </c>
      <c r="AB461" s="57" cm="1">
        <f t="array" ref="AB461">VLOOKUP(B461,'Player Data'!$A1:$AE673,16,FALSE)*$Q461</f>
        <v>39.22</v>
      </c>
      <c r="AC461" s="57" cm="1">
        <f t="array" ref="AC461">VLOOKUP(B461,'Player Data'!$A1:$AE673,17,FALSE)*$Q461*IFERROR((VLOOKUP(P461,Settings!$E$28:$F$33,2,FALSE)+1),1)</f>
        <v>-8.879999999999999</v>
      </c>
      <c r="AD461" s="57" cm="1">
        <f t="array" ref="AD461">VLOOKUP(B461,'Player Data'!$A1:$AE673,18,FALSE)*$Q461</f>
        <v>19.240000000000002</v>
      </c>
      <c r="AE461" s="57" cm="1">
        <f t="array" ref="AE461">VLOOKUP(B461,'Player Data'!$A1:$AE673,19,FALSE)*$Q461*IFERROR((VLOOKUP(P461,Settings!$E$28:$F$33,2,FALSE)+1),1)</f>
        <v>2.96</v>
      </c>
      <c r="AF461" s="57" cm="1">
        <f t="array" ref="AF461">VLOOKUP(B461,'Player Data'!$A1:$AE673,20,FALSE)*$Q461</f>
        <v>6.66</v>
      </c>
      <c r="AG461" s="57" cm="1">
        <f t="array" ref="AG461">VLOOKUP(B461,'Player Data'!$A1:$AE673,21,FALSE)*$Q461</f>
        <v>31.08</v>
      </c>
      <c r="AH461" s="59" cm="1">
        <f t="array" ref="AH461">VLOOKUP(B461,'Player Data'!$A1:$AE673,22,FALSE)</f>
        <v>0.18</v>
      </c>
      <c r="AI461" s="55"/>
      <c r="AJ461" s="57"/>
      <c r="AK461" s="57"/>
      <c r="AL461" s="57"/>
      <c r="AM461" s="57"/>
      <c r="AN461" s="57"/>
      <c r="AO461" s="57"/>
      <c r="AP461" s="57"/>
      <c r="AQ461" s="60"/>
      <c r="AR461" s="61"/>
      <c r="AS461" s="55"/>
    </row>
    <row r="462" spans="1:45" ht="21.25" customHeight="1" x14ac:dyDescent="0.15">
      <c r="A462" s="62">
        <f>RANK(K462,K$2:K$671)</f>
        <v>458</v>
      </c>
      <c r="B462" s="10" t="s">
        <v>547</v>
      </c>
      <c r="C462" s="47" t="s">
        <v>145</v>
      </c>
      <c r="D462" s="48" t="str" cm="1">
        <f t="array" ref="D462">VLOOKUP(B462,'Player Data'!A1:D673,4,FALSE)</f>
        <v>LW,RW</v>
      </c>
      <c r="E462" s="74" cm="1">
        <f t="array" ref="E462">VLOOKUP(B462,RW!A1:F210,3,FALSE)</f>
        <v>110</v>
      </c>
      <c r="F462" s="69" t="str" cm="1">
        <f t="array" ref="F462">VLOOKUP(B462,'Player Data'!A1:B673,2,FALSE)</f>
        <v>N.J</v>
      </c>
      <c r="G462" s="11" cm="1">
        <f t="array" ref="G462">VLOOKUP(B462,'Player Data'!A1:D673,3,FALSE)</f>
        <v>25</v>
      </c>
      <c r="H462" s="51" cm="1">
        <f t="array" ref="H462">IFERROR(VLOOKUP(B462,ADP!A1:F671,6,FALSE)/1000000,VLOOKUP(B462,ADP!A1:F671,6,FALSE))</f>
        <v>3.25</v>
      </c>
      <c r="I462" s="52">
        <f>IF(Settings!$E$15="POINTS",((R462*Q462)*Settings!$B$12)+(S462*Settings!$B$2)+(T462*Settings!$B$3)+(U462*Settings!$B$4)+(V462*Settings!$B$5)+(X462*Settings!$B$9)+(AA462*Settings!$B$6)+(W462*Settings!$B$8)+(AB462*Settings!$B$7)+(AC462*Settings!$B$14)+(AD462*Settings!$B$15)+(AE462*Settings!$B$16)+(AF462*Settings!$B$17)+(AG462*Settings!$B$18)+(Y462*Settings!$B$10)+(Z462*Settings!$B$11),VLOOKUP(B462,'Standard Deviations'!A$1:C$672,3,FALSE))</f>
        <v>-1.3544900706919008E-2</v>
      </c>
      <c r="J462" s="53" cm="1">
        <f t="array" ref="J462">IF(D462="G",I462/AJ462,I462/Q462)</f>
        <v>-1.7590780138855854E-4</v>
      </c>
      <c r="K462" s="52" cm="1">
        <f t="array" ref="K462">IF(Settings!$E$18="C/LW/RW",VLOOKUP(B462,RW!A1:F210,6,FALSE),VLOOKUP(B462,F!A1:F407,6,FALSE))</f>
        <v>-6.9007795025159968</v>
      </c>
      <c r="L462" s="54" cm="1">
        <f t="array" ref="L462">IFERROR(K462/H462,"N/A")</f>
        <v>-2.123316770004922</v>
      </c>
      <c r="M462" s="84" t="s">
        <v>828</v>
      </c>
      <c r="N462" s="84" t="str" cm="1">
        <f t="array" ref="N462">IFERROR(M462-A462,"N/A")</f>
        <v>N/A</v>
      </c>
      <c r="O462" s="55"/>
      <c r="P462" s="56" t="str" cm="1">
        <f t="array" ref="P462">_xlfn.XLOOKUP($B462,ADP!A2:A671,ADP!G2:G671)</f>
        <v>+</v>
      </c>
      <c r="Q462" s="57" cm="1">
        <f t="array" ref="Q462">IF(Settings!$E$12="YES",VLOOKUP(B462,'Player Data'!A1:E673,5,FALSE),84)</f>
        <v>77</v>
      </c>
      <c r="R462" s="55" cm="1">
        <f t="array" ref="R462">VLOOKUP(B462,'Player Data'!$A1:$AE673,6,FALSE)</f>
        <v>14.4</v>
      </c>
      <c r="S462" s="57" cm="1">
        <f t="array" ref="S462">VLOOKUP(B462,'Player Data'!$A1:$AE673,7,FALSE)*$Q462*IFERROR((VLOOKUP(P462,Settings!$E$28:$F$33,2,FALSE)+1),1)</f>
        <v>15.361500000000001</v>
      </c>
      <c r="T462" s="57" cm="1">
        <f t="array" ref="T462">VLOOKUP(B462,'Player Data'!$A1:$AE673,8,FALSE)*$Q462*IFERROR((VLOOKUP(P462,Settings!$E$28:$F$33,2,FALSE)+1),1)</f>
        <v>21.829500000000003</v>
      </c>
      <c r="U462" s="57" cm="1">
        <f t="array" ref="U462">SUM(S462:T462)</f>
        <v>37.191000000000003</v>
      </c>
      <c r="V462" s="57" cm="1">
        <f t="array" ref="V462">VLOOKUP(B462,'Player Data'!$A1:$AE673,10,FALSE)*$Q462*IFERROR(((VLOOKUP(P462,Settings!$E$28:$F$33,2,FALSE)/2)+1),1)</f>
        <v>162.5855</v>
      </c>
      <c r="W462" s="57" cm="1">
        <f t="array" ref="W462">VLOOKUP(B462,'Player Data'!$A1:$AE673,11,FALSE)*$Q462*IFERROR((VLOOKUP(P462,Settings!$E$28:$F$33,2,FALSE)+1),1)</f>
        <v>2.4255</v>
      </c>
      <c r="X462" s="57" cm="1">
        <f t="array" ref="X462">VLOOKUP(B462,'Player Data'!$A1:$AE673,12,FALSE)*$Q462*IFERROR((VLOOKUP(P462,Settings!$E$28:$F$33,2,FALSE)+1),1)</f>
        <v>4.851</v>
      </c>
      <c r="Y462" s="57" cm="1">
        <f t="array" ref="Y462">VLOOKUP(B462,'Player Data'!$A1:$AE673,13,FALSE)*$Q462</f>
        <v>0</v>
      </c>
      <c r="Z462" s="57" cm="1">
        <f t="array" ref="Z462">VLOOKUP(B462,'Player Data'!$A1:$AE673,14,FALSE)*$Q462</f>
        <v>0</v>
      </c>
      <c r="AA462" s="57" cm="1">
        <f t="array" ref="AA462">VLOOKUP(B462,'Player Data'!$A1:$AE673,15,FALSE)*$Q462</f>
        <v>22.33</v>
      </c>
      <c r="AB462" s="57" cm="1">
        <f t="array" ref="AB462">VLOOKUP(B462,'Player Data'!$A1:$AE673,16,FALSE)*$Q462</f>
        <v>65.45</v>
      </c>
      <c r="AC462" s="57" cm="1">
        <f t="array" ref="AC462">VLOOKUP(B462,'Player Data'!$A1:$AE673,17,FALSE)*$Q462*IFERROR((VLOOKUP(P462,Settings!$E$28:$F$33,2,FALSE)+1),1)</f>
        <v>0.80850000000000011</v>
      </c>
      <c r="AD462" s="57" cm="1">
        <f t="array" ref="AD462">VLOOKUP(B462,'Player Data'!$A1:$AE673,18,FALSE)*$Q462</f>
        <v>28.49</v>
      </c>
      <c r="AE462" s="57" cm="1">
        <f t="array" ref="AE462">VLOOKUP(B462,'Player Data'!$A1:$AE673,19,FALSE)*$Q462*IFERROR((VLOOKUP(P462,Settings!$E$28:$F$33,2,FALSE)+1),1)</f>
        <v>2.4255</v>
      </c>
      <c r="AF462" s="57" cm="1">
        <f t="array" ref="AF462">VLOOKUP(B462,'Player Data'!$A1:$AE673,20,FALSE)*$Q462</f>
        <v>4.62</v>
      </c>
      <c r="AG462" s="57" cm="1">
        <f t="array" ref="AG462">VLOOKUP(B462,'Player Data'!$A1:$AE673,21,FALSE)*$Q462</f>
        <v>10.01</v>
      </c>
      <c r="AH462" s="59" cm="1">
        <f t="array" ref="AH462">VLOOKUP(B462,'Player Data'!$A1:$AE673,22,FALSE)</f>
        <v>0.31</v>
      </c>
      <c r="AI462" s="55"/>
      <c r="AJ462" s="57"/>
      <c r="AK462" s="57"/>
      <c r="AL462" s="57"/>
      <c r="AM462" s="57"/>
      <c r="AN462" s="57"/>
      <c r="AO462" s="57"/>
      <c r="AP462" s="57"/>
      <c r="AQ462" s="60"/>
      <c r="AR462" s="61"/>
      <c r="AS462" s="55"/>
    </row>
    <row r="463" spans="1:45" ht="21.25" customHeight="1" x14ac:dyDescent="0.15">
      <c r="A463" s="62">
        <f>RANK(K463,K$2:K$671)</f>
        <v>500</v>
      </c>
      <c r="B463" s="10" t="s">
        <v>660</v>
      </c>
      <c r="C463" s="47" t="s">
        <v>145</v>
      </c>
      <c r="D463" s="48" t="str" cm="1">
        <f t="array" ref="D463">VLOOKUP(B463,'Player Data'!A1:D673,4,FALSE)</f>
        <v>G</v>
      </c>
      <c r="E463" s="76" cm="1">
        <f t="array" ref="E463">VLOOKUP(B463,G!A1:D66,3,FALSE)</f>
        <v>61</v>
      </c>
      <c r="F463" s="72" t="str" cm="1">
        <f t="array" ref="F463">VLOOKUP(B463,'Player Data'!A1:B673,2,FALSE)</f>
        <v>NYI</v>
      </c>
      <c r="G463" s="11" cm="1">
        <f t="array" ref="G463">VLOOKUP(B463,'Player Data'!A1:D673,3,FALSE)</f>
        <v>30</v>
      </c>
      <c r="H463" s="67" cm="1">
        <f t="array" ref="H463">IFERROR(VLOOKUP(B463,ADP!A1:F671,6,FALSE)/1000000,VLOOKUP(B463,ADP!A1:F671,6,FALSE))</f>
        <v>1</v>
      </c>
      <c r="I463" s="52">
        <f>IF(Settings!$E$15="POINTS",(AJ463*Settings!$B$29)+(AK463*Settings!$B$21)+(AL463*Settings!$B$22)+(AN463*Settings!$B$24)+(AO463*Settings!$B$25)+(AP463*Settings!$B$27)+(AM463*Settings!$B$23),VLOOKUP(B463,'Standard Deviations'!A$1:C$672,3,FALSE))</f>
        <v>-5.6170739300860859</v>
      </c>
      <c r="J463" s="53" cm="1">
        <f t="array" ref="J463">IF(D463="G",I463/AJ463,I463/Q463)</f>
        <v>-0.22468295720344345</v>
      </c>
      <c r="K463" s="52" cm="1">
        <f t="array" ref="K463">VLOOKUP(B463,G!A1:F66,6,FALSE)</f>
        <v>-7.6552591892097608</v>
      </c>
      <c r="L463" s="54" cm="1">
        <f t="array" ref="L463">IFERROR(K463/H463,"N/A")</f>
        <v>-7.6552591892097608</v>
      </c>
      <c r="M463" s="84" t="s">
        <v>828</v>
      </c>
      <c r="N463" s="84" t="str" cm="1">
        <f t="array" ref="N463">IFERROR(M463-A463,"N/A")</f>
        <v>N/A</v>
      </c>
      <c r="O463" s="55"/>
      <c r="P463" s="56" cm="1">
        <f t="array" ref="P463">_xlfn.XLOOKUP($B463,ADP!A2:A671,ADP!G2:G671)</f>
        <v>0</v>
      </c>
      <c r="Q463" s="57"/>
      <c r="R463" s="55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9"/>
      <c r="AI463" s="55"/>
      <c r="AJ463" s="77" cm="1">
        <f t="array" ref="AJ463">VLOOKUP(B463,'Player Data'!$A1:$AE673,24,FALSE)</f>
        <v>25</v>
      </c>
      <c r="AK463" s="57" cm="1">
        <f t="array" ref="AK463">VLOOKUP(B463,'Player Data'!$A1:$AE673,25,FALSE)*$AJ463*IFERROR((VLOOKUP(P463,Settings!$E$28:$F$33,2,FALSE)+1),1)</f>
        <v>10.75</v>
      </c>
      <c r="AL463" s="57" cm="1">
        <f t="array" ref="AL463">AJ463-AK463-AM463</f>
        <v>10.75</v>
      </c>
      <c r="AM463" s="57" cm="1">
        <f t="array" ref="AM463">VLOOKUP(B463,'Player Data'!$A1:$AE673,27,FALSE)*$AJ463</f>
        <v>3.5000000000000004</v>
      </c>
      <c r="AN463" s="57" cm="1">
        <f t="array" ref="AN463">VLOOKUP(B463,'Player Data'!$A1:$AE673,28,FALSE)*AJ463</f>
        <v>0.75</v>
      </c>
      <c r="AO463" s="57" cm="1">
        <f t="array" ref="AO463">VLOOKUP(B463,'Player Data'!$A1:$AE673,29,FALSE)*$AJ463*IFERROR((VLOOKUP(P463,Settings!$E$28:$F$33,2,FALSE)/4)+1,1)</f>
        <v>637.5</v>
      </c>
      <c r="AP463" s="57" cm="1">
        <f t="array" ref="AP463">VLOOKUP(B463,'Player Data'!$A1:$AE673,31,FALSE)*$AJ463*(IFERROR(1-(VLOOKUP(P463,Settings!$E$28:$F$33,2,FALSE)/4),1))</f>
        <v>77.5</v>
      </c>
      <c r="AQ463" s="60" cm="1">
        <f t="array" ref="AQ463">1-(AP463/(AO463+AP463))</f>
        <v>0.89160839160839167</v>
      </c>
      <c r="AR463" s="61" cm="1">
        <f t="array" ref="AR463">AP463/AJ463</f>
        <v>3.1</v>
      </c>
      <c r="AS463" s="55"/>
    </row>
    <row r="464" spans="1:45" ht="21.25" customHeight="1" x14ac:dyDescent="0.15">
      <c r="A464" s="62">
        <f>RANK(K464,K$2:K$671)</f>
        <v>461</v>
      </c>
      <c r="B464" s="10" t="s">
        <v>438</v>
      </c>
      <c r="C464" s="47" t="s">
        <v>145</v>
      </c>
      <c r="D464" s="48" t="str" cm="1">
        <f t="array" ref="D464">VLOOKUP(B464,'Player Data'!A1:D673,4,FALSE)</f>
        <v>LW</v>
      </c>
      <c r="E464" s="75" cm="1">
        <f t="array" ref="E464">VLOOKUP(B464,LW!A1:C210,3,FALSE)</f>
        <v>112</v>
      </c>
      <c r="F464" s="50" t="str" cm="1">
        <f t="array" ref="F464">VLOOKUP(B464,'Player Data'!A1:B673,2,FALSE)</f>
        <v>ANA</v>
      </c>
      <c r="G464" s="66" cm="1">
        <f t="array" ref="G464">VLOOKUP(B464,'Player Data'!A1:D673,3,FALSE)</f>
        <v>35</v>
      </c>
      <c r="H464" s="67" cm="1">
        <f t="array" ref="H464">IFERROR(VLOOKUP(B464,ADP!A1:F671,6,FALSE)/1000000,VLOOKUP(B464,ADP!A1:F671,6,FALSE))</f>
        <v>6.5</v>
      </c>
      <c r="I464" s="52">
        <f>IF(Settings!$E$15="POINTS",((R464*Q464)*Settings!$B$12)+(S464*Settings!$B$2)+(T464*Settings!$B$3)+(U464*Settings!$B$4)+(V464*Settings!$B$5)+(X464*Settings!$B$9)+(AA464*Settings!$B$6)+(W464*Settings!$B$8)+(AB464*Settings!$B$7)+(AC464*Settings!$B$14)+(AD464*Settings!$B$15)+(AE464*Settings!$B$16)+(AF464*Settings!$B$17)+(AG464*Settings!$B$18)+(Y464*Settings!$B$10)+(Z464*Settings!$B$11),VLOOKUP(B464,'Standard Deviations'!A$1:C$672,3,FALSE))</f>
        <v>-0.11116062319155884</v>
      </c>
      <c r="J464" s="53" cm="1">
        <f t="array" ref="J464">IF(D464="G",I464/AJ464,I464/Q464)</f>
        <v>-1.3723533727352942E-3</v>
      </c>
      <c r="K464" s="52" cm="1">
        <f t="array" ref="K464">IF(Settings!$E$18="C/LW/RW",VLOOKUP(B464,LW!A1:F210,6,FALSE),VLOOKUP(B464,F!A1:F407,6,FALSE))</f>
        <v>-7.0055462675813684</v>
      </c>
      <c r="L464" s="54" cm="1">
        <f t="array" ref="L464">IFERROR(K464/H464,"N/A")</f>
        <v>-1.077776348858672</v>
      </c>
      <c r="M464" s="84" t="s">
        <v>828</v>
      </c>
      <c r="N464" s="84" t="str" cm="1">
        <f t="array" ref="N464">IFERROR(M464-A464,"N/A")</f>
        <v>N/A</v>
      </c>
      <c r="O464" s="55"/>
      <c r="P464" s="56" cm="1">
        <f t="array" ref="P464">_xlfn.XLOOKUP($B464,ADP!A2:A671,ADP!G2:G671)</f>
        <v>0</v>
      </c>
      <c r="Q464" s="57" cm="1">
        <f t="array" ref="Q464">IF(Settings!$E$12="YES",VLOOKUP(B464,'Player Data'!A1:E673,5,FALSE),84)</f>
        <v>81</v>
      </c>
      <c r="R464" s="55" cm="1">
        <f t="array" ref="R464">VLOOKUP(B464,'Player Data'!$A1:$AE673,6,FALSE)</f>
        <v>16.8</v>
      </c>
      <c r="S464" s="57" cm="1">
        <f t="array" ref="S464">VLOOKUP(B464,'Player Data'!$A1:$AE673,7,FALSE)*$Q464*IFERROR((VLOOKUP(P464,Settings!$E$28:$F$33,2,FALSE)+1),1)</f>
        <v>18.630000000000003</v>
      </c>
      <c r="T464" s="57" cm="1">
        <f t="array" ref="T464">VLOOKUP(B464,'Player Data'!$A1:$AE673,8,FALSE)*$Q464*IFERROR((VLOOKUP(P464,Settings!$E$28:$F$33,2,FALSE)+1),1)</f>
        <v>20.25</v>
      </c>
      <c r="U464" s="57" cm="1">
        <f t="array" ref="U464">SUM(S464:T464)</f>
        <v>38.880000000000003</v>
      </c>
      <c r="V464" s="57" cm="1">
        <f t="array" ref="V464">VLOOKUP(B464,'Player Data'!$A1:$AE673,10,FALSE)*$Q464*IFERROR(((VLOOKUP(P464,Settings!$E$28:$F$33,2,FALSE)/2)+1),1)</f>
        <v>144.18</v>
      </c>
      <c r="W464" s="57" cm="1">
        <f t="array" ref="W464">VLOOKUP(B464,'Player Data'!$A1:$AE673,11,FALSE)*$Q464*IFERROR((VLOOKUP(P464,Settings!$E$28:$F$33,2,FALSE)+1),1)</f>
        <v>4.05</v>
      </c>
      <c r="X464" s="78" cm="1">
        <f t="array" ref="X464">VLOOKUP(B464,'Player Data'!$A1:$AE673,12,FALSE)*$Q464*IFERROR((VLOOKUP(P464,Settings!$E$28:$F$33,2,FALSE)+1),1)</f>
        <v>6.48</v>
      </c>
      <c r="Y464" s="57" cm="1">
        <f t="array" ref="Y464">VLOOKUP(B464,'Player Data'!$A1:$AE673,13,FALSE)*$Q464</f>
        <v>0.81</v>
      </c>
      <c r="Z464" s="57" cm="1">
        <f t="array" ref="Z464">VLOOKUP(B464,'Player Data'!$A1:$AE673,14,FALSE)*$Q464</f>
        <v>0.81</v>
      </c>
      <c r="AA464" s="57" cm="1">
        <f t="array" ref="AA464">VLOOKUP(B464,'Player Data'!$A1:$AE673,15,FALSE)*$Q464</f>
        <v>25.92</v>
      </c>
      <c r="AB464" s="57" cm="1">
        <f t="array" ref="AB464">VLOOKUP(B464,'Player Data'!$A1:$AE673,16,FALSE)*$Q464</f>
        <v>83.43</v>
      </c>
      <c r="AC464" s="57" cm="1">
        <f t="array" ref="AC464">VLOOKUP(B464,'Player Data'!$A1:$AE673,17,FALSE)*$Q464*IFERROR((VLOOKUP(P464,Settings!$E$28:$F$33,2,FALSE)+1),1)</f>
        <v>-1.62</v>
      </c>
      <c r="AD464" s="57" cm="1">
        <f t="array" ref="AD464">VLOOKUP(B464,'Player Data'!$A1:$AE673,18,FALSE)*$Q464</f>
        <v>30.78</v>
      </c>
      <c r="AE464" s="57" cm="1">
        <f t="array" ref="AE464">VLOOKUP(B464,'Player Data'!$A1:$AE673,19,FALSE)*$Q464*IFERROR((VLOOKUP(P464,Settings!$E$28:$F$33,2,FALSE)+1),1)</f>
        <v>2.4299999999999997</v>
      </c>
      <c r="AF464" s="57" cm="1">
        <f t="array" ref="AF464">VLOOKUP(B464,'Player Data'!$A1:$AE673,20,FALSE)*$Q464</f>
        <v>21.060000000000002</v>
      </c>
      <c r="AG464" s="57" cm="1">
        <f t="array" ref="AG464">VLOOKUP(B464,'Player Data'!$A1:$AE673,21,FALSE)*$Q464</f>
        <v>35.64</v>
      </c>
      <c r="AH464" s="59" cm="1">
        <f t="array" ref="AH464">VLOOKUP(B464,'Player Data'!$A1:$AE673,22,FALSE)</f>
        <v>0.37</v>
      </c>
      <c r="AI464" s="55"/>
      <c r="AJ464" s="57"/>
      <c r="AK464" s="57"/>
      <c r="AL464" s="57"/>
      <c r="AM464" s="57"/>
      <c r="AN464" s="57"/>
      <c r="AO464" s="57"/>
      <c r="AP464" s="57"/>
      <c r="AQ464" s="60"/>
      <c r="AR464" s="61"/>
      <c r="AS464" s="55"/>
    </row>
    <row r="465" spans="1:45" ht="21.25" customHeight="1" x14ac:dyDescent="0.15">
      <c r="A465" s="62">
        <f>RANK(K465,K$2:K$671)</f>
        <v>459</v>
      </c>
      <c r="B465" s="10" t="s">
        <v>634</v>
      </c>
      <c r="C465" s="47" t="s">
        <v>145</v>
      </c>
      <c r="D465" s="48" t="str" cm="1">
        <f t="array" ref="D465">VLOOKUP(B465,'Player Data'!A1:D673,4,FALSE)</f>
        <v>LW,RW</v>
      </c>
      <c r="E465" s="74" cm="1">
        <f t="array" ref="E465">VLOOKUP(B465,RW!A1:F210,3,FALSE)</f>
        <v>111</v>
      </c>
      <c r="F465" s="65" t="str" cm="1">
        <f t="array" ref="F465">VLOOKUP(B465,'Player Data'!A1:B673,2,FALSE)</f>
        <v>CAR</v>
      </c>
      <c r="G465" s="66" cm="1">
        <f t="array" ref="G465">VLOOKUP(B465,'Player Data'!A1:D673,3,FALSE)</f>
        <v>34</v>
      </c>
      <c r="H465" s="67" cm="1">
        <f t="array" ref="H465">IFERROR(VLOOKUP(B465,ADP!A1:F671,6,FALSE)/1000000,VLOOKUP(B465,ADP!A1:F671,6,FALSE))</f>
        <v>3.0750000000000002</v>
      </c>
      <c r="I465" s="52">
        <f>IF(Settings!$E$15="POINTS",((R465*Q465)*Settings!$B$12)+(S465*Settings!$B$2)+(T465*Settings!$B$3)+(U465*Settings!$B$4)+(V465*Settings!$B$5)+(X465*Settings!$B$9)+(AA465*Settings!$B$6)+(W465*Settings!$B$8)+(AB465*Settings!$B$7)+(AC465*Settings!$B$14)+(AD465*Settings!$B$15)+(AE465*Settings!$B$16)+(AF465*Settings!$B$17)+(AG465*Settings!$B$18)+(Y465*Settings!$B$10)+(Z465*Settings!$B$11),VLOOKUP(B465,'Standard Deviations'!A$1:C$672,3,FALSE))</f>
        <v>-5.7966698950750795E-2</v>
      </c>
      <c r="J465" s="53" cm="1">
        <f t="array" ref="J465">IF(D465="G",I465/AJ465,I465/Q465)</f>
        <v>-6.9839396326205774E-4</v>
      </c>
      <c r="K465" s="52" cm="1">
        <f t="array" ref="K465">IF(Settings!$E$18="C/LW/RW",VLOOKUP(B465,RW!A1:F210,6,FALSE),VLOOKUP(B465,F!A1:F407,6,FALSE))</f>
        <v>-6.9452013007598286</v>
      </c>
      <c r="L465" s="54" cm="1">
        <f t="array" ref="L465">IFERROR(K465/H465,"N/A")</f>
        <v>-2.2586020490275862</v>
      </c>
      <c r="M465" s="84" t="s">
        <v>828</v>
      </c>
      <c r="N465" s="84" t="str" cm="1">
        <f t="array" ref="N465">IFERROR(M465-A465,"N/A")</f>
        <v>N/A</v>
      </c>
      <c r="O465" s="55"/>
      <c r="P465" s="56" cm="1">
        <f t="array" ref="P465">_xlfn.XLOOKUP($B465,ADP!A2:A671,ADP!G2:G671)</f>
        <v>0</v>
      </c>
      <c r="Q465" s="57" cm="1">
        <f t="array" ref="Q465">IF(Settings!$E$12="YES",VLOOKUP(B465,'Player Data'!A1:E673,5,FALSE),84)</f>
        <v>83</v>
      </c>
      <c r="R465" s="55" cm="1">
        <f t="array" ref="R465">VLOOKUP(B465,'Player Data'!$A1:$AE673,6,FALSE)</f>
        <v>14.3</v>
      </c>
      <c r="S465" s="57" cm="1">
        <f t="array" ref="S465">VLOOKUP(B465,'Player Data'!$A1:$AE673,7,FALSE)*$Q465*IFERROR((VLOOKUP(P465,Settings!$E$28:$F$33,2,FALSE)+1),1)</f>
        <v>11.620000000000001</v>
      </c>
      <c r="T465" s="57" cm="1">
        <f t="array" ref="T465">VLOOKUP(B465,'Player Data'!$A1:$AE673,8,FALSE)*$Q465*IFERROR((VLOOKUP(P465,Settings!$E$28:$F$33,2,FALSE)+1),1)</f>
        <v>16.600000000000001</v>
      </c>
      <c r="U465" s="57" cm="1">
        <f t="array" ref="U465">SUM(S465:T465)</f>
        <v>28.220000000000002</v>
      </c>
      <c r="V465" s="57" cm="1">
        <f t="array" ref="V465">VLOOKUP(B465,'Player Data'!$A1:$AE673,10,FALSE)*$Q465*IFERROR(((VLOOKUP(P465,Settings!$E$28:$F$33,2,FALSE)/2)+1),1)</f>
        <v>115.36999999999999</v>
      </c>
      <c r="W465" s="57" cm="1">
        <f t="array" ref="W465">VLOOKUP(B465,'Player Data'!$A1:$AE673,11,FALSE)*$Q465*IFERROR((VLOOKUP(P465,Settings!$E$28:$F$33,2,FALSE)+1),1)</f>
        <v>0</v>
      </c>
      <c r="X465" s="57" cm="1">
        <f t="array" ref="X465">VLOOKUP(B465,'Player Data'!$A1:$AE673,12,FALSE)*$Q465*IFERROR((VLOOKUP(P465,Settings!$E$28:$F$33,2,FALSE)+1),1)</f>
        <v>0</v>
      </c>
      <c r="Y465" s="57" cm="1">
        <f t="array" ref="Y465">VLOOKUP(B465,'Player Data'!$A1:$AE673,13,FALSE)*$Q465</f>
        <v>0.83000000000000007</v>
      </c>
      <c r="Z465" s="57" cm="1">
        <f t="array" ref="Z465">VLOOKUP(B465,'Player Data'!$A1:$AE673,14,FALSE)*$Q465</f>
        <v>0.83000000000000007</v>
      </c>
      <c r="AA465" s="57" cm="1">
        <f t="array" ref="AA465">VLOOKUP(B465,'Player Data'!$A1:$AE673,15,FALSE)*$Q465</f>
        <v>49.8</v>
      </c>
      <c r="AB465" s="57" cm="1">
        <f t="array" ref="AB465">VLOOKUP(B465,'Player Data'!$A1:$AE673,16,FALSE)*$Q465</f>
        <v>101.25999999999999</v>
      </c>
      <c r="AC465" s="57" cm="1">
        <f t="array" ref="AC465">VLOOKUP(B465,'Player Data'!$A1:$AE673,17,FALSE)*$Q465*IFERROR((VLOOKUP(P465,Settings!$E$28:$F$33,2,FALSE)+1),1)</f>
        <v>6.6400000000000006</v>
      </c>
      <c r="AD465" s="57" cm="1">
        <f t="array" ref="AD465">VLOOKUP(B465,'Player Data'!$A1:$AE673,18,FALSE)*$Q465</f>
        <v>29.88</v>
      </c>
      <c r="AE465" s="57" cm="1">
        <f t="array" ref="AE465">VLOOKUP(B465,'Player Data'!$A1:$AE673,19,FALSE)*$Q465*IFERROR((VLOOKUP(P465,Settings!$E$28:$F$33,2,FALSE)+1),1)</f>
        <v>1.6600000000000001</v>
      </c>
      <c r="AF465" s="57" cm="1">
        <f t="array" ref="AF465">VLOOKUP(B465,'Player Data'!$A1:$AE673,20,FALSE)*$Q465</f>
        <v>36.520000000000003</v>
      </c>
      <c r="AG465" s="57" cm="1">
        <f t="array" ref="AG465">VLOOKUP(B465,'Player Data'!$A1:$AE673,21,FALSE)*$Q465</f>
        <v>41.5</v>
      </c>
      <c r="AH465" s="59" cm="1">
        <f t="array" ref="AH465">VLOOKUP(B465,'Player Data'!$A1:$AE673,22,FALSE)</f>
        <v>0.47</v>
      </c>
      <c r="AI465" s="55"/>
      <c r="AJ465" s="57"/>
      <c r="AK465" s="57"/>
      <c r="AL465" s="57"/>
      <c r="AM465" s="57"/>
      <c r="AN465" s="57"/>
      <c r="AO465" s="57"/>
      <c r="AP465" s="57"/>
      <c r="AQ465" s="60"/>
      <c r="AR465" s="61"/>
      <c r="AS465" s="55"/>
    </row>
    <row r="466" spans="1:45" ht="21.25" customHeight="1" x14ac:dyDescent="0.15">
      <c r="A466" s="62">
        <f>RANK(K466,K$2:K$671)</f>
        <v>463</v>
      </c>
      <c r="B466" s="10" t="s">
        <v>669</v>
      </c>
      <c r="C466" s="47" t="s">
        <v>145</v>
      </c>
      <c r="D466" s="48" t="str" cm="1">
        <f t="array" ref="D466">VLOOKUP(B466,'Player Data'!A1:D673,4,FALSE)</f>
        <v>C,LW</v>
      </c>
      <c r="E466" s="74" cm="1">
        <f t="array" ref="E466">VLOOKUP(B466,LW!A1:C210,3,FALSE)</f>
        <v>114</v>
      </c>
      <c r="F466" s="63" t="str" cm="1">
        <f t="array" ref="F466">VLOOKUP(B466,'Player Data'!A1:B673,2,FALSE)</f>
        <v>WPG</v>
      </c>
      <c r="G466" s="11" cm="1">
        <f t="array" ref="G466">VLOOKUP(B466,'Player Data'!A1:D673,3,FALSE)</f>
        <v>27</v>
      </c>
      <c r="H466" s="67" cm="1">
        <f t="array" ref="H466">IFERROR(VLOOKUP(B466,ADP!A1:F671,6,FALSE)/1000000,VLOOKUP(B466,ADP!A1:F671,6,FALSE))</f>
        <v>1.85</v>
      </c>
      <c r="I466" s="52">
        <f>IF(Settings!$E$15="POINTS",((R466*Q466)*Settings!$B$12)+(S466*Settings!$B$2)+(T466*Settings!$B$3)+(U466*Settings!$B$4)+(V466*Settings!$B$5)+(X466*Settings!$B$9)+(AA466*Settings!$B$6)+(W466*Settings!$B$8)+(AB466*Settings!$B$7)+(AC466*Settings!$B$14)+(AD466*Settings!$B$15)+(AE466*Settings!$B$16)+(AF466*Settings!$B$17)+(AG466*Settings!$B$18)+(Y466*Settings!$B$10)+(Z466*Settings!$B$11),VLOOKUP(B466,'Standard Deviations'!A$1:C$672,3,FALSE))</f>
        <v>-0.14917996826040231</v>
      </c>
      <c r="J466" s="53" cm="1">
        <f t="array" ref="J466">IF(D466="G",I466/AJ466,I466/Q466)</f>
        <v>-1.8647496032550288E-3</v>
      </c>
      <c r="K466" s="52" cm="1">
        <f t="array" ref="K466">IF(Settings!$E$18="C/LW/RW",VLOOKUP(B466,LW!A1:F210,6,FALSE),VLOOKUP(B466,F!A1:F407,6,FALSE))</f>
        <v>-7.0435656126502124</v>
      </c>
      <c r="L466" s="54" cm="1">
        <f t="array" ref="L466">IFERROR(K466/H466,"N/A")</f>
        <v>-3.8073327635947094</v>
      </c>
      <c r="M466" s="84" t="s">
        <v>828</v>
      </c>
      <c r="N466" s="84" t="str" cm="1">
        <f t="array" ref="N466">IFERROR(M466-A466,"N/A")</f>
        <v>N/A</v>
      </c>
      <c r="O466" s="55"/>
      <c r="P466" s="56" cm="1">
        <f t="array" ref="P466">_xlfn.XLOOKUP($B466,ADP!A2:A671,ADP!G2:G671)</f>
        <v>0</v>
      </c>
      <c r="Q466" s="57" cm="1">
        <f t="array" ref="Q466">IF(Settings!$E$12="YES",VLOOKUP(B466,'Player Data'!A1:E673,5,FALSE),84)</f>
        <v>80</v>
      </c>
      <c r="R466" s="55" cm="1">
        <f t="array" ref="R466">VLOOKUP(B466,'Player Data'!$A1:$AE673,6,FALSE)</f>
        <v>12.8</v>
      </c>
      <c r="S466" s="57" cm="1">
        <f t="array" ref="S466">VLOOKUP(B466,'Player Data'!$A1:$AE673,7,FALSE)*$Q466*IFERROR((VLOOKUP(P466,Settings!$E$28:$F$33,2,FALSE)+1),1)</f>
        <v>12.8</v>
      </c>
      <c r="T466" s="57" cm="1">
        <f t="array" ref="T466">VLOOKUP(B466,'Player Data'!$A1:$AE673,8,FALSE)*$Q466*IFERROR((VLOOKUP(P466,Settings!$E$28:$F$33,2,FALSE)+1),1)</f>
        <v>12.8</v>
      </c>
      <c r="U466" s="57" cm="1">
        <f t="array" ref="U466">SUM(S466:T466)</f>
        <v>25.6</v>
      </c>
      <c r="V466" s="57" cm="1">
        <f t="array" ref="V466">VLOOKUP(B466,'Player Data'!$A1:$AE673,10,FALSE)*$Q466*IFERROR(((VLOOKUP(P466,Settings!$E$28:$F$33,2,FALSE)/2)+1),1)</f>
        <v>122.4</v>
      </c>
      <c r="W466" s="57" cm="1">
        <f t="array" ref="W466">VLOOKUP(B466,'Player Data'!$A1:$AE673,11,FALSE)*$Q466*IFERROR((VLOOKUP(P466,Settings!$E$28:$F$33,2,FALSE)+1),1)</f>
        <v>0</v>
      </c>
      <c r="X466" s="57" cm="1">
        <f t="array" ref="X466">VLOOKUP(B466,'Player Data'!$A1:$AE673,12,FALSE)*$Q466*IFERROR((VLOOKUP(P466,Settings!$E$28:$F$33,2,FALSE)+1),1)</f>
        <v>0</v>
      </c>
      <c r="Y466" s="57" cm="1">
        <f t="array" ref="Y466">VLOOKUP(B466,'Player Data'!$A1:$AE673,13,FALSE)*$Q466</f>
        <v>1.6</v>
      </c>
      <c r="Z466" s="57" cm="1">
        <f t="array" ref="Z466">VLOOKUP(B466,'Player Data'!$A1:$AE673,14,FALSE)*$Q466</f>
        <v>1.6</v>
      </c>
      <c r="AA466" s="57" cm="1">
        <f t="array" ref="AA466">VLOOKUP(B466,'Player Data'!$A1:$AE673,15,FALSE)*$Q466</f>
        <v>52</v>
      </c>
      <c r="AB466" s="57" cm="1">
        <f t="array" ref="AB466">VLOOKUP(B466,'Player Data'!$A1:$AE673,16,FALSE)*$Q466</f>
        <v>160</v>
      </c>
      <c r="AC466" s="57" cm="1">
        <f t="array" ref="AC466">VLOOKUP(B466,'Player Data'!$A1:$AE673,17,FALSE)*$Q466*IFERROR((VLOOKUP(P466,Settings!$E$28:$F$33,2,FALSE)+1),1)</f>
        <v>0.8</v>
      </c>
      <c r="AD466" s="57" cm="1">
        <f t="array" ref="AD466">VLOOKUP(B466,'Player Data'!$A1:$AE673,18,FALSE)*$Q466</f>
        <v>28.799999999999997</v>
      </c>
      <c r="AE466" s="57" cm="1">
        <f t="array" ref="AE466">VLOOKUP(B466,'Player Data'!$A1:$AE673,19,FALSE)*$Q466*IFERROR((VLOOKUP(P466,Settings!$E$28:$F$33,2,FALSE)+1),1)</f>
        <v>2.4</v>
      </c>
      <c r="AF466" s="57" cm="1">
        <f t="array" ref="AF466">VLOOKUP(B466,'Player Data'!$A1:$AE673,20,FALSE)*$Q466</f>
        <v>273.60000000000002</v>
      </c>
      <c r="AG466" s="57" cm="1">
        <f t="array" ref="AG466">VLOOKUP(B466,'Player Data'!$A1:$AE673,21,FALSE)*$Q466</f>
        <v>294.40000000000003</v>
      </c>
      <c r="AH466" s="59" cm="1">
        <f t="array" ref="AH466">VLOOKUP(B466,'Player Data'!$A1:$AE673,22,FALSE)</f>
        <v>0.48</v>
      </c>
      <c r="AI466" s="55"/>
      <c r="AJ466" s="57"/>
      <c r="AK466" s="57"/>
      <c r="AL466" s="57"/>
      <c r="AM466" s="57"/>
      <c r="AN466" s="57"/>
      <c r="AO466" s="57"/>
      <c r="AP466" s="57"/>
      <c r="AQ466" s="60"/>
      <c r="AR466" s="61"/>
      <c r="AS466" s="55"/>
    </row>
    <row r="467" spans="1:45" ht="21.25" customHeight="1" x14ac:dyDescent="0.15">
      <c r="A467" s="62">
        <f>RANK(K467,K$2:K$671)</f>
        <v>464</v>
      </c>
      <c r="B467" s="10" t="s">
        <v>636</v>
      </c>
      <c r="C467" s="47" t="s">
        <v>145</v>
      </c>
      <c r="D467" s="48" t="str" cm="1">
        <f t="array" ref="D467">VLOOKUP(B467,'Player Data'!A1:D673,4,FALSE)</f>
        <v>LW</v>
      </c>
      <c r="E467" s="75" cm="1">
        <f t="array" ref="E467">VLOOKUP(B467,LW!A1:C210,3,FALSE)</f>
        <v>115</v>
      </c>
      <c r="F467" s="72" t="str" cm="1">
        <f t="array" ref="F467">VLOOKUP(B467,'Player Data'!A1:B673,2,FALSE)</f>
        <v>FLA</v>
      </c>
      <c r="G467" s="11" cm="1">
        <f t="array" ref="G467">VLOOKUP(B467,'Player Data'!A1:D673,3,FALSE)</f>
        <v>28</v>
      </c>
      <c r="H467" s="51" cm="1">
        <f t="array" ref="H467">IFERROR(VLOOKUP(B467,ADP!A1:F671,6,FALSE)/1000000,VLOOKUP(B467,ADP!A1:F671,6,FALSE))</f>
        <v>3</v>
      </c>
      <c r="I467" s="52">
        <f>IF(Settings!$E$15="POINTS",((R467*Q467)*Settings!$B$12)+(S467*Settings!$B$2)+(T467*Settings!$B$3)+(U467*Settings!$B$4)+(V467*Settings!$B$5)+(X467*Settings!$B$9)+(AA467*Settings!$B$6)+(W467*Settings!$B$8)+(AB467*Settings!$B$7)+(AC467*Settings!$B$14)+(AD467*Settings!$B$15)+(AE467*Settings!$B$16)+(AF467*Settings!$B$17)+(AG467*Settings!$B$18)+(Y467*Settings!$B$10)+(Z467*Settings!$B$11),VLOOKUP(B467,'Standard Deviations'!A$1:C$672,3,FALSE))</f>
        <v>-0.14960350416542734</v>
      </c>
      <c r="J467" s="53" cm="1">
        <f t="array" ref="J467">IF(D467="G",I467/AJ467,I467/Q467)</f>
        <v>-1.8244329776271626E-3</v>
      </c>
      <c r="K467" s="52" cm="1">
        <f t="array" ref="K467">IF(Settings!$E$18="C/LW/RW",VLOOKUP(B467,LW!A1:F210,6,FALSE),VLOOKUP(B467,F!A1:F407,6,FALSE))</f>
        <v>-7.0439891485552373</v>
      </c>
      <c r="L467" s="54" cm="1">
        <f t="array" ref="L467">IFERROR(K467/H467,"N/A")</f>
        <v>-2.3479963828517456</v>
      </c>
      <c r="M467" s="84" t="s">
        <v>828</v>
      </c>
      <c r="N467" s="84" t="str" cm="1">
        <f t="array" ref="N467">IFERROR(M467-A467,"N/A")</f>
        <v>N/A</v>
      </c>
      <c r="O467" s="55"/>
      <c r="P467" s="56" cm="1">
        <f t="array" ref="P467">_xlfn.XLOOKUP($B467,ADP!A2:A671,ADP!G2:G671)</f>
        <v>0</v>
      </c>
      <c r="Q467" s="57" cm="1">
        <f t="array" ref="Q467">IF(Settings!$E$12="YES",VLOOKUP(B467,'Player Data'!A1:E673,5,FALSE),84)</f>
        <v>82</v>
      </c>
      <c r="R467" s="83" cm="1">
        <f t="array" ref="R467">VLOOKUP(B467,'Player Data'!$A1:$AE673,6,FALSE)</f>
        <v>14.9</v>
      </c>
      <c r="S467" s="57" cm="1">
        <f t="array" ref="S467">VLOOKUP(B467,'Player Data'!$A1:$AE673,7,FALSE)*$Q467*IFERROR((VLOOKUP(P467,Settings!$E$28:$F$33,2,FALSE)+1),1)</f>
        <v>10.66</v>
      </c>
      <c r="T467" s="57" cm="1">
        <f t="array" ref="T467">VLOOKUP(B467,'Player Data'!$A1:$AE673,8,FALSE)*$Q467*IFERROR((VLOOKUP(P467,Settings!$E$28:$F$33,2,FALSE)+1),1)</f>
        <v>19.68</v>
      </c>
      <c r="U467" s="57" cm="1">
        <f t="array" ref="U467">SUM(S467:T467)</f>
        <v>30.34</v>
      </c>
      <c r="V467" s="57" cm="1">
        <f t="array" ref="V467">VLOOKUP(B467,'Player Data'!$A1:$AE673,10,FALSE)*$Q467*IFERROR(((VLOOKUP(P467,Settings!$E$28:$F$33,2,FALSE)/2)+1),1)</f>
        <v>100.03999999999999</v>
      </c>
      <c r="W467" s="57" cm="1">
        <f t="array" ref="W467">VLOOKUP(B467,'Player Data'!$A1:$AE673,11,FALSE)*$Q467*IFERROR((VLOOKUP(P467,Settings!$E$28:$F$33,2,FALSE)+1),1)</f>
        <v>0</v>
      </c>
      <c r="X467" s="57" cm="1">
        <f t="array" ref="X467">VLOOKUP(B467,'Player Data'!$A1:$AE673,12,FALSE)*$Q467*IFERROR((VLOOKUP(P467,Settings!$E$28:$F$33,2,FALSE)+1),1)</f>
        <v>0</v>
      </c>
      <c r="Y467" s="57" cm="1">
        <f t="array" ref="Y467">VLOOKUP(B467,'Player Data'!$A1:$AE673,13,FALSE)*$Q467</f>
        <v>0</v>
      </c>
      <c r="Z467" s="57" cm="1">
        <f t="array" ref="Z467">VLOOKUP(B467,'Player Data'!$A1:$AE673,14,FALSE)*$Q467</f>
        <v>0.82000000000000006</v>
      </c>
      <c r="AA467" s="57" cm="1">
        <f t="array" ref="AA467">VLOOKUP(B467,'Player Data'!$A1:$AE673,15,FALSE)*$Q467</f>
        <v>56.58</v>
      </c>
      <c r="AB467" s="57" cm="1">
        <f t="array" ref="AB467">VLOOKUP(B467,'Player Data'!$A1:$AE673,16,FALSE)*$Q467</f>
        <v>139.4</v>
      </c>
      <c r="AC467" s="57" cm="1">
        <f t="array" ref="AC467">VLOOKUP(B467,'Player Data'!$A1:$AE673,17,FALSE)*$Q467*IFERROR((VLOOKUP(P467,Settings!$E$28:$F$33,2,FALSE)+1),1)</f>
        <v>3.2800000000000002</v>
      </c>
      <c r="AD467" s="57" cm="1">
        <f t="array" ref="AD467">VLOOKUP(B467,'Player Data'!$A1:$AE673,18,FALSE)*$Q467</f>
        <v>28.7</v>
      </c>
      <c r="AE467" s="57" cm="1">
        <f t="array" ref="AE467">VLOOKUP(B467,'Player Data'!$A1:$AE673,19,FALSE)*$Q467*IFERROR((VLOOKUP(P467,Settings!$E$28:$F$33,2,FALSE)+1),1)</f>
        <v>1.6400000000000001</v>
      </c>
      <c r="AF467" s="57" cm="1">
        <f t="array" ref="AF467">VLOOKUP(B467,'Player Data'!$A1:$AE673,20,FALSE)*$Q467</f>
        <v>100.03999999999999</v>
      </c>
      <c r="AG467" s="57" cm="1">
        <f t="array" ref="AG467">VLOOKUP(B467,'Player Data'!$A1:$AE673,21,FALSE)*$Q467</f>
        <v>112.34</v>
      </c>
      <c r="AH467" s="59" cm="1">
        <f t="array" ref="AH467">VLOOKUP(B467,'Player Data'!$A1:$AE673,22,FALSE)</f>
        <v>0.47</v>
      </c>
      <c r="AI467" s="55"/>
      <c r="AJ467" s="57"/>
      <c r="AK467" s="57"/>
      <c r="AL467" s="57"/>
      <c r="AM467" s="57"/>
      <c r="AN467" s="57"/>
      <c r="AO467" s="57"/>
      <c r="AP467" s="57"/>
      <c r="AQ467" s="60"/>
      <c r="AR467" s="61"/>
      <c r="AS467" s="55"/>
    </row>
    <row r="468" spans="1:45" ht="21.25" customHeight="1" x14ac:dyDescent="0.15">
      <c r="A468" s="62">
        <f>RANK(K468,K$2:K$671)</f>
        <v>460</v>
      </c>
      <c r="B468" s="10" t="s">
        <v>398</v>
      </c>
      <c r="C468" s="47" t="s">
        <v>145</v>
      </c>
      <c r="D468" s="48" t="str" cm="1">
        <f t="array" ref="D468">VLOOKUP(B468,'Player Data'!A1:D673,4,FALSE)</f>
        <v>RW</v>
      </c>
      <c r="E468" s="64" cm="1">
        <f t="array" ref="E468">VLOOKUP(B468,RW!A1:F210,3,FALSE)</f>
        <v>112</v>
      </c>
      <c r="F468" s="63" t="str" cm="1">
        <f t="array" ref="F468">VLOOKUP(B468,'Player Data'!A1:B673,2,FALSE)</f>
        <v>SEA</v>
      </c>
      <c r="G468" s="66" cm="1">
        <f t="array" ref="G468">VLOOKUP(B468,'Player Data'!A1:D673,3,FALSE)</f>
        <v>36</v>
      </c>
      <c r="H468" s="51" cm="1">
        <f t="array" ref="H468">IFERROR(VLOOKUP(B468,ADP!A1:F671,6,FALSE)/1000000,VLOOKUP(B468,ADP!A1:F671,6,FALSE))</f>
        <v>5.5</v>
      </c>
      <c r="I468" s="52">
        <f>IF(Settings!$E$15="POINTS",((R468*Q468)*Settings!$B$12)+(S468*Settings!$B$2)+(T468*Settings!$B$3)+(U468*Settings!$B$4)+(V468*Settings!$B$5)+(X468*Settings!$B$9)+(AA468*Settings!$B$6)+(W468*Settings!$B$8)+(AB468*Settings!$B$7)+(AC468*Settings!$B$14)+(AD468*Settings!$B$15)+(AE468*Settings!$B$16)+(AF468*Settings!$B$17)+(AG468*Settings!$B$18)+(Y468*Settings!$B$10)+(Z468*Settings!$B$11),VLOOKUP(B468,'Standard Deviations'!A$1:C$672,3,FALSE))</f>
        <v>-0.10182593788952765</v>
      </c>
      <c r="J468" s="53" cm="1">
        <f t="array" ref="J468">IF(D468="G",I468/AJ468,I468/Q468)</f>
        <v>-1.3054607421734315E-3</v>
      </c>
      <c r="K468" s="52" cm="1">
        <f t="array" ref="K468">IF(Settings!$E$18="C/LW/RW",VLOOKUP(B468,RW!A1:F210,6,FALSE),VLOOKUP(B468,F!A1:F407,6,FALSE))</f>
        <v>-6.9890605396986052</v>
      </c>
      <c r="L468" s="54" cm="1">
        <f t="array" ref="L468">IFERROR(K468/H468,"N/A")</f>
        <v>-1.2707382799452009</v>
      </c>
      <c r="M468" s="84" t="s">
        <v>828</v>
      </c>
      <c r="N468" s="84" t="str" cm="1">
        <f t="array" ref="N468">IFERROR(M468-A468,"N/A")</f>
        <v>N/A</v>
      </c>
      <c r="O468" s="55"/>
      <c r="P468" s="56" cm="1">
        <f t="array" ref="P468">_xlfn.XLOOKUP($B468,ADP!A2:A671,ADP!G2:G671)</f>
        <v>0</v>
      </c>
      <c r="Q468" s="57" cm="1">
        <f t="array" ref="Q468">IF(Settings!$E$12="YES",VLOOKUP(B468,'Player Data'!A1:E673,5,FALSE),84)</f>
        <v>78</v>
      </c>
      <c r="R468" s="55" cm="1">
        <f t="array" ref="R468">VLOOKUP(B468,'Player Data'!$A1:$AE673,6,FALSE)</f>
        <v>18</v>
      </c>
      <c r="S468" s="57" cm="1">
        <f t="array" ref="S468">VLOOKUP(B468,'Player Data'!$A1:$AE673,7,FALSE)*$Q468*IFERROR((VLOOKUP(P468,Settings!$E$28:$F$33,2,FALSE)+1),1)</f>
        <v>20.28</v>
      </c>
      <c r="T468" s="57" cm="1">
        <f t="array" ref="T468">VLOOKUP(B468,'Player Data'!$A1:$AE673,8,FALSE)*$Q468*IFERROR((VLOOKUP(P468,Settings!$E$28:$F$33,2,FALSE)+1),1)</f>
        <v>27.299999999999997</v>
      </c>
      <c r="U468" s="57" cm="1">
        <f t="array" ref="U468">SUM(S468:T468)</f>
        <v>47.58</v>
      </c>
      <c r="V468" s="57" cm="1">
        <f t="array" ref="V468">VLOOKUP(B468,'Player Data'!$A1:$AE673,10,FALSE)*$Q468*IFERROR(((VLOOKUP(P468,Settings!$E$28:$F$33,2,FALSE)/2)+1),1)</f>
        <v>156</v>
      </c>
      <c r="W468" s="57" cm="1">
        <f t="array" ref="W468">VLOOKUP(B468,'Player Data'!$A1:$AE673,11,FALSE)*$Q468*IFERROR((VLOOKUP(P468,Settings!$E$28:$F$33,2,FALSE)+1),1)</f>
        <v>3.9000000000000004</v>
      </c>
      <c r="X468" s="78" cm="1">
        <f t="array" ref="X468">VLOOKUP(B468,'Player Data'!$A1:$AE673,12,FALSE)*$Q468*IFERROR((VLOOKUP(P468,Settings!$E$28:$F$33,2,FALSE)+1),1)</f>
        <v>13.260000000000002</v>
      </c>
      <c r="Y468" s="57" cm="1">
        <f t="array" ref="Y468">VLOOKUP(B468,'Player Data'!$A1:$AE673,13,FALSE)*$Q468</f>
        <v>0</v>
      </c>
      <c r="Z468" s="57" cm="1">
        <f t="array" ref="Z468">VLOOKUP(B468,'Player Data'!$A1:$AE673,14,FALSE)*$Q468</f>
        <v>0</v>
      </c>
      <c r="AA468" s="57" cm="1">
        <f t="array" ref="AA468">VLOOKUP(B468,'Player Data'!$A1:$AE673,15,FALSE)*$Q468</f>
        <v>39.78</v>
      </c>
      <c r="AB468" s="57" cm="1">
        <f t="array" ref="AB468">VLOOKUP(B468,'Player Data'!$A1:$AE673,16,FALSE)*$Q468</f>
        <v>49.14</v>
      </c>
      <c r="AC468" s="57" cm="1">
        <f t="array" ref="AC468">VLOOKUP(B468,'Player Data'!$A1:$AE673,17,FALSE)*$Q468*IFERROR((VLOOKUP(P468,Settings!$E$28:$F$33,2,FALSE)+1),1)</f>
        <v>-5.4600000000000009</v>
      </c>
      <c r="AD468" s="57" cm="1">
        <f t="array" ref="AD468">VLOOKUP(B468,'Player Data'!$A1:$AE673,18,FALSE)*$Q468</f>
        <v>26.520000000000003</v>
      </c>
      <c r="AE468" s="57" cm="1">
        <f t="array" ref="AE468">VLOOKUP(B468,'Player Data'!$A1:$AE673,19,FALSE)*$Q468*IFERROR((VLOOKUP(P468,Settings!$E$28:$F$33,2,FALSE)+1),1)</f>
        <v>2.34</v>
      </c>
      <c r="AF468" s="57" cm="1">
        <f t="array" ref="AF468">VLOOKUP(B468,'Player Data'!$A1:$AE673,20,FALSE)*$Q468</f>
        <v>14.82</v>
      </c>
      <c r="AG468" s="57" cm="1">
        <f t="array" ref="AG468">VLOOKUP(B468,'Player Data'!$A1:$AE673,21,FALSE)*$Q468</f>
        <v>22.619999999999997</v>
      </c>
      <c r="AH468" s="59" cm="1">
        <f t="array" ref="AH468">VLOOKUP(B468,'Player Data'!$A1:$AE673,22,FALSE)</f>
        <v>0.39</v>
      </c>
      <c r="AI468" s="55"/>
      <c r="AJ468" s="57"/>
      <c r="AK468" s="57"/>
      <c r="AL468" s="57"/>
      <c r="AM468" s="57"/>
      <c r="AN468" s="57"/>
      <c r="AO468" s="57"/>
      <c r="AP468" s="57"/>
      <c r="AQ468" s="60"/>
      <c r="AR468" s="61"/>
      <c r="AS468" s="55"/>
    </row>
    <row r="469" spans="1:45" ht="21.25" customHeight="1" x14ac:dyDescent="0.15">
      <c r="A469" s="62">
        <f>RANK(K469,K$2:K$671)</f>
        <v>466</v>
      </c>
      <c r="B469" s="10" t="s">
        <v>576</v>
      </c>
      <c r="C469" s="47" t="s">
        <v>145</v>
      </c>
      <c r="D469" s="48" t="str" cm="1">
        <f t="array" ref="D469">VLOOKUP(B469,'Player Data'!A1:D673,4,FALSE)</f>
        <v>LW</v>
      </c>
      <c r="E469" s="75" cm="1">
        <f t="array" ref="E469">VLOOKUP(B469,LW!A1:C210,3,FALSE)</f>
        <v>116</v>
      </c>
      <c r="F469" s="73" t="str" cm="1">
        <f t="array" ref="F469">VLOOKUP(B469,'Player Data'!A1:B673,2,FALSE)</f>
        <v>BUF</v>
      </c>
      <c r="G469" s="66" cm="1">
        <f t="array" ref="G469">VLOOKUP(B469,'Player Data'!A1:D673,3,FALSE)</f>
        <v>34</v>
      </c>
      <c r="H469" s="67" cm="1">
        <f t="array" ref="H469">IFERROR(VLOOKUP(B469,ADP!A1:F671,6,FALSE)/1000000,VLOOKUP(B469,ADP!A1:F671,6,FALSE))</f>
        <v>4.75</v>
      </c>
      <c r="I469" s="52">
        <f>IF(Settings!$E$15="POINTS",((R469*Q469)*Settings!$B$12)+(S469*Settings!$B$2)+(T469*Settings!$B$3)+(U469*Settings!$B$4)+(V469*Settings!$B$5)+(X469*Settings!$B$9)+(AA469*Settings!$B$6)+(W469*Settings!$B$8)+(AB469*Settings!$B$7)+(AC469*Settings!$B$14)+(AD469*Settings!$B$15)+(AE469*Settings!$B$16)+(AF469*Settings!$B$17)+(AG469*Settings!$B$18)+(Y469*Settings!$B$10)+(Z469*Settings!$B$11),VLOOKUP(B469,'Standard Deviations'!A$1:C$672,3,FALSE))</f>
        <v>-0.17366143142901694</v>
      </c>
      <c r="J469" s="53" cm="1">
        <f t="array" ref="J469">IF(D469="G",I469/AJ469,I469/Q469)</f>
        <v>-2.2264286080643197E-3</v>
      </c>
      <c r="K469" s="52" cm="1">
        <f t="array" ref="K469">IF(Settings!$E$18="C/LW/RW",VLOOKUP(B469,LW!A1:F210,6,FALSE),VLOOKUP(B469,F!A1:F407,6,FALSE))</f>
        <v>-7.0680470758188267</v>
      </c>
      <c r="L469" s="54" cm="1">
        <f t="array" ref="L469">IFERROR(K469/H469,"N/A")</f>
        <v>-1.4880099106987004</v>
      </c>
      <c r="M469" s="84" t="s">
        <v>828</v>
      </c>
      <c r="N469" s="84" t="str" cm="1">
        <f t="array" ref="N469">IFERROR(M469-A469,"N/A")</f>
        <v>N/A</v>
      </c>
      <c r="O469" s="55"/>
      <c r="P469" s="56" cm="1">
        <f t="array" ref="P469">_xlfn.XLOOKUP($B469,ADP!A2:A671,ADP!G2:G671)</f>
        <v>0</v>
      </c>
      <c r="Q469" s="57" cm="1">
        <f t="array" ref="Q469">IF(Settings!$E$12="YES",VLOOKUP(B469,'Player Data'!A1:E673,5,FALSE),84)</f>
        <v>78</v>
      </c>
      <c r="R469" s="83" cm="1">
        <f t="array" ref="R469">VLOOKUP(B469,'Player Data'!$A1:$AE673,6,FALSE)</f>
        <v>13.3</v>
      </c>
      <c r="S469" s="57" cm="1">
        <f t="array" ref="S469">VLOOKUP(B469,'Player Data'!$A1:$AE673,7,FALSE)*$Q469*IFERROR((VLOOKUP(P469,Settings!$E$28:$F$33,2,FALSE)+1),1)</f>
        <v>15.600000000000001</v>
      </c>
      <c r="T469" s="57" cm="1">
        <f t="array" ref="T469">VLOOKUP(B469,'Player Data'!$A1:$AE673,8,FALSE)*$Q469*IFERROR((VLOOKUP(P469,Settings!$E$28:$F$33,2,FALSE)+1),1)</f>
        <v>20.28</v>
      </c>
      <c r="U469" s="57" cm="1">
        <f t="array" ref="U469">SUM(S469:T469)</f>
        <v>35.880000000000003</v>
      </c>
      <c r="V469" s="57" cm="1">
        <f t="array" ref="V469">VLOOKUP(B469,'Player Data'!$A1:$AE673,10,FALSE)*$Q469*IFERROR(((VLOOKUP(P469,Settings!$E$28:$F$33,2,FALSE)/2)+1),1)</f>
        <v>128.69999999999999</v>
      </c>
      <c r="W469" s="57" cm="1">
        <f t="array" ref="W469">VLOOKUP(B469,'Player Data'!$A1:$AE673,11,FALSE)*$Q469*IFERROR((VLOOKUP(P469,Settings!$E$28:$F$33,2,FALSE)+1),1)</f>
        <v>3.9000000000000004</v>
      </c>
      <c r="X469" s="57" cm="1">
        <f t="array" ref="X469">VLOOKUP(B469,'Player Data'!$A1:$AE673,12,FALSE)*$Q469*IFERROR((VLOOKUP(P469,Settings!$E$28:$F$33,2,FALSE)+1),1)</f>
        <v>7.02</v>
      </c>
      <c r="Y469" s="57" cm="1">
        <f t="array" ref="Y469">VLOOKUP(B469,'Player Data'!$A1:$AE673,13,FALSE)*$Q469</f>
        <v>0</v>
      </c>
      <c r="Z469" s="57" cm="1">
        <f t="array" ref="Z469">VLOOKUP(B469,'Player Data'!$A1:$AE673,14,FALSE)*$Q469</f>
        <v>0</v>
      </c>
      <c r="AA469" s="57" cm="1">
        <f t="array" ref="AA469">VLOOKUP(B469,'Player Data'!$A1:$AE673,15,FALSE)*$Q469</f>
        <v>24.96</v>
      </c>
      <c r="AB469" s="57" cm="1">
        <f t="array" ref="AB469">VLOOKUP(B469,'Player Data'!$A1:$AE673,16,FALSE)*$Q469</f>
        <v>71.760000000000005</v>
      </c>
      <c r="AC469" s="57" cm="1">
        <f t="array" ref="AC469">VLOOKUP(B469,'Player Data'!$A1:$AE673,17,FALSE)*$Q469*IFERROR((VLOOKUP(P469,Settings!$E$28:$F$33,2,FALSE)+1),1)</f>
        <v>1.56</v>
      </c>
      <c r="AD469" s="57" cm="1">
        <f t="array" ref="AD469">VLOOKUP(B469,'Player Data'!$A1:$AE673,18,FALSE)*$Q469</f>
        <v>31.979999999999997</v>
      </c>
      <c r="AE469" s="57" cm="1">
        <f t="array" ref="AE469">VLOOKUP(B469,'Player Data'!$A1:$AE673,19,FALSE)*$Q469*IFERROR((VLOOKUP(P469,Settings!$E$28:$F$33,2,FALSE)+1),1)</f>
        <v>2.34</v>
      </c>
      <c r="AF469" s="57" cm="1">
        <f t="array" ref="AF469">VLOOKUP(B469,'Player Data'!$A1:$AE673,20,FALSE)*$Q469</f>
        <v>43.680000000000007</v>
      </c>
      <c r="AG469" s="57" cm="1">
        <f t="array" ref="AG469">VLOOKUP(B469,'Player Data'!$A1:$AE673,21,FALSE)*$Q469</f>
        <v>67.86</v>
      </c>
      <c r="AH469" s="59" cm="1">
        <f t="array" ref="AH469">VLOOKUP(B469,'Player Data'!$A1:$AE673,22,FALSE)</f>
        <v>0.39</v>
      </c>
      <c r="AI469" s="55"/>
      <c r="AJ469" s="57"/>
      <c r="AK469" s="57"/>
      <c r="AL469" s="57"/>
      <c r="AM469" s="57"/>
      <c r="AN469" s="57"/>
      <c r="AO469" s="57"/>
      <c r="AP469" s="57"/>
      <c r="AQ469" s="60"/>
      <c r="AR469" s="61"/>
      <c r="AS469" s="55"/>
    </row>
    <row r="470" spans="1:45" ht="21.25" customHeight="1" x14ac:dyDescent="0.15">
      <c r="A470" s="62">
        <f>RANK(K470,K$2:K$671)</f>
        <v>462</v>
      </c>
      <c r="B470" s="10" t="s">
        <v>564</v>
      </c>
      <c r="C470" s="47" t="s">
        <v>145</v>
      </c>
      <c r="D470" s="48" t="str" cm="1">
        <f t="array" ref="D470">VLOOKUP(B470,'Player Data'!A1:D673,4,FALSE)</f>
        <v>LW,RW</v>
      </c>
      <c r="E470" s="74" cm="1">
        <f t="array" ref="E470">VLOOKUP(B470,RW!A1:F210,3,FALSE)</f>
        <v>113</v>
      </c>
      <c r="F470" s="50" t="str" cm="1">
        <f t="array" ref="F470">VLOOKUP(B470,'Player Data'!A1:B673,2,FALSE)</f>
        <v>ANA</v>
      </c>
      <c r="G470" s="66" cm="1">
        <f t="array" ref="G470">VLOOKUP(B470,'Player Data'!A1:D673,3,FALSE)</f>
        <v>32</v>
      </c>
      <c r="H470" s="51" cm="1">
        <f t="array" ref="H470">IFERROR(VLOOKUP(B470,ADP!A1:F671,6,FALSE)/1000000,VLOOKUP(B470,ADP!A1:F671,6,FALSE))</f>
        <v>4.5709999999999997</v>
      </c>
      <c r="I470" s="52">
        <f>IF(Settings!$E$15="POINTS",((R470*Q470)*Settings!$B$12)+(S470*Settings!$B$2)+(T470*Settings!$B$3)+(U470*Settings!$B$4)+(V470*Settings!$B$5)+(X470*Settings!$B$9)+(AA470*Settings!$B$6)+(W470*Settings!$B$8)+(AB470*Settings!$B$7)+(AC470*Settings!$B$14)+(AD470*Settings!$B$15)+(AE470*Settings!$B$16)+(AF470*Settings!$B$17)+(AG470*Settings!$B$18)+(Y470*Settings!$B$10)+(Z470*Settings!$B$11),VLOOKUP(B470,'Standard Deviations'!A$1:C$672,3,FALSE))</f>
        <v>-0.1453626255798206</v>
      </c>
      <c r="J470" s="53" cm="1">
        <f t="array" ref="J470">IF(D470="G",I470/AJ470,I470/Q470)</f>
        <v>-1.8636234048694949E-3</v>
      </c>
      <c r="K470" s="52" cm="1">
        <f t="array" ref="K470">IF(Settings!$E$18="C/LW/RW",VLOOKUP(B470,RW!A1:F210,6,FALSE),VLOOKUP(B470,F!A1:F407,6,FALSE))</f>
        <v>-7.0325972273888979</v>
      </c>
      <c r="L470" s="54" cm="1">
        <f t="array" ref="L470">IFERROR(K470/H470,"N/A")</f>
        <v>-1.5385248801988403</v>
      </c>
      <c r="M470" s="84" t="s">
        <v>828</v>
      </c>
      <c r="N470" s="84" t="str" cm="1">
        <f t="array" ref="N470">IFERROR(M470-A470,"N/A")</f>
        <v>N/A</v>
      </c>
      <c r="O470" s="55"/>
      <c r="P470" s="56" cm="1">
        <f t="array" ref="P470">_xlfn.XLOOKUP($B470,ADP!A2:A671,ADP!G2:G671)</f>
        <v>0</v>
      </c>
      <c r="Q470" s="57" cm="1">
        <f t="array" ref="Q470">IF(Settings!$E$12="YES",VLOOKUP(B470,'Player Data'!A1:E673,5,FALSE),84)</f>
        <v>78</v>
      </c>
      <c r="R470" s="81" cm="1">
        <f t="array" ref="R470">VLOOKUP(B470,'Player Data'!$A1:$AE673,6,FALSE)</f>
        <v>13.9</v>
      </c>
      <c r="S470" s="57" cm="1">
        <f t="array" ref="S470">VLOOKUP(B470,'Player Data'!$A1:$AE673,7,FALSE)*$Q470*IFERROR((VLOOKUP(P470,Settings!$E$28:$F$33,2,FALSE)+1),1)</f>
        <v>14.82</v>
      </c>
      <c r="T470" s="57" cm="1">
        <f t="array" ref="T470">VLOOKUP(B470,'Player Data'!$A1:$AE673,8,FALSE)*$Q470*IFERROR((VLOOKUP(P470,Settings!$E$28:$F$33,2,FALSE)+1),1)</f>
        <v>14.82</v>
      </c>
      <c r="U470" s="57" cm="1">
        <f t="array" ref="U470">SUM(S470:T470)</f>
        <v>29.64</v>
      </c>
      <c r="V470" s="57" cm="1">
        <f t="array" ref="V470">VLOOKUP(B470,'Player Data'!$A1:$AE673,10,FALSE)*$Q470*IFERROR(((VLOOKUP(P470,Settings!$E$28:$F$33,2,FALSE)/2)+1),1)</f>
        <v>167.7</v>
      </c>
      <c r="W470" s="57" cm="1">
        <f t="array" ref="W470">VLOOKUP(B470,'Player Data'!$A1:$AE673,11,FALSE)*$Q470*IFERROR((VLOOKUP(P470,Settings!$E$28:$F$33,2,FALSE)+1),1)</f>
        <v>3.12</v>
      </c>
      <c r="X470" s="57" cm="1">
        <f t="array" ref="X470">VLOOKUP(B470,'Player Data'!$A1:$AE673,12,FALSE)*$Q470*IFERROR((VLOOKUP(P470,Settings!$E$28:$F$33,2,FALSE)+1),1)</f>
        <v>5.4600000000000009</v>
      </c>
      <c r="Y470" s="57" cm="1">
        <f t="array" ref="Y470">VLOOKUP(B470,'Player Data'!$A1:$AE673,13,FALSE)*$Q470</f>
        <v>0.78</v>
      </c>
      <c r="Z470" s="57" cm="1">
        <f t="array" ref="Z470">VLOOKUP(B470,'Player Data'!$A1:$AE673,14,FALSE)*$Q470</f>
        <v>0.78</v>
      </c>
      <c r="AA470" s="57" cm="1">
        <f t="array" ref="AA470">VLOOKUP(B470,'Player Data'!$A1:$AE673,15,FALSE)*$Q470</f>
        <v>50.7</v>
      </c>
      <c r="AB470" s="57" cm="1">
        <f t="array" ref="AB470">VLOOKUP(B470,'Player Data'!$A1:$AE673,16,FALSE)*$Q470</f>
        <v>136.5</v>
      </c>
      <c r="AC470" s="57" cm="1">
        <f t="array" ref="AC470">VLOOKUP(B470,'Player Data'!$A1:$AE673,17,FALSE)*$Q470*IFERROR((VLOOKUP(P470,Settings!$E$28:$F$33,2,FALSE)+1),1)</f>
        <v>-4.68</v>
      </c>
      <c r="AD470" s="57" cm="1">
        <f t="array" ref="AD470">VLOOKUP(B470,'Player Data'!$A1:$AE673,18,FALSE)*$Q470</f>
        <v>49.92</v>
      </c>
      <c r="AE470" s="57" cm="1">
        <f t="array" ref="AE470">VLOOKUP(B470,'Player Data'!$A1:$AE673,19,FALSE)*$Q470*IFERROR((VLOOKUP(P470,Settings!$E$28:$F$33,2,FALSE)+1),1)</f>
        <v>2.34</v>
      </c>
      <c r="AF470" s="57" cm="1">
        <f t="array" ref="AF470">VLOOKUP(B470,'Player Data'!$A1:$AE673,20,FALSE)*$Q470</f>
        <v>10.14</v>
      </c>
      <c r="AG470" s="57" cm="1">
        <f t="array" ref="AG470">VLOOKUP(B470,'Player Data'!$A1:$AE673,21,FALSE)*$Q470</f>
        <v>14.04</v>
      </c>
      <c r="AH470" s="59" cm="1">
        <f t="array" ref="AH470">VLOOKUP(B470,'Player Data'!$A1:$AE673,22,FALSE)</f>
        <v>0.42</v>
      </c>
      <c r="AI470" s="55"/>
      <c r="AJ470" s="57"/>
      <c r="AK470" s="57"/>
      <c r="AL470" s="57"/>
      <c r="AM470" s="57"/>
      <c r="AN470" s="57"/>
      <c r="AO470" s="57"/>
      <c r="AP470" s="57"/>
      <c r="AQ470" s="60"/>
      <c r="AR470" s="61"/>
      <c r="AS470" s="55"/>
    </row>
    <row r="471" spans="1:45" ht="21.25" customHeight="1" x14ac:dyDescent="0.15">
      <c r="A471" s="62">
        <f>RANK(K471,K$2:K$671)</f>
        <v>469</v>
      </c>
      <c r="B471" s="10" t="s">
        <v>767</v>
      </c>
      <c r="C471" s="47" t="s">
        <v>145</v>
      </c>
      <c r="D471" s="48" t="str" cm="1">
        <f t="array" ref="D471">VLOOKUP(B471,'Player Data'!A1:D673,4,FALSE)</f>
        <v>LW</v>
      </c>
      <c r="E471" s="75" cm="1">
        <f t="array" ref="E471">VLOOKUP(B471,LW!A1:C210,3,FALSE)</f>
        <v>117</v>
      </c>
      <c r="F471" s="65" t="str" cm="1">
        <f t="array" ref="F471">VLOOKUP(B471,'Player Data'!A1:B673,2,FALSE)</f>
        <v>CAR</v>
      </c>
      <c r="G471" s="66" cm="1">
        <f t="array" ref="G471">VLOOKUP(B471,'Player Data'!A1:D673,3,FALSE)</f>
        <v>31</v>
      </c>
      <c r="H471" s="51" cm="1">
        <f t="array" ref="H471">IFERROR(VLOOKUP(B471,ADP!A1:F671,6,FALSE)/1000000,VLOOKUP(B471,ADP!A1:F671,6,FALSE))</f>
        <v>2.0499999999999998</v>
      </c>
      <c r="I471" s="52">
        <f>IF(Settings!$E$15="POINTS",((R471*Q471)*Settings!$B$12)+(S471*Settings!$B$2)+(T471*Settings!$B$3)+(U471*Settings!$B$4)+(V471*Settings!$B$5)+(X471*Settings!$B$9)+(AA471*Settings!$B$6)+(W471*Settings!$B$8)+(AB471*Settings!$B$7)+(AC471*Settings!$B$14)+(AD471*Settings!$B$15)+(AE471*Settings!$B$16)+(AF471*Settings!$B$17)+(AG471*Settings!$B$18)+(Y471*Settings!$B$10)+(Z471*Settings!$B$11),VLOOKUP(B471,'Standard Deviations'!A$1:C$672,3,FALSE))</f>
        <v>-0.20251232233313554</v>
      </c>
      <c r="J471" s="53" cm="1">
        <f t="array" ref="J471">IF(D471="G",I471/AJ471,I471/Q471)</f>
        <v>-2.8126711435157714E-3</v>
      </c>
      <c r="K471" s="52" cm="1">
        <f t="array" ref="K471">IF(Settings!$E$18="C/LW/RW",VLOOKUP(B471,LW!A1:F210,6,FALSE),VLOOKUP(B471,F!A1:F407,6,FALSE))</f>
        <v>-7.0968979667229455</v>
      </c>
      <c r="L471" s="54" cm="1">
        <f t="array" ref="L471">IFERROR(K471/H471,"N/A")</f>
        <v>-3.4619014471819249</v>
      </c>
      <c r="M471" s="84" t="s">
        <v>828</v>
      </c>
      <c r="N471" s="84" t="str" cm="1">
        <f t="array" ref="N471">IFERROR(M471-A471,"N/A")</f>
        <v>N/A</v>
      </c>
      <c r="O471" s="55"/>
      <c r="P471" s="56" cm="1">
        <f t="array" ref="P471">_xlfn.XLOOKUP($B471,ADP!A2:A671,ADP!G2:G671)</f>
        <v>0</v>
      </c>
      <c r="Q471" s="57" cm="1">
        <f t="array" ref="Q471">IF(Settings!$E$12="YES",VLOOKUP(B471,'Player Data'!A1:E673,5,FALSE),84)</f>
        <v>72</v>
      </c>
      <c r="R471" s="55" cm="1">
        <f t="array" ref="R471">VLOOKUP(B471,'Player Data'!$A1:$AE673,6,FALSE)</f>
        <v>10.8</v>
      </c>
      <c r="S471" s="57" cm="1">
        <f t="array" ref="S471">VLOOKUP(B471,'Player Data'!$A1:$AE673,7,FALSE)*$Q471*IFERROR((VLOOKUP(P471,Settings!$E$28:$F$33,2,FALSE)+1),1)</f>
        <v>7.2</v>
      </c>
      <c r="T471" s="57" cm="1">
        <f t="array" ref="T471">VLOOKUP(B471,'Player Data'!$A1:$AE673,8,FALSE)*$Q471*IFERROR((VLOOKUP(P471,Settings!$E$28:$F$33,2,FALSE)+1),1)</f>
        <v>10.080000000000002</v>
      </c>
      <c r="U471" s="57" cm="1">
        <f t="array" ref="U471">SUM(S471:T471)</f>
        <v>17.28</v>
      </c>
      <c r="V471" s="57" cm="1">
        <f t="array" ref="V471">VLOOKUP(B471,'Player Data'!$A1:$AE673,10,FALSE)*$Q471*IFERROR(((VLOOKUP(P471,Settings!$E$28:$F$33,2,FALSE)/2)+1),1)</f>
        <v>83.52</v>
      </c>
      <c r="W471" s="57" cm="1">
        <f t="array" ref="W471">VLOOKUP(B471,'Player Data'!$A1:$AE673,11,FALSE)*$Q471*IFERROR((VLOOKUP(P471,Settings!$E$28:$F$33,2,FALSE)+1),1)</f>
        <v>0</v>
      </c>
      <c r="X471" s="57" cm="1">
        <f t="array" ref="X471">VLOOKUP(B471,'Player Data'!$A1:$AE673,12,FALSE)*$Q471*IFERROR((VLOOKUP(P471,Settings!$E$28:$F$33,2,FALSE)+1),1)</f>
        <v>0</v>
      </c>
      <c r="Y471" s="57" cm="1">
        <f t="array" ref="Y471">VLOOKUP(B471,'Player Data'!$A1:$AE673,13,FALSE)*$Q471</f>
        <v>0</v>
      </c>
      <c r="Z471" s="57" cm="1">
        <f t="array" ref="Z471">VLOOKUP(B471,'Player Data'!$A1:$AE673,14,FALSE)*$Q471</f>
        <v>0</v>
      </c>
      <c r="AA471" s="57" cm="1">
        <f t="array" ref="AA471">VLOOKUP(B471,'Player Data'!$A1:$AE673,15,FALSE)*$Q471</f>
        <v>20.88</v>
      </c>
      <c r="AB471" s="57" cm="1">
        <f t="array" ref="AB471">VLOOKUP(B471,'Player Data'!$A1:$AE673,16,FALSE)*$Q471</f>
        <v>174.24</v>
      </c>
      <c r="AC471" s="57" cm="1">
        <f t="array" ref="AC471">VLOOKUP(B471,'Player Data'!$A1:$AE673,17,FALSE)*$Q471*IFERROR((VLOOKUP(P471,Settings!$E$28:$F$33,2,FALSE)+1),1)</f>
        <v>5.76</v>
      </c>
      <c r="AD471" s="57" cm="1">
        <f t="array" ref="AD471">VLOOKUP(B471,'Player Data'!$A1:$AE673,18,FALSE)*$Q471</f>
        <v>20.88</v>
      </c>
      <c r="AE471" s="57" cm="1">
        <f t="array" ref="AE471">VLOOKUP(B471,'Player Data'!$A1:$AE673,19,FALSE)*$Q471*IFERROR((VLOOKUP(P471,Settings!$E$28:$F$33,2,FALSE)+1),1)</f>
        <v>1.44</v>
      </c>
      <c r="AF471" s="57" cm="1">
        <f t="array" ref="AF471">VLOOKUP(B471,'Player Data'!$A1:$AE673,20,FALSE)*$Q471</f>
        <v>8.64</v>
      </c>
      <c r="AG471" s="57" cm="1">
        <f t="array" ref="AG471">VLOOKUP(B471,'Player Data'!$A1:$AE673,21,FALSE)*$Q471</f>
        <v>10.799999999999999</v>
      </c>
      <c r="AH471" s="59" cm="1">
        <f t="array" ref="AH471">VLOOKUP(B471,'Player Data'!$A1:$AE673,22,FALSE)</f>
        <v>0.44</v>
      </c>
      <c r="AI471" s="55"/>
      <c r="AJ471" s="57"/>
      <c r="AK471" s="57"/>
      <c r="AL471" s="57"/>
      <c r="AM471" s="57"/>
      <c r="AN471" s="57"/>
      <c r="AO471" s="57"/>
      <c r="AP471" s="57"/>
      <c r="AQ471" s="60"/>
      <c r="AR471" s="61"/>
      <c r="AS471" s="55"/>
    </row>
    <row r="472" spans="1:45" ht="21.25" customHeight="1" x14ac:dyDescent="0.15">
      <c r="A472" s="62">
        <f>RANK(K472,K$2:K$671)</f>
        <v>465</v>
      </c>
      <c r="B472" s="10" t="s">
        <v>588</v>
      </c>
      <c r="C472" s="47" t="s">
        <v>145</v>
      </c>
      <c r="D472" s="48" t="str" cm="1">
        <f t="array" ref="D472">VLOOKUP(B472,'Player Data'!A1:D673,4,FALSE)</f>
        <v>C</v>
      </c>
      <c r="E472" s="49" cm="1">
        <f t="array" ref="E472">VLOOKUP(B472,'C'!A1:C210,3,FALSE)</f>
        <v>111</v>
      </c>
      <c r="F472" s="73" t="str" cm="1">
        <f t="array" ref="F472">VLOOKUP(B472,'Player Data'!A1:B673,2,FALSE)</f>
        <v>BUF</v>
      </c>
      <c r="G472" s="71" cm="1">
        <f t="array" ref="G472">VLOOKUP(B472,'Player Data'!A1:D673,3,FALSE)</f>
        <v>20</v>
      </c>
      <c r="H472" s="51" cm="1">
        <f t="array" ref="H472">IFERROR(VLOOKUP(B472,ADP!A1:F671,6,FALSE)/1000000,VLOOKUP(B472,ADP!A1:F671,6,FALSE))</f>
        <v>0.95374999999999999</v>
      </c>
      <c r="I472" s="52">
        <f>IF(Settings!$E$15="POINTS",((R472*Q472)*Settings!$B$12)+(S472*Settings!$B$2)+(T472*Settings!$B$3)+(U472*Settings!$B$4)+(V472*Settings!$B$5)+(X472*Settings!$B$9)+(AA472*Settings!$B$6)+(W472*Settings!$B$8)+(AB472*Settings!$B$7)+(AC472*Settings!$B$14)+(AD472*Settings!$B$15)+(AE472*Settings!$B$16)+(AF472*Settings!$B$17)+(AG472*Settings!$B$18)+(Y472*Settings!$B$10)+(Z472*Settings!$B$11),VLOOKUP(B472,'Standard Deviations'!A$1:C$672,3,FALSE))</f>
        <v>-0.70735233844897383</v>
      </c>
      <c r="J472" s="53" cm="1">
        <f t="array" ref="J472">IF(D472="G",I472/AJ472,I472/Q472)</f>
        <v>-9.3072676111707088E-3</v>
      </c>
      <c r="K472" s="52" cm="1">
        <f t="array" ref="K472">IF(Settings!$E$18="C/LW/RW",VLOOKUP(B472,'C'!A1:F210,6,FALSE),VLOOKUP(B472,F!A1:F407,6,FALSE))</f>
        <v>-7.0673618960640381</v>
      </c>
      <c r="L472" s="54" cm="1">
        <f t="array" ref="L472">IFERROR(K472/H472,"N/A")</f>
        <v>-7.4100780037368681</v>
      </c>
      <c r="M472" s="55">
        <v>130.4</v>
      </c>
      <c r="N472" s="55" cm="1">
        <f t="array" ref="N472">IFERROR(M472-A472,"N/A")</f>
        <v>-334.6</v>
      </c>
      <c r="O472" s="80"/>
      <c r="P472" s="56" t="str" cm="1">
        <f t="array" ref="P472">_xlfn.XLOOKUP($B472,ADP!A2:A671,ADP!G2:G671)</f>
        <v>+</v>
      </c>
      <c r="Q472" s="57" cm="1">
        <f t="array" ref="Q472">IF(Settings!$E$12="YES",VLOOKUP(B472,'Player Data'!A1:E673,5,FALSE),84)</f>
        <v>76</v>
      </c>
      <c r="R472" s="81" cm="1">
        <f t="array" ref="R472">VLOOKUP(B472,'Player Data'!$A1:$AE673,6,FALSE)</f>
        <v>12.9</v>
      </c>
      <c r="S472" s="57" cm="1">
        <f t="array" ref="S472">VLOOKUP(B472,'Player Data'!$A1:$AE673,7,FALSE)*$Q472*IFERROR((VLOOKUP(P472,Settings!$E$28:$F$33,2,FALSE)+1),1)</f>
        <v>14.364000000000001</v>
      </c>
      <c r="T472" s="57" cm="1">
        <f t="array" ref="T472">VLOOKUP(B472,'Player Data'!$A1:$AE673,8,FALSE)*$Q472*IFERROR((VLOOKUP(P472,Settings!$E$28:$F$33,2,FALSE)+1),1)</f>
        <v>23.141999999999999</v>
      </c>
      <c r="U472" s="57" cm="1">
        <f t="array" ref="U472">SUM(S472:T472)</f>
        <v>37.506</v>
      </c>
      <c r="V472" s="57" cm="1">
        <f t="array" ref="V472">VLOOKUP(B472,'Player Data'!$A1:$AE673,10,FALSE)*$Q472*IFERROR(((VLOOKUP(P472,Settings!$E$28:$F$33,2,FALSE)/2)+1),1)</f>
        <v>127.75599999999997</v>
      </c>
      <c r="W472" s="57" cm="1">
        <f t="array" ref="W472">VLOOKUP(B472,'Player Data'!$A1:$AE673,11,FALSE)*$Q472*IFERROR((VLOOKUP(P472,Settings!$E$28:$F$33,2,FALSE)+1),1)</f>
        <v>0</v>
      </c>
      <c r="X472" s="57" cm="1">
        <f t="array" ref="X472">VLOOKUP(B472,'Player Data'!$A1:$AE673,12,FALSE)*$Q472*IFERROR((VLOOKUP(P472,Settings!$E$28:$F$33,2,FALSE)+1),1)</f>
        <v>0</v>
      </c>
      <c r="Y472" s="57" cm="1">
        <f t="array" ref="Y472">VLOOKUP(B472,'Player Data'!$A1:$AE673,13,FALSE)*$Q472</f>
        <v>0</v>
      </c>
      <c r="Z472" s="57" cm="1">
        <f t="array" ref="Z472">VLOOKUP(B472,'Player Data'!$A1:$AE673,14,FALSE)*$Q472</f>
        <v>0</v>
      </c>
      <c r="AA472" s="57" cm="1">
        <f t="array" ref="AA472">VLOOKUP(B472,'Player Data'!$A1:$AE673,15,FALSE)*$Q472</f>
        <v>31.919999999999998</v>
      </c>
      <c r="AB472" s="57" cm="1">
        <f t="array" ref="AB472">VLOOKUP(B472,'Player Data'!$A1:$AE673,16,FALSE)*$Q472</f>
        <v>76.760000000000005</v>
      </c>
      <c r="AC472" s="57" cm="1">
        <f t="array" ref="AC472">VLOOKUP(B472,'Player Data'!$A1:$AE673,17,FALSE)*$Q472*IFERROR((VLOOKUP(P472,Settings!$E$28:$F$33,2,FALSE)+1),1)</f>
        <v>1.5960000000000001</v>
      </c>
      <c r="AD472" s="57" cm="1">
        <f t="array" ref="AD472">VLOOKUP(B472,'Player Data'!$A1:$AE673,18,FALSE)*$Q472</f>
        <v>20.520000000000003</v>
      </c>
      <c r="AE472" s="57" cm="1">
        <f t="array" ref="AE472">VLOOKUP(B472,'Player Data'!$A1:$AE673,19,FALSE)*$Q472*IFERROR((VLOOKUP(P472,Settings!$E$28:$F$33,2,FALSE)+1),1)</f>
        <v>2.3939999999999997</v>
      </c>
      <c r="AF472" s="57" cm="1">
        <f t="array" ref="AF472">VLOOKUP(B472,'Player Data'!$A1:$AE673,20,FALSE)*$Q472</f>
        <v>91.2</v>
      </c>
      <c r="AG472" s="57" cm="1">
        <f t="array" ref="AG472">VLOOKUP(B472,'Player Data'!$A1:$AE673,21,FALSE)*$Q472</f>
        <v>128.44</v>
      </c>
      <c r="AH472" s="59" cm="1">
        <f t="array" ref="AH472">VLOOKUP(B472,'Player Data'!$A1:$AE673,22,FALSE)</f>
        <v>0.42</v>
      </c>
      <c r="AI472" s="55"/>
      <c r="AJ472" s="57"/>
      <c r="AK472" s="57"/>
      <c r="AL472" s="57"/>
      <c r="AM472" s="57"/>
      <c r="AN472" s="57"/>
      <c r="AO472" s="57"/>
      <c r="AP472" s="57"/>
      <c r="AQ472" s="60"/>
      <c r="AR472" s="61"/>
      <c r="AS472" s="55"/>
    </row>
    <row r="473" spans="1:45" ht="21.25" customHeight="1" x14ac:dyDescent="0.15">
      <c r="A473" s="62">
        <f>RANK(K473,K$2:K$671)</f>
        <v>470</v>
      </c>
      <c r="B473" s="10" t="s">
        <v>591</v>
      </c>
      <c r="C473" s="47" t="s">
        <v>145</v>
      </c>
      <c r="D473" s="48" t="str" cm="1">
        <f t="array" ref="D473">VLOOKUP(B473,'Player Data'!A1:D673,4,FALSE)</f>
        <v>C,LW</v>
      </c>
      <c r="E473" s="74" cm="1">
        <f t="array" ref="E473">VLOOKUP(B473,LW!A1:C210,3,FALSE)</f>
        <v>118</v>
      </c>
      <c r="F473" s="70" t="str" cm="1">
        <f t="array" ref="F473">VLOOKUP(B473,'Player Data'!A1:B673,2,FALSE)</f>
        <v>L.A</v>
      </c>
      <c r="G473" s="66" cm="1">
        <f t="array" ref="G473">VLOOKUP(B473,'Player Data'!A1:D673,3,FALSE)</f>
        <v>35</v>
      </c>
      <c r="H473" s="51" cm="1">
        <f t="array" ref="H473">IFERROR(VLOOKUP(B473,ADP!A1:F671,6,FALSE)/1000000,VLOOKUP(B473,ADP!A1:F671,6,FALSE))</f>
        <v>3.6</v>
      </c>
      <c r="I473" s="52">
        <f>IF(Settings!$E$15="POINTS",((R473*Q473)*Settings!$B$12)+(S473*Settings!$B$2)+(T473*Settings!$B$3)+(U473*Settings!$B$4)+(V473*Settings!$B$5)+(X473*Settings!$B$9)+(AA473*Settings!$B$6)+(W473*Settings!$B$8)+(AB473*Settings!$B$7)+(AC473*Settings!$B$14)+(AD473*Settings!$B$15)+(AE473*Settings!$B$16)+(AF473*Settings!$B$17)+(AG473*Settings!$B$18)+(Y473*Settings!$B$10)+(Z473*Settings!$B$11),VLOOKUP(B473,'Standard Deviations'!A$1:C$672,3,FALSE))</f>
        <v>-0.21289213266009155</v>
      </c>
      <c r="J473" s="53" cm="1">
        <f t="array" ref="J473">IF(D473="G",I473/AJ473,I473/Q473)</f>
        <v>-2.6282979340752043E-3</v>
      </c>
      <c r="K473" s="52" cm="1">
        <f t="array" ref="K473">IF(Settings!$E$18="C/LW/RW",VLOOKUP(B473,LW!A1:F210,6,FALSE),VLOOKUP(B473,F!A1:F407,6,FALSE))</f>
        <v>-7.1072777770499016</v>
      </c>
      <c r="L473" s="54" cm="1">
        <f t="array" ref="L473">IFERROR(K473/H473,"N/A")</f>
        <v>-1.974243826958306</v>
      </c>
      <c r="M473" s="84" t="s">
        <v>828</v>
      </c>
      <c r="N473" s="84" t="str" cm="1">
        <f t="array" ref="N473">IFERROR(M473-A473,"N/A")</f>
        <v>N/A</v>
      </c>
      <c r="O473" s="82"/>
      <c r="P473" s="56" cm="1">
        <f t="array" ref="P473">_xlfn.XLOOKUP($B473,ADP!A2:A671,ADP!G2:G671)</f>
        <v>0</v>
      </c>
      <c r="Q473" s="57" cm="1">
        <f t="array" ref="Q473">IF(Settings!$E$12="YES",VLOOKUP(B473,'Player Data'!A1:E673,5,FALSE),84)</f>
        <v>81</v>
      </c>
      <c r="R473" s="55" cm="1">
        <f t="array" ref="R473">VLOOKUP(B473,'Player Data'!$A1:$AE673,6,FALSE)</f>
        <v>16</v>
      </c>
      <c r="S473" s="57" cm="1">
        <f t="array" ref="S473">VLOOKUP(B473,'Player Data'!$A1:$AE673,7,FALSE)*$Q473*IFERROR((VLOOKUP(P473,Settings!$E$28:$F$33,2,FALSE)+1),1)</f>
        <v>12.96</v>
      </c>
      <c r="T473" s="57" cm="1">
        <f t="array" ref="T473">VLOOKUP(B473,'Player Data'!$A1:$AE673,8,FALSE)*$Q473*IFERROR((VLOOKUP(P473,Settings!$E$28:$F$33,2,FALSE)+1),1)</f>
        <v>19.439999999999998</v>
      </c>
      <c r="U473" s="57" cm="1">
        <f t="array" ref="U473">SUM(S473:T473)</f>
        <v>32.4</v>
      </c>
      <c r="V473" s="57" cm="1">
        <f t="array" ref="V473">VLOOKUP(B473,'Player Data'!$A1:$AE673,10,FALSE)*$Q473*IFERROR(((VLOOKUP(P473,Settings!$E$28:$F$33,2,FALSE)/2)+1),1)</f>
        <v>132.03</v>
      </c>
      <c r="W473" s="57" cm="1">
        <f t="array" ref="W473">VLOOKUP(B473,'Player Data'!$A1:$AE673,11,FALSE)*$Q473*IFERROR((VLOOKUP(P473,Settings!$E$28:$F$33,2,FALSE)+1),1)</f>
        <v>3.24</v>
      </c>
      <c r="X473" s="57" cm="1">
        <f t="array" ref="X473">VLOOKUP(B473,'Player Data'!$A1:$AE673,12,FALSE)*$Q473*IFERROR((VLOOKUP(P473,Settings!$E$28:$F$33,2,FALSE)+1),1)</f>
        <v>9.7199999999999989</v>
      </c>
      <c r="Y473" s="57" cm="1">
        <f t="array" ref="Y473">VLOOKUP(B473,'Player Data'!$A1:$AE673,13,FALSE)*$Q473</f>
        <v>0.81</v>
      </c>
      <c r="Z473" s="57" cm="1">
        <f t="array" ref="Z473">VLOOKUP(B473,'Player Data'!$A1:$AE673,14,FALSE)*$Q473</f>
        <v>0.81</v>
      </c>
      <c r="AA473" s="57" cm="1">
        <f t="array" ref="AA473">VLOOKUP(B473,'Player Data'!$A1:$AE673,15,FALSE)*$Q473</f>
        <v>46.98</v>
      </c>
      <c r="AB473" s="57" cm="1">
        <f t="array" ref="AB473">VLOOKUP(B473,'Player Data'!$A1:$AE673,16,FALSE)*$Q473</f>
        <v>111.77999999999999</v>
      </c>
      <c r="AC473" s="57" cm="1">
        <f t="array" ref="AC473">VLOOKUP(B473,'Player Data'!$A1:$AE673,17,FALSE)*$Q473*IFERROR((VLOOKUP(P473,Settings!$E$28:$F$33,2,FALSE)+1),1)</f>
        <v>-2.4299999999999997</v>
      </c>
      <c r="AD473" s="57" cm="1">
        <f t="array" ref="AD473">VLOOKUP(B473,'Player Data'!$A1:$AE673,18,FALSE)*$Q473</f>
        <v>46.98</v>
      </c>
      <c r="AE473" s="57" cm="1">
        <f t="array" ref="AE473">VLOOKUP(B473,'Player Data'!$A1:$AE673,19,FALSE)*$Q473*IFERROR((VLOOKUP(P473,Settings!$E$28:$F$33,2,FALSE)+1),1)</f>
        <v>2.4299999999999997</v>
      </c>
      <c r="AF473" s="57" cm="1">
        <f t="array" ref="AF473">VLOOKUP(B473,'Player Data'!$A1:$AE673,20,FALSE)*$Q473</f>
        <v>489.24</v>
      </c>
      <c r="AG473" s="57" cm="1">
        <f t="array" ref="AG473">VLOOKUP(B473,'Player Data'!$A1:$AE673,21,FALSE)*$Q473</f>
        <v>459.27</v>
      </c>
      <c r="AH473" s="59" cm="1">
        <f t="array" ref="AH473">VLOOKUP(B473,'Player Data'!$A1:$AE673,22,FALSE)</f>
        <v>0.52</v>
      </c>
      <c r="AI473" s="55"/>
      <c r="AJ473" s="57"/>
      <c r="AK473" s="57"/>
      <c r="AL473" s="57"/>
      <c r="AM473" s="57"/>
      <c r="AN473" s="57"/>
      <c r="AO473" s="57"/>
      <c r="AP473" s="57"/>
      <c r="AQ473" s="60"/>
      <c r="AR473" s="61"/>
      <c r="AS473" s="55"/>
    </row>
    <row r="474" spans="1:45" ht="21.25" customHeight="1" x14ac:dyDescent="0.15">
      <c r="A474" s="62">
        <f>RANK(K474,K$2:K$671)</f>
        <v>471</v>
      </c>
      <c r="B474" s="10" t="s">
        <v>734</v>
      </c>
      <c r="C474" s="47" t="s">
        <v>145</v>
      </c>
      <c r="D474" s="48" t="str" cm="1">
        <f t="array" ref="D474">VLOOKUP(B474,'Player Data'!A1:D673,4,FALSE)</f>
        <v>LW</v>
      </c>
      <c r="E474" s="75" cm="1">
        <f t="array" ref="E474">VLOOKUP(B474,LW!A1:C210,3,FALSE)</f>
        <v>119</v>
      </c>
      <c r="F474" s="65" t="str" cm="1">
        <f t="array" ref="F474">VLOOKUP(B474,'Player Data'!A1:B673,2,FALSE)</f>
        <v>T.B</v>
      </c>
      <c r="G474" s="66" cm="1">
        <f t="array" ref="G474">VLOOKUP(B474,'Player Data'!A1:D673,3,FALSE)</f>
        <v>32</v>
      </c>
      <c r="H474" s="67" cm="1">
        <f t="array" ref="H474">IFERROR(VLOOKUP(B474,ADP!A1:F671,6,FALSE)/1000000,VLOOKUP(B474,ADP!A1:F671,6,FALSE))</f>
        <v>0.875</v>
      </c>
      <c r="I474" s="52">
        <f>IF(Settings!$E$15="POINTS",((R474*Q474)*Settings!$B$12)+(S474*Settings!$B$2)+(T474*Settings!$B$3)+(U474*Settings!$B$4)+(V474*Settings!$B$5)+(X474*Settings!$B$9)+(AA474*Settings!$B$6)+(W474*Settings!$B$8)+(AB474*Settings!$B$7)+(AC474*Settings!$B$14)+(AD474*Settings!$B$15)+(AE474*Settings!$B$16)+(AF474*Settings!$B$17)+(AG474*Settings!$B$18)+(Y474*Settings!$B$10)+(Z474*Settings!$B$11),VLOOKUP(B474,'Standard Deviations'!A$1:C$672,3,FALSE))</f>
        <v>-0.21308998417946112</v>
      </c>
      <c r="J474" s="53" cm="1">
        <f t="array" ref="J474">IF(D474="G",I474/AJ474,I474/Q474)</f>
        <v>-2.630740545425446E-3</v>
      </c>
      <c r="K474" s="52" cm="1">
        <f t="array" ref="K474">IF(Settings!$E$18="C/LW/RW",VLOOKUP(B474,LW!A1:F210,6,FALSE),VLOOKUP(B474,F!A1:F407,6,FALSE))</f>
        <v>-7.1074756285692704</v>
      </c>
      <c r="L474" s="54" cm="1">
        <f t="array" ref="L474">IFERROR(K474/H474,"N/A")</f>
        <v>-8.1228292897934526</v>
      </c>
      <c r="M474" s="84" t="s">
        <v>828</v>
      </c>
      <c r="N474" s="84" t="str" cm="1">
        <f t="array" ref="N474">IFERROR(M474-A474,"N/A")</f>
        <v>N/A</v>
      </c>
      <c r="O474" s="55"/>
      <c r="P474" s="56" cm="1">
        <f t="array" ref="P474">_xlfn.XLOOKUP($B474,ADP!A2:A671,ADP!G2:G671)</f>
        <v>0</v>
      </c>
      <c r="Q474" s="57" cm="1">
        <f t="array" ref="Q474">IF(Settings!$E$12="YES",VLOOKUP(B474,'Player Data'!A1:E673,5,FALSE),84)</f>
        <v>81</v>
      </c>
      <c r="R474" s="83" cm="1">
        <f t="array" ref="R474">VLOOKUP(B474,'Player Data'!$A1:$AE673,6,FALSE)</f>
        <v>13.3</v>
      </c>
      <c r="S474" s="57" cm="1">
        <f t="array" ref="S474">VLOOKUP(B474,'Player Data'!$A1:$AE673,7,FALSE)*$Q474*IFERROR((VLOOKUP(P474,Settings!$E$28:$F$33,2,FALSE)+1),1)</f>
        <v>7.29</v>
      </c>
      <c r="T474" s="57" cm="1">
        <f t="array" ref="T474">VLOOKUP(B474,'Player Data'!$A1:$AE673,8,FALSE)*$Q474*IFERROR((VLOOKUP(P474,Settings!$E$28:$F$33,2,FALSE)+1),1)</f>
        <v>8.91</v>
      </c>
      <c r="U474" s="57" cm="1">
        <f t="array" ref="U474">SUM(S474:T474)</f>
        <v>16.2</v>
      </c>
      <c r="V474" s="57" cm="1">
        <f t="array" ref="V474">VLOOKUP(B474,'Player Data'!$A1:$AE673,10,FALSE)*$Q474*IFERROR(((VLOOKUP(P474,Settings!$E$28:$F$33,2,FALSE)/2)+1),1)</f>
        <v>89.910000000000011</v>
      </c>
      <c r="W474" s="57" cm="1">
        <f t="array" ref="W474">VLOOKUP(B474,'Player Data'!$A1:$AE673,11,FALSE)*$Q474*IFERROR((VLOOKUP(P474,Settings!$E$28:$F$33,2,FALSE)+1),1)</f>
        <v>0</v>
      </c>
      <c r="X474" s="57" cm="1">
        <f t="array" ref="X474">VLOOKUP(B474,'Player Data'!$A1:$AE673,12,FALSE)*$Q474*IFERROR((VLOOKUP(P474,Settings!$E$28:$F$33,2,FALSE)+1),1)</f>
        <v>0</v>
      </c>
      <c r="Y474" s="57" cm="1">
        <f t="array" ref="Y474">VLOOKUP(B474,'Player Data'!$A1:$AE673,13,FALSE)*$Q474</f>
        <v>0</v>
      </c>
      <c r="Z474" s="57" cm="1">
        <f t="array" ref="Z474">VLOOKUP(B474,'Player Data'!$A1:$AE673,14,FALSE)*$Q474</f>
        <v>0</v>
      </c>
      <c r="AA474" s="57" cm="1">
        <f t="array" ref="AA474">VLOOKUP(B474,'Player Data'!$A1:$AE673,15,FALSE)*$Q474</f>
        <v>45.360000000000007</v>
      </c>
      <c r="AB474" s="57" cm="1">
        <f t="array" ref="AB474">VLOOKUP(B474,'Player Data'!$A1:$AE673,16,FALSE)*$Q474</f>
        <v>181.44000000000003</v>
      </c>
      <c r="AC474" s="57" cm="1">
        <f t="array" ref="AC474">VLOOKUP(B474,'Player Data'!$A1:$AE673,17,FALSE)*$Q474*IFERROR((VLOOKUP(P474,Settings!$E$28:$F$33,2,FALSE)+1),1)</f>
        <v>4.8599999999999994</v>
      </c>
      <c r="AD474" s="57" cm="1">
        <f t="array" ref="AD474">VLOOKUP(B474,'Player Data'!$A1:$AE673,18,FALSE)*$Q474</f>
        <v>31.59</v>
      </c>
      <c r="AE474" s="57" cm="1">
        <f t="array" ref="AE474">VLOOKUP(B474,'Player Data'!$A1:$AE673,19,FALSE)*$Q474*IFERROR((VLOOKUP(P474,Settings!$E$28:$F$33,2,FALSE)+1),1)</f>
        <v>1.62</v>
      </c>
      <c r="AF474" s="57" cm="1">
        <f t="array" ref="AF474">VLOOKUP(B474,'Player Data'!$A1:$AE673,20,FALSE)*$Q474</f>
        <v>101.25</v>
      </c>
      <c r="AG474" s="57" cm="1">
        <f t="array" ref="AG474">VLOOKUP(B474,'Player Data'!$A1:$AE673,21,FALSE)*$Q474</f>
        <v>116.64</v>
      </c>
      <c r="AH474" s="59" cm="1">
        <f t="array" ref="AH474">VLOOKUP(B474,'Player Data'!$A1:$AE673,22,FALSE)</f>
        <v>0.46</v>
      </c>
      <c r="AI474" s="55"/>
      <c r="AJ474" s="57"/>
      <c r="AK474" s="57"/>
      <c r="AL474" s="57"/>
      <c r="AM474" s="57"/>
      <c r="AN474" s="57"/>
      <c r="AO474" s="57"/>
      <c r="AP474" s="57"/>
      <c r="AQ474" s="60"/>
      <c r="AR474" s="61"/>
      <c r="AS474" s="55"/>
    </row>
    <row r="475" spans="1:45" ht="21.25" customHeight="1" x14ac:dyDescent="0.15">
      <c r="A475" s="62">
        <f>RANK(K475,K$2:K$671)</f>
        <v>468</v>
      </c>
      <c r="B475" s="10" t="s">
        <v>638</v>
      </c>
      <c r="C475" s="47" t="s">
        <v>145</v>
      </c>
      <c r="D475" s="48" t="str" cm="1">
        <f t="array" ref="D475">VLOOKUP(B475,'Player Data'!A1:D673,4,FALSE)</f>
        <v>C</v>
      </c>
      <c r="E475" s="49" cm="1">
        <f t="array" ref="E475">VLOOKUP(B475,'C'!A1:C210,3,FALSE)</f>
        <v>112</v>
      </c>
      <c r="F475" s="63" t="str" cm="1">
        <f t="array" ref="F475">VLOOKUP(B475,'Player Data'!A1:B673,2,FALSE)</f>
        <v>WPG</v>
      </c>
      <c r="G475" s="66" cm="1">
        <f t="array" ref="G475">VLOOKUP(B475,'Player Data'!A1:D673,3,FALSE)</f>
        <v>33</v>
      </c>
      <c r="H475" s="51" cm="1">
        <f t="array" ref="H475">IFERROR(VLOOKUP(B475,ADP!A1:F671,6,FALSE)/1000000,VLOOKUP(B475,ADP!A1:F671,6,FALSE))</f>
        <v>5</v>
      </c>
      <c r="I475" s="52">
        <f>IF(Settings!$E$15="POINTS",((R475*Q475)*Settings!$B$12)+(S475*Settings!$B$2)+(T475*Settings!$B$3)+(U475*Settings!$B$4)+(V475*Settings!$B$5)+(X475*Settings!$B$9)+(AA475*Settings!$B$6)+(W475*Settings!$B$8)+(AB475*Settings!$B$7)+(AC475*Settings!$B$14)+(AD475*Settings!$B$15)+(AE475*Settings!$B$16)+(AF475*Settings!$B$17)+(AG475*Settings!$B$18)+(Y475*Settings!$B$10)+(Z475*Settings!$B$11),VLOOKUP(B475,'Standard Deviations'!A$1:C$672,3,FALSE))</f>
        <v>-0.73200420888704998</v>
      </c>
      <c r="J475" s="53" cm="1">
        <f t="array" ref="J475">IF(D475="G",I475/AJ475,I475/Q475)</f>
        <v>-9.0370889986055546E-3</v>
      </c>
      <c r="K475" s="52" cm="1">
        <f t="array" ref="K475">IF(Settings!$E$18="C/LW/RW",VLOOKUP(B475,'C'!A1:F210,6,FALSE),VLOOKUP(B475,F!A1:F407,6,FALSE))</f>
        <v>-7.0920137665021139</v>
      </c>
      <c r="L475" s="54" cm="1">
        <f t="array" ref="L475">IFERROR(K475/H475,"N/A")</f>
        <v>-1.4184027533004229</v>
      </c>
      <c r="M475" s="84" t="s">
        <v>828</v>
      </c>
      <c r="N475" s="84" t="str" cm="1">
        <f t="array" ref="N475">IFERROR(M475-A475,"N/A")</f>
        <v>N/A</v>
      </c>
      <c r="O475" s="55"/>
      <c r="P475" s="56" cm="1">
        <f t="array" ref="P475">_xlfn.XLOOKUP($B475,ADP!A2:A671,ADP!G2:G671)</f>
        <v>0</v>
      </c>
      <c r="Q475" s="57" cm="1">
        <f t="array" ref="Q475">IF(Settings!$E$12="YES",VLOOKUP(B475,'Player Data'!A1:E673,5,FALSE),84)</f>
        <v>81</v>
      </c>
      <c r="R475" s="55" cm="1">
        <f t="array" ref="R475">VLOOKUP(B475,'Player Data'!$A1:$AE673,6,FALSE)</f>
        <v>15</v>
      </c>
      <c r="S475" s="57" cm="1">
        <f t="array" ref="S475">VLOOKUP(B475,'Player Data'!$A1:$AE673,7,FALSE)*$Q475*IFERROR((VLOOKUP(P475,Settings!$E$28:$F$33,2,FALSE)+1),1)</f>
        <v>9.7199999999999989</v>
      </c>
      <c r="T475" s="57" cm="1">
        <f t="array" ref="T475">VLOOKUP(B475,'Player Data'!$A1:$AE673,8,FALSE)*$Q475*IFERROR((VLOOKUP(P475,Settings!$E$28:$F$33,2,FALSE)+1),1)</f>
        <v>17.82</v>
      </c>
      <c r="U475" s="57" cm="1">
        <f t="array" ref="U475">SUM(S475:T475)</f>
        <v>27.54</v>
      </c>
      <c r="V475" s="57" cm="1">
        <f t="array" ref="V475">VLOOKUP(B475,'Player Data'!$A1:$AE673,10,FALSE)*$Q475*IFERROR(((VLOOKUP(P475,Settings!$E$28:$F$33,2,FALSE)/2)+1),1)</f>
        <v>93.149999999999991</v>
      </c>
      <c r="W475" s="57" cm="1">
        <f t="array" ref="W475">VLOOKUP(B475,'Player Data'!$A1:$AE673,11,FALSE)*$Q475*IFERROR((VLOOKUP(P475,Settings!$E$28:$F$33,2,FALSE)+1),1)</f>
        <v>0</v>
      </c>
      <c r="X475" s="57" cm="1">
        <f t="array" ref="X475">VLOOKUP(B475,'Player Data'!$A1:$AE673,12,FALSE)*$Q475*IFERROR((VLOOKUP(P475,Settings!$E$28:$F$33,2,FALSE)+1),1)</f>
        <v>0</v>
      </c>
      <c r="Y475" s="57" cm="1">
        <f t="array" ref="Y475">VLOOKUP(B475,'Player Data'!$A1:$AE673,13,FALSE)*$Q475</f>
        <v>0.81</v>
      </c>
      <c r="Z475" s="57" cm="1">
        <f t="array" ref="Z475">VLOOKUP(B475,'Player Data'!$A1:$AE673,14,FALSE)*$Q475</f>
        <v>1.62</v>
      </c>
      <c r="AA475" s="57" cm="1">
        <f t="array" ref="AA475">VLOOKUP(B475,'Player Data'!$A1:$AE673,15,FALSE)*$Q475</f>
        <v>57.51</v>
      </c>
      <c r="AB475" s="57" cm="1">
        <f t="array" ref="AB475">VLOOKUP(B475,'Player Data'!$A1:$AE673,16,FALSE)*$Q475</f>
        <v>153.9</v>
      </c>
      <c r="AC475" s="57" cm="1">
        <f t="array" ref="AC475">VLOOKUP(B475,'Player Data'!$A1:$AE673,17,FALSE)*$Q475*IFERROR((VLOOKUP(P475,Settings!$E$28:$F$33,2,FALSE)+1),1)</f>
        <v>0.81</v>
      </c>
      <c r="AD475" s="57" cm="1">
        <f t="array" ref="AD475">VLOOKUP(B475,'Player Data'!$A1:$AE673,18,FALSE)*$Q475</f>
        <v>37.260000000000005</v>
      </c>
      <c r="AE475" s="57" cm="1">
        <f t="array" ref="AE475">VLOOKUP(B475,'Player Data'!$A1:$AE673,19,FALSE)*$Q475*IFERROR((VLOOKUP(P475,Settings!$E$28:$F$33,2,FALSE)+1),1)</f>
        <v>1.62</v>
      </c>
      <c r="AF475" s="57" cm="1">
        <f t="array" ref="AF475">VLOOKUP(B475,'Player Data'!$A1:$AE673,20,FALSE)*$Q475</f>
        <v>606.69000000000005</v>
      </c>
      <c r="AG475" s="57" cm="1">
        <f t="array" ref="AG475">VLOOKUP(B475,'Player Data'!$A1:$AE673,21,FALSE)*$Q475</f>
        <v>556.47</v>
      </c>
      <c r="AH475" s="59" cm="1">
        <f t="array" ref="AH475">VLOOKUP(B475,'Player Data'!$A1:$AE673,22,FALSE)</f>
        <v>0.52</v>
      </c>
      <c r="AI475" s="55"/>
      <c r="AJ475" s="57"/>
      <c r="AK475" s="57"/>
      <c r="AL475" s="57"/>
      <c r="AM475" s="57"/>
      <c r="AN475" s="57"/>
      <c r="AO475" s="57"/>
      <c r="AP475" s="57"/>
      <c r="AQ475" s="60"/>
      <c r="AR475" s="61"/>
      <c r="AS475" s="55"/>
    </row>
    <row r="476" spans="1:45" ht="21.25" customHeight="1" x14ac:dyDescent="0.15">
      <c r="A476" s="62">
        <f>RANK(K476,K$2:K$671)</f>
        <v>472</v>
      </c>
      <c r="B476" s="10" t="s">
        <v>575</v>
      </c>
      <c r="C476" s="47" t="s">
        <v>145</v>
      </c>
      <c r="D476" s="48" t="str" cm="1">
        <f t="array" ref="D476">VLOOKUP(B476,'Player Data'!A1:D673,4,FALSE)</f>
        <v>RW</v>
      </c>
      <c r="E476" s="64" cm="1">
        <f t="array" ref="E476">VLOOKUP(B476,RW!A1:F210,3,FALSE)</f>
        <v>114</v>
      </c>
      <c r="F476" s="70" t="str" cm="1">
        <f t="array" ref="F476">VLOOKUP(B476,'Player Data'!A1:B673,2,FALSE)</f>
        <v>MIN</v>
      </c>
      <c r="G476" s="11" cm="1">
        <f t="array" ref="G476">VLOOKUP(B476,'Player Data'!A1:D673,3,FALSE)</f>
        <v>25</v>
      </c>
      <c r="H476" s="67" cm="1">
        <f t="array" ref="H476">IFERROR(VLOOKUP(B476,ADP!A1:F671,6,FALSE)/1000000,VLOOKUP(B476,ADP!A1:F671,6,FALSE))</f>
        <v>2.75</v>
      </c>
      <c r="I476" s="52">
        <f>IF(Settings!$E$15="POINTS",((R476*Q476)*Settings!$B$12)+(S476*Settings!$B$2)+(T476*Settings!$B$3)+(U476*Settings!$B$4)+(V476*Settings!$B$5)+(X476*Settings!$B$9)+(AA476*Settings!$B$6)+(W476*Settings!$B$8)+(AB476*Settings!$B$7)+(AC476*Settings!$B$14)+(AD476*Settings!$B$15)+(AE476*Settings!$B$16)+(AF476*Settings!$B$17)+(AG476*Settings!$B$18)+(Y476*Settings!$B$10)+(Z476*Settings!$B$11),VLOOKUP(B476,'Standard Deviations'!A$1:C$672,3,FALSE))</f>
        <v>-0.22850821603657123</v>
      </c>
      <c r="J476" s="53" cm="1">
        <f t="array" ref="J476">IF(D476="G",I476/AJ476,I476/Q476)</f>
        <v>-2.8925090637540664E-3</v>
      </c>
      <c r="K476" s="52" cm="1">
        <f t="array" ref="K476">IF(Settings!$E$18="C/LW/RW",VLOOKUP(B476,RW!A1:F210,6,FALSE),VLOOKUP(B476,F!A1:F407,6,FALSE))</f>
        <v>-7.115742817845649</v>
      </c>
      <c r="L476" s="54" cm="1">
        <f t="array" ref="L476">IFERROR(K476/H476,"N/A")</f>
        <v>-2.5875428428529634</v>
      </c>
      <c r="M476" s="84" t="s">
        <v>828</v>
      </c>
      <c r="N476" s="84" t="str" cm="1">
        <f t="array" ref="N476">IFERROR(M476-A476,"N/A")</f>
        <v>N/A</v>
      </c>
      <c r="O476" s="55"/>
      <c r="P476" s="56" cm="1">
        <f t="array" ref="P476">_xlfn.XLOOKUP($B476,ADP!A2:A671,ADP!G2:G671)</f>
        <v>0</v>
      </c>
      <c r="Q476" s="57" cm="1">
        <f t="array" ref="Q476">IF(Settings!$E$12="YES",VLOOKUP(B476,'Player Data'!A1:E673,5,FALSE),84)</f>
        <v>79</v>
      </c>
      <c r="R476" s="55" cm="1">
        <f t="array" ref="R476">VLOOKUP(B476,'Player Data'!$A1:$AE673,6,FALSE)</f>
        <v>14.7</v>
      </c>
      <c r="S476" s="57" cm="1">
        <f t="array" ref="S476">VLOOKUP(B476,'Player Data'!$A1:$AE673,7,FALSE)*$Q476*IFERROR((VLOOKUP(P476,Settings!$E$28:$F$33,2,FALSE)+1),1)</f>
        <v>14.219999999999999</v>
      </c>
      <c r="T476" s="57" cm="1">
        <f t="array" ref="T476">VLOOKUP(B476,'Player Data'!$A1:$AE673,8,FALSE)*$Q476*IFERROR((VLOOKUP(P476,Settings!$E$28:$F$33,2,FALSE)+1),1)</f>
        <v>21.330000000000002</v>
      </c>
      <c r="U476" s="57" cm="1">
        <f t="array" ref="U476">SUM(S476:T476)</f>
        <v>35.549999999999997</v>
      </c>
      <c r="V476" s="57" cm="1">
        <f t="array" ref="V476">VLOOKUP(B476,'Player Data'!$A1:$AE673,10,FALSE)*$Q476*IFERROR(((VLOOKUP(P476,Settings!$E$28:$F$33,2,FALSE)/2)+1),1)</f>
        <v>110.6</v>
      </c>
      <c r="W476" s="57" cm="1">
        <f t="array" ref="W476">VLOOKUP(B476,'Player Data'!$A1:$AE673,11,FALSE)*$Q476*IFERROR((VLOOKUP(P476,Settings!$E$28:$F$33,2,FALSE)+1),1)</f>
        <v>2.37</v>
      </c>
      <c r="X476" s="57" cm="1">
        <f t="array" ref="X476">VLOOKUP(B476,'Player Data'!$A1:$AE673,12,FALSE)*$Q476*IFERROR((VLOOKUP(P476,Settings!$E$28:$F$33,2,FALSE)+1),1)</f>
        <v>4.74</v>
      </c>
      <c r="Y476" s="57" cm="1">
        <f t="array" ref="Y476">VLOOKUP(B476,'Player Data'!$A1:$AE673,13,FALSE)*$Q476</f>
        <v>0</v>
      </c>
      <c r="Z476" s="57" cm="1">
        <f t="array" ref="Z476">VLOOKUP(B476,'Player Data'!$A1:$AE673,14,FALSE)*$Q476</f>
        <v>0</v>
      </c>
      <c r="AA476" s="57" cm="1">
        <f t="array" ref="AA476">VLOOKUP(B476,'Player Data'!$A1:$AE673,15,FALSE)*$Q476</f>
        <v>38.71</v>
      </c>
      <c r="AB476" s="57" cm="1">
        <f t="array" ref="AB476">VLOOKUP(B476,'Player Data'!$A1:$AE673,16,FALSE)*$Q476</f>
        <v>90.059999999999988</v>
      </c>
      <c r="AC476" s="57" cm="1">
        <f t="array" ref="AC476">VLOOKUP(B476,'Player Data'!$A1:$AE673,17,FALSE)*$Q476*IFERROR((VLOOKUP(P476,Settings!$E$28:$F$33,2,FALSE)+1),1)</f>
        <v>2.37</v>
      </c>
      <c r="AD476" s="57" cm="1">
        <f t="array" ref="AD476">VLOOKUP(B476,'Player Data'!$A1:$AE673,18,FALSE)*$Q476</f>
        <v>24.49</v>
      </c>
      <c r="AE476" s="57" cm="1">
        <f t="array" ref="AE476">VLOOKUP(B476,'Player Data'!$A1:$AE673,19,FALSE)*$Q476*IFERROR((VLOOKUP(P476,Settings!$E$28:$F$33,2,FALSE)+1),1)</f>
        <v>2.37</v>
      </c>
      <c r="AF476" s="57" cm="1">
        <f t="array" ref="AF476">VLOOKUP(B476,'Player Data'!$A1:$AE673,20,FALSE)*$Q476</f>
        <v>18.96</v>
      </c>
      <c r="AG476" s="57" cm="1">
        <f t="array" ref="AG476">VLOOKUP(B476,'Player Data'!$A1:$AE673,21,FALSE)*$Q476</f>
        <v>31.6</v>
      </c>
      <c r="AH476" s="59" cm="1">
        <f t="array" ref="AH476">VLOOKUP(B476,'Player Data'!$A1:$AE673,22,FALSE)</f>
        <v>0.38</v>
      </c>
      <c r="AI476" s="55"/>
      <c r="AJ476" s="57"/>
      <c r="AK476" s="57"/>
      <c r="AL476" s="57"/>
      <c r="AM476" s="57"/>
      <c r="AN476" s="57"/>
      <c r="AO476" s="57"/>
      <c r="AP476" s="57"/>
      <c r="AQ476" s="60"/>
      <c r="AR476" s="61"/>
      <c r="AS476" s="55"/>
    </row>
    <row r="477" spans="1:45" ht="21.25" customHeight="1" x14ac:dyDescent="0.15">
      <c r="A477" s="62">
        <f>RANK(K477,K$2:K$671)</f>
        <v>473</v>
      </c>
      <c r="B477" s="10" t="s">
        <v>553</v>
      </c>
      <c r="C477" s="47" t="s">
        <v>145</v>
      </c>
      <c r="D477" s="48" t="str" cm="1">
        <f t="array" ref="D477">VLOOKUP(B477,'Player Data'!A1:D673,4,FALSE)</f>
        <v>C,LW,RW</v>
      </c>
      <c r="E477" s="74" cm="1">
        <f t="array" ref="E477">VLOOKUP(B477,RW!A1:F210,3,FALSE)</f>
        <v>115</v>
      </c>
      <c r="F477" s="18" t="str" cm="1">
        <f t="array" ref="F477">VLOOKUP(B477,'Player Data'!A1:B673,2,FALSE)</f>
        <v>OTT</v>
      </c>
      <c r="G477" s="71" cm="1">
        <f t="array" ref="G477">VLOOKUP(B477,'Player Data'!A1:D673,3,FALSE)</f>
        <v>24</v>
      </c>
      <c r="H477" s="51" cm="1">
        <f t="array" ref="H477">IFERROR(VLOOKUP(B477,ADP!A1:F671,6,FALSE)/1000000,VLOOKUP(B477,ADP!A1:F671,6,FALSE))</f>
        <v>3.25</v>
      </c>
      <c r="I477" s="52">
        <f>IF(Settings!$E$15="POINTS",((R477*Q477)*Settings!$B$12)+(S477*Settings!$B$2)+(T477*Settings!$B$3)+(U477*Settings!$B$4)+(V477*Settings!$B$5)+(X477*Settings!$B$9)+(AA477*Settings!$B$6)+(W477*Settings!$B$8)+(AB477*Settings!$B$7)+(AC477*Settings!$B$14)+(AD477*Settings!$B$15)+(AE477*Settings!$B$16)+(AF477*Settings!$B$17)+(AG477*Settings!$B$18)+(Y477*Settings!$B$10)+(Z477*Settings!$B$11),VLOOKUP(B477,'Standard Deviations'!A$1:C$672,3,FALSE))</f>
        <v>-0.23543836571466814</v>
      </c>
      <c r="J477" s="53" cm="1">
        <f t="array" ref="J477">IF(D477="G",I477/AJ477,I477/Q477)</f>
        <v>-2.8711995818861968E-3</v>
      </c>
      <c r="K477" s="52" cm="1">
        <f t="array" ref="K477">IF(Settings!$E$18="C/LW/RW",VLOOKUP(B477,RW!A1:F210,6,FALSE),VLOOKUP(B477,F!A1:F407,6,FALSE))</f>
        <v>-7.1226729675237461</v>
      </c>
      <c r="L477" s="54" cm="1">
        <f t="array" ref="L477">IFERROR(K477/H477,"N/A")</f>
        <v>-2.191591682314999</v>
      </c>
      <c r="M477" s="84" t="s">
        <v>828</v>
      </c>
      <c r="N477" s="84" t="str" cm="1">
        <f t="array" ref="N477">IFERROR(M477-A477,"N/A")</f>
        <v>N/A</v>
      </c>
      <c r="O477" s="55"/>
      <c r="P477" s="56" cm="1">
        <f t="array" ref="P477">_xlfn.XLOOKUP($B477,ADP!A2:A671,ADP!G2:G671)</f>
        <v>0</v>
      </c>
      <c r="Q477" s="57" cm="1">
        <f t="array" ref="Q477">IF(Settings!$E$12="YES",VLOOKUP(B477,'Player Data'!A1:E673,5,FALSE),84)</f>
        <v>82</v>
      </c>
      <c r="R477" s="55" cm="1">
        <f t="array" ref="R477">VLOOKUP(B477,'Player Data'!$A1:$AE673,6,FALSE)</f>
        <v>16.3</v>
      </c>
      <c r="S477" s="57" cm="1">
        <f t="array" ref="S477">VLOOKUP(B477,'Player Data'!$A1:$AE673,7,FALSE)*$Q477*IFERROR((VLOOKUP(P477,Settings!$E$28:$F$33,2,FALSE)+1),1)</f>
        <v>13.120000000000001</v>
      </c>
      <c r="T477" s="57" cm="1">
        <f t="array" ref="T477">VLOOKUP(B477,'Player Data'!$A1:$AE673,8,FALSE)*$Q477*IFERROR((VLOOKUP(P477,Settings!$E$28:$F$33,2,FALSE)+1),1)</f>
        <v>19.68</v>
      </c>
      <c r="U477" s="57" cm="1">
        <f t="array" ref="U477">SUM(S477:T477)</f>
        <v>32.799999999999997</v>
      </c>
      <c r="V477" s="57" cm="1">
        <f t="array" ref="V477">VLOOKUP(B477,'Player Data'!$A1:$AE673,10,FALSE)*$Q477*IFERROR(((VLOOKUP(P477,Settings!$E$28:$F$33,2,FALSE)/2)+1),1)</f>
        <v>122.17999999999999</v>
      </c>
      <c r="W477" s="57" cm="1">
        <f t="array" ref="W477">VLOOKUP(B477,'Player Data'!$A1:$AE673,11,FALSE)*$Q477*IFERROR((VLOOKUP(P477,Settings!$E$28:$F$33,2,FALSE)+1),1)</f>
        <v>0.82000000000000006</v>
      </c>
      <c r="X477" s="57" cm="1">
        <f t="array" ref="X477">VLOOKUP(B477,'Player Data'!$A1:$AE673,12,FALSE)*$Q477*IFERROR((VLOOKUP(P477,Settings!$E$28:$F$33,2,FALSE)+1),1)</f>
        <v>2.46</v>
      </c>
      <c r="Y477" s="57" cm="1">
        <f t="array" ref="Y477">VLOOKUP(B477,'Player Data'!$A1:$AE673,13,FALSE)*$Q477</f>
        <v>1.6400000000000001</v>
      </c>
      <c r="Z477" s="57" cm="1">
        <f t="array" ref="Z477">VLOOKUP(B477,'Player Data'!$A1:$AE673,14,FALSE)*$Q477</f>
        <v>2.46</v>
      </c>
      <c r="AA477" s="57" cm="1">
        <f t="array" ref="AA477">VLOOKUP(B477,'Player Data'!$A1:$AE673,15,FALSE)*$Q477</f>
        <v>50.839999999999996</v>
      </c>
      <c r="AB477" s="57" cm="1">
        <f t="array" ref="AB477">VLOOKUP(B477,'Player Data'!$A1:$AE673,16,FALSE)*$Q477</f>
        <v>109.88000000000001</v>
      </c>
      <c r="AC477" s="57" cm="1">
        <f t="array" ref="AC477">VLOOKUP(B477,'Player Data'!$A1:$AE673,17,FALSE)*$Q477*IFERROR((VLOOKUP(P477,Settings!$E$28:$F$33,2,FALSE)+1),1)</f>
        <v>1.6400000000000001</v>
      </c>
      <c r="AD477" s="57" cm="1">
        <f t="array" ref="AD477">VLOOKUP(B477,'Player Data'!$A1:$AE673,18,FALSE)*$Q477</f>
        <v>60.68</v>
      </c>
      <c r="AE477" s="57" cm="1">
        <f t="array" ref="AE477">VLOOKUP(B477,'Player Data'!$A1:$AE673,19,FALSE)*$Q477*IFERROR((VLOOKUP(P477,Settings!$E$28:$F$33,2,FALSE)+1),1)</f>
        <v>2.46</v>
      </c>
      <c r="AF477" s="57" cm="1">
        <f t="array" ref="AF477">VLOOKUP(B477,'Player Data'!$A1:$AE673,20,FALSE)*$Q477</f>
        <v>261.58</v>
      </c>
      <c r="AG477" s="57" cm="1">
        <f t="array" ref="AG477">VLOOKUP(B477,'Player Data'!$A1:$AE673,21,FALSE)*$Q477</f>
        <v>251.73999999999998</v>
      </c>
      <c r="AH477" s="59" cm="1">
        <f t="array" ref="AH477">VLOOKUP(B477,'Player Data'!$A1:$AE673,22,FALSE)</f>
        <v>0.51</v>
      </c>
      <c r="AI477" s="55"/>
      <c r="AJ477" s="57"/>
      <c r="AK477" s="57"/>
      <c r="AL477" s="57"/>
      <c r="AM477" s="57"/>
      <c r="AN477" s="57"/>
      <c r="AO477" s="57"/>
      <c r="AP477" s="57"/>
      <c r="AQ477" s="60"/>
      <c r="AR477" s="61"/>
      <c r="AS477" s="55"/>
    </row>
    <row r="478" spans="1:45" ht="21.25" customHeight="1" x14ac:dyDescent="0.15">
      <c r="A478" s="62">
        <f>RANK(K478,K$2:K$671)</f>
        <v>475</v>
      </c>
      <c r="B478" s="10" t="s">
        <v>673</v>
      </c>
      <c r="C478" s="47" t="s">
        <v>145</v>
      </c>
      <c r="D478" s="48" t="str" cm="1">
        <f t="array" ref="D478">VLOOKUP(B478,'Player Data'!A1:D673,4,FALSE)</f>
        <v>C</v>
      </c>
      <c r="E478" s="49" cm="1">
        <f t="array" ref="E478">VLOOKUP(B478,'C'!A1:C210,3,FALSE)</f>
        <v>113</v>
      </c>
      <c r="F478" s="70" t="str" cm="1">
        <f t="array" ref="F478">VLOOKUP(B478,'Player Data'!A1:B673,2,FALSE)</f>
        <v>MIN</v>
      </c>
      <c r="G478" s="66" cm="1">
        <f t="array" ref="G478">VLOOKUP(B478,'Player Data'!A1:D673,3,FALSE)</f>
        <v>31</v>
      </c>
      <c r="H478" s="51" cm="1">
        <f t="array" ref="H478">IFERROR(VLOOKUP(B478,ADP!A1:F671,6,FALSE)/1000000,VLOOKUP(B478,ADP!A1:F671,6,FALSE))</f>
        <v>3.3330000000000002</v>
      </c>
      <c r="I478" s="52">
        <f>IF(Settings!$E$15="POINTS",((R478*Q478)*Settings!$B$12)+(S478*Settings!$B$2)+(T478*Settings!$B$3)+(U478*Settings!$B$4)+(V478*Settings!$B$5)+(X478*Settings!$B$9)+(AA478*Settings!$B$6)+(W478*Settings!$B$8)+(AB478*Settings!$B$7)+(AC478*Settings!$B$14)+(AD478*Settings!$B$15)+(AE478*Settings!$B$16)+(AF478*Settings!$B$17)+(AG478*Settings!$B$18)+(Y478*Settings!$B$10)+(Z478*Settings!$B$11),VLOOKUP(B478,'Standard Deviations'!A$1:C$672,3,FALSE))</f>
        <v>-0.80560685935972742</v>
      </c>
      <c r="J478" s="53" cm="1">
        <f t="array" ref="J478">IF(D478="G",I478/AJ478,I478/Q478)</f>
        <v>-9.9457636957991039E-3</v>
      </c>
      <c r="K478" s="52" cm="1">
        <f t="array" ref="K478">IF(Settings!$E$18="C/LW/RW",VLOOKUP(B478,'C'!A1:F210,6,FALSE),VLOOKUP(B478,F!A1:F407,6,FALSE))</f>
        <v>-7.1656164169747916</v>
      </c>
      <c r="L478" s="54" cm="1">
        <f t="array" ref="L478">IFERROR(K478/H478,"N/A")</f>
        <v>-2.149899915083946</v>
      </c>
      <c r="M478" s="84" t="s">
        <v>828</v>
      </c>
      <c r="N478" s="84" t="str" cm="1">
        <f t="array" ref="N478">IFERROR(M478-A478,"N/A")</f>
        <v>N/A</v>
      </c>
      <c r="O478" s="55"/>
      <c r="P478" s="56" cm="1">
        <f t="array" ref="P478">_xlfn.XLOOKUP($B478,ADP!A2:A671,ADP!G2:G671)</f>
        <v>0</v>
      </c>
      <c r="Q478" s="57" cm="1">
        <f t="array" ref="Q478">IF(Settings!$E$12="YES",VLOOKUP(B478,'Player Data'!A1:E673,5,FALSE),84)</f>
        <v>81</v>
      </c>
      <c r="R478" s="55" cm="1">
        <f t="array" ref="R478">VLOOKUP(B478,'Player Data'!$A1:$AE673,6,FALSE)</f>
        <v>13.3</v>
      </c>
      <c r="S478" s="57" cm="1">
        <f t="array" ref="S478">VLOOKUP(B478,'Player Data'!$A1:$AE673,7,FALSE)*$Q478*IFERROR((VLOOKUP(P478,Settings!$E$28:$F$33,2,FALSE)+1),1)</f>
        <v>8.1</v>
      </c>
      <c r="T478" s="57" cm="1">
        <f t="array" ref="T478">VLOOKUP(B478,'Player Data'!$A1:$AE673,8,FALSE)*$Q478*IFERROR((VLOOKUP(P478,Settings!$E$28:$F$33,2,FALSE)+1),1)</f>
        <v>9.7199999999999989</v>
      </c>
      <c r="U478" s="57" cm="1">
        <f t="array" ref="U478">SUM(S478:T478)</f>
        <v>17.82</v>
      </c>
      <c r="V478" s="57" cm="1">
        <f t="array" ref="V478">VLOOKUP(B478,'Player Data'!$A1:$AE673,10,FALSE)*$Q478*IFERROR(((VLOOKUP(P478,Settings!$E$28:$F$33,2,FALSE)/2)+1),1)</f>
        <v>100.44</v>
      </c>
      <c r="W478" s="57" cm="1">
        <f t="array" ref="W478">VLOOKUP(B478,'Player Data'!$A1:$AE673,11,FALSE)*$Q478*IFERROR((VLOOKUP(P478,Settings!$E$28:$F$33,2,FALSE)+1),1)</f>
        <v>0</v>
      </c>
      <c r="X478" s="57" cm="1">
        <f t="array" ref="X478">VLOOKUP(B478,'Player Data'!$A1:$AE673,12,FALSE)*$Q478*IFERROR((VLOOKUP(P478,Settings!$E$28:$F$33,2,FALSE)+1),1)</f>
        <v>0</v>
      </c>
      <c r="Y478" s="57" cm="1">
        <f t="array" ref="Y478">VLOOKUP(B478,'Player Data'!$A1:$AE673,13,FALSE)*$Q478</f>
        <v>0.81</v>
      </c>
      <c r="Z478" s="57" cm="1">
        <f t="array" ref="Z478">VLOOKUP(B478,'Player Data'!$A1:$AE673,14,FALSE)*$Q478</f>
        <v>0.81</v>
      </c>
      <c r="AA478" s="57" cm="1">
        <f t="array" ref="AA478">VLOOKUP(B478,'Player Data'!$A1:$AE673,15,FALSE)*$Q478</f>
        <v>68.039999999999992</v>
      </c>
      <c r="AB478" s="57" cm="1">
        <f t="array" ref="AB478">VLOOKUP(B478,'Player Data'!$A1:$AE673,16,FALSE)*$Q478</f>
        <v>179.82000000000002</v>
      </c>
      <c r="AC478" s="57" cm="1">
        <f t="array" ref="AC478">VLOOKUP(B478,'Player Data'!$A1:$AE673,17,FALSE)*$Q478*IFERROR((VLOOKUP(P478,Settings!$E$28:$F$33,2,FALSE)+1),1)</f>
        <v>0.81</v>
      </c>
      <c r="AD478" s="57" cm="1">
        <f t="array" ref="AD478">VLOOKUP(B478,'Player Data'!$A1:$AE673,18,FALSE)*$Q478</f>
        <v>68.849999999999994</v>
      </c>
      <c r="AE478" s="57" cm="1">
        <f t="array" ref="AE478">VLOOKUP(B478,'Player Data'!$A1:$AE673,19,FALSE)*$Q478*IFERROR((VLOOKUP(P478,Settings!$E$28:$F$33,2,FALSE)+1),1)</f>
        <v>1.62</v>
      </c>
      <c r="AF478" s="57" cm="1">
        <f t="array" ref="AF478">VLOOKUP(B478,'Player Data'!$A1:$AE673,20,FALSE)*$Q478</f>
        <v>503.82</v>
      </c>
      <c r="AG478" s="57" cm="1">
        <f t="array" ref="AG478">VLOOKUP(B478,'Player Data'!$A1:$AE673,21,FALSE)*$Q478</f>
        <v>441.45</v>
      </c>
      <c r="AH478" s="59" cm="1">
        <f t="array" ref="AH478">VLOOKUP(B478,'Player Data'!$A1:$AE673,22,FALSE)</f>
        <v>0.53</v>
      </c>
      <c r="AI478" s="55"/>
      <c r="AJ478" s="57"/>
      <c r="AK478" s="57"/>
      <c r="AL478" s="57"/>
      <c r="AM478" s="57"/>
      <c r="AN478" s="57"/>
      <c r="AO478" s="57"/>
      <c r="AP478" s="57"/>
      <c r="AQ478" s="60"/>
      <c r="AR478" s="61"/>
      <c r="AS478" s="55"/>
    </row>
    <row r="479" spans="1:45" ht="21.25" customHeight="1" x14ac:dyDescent="0.15">
      <c r="A479" s="62">
        <f>RANK(K479,K$2:K$671)</f>
        <v>474</v>
      </c>
      <c r="B479" s="10" t="s">
        <v>568</v>
      </c>
      <c r="C479" s="47" t="s">
        <v>145</v>
      </c>
      <c r="D479" s="48" t="str" cm="1">
        <f t="array" ref="D479">VLOOKUP(B479,'Player Data'!A1:D673,4,FALSE)</f>
        <v>RW</v>
      </c>
      <c r="E479" s="64" cm="1">
        <f t="array" ref="E479">VLOOKUP(B479,RW!A1:F210,3,FALSE)</f>
        <v>116</v>
      </c>
      <c r="F479" s="56" t="str" cm="1">
        <f t="array" ref="F479">VLOOKUP(B479,'Player Data'!A1:B673,2,FALSE)</f>
        <v>NYR</v>
      </c>
      <c r="G479" s="66" cm="1">
        <f t="array" ref="G479">VLOOKUP(B479,'Player Data'!A1:D673,3,FALSE)</f>
        <v>31</v>
      </c>
      <c r="H479" s="67" cm="1">
        <f t="array" ref="H479">IFERROR(VLOOKUP(B479,ADP!A1:F671,6,FALSE)/1000000,VLOOKUP(B479,ADP!A1:F671,6,FALSE))</f>
        <v>4.5</v>
      </c>
      <c r="I479" s="52">
        <f>IF(Settings!$E$15="POINTS",((R479*Q479)*Settings!$B$12)+(S479*Settings!$B$2)+(T479*Settings!$B$3)+(U479*Settings!$B$4)+(V479*Settings!$B$5)+(X479*Settings!$B$9)+(AA479*Settings!$B$6)+(W479*Settings!$B$8)+(AB479*Settings!$B$7)+(AC479*Settings!$B$14)+(AD479*Settings!$B$15)+(AE479*Settings!$B$16)+(AF479*Settings!$B$17)+(AG479*Settings!$B$18)+(Y479*Settings!$B$10)+(Z479*Settings!$B$11),VLOOKUP(B479,'Standard Deviations'!A$1:C$672,3,FALSE))</f>
        <v>-0.27300764253380649</v>
      </c>
      <c r="J479" s="53" cm="1">
        <f t="array" ref="J479">IF(D479="G",I479/AJ479,I479/Q479)</f>
        <v>-3.2892487052265844E-3</v>
      </c>
      <c r="K479" s="52" cm="1">
        <f t="array" ref="K479">IF(Settings!$E$18="C/LW/RW",VLOOKUP(B479,RW!A1:F210,6,FALSE),VLOOKUP(B479,F!A1:F407,6,FALSE))</f>
        <v>-7.1602422443428839</v>
      </c>
      <c r="L479" s="54" cm="1">
        <f t="array" ref="L479">IFERROR(K479/H479,"N/A")</f>
        <v>-1.5911649431873076</v>
      </c>
      <c r="M479" s="84" t="s">
        <v>828</v>
      </c>
      <c r="N479" s="84" t="str" cm="1">
        <f t="array" ref="N479">IFERROR(M479-A479,"N/A")</f>
        <v>N/A</v>
      </c>
      <c r="O479" s="55"/>
      <c r="P479" s="56" cm="1">
        <f t="array" ref="P479">_xlfn.XLOOKUP($B479,ADP!A2:A671,ADP!G2:G671)</f>
        <v>0</v>
      </c>
      <c r="Q479" s="57" cm="1">
        <f t="array" ref="Q479">IF(Settings!$E$12="YES",VLOOKUP(B479,'Player Data'!A1:E673,5,FALSE),84)</f>
        <v>83</v>
      </c>
      <c r="R479" s="55" cm="1">
        <f t="array" ref="R479">VLOOKUP(B479,'Player Data'!$A1:$AE673,6,FALSE)</f>
        <v>14.2</v>
      </c>
      <c r="S479" s="57" cm="1">
        <f t="array" ref="S479">VLOOKUP(B479,'Player Data'!$A1:$AE673,7,FALSE)*$Q479*IFERROR((VLOOKUP(P479,Settings!$E$28:$F$33,2,FALSE)+1),1)</f>
        <v>13.280000000000001</v>
      </c>
      <c r="T479" s="57" cm="1">
        <f t="array" ref="T479">VLOOKUP(B479,'Player Data'!$A1:$AE673,8,FALSE)*$Q479*IFERROR((VLOOKUP(P479,Settings!$E$28:$F$33,2,FALSE)+1),1)</f>
        <v>22.41</v>
      </c>
      <c r="U479" s="57" cm="1">
        <f t="array" ref="U479">SUM(S479:T479)</f>
        <v>35.69</v>
      </c>
      <c r="V479" s="57" cm="1">
        <f t="array" ref="V479">VLOOKUP(B479,'Player Data'!$A1:$AE673,10,FALSE)*$Q479*IFERROR(((VLOOKUP(P479,Settings!$E$28:$F$33,2,FALSE)/2)+1),1)</f>
        <v>138.60999999999999</v>
      </c>
      <c r="W479" s="57" cm="1">
        <f t="array" ref="W479">VLOOKUP(B479,'Player Data'!$A1:$AE673,11,FALSE)*$Q479*IFERROR((VLOOKUP(P479,Settings!$E$28:$F$33,2,FALSE)+1),1)</f>
        <v>2.4899999999999998</v>
      </c>
      <c r="X479" s="57" cm="1">
        <f t="array" ref="X479">VLOOKUP(B479,'Player Data'!$A1:$AE673,12,FALSE)*$Q479*IFERROR((VLOOKUP(P479,Settings!$E$28:$F$33,2,FALSE)+1),1)</f>
        <v>5.8100000000000005</v>
      </c>
      <c r="Y479" s="57" cm="1">
        <f t="array" ref="Y479">VLOOKUP(B479,'Player Data'!$A1:$AE673,13,FALSE)*$Q479</f>
        <v>0</v>
      </c>
      <c r="Z479" s="57" cm="1">
        <f t="array" ref="Z479">VLOOKUP(B479,'Player Data'!$A1:$AE673,14,FALSE)*$Q479</f>
        <v>0</v>
      </c>
      <c r="AA479" s="57" cm="1">
        <f t="array" ref="AA479">VLOOKUP(B479,'Player Data'!$A1:$AE673,15,FALSE)*$Q479</f>
        <v>41.5</v>
      </c>
      <c r="AB479" s="57" cm="1">
        <f t="array" ref="AB479">VLOOKUP(B479,'Player Data'!$A1:$AE673,16,FALSE)*$Q479</f>
        <v>93.789999999999992</v>
      </c>
      <c r="AC479" s="57" cm="1">
        <f t="array" ref="AC479">VLOOKUP(B479,'Player Data'!$A1:$AE673,17,FALSE)*$Q479*IFERROR((VLOOKUP(P479,Settings!$E$28:$F$33,2,FALSE)+1),1)</f>
        <v>-0.83000000000000007</v>
      </c>
      <c r="AD479" s="57" cm="1">
        <f t="array" ref="AD479">VLOOKUP(B479,'Player Data'!$A1:$AE673,18,FALSE)*$Q479</f>
        <v>18.260000000000002</v>
      </c>
      <c r="AE479" s="57" cm="1">
        <f t="array" ref="AE479">VLOOKUP(B479,'Player Data'!$A1:$AE673,19,FALSE)*$Q479*IFERROR((VLOOKUP(P479,Settings!$E$28:$F$33,2,FALSE)+1),1)</f>
        <v>1.6600000000000001</v>
      </c>
      <c r="AF479" s="57" cm="1">
        <f t="array" ref="AF479">VLOOKUP(B479,'Player Data'!$A1:$AE673,20,FALSE)*$Q479</f>
        <v>6.6400000000000006</v>
      </c>
      <c r="AG479" s="57" cm="1">
        <f t="array" ref="AG479">VLOOKUP(B479,'Player Data'!$A1:$AE673,21,FALSE)*$Q479</f>
        <v>10.790000000000001</v>
      </c>
      <c r="AH479" s="59" cm="1">
        <f t="array" ref="AH479">VLOOKUP(B479,'Player Data'!$A1:$AE673,22,FALSE)</f>
        <v>0.36</v>
      </c>
      <c r="AI479" s="55"/>
      <c r="AJ479" s="57"/>
      <c r="AK479" s="57"/>
      <c r="AL479" s="57"/>
      <c r="AM479" s="57"/>
      <c r="AN479" s="57"/>
      <c r="AO479" s="57"/>
      <c r="AP479" s="57"/>
      <c r="AQ479" s="60"/>
      <c r="AR479" s="61"/>
      <c r="AS479" s="55"/>
    </row>
    <row r="480" spans="1:45" ht="21.25" customHeight="1" x14ac:dyDescent="0.15">
      <c r="A480" s="62">
        <f>RANK(K480,K$2:K$671)</f>
        <v>477</v>
      </c>
      <c r="B480" s="10" t="s">
        <v>749</v>
      </c>
      <c r="C480" s="47" t="s">
        <v>145</v>
      </c>
      <c r="D480" s="48" t="str" cm="1">
        <f t="array" ref="D480">VLOOKUP(B480,'Player Data'!A1:D673,4,FALSE)</f>
        <v>C,LW</v>
      </c>
      <c r="E480" s="74" cm="1">
        <f t="array" ref="E480">VLOOKUP(B480,LW!A1:C210,3,FALSE)</f>
        <v>122</v>
      </c>
      <c r="F480" s="69" t="str" cm="1">
        <f t="array" ref="F480">VLOOKUP(B480,'Player Data'!A1:B673,2,FALSE)</f>
        <v>TOR</v>
      </c>
      <c r="G480" s="11" cm="1">
        <f t="array" ref="G480">VLOOKUP(B480,'Player Data'!A1:D673,3,FALSE)</f>
        <v>30</v>
      </c>
      <c r="H480" s="51" cm="1">
        <f t="array" ref="H480">IFERROR(VLOOKUP(B480,ADP!A1:F671,6,FALSE)/1000000,VLOOKUP(B480,ADP!A1:F671,6,FALSE))</f>
        <v>3.25</v>
      </c>
      <c r="I480" s="52">
        <f>IF(Settings!$E$15="POINTS",((R480*Q480)*Settings!$B$12)+(S480*Settings!$B$2)+(T480*Settings!$B$3)+(U480*Settings!$B$4)+(V480*Settings!$B$5)+(X480*Settings!$B$9)+(AA480*Settings!$B$6)+(W480*Settings!$B$8)+(AB480*Settings!$B$7)+(AC480*Settings!$B$14)+(AD480*Settings!$B$15)+(AE480*Settings!$B$16)+(AF480*Settings!$B$17)+(AG480*Settings!$B$18)+(Y480*Settings!$B$10)+(Z480*Settings!$B$11),VLOOKUP(B480,'Standard Deviations'!A$1:C$672,3,FALSE))</f>
        <v>-0.35265592108372457</v>
      </c>
      <c r="J480" s="53" cm="1">
        <f t="array" ref="J480">IF(D480="G",I480/AJ480,I480/Q480)</f>
        <v>-4.765620555185467E-3</v>
      </c>
      <c r="K480" s="52" cm="1">
        <f t="array" ref="K480">IF(Settings!$E$18="C/LW/RW",VLOOKUP(B480,LW!A1:F210,6,FALSE),VLOOKUP(B480,F!A1:F407,6,FALSE))</f>
        <v>-7.2470415654735341</v>
      </c>
      <c r="L480" s="54" cm="1">
        <f t="array" ref="L480">IFERROR(K480/H480,"N/A")</f>
        <v>-2.2298589432226259</v>
      </c>
      <c r="M480" s="84" t="s">
        <v>828</v>
      </c>
      <c r="N480" s="84" t="str" cm="1">
        <f t="array" ref="N480">IFERROR(M480-A480,"N/A")</f>
        <v>N/A</v>
      </c>
      <c r="O480" s="55"/>
      <c r="P480" s="56" cm="1">
        <f t="array" ref="P480">_xlfn.XLOOKUP($B480,ADP!A2:A671,ADP!G2:G671)</f>
        <v>0</v>
      </c>
      <c r="Q480" s="57" cm="1">
        <f t="array" ref="Q480">IF(Settings!$E$12="YES",VLOOKUP(B480,'Player Data'!A1:E673,5,FALSE),84)</f>
        <v>74</v>
      </c>
      <c r="R480" s="55" cm="1">
        <f t="array" ref="R480">VLOOKUP(B480,'Player Data'!$A1:$AE673,6,FALSE)</f>
        <v>11.6</v>
      </c>
      <c r="S480" s="57" cm="1">
        <f t="array" ref="S480">VLOOKUP(B480,'Player Data'!$A1:$AE673,7,FALSE)*$Q480*IFERROR((VLOOKUP(P480,Settings!$E$28:$F$33,2,FALSE)+1),1)</f>
        <v>10.360000000000001</v>
      </c>
      <c r="T480" s="57" cm="1">
        <f t="array" ref="T480">VLOOKUP(B480,'Player Data'!$A1:$AE673,8,FALSE)*$Q480*IFERROR((VLOOKUP(P480,Settings!$E$28:$F$33,2,FALSE)+1),1)</f>
        <v>9.620000000000001</v>
      </c>
      <c r="U480" s="57" cm="1">
        <f t="array" ref="U480">SUM(S480:T480)</f>
        <v>19.980000000000004</v>
      </c>
      <c r="V480" s="57" cm="1">
        <f t="array" ref="V480">VLOOKUP(B480,'Player Data'!$A1:$AE673,10,FALSE)*$Q480*IFERROR(((VLOOKUP(P480,Settings!$E$28:$F$33,2,FALSE)/2)+1),1)</f>
        <v>66.600000000000009</v>
      </c>
      <c r="W480" s="57" cm="1">
        <f t="array" ref="W480">VLOOKUP(B480,'Player Data'!$A1:$AE673,11,FALSE)*$Q480*IFERROR((VLOOKUP(P480,Settings!$E$28:$F$33,2,FALSE)+1),1)</f>
        <v>0</v>
      </c>
      <c r="X480" s="57" cm="1">
        <f t="array" ref="X480">VLOOKUP(B480,'Player Data'!$A1:$AE673,12,FALSE)*$Q480*IFERROR((VLOOKUP(P480,Settings!$E$28:$F$33,2,FALSE)+1),1)</f>
        <v>0</v>
      </c>
      <c r="Y480" s="57" cm="1">
        <f t="array" ref="Y480">VLOOKUP(B480,'Player Data'!$A1:$AE673,13,FALSE)*$Q480</f>
        <v>0</v>
      </c>
      <c r="Z480" s="57" cm="1">
        <f t="array" ref="Z480">VLOOKUP(B480,'Player Data'!$A1:$AE673,14,FALSE)*$Q480</f>
        <v>0.74</v>
      </c>
      <c r="AA480" s="57" cm="1">
        <f t="array" ref="AA480">VLOOKUP(B480,'Player Data'!$A1:$AE673,15,FALSE)*$Q480</f>
        <v>39.22</v>
      </c>
      <c r="AB480" s="57" cm="1">
        <f t="array" ref="AB480">VLOOKUP(B480,'Player Data'!$A1:$AE673,16,FALSE)*$Q480</f>
        <v>220.52</v>
      </c>
      <c r="AC480" s="57" cm="1">
        <f t="array" ref="AC480">VLOOKUP(B480,'Player Data'!$A1:$AE673,17,FALSE)*$Q480*IFERROR((VLOOKUP(P480,Settings!$E$28:$F$33,2,FALSE)+1),1)</f>
        <v>0.74</v>
      </c>
      <c r="AD480" s="57" cm="1">
        <f t="array" ref="AD480">VLOOKUP(B480,'Player Data'!$A1:$AE673,18,FALSE)*$Q480</f>
        <v>37</v>
      </c>
      <c r="AE480" s="57" cm="1">
        <f t="array" ref="AE480">VLOOKUP(B480,'Player Data'!$A1:$AE673,19,FALSE)*$Q480*IFERROR((VLOOKUP(P480,Settings!$E$28:$F$33,2,FALSE)+1),1)</f>
        <v>1.48</v>
      </c>
      <c r="AF480" s="57" cm="1">
        <f t="array" ref="AF480">VLOOKUP(B480,'Player Data'!$A1:$AE673,20,FALSE)*$Q480</f>
        <v>17.02</v>
      </c>
      <c r="AG480" s="57" cm="1">
        <f t="array" ref="AG480">VLOOKUP(B480,'Player Data'!$A1:$AE673,21,FALSE)*$Q480</f>
        <v>24.42</v>
      </c>
      <c r="AH480" s="59" cm="1">
        <f t="array" ref="AH480">VLOOKUP(B480,'Player Data'!$A1:$AE673,22,FALSE)</f>
        <v>0.41</v>
      </c>
      <c r="AI480" s="55"/>
      <c r="AJ480" s="57"/>
      <c r="AK480" s="57"/>
      <c r="AL480" s="57"/>
      <c r="AM480" s="57"/>
      <c r="AN480" s="57"/>
      <c r="AO480" s="57"/>
      <c r="AP480" s="57"/>
      <c r="AQ480" s="60"/>
      <c r="AR480" s="61"/>
      <c r="AS480" s="55"/>
    </row>
    <row r="481" spans="1:45" ht="21.25" customHeight="1" x14ac:dyDescent="0.15">
      <c r="A481" s="62">
        <f>RANK(K481,K$2:K$671)</f>
        <v>479</v>
      </c>
      <c r="B481" s="10" t="s">
        <v>608</v>
      </c>
      <c r="C481" s="47" t="s">
        <v>145</v>
      </c>
      <c r="D481" s="48" t="str" cm="1">
        <f t="array" ref="D481">VLOOKUP(B481,'Player Data'!A1:D673,4,FALSE)</f>
        <v>LW</v>
      </c>
      <c r="E481" s="75" cm="1">
        <f t="array" ref="E481">VLOOKUP(B481,LW!A1:C210,3,FALSE)</f>
        <v>123</v>
      </c>
      <c r="F481" s="56" t="str" cm="1">
        <f t="array" ref="F481">VLOOKUP(B481,'Player Data'!A1:B673,2,FALSE)</f>
        <v>WSH</v>
      </c>
      <c r="G481" s="71" cm="1">
        <f t="array" ref="G481">VLOOKUP(B481,'Player Data'!A1:D673,3,FALSE)</f>
        <v>20</v>
      </c>
      <c r="H481" s="51" cm="1">
        <f t="array" ref="H481">IFERROR(VLOOKUP(B481,ADP!A1:F671,6,FALSE)/1000000,VLOOKUP(B481,ADP!A1:F671,6,FALSE))</f>
        <v>0.9325</v>
      </c>
      <c r="I481" s="52">
        <f>IF(Settings!$E$15="POINTS",((R481*Q481)*Settings!$B$12)+(S481*Settings!$B$2)+(T481*Settings!$B$3)+(U481*Settings!$B$4)+(V481*Settings!$B$5)+(X481*Settings!$B$9)+(AA481*Settings!$B$6)+(W481*Settings!$B$8)+(AB481*Settings!$B$7)+(AC481*Settings!$B$14)+(AD481*Settings!$B$15)+(AE481*Settings!$B$16)+(AF481*Settings!$B$17)+(AG481*Settings!$B$18)+(Y481*Settings!$B$10)+(Z481*Settings!$B$11),VLOOKUP(B481,'Standard Deviations'!A$1:C$672,3,FALSE))</f>
        <v>-0.37580143466266486</v>
      </c>
      <c r="J481" s="53" cm="1">
        <f t="array" ref="J481">IF(D481="G",I481/AJ481,I481/Q481)</f>
        <v>-5.2194643703147893E-3</v>
      </c>
      <c r="K481" s="52" cm="1">
        <f t="array" ref="K481">IF(Settings!$E$18="C/LW/RW",VLOOKUP(B481,LW!A1:F210,6,FALSE),VLOOKUP(B481,F!A1:F407,6,FALSE))</f>
        <v>-7.2701870790524747</v>
      </c>
      <c r="L481" s="54" cm="1">
        <f t="array" ref="L481">IFERROR(K481/H481,"N/A")</f>
        <v>-7.7964472697613667</v>
      </c>
      <c r="M481" s="84" t="s">
        <v>828</v>
      </c>
      <c r="N481" s="84" t="str" cm="1">
        <f t="array" ref="N481">IFERROR(M481-A481,"N/A")</f>
        <v>N/A</v>
      </c>
      <c r="O481" s="55"/>
      <c r="P481" s="56" cm="1">
        <f t="array" ref="P481">_xlfn.XLOOKUP($B481,ADP!A2:A671,ADP!G2:G671)</f>
        <v>0</v>
      </c>
      <c r="Q481" s="57" cm="1">
        <f t="array" ref="Q481">IF(Settings!$E$12="YES",VLOOKUP(B481,'Player Data'!A1:E673,5,FALSE),84)</f>
        <v>72</v>
      </c>
      <c r="R481" s="83" cm="1">
        <f t="array" ref="R481">VLOOKUP(B481,'Player Data'!$A1:$AE673,6,FALSE)</f>
        <v>13</v>
      </c>
      <c r="S481" s="57" cm="1">
        <f t="array" ref="S481">VLOOKUP(B481,'Player Data'!$A1:$AE673,7,FALSE)*$Q481*IFERROR((VLOOKUP(P481,Settings!$E$28:$F$33,2,FALSE)+1),1)</f>
        <v>14.4</v>
      </c>
      <c r="T481" s="57" cm="1">
        <f t="array" ref="T481">VLOOKUP(B481,'Player Data'!$A1:$AE673,8,FALSE)*$Q481*IFERROR((VLOOKUP(P481,Settings!$E$28:$F$33,2,FALSE)+1),1)</f>
        <v>20.160000000000004</v>
      </c>
      <c r="U481" s="57" cm="1">
        <f t="array" ref="U481">SUM(S481:T481)</f>
        <v>34.56</v>
      </c>
      <c r="V481" s="57" cm="1">
        <f t="array" ref="V481">VLOOKUP(B481,'Player Data'!$A1:$AE673,10,FALSE)*$Q481*IFERROR(((VLOOKUP(P481,Settings!$E$28:$F$33,2,FALSE)/2)+1),1)</f>
        <v>123.12</v>
      </c>
      <c r="W481" s="57" cm="1">
        <f t="array" ref="W481">VLOOKUP(B481,'Player Data'!$A1:$AE673,11,FALSE)*$Q481*IFERROR((VLOOKUP(P481,Settings!$E$28:$F$33,2,FALSE)+1),1)</f>
        <v>2.88</v>
      </c>
      <c r="X481" s="57" cm="1">
        <f t="array" ref="X481">VLOOKUP(B481,'Player Data'!$A1:$AE673,12,FALSE)*$Q481*IFERROR((VLOOKUP(P481,Settings!$E$28:$F$33,2,FALSE)+1),1)</f>
        <v>7.92</v>
      </c>
      <c r="Y481" s="57" cm="1">
        <f t="array" ref="Y481">VLOOKUP(B481,'Player Data'!$A1:$AE673,13,FALSE)*$Q481</f>
        <v>0</v>
      </c>
      <c r="Z481" s="57" cm="1">
        <f t="array" ref="Z481">VLOOKUP(B481,'Player Data'!$A1:$AE673,14,FALSE)*$Q481</f>
        <v>0</v>
      </c>
      <c r="AA481" s="57" cm="1">
        <f t="array" ref="AA481">VLOOKUP(B481,'Player Data'!$A1:$AE673,15,FALSE)*$Q481</f>
        <v>29.52</v>
      </c>
      <c r="AB481" s="57" cm="1">
        <f t="array" ref="AB481">VLOOKUP(B481,'Player Data'!$A1:$AE673,16,FALSE)*$Q481</f>
        <v>84.96</v>
      </c>
      <c r="AC481" s="57" cm="1">
        <f t="array" ref="AC481">VLOOKUP(B481,'Player Data'!$A1:$AE673,17,FALSE)*$Q481*IFERROR((VLOOKUP(P481,Settings!$E$28:$F$33,2,FALSE)+1),1)</f>
        <v>0</v>
      </c>
      <c r="AD481" s="57" cm="1">
        <f t="array" ref="AD481">VLOOKUP(B481,'Player Data'!$A1:$AE673,18,FALSE)*$Q481</f>
        <v>28.8</v>
      </c>
      <c r="AE481" s="57" cm="1">
        <f t="array" ref="AE481">VLOOKUP(B481,'Player Data'!$A1:$AE673,19,FALSE)*$Q481*IFERROR((VLOOKUP(P481,Settings!$E$28:$F$33,2,FALSE)+1),1)</f>
        <v>2.16</v>
      </c>
      <c r="AF481" s="57" cm="1">
        <f t="array" ref="AF481">VLOOKUP(B481,'Player Data'!$A1:$AE673,20,FALSE)*$Q481</f>
        <v>140.4</v>
      </c>
      <c r="AG481" s="57" cm="1">
        <f t="array" ref="AG481">VLOOKUP(B481,'Player Data'!$A1:$AE673,21,FALSE)*$Q481</f>
        <v>210.96</v>
      </c>
      <c r="AH481" s="59" cm="1">
        <f t="array" ref="AH481">VLOOKUP(B481,'Player Data'!$A1:$AE673,22,FALSE)</f>
        <v>0.4</v>
      </c>
      <c r="AI481" s="55"/>
      <c r="AJ481" s="57"/>
      <c r="AK481" s="57"/>
      <c r="AL481" s="57"/>
      <c r="AM481" s="57"/>
      <c r="AN481" s="57"/>
      <c r="AO481" s="57"/>
      <c r="AP481" s="57"/>
      <c r="AQ481" s="60"/>
      <c r="AR481" s="61"/>
      <c r="AS481" s="55"/>
    </row>
    <row r="482" spans="1:45" ht="21.25" customHeight="1" x14ac:dyDescent="0.15">
      <c r="A482" s="62">
        <f>RANK(K482,K$2:K$671)</f>
        <v>476</v>
      </c>
      <c r="B482" s="10" t="s">
        <v>752</v>
      </c>
      <c r="C482" s="47" t="s">
        <v>145</v>
      </c>
      <c r="D482" s="48" t="str" cm="1">
        <f t="array" ref="D482">VLOOKUP(B482,'Player Data'!A1:D673,4,FALSE)</f>
        <v>C,LW,RW</v>
      </c>
      <c r="E482" s="74" cm="1">
        <f t="array" ref="E482">VLOOKUP(B482,RW!A1:F210,3,FALSE)</f>
        <v>117</v>
      </c>
      <c r="F482" s="63" t="str" cm="1">
        <f t="array" ref="F482">VLOOKUP(B482,'Player Data'!A1:B673,2,FALSE)</f>
        <v>EDM</v>
      </c>
      <c r="G482" s="11" cm="1">
        <f t="array" ref="G482">VLOOKUP(B482,'Player Data'!A1:D673,3,FALSE)</f>
        <v>28</v>
      </c>
      <c r="H482" s="51" cm="1">
        <f t="array" ref="H482">IFERROR(VLOOKUP(B482,ADP!A1:F671,6,FALSE)/1000000,VLOOKUP(B482,ADP!A1:F671,6,FALSE))</f>
        <v>3.85</v>
      </c>
      <c r="I482" s="52">
        <f>IF(Settings!$E$15="POINTS",((R482*Q482)*Settings!$B$12)+(S482*Settings!$B$2)+(T482*Settings!$B$3)+(U482*Settings!$B$4)+(V482*Settings!$B$5)+(X482*Settings!$B$9)+(AA482*Settings!$B$6)+(W482*Settings!$B$8)+(AB482*Settings!$B$7)+(AC482*Settings!$B$14)+(AD482*Settings!$B$15)+(AE482*Settings!$B$16)+(AF482*Settings!$B$17)+(AG482*Settings!$B$18)+(Y482*Settings!$B$10)+(Z482*Settings!$B$11),VLOOKUP(B482,'Standard Deviations'!A$1:C$672,3,FALSE))</f>
        <v>-0.33342779672342404</v>
      </c>
      <c r="J482" s="53" cm="1">
        <f t="array" ref="J482">IF(D482="G",I482/AJ482,I482/Q482)</f>
        <v>-4.2206050218154944E-3</v>
      </c>
      <c r="K482" s="52" cm="1">
        <f t="array" ref="K482">IF(Settings!$E$18="C/LW/RW",VLOOKUP(B482,RW!A1:F210,6,FALSE),VLOOKUP(B482,F!A1:F407,6,FALSE))</f>
        <v>-7.220662398532502</v>
      </c>
      <c r="L482" s="54" cm="1">
        <f t="array" ref="L482">IFERROR(K482/H482,"N/A")</f>
        <v>-1.875496726891559</v>
      </c>
      <c r="M482" s="84" t="s">
        <v>828</v>
      </c>
      <c r="N482" s="84" t="str" cm="1">
        <f t="array" ref="N482">IFERROR(M482-A482,"N/A")</f>
        <v>N/A</v>
      </c>
      <c r="O482" s="80"/>
      <c r="P482" s="56" cm="1">
        <f t="array" ref="P482">_xlfn.XLOOKUP($B482,ADP!A2:A671,ADP!G2:G671)</f>
        <v>0</v>
      </c>
      <c r="Q482" s="57" cm="1">
        <f t="array" ref="Q482">IF(Settings!$E$12="YES",VLOOKUP(B482,'Player Data'!A1:E673,5,FALSE),84)</f>
        <v>79</v>
      </c>
      <c r="R482" s="55" cm="1">
        <f t="array" ref="R482">VLOOKUP(B482,'Player Data'!$A1:$AE673,6,FALSE)</f>
        <v>11.5</v>
      </c>
      <c r="S482" s="57" cm="1">
        <f t="array" ref="S482">VLOOKUP(B482,'Player Data'!$A1:$AE673,7,FALSE)*$Q482*IFERROR((VLOOKUP(P482,Settings!$E$28:$F$33,2,FALSE)+1),1)</f>
        <v>7.9</v>
      </c>
      <c r="T482" s="57" cm="1">
        <f t="array" ref="T482">VLOOKUP(B482,'Player Data'!$A1:$AE673,8,FALSE)*$Q482*IFERROR((VLOOKUP(P482,Settings!$E$28:$F$33,2,FALSE)+1),1)</f>
        <v>8.69</v>
      </c>
      <c r="U482" s="57" cm="1">
        <f t="array" ref="U482">SUM(S482:T482)</f>
        <v>16.59</v>
      </c>
      <c r="V482" s="57" cm="1">
        <f t="array" ref="V482">VLOOKUP(B482,'Player Data'!$A1:$AE673,10,FALSE)*$Q482*IFERROR(((VLOOKUP(P482,Settings!$E$28:$F$33,2,FALSE)/2)+1),1)</f>
        <v>87.690000000000012</v>
      </c>
      <c r="W482" s="57" cm="1">
        <f t="array" ref="W482">VLOOKUP(B482,'Player Data'!$A1:$AE673,11,FALSE)*$Q482*IFERROR((VLOOKUP(P482,Settings!$E$28:$F$33,2,FALSE)+1),1)</f>
        <v>0</v>
      </c>
      <c r="X482" s="57" cm="1">
        <f t="array" ref="X482">VLOOKUP(B482,'Player Data'!$A1:$AE673,12,FALSE)*$Q482*IFERROR((VLOOKUP(P482,Settings!$E$28:$F$33,2,FALSE)+1),1)</f>
        <v>0</v>
      </c>
      <c r="Y482" s="57" cm="1">
        <f t="array" ref="Y482">VLOOKUP(B482,'Player Data'!$A1:$AE673,13,FALSE)*$Q482</f>
        <v>0</v>
      </c>
      <c r="Z482" s="57" cm="1">
        <f t="array" ref="Z482">VLOOKUP(B482,'Player Data'!$A1:$AE673,14,FALSE)*$Q482</f>
        <v>0</v>
      </c>
      <c r="AA482" s="57" cm="1">
        <f t="array" ref="AA482">VLOOKUP(B482,'Player Data'!$A1:$AE673,15,FALSE)*$Q482</f>
        <v>30.810000000000002</v>
      </c>
      <c r="AB482" s="57" cm="1">
        <f t="array" ref="AB482">VLOOKUP(B482,'Player Data'!$A1:$AE673,16,FALSE)*$Q482</f>
        <v>184.85999999999999</v>
      </c>
      <c r="AC482" s="57" cm="1">
        <f t="array" ref="AC482">VLOOKUP(B482,'Player Data'!$A1:$AE673,17,FALSE)*$Q482*IFERROR((VLOOKUP(P482,Settings!$E$28:$F$33,2,FALSE)+1),1)</f>
        <v>3.95</v>
      </c>
      <c r="AD482" s="57" cm="1">
        <f t="array" ref="AD482">VLOOKUP(B482,'Player Data'!$A1:$AE673,18,FALSE)*$Q482</f>
        <v>41.08</v>
      </c>
      <c r="AE482" s="57" cm="1">
        <f t="array" ref="AE482">VLOOKUP(B482,'Player Data'!$A1:$AE673,19,FALSE)*$Q482*IFERROR((VLOOKUP(P482,Settings!$E$28:$F$33,2,FALSE)+1),1)</f>
        <v>1.58</v>
      </c>
      <c r="AF482" s="57" cm="1">
        <f t="array" ref="AF482">VLOOKUP(B482,'Player Data'!$A1:$AE673,20,FALSE)*$Q482</f>
        <v>95.59</v>
      </c>
      <c r="AG482" s="57" cm="1">
        <f t="array" ref="AG482">VLOOKUP(B482,'Player Data'!$A1:$AE673,21,FALSE)*$Q482</f>
        <v>98.75</v>
      </c>
      <c r="AH482" s="59" cm="1">
        <f t="array" ref="AH482">VLOOKUP(B482,'Player Data'!$A1:$AE673,22,FALSE)</f>
        <v>0.49</v>
      </c>
      <c r="AI482" s="55"/>
      <c r="AJ482" s="57"/>
      <c r="AK482" s="57"/>
      <c r="AL482" s="57"/>
      <c r="AM482" s="57"/>
      <c r="AN482" s="57"/>
      <c r="AO482" s="57"/>
      <c r="AP482" s="57"/>
      <c r="AQ482" s="60"/>
      <c r="AR482" s="61"/>
      <c r="AS482" s="55"/>
    </row>
    <row r="483" spans="1:45" ht="21.25" customHeight="1" x14ac:dyDescent="0.15">
      <c r="A483" s="62">
        <f>RANK(K483,K$2:K$671)</f>
        <v>478</v>
      </c>
      <c r="B483" s="10" t="s">
        <v>508</v>
      </c>
      <c r="C483" s="47" t="s">
        <v>145</v>
      </c>
      <c r="D483" s="48" t="str" cm="1">
        <f t="array" ref="D483">VLOOKUP(B483,'Player Data'!A1:D673,4,FALSE)</f>
        <v>RW</v>
      </c>
      <c r="E483" s="64" cm="1">
        <f t="array" ref="E483">VLOOKUP(B483,RW!A1:F210,3,FALSE)</f>
        <v>118</v>
      </c>
      <c r="F483" s="56" t="str" cm="1">
        <f t="array" ref="F483">VLOOKUP(B483,'Player Data'!A1:B673,2,FALSE)</f>
        <v>NYR</v>
      </c>
      <c r="G483" s="71" cm="1">
        <f t="array" ref="G483">VLOOKUP(B483,'Player Data'!A1:D673,3,FALSE)</f>
        <v>21</v>
      </c>
      <c r="H483" s="51" cm="1">
        <f t="array" ref="H483">IFERROR(VLOOKUP(B483,ADP!A1:F671,6,FALSE)/1000000,VLOOKUP(B483,ADP!A1:F671,6,FALSE))</f>
        <v>0.94166700000000003</v>
      </c>
      <c r="I483" s="52">
        <f>IF(Settings!$E$15="POINTS",((R483*Q483)*Settings!$B$12)+(S483*Settings!$B$2)+(T483*Settings!$B$3)+(U483*Settings!$B$4)+(V483*Settings!$B$5)+(X483*Settings!$B$9)+(AA483*Settings!$B$6)+(W483*Settings!$B$8)+(AB483*Settings!$B$7)+(AC483*Settings!$B$14)+(AD483*Settings!$B$15)+(AE483*Settings!$B$16)+(AF483*Settings!$B$17)+(AG483*Settings!$B$18)+(Y483*Settings!$B$10)+(Z483*Settings!$B$11),VLOOKUP(B483,'Standard Deviations'!A$1:C$672,3,FALSE))</f>
        <v>-0.36153253412186837</v>
      </c>
      <c r="J483" s="53" cm="1">
        <f t="array" ref="J483">IF(D483="G",I483/AJ483,I483/Q483)</f>
        <v>-4.576361191416055E-3</v>
      </c>
      <c r="K483" s="52" cm="1">
        <f t="array" ref="K483">IF(Settings!$E$18="C/LW/RW",VLOOKUP(B483,RW!A1:F210,6,FALSE),VLOOKUP(B483,F!A1:F407,6,FALSE))</f>
        <v>-7.2487671359309456</v>
      </c>
      <c r="L483" s="54" cm="1">
        <f t="array" ref="L483">IFERROR(K483/H483,"N/A")</f>
        <v>-7.6978030831822135</v>
      </c>
      <c r="M483" s="55">
        <v>128</v>
      </c>
      <c r="N483" s="55" cm="1">
        <f t="array" ref="N483">IFERROR(M483-A483,"N/A")</f>
        <v>-350</v>
      </c>
      <c r="O483" s="82"/>
      <c r="P483" s="56" cm="1">
        <f t="array" ref="P483">_xlfn.XLOOKUP($B483,ADP!A2:A671,ADP!G2:G671)</f>
        <v>0</v>
      </c>
      <c r="Q483" s="57" cm="1">
        <f t="array" ref="Q483">IF(Settings!$E$12="YES",VLOOKUP(B483,'Player Data'!A1:E673,5,FALSE),84)</f>
        <v>79</v>
      </c>
      <c r="R483" s="55" cm="1">
        <f t="array" ref="R483">VLOOKUP(B483,'Player Data'!$A1:$AE673,6,FALSE)</f>
        <v>15.7</v>
      </c>
      <c r="S483" s="57" cm="1">
        <f t="array" ref="S483">VLOOKUP(B483,'Player Data'!$A1:$AE673,7,FALSE)*$Q483*IFERROR((VLOOKUP(P483,Settings!$E$28:$F$33,2,FALSE)+1),1)</f>
        <v>18.96</v>
      </c>
      <c r="T483" s="57" cm="1">
        <f t="array" ref="T483">VLOOKUP(B483,'Player Data'!$A1:$AE673,8,FALSE)*$Q483*IFERROR((VLOOKUP(P483,Settings!$E$28:$F$33,2,FALSE)+1),1)</f>
        <v>24.49</v>
      </c>
      <c r="U483" s="57" cm="1">
        <f t="array" ref="U483">SUM(S483:T483)</f>
        <v>43.45</v>
      </c>
      <c r="V483" s="57" cm="1">
        <f t="array" ref="V483">VLOOKUP(B483,'Player Data'!$A1:$AE673,10,FALSE)*$Q483*IFERROR(((VLOOKUP(P483,Settings!$E$28:$F$33,2,FALSE)/2)+1),1)</f>
        <v>120.08</v>
      </c>
      <c r="W483" s="57" cm="1">
        <f t="array" ref="W483">VLOOKUP(B483,'Player Data'!$A1:$AE673,11,FALSE)*$Q483*IFERROR((VLOOKUP(P483,Settings!$E$28:$F$33,2,FALSE)+1),1)</f>
        <v>3.95</v>
      </c>
      <c r="X483" s="57" cm="1">
        <f t="array" ref="X483">VLOOKUP(B483,'Player Data'!$A1:$AE673,12,FALSE)*$Q483*IFERROR((VLOOKUP(P483,Settings!$E$28:$F$33,2,FALSE)+1),1)</f>
        <v>8.69</v>
      </c>
      <c r="Y483" s="57" cm="1">
        <f t="array" ref="Y483">VLOOKUP(B483,'Player Data'!$A1:$AE673,13,FALSE)*$Q483</f>
        <v>0</v>
      </c>
      <c r="Z483" s="57" cm="1">
        <f t="array" ref="Z483">VLOOKUP(B483,'Player Data'!$A1:$AE673,14,FALSE)*$Q483</f>
        <v>0</v>
      </c>
      <c r="AA483" s="57" cm="1">
        <f t="array" ref="AA483">VLOOKUP(B483,'Player Data'!$A1:$AE673,15,FALSE)*$Q483</f>
        <v>34.76</v>
      </c>
      <c r="AB483" s="57" cm="1">
        <f t="array" ref="AB483">VLOOKUP(B483,'Player Data'!$A1:$AE673,16,FALSE)*$Q483</f>
        <v>47.4</v>
      </c>
      <c r="AC483" s="57" cm="1">
        <f t="array" ref="AC483">VLOOKUP(B483,'Player Data'!$A1:$AE673,17,FALSE)*$Q483*IFERROR((VLOOKUP(P483,Settings!$E$28:$F$33,2,FALSE)+1),1)</f>
        <v>0</v>
      </c>
      <c r="AD483" s="57" cm="1">
        <f t="array" ref="AD483">VLOOKUP(B483,'Player Data'!$A1:$AE673,18,FALSE)*$Q483</f>
        <v>22.12</v>
      </c>
      <c r="AE483" s="57" cm="1">
        <f t="array" ref="AE483">VLOOKUP(B483,'Player Data'!$A1:$AE673,19,FALSE)*$Q483*IFERROR((VLOOKUP(P483,Settings!$E$28:$F$33,2,FALSE)+1),1)</f>
        <v>3.16</v>
      </c>
      <c r="AF483" s="57" cm="1">
        <f t="array" ref="AF483">VLOOKUP(B483,'Player Data'!$A1:$AE673,20,FALSE)*$Q483</f>
        <v>7.1099999999999994</v>
      </c>
      <c r="AG483" s="57" cm="1">
        <f t="array" ref="AG483">VLOOKUP(B483,'Player Data'!$A1:$AE673,21,FALSE)*$Q483</f>
        <v>8.69</v>
      </c>
      <c r="AH483" s="59" cm="1">
        <f t="array" ref="AH483">VLOOKUP(B483,'Player Data'!$A1:$AE673,22,FALSE)</f>
        <v>0.46</v>
      </c>
      <c r="AI483" s="55"/>
      <c r="AJ483" s="57"/>
      <c r="AK483" s="57"/>
      <c r="AL483" s="57"/>
      <c r="AM483" s="57"/>
      <c r="AN483" s="57"/>
      <c r="AO483" s="57"/>
      <c r="AP483" s="57"/>
      <c r="AQ483" s="60"/>
      <c r="AR483" s="61"/>
      <c r="AS483" s="55"/>
    </row>
    <row r="484" spans="1:45" ht="21.25" customHeight="1" x14ac:dyDescent="0.15">
      <c r="A484" s="62">
        <f>RANK(K484,K$2:K$671)</f>
        <v>481</v>
      </c>
      <c r="B484" s="10" t="s">
        <v>542</v>
      </c>
      <c r="C484" s="47" t="s">
        <v>145</v>
      </c>
      <c r="D484" s="48" t="str" cm="1">
        <f t="array" ref="D484">VLOOKUP(B484,'Player Data'!A1:D673,4,FALSE)</f>
        <v>LW,RW</v>
      </c>
      <c r="E484" s="74" cm="1">
        <f t="array" ref="E484">VLOOKUP(B484,RW!A1:F210,3,FALSE)</f>
        <v>119</v>
      </c>
      <c r="F484" s="70" t="str" cm="1">
        <f t="array" ref="F484">VLOOKUP(B484,'Player Data'!A1:B673,2,FALSE)</f>
        <v>L.A</v>
      </c>
      <c r="G484" s="66" cm="1">
        <f t="array" ref="G484">VLOOKUP(B484,'Player Data'!A1:D673,3,FALSE)</f>
        <v>31</v>
      </c>
      <c r="H484" s="51" cm="1">
        <f t="array" ref="H484">IFERROR(VLOOKUP(B484,ADP!A1:F671,6,FALSE)/1000000,VLOOKUP(B484,ADP!A1:F671,6,FALSE))</f>
        <v>4.2</v>
      </c>
      <c r="I484" s="52">
        <f>IF(Settings!$E$15="POINTS",((R484*Q484)*Settings!$B$12)+(S484*Settings!$B$2)+(T484*Settings!$B$3)+(U484*Settings!$B$4)+(V484*Settings!$B$5)+(X484*Settings!$B$9)+(AA484*Settings!$B$6)+(W484*Settings!$B$8)+(AB484*Settings!$B$7)+(AC484*Settings!$B$14)+(AD484*Settings!$B$15)+(AE484*Settings!$B$16)+(AF484*Settings!$B$17)+(AG484*Settings!$B$18)+(Y484*Settings!$B$10)+(Z484*Settings!$B$11),VLOOKUP(B484,'Standard Deviations'!A$1:C$672,3,FALSE))</f>
        <v>-0.39971182762958651</v>
      </c>
      <c r="J484" s="53" cm="1">
        <f t="array" ref="J484">IF(D484="G",I484/AJ484,I484/Q484)</f>
        <v>-4.9963978453698311E-3</v>
      </c>
      <c r="K484" s="52" cm="1">
        <f t="array" ref="K484">IF(Settings!$E$18="C/LW/RW",VLOOKUP(B484,RW!A1:F210,6,FALSE),VLOOKUP(B484,F!A1:F407,6,FALSE))</f>
        <v>-7.2869464294386637</v>
      </c>
      <c r="L484" s="54" cm="1">
        <f t="array" ref="L484">IFERROR(K484/H484,"N/A")</f>
        <v>-1.7349872451044437</v>
      </c>
      <c r="M484" s="84" t="s">
        <v>828</v>
      </c>
      <c r="N484" s="84" t="str" cm="1">
        <f t="array" ref="N484">IFERROR(M484-A484,"N/A")</f>
        <v>N/A</v>
      </c>
      <c r="O484" s="55"/>
      <c r="P484" s="56" cm="1">
        <f t="array" ref="P484">_xlfn.XLOOKUP($B484,ADP!A2:A671,ADP!G2:G671)</f>
        <v>0</v>
      </c>
      <c r="Q484" s="57" cm="1">
        <f t="array" ref="Q484">IF(Settings!$E$12="YES",VLOOKUP(B484,'Player Data'!A1:E673,5,FALSE),84)</f>
        <v>80</v>
      </c>
      <c r="R484" s="83" cm="1">
        <f t="array" ref="R484">VLOOKUP(B484,'Player Data'!$A1:$AE673,6,FALSE)</f>
        <v>14.8</v>
      </c>
      <c r="S484" s="57" cm="1">
        <f t="array" ref="S484">VLOOKUP(B484,'Player Data'!$A1:$AE673,7,FALSE)*$Q484*IFERROR((VLOOKUP(P484,Settings!$E$28:$F$33,2,FALSE)+1),1)</f>
        <v>15.2</v>
      </c>
      <c r="T484" s="57" cm="1">
        <f t="array" ref="T484">VLOOKUP(B484,'Player Data'!$A1:$AE673,8,FALSE)*$Q484*IFERROR((VLOOKUP(P484,Settings!$E$28:$F$33,2,FALSE)+1),1)</f>
        <v>19.2</v>
      </c>
      <c r="U484" s="57" cm="1">
        <f t="array" ref="U484">SUM(S484:T484)</f>
        <v>34.4</v>
      </c>
      <c r="V484" s="57" cm="1">
        <f t="array" ref="V484">VLOOKUP(B484,'Player Data'!$A1:$AE673,10,FALSE)*$Q484*IFERROR(((VLOOKUP(P484,Settings!$E$28:$F$33,2,FALSE)/2)+1),1)</f>
        <v>163.19999999999999</v>
      </c>
      <c r="W484" s="57" cm="1">
        <f t="array" ref="W484">VLOOKUP(B484,'Player Data'!$A1:$AE673,11,FALSE)*$Q484*IFERROR((VLOOKUP(P484,Settings!$E$28:$F$33,2,FALSE)+1),1)</f>
        <v>0.8</v>
      </c>
      <c r="X484" s="57" cm="1">
        <f t="array" ref="X484">VLOOKUP(B484,'Player Data'!$A1:$AE673,12,FALSE)*$Q484*IFERROR((VLOOKUP(P484,Settings!$E$28:$F$33,2,FALSE)+1),1)</f>
        <v>2.4</v>
      </c>
      <c r="Y484" s="57" cm="1">
        <f t="array" ref="Y484">VLOOKUP(B484,'Player Data'!$A1:$AE673,13,FALSE)*$Q484</f>
        <v>0.8</v>
      </c>
      <c r="Z484" s="57" cm="1">
        <f t="array" ref="Z484">VLOOKUP(B484,'Player Data'!$A1:$AE673,14,FALSE)*$Q484</f>
        <v>1.6</v>
      </c>
      <c r="AA484" s="57" cm="1">
        <f t="array" ref="AA484">VLOOKUP(B484,'Player Data'!$A1:$AE673,15,FALSE)*$Q484</f>
        <v>37.599999999999994</v>
      </c>
      <c r="AB484" s="57" cm="1">
        <f t="array" ref="AB484">VLOOKUP(B484,'Player Data'!$A1:$AE673,16,FALSE)*$Q484</f>
        <v>68</v>
      </c>
      <c r="AC484" s="57" cm="1">
        <f t="array" ref="AC484">VLOOKUP(B484,'Player Data'!$A1:$AE673,17,FALSE)*$Q484*IFERROR((VLOOKUP(P484,Settings!$E$28:$F$33,2,FALSE)+1),1)</f>
        <v>0.8</v>
      </c>
      <c r="AD484" s="57" cm="1">
        <f t="array" ref="AD484">VLOOKUP(B484,'Player Data'!$A1:$AE673,18,FALSE)*$Q484</f>
        <v>17.600000000000001</v>
      </c>
      <c r="AE484" s="57" cm="1">
        <f t="array" ref="AE484">VLOOKUP(B484,'Player Data'!$A1:$AE673,19,FALSE)*$Q484*IFERROR((VLOOKUP(P484,Settings!$E$28:$F$33,2,FALSE)+1),1)</f>
        <v>2.4</v>
      </c>
      <c r="AF484" s="57" cm="1">
        <f t="array" ref="AF484">VLOOKUP(B484,'Player Data'!$A1:$AE673,20,FALSE)*$Q484</f>
        <v>4</v>
      </c>
      <c r="AG484" s="57" cm="1">
        <f t="array" ref="AG484">VLOOKUP(B484,'Player Data'!$A1:$AE673,21,FALSE)*$Q484</f>
        <v>17.600000000000001</v>
      </c>
      <c r="AH484" s="59" cm="1">
        <f t="array" ref="AH484">VLOOKUP(B484,'Player Data'!$A1:$AE673,22,FALSE)</f>
        <v>0.19</v>
      </c>
      <c r="AI484" s="55"/>
      <c r="AJ484" s="57"/>
      <c r="AK484" s="57"/>
      <c r="AL484" s="57"/>
      <c r="AM484" s="57"/>
      <c r="AN484" s="57"/>
      <c r="AO484" s="57"/>
      <c r="AP484" s="57"/>
      <c r="AQ484" s="60"/>
      <c r="AR484" s="61"/>
      <c r="AS484" s="55"/>
    </row>
    <row r="485" spans="1:45" ht="21.25" customHeight="1" x14ac:dyDescent="0.15">
      <c r="A485" s="62">
        <f>RANK(K485,K$2:K$671)</f>
        <v>482</v>
      </c>
      <c r="B485" s="10" t="s">
        <v>495</v>
      </c>
      <c r="C485" s="47" t="s">
        <v>145</v>
      </c>
      <c r="D485" s="48" t="str" cm="1">
        <f t="array" ref="D485">VLOOKUP(B485,'Player Data'!A1:D673,4,FALSE)</f>
        <v>RW</v>
      </c>
      <c r="E485" s="64" cm="1">
        <f t="array" ref="E485">VLOOKUP(B485,RW!A1:F210,3,FALSE)</f>
        <v>120</v>
      </c>
      <c r="F485" s="69" t="str" cm="1">
        <f t="array" ref="F485">VLOOKUP(B485,'Player Data'!A1:B673,2,FALSE)</f>
        <v>CBJ</v>
      </c>
      <c r="G485" s="11" cm="1">
        <f t="array" ref="G485">VLOOKUP(B485,'Player Data'!A1:D673,3,FALSE)</f>
        <v>30</v>
      </c>
      <c r="H485" s="51" cm="1">
        <f t="array" ref="H485">IFERROR(VLOOKUP(B485,ADP!A1:F671,6,FALSE)/1000000,VLOOKUP(B485,ADP!A1:F671,6,FALSE))</f>
        <v>6</v>
      </c>
      <c r="I485" s="52">
        <f>IF(Settings!$E$15="POINTS",((R485*Q485)*Settings!$B$12)+(S485*Settings!$B$2)+(T485*Settings!$B$3)+(U485*Settings!$B$4)+(V485*Settings!$B$5)+(X485*Settings!$B$9)+(AA485*Settings!$B$6)+(W485*Settings!$B$8)+(AB485*Settings!$B$7)+(AC485*Settings!$B$14)+(AD485*Settings!$B$15)+(AE485*Settings!$B$16)+(AF485*Settings!$B$17)+(AG485*Settings!$B$18)+(Y485*Settings!$B$10)+(Z485*Settings!$B$11),VLOOKUP(B485,'Standard Deviations'!A$1:C$672,3,FALSE))</f>
        <v>-0.40306146667967141</v>
      </c>
      <c r="J485" s="53" cm="1">
        <f t="array" ref="J485">IF(D485="G",I485/AJ485,I485/Q485)</f>
        <v>-4.915383739995993E-3</v>
      </c>
      <c r="K485" s="52" cm="1">
        <f t="array" ref="K485">IF(Settings!$E$18="C/LW/RW",VLOOKUP(B485,RW!A1:F210,6,FALSE),VLOOKUP(B485,F!A1:F407,6,FALSE))</f>
        <v>-7.2902960684887486</v>
      </c>
      <c r="L485" s="54" cm="1">
        <f t="array" ref="L485">IFERROR(K485/H485,"N/A")</f>
        <v>-1.2150493447481248</v>
      </c>
      <c r="M485" s="84" t="s">
        <v>828</v>
      </c>
      <c r="N485" s="84" t="str" cm="1">
        <f t="array" ref="N485">IFERROR(M485-A485,"N/A")</f>
        <v>N/A</v>
      </c>
      <c r="O485" s="55"/>
      <c r="P485" s="56" cm="1">
        <f t="array" ref="P485">_xlfn.XLOOKUP($B485,ADP!A2:A671,ADP!G2:G671)</f>
        <v>0</v>
      </c>
      <c r="Q485" s="57" cm="1">
        <f t="array" ref="Q485">IF(Settings!$E$12="YES",VLOOKUP(B485,'Player Data'!A1:E673,5,FALSE),84)</f>
        <v>82</v>
      </c>
      <c r="R485" s="55" cm="1">
        <f t="array" ref="R485">VLOOKUP(B485,'Player Data'!$A1:$AE673,6,FALSE)</f>
        <v>16.600000000000001</v>
      </c>
      <c r="S485" s="57" cm="1">
        <f t="array" ref="S485">VLOOKUP(B485,'Player Data'!$A1:$AE673,7,FALSE)*$Q485*IFERROR((VLOOKUP(P485,Settings!$E$28:$F$33,2,FALSE)+1),1)</f>
        <v>13.120000000000001</v>
      </c>
      <c r="T485" s="57" cm="1">
        <f t="array" ref="T485">VLOOKUP(B485,'Player Data'!$A1:$AE673,8,FALSE)*$Q485*IFERROR((VLOOKUP(P485,Settings!$E$28:$F$33,2,FALSE)+1),1)</f>
        <v>21.32</v>
      </c>
      <c r="U485" s="57" cm="1">
        <f t="array" ref="U485">SUM(S485:T485)</f>
        <v>34.44</v>
      </c>
      <c r="V485" s="57" cm="1">
        <f t="array" ref="V485">VLOOKUP(B485,'Player Data'!$A1:$AE673,10,FALSE)*$Q485*IFERROR(((VLOOKUP(P485,Settings!$E$28:$F$33,2,FALSE)/2)+1),1)</f>
        <v>144.32</v>
      </c>
      <c r="W485" s="57" cm="1">
        <f t="array" ref="W485">VLOOKUP(B485,'Player Data'!$A1:$AE673,11,FALSE)*$Q485*IFERROR((VLOOKUP(P485,Settings!$E$28:$F$33,2,FALSE)+1),1)</f>
        <v>2.46</v>
      </c>
      <c r="X485" s="57" cm="1">
        <f t="array" ref="X485">VLOOKUP(B485,'Player Data'!$A1:$AE673,12,FALSE)*$Q485*IFERROR((VLOOKUP(P485,Settings!$E$28:$F$33,2,FALSE)+1),1)</f>
        <v>7.38</v>
      </c>
      <c r="Y485" s="57" cm="1">
        <f t="array" ref="Y485">VLOOKUP(B485,'Player Data'!$A1:$AE673,13,FALSE)*$Q485</f>
        <v>0</v>
      </c>
      <c r="Z485" s="57" cm="1">
        <f t="array" ref="Z485">VLOOKUP(B485,'Player Data'!$A1:$AE673,14,FALSE)*$Q485</f>
        <v>0</v>
      </c>
      <c r="AA485" s="57" cm="1">
        <f t="array" ref="AA485">VLOOKUP(B485,'Player Data'!$A1:$AE673,15,FALSE)*$Q485</f>
        <v>40.18</v>
      </c>
      <c r="AB485" s="57" cm="1">
        <f t="array" ref="AB485">VLOOKUP(B485,'Player Data'!$A1:$AE673,16,FALSE)*$Q485</f>
        <v>53.300000000000004</v>
      </c>
      <c r="AC485" s="57" cm="1">
        <f t="array" ref="AC485">VLOOKUP(B485,'Player Data'!$A1:$AE673,17,FALSE)*$Q485*IFERROR((VLOOKUP(P485,Settings!$E$28:$F$33,2,FALSE)+1),1)</f>
        <v>1.6400000000000001</v>
      </c>
      <c r="AD485" s="57" cm="1">
        <f t="array" ref="AD485">VLOOKUP(B485,'Player Data'!$A1:$AE673,18,FALSE)*$Q485</f>
        <v>35.26</v>
      </c>
      <c r="AE485" s="57" cm="1">
        <f t="array" ref="AE485">VLOOKUP(B485,'Player Data'!$A1:$AE673,19,FALSE)*$Q485*IFERROR((VLOOKUP(P485,Settings!$E$28:$F$33,2,FALSE)+1),1)</f>
        <v>2.46</v>
      </c>
      <c r="AF485" s="57" cm="1">
        <f t="array" ref="AF485">VLOOKUP(B485,'Player Data'!$A1:$AE673,20,FALSE)*$Q485</f>
        <v>9.02</v>
      </c>
      <c r="AG485" s="57" cm="1">
        <f t="array" ref="AG485">VLOOKUP(B485,'Player Data'!$A1:$AE673,21,FALSE)*$Q485</f>
        <v>20.5</v>
      </c>
      <c r="AH485" s="59" cm="1">
        <f t="array" ref="AH485">VLOOKUP(B485,'Player Data'!$A1:$AE673,22,FALSE)</f>
        <v>0.32</v>
      </c>
      <c r="AI485" s="55"/>
      <c r="AJ485" s="57"/>
      <c r="AK485" s="57"/>
      <c r="AL485" s="57"/>
      <c r="AM485" s="57"/>
      <c r="AN485" s="57"/>
      <c r="AO485" s="57"/>
      <c r="AP485" s="57"/>
      <c r="AQ485" s="60"/>
      <c r="AR485" s="61"/>
      <c r="AS485" s="55"/>
    </row>
    <row r="486" spans="1:45" ht="21.25" customHeight="1" x14ac:dyDescent="0.15">
      <c r="A486" s="62">
        <f>RANK(K486,K$2:K$671)</f>
        <v>483</v>
      </c>
      <c r="B486" s="10" t="s">
        <v>452</v>
      </c>
      <c r="C486" s="47" t="s">
        <v>145</v>
      </c>
      <c r="D486" s="48" t="str" cm="1">
        <f t="array" ref="D486">VLOOKUP(B486,'Player Data'!A1:D673,4,FALSE)</f>
        <v>C,RW</v>
      </c>
      <c r="E486" s="74" cm="1">
        <f t="array" ref="E486">VLOOKUP(B486,RW!A1:F210,3,FALSE)</f>
        <v>121</v>
      </c>
      <c r="F486" s="72" t="str" cm="1">
        <f t="array" ref="F486">VLOOKUP(B486,'Player Data'!A1:B673,2,FALSE)</f>
        <v>NYI</v>
      </c>
      <c r="G486" s="71" cm="1">
        <f t="array" ref="G486">VLOOKUP(B486,'Player Data'!A1:D673,3,FALSE)</f>
        <v>21</v>
      </c>
      <c r="H486" s="51" cm="1">
        <f t="array" ref="H486">IFERROR(VLOOKUP(B486,ADP!A1:F671,6,FALSE)/1000000,VLOOKUP(B486,ADP!A1:F671,6,FALSE))</f>
        <v>0.94083300000000003</v>
      </c>
      <c r="I486" s="52">
        <f>IF(Settings!$E$15="POINTS",((R486*Q486)*Settings!$B$12)+(S486*Settings!$B$2)+(T486*Settings!$B$3)+(U486*Settings!$B$4)+(V486*Settings!$B$5)+(X486*Settings!$B$9)+(AA486*Settings!$B$6)+(W486*Settings!$B$8)+(AB486*Settings!$B$7)+(AC486*Settings!$B$14)+(AD486*Settings!$B$15)+(AE486*Settings!$B$16)+(AF486*Settings!$B$17)+(AG486*Settings!$B$18)+(Y486*Settings!$B$10)+(Z486*Settings!$B$11),VLOOKUP(B486,'Standard Deviations'!A$1:C$672,3,FALSE))</f>
        <v>-0.47225503998160145</v>
      </c>
      <c r="J486" s="53" cm="1">
        <f t="array" ref="J486">IF(D486="G",I486/AJ486,I486/Q486)</f>
        <v>-6.1331823374233957E-3</v>
      </c>
      <c r="K486" s="52" cm="1">
        <f t="array" ref="K486">IF(Settings!$E$18="C/LW/RW",VLOOKUP(B486,RW!A1:F210,6,FALSE),VLOOKUP(B486,F!A1:F407,6,FALSE))</f>
        <v>-7.3594896417906792</v>
      </c>
      <c r="L486" s="54" cm="1">
        <f t="array" ref="L486">IFERROR(K486/H486,"N/A")</f>
        <v>-7.8223123995339012</v>
      </c>
      <c r="M486" s="84" t="s">
        <v>828</v>
      </c>
      <c r="N486" s="84" t="str" cm="1">
        <f t="array" ref="N486">IFERROR(M486-A486,"N/A")</f>
        <v>N/A</v>
      </c>
      <c r="O486" s="55"/>
      <c r="P486" s="56" cm="1">
        <f t="array" ref="P486">_xlfn.XLOOKUP($B486,ADP!A2:A671,ADP!G2:G671)</f>
        <v>0</v>
      </c>
      <c r="Q486" s="57" cm="1">
        <f t="array" ref="Q486">IF(Settings!$E$12="YES",VLOOKUP(B486,'Player Data'!A1:E673,5,FALSE),84)</f>
        <v>77</v>
      </c>
      <c r="R486" s="81" cm="1">
        <f t="array" ref="R486">VLOOKUP(B486,'Player Data'!$A1:$AE673,6,FALSE)</f>
        <v>16.2</v>
      </c>
      <c r="S486" s="57" cm="1">
        <f t="array" ref="S486">VLOOKUP(B486,'Player Data'!$A1:$AE673,7,FALSE)*$Q486*IFERROR((VLOOKUP(P486,Settings!$E$28:$F$33,2,FALSE)+1),1)</f>
        <v>20.02</v>
      </c>
      <c r="T486" s="57" cm="1">
        <f t="array" ref="T486">VLOOKUP(B486,'Player Data'!$A1:$AE673,8,FALSE)*$Q486*IFERROR((VLOOKUP(P486,Settings!$E$28:$F$33,2,FALSE)+1),1)</f>
        <v>26.180000000000003</v>
      </c>
      <c r="U486" s="57" cm="1">
        <f t="array" ref="U486">SUM(S486:T486)</f>
        <v>46.2</v>
      </c>
      <c r="V486" s="57" cm="1">
        <f t="array" ref="V486">VLOOKUP(B486,'Player Data'!$A1:$AE673,10,FALSE)*$Q486*IFERROR(((VLOOKUP(P486,Settings!$E$28:$F$33,2,FALSE)/2)+1),1)</f>
        <v>124.74000000000001</v>
      </c>
      <c r="W486" s="57" cm="1">
        <f t="array" ref="W486">VLOOKUP(B486,'Player Data'!$A1:$AE673,11,FALSE)*$Q486*IFERROR((VLOOKUP(P486,Settings!$E$28:$F$33,2,FALSE)+1),1)</f>
        <v>7.7</v>
      </c>
      <c r="X486" s="78" cm="1">
        <f t="array" ref="X486">VLOOKUP(B486,'Player Data'!$A1:$AE673,12,FALSE)*$Q486*IFERROR((VLOOKUP(P486,Settings!$E$28:$F$33,2,FALSE)+1),1)</f>
        <v>18.48</v>
      </c>
      <c r="Y486" s="57" cm="1">
        <f t="array" ref="Y486">VLOOKUP(B486,'Player Data'!$A1:$AE673,13,FALSE)*$Q486</f>
        <v>0</v>
      </c>
      <c r="Z486" s="57" cm="1">
        <f t="array" ref="Z486">VLOOKUP(B486,'Player Data'!$A1:$AE673,14,FALSE)*$Q486</f>
        <v>0</v>
      </c>
      <c r="AA486" s="57" cm="1">
        <f t="array" ref="AA486">VLOOKUP(B486,'Player Data'!$A1:$AE673,15,FALSE)*$Q486</f>
        <v>43.120000000000005</v>
      </c>
      <c r="AB486" s="57" cm="1">
        <f t="array" ref="AB486">VLOOKUP(B486,'Player Data'!$A1:$AE673,16,FALSE)*$Q486</f>
        <v>36.19</v>
      </c>
      <c r="AC486" s="57" cm="1">
        <f t="array" ref="AC486">VLOOKUP(B486,'Player Data'!$A1:$AE673,17,FALSE)*$Q486*IFERROR((VLOOKUP(P486,Settings!$E$28:$F$33,2,FALSE)+1),1)</f>
        <v>-5.3900000000000006</v>
      </c>
      <c r="AD486" s="57" cm="1">
        <f t="array" ref="AD486">VLOOKUP(B486,'Player Data'!$A1:$AE673,18,FALSE)*$Q486</f>
        <v>30.8</v>
      </c>
      <c r="AE486" s="57" cm="1">
        <f t="array" ref="AE486">VLOOKUP(B486,'Player Data'!$A1:$AE673,19,FALSE)*$Q486*IFERROR((VLOOKUP(P486,Settings!$E$28:$F$33,2,FALSE)+1),1)</f>
        <v>3.08</v>
      </c>
      <c r="AF486" s="57" cm="1">
        <f t="array" ref="AF486">VLOOKUP(B486,'Player Data'!$A1:$AE673,20,FALSE)*$Q486</f>
        <v>161.70000000000002</v>
      </c>
      <c r="AG486" s="57" cm="1">
        <f t="array" ref="AG486">VLOOKUP(B486,'Player Data'!$A1:$AE673,21,FALSE)*$Q486</f>
        <v>271.81</v>
      </c>
      <c r="AH486" s="59" cm="1">
        <f t="array" ref="AH486">VLOOKUP(B486,'Player Data'!$A1:$AE673,22,FALSE)</f>
        <v>0.37</v>
      </c>
      <c r="AI486" s="55"/>
      <c r="AJ486" s="57"/>
      <c r="AK486" s="57"/>
      <c r="AL486" s="57"/>
      <c r="AM486" s="57"/>
      <c r="AN486" s="57"/>
      <c r="AO486" s="57"/>
      <c r="AP486" s="57"/>
      <c r="AQ486" s="60"/>
      <c r="AR486" s="61"/>
      <c r="AS486" s="55"/>
    </row>
    <row r="487" spans="1:45" ht="21.25" customHeight="1" x14ac:dyDescent="0.15">
      <c r="A487" s="62">
        <f>RANK(K487,K$2:K$671)</f>
        <v>485</v>
      </c>
      <c r="B487" s="10" t="s">
        <v>682</v>
      </c>
      <c r="C487" s="47" t="s">
        <v>145</v>
      </c>
      <c r="D487" s="48" t="str" cm="1">
        <f t="array" ref="D487">VLOOKUP(B487,'Player Data'!A1:D673,4,FALSE)</f>
        <v>C,LW</v>
      </c>
      <c r="E487" s="74" cm="1">
        <f t="array" ref="E487">VLOOKUP(B487,LW!A1:C210,3,FALSE)</f>
        <v>125</v>
      </c>
      <c r="F487" s="73" t="str" cm="1">
        <f t="array" ref="F487">VLOOKUP(B487,'Player Data'!A1:B673,2,FALSE)</f>
        <v>BUF</v>
      </c>
      <c r="G487" s="11" cm="1">
        <f t="array" ref="G487">VLOOKUP(B487,'Player Data'!A1:D673,3,FALSE)</f>
        <v>25</v>
      </c>
      <c r="H487" s="51" cm="1">
        <f t="array" ref="H487">IFERROR(VLOOKUP(B487,ADP!A1:F671,6,FALSE)/1000000,VLOOKUP(B487,ADP!A1:F671,6,FALSE))</f>
        <v>4.5</v>
      </c>
      <c r="I487" s="52">
        <f>IF(Settings!$E$15="POINTS",((R487*Q487)*Settings!$B$12)+(S487*Settings!$B$2)+(T487*Settings!$B$3)+(U487*Settings!$B$4)+(V487*Settings!$B$5)+(X487*Settings!$B$9)+(AA487*Settings!$B$6)+(W487*Settings!$B$8)+(AB487*Settings!$B$7)+(AC487*Settings!$B$14)+(AD487*Settings!$B$15)+(AE487*Settings!$B$16)+(AF487*Settings!$B$17)+(AG487*Settings!$B$18)+(Y487*Settings!$B$10)+(Z487*Settings!$B$11),VLOOKUP(B487,'Standard Deviations'!A$1:C$672,3,FALSE))</f>
        <v>-0.54275777847077866</v>
      </c>
      <c r="J487" s="53" cm="1">
        <f t="array" ref="J487">IF(D487="G",I487/AJ487,I487/Q487)</f>
        <v>-6.4614021246521269E-3</v>
      </c>
      <c r="K487" s="52" cm="1">
        <f t="array" ref="K487">IF(Settings!$E$18="C/LW/RW",VLOOKUP(B487,LW!A1:F210,6,FALSE),VLOOKUP(B487,F!A1:F407,6,FALSE))</f>
        <v>-7.4371434228605882</v>
      </c>
      <c r="L487" s="54" cm="1">
        <f t="array" ref="L487">IFERROR(K487/H487,"N/A")</f>
        <v>-1.652698538413464</v>
      </c>
      <c r="M487" s="84" t="s">
        <v>828</v>
      </c>
      <c r="N487" s="84" t="str" cm="1">
        <f t="array" ref="N487">IFERROR(M487-A487,"N/A")</f>
        <v>N/A</v>
      </c>
      <c r="O487" s="55"/>
      <c r="P487" s="56" cm="1">
        <f t="array" ref="P487">_xlfn.XLOOKUP($B487,ADP!A2:A671,ADP!G2:G671)</f>
        <v>0</v>
      </c>
      <c r="Q487" s="57" cm="1">
        <f t="array" ref="Q487">IF(Settings!$E$12="YES",VLOOKUP(B487,'Player Data'!A1:E673,5,FALSE),84)</f>
        <v>84</v>
      </c>
      <c r="R487" s="83" cm="1">
        <f t="array" ref="R487">VLOOKUP(B487,'Player Data'!$A1:$AE673,6,FALSE)</f>
        <v>12.2</v>
      </c>
      <c r="S487" s="57" cm="1">
        <f t="array" ref="S487">VLOOKUP(B487,'Player Data'!$A1:$AE673,7,FALSE)*$Q487*IFERROR((VLOOKUP(P487,Settings!$E$28:$F$33,2,FALSE)+1),1)</f>
        <v>10.08</v>
      </c>
      <c r="T487" s="57" cm="1">
        <f t="array" ref="T487">VLOOKUP(B487,'Player Data'!$A1:$AE673,8,FALSE)*$Q487*IFERROR((VLOOKUP(P487,Settings!$E$28:$F$33,2,FALSE)+1),1)</f>
        <v>20.16</v>
      </c>
      <c r="U487" s="57" cm="1">
        <f t="array" ref="U487">SUM(S487:T487)</f>
        <v>30.240000000000002</v>
      </c>
      <c r="V487" s="57" cm="1">
        <f t="array" ref="V487">VLOOKUP(B487,'Player Data'!$A1:$AE673,10,FALSE)*$Q487*IFERROR(((VLOOKUP(P487,Settings!$E$28:$F$33,2,FALSE)/2)+1),1)</f>
        <v>87.36</v>
      </c>
      <c r="W487" s="57" cm="1">
        <f t="array" ref="W487">VLOOKUP(B487,'Player Data'!$A1:$AE673,11,FALSE)*$Q487*IFERROR((VLOOKUP(P487,Settings!$E$28:$F$33,2,FALSE)+1),1)</f>
        <v>0</v>
      </c>
      <c r="X487" s="57" cm="1">
        <f t="array" ref="X487">VLOOKUP(B487,'Player Data'!$A1:$AE673,12,FALSE)*$Q487*IFERROR((VLOOKUP(P487,Settings!$E$28:$F$33,2,FALSE)+1),1)</f>
        <v>0</v>
      </c>
      <c r="Y487" s="57" cm="1">
        <f t="array" ref="Y487">VLOOKUP(B487,'Player Data'!$A1:$AE673,13,FALSE)*$Q487</f>
        <v>0</v>
      </c>
      <c r="Z487" s="57" cm="1">
        <f t="array" ref="Z487">VLOOKUP(B487,'Player Data'!$A1:$AE673,14,FALSE)*$Q487</f>
        <v>0.84</v>
      </c>
      <c r="AA487" s="57" cm="1">
        <f t="array" ref="AA487">VLOOKUP(B487,'Player Data'!$A1:$AE673,15,FALSE)*$Q487</f>
        <v>36.96</v>
      </c>
      <c r="AB487" s="57" cm="1">
        <f t="array" ref="AB487">VLOOKUP(B487,'Player Data'!$A1:$AE673,16,FALSE)*$Q487</f>
        <v>157.91999999999999</v>
      </c>
      <c r="AC487" s="57" cm="1">
        <f t="array" ref="AC487">VLOOKUP(B487,'Player Data'!$A1:$AE673,17,FALSE)*$Q487*IFERROR((VLOOKUP(P487,Settings!$E$28:$F$33,2,FALSE)+1),1)</f>
        <v>0.84</v>
      </c>
      <c r="AD487" s="57" cm="1">
        <f t="array" ref="AD487">VLOOKUP(B487,'Player Data'!$A1:$AE673,18,FALSE)*$Q487</f>
        <v>43.68</v>
      </c>
      <c r="AE487" s="57" cm="1">
        <f t="array" ref="AE487">VLOOKUP(B487,'Player Data'!$A1:$AE673,19,FALSE)*$Q487*IFERROR((VLOOKUP(P487,Settings!$E$28:$F$33,2,FALSE)+1),1)</f>
        <v>1.68</v>
      </c>
      <c r="AF487" s="57" cm="1">
        <f t="array" ref="AF487">VLOOKUP(B487,'Player Data'!$A1:$AE673,20,FALSE)*$Q487</f>
        <v>224.28</v>
      </c>
      <c r="AG487" s="57" cm="1">
        <f t="array" ref="AG487">VLOOKUP(B487,'Player Data'!$A1:$AE673,21,FALSE)*$Q487</f>
        <v>260.40000000000003</v>
      </c>
      <c r="AH487" s="59" cm="1">
        <f t="array" ref="AH487">VLOOKUP(B487,'Player Data'!$A1:$AE673,22,FALSE)</f>
        <v>0.46</v>
      </c>
      <c r="AI487" s="55"/>
      <c r="AJ487" s="57"/>
      <c r="AK487" s="57"/>
      <c r="AL487" s="57"/>
      <c r="AM487" s="57"/>
      <c r="AN487" s="57"/>
      <c r="AO487" s="57"/>
      <c r="AP487" s="57"/>
      <c r="AQ487" s="60"/>
      <c r="AR487" s="61"/>
      <c r="AS487" s="55"/>
    </row>
    <row r="488" spans="1:45" ht="21.25" customHeight="1" x14ac:dyDescent="0.15">
      <c r="A488" s="62">
        <f>RANK(K488,K$2:K$671)</f>
        <v>486</v>
      </c>
      <c r="B488" s="10" t="s">
        <v>612</v>
      </c>
      <c r="C488" s="47" t="s">
        <v>145</v>
      </c>
      <c r="D488" s="48" t="str" cm="1">
        <f t="array" ref="D488">VLOOKUP(B488,'Player Data'!A1:D673,4,FALSE)</f>
        <v>C,LW</v>
      </c>
      <c r="E488" s="74" cm="1">
        <f t="array" ref="E488">VLOOKUP(B488,LW!A1:C210,3,FALSE)</f>
        <v>126</v>
      </c>
      <c r="F488" s="56" t="str" cm="1">
        <f t="array" ref="F488">VLOOKUP(B488,'Player Data'!A1:B673,2,FALSE)</f>
        <v>WSH</v>
      </c>
      <c r="G488" s="66" cm="1">
        <f t="array" ref="G488">VLOOKUP(B488,'Player Data'!A1:D673,3,FALSE)</f>
        <v>33</v>
      </c>
      <c r="H488" s="51" cm="1">
        <f t="array" ref="H488">IFERROR(VLOOKUP(B488,ADP!A1:F671,6,FALSE)/1000000,VLOOKUP(B488,ADP!A1:F671,6,FALSE))</f>
        <v>5.75</v>
      </c>
      <c r="I488" s="52">
        <f>IF(Settings!$E$15="POINTS",((R488*Q488)*Settings!$B$12)+(S488*Settings!$B$2)+(T488*Settings!$B$3)+(U488*Settings!$B$4)+(V488*Settings!$B$5)+(X488*Settings!$B$9)+(AA488*Settings!$B$6)+(W488*Settings!$B$8)+(AB488*Settings!$B$7)+(AC488*Settings!$B$14)+(AD488*Settings!$B$15)+(AE488*Settings!$B$16)+(AF488*Settings!$B$17)+(AG488*Settings!$B$18)+(Y488*Settings!$B$10)+(Z488*Settings!$B$11),VLOOKUP(B488,'Standard Deviations'!A$1:C$672,3,FALSE))</f>
        <v>-0.54334297119588038</v>
      </c>
      <c r="J488" s="53" cm="1">
        <f t="array" ref="J488">IF(D488="G",I488/AJ488,I488/Q488)</f>
        <v>-7.6527179041673294E-3</v>
      </c>
      <c r="K488" s="52" cm="1">
        <f t="array" ref="K488">IF(Settings!$E$18="C/LW/RW",VLOOKUP(B488,LW!A1:F210,6,FALSE),VLOOKUP(B488,F!A1:F407,6,FALSE))</f>
        <v>-7.4377286155856899</v>
      </c>
      <c r="L488" s="54" cm="1">
        <f t="array" ref="L488">IFERROR(K488/H488,"N/A")</f>
        <v>-1.293518020101859</v>
      </c>
      <c r="M488" s="84" t="s">
        <v>828</v>
      </c>
      <c r="N488" s="84" t="str" cm="1">
        <f t="array" ref="N488">IFERROR(M488-A488,"N/A")</f>
        <v>N/A</v>
      </c>
      <c r="O488" s="55"/>
      <c r="P488" s="56" cm="1">
        <f t="array" ref="P488">_xlfn.XLOOKUP($B488,ADP!A2:A671,ADP!G2:G671)</f>
        <v>0</v>
      </c>
      <c r="Q488" s="57" cm="1">
        <f t="array" ref="Q488">IF(Settings!$E$12="YES",VLOOKUP(B488,'Player Data'!A1:E673,5,FALSE),84)</f>
        <v>71</v>
      </c>
      <c r="R488" s="83" cm="1">
        <f t="array" ref="R488">VLOOKUP(B488,'Player Data'!$A1:$AE673,6,FALSE)</f>
        <v>14.4</v>
      </c>
      <c r="S488" s="57" cm="1">
        <f t="array" ref="S488">VLOOKUP(B488,'Player Data'!$A1:$AE673,7,FALSE)*$Q488*IFERROR((VLOOKUP(P488,Settings!$E$28:$F$33,2,FALSE)+1),1)</f>
        <v>9.9400000000000013</v>
      </c>
      <c r="T488" s="57" cm="1">
        <f t="array" ref="T488">VLOOKUP(B488,'Player Data'!$A1:$AE673,8,FALSE)*$Q488*IFERROR((VLOOKUP(P488,Settings!$E$28:$F$33,2,FALSE)+1),1)</f>
        <v>17.04</v>
      </c>
      <c r="U488" s="57" cm="1">
        <f t="array" ref="U488">SUM(S488:T488)</f>
        <v>26.98</v>
      </c>
      <c r="V488" s="57" cm="1">
        <f t="array" ref="V488">VLOOKUP(B488,'Player Data'!$A1:$AE673,10,FALSE)*$Q488*IFERROR(((VLOOKUP(P488,Settings!$E$28:$F$33,2,FALSE)/2)+1),1)</f>
        <v>107.92</v>
      </c>
      <c r="W488" s="57" cm="1">
        <f t="array" ref="W488">VLOOKUP(B488,'Player Data'!$A1:$AE673,11,FALSE)*$Q488*IFERROR((VLOOKUP(P488,Settings!$E$28:$F$33,2,FALSE)+1),1)</f>
        <v>0</v>
      </c>
      <c r="X488" s="57" cm="1">
        <f t="array" ref="X488">VLOOKUP(B488,'Player Data'!$A1:$AE673,12,FALSE)*$Q488*IFERROR((VLOOKUP(P488,Settings!$E$28:$F$33,2,FALSE)+1),1)</f>
        <v>0</v>
      </c>
      <c r="Y488" s="57" cm="1">
        <f t="array" ref="Y488">VLOOKUP(B488,'Player Data'!$A1:$AE673,13,FALSE)*$Q488</f>
        <v>0.71</v>
      </c>
      <c r="Z488" s="57" cm="1">
        <f t="array" ref="Z488">VLOOKUP(B488,'Player Data'!$A1:$AE673,14,FALSE)*$Q488</f>
        <v>0.71</v>
      </c>
      <c r="AA488" s="57" cm="1">
        <f t="array" ref="AA488">VLOOKUP(B488,'Player Data'!$A1:$AE673,15,FALSE)*$Q488</f>
        <v>54.67</v>
      </c>
      <c r="AB488" s="57" cm="1">
        <f t="array" ref="AB488">VLOOKUP(B488,'Player Data'!$A1:$AE673,16,FALSE)*$Q488</f>
        <v>115.72999999999999</v>
      </c>
      <c r="AC488" s="57" cm="1">
        <f t="array" ref="AC488">VLOOKUP(B488,'Player Data'!$A1:$AE673,17,FALSE)*$Q488*IFERROR((VLOOKUP(P488,Settings!$E$28:$F$33,2,FALSE)+1),1)</f>
        <v>4.26</v>
      </c>
      <c r="AD488" s="57" cm="1">
        <f t="array" ref="AD488">VLOOKUP(B488,'Player Data'!$A1:$AE673,18,FALSE)*$Q488</f>
        <v>29.11</v>
      </c>
      <c r="AE488" s="57" cm="1">
        <f t="array" ref="AE488">VLOOKUP(B488,'Player Data'!$A1:$AE673,19,FALSE)*$Q488*IFERROR((VLOOKUP(P488,Settings!$E$28:$F$33,2,FALSE)+1),1)</f>
        <v>1.42</v>
      </c>
      <c r="AF488" s="57" cm="1">
        <f t="array" ref="AF488">VLOOKUP(B488,'Player Data'!$A1:$AE673,20,FALSE)*$Q488</f>
        <v>249.92</v>
      </c>
      <c r="AG488" s="57" cm="1">
        <f t="array" ref="AG488">VLOOKUP(B488,'Player Data'!$A1:$AE673,21,FALSE)*$Q488</f>
        <v>222.23</v>
      </c>
      <c r="AH488" s="59" cm="1">
        <f t="array" ref="AH488">VLOOKUP(B488,'Player Data'!$A1:$AE673,22,FALSE)</f>
        <v>0.53</v>
      </c>
      <c r="AI488" s="55"/>
      <c r="AJ488" s="57"/>
      <c r="AK488" s="57"/>
      <c r="AL488" s="57"/>
      <c r="AM488" s="57"/>
      <c r="AN488" s="57"/>
      <c r="AO488" s="57"/>
      <c r="AP488" s="57"/>
      <c r="AQ488" s="60"/>
      <c r="AR488" s="61"/>
      <c r="AS488" s="55"/>
    </row>
    <row r="489" spans="1:45" ht="21.25" customHeight="1" x14ac:dyDescent="0.15">
      <c r="A489" s="62">
        <f>RANK(K489,K$2:K$671)</f>
        <v>487</v>
      </c>
      <c r="B489" s="10" t="s">
        <v>743</v>
      </c>
      <c r="C489" s="47" t="s">
        <v>145</v>
      </c>
      <c r="D489" s="48" t="str" cm="1">
        <f t="array" ref="D489">VLOOKUP(B489,'Player Data'!A1:D673,4,FALSE)</f>
        <v>LW</v>
      </c>
      <c r="E489" s="75" cm="1">
        <f t="array" ref="E489">VLOOKUP(B489,LW!A1:C210,3,FALSE)</f>
        <v>127</v>
      </c>
      <c r="F489" s="63" t="str" cm="1">
        <f t="array" ref="F489">VLOOKUP(B489,'Player Data'!A1:B673,2,FALSE)</f>
        <v>WPG</v>
      </c>
      <c r="G489" s="11" cm="1">
        <f t="array" ref="G489">VLOOKUP(B489,'Player Data'!A1:D673,3,FALSE)</f>
        <v>28</v>
      </c>
      <c r="H489" s="51" cm="1">
        <f t="array" ref="H489">IFERROR(VLOOKUP(B489,ADP!A1:F671,6,FALSE)/1000000,VLOOKUP(B489,ADP!A1:F671,6,FALSE))</f>
        <v>1.45</v>
      </c>
      <c r="I489" s="52">
        <f>IF(Settings!$E$15="POINTS",((R489*Q489)*Settings!$B$12)+(S489*Settings!$B$2)+(T489*Settings!$B$3)+(U489*Settings!$B$4)+(V489*Settings!$B$5)+(X489*Settings!$B$9)+(AA489*Settings!$B$6)+(W489*Settings!$B$8)+(AB489*Settings!$B$7)+(AC489*Settings!$B$14)+(AD489*Settings!$B$15)+(AE489*Settings!$B$16)+(AF489*Settings!$B$17)+(AG489*Settings!$B$18)+(Y489*Settings!$B$10)+(Z489*Settings!$B$11),VLOOKUP(B489,'Standard Deviations'!A$1:C$672,3,FALSE))</f>
        <v>-0.56201023685147022</v>
      </c>
      <c r="J489" s="53" cm="1">
        <f t="array" ref="J489">IF(D489="G",I489/AJ489,I489/Q489)</f>
        <v>-7.6987703678283595E-3</v>
      </c>
      <c r="K489" s="52" cm="1">
        <f t="array" ref="K489">IF(Settings!$E$18="C/LW/RW",VLOOKUP(B489,LW!A1:F210,6,FALSE),VLOOKUP(B489,F!A1:F407,6,FALSE))</f>
        <v>-7.4563958812412796</v>
      </c>
      <c r="L489" s="54" cm="1">
        <f t="array" ref="L489">IFERROR(K489/H489,"N/A")</f>
        <v>-5.1423419870629514</v>
      </c>
      <c r="M489" s="84" t="s">
        <v>828</v>
      </c>
      <c r="N489" s="84" t="str" cm="1">
        <f t="array" ref="N489">IFERROR(M489-A489,"N/A")</f>
        <v>N/A</v>
      </c>
      <c r="O489" s="55"/>
      <c r="P489" s="56" cm="1">
        <f t="array" ref="P489">_xlfn.XLOOKUP($B489,ADP!A2:A671,ADP!G2:G671)</f>
        <v>0</v>
      </c>
      <c r="Q489" s="57" cm="1">
        <f t="array" ref="Q489">IF(Settings!$E$12="YES",VLOOKUP(B489,'Player Data'!A1:E673,5,FALSE),84)</f>
        <v>73</v>
      </c>
      <c r="R489" s="81" cm="1">
        <f t="array" ref="R489">VLOOKUP(B489,'Player Data'!$A1:$AE673,6,FALSE)</f>
        <v>11.5</v>
      </c>
      <c r="S489" s="57" cm="1">
        <f t="array" ref="S489">VLOOKUP(B489,'Player Data'!$A1:$AE673,7,FALSE)*$Q489*IFERROR((VLOOKUP(P489,Settings!$E$28:$F$33,2,FALSE)+1),1)</f>
        <v>8.76</v>
      </c>
      <c r="T489" s="57" cm="1">
        <f t="array" ref="T489">VLOOKUP(B489,'Player Data'!$A1:$AE673,8,FALSE)*$Q489*IFERROR((VLOOKUP(P489,Settings!$E$28:$F$33,2,FALSE)+1),1)</f>
        <v>9.49</v>
      </c>
      <c r="U489" s="57" cm="1">
        <f t="array" ref="U489">SUM(S489:T489)</f>
        <v>18.25</v>
      </c>
      <c r="V489" s="57" cm="1">
        <f t="array" ref="V489">VLOOKUP(B489,'Player Data'!$A1:$AE673,10,FALSE)*$Q489*IFERROR(((VLOOKUP(P489,Settings!$E$28:$F$33,2,FALSE)/2)+1),1)</f>
        <v>95.63000000000001</v>
      </c>
      <c r="W489" s="57" cm="1">
        <f t="array" ref="W489">VLOOKUP(B489,'Player Data'!$A1:$AE673,11,FALSE)*$Q489*IFERROR((VLOOKUP(P489,Settings!$E$28:$F$33,2,FALSE)+1),1)</f>
        <v>0</v>
      </c>
      <c r="X489" s="57" cm="1">
        <f t="array" ref="X489">VLOOKUP(B489,'Player Data'!$A1:$AE673,12,FALSE)*$Q489*IFERROR((VLOOKUP(P489,Settings!$E$28:$F$33,2,FALSE)+1),1)</f>
        <v>0</v>
      </c>
      <c r="Y489" s="57" cm="1">
        <f t="array" ref="Y489">VLOOKUP(B489,'Player Data'!$A1:$AE673,13,FALSE)*$Q489</f>
        <v>0.73</v>
      </c>
      <c r="Z489" s="57" cm="1">
        <f t="array" ref="Z489">VLOOKUP(B489,'Player Data'!$A1:$AE673,14,FALSE)*$Q489</f>
        <v>0.73</v>
      </c>
      <c r="AA489" s="57" cm="1">
        <f t="array" ref="AA489">VLOOKUP(B489,'Player Data'!$A1:$AE673,15,FALSE)*$Q489</f>
        <v>26.279999999999998</v>
      </c>
      <c r="AB489" s="57" cm="1">
        <f t="array" ref="AB489">VLOOKUP(B489,'Player Data'!$A1:$AE673,16,FALSE)*$Q489</f>
        <v>194.18</v>
      </c>
      <c r="AC489" s="57" cm="1">
        <f t="array" ref="AC489">VLOOKUP(B489,'Player Data'!$A1:$AE673,17,FALSE)*$Q489*IFERROR((VLOOKUP(P489,Settings!$E$28:$F$33,2,FALSE)+1),1)</f>
        <v>0.73</v>
      </c>
      <c r="AD489" s="57" cm="1">
        <f t="array" ref="AD489">VLOOKUP(B489,'Player Data'!$A1:$AE673,18,FALSE)*$Q489</f>
        <v>14.600000000000001</v>
      </c>
      <c r="AE489" s="57" cm="1">
        <f t="array" ref="AE489">VLOOKUP(B489,'Player Data'!$A1:$AE673,19,FALSE)*$Q489*IFERROR((VLOOKUP(P489,Settings!$E$28:$F$33,2,FALSE)+1),1)</f>
        <v>1.46</v>
      </c>
      <c r="AF489" s="57" cm="1">
        <f t="array" ref="AF489">VLOOKUP(B489,'Player Data'!$A1:$AE673,20,FALSE)*$Q489</f>
        <v>0</v>
      </c>
      <c r="AG489" s="57" cm="1">
        <f t="array" ref="AG489">VLOOKUP(B489,'Player Data'!$A1:$AE673,21,FALSE)*$Q489</f>
        <v>2.19</v>
      </c>
      <c r="AH489" s="59" cm="1">
        <f t="array" ref="AH489">VLOOKUP(B489,'Player Data'!$A1:$AE673,22,FALSE)</f>
        <v>0</v>
      </c>
      <c r="AI489" s="55"/>
      <c r="AJ489" s="57"/>
      <c r="AK489" s="57"/>
      <c r="AL489" s="57"/>
      <c r="AM489" s="57"/>
      <c r="AN489" s="57"/>
      <c r="AO489" s="57"/>
      <c r="AP489" s="57"/>
      <c r="AQ489" s="60"/>
      <c r="AR489" s="61"/>
      <c r="AS489" s="55"/>
    </row>
    <row r="490" spans="1:45" ht="21.25" customHeight="1" x14ac:dyDescent="0.15">
      <c r="A490" s="62">
        <f>RANK(K490,K$2:K$671)</f>
        <v>484</v>
      </c>
      <c r="B490" s="10" t="s">
        <v>593</v>
      </c>
      <c r="C490" s="47" t="s">
        <v>145</v>
      </c>
      <c r="D490" s="48" t="str" cm="1">
        <f t="array" ref="D490">VLOOKUP(B490,'Player Data'!A1:D673,4,FALSE)</f>
        <v>C,RW</v>
      </c>
      <c r="E490" s="74" cm="1">
        <f t="array" ref="E490">VLOOKUP(B490,RW!A1:F210,3,FALSE)</f>
        <v>122</v>
      </c>
      <c r="F490" s="63" t="str" cm="1">
        <f t="array" ref="F490">VLOOKUP(B490,'Player Data'!A1:B673,2,FALSE)</f>
        <v>DAL</v>
      </c>
      <c r="G490" s="66" cm="1">
        <f t="array" ref="G490">VLOOKUP(B490,'Player Data'!A1:D673,3,FALSE)</f>
        <v>34</v>
      </c>
      <c r="H490" s="67" cm="1">
        <f t="array" ref="H490">IFERROR(VLOOKUP(B490,ADP!A1:F671,6,FALSE)/1000000,VLOOKUP(B490,ADP!A1:F671,6,FALSE))</f>
        <v>9.85</v>
      </c>
      <c r="I490" s="52">
        <f>IF(Settings!$E$15="POINTS",((R490*Q490)*Settings!$B$12)+(S490*Settings!$B$2)+(T490*Settings!$B$3)+(U490*Settings!$B$4)+(V490*Settings!$B$5)+(X490*Settings!$B$9)+(AA490*Settings!$B$6)+(W490*Settings!$B$8)+(AB490*Settings!$B$7)+(AC490*Settings!$B$14)+(AD490*Settings!$B$15)+(AE490*Settings!$B$16)+(AF490*Settings!$B$17)+(AG490*Settings!$B$18)+(Y490*Settings!$B$10)+(Z490*Settings!$B$11),VLOOKUP(B490,'Standard Deviations'!A$1:C$672,3,FALSE))</f>
        <v>-0.51212094113553297</v>
      </c>
      <c r="J490" s="53" cm="1">
        <f t="array" ref="J490">IF(D490="G",I490/AJ490,I490/Q490)</f>
        <v>-8.0018897052427027E-3</v>
      </c>
      <c r="K490" s="52" cm="1">
        <f t="array" ref="K490">IF(Settings!$E$18="C/LW/RW",VLOOKUP(B490,RW!A1:F210,6,FALSE),VLOOKUP(B490,F!A1:F407,6,FALSE))</f>
        <v>-7.3993555429446101</v>
      </c>
      <c r="L490" s="54" cm="1">
        <f t="array" ref="L490">IFERROR(K490/H490,"N/A")</f>
        <v>-0.75120360842077261</v>
      </c>
      <c r="M490" s="84" t="s">
        <v>828</v>
      </c>
      <c r="N490" s="84" t="str" cm="1">
        <f t="array" ref="N490">IFERROR(M490-A490,"N/A")</f>
        <v>N/A</v>
      </c>
      <c r="O490" s="55"/>
      <c r="P490" s="56" cm="1">
        <f t="array" ref="P490">_xlfn.XLOOKUP($B490,ADP!A2:A671,ADP!G2:G671)</f>
        <v>0</v>
      </c>
      <c r="Q490" s="57" cm="1">
        <f t="array" ref="Q490">IF(Settings!$E$12="YES",VLOOKUP(B490,'Player Data'!A1:E673,5,FALSE),84)</f>
        <v>64</v>
      </c>
      <c r="R490" s="83" cm="1">
        <f t="array" ref="R490">VLOOKUP(B490,'Player Data'!$A1:$AE673,6,FALSE)</f>
        <v>15.2</v>
      </c>
      <c r="S490" s="57" cm="1">
        <f t="array" ref="S490">VLOOKUP(B490,'Player Data'!$A1:$AE673,7,FALSE)*$Q490*IFERROR((VLOOKUP(P490,Settings!$E$28:$F$33,2,FALSE)+1),1)</f>
        <v>16.64</v>
      </c>
      <c r="T490" s="57" cm="1">
        <f t="array" ref="T490">VLOOKUP(B490,'Player Data'!$A1:$AE673,8,FALSE)*$Q490*IFERROR((VLOOKUP(P490,Settings!$E$28:$F$33,2,FALSE)+1),1)</f>
        <v>22.4</v>
      </c>
      <c r="U490" s="57" cm="1">
        <f t="array" ref="U490">SUM(S490:T490)</f>
        <v>39.04</v>
      </c>
      <c r="V490" s="57" cm="1">
        <f t="array" ref="V490">VLOOKUP(B490,'Player Data'!$A1:$AE673,10,FALSE)*$Q490*IFERROR(((VLOOKUP(P490,Settings!$E$28:$F$33,2,FALSE)/2)+1),1)</f>
        <v>97.28</v>
      </c>
      <c r="W490" s="57" cm="1">
        <f t="array" ref="W490">VLOOKUP(B490,'Player Data'!$A1:$AE673,11,FALSE)*$Q490*IFERROR((VLOOKUP(P490,Settings!$E$28:$F$33,2,FALSE)+1),1)</f>
        <v>1.92</v>
      </c>
      <c r="X490" s="57" cm="1">
        <f t="array" ref="X490">VLOOKUP(B490,'Player Data'!$A1:$AE673,12,FALSE)*$Q490*IFERROR((VLOOKUP(P490,Settings!$E$28:$F$33,2,FALSE)+1),1)</f>
        <v>4.4800000000000004</v>
      </c>
      <c r="Y490" s="57" cm="1">
        <f t="array" ref="Y490">VLOOKUP(B490,'Player Data'!$A1:$AE673,13,FALSE)*$Q490</f>
        <v>0</v>
      </c>
      <c r="Z490" s="57" cm="1">
        <f t="array" ref="Z490">VLOOKUP(B490,'Player Data'!$A1:$AE673,14,FALSE)*$Q490</f>
        <v>0</v>
      </c>
      <c r="AA490" s="57" cm="1">
        <f t="array" ref="AA490">VLOOKUP(B490,'Player Data'!$A1:$AE673,15,FALSE)*$Q490</f>
        <v>19.2</v>
      </c>
      <c r="AB490" s="57" cm="1">
        <f t="array" ref="AB490">VLOOKUP(B490,'Player Data'!$A1:$AE673,16,FALSE)*$Q490</f>
        <v>44.16</v>
      </c>
      <c r="AC490" s="57" cm="1">
        <f t="array" ref="AC490">VLOOKUP(B490,'Player Data'!$A1:$AE673,17,FALSE)*$Q490*IFERROR((VLOOKUP(P490,Settings!$E$28:$F$33,2,FALSE)+1),1)</f>
        <v>5.12</v>
      </c>
      <c r="AD490" s="57" cm="1">
        <f t="array" ref="AD490">VLOOKUP(B490,'Player Data'!$A1:$AE673,18,FALSE)*$Q490</f>
        <v>17.920000000000002</v>
      </c>
      <c r="AE490" s="57" cm="1">
        <f t="array" ref="AE490">VLOOKUP(B490,'Player Data'!$A1:$AE673,19,FALSE)*$Q490*IFERROR((VLOOKUP(P490,Settings!$E$28:$F$33,2,FALSE)+1),1)</f>
        <v>2.56</v>
      </c>
      <c r="AF490" s="57" cm="1">
        <f t="array" ref="AF490">VLOOKUP(B490,'Player Data'!$A1:$AE673,20,FALSE)*$Q490</f>
        <v>280.95999999999998</v>
      </c>
      <c r="AG490" s="57" cm="1">
        <f t="array" ref="AG490">VLOOKUP(B490,'Player Data'!$A1:$AE673,21,FALSE)*$Q490</f>
        <v>232.32</v>
      </c>
      <c r="AH490" s="59" cm="1">
        <f t="array" ref="AH490">VLOOKUP(B490,'Player Data'!$A1:$AE673,22,FALSE)</f>
        <v>0.55000000000000004</v>
      </c>
      <c r="AI490" s="55"/>
      <c r="AJ490" s="57"/>
      <c r="AK490" s="57"/>
      <c r="AL490" s="57"/>
      <c r="AM490" s="57"/>
      <c r="AN490" s="57"/>
      <c r="AO490" s="57"/>
      <c r="AP490" s="57"/>
      <c r="AQ490" s="60"/>
      <c r="AR490" s="61"/>
      <c r="AS490" s="55"/>
    </row>
    <row r="491" spans="1:45" ht="21.25" customHeight="1" x14ac:dyDescent="0.15">
      <c r="A491" s="62">
        <f>RANK(K491,K$2:K$671)</f>
        <v>488</v>
      </c>
      <c r="B491" s="10" t="s">
        <v>649</v>
      </c>
      <c r="C491" s="47" t="s">
        <v>145</v>
      </c>
      <c r="D491" s="48" t="str" cm="1">
        <f t="array" ref="D491">VLOOKUP(B491,'Player Data'!A1:D673,4,FALSE)</f>
        <v>LW,RW</v>
      </c>
      <c r="E491" s="74" cm="1">
        <f t="array" ref="E491">VLOOKUP(B491,RW!A1:F210,3,FALSE)</f>
        <v>123</v>
      </c>
      <c r="F491" s="65" t="str" cm="1">
        <f t="array" ref="F491">VLOOKUP(B491,'Player Data'!A1:B673,2,FALSE)</f>
        <v>T.B</v>
      </c>
      <c r="G491" s="66" cm="1">
        <f t="array" ref="G491">VLOOKUP(B491,'Player Data'!A1:D673,3,FALSE)</f>
        <v>31</v>
      </c>
      <c r="H491" s="51" cm="1">
        <f t="array" ref="H491">IFERROR(VLOOKUP(B491,ADP!A1:F671,6,FALSE)/1000000,VLOOKUP(B491,ADP!A1:F671,6,FALSE))</f>
        <v>3.85</v>
      </c>
      <c r="I491" s="52">
        <f>IF(Settings!$E$15="POINTS",((R491*Q491)*Settings!$B$12)+(S491*Settings!$B$2)+(T491*Settings!$B$3)+(U491*Settings!$B$4)+(V491*Settings!$B$5)+(X491*Settings!$B$9)+(AA491*Settings!$B$6)+(W491*Settings!$B$8)+(AB491*Settings!$B$7)+(AC491*Settings!$B$14)+(AD491*Settings!$B$15)+(AE491*Settings!$B$16)+(AF491*Settings!$B$17)+(AG491*Settings!$B$18)+(Y491*Settings!$B$10)+(Z491*Settings!$B$11),VLOOKUP(B491,'Standard Deviations'!A$1:C$672,3,FALSE))</f>
        <v>-0.63208882888598561</v>
      </c>
      <c r="J491" s="53" cm="1">
        <f t="array" ref="J491">IF(D491="G",I491/AJ491,I491/Q491)</f>
        <v>-7.7084003522681173E-3</v>
      </c>
      <c r="K491" s="52" cm="1">
        <f t="array" ref="K491">IF(Settings!$E$18="C/LW/RW",VLOOKUP(B491,RW!A1:F210,6,FALSE),VLOOKUP(B491,F!A1:F407,6,FALSE))</f>
        <v>-7.5193234306950636</v>
      </c>
      <c r="L491" s="54" cm="1">
        <f t="array" ref="L491">IFERROR(K491/H491,"N/A")</f>
        <v>-1.9530710209597568</v>
      </c>
      <c r="M491" s="84" t="s">
        <v>828</v>
      </c>
      <c r="N491" s="84" t="str" cm="1">
        <f t="array" ref="N491">IFERROR(M491-A491,"N/A")</f>
        <v>N/A</v>
      </c>
      <c r="O491" s="55"/>
      <c r="P491" s="56" cm="1">
        <f t="array" ref="P491">_xlfn.XLOOKUP($B491,ADP!A2:A671,ADP!G2:G671)</f>
        <v>0</v>
      </c>
      <c r="Q491" s="57" cm="1">
        <f t="array" ref="Q491">IF(Settings!$E$12="YES",VLOOKUP(B491,'Player Data'!A1:E673,5,FALSE),84)</f>
        <v>82</v>
      </c>
      <c r="R491" s="83" cm="1">
        <f t="array" ref="R491">VLOOKUP(B491,'Player Data'!$A1:$AE673,6,FALSE)</f>
        <v>14.3</v>
      </c>
      <c r="S491" s="57" cm="1">
        <f t="array" ref="S491">VLOOKUP(B491,'Player Data'!$A1:$AE673,7,FALSE)*$Q491*IFERROR((VLOOKUP(P491,Settings!$E$28:$F$33,2,FALSE)+1),1)</f>
        <v>17.22</v>
      </c>
      <c r="T491" s="57" cm="1">
        <f t="array" ref="T491">VLOOKUP(B491,'Player Data'!$A1:$AE673,8,FALSE)*$Q491*IFERROR((VLOOKUP(P491,Settings!$E$28:$F$33,2,FALSE)+1),1)</f>
        <v>17.22</v>
      </c>
      <c r="U491" s="57" cm="1">
        <f t="array" ref="U491">SUM(S491:T491)</f>
        <v>34.44</v>
      </c>
      <c r="V491" s="57" cm="1">
        <f t="array" ref="V491">VLOOKUP(B491,'Player Data'!$A1:$AE673,10,FALSE)*$Q491*IFERROR(((VLOOKUP(P491,Settings!$E$28:$F$33,2,FALSE)/2)+1),1)</f>
        <v>132.02000000000001</v>
      </c>
      <c r="W491" s="57" cm="1">
        <f t="array" ref="W491">VLOOKUP(B491,'Player Data'!$A1:$AE673,11,FALSE)*$Q491*IFERROR((VLOOKUP(P491,Settings!$E$28:$F$33,2,FALSE)+1),1)</f>
        <v>0</v>
      </c>
      <c r="X491" s="57" cm="1">
        <f t="array" ref="X491">VLOOKUP(B491,'Player Data'!$A1:$AE673,12,FALSE)*$Q491*IFERROR((VLOOKUP(P491,Settings!$E$28:$F$33,2,FALSE)+1),1)</f>
        <v>0</v>
      </c>
      <c r="Y491" s="57" cm="1">
        <f t="array" ref="Y491">VLOOKUP(B491,'Player Data'!$A1:$AE673,13,FALSE)*$Q491</f>
        <v>1.6400000000000001</v>
      </c>
      <c r="Z491" s="57" cm="1">
        <f t="array" ref="Z491">VLOOKUP(B491,'Player Data'!$A1:$AE673,14,FALSE)*$Q491</f>
        <v>2.46</v>
      </c>
      <c r="AA491" s="57" cm="1">
        <f t="array" ref="AA491">VLOOKUP(B491,'Player Data'!$A1:$AE673,15,FALSE)*$Q491</f>
        <v>23.779999999999998</v>
      </c>
      <c r="AB491" s="57" cm="1">
        <f t="array" ref="AB491">VLOOKUP(B491,'Player Data'!$A1:$AE673,16,FALSE)*$Q491</f>
        <v>39.36</v>
      </c>
      <c r="AC491" s="57" cm="1">
        <f t="array" ref="AC491">VLOOKUP(B491,'Player Data'!$A1:$AE673,17,FALSE)*$Q491*IFERROR((VLOOKUP(P491,Settings!$E$28:$F$33,2,FALSE)+1),1)</f>
        <v>5.74</v>
      </c>
      <c r="AD491" s="57" cm="1">
        <f t="array" ref="AD491">VLOOKUP(B491,'Player Data'!$A1:$AE673,18,FALSE)*$Q491</f>
        <v>16.400000000000002</v>
      </c>
      <c r="AE491" s="57" cm="1">
        <f t="array" ref="AE491">VLOOKUP(B491,'Player Data'!$A1:$AE673,19,FALSE)*$Q491*IFERROR((VLOOKUP(P491,Settings!$E$28:$F$33,2,FALSE)+1),1)</f>
        <v>3.2800000000000002</v>
      </c>
      <c r="AF491" s="57" cm="1">
        <f t="array" ref="AF491">VLOOKUP(B491,'Player Data'!$A1:$AE673,20,FALSE)*$Q491</f>
        <v>2.46</v>
      </c>
      <c r="AG491" s="57" cm="1">
        <f t="array" ref="AG491">VLOOKUP(B491,'Player Data'!$A1:$AE673,21,FALSE)*$Q491</f>
        <v>9.02</v>
      </c>
      <c r="AH491" s="59" cm="1">
        <f t="array" ref="AH491">VLOOKUP(B491,'Player Data'!$A1:$AE673,22,FALSE)</f>
        <v>0.19</v>
      </c>
      <c r="AI491" s="55"/>
      <c r="AJ491" s="57"/>
      <c r="AK491" s="57"/>
      <c r="AL491" s="57"/>
      <c r="AM491" s="57"/>
      <c r="AN491" s="57"/>
      <c r="AO491" s="57"/>
      <c r="AP491" s="57"/>
      <c r="AQ491" s="60"/>
      <c r="AR491" s="61"/>
      <c r="AS491" s="55"/>
    </row>
    <row r="492" spans="1:45" ht="21.25" customHeight="1" x14ac:dyDescent="0.15">
      <c r="A492" s="62">
        <f>RANK(K492,K$2:K$671)</f>
        <v>492</v>
      </c>
      <c r="B492" s="10" t="s">
        <v>555</v>
      </c>
      <c r="C492" s="47" t="s">
        <v>145</v>
      </c>
      <c r="D492" s="48" t="str" cm="1">
        <f t="array" ref="D492">VLOOKUP(B492,'Player Data'!A1:D673,4,FALSE)</f>
        <v>C</v>
      </c>
      <c r="E492" s="49" cm="1">
        <f t="array" ref="E492">VLOOKUP(B492,'C'!A1:C210,3,FALSE)</f>
        <v>125</v>
      </c>
      <c r="F492" s="73" t="str" cm="1">
        <f t="array" ref="F492">VLOOKUP(B492,'Player Data'!A1:B673,2,FALSE)</f>
        <v>BUF</v>
      </c>
      <c r="G492" s="71" cm="1">
        <f t="array" ref="G492">VLOOKUP(B492,'Player Data'!A1:D673,3,FALSE)</f>
        <v>22</v>
      </c>
      <c r="H492" s="51" cm="1">
        <f t="array" ref="H492">IFERROR(VLOOKUP(B492,ADP!A1:F671,6,FALSE)/1000000,VLOOKUP(B492,ADP!A1:F671,6,FALSE))</f>
        <v>0.88666699999999998</v>
      </c>
      <c r="I492" s="52">
        <f>IF(Settings!$E$15="POINTS",((R492*Q492)*Settings!$B$12)+(S492*Settings!$B$2)+(T492*Settings!$B$3)+(U492*Settings!$B$4)+(V492*Settings!$B$5)+(X492*Settings!$B$9)+(AA492*Settings!$B$6)+(W492*Settings!$B$8)+(AB492*Settings!$B$7)+(AC492*Settings!$B$14)+(AD492*Settings!$B$15)+(AE492*Settings!$B$16)+(AF492*Settings!$B$17)+(AG492*Settings!$B$18)+(Y492*Settings!$B$10)+(Z492*Settings!$B$11),VLOOKUP(B492,'Standard Deviations'!A$1:C$672,3,FALSE))</f>
        <v>-1.2003558507675713</v>
      </c>
      <c r="J492" s="53" cm="1">
        <f t="array" ref="J492">IF(D492="G",I492/AJ492,I492/Q492)</f>
        <v>-1.600474467690095E-2</v>
      </c>
      <c r="K492" s="52" cm="1">
        <f t="array" ref="K492">IF(Settings!$E$18="C/LW/RW",VLOOKUP(B492,'C'!A1:F210,6,FALSE),VLOOKUP(B492,F!A1:F407,6,FALSE))</f>
        <v>-7.5603654083826353</v>
      </c>
      <c r="L492" s="54" cm="1">
        <f t="array" ref="L492">IFERROR(K492/H492,"N/A")</f>
        <v>-8.5267246986553413</v>
      </c>
      <c r="M492" s="84" t="s">
        <v>828</v>
      </c>
      <c r="N492" s="84" t="str" cm="1">
        <f t="array" ref="N492">IFERROR(M492-A492,"N/A")</f>
        <v>N/A</v>
      </c>
      <c r="O492" s="55"/>
      <c r="P492" s="56" cm="1">
        <f t="array" ref="P492">_xlfn.XLOOKUP($B492,ADP!A2:A671,ADP!G2:G671)</f>
        <v>0</v>
      </c>
      <c r="Q492" s="57" cm="1">
        <f t="array" ref="Q492">IF(Settings!$E$12="YES",VLOOKUP(B492,'Player Data'!A1:E673,5,FALSE),84)</f>
        <v>75</v>
      </c>
      <c r="R492" s="81" cm="1">
        <f t="array" ref="R492">VLOOKUP(B492,'Player Data'!$A1:$AE673,6,FALSE)</f>
        <v>16.100000000000001</v>
      </c>
      <c r="S492" s="57" cm="1">
        <f t="array" ref="S492">VLOOKUP(B492,'Player Data'!$A1:$AE673,7,FALSE)*$Q492*IFERROR((VLOOKUP(P492,Settings!$E$28:$F$33,2,FALSE)+1),1)</f>
        <v>15.75</v>
      </c>
      <c r="T492" s="57" cm="1">
        <f t="array" ref="T492">VLOOKUP(B492,'Player Data'!$A1:$AE673,8,FALSE)*$Q492*IFERROR((VLOOKUP(P492,Settings!$E$28:$F$33,2,FALSE)+1),1)</f>
        <v>22.5</v>
      </c>
      <c r="U492" s="57" cm="1">
        <f t="array" ref="U492">SUM(S492:T492)</f>
        <v>38.25</v>
      </c>
      <c r="V492" s="57" cm="1">
        <f t="array" ref="V492">VLOOKUP(B492,'Player Data'!$A1:$AE673,10,FALSE)*$Q492*IFERROR(((VLOOKUP(P492,Settings!$E$28:$F$33,2,FALSE)/2)+1),1)</f>
        <v>96.75</v>
      </c>
      <c r="W492" s="57" cm="1">
        <f t="array" ref="W492">VLOOKUP(B492,'Player Data'!$A1:$AE673,11,FALSE)*$Q492*IFERROR((VLOOKUP(P492,Settings!$E$28:$F$33,2,FALSE)+1),1)</f>
        <v>3</v>
      </c>
      <c r="X492" s="57" cm="1">
        <f t="array" ref="X492">VLOOKUP(B492,'Player Data'!$A1:$AE673,12,FALSE)*$Q492*IFERROR((VLOOKUP(P492,Settings!$E$28:$F$33,2,FALSE)+1),1)</f>
        <v>9</v>
      </c>
      <c r="Y492" s="57" cm="1">
        <f t="array" ref="Y492">VLOOKUP(B492,'Player Data'!$A1:$AE673,13,FALSE)*$Q492</f>
        <v>0.75</v>
      </c>
      <c r="Z492" s="57" cm="1">
        <f t="array" ref="Z492">VLOOKUP(B492,'Player Data'!$A1:$AE673,14,FALSE)*$Q492</f>
        <v>0.75</v>
      </c>
      <c r="AA492" s="57" cm="1">
        <f t="array" ref="AA492">VLOOKUP(B492,'Player Data'!$A1:$AE673,15,FALSE)*$Q492</f>
        <v>51.749999999999993</v>
      </c>
      <c r="AB492" s="57" cm="1">
        <f t="array" ref="AB492">VLOOKUP(B492,'Player Data'!$A1:$AE673,16,FALSE)*$Q492</f>
        <v>23.25</v>
      </c>
      <c r="AC492" s="57" cm="1">
        <f t="array" ref="AC492">VLOOKUP(B492,'Player Data'!$A1:$AE673,17,FALSE)*$Q492*IFERROR((VLOOKUP(P492,Settings!$E$28:$F$33,2,FALSE)+1),1)</f>
        <v>2.25</v>
      </c>
      <c r="AD492" s="57" cm="1">
        <f t="array" ref="AD492">VLOOKUP(B492,'Player Data'!$A1:$AE673,18,FALSE)*$Q492</f>
        <v>24.75</v>
      </c>
      <c r="AE492" s="57" cm="1">
        <f t="array" ref="AE492">VLOOKUP(B492,'Player Data'!$A1:$AE673,19,FALSE)*$Q492*IFERROR((VLOOKUP(P492,Settings!$E$28:$F$33,2,FALSE)+1),1)</f>
        <v>2.25</v>
      </c>
      <c r="AF492" s="57" cm="1">
        <f t="array" ref="AF492">VLOOKUP(B492,'Player Data'!$A1:$AE673,20,FALSE)*$Q492</f>
        <v>124.5</v>
      </c>
      <c r="AG492" s="57" cm="1">
        <f t="array" ref="AG492">VLOOKUP(B492,'Player Data'!$A1:$AE673,21,FALSE)*$Q492</f>
        <v>267</v>
      </c>
      <c r="AH492" s="59" cm="1">
        <f t="array" ref="AH492">VLOOKUP(B492,'Player Data'!$A1:$AE673,22,FALSE)</f>
        <v>0.32</v>
      </c>
      <c r="AI492" s="55"/>
      <c r="AJ492" s="57"/>
      <c r="AK492" s="57"/>
      <c r="AL492" s="57"/>
      <c r="AM492" s="57"/>
      <c r="AN492" s="57"/>
      <c r="AO492" s="57"/>
      <c r="AP492" s="57"/>
      <c r="AQ492" s="60"/>
      <c r="AR492" s="61"/>
      <c r="AS492" s="55"/>
    </row>
    <row r="493" spans="1:45" ht="21.25" customHeight="1" x14ac:dyDescent="0.15">
      <c r="A493" s="62">
        <f>RANK(K493,K$2:K$671)</f>
        <v>489</v>
      </c>
      <c r="B493" s="10" t="s">
        <v>784</v>
      </c>
      <c r="C493" s="47" t="s">
        <v>145</v>
      </c>
      <c r="D493" s="48" t="str" cm="1">
        <f t="array" ref="D493">VLOOKUP(B493,'Player Data'!A1:D673,4,FALSE)</f>
        <v>RW</v>
      </c>
      <c r="E493" s="64" cm="1">
        <f t="array" ref="E493">VLOOKUP(B493,RW!A1:F210,3,FALSE)</f>
        <v>124</v>
      </c>
      <c r="F493" s="72" t="str" cm="1">
        <f t="array" ref="F493">VLOOKUP(B493,'Player Data'!A1:B673,2,FALSE)</f>
        <v>FLA</v>
      </c>
      <c r="G493" s="66" cm="1">
        <f t="array" ref="G493">VLOOKUP(B493,'Player Data'!A1:D673,3,FALSE)</f>
        <v>34</v>
      </c>
      <c r="H493" s="67" cm="1">
        <f t="array" ref="H493">IFERROR(VLOOKUP(B493,ADP!A1:F671,6,FALSE)/1000000,VLOOKUP(B493,ADP!A1:F671,6,FALSE))</f>
        <v>2.4</v>
      </c>
      <c r="I493" s="52">
        <f>IF(Settings!$E$15="POINTS",((R493*Q493)*Settings!$B$12)+(S493*Settings!$B$2)+(T493*Settings!$B$3)+(U493*Settings!$B$4)+(V493*Settings!$B$5)+(X493*Settings!$B$9)+(AA493*Settings!$B$6)+(W493*Settings!$B$8)+(AB493*Settings!$B$7)+(AC493*Settings!$B$14)+(AD493*Settings!$B$15)+(AE493*Settings!$B$16)+(AF493*Settings!$B$17)+(AG493*Settings!$B$18)+(Y493*Settings!$B$10)+(Z493*Settings!$B$11),VLOOKUP(B493,'Standard Deviations'!A$1:C$672,3,FALSE))</f>
        <v>-0.64621268206791205</v>
      </c>
      <c r="J493" s="53" cm="1">
        <f t="array" ref="J493">IF(D493="G",I493/AJ493,I493/Q493)</f>
        <v>-8.1799073679482536E-3</v>
      </c>
      <c r="K493" s="52" cm="1">
        <f t="array" ref="K493">IF(Settings!$E$18="C/LW/RW",VLOOKUP(B493,RW!A1:F210,6,FALSE),VLOOKUP(B493,F!A1:F407,6,FALSE))</f>
        <v>-7.5334472838769893</v>
      </c>
      <c r="L493" s="54" cm="1">
        <f t="array" ref="L493">IFERROR(K493/H493,"N/A")</f>
        <v>-3.1389363682820788</v>
      </c>
      <c r="M493" s="84" t="s">
        <v>828</v>
      </c>
      <c r="N493" s="84" t="str" cm="1">
        <f t="array" ref="N493">IFERROR(M493-A493,"N/A")</f>
        <v>N/A</v>
      </c>
      <c r="O493" s="55"/>
      <c r="P493" s="56" cm="1">
        <f t="array" ref="P493">_xlfn.XLOOKUP($B493,ADP!A2:A671,ADP!G2:G671)</f>
        <v>0</v>
      </c>
      <c r="Q493" s="57" cm="1">
        <f t="array" ref="Q493">IF(Settings!$E$12="YES",VLOOKUP(B493,'Player Data'!A1:E673,5,FALSE),84)</f>
        <v>79</v>
      </c>
      <c r="R493" s="55" cm="1">
        <f t="array" ref="R493">VLOOKUP(B493,'Player Data'!$A1:$AE673,6,FALSE)</f>
        <v>9.6999999999999993</v>
      </c>
      <c r="S493" s="57" cm="1">
        <f t="array" ref="S493">VLOOKUP(B493,'Player Data'!$A1:$AE673,7,FALSE)*$Q493*IFERROR((VLOOKUP(P493,Settings!$E$28:$F$33,2,FALSE)+1),1)</f>
        <v>3.95</v>
      </c>
      <c r="T493" s="57" cm="1">
        <f t="array" ref="T493">VLOOKUP(B493,'Player Data'!$A1:$AE673,8,FALSE)*$Q493*IFERROR((VLOOKUP(P493,Settings!$E$28:$F$33,2,FALSE)+1),1)</f>
        <v>5.53</v>
      </c>
      <c r="U493" s="57" cm="1">
        <f t="array" ref="U493">SUM(S493:T493)</f>
        <v>9.48</v>
      </c>
      <c r="V493" s="57" cm="1">
        <f t="array" ref="V493">VLOOKUP(B493,'Player Data'!$A1:$AE673,10,FALSE)*$Q493*IFERROR(((VLOOKUP(P493,Settings!$E$28:$F$33,2,FALSE)/2)+1),1)</f>
        <v>52.93</v>
      </c>
      <c r="W493" s="57" cm="1">
        <f t="array" ref="W493">VLOOKUP(B493,'Player Data'!$A1:$AE673,11,FALSE)*$Q493*IFERROR((VLOOKUP(P493,Settings!$E$28:$F$33,2,FALSE)+1),1)</f>
        <v>0</v>
      </c>
      <c r="X493" s="57" cm="1">
        <f t="array" ref="X493">VLOOKUP(B493,'Player Data'!$A1:$AE673,12,FALSE)*$Q493*IFERROR((VLOOKUP(P493,Settings!$E$28:$F$33,2,FALSE)+1),1)</f>
        <v>0</v>
      </c>
      <c r="Y493" s="57" cm="1">
        <f t="array" ref="Y493">VLOOKUP(B493,'Player Data'!$A1:$AE673,13,FALSE)*$Q493</f>
        <v>0.79</v>
      </c>
      <c r="Z493" s="57" cm="1">
        <f t="array" ref="Z493">VLOOKUP(B493,'Player Data'!$A1:$AE673,14,FALSE)*$Q493</f>
        <v>0.79</v>
      </c>
      <c r="AA493" s="57" cm="1">
        <f t="array" ref="AA493">VLOOKUP(B493,'Player Data'!$A1:$AE673,15,FALSE)*$Q493</f>
        <v>57.67</v>
      </c>
      <c r="AB493" s="57" cm="1">
        <f t="array" ref="AB493">VLOOKUP(B493,'Player Data'!$A1:$AE673,16,FALSE)*$Q493</f>
        <v>245.69</v>
      </c>
      <c r="AC493" s="57" cm="1">
        <f t="array" ref="AC493">VLOOKUP(B493,'Player Data'!$A1:$AE673,17,FALSE)*$Q493*IFERROR((VLOOKUP(P493,Settings!$E$28:$F$33,2,FALSE)+1),1)</f>
        <v>2.37</v>
      </c>
      <c r="AD493" s="57" cm="1">
        <f t="array" ref="AD493">VLOOKUP(B493,'Player Data'!$A1:$AE673,18,FALSE)*$Q493</f>
        <v>45.82</v>
      </c>
      <c r="AE493" s="57" cm="1">
        <f t="array" ref="AE493">VLOOKUP(B493,'Player Data'!$A1:$AE673,19,FALSE)*$Q493*IFERROR((VLOOKUP(P493,Settings!$E$28:$F$33,2,FALSE)+1),1)</f>
        <v>0.79</v>
      </c>
      <c r="AF493" s="57" cm="1">
        <f t="array" ref="AF493">VLOOKUP(B493,'Player Data'!$A1:$AE673,20,FALSE)*$Q493</f>
        <v>14.219999999999999</v>
      </c>
      <c r="AG493" s="57" cm="1">
        <f t="array" ref="AG493">VLOOKUP(B493,'Player Data'!$A1:$AE673,21,FALSE)*$Q493</f>
        <v>11.85</v>
      </c>
      <c r="AH493" s="59" cm="1">
        <f t="array" ref="AH493">VLOOKUP(B493,'Player Data'!$A1:$AE673,22,FALSE)</f>
        <v>0.54</v>
      </c>
      <c r="AI493" s="55"/>
      <c r="AJ493" s="57"/>
      <c r="AK493" s="57"/>
      <c r="AL493" s="57"/>
      <c r="AM493" s="57"/>
      <c r="AN493" s="57"/>
      <c r="AO493" s="57"/>
      <c r="AP493" s="57"/>
      <c r="AQ493" s="60"/>
      <c r="AR493" s="61"/>
      <c r="AS493" s="55"/>
    </row>
    <row r="494" spans="1:45" ht="21.25" customHeight="1" x14ac:dyDescent="0.15">
      <c r="A494" s="62">
        <f>RANK(K494,K$2:K$671)</f>
        <v>490</v>
      </c>
      <c r="B494" s="10" t="s">
        <v>616</v>
      </c>
      <c r="C494" s="47" t="s">
        <v>145</v>
      </c>
      <c r="D494" s="48" t="str" cm="1">
        <f t="array" ref="D494">VLOOKUP(B494,'Player Data'!A1:D673,4,FALSE)</f>
        <v>C,LW,RW</v>
      </c>
      <c r="E494" s="74" cm="1">
        <f t="array" ref="E494">VLOOKUP(B494,RW!A1:F210,3,FALSE)</f>
        <v>125</v>
      </c>
      <c r="F494" s="69" t="str" cm="1">
        <f t="array" ref="F494">VLOOKUP(B494,'Player Data'!A1:B673,2,FALSE)</f>
        <v>N.J</v>
      </c>
      <c r="G494" s="66" cm="1">
        <f t="array" ref="G494">VLOOKUP(B494,'Player Data'!A1:D673,3,FALSE)</f>
        <v>33</v>
      </c>
      <c r="H494" s="67" cm="1">
        <f t="array" ref="H494">IFERROR(VLOOKUP(B494,ADP!A1:F671,6,FALSE)/1000000,VLOOKUP(B494,ADP!A1:F671,6,FALSE))</f>
        <v>3.08</v>
      </c>
      <c r="I494" s="52">
        <f>IF(Settings!$E$15="POINTS",((R494*Q494)*Settings!$B$12)+(S494*Settings!$B$2)+(T494*Settings!$B$3)+(U494*Settings!$B$4)+(V494*Settings!$B$5)+(X494*Settings!$B$9)+(AA494*Settings!$B$6)+(W494*Settings!$B$8)+(AB494*Settings!$B$7)+(AC494*Settings!$B$14)+(AD494*Settings!$B$15)+(AE494*Settings!$B$16)+(AF494*Settings!$B$17)+(AG494*Settings!$B$18)+(Y494*Settings!$B$10)+(Z494*Settings!$B$11),VLOOKUP(B494,'Standard Deviations'!A$1:C$672,3,FALSE))</f>
        <v>-0.64661283149079551</v>
      </c>
      <c r="J494" s="53" cm="1">
        <f t="array" ref="J494">IF(D494="G",I494/AJ494,I494/Q494)</f>
        <v>-7.8855223352536034E-3</v>
      </c>
      <c r="K494" s="52" cm="1">
        <f t="array" ref="K494">IF(Settings!$E$18="C/LW/RW",VLOOKUP(B494,RW!A1:F210,6,FALSE),VLOOKUP(B494,F!A1:F407,6,FALSE))</f>
        <v>-7.5338474332998731</v>
      </c>
      <c r="L494" s="54" cm="1">
        <f t="array" ref="L494">IFERROR(K494/H494,"N/A")</f>
        <v>-2.4460543614609978</v>
      </c>
      <c r="M494" s="84" t="s">
        <v>828</v>
      </c>
      <c r="N494" s="84" t="str" cm="1">
        <f t="array" ref="N494">IFERROR(M494-A494,"N/A")</f>
        <v>N/A</v>
      </c>
      <c r="O494" s="55"/>
      <c r="P494" s="56" cm="1">
        <f t="array" ref="P494">_xlfn.XLOOKUP($B494,ADP!A2:A671,ADP!G2:G671)</f>
        <v>0</v>
      </c>
      <c r="Q494" s="57" cm="1">
        <f t="array" ref="Q494">IF(Settings!$E$12="YES",VLOOKUP(B494,'Player Data'!A1:E673,5,FALSE),84)</f>
        <v>82</v>
      </c>
      <c r="R494" s="83" cm="1">
        <f t="array" ref="R494">VLOOKUP(B494,'Player Data'!$A1:$AE673,6,FALSE)</f>
        <v>14</v>
      </c>
      <c r="S494" s="57" cm="1">
        <f t="array" ref="S494">VLOOKUP(B494,'Player Data'!$A1:$AE673,7,FALSE)*$Q494*IFERROR((VLOOKUP(P494,Settings!$E$28:$F$33,2,FALSE)+1),1)</f>
        <v>11.48</v>
      </c>
      <c r="T494" s="57" cm="1">
        <f t="array" ref="T494">VLOOKUP(B494,'Player Data'!$A1:$AE673,8,FALSE)*$Q494*IFERROR((VLOOKUP(P494,Settings!$E$28:$F$33,2,FALSE)+1),1)</f>
        <v>17.22</v>
      </c>
      <c r="U494" s="57" cm="1">
        <f t="array" ref="U494">SUM(S494:T494)</f>
        <v>28.7</v>
      </c>
      <c r="V494" s="57" cm="1">
        <f t="array" ref="V494">VLOOKUP(B494,'Player Data'!$A1:$AE673,10,FALSE)*$Q494*IFERROR(((VLOOKUP(P494,Settings!$E$28:$F$33,2,FALSE)/2)+1),1)</f>
        <v>151.70000000000002</v>
      </c>
      <c r="W494" s="57" cm="1">
        <f t="array" ref="W494">VLOOKUP(B494,'Player Data'!$A1:$AE673,11,FALSE)*$Q494*IFERROR((VLOOKUP(P494,Settings!$E$28:$F$33,2,FALSE)+1),1)</f>
        <v>1.6400000000000001</v>
      </c>
      <c r="X494" s="57" cm="1">
        <f t="array" ref="X494">VLOOKUP(B494,'Player Data'!$A1:$AE673,12,FALSE)*$Q494*IFERROR((VLOOKUP(P494,Settings!$E$28:$F$33,2,FALSE)+1),1)</f>
        <v>4.1000000000000005</v>
      </c>
      <c r="Y494" s="57" cm="1">
        <f t="array" ref="Y494">VLOOKUP(B494,'Player Data'!$A1:$AE673,13,FALSE)*$Q494</f>
        <v>0.82000000000000006</v>
      </c>
      <c r="Z494" s="57" cm="1">
        <f t="array" ref="Z494">VLOOKUP(B494,'Player Data'!$A1:$AE673,14,FALSE)*$Q494</f>
        <v>0.82000000000000006</v>
      </c>
      <c r="AA494" s="57" cm="1">
        <f t="array" ref="AA494">VLOOKUP(B494,'Player Data'!$A1:$AE673,15,FALSE)*$Q494</f>
        <v>27.060000000000002</v>
      </c>
      <c r="AB494" s="57" cm="1">
        <f t="array" ref="AB494">VLOOKUP(B494,'Player Data'!$A1:$AE673,16,FALSE)*$Q494</f>
        <v>82</v>
      </c>
      <c r="AC494" s="57" cm="1">
        <f t="array" ref="AC494">VLOOKUP(B494,'Player Data'!$A1:$AE673,17,FALSE)*$Q494*IFERROR((VLOOKUP(P494,Settings!$E$28:$F$33,2,FALSE)+1),1)</f>
        <v>0.82000000000000006</v>
      </c>
      <c r="AD494" s="57" cm="1">
        <f t="array" ref="AD494">VLOOKUP(B494,'Player Data'!$A1:$AE673,18,FALSE)*$Q494</f>
        <v>33.619999999999997</v>
      </c>
      <c r="AE494" s="57" cm="1">
        <f t="array" ref="AE494">VLOOKUP(B494,'Player Data'!$A1:$AE673,19,FALSE)*$Q494*IFERROR((VLOOKUP(P494,Settings!$E$28:$F$33,2,FALSE)+1),1)</f>
        <v>1.6400000000000001</v>
      </c>
      <c r="AF494" s="57" cm="1">
        <f t="array" ref="AF494">VLOOKUP(B494,'Player Data'!$A1:$AE673,20,FALSE)*$Q494</f>
        <v>276.34000000000003</v>
      </c>
      <c r="AG494" s="57" cm="1">
        <f t="array" ref="AG494">VLOOKUP(B494,'Player Data'!$A1:$AE673,21,FALSE)*$Q494</f>
        <v>312.42</v>
      </c>
      <c r="AH494" s="59" cm="1">
        <f t="array" ref="AH494">VLOOKUP(B494,'Player Data'!$A1:$AE673,22,FALSE)</f>
        <v>0.47</v>
      </c>
      <c r="AI494" s="55"/>
      <c r="AJ494" s="57"/>
      <c r="AK494" s="57"/>
      <c r="AL494" s="57"/>
      <c r="AM494" s="57"/>
      <c r="AN494" s="57"/>
      <c r="AO494" s="57"/>
      <c r="AP494" s="57"/>
      <c r="AQ494" s="60"/>
      <c r="AR494" s="61"/>
      <c r="AS494" s="55"/>
    </row>
    <row r="495" spans="1:45" ht="21.25" customHeight="1" x14ac:dyDescent="0.15">
      <c r="A495" s="62">
        <f>RANK(K495,K$2:K$671)</f>
        <v>491</v>
      </c>
      <c r="B495" s="10" t="s">
        <v>680</v>
      </c>
      <c r="C495" s="47" t="s">
        <v>145</v>
      </c>
      <c r="D495" s="48" t="str" cm="1">
        <f t="array" ref="D495">VLOOKUP(B495,'Player Data'!A1:D673,4,FALSE)</f>
        <v>LW,RW</v>
      </c>
      <c r="E495" s="74" cm="1">
        <f t="array" ref="E495">VLOOKUP(B495,RW!A1:F210,3,FALSE)</f>
        <v>126</v>
      </c>
      <c r="F495" s="63" t="str" cm="1">
        <f t="array" ref="F495">VLOOKUP(B495,'Player Data'!A1:B673,2,FALSE)</f>
        <v>WPG</v>
      </c>
      <c r="G495" s="66" cm="1">
        <f t="array" ref="G495">VLOOKUP(B495,'Player Data'!A1:D673,3,FALSE)</f>
        <v>34</v>
      </c>
      <c r="H495" s="67" cm="1">
        <f t="array" ref="H495">IFERROR(VLOOKUP(B495,ADP!A1:F671,6,FALSE)/1000000,VLOOKUP(B495,ADP!A1:F671,6,FALSE))</f>
        <v>4</v>
      </c>
      <c r="I495" s="52">
        <f>IF(Settings!$E$15="POINTS",((R495*Q495)*Settings!$B$12)+(S495*Settings!$B$2)+(T495*Settings!$B$3)+(U495*Settings!$B$4)+(V495*Settings!$B$5)+(X495*Settings!$B$9)+(AA495*Settings!$B$6)+(W495*Settings!$B$8)+(AB495*Settings!$B$7)+(AC495*Settings!$B$14)+(AD495*Settings!$B$15)+(AE495*Settings!$B$16)+(AF495*Settings!$B$17)+(AG495*Settings!$B$18)+(Y495*Settings!$B$10)+(Z495*Settings!$B$11),VLOOKUP(B495,'Standard Deviations'!A$1:C$672,3,FALSE))</f>
        <v>-0.66577269043066101</v>
      </c>
      <c r="J495" s="53" cm="1">
        <f t="array" ref="J495">IF(D495="G",I495/AJ495,I495/Q495)</f>
        <v>-8.3221586303832626E-3</v>
      </c>
      <c r="K495" s="52" cm="1">
        <f t="array" ref="K495">IF(Settings!$E$18="C/LW/RW",VLOOKUP(B495,RW!A1:F210,6,FALSE),VLOOKUP(B495,F!A1:F407,6,FALSE))</f>
        <v>-7.5530072922397382</v>
      </c>
      <c r="L495" s="54" cm="1">
        <f t="array" ref="L495">IFERROR(K495/H495,"N/A")</f>
        <v>-1.8882518230599346</v>
      </c>
      <c r="M495" s="84" t="s">
        <v>828</v>
      </c>
      <c r="N495" s="84" t="str" cm="1">
        <f t="array" ref="N495">IFERROR(M495-A495,"N/A")</f>
        <v>N/A</v>
      </c>
      <c r="O495" s="55"/>
      <c r="P495" s="56" cm="1">
        <f t="array" ref="P495">_xlfn.XLOOKUP($B495,ADP!A2:A671,ADP!G2:G671)</f>
        <v>0</v>
      </c>
      <c r="Q495" s="57" cm="1">
        <f t="array" ref="Q495">IF(Settings!$E$12="YES",VLOOKUP(B495,'Player Data'!A1:E673,5,FALSE),84)</f>
        <v>80</v>
      </c>
      <c r="R495" s="83" cm="1">
        <f t="array" ref="R495">VLOOKUP(B495,'Player Data'!$A1:$AE673,6,FALSE)</f>
        <v>12.7</v>
      </c>
      <c r="S495" s="57" cm="1">
        <f t="array" ref="S495">VLOOKUP(B495,'Player Data'!$A1:$AE673,7,FALSE)*$Q495*IFERROR((VLOOKUP(P495,Settings!$E$28:$F$33,2,FALSE)+1),1)</f>
        <v>11.200000000000001</v>
      </c>
      <c r="T495" s="57" cm="1">
        <f t="array" ref="T495">VLOOKUP(B495,'Player Data'!$A1:$AE673,8,FALSE)*$Q495*IFERROR((VLOOKUP(P495,Settings!$E$28:$F$33,2,FALSE)+1),1)</f>
        <v>14.399999999999999</v>
      </c>
      <c r="U495" s="57" cm="1">
        <f t="array" ref="U495">SUM(S495:T495)</f>
        <v>25.6</v>
      </c>
      <c r="V495" s="57" cm="1">
        <f t="array" ref="V495">VLOOKUP(B495,'Player Data'!$A1:$AE673,10,FALSE)*$Q495*IFERROR(((VLOOKUP(P495,Settings!$E$28:$F$33,2,FALSE)/2)+1),1)</f>
        <v>114.39999999999999</v>
      </c>
      <c r="W495" s="57" cm="1">
        <f t="array" ref="W495">VLOOKUP(B495,'Player Data'!$A1:$AE673,11,FALSE)*$Q495*IFERROR((VLOOKUP(P495,Settings!$E$28:$F$33,2,FALSE)+1),1)</f>
        <v>2.4</v>
      </c>
      <c r="X495" s="57" cm="1">
        <f t="array" ref="X495">VLOOKUP(B495,'Player Data'!$A1:$AE673,12,FALSE)*$Q495*IFERROR((VLOOKUP(P495,Settings!$E$28:$F$33,2,FALSE)+1),1)</f>
        <v>6.4</v>
      </c>
      <c r="Y495" s="57" cm="1">
        <f t="array" ref="Y495">VLOOKUP(B495,'Player Data'!$A1:$AE673,13,FALSE)*$Q495</f>
        <v>0</v>
      </c>
      <c r="Z495" s="57" cm="1">
        <f t="array" ref="Z495">VLOOKUP(B495,'Player Data'!$A1:$AE673,14,FALSE)*$Q495</f>
        <v>0</v>
      </c>
      <c r="AA495" s="57" cm="1">
        <f t="array" ref="AA495">VLOOKUP(B495,'Player Data'!$A1:$AE673,15,FALSE)*$Q495</f>
        <v>29.6</v>
      </c>
      <c r="AB495" s="57" cm="1">
        <f t="array" ref="AB495">VLOOKUP(B495,'Player Data'!$A1:$AE673,16,FALSE)*$Q495</f>
        <v>104</v>
      </c>
      <c r="AC495" s="57" cm="1">
        <f t="array" ref="AC495">VLOOKUP(B495,'Player Data'!$A1:$AE673,17,FALSE)*$Q495*IFERROR((VLOOKUP(P495,Settings!$E$28:$F$33,2,FALSE)+1),1)</f>
        <v>1.6</v>
      </c>
      <c r="AD495" s="57" cm="1">
        <f t="array" ref="AD495">VLOOKUP(B495,'Player Data'!$A1:$AE673,18,FALSE)*$Q495</f>
        <v>23.2</v>
      </c>
      <c r="AE495" s="57" cm="1">
        <f t="array" ref="AE495">VLOOKUP(B495,'Player Data'!$A1:$AE673,19,FALSE)*$Q495*IFERROR((VLOOKUP(P495,Settings!$E$28:$F$33,2,FALSE)+1),1)</f>
        <v>1.6</v>
      </c>
      <c r="AF495" s="57" cm="1">
        <f t="array" ref="AF495">VLOOKUP(B495,'Player Data'!$A1:$AE673,20,FALSE)*$Q495</f>
        <v>9.6</v>
      </c>
      <c r="AG495" s="57" cm="1">
        <f t="array" ref="AG495">VLOOKUP(B495,'Player Data'!$A1:$AE673,21,FALSE)*$Q495</f>
        <v>12</v>
      </c>
      <c r="AH495" s="59" cm="1">
        <f t="array" ref="AH495">VLOOKUP(B495,'Player Data'!$A1:$AE673,22,FALSE)</f>
        <v>0.44</v>
      </c>
      <c r="AI495" s="55"/>
      <c r="AJ495" s="57"/>
      <c r="AK495" s="57"/>
      <c r="AL495" s="57"/>
      <c r="AM495" s="57"/>
      <c r="AN495" s="57"/>
      <c r="AO495" s="57"/>
      <c r="AP495" s="57"/>
      <c r="AQ495" s="60"/>
      <c r="AR495" s="61"/>
      <c r="AS495" s="55"/>
    </row>
    <row r="496" spans="1:45" ht="21.25" customHeight="1" x14ac:dyDescent="0.15">
      <c r="A496" s="62">
        <f>RANK(K496,K$2:K$671)</f>
        <v>493</v>
      </c>
      <c r="B496" s="10" t="s">
        <v>699</v>
      </c>
      <c r="C496" s="47" t="s">
        <v>145</v>
      </c>
      <c r="D496" s="48" t="str" cm="1">
        <f t="array" ref="D496">VLOOKUP(B496,'Player Data'!A1:D673,4,FALSE)</f>
        <v>C</v>
      </c>
      <c r="E496" s="49" cm="1">
        <f t="array" ref="E496">VLOOKUP(B496,'C'!A1:C210,3,FALSE)</f>
        <v>130</v>
      </c>
      <c r="F496" s="65" t="str" cm="1">
        <f t="array" ref="F496">VLOOKUP(B496,'Player Data'!A1:B673,2,FALSE)</f>
        <v>T.B</v>
      </c>
      <c r="G496" s="71" cm="1">
        <f t="array" ref="G496">VLOOKUP(B496,'Player Data'!A1:D673,3,FALSE)</f>
        <v>24</v>
      </c>
      <c r="H496" s="51" cm="1">
        <f t="array" ref="H496">IFERROR(VLOOKUP(B496,ADP!A1:F671,6,FALSE)/1000000,VLOOKUP(B496,ADP!A1:F671,6,FALSE))</f>
        <v>0.91</v>
      </c>
      <c r="I496" s="52">
        <f>IF(Settings!$E$15="POINTS",((R496*Q496)*Settings!$B$12)+(S496*Settings!$B$2)+(T496*Settings!$B$3)+(U496*Settings!$B$4)+(V496*Settings!$B$5)+(X496*Settings!$B$9)+(AA496*Settings!$B$6)+(W496*Settings!$B$8)+(AB496*Settings!$B$7)+(AC496*Settings!$B$14)+(AD496*Settings!$B$15)+(AE496*Settings!$B$16)+(AF496*Settings!$B$17)+(AG496*Settings!$B$18)+(Y496*Settings!$B$10)+(Z496*Settings!$B$11),VLOOKUP(B496,'Standard Deviations'!A$1:C$672,3,FALSE))</f>
        <v>-1.2449233031889242</v>
      </c>
      <c r="J496" s="53" cm="1">
        <f t="array" ref="J496">IF(D496="G",I496/AJ496,I496/Q496)</f>
        <v>-1.8307695635131238E-2</v>
      </c>
      <c r="K496" s="52" cm="1">
        <f t="array" ref="K496">IF(Settings!$E$18="C/LW/RW",VLOOKUP(B496,'C'!A1:F210,6,FALSE),VLOOKUP(B496,F!A1:F407,6,FALSE))</f>
        <v>-7.6049328608039879</v>
      </c>
      <c r="L496" s="54" cm="1">
        <f t="array" ref="L496">IFERROR(K496/H496,"N/A")</f>
        <v>-8.3570690778065799</v>
      </c>
      <c r="M496" s="84" t="s">
        <v>828</v>
      </c>
      <c r="N496" s="84" t="str" cm="1">
        <f t="array" ref="N496">IFERROR(M496-A496,"N/A")</f>
        <v>N/A</v>
      </c>
      <c r="O496" s="55"/>
      <c r="P496" s="56" cm="1">
        <f t="array" ref="P496">_xlfn.XLOOKUP($B496,ADP!A2:A671,ADP!G2:G671)</f>
        <v>0</v>
      </c>
      <c r="Q496" s="57" cm="1">
        <f t="array" ref="Q496">IF(Settings!$E$12="YES",VLOOKUP(B496,'Player Data'!A1:E673,5,FALSE),84)</f>
        <v>68</v>
      </c>
      <c r="R496" s="55" cm="1">
        <f t="array" ref="R496">VLOOKUP(B496,'Player Data'!$A1:$AE673,6,FALSE)</f>
        <v>11.8</v>
      </c>
      <c r="S496" s="57" cm="1">
        <f t="array" ref="S496">VLOOKUP(B496,'Player Data'!$A1:$AE673,7,FALSE)*$Q496*IFERROR((VLOOKUP(P496,Settings!$E$28:$F$33,2,FALSE)+1),1)</f>
        <v>10.199999999999999</v>
      </c>
      <c r="T496" s="57" cm="1">
        <f t="array" ref="T496">VLOOKUP(B496,'Player Data'!$A1:$AE673,8,FALSE)*$Q496*IFERROR((VLOOKUP(P496,Settings!$E$28:$F$33,2,FALSE)+1),1)</f>
        <v>12.92</v>
      </c>
      <c r="U496" s="57" cm="1">
        <f t="array" ref="U496">SUM(S496:T496)</f>
        <v>23.119999999999997</v>
      </c>
      <c r="V496" s="57" cm="1">
        <f t="array" ref="V496">VLOOKUP(B496,'Player Data'!$A1:$AE673,10,FALSE)*$Q496*IFERROR(((VLOOKUP(P496,Settings!$E$28:$F$33,2,FALSE)/2)+1),1)</f>
        <v>85</v>
      </c>
      <c r="W496" s="57" cm="1">
        <f t="array" ref="W496">VLOOKUP(B496,'Player Data'!$A1:$AE673,11,FALSE)*$Q496*IFERROR((VLOOKUP(P496,Settings!$E$28:$F$33,2,FALSE)+1),1)</f>
        <v>0.68</v>
      </c>
      <c r="X496" s="57" cm="1">
        <f t="array" ref="X496">VLOOKUP(B496,'Player Data'!$A1:$AE673,12,FALSE)*$Q496*IFERROR((VLOOKUP(P496,Settings!$E$28:$F$33,2,FALSE)+1),1)</f>
        <v>1.36</v>
      </c>
      <c r="Y496" s="57" cm="1">
        <f t="array" ref="Y496">VLOOKUP(B496,'Player Data'!$A1:$AE673,13,FALSE)*$Q496</f>
        <v>0</v>
      </c>
      <c r="Z496" s="57" cm="1">
        <f t="array" ref="Z496">VLOOKUP(B496,'Player Data'!$A1:$AE673,14,FALSE)*$Q496</f>
        <v>0</v>
      </c>
      <c r="AA496" s="57" cm="1">
        <f t="array" ref="AA496">VLOOKUP(B496,'Player Data'!$A1:$AE673,15,FALSE)*$Q496</f>
        <v>23.12</v>
      </c>
      <c r="AB496" s="57" cm="1">
        <f t="array" ref="AB496">VLOOKUP(B496,'Player Data'!$A1:$AE673,16,FALSE)*$Q496</f>
        <v>94.52</v>
      </c>
      <c r="AC496" s="57" cm="1">
        <f t="array" ref="AC496">VLOOKUP(B496,'Player Data'!$A1:$AE673,17,FALSE)*$Q496*IFERROR((VLOOKUP(P496,Settings!$E$28:$F$33,2,FALSE)+1),1)</f>
        <v>5.44</v>
      </c>
      <c r="AD496" s="57" cm="1">
        <f t="array" ref="AD496">VLOOKUP(B496,'Player Data'!$A1:$AE673,18,FALSE)*$Q496</f>
        <v>16.32</v>
      </c>
      <c r="AE496" s="57" cm="1">
        <f t="array" ref="AE496">VLOOKUP(B496,'Player Data'!$A1:$AE673,19,FALSE)*$Q496*IFERROR((VLOOKUP(P496,Settings!$E$28:$F$33,2,FALSE)+1),1)</f>
        <v>2.04</v>
      </c>
      <c r="AF496" s="57" cm="1">
        <f t="array" ref="AF496">VLOOKUP(B496,'Player Data'!$A1:$AE673,20,FALSE)*$Q496</f>
        <v>211.48</v>
      </c>
      <c r="AG496" s="57" cm="1">
        <f t="array" ref="AG496">VLOOKUP(B496,'Player Data'!$A1:$AE673,21,FALSE)*$Q496</f>
        <v>208.76</v>
      </c>
      <c r="AH496" s="59" cm="1">
        <f t="array" ref="AH496">VLOOKUP(B496,'Player Data'!$A1:$AE673,22,FALSE)</f>
        <v>0.5</v>
      </c>
      <c r="AI496" s="55"/>
      <c r="AJ496" s="57"/>
      <c r="AK496" s="57"/>
      <c r="AL496" s="57"/>
      <c r="AM496" s="57"/>
      <c r="AN496" s="57"/>
      <c r="AO496" s="57"/>
      <c r="AP496" s="57"/>
      <c r="AQ496" s="60"/>
      <c r="AR496" s="61"/>
      <c r="AS496" s="55"/>
    </row>
    <row r="497" spans="1:45" ht="21.25" customHeight="1" x14ac:dyDescent="0.15">
      <c r="A497" s="62">
        <f>RANK(K497,K$2:K$671)</f>
        <v>494</v>
      </c>
      <c r="B497" s="10" t="s">
        <v>656</v>
      </c>
      <c r="C497" s="47" t="s">
        <v>145</v>
      </c>
      <c r="D497" s="48" t="str" cm="1">
        <f t="array" ref="D497">VLOOKUP(B497,'Player Data'!A1:D673,4,FALSE)</f>
        <v>C</v>
      </c>
      <c r="E497" s="49" cm="1">
        <f t="array" ref="E497">VLOOKUP(B497,'C'!A1:C210,3,FALSE)</f>
        <v>131</v>
      </c>
      <c r="F497" s="72" t="str" cm="1">
        <f t="array" ref="F497">VLOOKUP(B497,'Player Data'!A1:B673,2,FALSE)</f>
        <v>DET</v>
      </c>
      <c r="G497" s="71" cm="1">
        <f t="array" ref="G497">VLOOKUP(B497,'Player Data'!A1:D673,3,FALSE)</f>
        <v>21</v>
      </c>
      <c r="H497" s="51" cm="1">
        <f t="array" ref="H497">IFERROR(VLOOKUP(B497,ADP!A1:F671,6,FALSE)/1000000,VLOOKUP(B497,ADP!A1:F671,6,FALSE))</f>
        <v>0.90916699999999995</v>
      </c>
      <c r="I497" s="52">
        <f>IF(Settings!$E$15="POINTS",((R497*Q497)*Settings!$B$12)+(S497*Settings!$B$2)+(T497*Settings!$B$3)+(U497*Settings!$B$4)+(V497*Settings!$B$5)+(X497*Settings!$B$9)+(AA497*Settings!$B$6)+(W497*Settings!$B$8)+(AB497*Settings!$B$7)+(AC497*Settings!$B$14)+(AD497*Settings!$B$15)+(AE497*Settings!$B$16)+(AF497*Settings!$B$17)+(AG497*Settings!$B$18)+(Y497*Settings!$B$10)+(Z497*Settings!$B$11),VLOOKUP(B497,'Standard Deviations'!A$1:C$672,3,FALSE))</f>
        <v>-1.254224741914155</v>
      </c>
      <c r="J497" s="53" cm="1">
        <f t="array" ref="J497">IF(D497="G",I497/AJ497,I497/Q497)</f>
        <v>-1.8444481498737574E-2</v>
      </c>
      <c r="K497" s="52" cm="1">
        <f t="array" ref="K497">IF(Settings!$E$18="C/LW/RW",VLOOKUP(B497,'C'!A1:F210,6,FALSE),VLOOKUP(B497,F!A1:F407,6,FALSE))</f>
        <v>-7.6142342995292189</v>
      </c>
      <c r="L497" s="54" cm="1">
        <f t="array" ref="L497">IFERROR(K497/H497,"N/A")</f>
        <v>-8.3749567456025336</v>
      </c>
      <c r="M497" s="84" t="s">
        <v>828</v>
      </c>
      <c r="N497" s="84" t="str" cm="1">
        <f t="array" ref="N497">IFERROR(M497-A497,"N/A")</f>
        <v>N/A</v>
      </c>
      <c r="O497" s="55"/>
      <c r="P497" s="56" cm="1">
        <f t="array" ref="P497">_xlfn.XLOOKUP($B497,ADP!A2:A671,ADP!G2:G671)</f>
        <v>0</v>
      </c>
      <c r="Q497" s="57" cm="1">
        <f t="array" ref="Q497">IF(Settings!$E$12="YES",VLOOKUP(B497,'Player Data'!A1:E673,5,FALSE),84)</f>
        <v>68</v>
      </c>
      <c r="R497" s="81" cm="1">
        <f t="array" ref="R497">VLOOKUP(B497,'Player Data'!$A1:$AE673,6,FALSE)</f>
        <v>13.6</v>
      </c>
      <c r="S497" s="57" cm="1">
        <f t="array" ref="S497">VLOOKUP(B497,'Player Data'!$A1:$AE673,7,FALSE)*$Q497*IFERROR((VLOOKUP(P497,Settings!$E$28:$F$33,2,FALSE)+1),1)</f>
        <v>12.24</v>
      </c>
      <c r="T497" s="57" cm="1">
        <f t="array" ref="T497">VLOOKUP(B497,'Player Data'!$A1:$AE673,8,FALSE)*$Q497*IFERROR((VLOOKUP(P497,Settings!$E$28:$F$33,2,FALSE)+1),1)</f>
        <v>21.08</v>
      </c>
      <c r="U497" s="57" cm="1">
        <f t="array" ref="U497">SUM(S497:T497)</f>
        <v>33.32</v>
      </c>
      <c r="V497" s="57" cm="1">
        <f t="array" ref="V497">VLOOKUP(B497,'Player Data'!$A1:$AE673,10,FALSE)*$Q497*IFERROR(((VLOOKUP(P497,Settings!$E$28:$F$33,2,FALSE)/2)+1),1)</f>
        <v>110.83999999999999</v>
      </c>
      <c r="W497" s="57" cm="1">
        <f t="array" ref="W497">VLOOKUP(B497,'Player Data'!$A1:$AE673,11,FALSE)*$Q497*IFERROR((VLOOKUP(P497,Settings!$E$28:$F$33,2,FALSE)+1),1)</f>
        <v>2.72</v>
      </c>
      <c r="X497" s="57" cm="1">
        <f t="array" ref="X497">VLOOKUP(B497,'Player Data'!$A1:$AE673,12,FALSE)*$Q497*IFERROR((VLOOKUP(P497,Settings!$E$28:$F$33,2,FALSE)+1),1)</f>
        <v>12.24</v>
      </c>
      <c r="Y497" s="57" cm="1">
        <f t="array" ref="Y497">VLOOKUP(B497,'Player Data'!$A1:$AE673,13,FALSE)*$Q497</f>
        <v>0</v>
      </c>
      <c r="Z497" s="57" cm="1">
        <f t="array" ref="Z497">VLOOKUP(B497,'Player Data'!$A1:$AE673,14,FALSE)*$Q497</f>
        <v>0</v>
      </c>
      <c r="AA497" s="57" cm="1">
        <f t="array" ref="AA497">VLOOKUP(B497,'Player Data'!$A1:$AE673,15,FALSE)*$Q497</f>
        <v>31.28</v>
      </c>
      <c r="AB497" s="57" cm="1">
        <f t="array" ref="AB497">VLOOKUP(B497,'Player Data'!$A1:$AE673,16,FALSE)*$Q497</f>
        <v>53.04</v>
      </c>
      <c r="AC497" s="57" cm="1">
        <f t="array" ref="AC497">VLOOKUP(B497,'Player Data'!$A1:$AE673,17,FALSE)*$Q497*IFERROR((VLOOKUP(P497,Settings!$E$28:$F$33,2,FALSE)+1),1)</f>
        <v>-1.36</v>
      </c>
      <c r="AD497" s="57" cm="1">
        <f t="array" ref="AD497">VLOOKUP(B497,'Player Data'!$A1:$AE673,18,FALSE)*$Q497</f>
        <v>19.040000000000003</v>
      </c>
      <c r="AE497" s="57" cm="1">
        <f t="array" ref="AE497">VLOOKUP(B497,'Player Data'!$A1:$AE673,19,FALSE)*$Q497*IFERROR((VLOOKUP(P497,Settings!$E$28:$F$33,2,FALSE)+1),1)</f>
        <v>2.04</v>
      </c>
      <c r="AF497" s="57" cm="1">
        <f t="array" ref="AF497">VLOOKUP(B497,'Player Data'!$A1:$AE673,20,FALSE)*$Q497</f>
        <v>164.56</v>
      </c>
      <c r="AG497" s="57" cm="1">
        <f t="array" ref="AG497">VLOOKUP(B497,'Player Data'!$A1:$AE673,21,FALSE)*$Q497</f>
        <v>272.68</v>
      </c>
      <c r="AH497" s="59" cm="1">
        <f t="array" ref="AH497">VLOOKUP(B497,'Player Data'!$A1:$AE673,22,FALSE)</f>
        <v>0.38</v>
      </c>
      <c r="AI497" s="55"/>
      <c r="AJ497" s="57"/>
      <c r="AK497" s="57"/>
      <c r="AL497" s="57"/>
      <c r="AM497" s="57"/>
      <c r="AN497" s="57"/>
      <c r="AO497" s="57"/>
      <c r="AP497" s="57"/>
      <c r="AQ497" s="60"/>
      <c r="AR497" s="61"/>
      <c r="AS497" s="55"/>
    </row>
    <row r="498" spans="1:45" ht="21.25" customHeight="1" x14ac:dyDescent="0.15">
      <c r="A498" s="62">
        <f>RANK(K498,K$2:K$671)</f>
        <v>495</v>
      </c>
      <c r="B498" s="10" t="s">
        <v>580</v>
      </c>
      <c r="C498" s="47" t="s">
        <v>145</v>
      </c>
      <c r="D498" s="48" t="str" cm="1">
        <f t="array" ref="D498">VLOOKUP(B498,'Player Data'!A1:D673,4,FALSE)</f>
        <v>C</v>
      </c>
      <c r="E498" s="49" cm="1">
        <f t="array" ref="E498">VLOOKUP(B498,'C'!A1:C210,3,FALSE)</f>
        <v>132</v>
      </c>
      <c r="F498" s="56" t="str" cm="1">
        <f t="array" ref="F498">VLOOKUP(B498,'Player Data'!A1:B673,2,FALSE)</f>
        <v>UTA</v>
      </c>
      <c r="G498" s="11" cm="1">
        <f t="array" ref="G498">VLOOKUP(B498,'Player Data'!A1:D673,3,FALSE)</f>
        <v>26</v>
      </c>
      <c r="H498" s="67" cm="1">
        <f t="array" ref="H498">IFERROR(VLOOKUP(B498,ADP!A1:F671,6,FALSE)/1000000,VLOOKUP(B498,ADP!A1:F671,6,FALSE))</f>
        <v>4.7750000000000004</v>
      </c>
      <c r="I498" s="52">
        <f>IF(Settings!$E$15="POINTS",((R498*Q498)*Settings!$B$12)+(S498*Settings!$B$2)+(T498*Settings!$B$3)+(U498*Settings!$B$4)+(V498*Settings!$B$5)+(X498*Settings!$B$9)+(AA498*Settings!$B$6)+(W498*Settings!$B$8)+(AB498*Settings!$B$7)+(AC498*Settings!$B$14)+(AD498*Settings!$B$15)+(AE498*Settings!$B$16)+(AF498*Settings!$B$17)+(AG498*Settings!$B$18)+(Y498*Settings!$B$10)+(Z498*Settings!$B$11),VLOOKUP(B498,'Standard Deviations'!A$1:C$672,3,FALSE))</f>
        <v>-1.2561332086468293</v>
      </c>
      <c r="J498" s="53" cm="1">
        <f t="array" ref="J498">IF(D498="G",I498/AJ498,I498/Q498)</f>
        <v>-1.65280685348267E-2</v>
      </c>
      <c r="K498" s="52" cm="1">
        <f t="array" ref="K498">IF(Settings!$E$18="C/LW/RW",VLOOKUP(B498,'C'!A1:F210,6,FALSE),VLOOKUP(B498,F!A1:F407,6,FALSE))</f>
        <v>-7.616142766261893</v>
      </c>
      <c r="L498" s="54" cm="1">
        <f t="array" ref="L498">IFERROR(K498/H498,"N/A")</f>
        <v>-1.5950037206831189</v>
      </c>
      <c r="M498" s="84" t="s">
        <v>828</v>
      </c>
      <c r="N498" s="84" t="str" cm="1">
        <f t="array" ref="N498">IFERROR(M498-A498,"N/A")</f>
        <v>N/A</v>
      </c>
      <c r="O498" s="55"/>
      <c r="P498" s="56" cm="1">
        <f t="array" ref="P498">_xlfn.XLOOKUP($B498,ADP!A2:A671,ADP!G2:G671)</f>
        <v>0</v>
      </c>
      <c r="Q498" s="57" cm="1">
        <f t="array" ref="Q498">IF(Settings!$E$12="YES",VLOOKUP(B498,'Player Data'!A1:E673,5,FALSE),84)</f>
        <v>76</v>
      </c>
      <c r="R498" s="55" cm="1">
        <f t="array" ref="R498">VLOOKUP(B498,'Player Data'!$A1:$AE673,6,FALSE)</f>
        <v>15.3</v>
      </c>
      <c r="S498" s="57" cm="1">
        <f t="array" ref="S498">VLOOKUP(B498,'Player Data'!$A1:$AE673,7,FALSE)*$Q498*IFERROR((VLOOKUP(P498,Settings!$E$28:$F$33,2,FALSE)+1),1)</f>
        <v>12.920000000000002</v>
      </c>
      <c r="T498" s="57" cm="1">
        <f t="array" ref="T498">VLOOKUP(B498,'Player Data'!$A1:$AE673,8,FALSE)*$Q498*IFERROR((VLOOKUP(P498,Settings!$E$28:$F$33,2,FALSE)+1),1)</f>
        <v>18.239999999999998</v>
      </c>
      <c r="U498" s="57" cm="1">
        <f t="array" ref="U498">SUM(S498:T498)</f>
        <v>31.16</v>
      </c>
      <c r="V498" s="57" cm="1">
        <f t="array" ref="V498">VLOOKUP(B498,'Player Data'!$A1:$AE673,10,FALSE)*$Q498*IFERROR(((VLOOKUP(P498,Settings!$E$28:$F$33,2,FALSE)/2)+1),1)</f>
        <v>126.91999999999999</v>
      </c>
      <c r="W498" s="57" cm="1">
        <f t="array" ref="W498">VLOOKUP(B498,'Player Data'!$A1:$AE673,11,FALSE)*$Q498*IFERROR((VLOOKUP(P498,Settings!$E$28:$F$33,2,FALSE)+1),1)</f>
        <v>3.8000000000000003</v>
      </c>
      <c r="X498" s="57" cm="1">
        <f t="array" ref="X498">VLOOKUP(B498,'Player Data'!$A1:$AE673,12,FALSE)*$Q498*IFERROR((VLOOKUP(P498,Settings!$E$28:$F$33,2,FALSE)+1),1)</f>
        <v>6.84</v>
      </c>
      <c r="Y498" s="57" cm="1">
        <f t="array" ref="Y498">VLOOKUP(B498,'Player Data'!$A1:$AE673,13,FALSE)*$Q498</f>
        <v>0</v>
      </c>
      <c r="Z498" s="57" cm="1">
        <f t="array" ref="Z498">VLOOKUP(B498,'Player Data'!$A1:$AE673,14,FALSE)*$Q498</f>
        <v>0.76</v>
      </c>
      <c r="AA498" s="57" cm="1">
        <f t="array" ref="AA498">VLOOKUP(B498,'Player Data'!$A1:$AE673,15,FALSE)*$Q498</f>
        <v>36.479999999999997</v>
      </c>
      <c r="AB498" s="57" cm="1">
        <f t="array" ref="AB498">VLOOKUP(B498,'Player Data'!$A1:$AE673,16,FALSE)*$Q498</f>
        <v>41.800000000000004</v>
      </c>
      <c r="AC498" s="57" cm="1">
        <f t="array" ref="AC498">VLOOKUP(B498,'Player Data'!$A1:$AE673,17,FALSE)*$Q498*IFERROR((VLOOKUP(P498,Settings!$E$28:$F$33,2,FALSE)+1),1)</f>
        <v>1.52</v>
      </c>
      <c r="AD498" s="57" cm="1">
        <f t="array" ref="AD498">VLOOKUP(B498,'Player Data'!$A1:$AE673,18,FALSE)*$Q498</f>
        <v>36.479999999999997</v>
      </c>
      <c r="AE498" s="57" cm="1">
        <f t="array" ref="AE498">VLOOKUP(B498,'Player Data'!$A1:$AE673,19,FALSE)*$Q498*IFERROR((VLOOKUP(P498,Settings!$E$28:$F$33,2,FALSE)+1),1)</f>
        <v>2.2799999999999998</v>
      </c>
      <c r="AF498" s="57" cm="1">
        <f t="array" ref="AF498">VLOOKUP(B498,'Player Data'!$A1:$AE673,20,FALSE)*$Q498</f>
        <v>472.71999999999997</v>
      </c>
      <c r="AG498" s="57" cm="1">
        <f t="array" ref="AG498">VLOOKUP(B498,'Player Data'!$A1:$AE673,21,FALSE)*$Q498</f>
        <v>417.24</v>
      </c>
      <c r="AH498" s="59" cm="1">
        <f t="array" ref="AH498">VLOOKUP(B498,'Player Data'!$A1:$AE673,22,FALSE)</f>
        <v>0.53</v>
      </c>
      <c r="AI498" s="55"/>
      <c r="AJ498" s="57"/>
      <c r="AK498" s="57"/>
      <c r="AL498" s="57"/>
      <c r="AM498" s="57"/>
      <c r="AN498" s="57"/>
      <c r="AO498" s="57"/>
      <c r="AP498" s="57"/>
      <c r="AQ498" s="60"/>
      <c r="AR498" s="61"/>
      <c r="AS498" s="55"/>
    </row>
    <row r="499" spans="1:45" ht="21.25" customHeight="1" x14ac:dyDescent="0.15">
      <c r="A499" s="62">
        <f>RANK(K499,K$2:K$671)</f>
        <v>496</v>
      </c>
      <c r="B499" s="10" t="s">
        <v>201</v>
      </c>
      <c r="C499" s="47" t="s">
        <v>145</v>
      </c>
      <c r="D499" s="48" t="str" cm="1">
        <f t="array" ref="D499">VLOOKUP(B499,'Player Data'!A1:D673,4,FALSE)</f>
        <v>C</v>
      </c>
      <c r="E499" s="49" cm="1">
        <f t="array" ref="E499">VLOOKUP(B499,'C'!A1:C210,3,FALSE)</f>
        <v>133</v>
      </c>
      <c r="F499" s="72" t="str" cm="1">
        <f t="array" ref="F499">VLOOKUP(B499,'Player Data'!A1:B673,2,FALSE)</f>
        <v>NYI</v>
      </c>
      <c r="G499" s="66" cm="1">
        <f t="array" ref="G499">VLOOKUP(B499,'Player Data'!A1:D673,3,FALSE)</f>
        <v>31</v>
      </c>
      <c r="H499" s="51" cm="1">
        <f t="array" ref="H499">IFERROR(VLOOKUP(B499,ADP!A1:F671,6,FALSE)/1000000,VLOOKUP(B499,ADP!A1:F671,6,FALSE))</f>
        <v>8.5</v>
      </c>
      <c r="I499" s="52">
        <f>IF(Settings!$E$15="POINTS",((R499*Q499)*Settings!$B$12)+(S499*Settings!$B$2)+(T499*Settings!$B$3)+(U499*Settings!$B$4)+(V499*Settings!$B$5)+(X499*Settings!$B$9)+(AA499*Settings!$B$6)+(W499*Settings!$B$8)+(AB499*Settings!$B$7)+(AC499*Settings!$B$14)+(AD499*Settings!$B$15)+(AE499*Settings!$B$16)+(AF499*Settings!$B$17)+(AG499*Settings!$B$18)+(Y499*Settings!$B$10)+(Z499*Settings!$B$11),VLOOKUP(B499,'Standard Deviations'!A$1:C$672,3,FALSE))</f>
        <v>-1.2603599746349046</v>
      </c>
      <c r="J499" s="53" cm="1">
        <f t="array" ref="J499">IF(D499="G",I499/AJ499,I499/Q499)</f>
        <v>-3.0740487186217184E-2</v>
      </c>
      <c r="K499" s="52" cm="1">
        <f t="array" ref="K499">IF(Settings!$E$18="C/LW/RW",VLOOKUP(B499,'C'!A1:F210,6,FALSE),VLOOKUP(B499,F!A1:F407,6,FALSE))</f>
        <v>-7.6203695322499687</v>
      </c>
      <c r="L499" s="54" cm="1">
        <f t="array" ref="L499">IFERROR(K499/H499,"N/A")</f>
        <v>-0.89651406261764333</v>
      </c>
      <c r="M499" s="55">
        <v>126.1</v>
      </c>
      <c r="N499" s="55" cm="1">
        <f t="array" ref="N499">IFERROR(M499-A499,"N/A")</f>
        <v>-369.9</v>
      </c>
      <c r="O499" s="55"/>
      <c r="P499" s="56" cm="1">
        <f t="array" ref="P499">_xlfn.XLOOKUP($B499,ADP!A2:A671,ADP!G2:G671)</f>
        <v>0</v>
      </c>
      <c r="Q499" s="57" cm="1">
        <f t="array" ref="Q499">IF(Settings!$E$12="YES",VLOOKUP(B499,'Player Data'!A1:E673,5,FALSE),84)</f>
        <v>41</v>
      </c>
      <c r="R499" s="81" cm="1">
        <f t="array" ref="R499">VLOOKUP(B499,'Player Data'!$A1:$AE673,6,FALSE)</f>
        <v>22</v>
      </c>
      <c r="S499" s="57" cm="1">
        <f t="array" ref="S499">VLOOKUP(B499,'Player Data'!$A1:$AE673,7,FALSE)*$Q499*IFERROR((VLOOKUP(P499,Settings!$E$28:$F$33,2,FALSE)+1),1)</f>
        <v>16.809999999999999</v>
      </c>
      <c r="T499" s="57" cm="1">
        <f t="array" ref="T499">VLOOKUP(B499,'Player Data'!$A1:$AE673,8,FALSE)*$Q499*IFERROR((VLOOKUP(P499,Settings!$E$28:$F$33,2,FALSE)+1),1)</f>
        <v>16.809999999999999</v>
      </c>
      <c r="U499" s="57" cm="1">
        <f t="array" ref="U499">SUM(S499:T499)</f>
        <v>33.619999999999997</v>
      </c>
      <c r="V499" s="57" cm="1">
        <f t="array" ref="V499">VLOOKUP(B499,'Player Data'!$A1:$AE673,10,FALSE)*$Q499*IFERROR(((VLOOKUP(P499,Settings!$E$28:$F$33,2,FALSE)/2)+1),1)</f>
        <v>137.76</v>
      </c>
      <c r="W499" s="58" cm="1">
        <f t="array" ref="W499">VLOOKUP(B499,'Player Data'!$A1:$AE673,11,FALSE)*$Q499*IFERROR((VLOOKUP(P499,Settings!$E$28:$F$33,2,FALSE)+1),1)</f>
        <v>3.2800000000000002</v>
      </c>
      <c r="X499" s="57" cm="1">
        <f t="array" ref="X499">VLOOKUP(B499,'Player Data'!$A1:$AE673,12,FALSE)*$Q499*IFERROR((VLOOKUP(P499,Settings!$E$28:$F$33,2,FALSE)+1),1)</f>
        <v>7.79</v>
      </c>
      <c r="Y499" s="57" cm="1">
        <f t="array" ref="Y499">VLOOKUP(B499,'Player Data'!$A1:$AE673,13,FALSE)*$Q499</f>
        <v>0.82000000000000006</v>
      </c>
      <c r="Z499" s="57" cm="1">
        <f t="array" ref="Z499">VLOOKUP(B499,'Player Data'!$A1:$AE673,14,FALSE)*$Q499</f>
        <v>1.23</v>
      </c>
      <c r="AA499" s="57" cm="1">
        <f t="array" ref="AA499">VLOOKUP(B499,'Player Data'!$A1:$AE673,15,FALSE)*$Q499</f>
        <v>24.189999999999998</v>
      </c>
      <c r="AB499" s="57" cm="1">
        <f t="array" ref="AB499">VLOOKUP(B499,'Player Data'!$A1:$AE673,16,FALSE)*$Q499</f>
        <v>38.54</v>
      </c>
      <c r="AC499" s="57" cm="1">
        <f t="array" ref="AC499">VLOOKUP(B499,'Player Data'!$A1:$AE673,17,FALSE)*$Q499*IFERROR((VLOOKUP(P499,Settings!$E$28:$F$33,2,FALSE)+1),1)</f>
        <v>-0.82000000000000006</v>
      </c>
      <c r="AD499" s="57" cm="1">
        <f t="array" ref="AD499">VLOOKUP(B499,'Player Data'!$A1:$AE673,18,FALSE)*$Q499</f>
        <v>15.99</v>
      </c>
      <c r="AE499" s="57" cm="1">
        <f t="array" ref="AE499">VLOOKUP(B499,'Player Data'!$A1:$AE673,19,FALSE)*$Q499*IFERROR((VLOOKUP(P499,Settings!$E$28:$F$33,2,FALSE)+1),1)</f>
        <v>2.46</v>
      </c>
      <c r="AF499" s="57" cm="1">
        <f t="array" ref="AF499">VLOOKUP(B499,'Player Data'!$A1:$AE673,20,FALSE)*$Q499</f>
        <v>437.46999999999997</v>
      </c>
      <c r="AG499" s="57" cm="1">
        <f t="array" ref="AG499">VLOOKUP(B499,'Player Data'!$A1:$AE673,21,FALSE)*$Q499</f>
        <v>339.07</v>
      </c>
      <c r="AH499" s="59" cm="1">
        <f t="array" ref="AH499">VLOOKUP(B499,'Player Data'!$A1:$AE673,22,FALSE)</f>
        <v>0.56000000000000005</v>
      </c>
      <c r="AI499" s="55"/>
      <c r="AJ499" s="57"/>
      <c r="AK499" s="57"/>
      <c r="AL499" s="57"/>
      <c r="AM499" s="57"/>
      <c r="AN499" s="57"/>
      <c r="AO499" s="57"/>
      <c r="AP499" s="57"/>
      <c r="AQ499" s="60"/>
      <c r="AR499" s="61"/>
      <c r="AS499" s="55"/>
    </row>
    <row r="500" spans="1:45" ht="21.25" customHeight="1" x14ac:dyDescent="0.15">
      <c r="A500" s="62">
        <f>RANK(K500,K$2:K$671)</f>
        <v>497</v>
      </c>
      <c r="B500" s="10" t="s">
        <v>584</v>
      </c>
      <c r="C500" s="47" t="s">
        <v>145</v>
      </c>
      <c r="D500" s="48" t="str" cm="1">
        <f t="array" ref="D500">VLOOKUP(B500,'Player Data'!A1:D673,4,FALSE)</f>
        <v>RW</v>
      </c>
      <c r="E500" s="64" cm="1">
        <f t="array" ref="E500">VLOOKUP(B500,RW!A1:F210,3,FALSE)</f>
        <v>127</v>
      </c>
      <c r="F500" s="72" t="str" cm="1">
        <f t="array" ref="F500">VLOOKUP(B500,'Player Data'!A1:B673,2,FALSE)</f>
        <v>PIT</v>
      </c>
      <c r="G500" s="71" cm="1">
        <f t="array" ref="G500">VLOOKUP(B500,'Player Data'!A1:D673,3,FALSE)</f>
        <v>25</v>
      </c>
      <c r="H500" s="51" cm="1">
        <f t="array" ref="H500">IFERROR(VLOOKUP(B500,ADP!A1:F671,6,FALSE)/1000000,VLOOKUP(B500,ADP!A1:F671,6,FALSE))</f>
        <v>3.25</v>
      </c>
      <c r="I500" s="52">
        <f>IF(Settings!$E$15="POINTS",((R500*Q500)*Settings!$B$12)+(S500*Settings!$B$2)+(T500*Settings!$B$3)+(U500*Settings!$B$4)+(V500*Settings!$B$5)+(X500*Settings!$B$9)+(AA500*Settings!$B$6)+(W500*Settings!$B$8)+(AB500*Settings!$B$7)+(AC500*Settings!$B$14)+(AD500*Settings!$B$15)+(AE500*Settings!$B$16)+(AF500*Settings!$B$17)+(AG500*Settings!$B$18)+(Y500*Settings!$B$10)+(Z500*Settings!$B$11),VLOOKUP(B500,'Standard Deviations'!A$1:C$672,3,FALSE))</f>
        <v>-0.74166969821626472</v>
      </c>
      <c r="J500" s="53" cm="1">
        <f t="array" ref="J500">IF(D500="G",I500/AJ500,I500/Q500)</f>
        <v>-9.3882240280539833E-3</v>
      </c>
      <c r="K500" s="52" cm="1">
        <f t="array" ref="K500">IF(Settings!$E$18="C/LW/RW",VLOOKUP(B500,RW!A1:F210,6,FALSE),VLOOKUP(B500,F!A1:F407,6,FALSE))</f>
        <v>-7.6289043000253418</v>
      </c>
      <c r="L500" s="54" cm="1">
        <f t="array" ref="L500">IFERROR(K500/H500,"N/A")</f>
        <v>-2.3473551692385666</v>
      </c>
      <c r="M500" s="84" t="s">
        <v>828</v>
      </c>
      <c r="N500" s="84" t="str" cm="1">
        <f t="array" ref="N500">IFERROR(M500-A500,"N/A")</f>
        <v>N/A</v>
      </c>
      <c r="O500" s="55"/>
      <c r="P500" s="56" cm="1">
        <f t="array" ref="P500">_xlfn.XLOOKUP($B500,ADP!A2:A671,ADP!G2:G671)</f>
        <v>0</v>
      </c>
      <c r="Q500" s="57" cm="1">
        <f t="array" ref="Q500">IF(Settings!$E$12="YES",VLOOKUP(B500,'Player Data'!A1:E673,5,FALSE),84)</f>
        <v>79</v>
      </c>
      <c r="R500" s="55" cm="1">
        <f t="array" ref="R500">VLOOKUP(B500,'Player Data'!$A1:$AE673,6,FALSE)</f>
        <v>13.2</v>
      </c>
      <c r="S500" s="57" cm="1">
        <f t="array" ref="S500">VLOOKUP(B500,'Player Data'!$A1:$AE673,7,FALSE)*$Q500*IFERROR((VLOOKUP(P500,Settings!$E$28:$F$33,2,FALSE)+1),1)</f>
        <v>18.170000000000002</v>
      </c>
      <c r="T500" s="57" cm="1">
        <f t="array" ref="T500">VLOOKUP(B500,'Player Data'!$A1:$AE673,8,FALSE)*$Q500*IFERROR((VLOOKUP(P500,Settings!$E$28:$F$33,2,FALSE)+1),1)</f>
        <v>16.59</v>
      </c>
      <c r="U500" s="57" cm="1">
        <f t="array" ref="U500">SUM(S500:T500)</f>
        <v>34.760000000000005</v>
      </c>
      <c r="V500" s="57" cm="1">
        <f t="array" ref="V500">VLOOKUP(B500,'Player Data'!$A1:$AE673,10,FALSE)*$Q500*IFERROR(((VLOOKUP(P500,Settings!$E$28:$F$33,2,FALSE)/2)+1),1)</f>
        <v>139.83000000000001</v>
      </c>
      <c r="W500" s="57" cm="1">
        <f t="array" ref="W500">VLOOKUP(B500,'Player Data'!$A1:$AE673,11,FALSE)*$Q500*IFERROR((VLOOKUP(P500,Settings!$E$28:$F$33,2,FALSE)+1),1)</f>
        <v>1.58</v>
      </c>
      <c r="X500" s="57" cm="1">
        <f t="array" ref="X500">VLOOKUP(B500,'Player Data'!$A1:$AE673,12,FALSE)*$Q500*IFERROR((VLOOKUP(P500,Settings!$E$28:$F$33,2,FALSE)+1),1)</f>
        <v>2.37</v>
      </c>
      <c r="Y500" s="57" cm="1">
        <f t="array" ref="Y500">VLOOKUP(B500,'Player Data'!$A1:$AE673,13,FALSE)*$Q500</f>
        <v>0</v>
      </c>
      <c r="Z500" s="57" cm="1">
        <f t="array" ref="Z500">VLOOKUP(B500,'Player Data'!$A1:$AE673,14,FALSE)*$Q500</f>
        <v>0</v>
      </c>
      <c r="AA500" s="57" cm="1">
        <f t="array" ref="AA500">VLOOKUP(B500,'Player Data'!$A1:$AE673,15,FALSE)*$Q500</f>
        <v>41.870000000000005</v>
      </c>
      <c r="AB500" s="57" cm="1">
        <f t="array" ref="AB500">VLOOKUP(B500,'Player Data'!$A1:$AE673,16,FALSE)*$Q500</f>
        <v>90.85</v>
      </c>
      <c r="AC500" s="57" cm="1">
        <f t="array" ref="AC500">VLOOKUP(B500,'Player Data'!$A1:$AE673,17,FALSE)*$Q500*IFERROR((VLOOKUP(P500,Settings!$E$28:$F$33,2,FALSE)+1),1)</f>
        <v>-1.58</v>
      </c>
      <c r="AD500" s="57" cm="1">
        <f t="array" ref="AD500">VLOOKUP(B500,'Player Data'!$A1:$AE673,18,FALSE)*$Q500</f>
        <v>15.8</v>
      </c>
      <c r="AE500" s="57" cm="1">
        <f t="array" ref="AE500">VLOOKUP(B500,'Player Data'!$A1:$AE673,19,FALSE)*$Q500*IFERROR((VLOOKUP(P500,Settings!$E$28:$F$33,2,FALSE)+1),1)</f>
        <v>2.37</v>
      </c>
      <c r="AF500" s="57" cm="1">
        <f t="array" ref="AF500">VLOOKUP(B500,'Player Data'!$A1:$AE673,20,FALSE)*$Q500</f>
        <v>9.48</v>
      </c>
      <c r="AG500" s="57" cm="1">
        <f t="array" ref="AG500">VLOOKUP(B500,'Player Data'!$A1:$AE673,21,FALSE)*$Q500</f>
        <v>13.430000000000001</v>
      </c>
      <c r="AH500" s="59" cm="1">
        <f t="array" ref="AH500">VLOOKUP(B500,'Player Data'!$A1:$AE673,22,FALSE)</f>
        <v>0.42</v>
      </c>
      <c r="AI500" s="55"/>
      <c r="AJ500" s="57"/>
      <c r="AK500" s="57"/>
      <c r="AL500" s="57"/>
      <c r="AM500" s="57"/>
      <c r="AN500" s="57"/>
      <c r="AO500" s="57"/>
      <c r="AP500" s="57"/>
      <c r="AQ500" s="60"/>
      <c r="AR500" s="61"/>
      <c r="AS500" s="55"/>
    </row>
    <row r="501" spans="1:45" ht="21.25" customHeight="1" x14ac:dyDescent="0.15">
      <c r="A501" s="62">
        <f>RANK(K501,K$2:K$671)</f>
        <v>498</v>
      </c>
      <c r="B501" s="10" t="s">
        <v>609</v>
      </c>
      <c r="C501" s="47" t="s">
        <v>145</v>
      </c>
      <c r="D501" s="48" t="str" cm="1">
        <f t="array" ref="D501">VLOOKUP(B501,'Player Data'!A1:D673,4,FALSE)</f>
        <v>LW,RW</v>
      </c>
      <c r="E501" s="74" cm="1">
        <f t="array" ref="E501">VLOOKUP(B501,RW!A1:F210,3,FALSE)</f>
        <v>128</v>
      </c>
      <c r="F501" s="69" t="str" cm="1">
        <f t="array" ref="F501">VLOOKUP(B501,'Player Data'!A1:B673,2,FALSE)</f>
        <v>CBJ</v>
      </c>
      <c r="G501" s="71" cm="1">
        <f t="array" ref="G501">VLOOKUP(B501,'Player Data'!A1:D673,3,FALSE)</f>
        <v>23</v>
      </c>
      <c r="H501" s="67" cm="1">
        <f t="array" ref="H501">IFERROR(VLOOKUP(B501,ADP!A1:F671,6,FALSE)/1000000,VLOOKUP(B501,ADP!A1:F671,6,FALSE))</f>
        <v>1.8</v>
      </c>
      <c r="I501" s="52">
        <f>IF(Settings!$E$15="POINTS",((R501*Q501)*Settings!$B$12)+(S501*Settings!$B$2)+(T501*Settings!$B$3)+(U501*Settings!$B$4)+(V501*Settings!$B$5)+(X501*Settings!$B$9)+(AA501*Settings!$B$6)+(W501*Settings!$B$8)+(AB501*Settings!$B$7)+(AC501*Settings!$B$14)+(AD501*Settings!$B$15)+(AE501*Settings!$B$16)+(AF501*Settings!$B$17)+(AG501*Settings!$B$18)+(Y501*Settings!$B$10)+(Z501*Settings!$B$11),VLOOKUP(B501,'Standard Deviations'!A$1:C$672,3,FALSE))</f>
        <v>-0.74485413039234549</v>
      </c>
      <c r="J501" s="53" cm="1">
        <f t="array" ref="J501">IF(D501="G",I501/AJ501,I501/Q501)</f>
        <v>-9.6734302648356554E-3</v>
      </c>
      <c r="K501" s="52" cm="1">
        <f t="array" ref="K501">IF(Settings!$E$18="C/LW/RW",VLOOKUP(B501,RW!A1:F210,6,FALSE),VLOOKUP(B501,F!A1:F407,6,FALSE))</f>
        <v>-7.6320887322014226</v>
      </c>
      <c r="L501" s="54" cm="1">
        <f t="array" ref="L501">IFERROR(K501/H501,"N/A")</f>
        <v>-4.2400492956674567</v>
      </c>
      <c r="M501" s="84" t="s">
        <v>828</v>
      </c>
      <c r="N501" s="84" t="str" cm="1">
        <f t="array" ref="N501">IFERROR(M501-A501,"N/A")</f>
        <v>N/A</v>
      </c>
      <c r="O501" s="55"/>
      <c r="P501" s="56" cm="1">
        <f t="array" ref="P501">_xlfn.XLOOKUP($B501,ADP!A2:A671,ADP!G2:G671)</f>
        <v>0</v>
      </c>
      <c r="Q501" s="57" cm="1">
        <f t="array" ref="Q501">IF(Settings!$E$12="YES",VLOOKUP(B501,'Player Data'!A1:E673,5,FALSE),84)</f>
        <v>77</v>
      </c>
      <c r="R501" s="55" cm="1">
        <f t="array" ref="R501">VLOOKUP(B501,'Player Data'!$A1:$AE673,6,FALSE)</f>
        <v>13.6</v>
      </c>
      <c r="S501" s="57" cm="1">
        <f t="array" ref="S501">VLOOKUP(B501,'Player Data'!$A1:$AE673,7,FALSE)*$Q501*IFERROR((VLOOKUP(P501,Settings!$E$28:$F$33,2,FALSE)+1),1)</f>
        <v>16.169999999999998</v>
      </c>
      <c r="T501" s="57" cm="1">
        <f t="array" ref="T501">VLOOKUP(B501,'Player Data'!$A1:$AE673,8,FALSE)*$Q501*IFERROR((VLOOKUP(P501,Settings!$E$28:$F$33,2,FALSE)+1),1)</f>
        <v>24.64</v>
      </c>
      <c r="U501" s="57" cm="1">
        <f t="array" ref="U501">SUM(S501:T501)</f>
        <v>40.81</v>
      </c>
      <c r="V501" s="57" cm="1">
        <f t="array" ref="V501">VLOOKUP(B501,'Player Data'!$A1:$AE673,10,FALSE)*$Q501*IFERROR(((VLOOKUP(P501,Settings!$E$28:$F$33,2,FALSE)/2)+1),1)</f>
        <v>134.75</v>
      </c>
      <c r="W501" s="57" cm="1">
        <f t="array" ref="W501">VLOOKUP(B501,'Player Data'!$A1:$AE673,11,FALSE)*$Q501*IFERROR((VLOOKUP(P501,Settings!$E$28:$F$33,2,FALSE)+1),1)</f>
        <v>3.08</v>
      </c>
      <c r="X501" s="57" cm="1">
        <f t="array" ref="X501">VLOOKUP(B501,'Player Data'!$A1:$AE673,12,FALSE)*$Q501*IFERROR((VLOOKUP(P501,Settings!$E$28:$F$33,2,FALSE)+1),1)</f>
        <v>8.4700000000000006</v>
      </c>
      <c r="Y501" s="57" cm="1">
        <f t="array" ref="Y501">VLOOKUP(B501,'Player Data'!$A1:$AE673,13,FALSE)*$Q501</f>
        <v>0</v>
      </c>
      <c r="Z501" s="57" cm="1">
        <f t="array" ref="Z501">VLOOKUP(B501,'Player Data'!$A1:$AE673,14,FALSE)*$Q501</f>
        <v>0</v>
      </c>
      <c r="AA501" s="57" cm="1">
        <f t="array" ref="AA501">VLOOKUP(B501,'Player Data'!$A1:$AE673,15,FALSE)*$Q501</f>
        <v>39.270000000000003</v>
      </c>
      <c r="AB501" s="57" cm="1">
        <f t="array" ref="AB501">VLOOKUP(B501,'Player Data'!$A1:$AE673,16,FALSE)*$Q501</f>
        <v>22.33</v>
      </c>
      <c r="AC501" s="57" cm="1">
        <f t="array" ref="AC501">VLOOKUP(B501,'Player Data'!$A1:$AE673,17,FALSE)*$Q501*IFERROR((VLOOKUP(P501,Settings!$E$28:$F$33,2,FALSE)+1),1)</f>
        <v>0.77</v>
      </c>
      <c r="AD501" s="57" cm="1">
        <f t="array" ref="AD501">VLOOKUP(B501,'Player Data'!$A1:$AE673,18,FALSE)*$Q501</f>
        <v>20.02</v>
      </c>
      <c r="AE501" s="57" cm="1">
        <f t="array" ref="AE501">VLOOKUP(B501,'Player Data'!$A1:$AE673,19,FALSE)*$Q501*IFERROR((VLOOKUP(P501,Settings!$E$28:$F$33,2,FALSE)+1),1)</f>
        <v>2.31</v>
      </c>
      <c r="AF501" s="57" cm="1">
        <f t="array" ref="AF501">VLOOKUP(B501,'Player Data'!$A1:$AE673,20,FALSE)*$Q501</f>
        <v>0</v>
      </c>
      <c r="AG501" s="57" cm="1">
        <f t="array" ref="AG501">VLOOKUP(B501,'Player Data'!$A1:$AE673,21,FALSE)*$Q501</f>
        <v>4.62</v>
      </c>
      <c r="AH501" s="59" cm="1">
        <f t="array" ref="AH501">VLOOKUP(B501,'Player Data'!$A1:$AE673,22,FALSE)</f>
        <v>0.06</v>
      </c>
      <c r="AI501" s="55"/>
      <c r="AJ501" s="57"/>
      <c r="AK501" s="57"/>
      <c r="AL501" s="57"/>
      <c r="AM501" s="57"/>
      <c r="AN501" s="57"/>
      <c r="AO501" s="57"/>
      <c r="AP501" s="57"/>
      <c r="AQ501" s="60"/>
      <c r="AR501" s="61"/>
      <c r="AS501" s="55"/>
    </row>
    <row r="502" spans="1:45" ht="21.25" customHeight="1" x14ac:dyDescent="0.15">
      <c r="A502" s="62">
        <f>RANK(K502,K$2:K$671)</f>
        <v>499</v>
      </c>
      <c r="B502" s="10" t="s">
        <v>717</v>
      </c>
      <c r="C502" s="47" t="s">
        <v>145</v>
      </c>
      <c r="D502" s="48" t="str" cm="1">
        <f t="array" ref="D502">VLOOKUP(B502,'Player Data'!A1:D673,4,FALSE)</f>
        <v>RW</v>
      </c>
      <c r="E502" s="64" cm="1">
        <f t="array" ref="E502">VLOOKUP(B502,RW!A1:F210,3,FALSE)</f>
        <v>129</v>
      </c>
      <c r="F502" s="72" t="str" cm="1">
        <f t="array" ref="F502">VLOOKUP(B502,'Player Data'!A1:B673,2,FALSE)</f>
        <v>DET</v>
      </c>
      <c r="G502" s="11" cm="1">
        <f t="array" ref="G502">VLOOKUP(B502,'Player Data'!A1:D673,3,FALSE)</f>
        <v>29</v>
      </c>
      <c r="H502" s="51" cm="1">
        <f t="array" ref="H502">IFERROR(VLOOKUP(B502,ADP!A1:F671,6,FALSE)/1000000,VLOOKUP(B502,ADP!A1:F671,6,FALSE))</f>
        <v>2.5</v>
      </c>
      <c r="I502" s="52">
        <f>IF(Settings!$E$15="POINTS",((R502*Q502)*Settings!$B$12)+(S502*Settings!$B$2)+(T502*Settings!$B$3)+(U502*Settings!$B$4)+(V502*Settings!$B$5)+(X502*Settings!$B$9)+(AA502*Settings!$B$6)+(W502*Settings!$B$8)+(AB502*Settings!$B$7)+(AC502*Settings!$B$14)+(AD502*Settings!$B$15)+(AE502*Settings!$B$16)+(AF502*Settings!$B$17)+(AG502*Settings!$B$18)+(Y502*Settings!$B$10)+(Z502*Settings!$B$11),VLOOKUP(B502,'Standard Deviations'!A$1:C$672,3,FALSE))</f>
        <v>-0.75007217298942763</v>
      </c>
      <c r="J502" s="53" cm="1">
        <f t="array" ref="J502">IF(D502="G",I502/AJ502,I502/Q502)</f>
        <v>-8.9294306308265198E-3</v>
      </c>
      <c r="K502" s="52" cm="1">
        <f t="array" ref="K502">IF(Settings!$E$18="C/LW/RW",VLOOKUP(B502,RW!A1:F210,6,FALSE),VLOOKUP(B502,F!A1:F407,6,FALSE))</f>
        <v>-7.6373067747985051</v>
      </c>
      <c r="L502" s="54" cm="1">
        <f t="array" ref="L502">IFERROR(K502/H502,"N/A")</f>
        <v>-3.0549227099194018</v>
      </c>
      <c r="M502" s="84" t="s">
        <v>828</v>
      </c>
      <c r="N502" s="84" t="str" cm="1">
        <f t="array" ref="N502">IFERROR(M502-A502,"N/A")</f>
        <v>N/A</v>
      </c>
      <c r="O502" s="55"/>
      <c r="P502" s="56" cm="1">
        <f t="array" ref="P502">_xlfn.XLOOKUP($B502,ADP!A2:A671,ADP!G2:G671)</f>
        <v>0</v>
      </c>
      <c r="Q502" s="57" cm="1">
        <f t="array" ref="Q502">IF(Settings!$E$12="YES",VLOOKUP(B502,'Player Data'!A1:E673,5,FALSE),84)</f>
        <v>84</v>
      </c>
      <c r="R502" s="55" cm="1">
        <f t="array" ref="R502">VLOOKUP(B502,'Player Data'!$A1:$AE673,6,FALSE)</f>
        <v>11.6</v>
      </c>
      <c r="S502" s="57" cm="1">
        <f t="array" ref="S502">VLOOKUP(B502,'Player Data'!$A1:$AE673,7,FALSE)*$Q502*IFERROR((VLOOKUP(P502,Settings!$E$28:$F$33,2,FALSE)+1),1)</f>
        <v>7.56</v>
      </c>
      <c r="T502" s="57" cm="1">
        <f t="array" ref="T502">VLOOKUP(B502,'Player Data'!$A1:$AE673,8,FALSE)*$Q502*IFERROR((VLOOKUP(P502,Settings!$E$28:$F$33,2,FALSE)+1),1)</f>
        <v>12.6</v>
      </c>
      <c r="U502" s="57" cm="1">
        <f t="array" ref="U502">SUM(S502:T502)</f>
        <v>20.16</v>
      </c>
      <c r="V502" s="57" cm="1">
        <f t="array" ref="V502">VLOOKUP(B502,'Player Data'!$A1:$AE673,10,FALSE)*$Q502*IFERROR(((VLOOKUP(P502,Settings!$E$28:$F$33,2,FALSE)/2)+1),1)</f>
        <v>74.760000000000005</v>
      </c>
      <c r="W502" s="57" cm="1">
        <f t="array" ref="W502">VLOOKUP(B502,'Player Data'!$A1:$AE673,11,FALSE)*$Q502*IFERROR((VLOOKUP(P502,Settings!$E$28:$F$33,2,FALSE)+1),1)</f>
        <v>0</v>
      </c>
      <c r="X502" s="57" cm="1">
        <f t="array" ref="X502">VLOOKUP(B502,'Player Data'!$A1:$AE673,12,FALSE)*$Q502*IFERROR((VLOOKUP(P502,Settings!$E$28:$F$33,2,FALSE)+1),1)</f>
        <v>0</v>
      </c>
      <c r="Y502" s="57" cm="1">
        <f t="array" ref="Y502">VLOOKUP(B502,'Player Data'!$A1:$AE673,13,FALSE)*$Q502</f>
        <v>0</v>
      </c>
      <c r="Z502" s="57" cm="1">
        <f t="array" ref="Z502">VLOOKUP(B502,'Player Data'!$A1:$AE673,14,FALSE)*$Q502</f>
        <v>0.84</v>
      </c>
      <c r="AA502" s="57" cm="1">
        <f t="array" ref="AA502">VLOOKUP(B502,'Player Data'!$A1:$AE673,15,FALSE)*$Q502</f>
        <v>43.68</v>
      </c>
      <c r="AB502" s="57" cm="1">
        <f t="array" ref="AB502">VLOOKUP(B502,'Player Data'!$A1:$AE673,16,FALSE)*$Q502</f>
        <v>241.08</v>
      </c>
      <c r="AC502" s="57" cm="1">
        <f t="array" ref="AC502">VLOOKUP(B502,'Player Data'!$A1:$AE673,17,FALSE)*$Q502*IFERROR((VLOOKUP(P502,Settings!$E$28:$F$33,2,FALSE)+1),1)</f>
        <v>-3.36</v>
      </c>
      <c r="AD502" s="57" cm="1">
        <f t="array" ref="AD502">VLOOKUP(B502,'Player Data'!$A1:$AE673,18,FALSE)*$Q502</f>
        <v>42</v>
      </c>
      <c r="AE502" s="57" cm="1">
        <f t="array" ref="AE502">VLOOKUP(B502,'Player Data'!$A1:$AE673,19,FALSE)*$Q502*IFERROR((VLOOKUP(P502,Settings!$E$28:$F$33,2,FALSE)+1),1)</f>
        <v>0.84</v>
      </c>
      <c r="AF502" s="57" cm="1">
        <f t="array" ref="AF502">VLOOKUP(B502,'Player Data'!$A1:$AE673,20,FALSE)*$Q502</f>
        <v>10.08</v>
      </c>
      <c r="AG502" s="57" cm="1">
        <f t="array" ref="AG502">VLOOKUP(B502,'Player Data'!$A1:$AE673,21,FALSE)*$Q502</f>
        <v>17.64</v>
      </c>
      <c r="AH502" s="59" cm="1">
        <f t="array" ref="AH502">VLOOKUP(B502,'Player Data'!$A1:$AE673,22,FALSE)</f>
        <v>0.36</v>
      </c>
      <c r="AI502" s="55"/>
      <c r="AJ502" s="57"/>
      <c r="AK502" s="57"/>
      <c r="AL502" s="57"/>
      <c r="AM502" s="57"/>
      <c r="AN502" s="57"/>
      <c r="AO502" s="57"/>
      <c r="AP502" s="57"/>
      <c r="AQ502" s="60"/>
      <c r="AR502" s="61"/>
      <c r="AS502" s="55"/>
    </row>
    <row r="503" spans="1:45" ht="21.25" customHeight="1" x14ac:dyDescent="0.15">
      <c r="A503" s="62">
        <f>RANK(K503,K$2:K$671)</f>
        <v>504</v>
      </c>
      <c r="B503" s="10" t="s">
        <v>641</v>
      </c>
      <c r="C503" s="47" t="s">
        <v>145</v>
      </c>
      <c r="D503" s="48" t="str" cm="1">
        <f t="array" ref="D503">VLOOKUP(B503,'Player Data'!A1:D673,4,FALSE)</f>
        <v>C,LW</v>
      </c>
      <c r="E503" s="74" cm="1">
        <f t="array" ref="E503">VLOOKUP(B503,LW!A1:C210,3,FALSE)</f>
        <v>132</v>
      </c>
      <c r="F503" s="50" t="str" cm="1">
        <f t="array" ref="F503">VLOOKUP(B503,'Player Data'!A1:B673,2,FALSE)</f>
        <v>COL</v>
      </c>
      <c r="G503" s="66" cm="1">
        <f t="array" ref="G503">VLOOKUP(B503,'Player Data'!A1:D673,3,FALSE)</f>
        <v>34</v>
      </c>
      <c r="H503" s="51" cm="1">
        <f t="array" ref="H503">IFERROR(VLOOKUP(B503,ADP!A1:F671,6,FALSE)/1000000,VLOOKUP(B503,ADP!A1:F671,6,FALSE))</f>
        <v>3.25</v>
      </c>
      <c r="I503" s="52">
        <f>IF(Settings!$E$15="POINTS",((R503*Q503)*Settings!$B$12)+(S503*Settings!$B$2)+(T503*Settings!$B$3)+(U503*Settings!$B$4)+(V503*Settings!$B$5)+(X503*Settings!$B$9)+(AA503*Settings!$B$6)+(W503*Settings!$B$8)+(AB503*Settings!$B$7)+(AC503*Settings!$B$14)+(AD503*Settings!$B$15)+(AE503*Settings!$B$16)+(AF503*Settings!$B$17)+(AG503*Settings!$B$18)+(Y503*Settings!$B$10)+(Z503*Settings!$B$11),VLOOKUP(B503,'Standard Deviations'!A$1:C$672,3,FALSE))</f>
        <v>-0.8061975162650401</v>
      </c>
      <c r="J503" s="53" cm="1">
        <f t="array" ref="J503">IF(D503="G",I503/AJ503,I503/Q503)</f>
        <v>-1.0607862056118949E-2</v>
      </c>
      <c r="K503" s="52" cm="1">
        <f t="array" ref="K503">IF(Settings!$E$18="C/LW/RW",VLOOKUP(B503,LW!A1:F210,6,FALSE),VLOOKUP(B503,F!A1:F407,6,FALSE))</f>
        <v>-7.7005831606548494</v>
      </c>
      <c r="L503" s="54" cm="1">
        <f t="array" ref="L503">IFERROR(K503/H503,"N/A")</f>
        <v>-2.3694102032784152</v>
      </c>
      <c r="M503" s="84" t="s">
        <v>828</v>
      </c>
      <c r="N503" s="84" t="str" cm="1">
        <f t="array" ref="N503">IFERROR(M503-A503,"N/A")</f>
        <v>N/A</v>
      </c>
      <c r="O503" s="55"/>
      <c r="P503" s="56" cm="1">
        <f t="array" ref="P503">_xlfn.XLOOKUP($B503,ADP!A2:A671,ADP!G2:G671)</f>
        <v>0</v>
      </c>
      <c r="Q503" s="57" cm="1">
        <f t="array" ref="Q503">IF(Settings!$E$12="YES",VLOOKUP(B503,'Player Data'!A1:E673,5,FALSE),84)</f>
        <v>76</v>
      </c>
      <c r="R503" s="83" cm="1">
        <f t="array" ref="R503">VLOOKUP(B503,'Player Data'!$A1:$AE673,6,FALSE)</f>
        <v>13.3</v>
      </c>
      <c r="S503" s="57" cm="1">
        <f t="array" ref="S503">VLOOKUP(B503,'Player Data'!$A1:$AE673,7,FALSE)*$Q503*IFERROR((VLOOKUP(P503,Settings!$E$28:$F$33,2,FALSE)+1),1)</f>
        <v>14.44</v>
      </c>
      <c r="T503" s="57" cm="1">
        <f t="array" ref="T503">VLOOKUP(B503,'Player Data'!$A1:$AE673,8,FALSE)*$Q503*IFERROR((VLOOKUP(P503,Settings!$E$28:$F$33,2,FALSE)+1),1)</f>
        <v>16.72</v>
      </c>
      <c r="U503" s="57" cm="1">
        <f t="array" ref="U503">SUM(S503:T503)</f>
        <v>31.159999999999997</v>
      </c>
      <c r="V503" s="57" cm="1">
        <f t="array" ref="V503">VLOOKUP(B503,'Player Data'!$A1:$AE673,10,FALSE)*$Q503*IFERROR(((VLOOKUP(P503,Settings!$E$28:$F$33,2,FALSE)/2)+1),1)</f>
        <v>114</v>
      </c>
      <c r="W503" s="57" cm="1">
        <f t="array" ref="W503">VLOOKUP(B503,'Player Data'!$A1:$AE673,11,FALSE)*$Q503*IFERROR((VLOOKUP(P503,Settings!$E$28:$F$33,2,FALSE)+1),1)</f>
        <v>2.2799999999999998</v>
      </c>
      <c r="X503" s="57" cm="1">
        <f t="array" ref="X503">VLOOKUP(B503,'Player Data'!$A1:$AE673,12,FALSE)*$Q503*IFERROR((VLOOKUP(P503,Settings!$E$28:$F$33,2,FALSE)+1),1)</f>
        <v>3.8000000000000003</v>
      </c>
      <c r="Y503" s="57" cm="1">
        <f t="array" ref="Y503">VLOOKUP(B503,'Player Data'!$A1:$AE673,13,FALSE)*$Q503</f>
        <v>0</v>
      </c>
      <c r="Z503" s="57" cm="1">
        <f t="array" ref="Z503">VLOOKUP(B503,'Player Data'!$A1:$AE673,14,FALSE)*$Q503</f>
        <v>0</v>
      </c>
      <c r="AA503" s="57" cm="1">
        <f t="array" ref="AA503">VLOOKUP(B503,'Player Data'!$A1:$AE673,15,FALSE)*$Q503</f>
        <v>43.319999999999993</v>
      </c>
      <c r="AB503" s="57" cm="1">
        <f t="array" ref="AB503">VLOOKUP(B503,'Player Data'!$A1:$AE673,16,FALSE)*$Q503</f>
        <v>47.12</v>
      </c>
      <c r="AC503" s="57" cm="1">
        <f t="array" ref="AC503">VLOOKUP(B503,'Player Data'!$A1:$AE673,17,FALSE)*$Q503*IFERROR((VLOOKUP(P503,Settings!$E$28:$F$33,2,FALSE)+1),1)</f>
        <v>5.32</v>
      </c>
      <c r="AD503" s="57" cm="1">
        <f t="array" ref="AD503">VLOOKUP(B503,'Player Data'!$A1:$AE673,18,FALSE)*$Q503</f>
        <v>18.239999999999998</v>
      </c>
      <c r="AE503" s="57" cm="1">
        <f t="array" ref="AE503">VLOOKUP(B503,'Player Data'!$A1:$AE673,19,FALSE)*$Q503*IFERROR((VLOOKUP(P503,Settings!$E$28:$F$33,2,FALSE)+1),1)</f>
        <v>2.2799999999999998</v>
      </c>
      <c r="AF503" s="57" cm="1">
        <f t="array" ref="AF503">VLOOKUP(B503,'Player Data'!$A1:$AE673,20,FALSE)*$Q503</f>
        <v>42.56</v>
      </c>
      <c r="AG503" s="57" cm="1">
        <f t="array" ref="AG503">VLOOKUP(B503,'Player Data'!$A1:$AE673,21,FALSE)*$Q503</f>
        <v>34.96</v>
      </c>
      <c r="AH503" s="59" cm="1">
        <f t="array" ref="AH503">VLOOKUP(B503,'Player Data'!$A1:$AE673,22,FALSE)</f>
        <v>0.55000000000000004</v>
      </c>
      <c r="AI503" s="55"/>
      <c r="AJ503" s="57"/>
      <c r="AK503" s="57"/>
      <c r="AL503" s="57"/>
      <c r="AM503" s="57"/>
      <c r="AN503" s="57"/>
      <c r="AO503" s="57"/>
      <c r="AP503" s="57"/>
      <c r="AQ503" s="60"/>
      <c r="AR503" s="61"/>
      <c r="AS503" s="55"/>
    </row>
    <row r="504" spans="1:45" ht="21.25" customHeight="1" x14ac:dyDescent="0.15">
      <c r="A504" s="62">
        <f>RANK(K504,K$2:K$671)</f>
        <v>502</v>
      </c>
      <c r="B504" s="10" t="s">
        <v>545</v>
      </c>
      <c r="C504" s="47" t="s">
        <v>145</v>
      </c>
      <c r="D504" s="48" t="str" cm="1">
        <f t="array" ref="D504">VLOOKUP(B504,'Player Data'!A1:D673,4,FALSE)</f>
        <v>C</v>
      </c>
      <c r="E504" s="49" cm="1">
        <f t="array" ref="E504">VLOOKUP(B504,'C'!A1:C210,3,FALSE)</f>
        <v>134</v>
      </c>
      <c r="F504" s="73" t="str" cm="1">
        <f t="array" ref="F504">VLOOKUP(B504,'Player Data'!A1:B673,2,FALSE)</f>
        <v>BUF</v>
      </c>
      <c r="G504" s="71" cm="1">
        <f t="array" ref="G504">VLOOKUP(B504,'Player Data'!A1:D673,3,FALSE)</f>
        <v>22</v>
      </c>
      <c r="H504" s="51" cm="1">
        <f t="array" ref="H504">IFERROR(VLOOKUP(B504,ADP!A1:F671,6,FALSE)/1000000,VLOOKUP(B504,ADP!A1:F671,6,FALSE))</f>
        <v>0.88666699999999998</v>
      </c>
      <c r="I504" s="52">
        <f>IF(Settings!$E$15="POINTS",((R504*Q504)*Settings!$B$12)+(S504*Settings!$B$2)+(T504*Settings!$B$3)+(U504*Settings!$B$4)+(V504*Settings!$B$5)+(X504*Settings!$B$9)+(AA504*Settings!$B$6)+(W504*Settings!$B$8)+(AB504*Settings!$B$7)+(AC504*Settings!$B$14)+(AD504*Settings!$B$15)+(AE504*Settings!$B$16)+(AF504*Settings!$B$17)+(AG504*Settings!$B$18)+(Y504*Settings!$B$10)+(Z504*Settings!$B$11),VLOOKUP(B504,'Standard Deviations'!A$1:C$672,3,FALSE))</f>
        <v>-1.3274487032188691</v>
      </c>
      <c r="J504" s="53" cm="1">
        <f t="array" ref="J504">IF(D504="G",I504/AJ504,I504/Q504)</f>
        <v>-1.9812667212221927E-2</v>
      </c>
      <c r="K504" s="52" cm="1">
        <f t="array" ref="K504">IF(Settings!$E$18="C/LW/RW",VLOOKUP(B504,'C'!A1:F210,6,FALSE),VLOOKUP(B504,F!A1:F407,6,FALSE))</f>
        <v>-7.6874582608339335</v>
      </c>
      <c r="L504" s="54" cm="1">
        <f t="array" ref="L504">IFERROR(K504/H504,"N/A")</f>
        <v>-8.6700624482854707</v>
      </c>
      <c r="M504" s="84" t="s">
        <v>828</v>
      </c>
      <c r="N504" s="84" t="str" cm="1">
        <f t="array" ref="N504">IFERROR(M504-A504,"N/A")</f>
        <v>N/A</v>
      </c>
      <c r="O504" s="55"/>
      <c r="P504" s="56" cm="1">
        <f t="array" ref="P504">_xlfn.XLOOKUP($B504,ADP!A2:A671,ADP!G2:G671)</f>
        <v>0</v>
      </c>
      <c r="Q504" s="57" cm="1">
        <f t="array" ref="Q504">IF(Settings!$E$12="YES",VLOOKUP(B504,'Player Data'!A1:E673,5,FALSE),84)</f>
        <v>67</v>
      </c>
      <c r="R504" s="55" cm="1">
        <f t="array" ref="R504">VLOOKUP(B504,'Player Data'!$A1:$AE673,6,FALSE)</f>
        <v>16.2</v>
      </c>
      <c r="S504" s="57" cm="1">
        <f t="array" ref="S504">VLOOKUP(B504,'Player Data'!$A1:$AE673,7,FALSE)*$Q504*IFERROR((VLOOKUP(P504,Settings!$E$28:$F$33,2,FALSE)+1),1)</f>
        <v>17.420000000000002</v>
      </c>
      <c r="T504" s="57" cm="1">
        <f t="array" ref="T504">VLOOKUP(B504,'Player Data'!$A1:$AE673,8,FALSE)*$Q504*IFERROR((VLOOKUP(P504,Settings!$E$28:$F$33,2,FALSE)+1),1)</f>
        <v>15.41</v>
      </c>
      <c r="U504" s="57" cm="1">
        <f t="array" ref="U504">SUM(S504:T504)</f>
        <v>32.83</v>
      </c>
      <c r="V504" s="57" cm="1">
        <f t="array" ref="V504">VLOOKUP(B504,'Player Data'!$A1:$AE673,10,FALSE)*$Q504*IFERROR(((VLOOKUP(P504,Settings!$E$28:$F$33,2,FALSE)/2)+1),1)</f>
        <v>129.97999999999999</v>
      </c>
      <c r="W504" s="57" cm="1">
        <f t="array" ref="W504">VLOOKUP(B504,'Player Data'!$A1:$AE673,11,FALSE)*$Q504*IFERROR((VLOOKUP(P504,Settings!$E$28:$F$33,2,FALSE)+1),1)</f>
        <v>1.34</v>
      </c>
      <c r="X504" s="57" cm="1">
        <f t="array" ref="X504">VLOOKUP(B504,'Player Data'!$A1:$AE673,12,FALSE)*$Q504*IFERROR((VLOOKUP(P504,Settings!$E$28:$F$33,2,FALSE)+1),1)</f>
        <v>2.68</v>
      </c>
      <c r="Y504" s="57" cm="1">
        <f t="array" ref="Y504">VLOOKUP(B504,'Player Data'!$A1:$AE673,13,FALSE)*$Q504</f>
        <v>0</v>
      </c>
      <c r="Z504" s="57" cm="1">
        <f t="array" ref="Z504">VLOOKUP(B504,'Player Data'!$A1:$AE673,14,FALSE)*$Q504</f>
        <v>0</v>
      </c>
      <c r="AA504" s="57" cm="1">
        <f t="array" ref="AA504">VLOOKUP(B504,'Player Data'!$A1:$AE673,15,FALSE)*$Q504</f>
        <v>43.550000000000004</v>
      </c>
      <c r="AB504" s="57" cm="1">
        <f t="array" ref="AB504">VLOOKUP(B504,'Player Data'!$A1:$AE673,16,FALSE)*$Q504</f>
        <v>52.93</v>
      </c>
      <c r="AC504" s="57" cm="1">
        <f t="array" ref="AC504">VLOOKUP(B504,'Player Data'!$A1:$AE673,17,FALSE)*$Q504*IFERROR((VLOOKUP(P504,Settings!$E$28:$F$33,2,FALSE)+1),1)</f>
        <v>0.67</v>
      </c>
      <c r="AD504" s="57" cm="1">
        <f t="array" ref="AD504">VLOOKUP(B504,'Player Data'!$A1:$AE673,18,FALSE)*$Q504</f>
        <v>24.119999999999997</v>
      </c>
      <c r="AE504" s="57" cm="1">
        <f t="array" ref="AE504">VLOOKUP(B504,'Player Data'!$A1:$AE673,19,FALSE)*$Q504*IFERROR((VLOOKUP(P504,Settings!$E$28:$F$33,2,FALSE)+1),1)</f>
        <v>2.68</v>
      </c>
      <c r="AF504" s="57" cm="1">
        <f t="array" ref="AF504">VLOOKUP(B504,'Player Data'!$A1:$AE673,20,FALSE)*$Q504</f>
        <v>343.71</v>
      </c>
      <c r="AG504" s="57" cm="1">
        <f t="array" ref="AG504">VLOOKUP(B504,'Player Data'!$A1:$AE673,21,FALSE)*$Q504</f>
        <v>431.48</v>
      </c>
      <c r="AH504" s="59" cm="1">
        <f t="array" ref="AH504">VLOOKUP(B504,'Player Data'!$A1:$AE673,22,FALSE)</f>
        <v>0.44</v>
      </c>
      <c r="AI504" s="55"/>
      <c r="AJ504" s="57"/>
      <c r="AK504" s="57"/>
      <c r="AL504" s="57"/>
      <c r="AM504" s="57"/>
      <c r="AN504" s="57"/>
      <c r="AO504" s="57"/>
      <c r="AP504" s="57"/>
      <c r="AQ504" s="60"/>
      <c r="AR504" s="61"/>
      <c r="AS504" s="55"/>
    </row>
    <row r="505" spans="1:45" ht="21.25" customHeight="1" x14ac:dyDescent="0.15">
      <c r="A505" s="62">
        <f>RANK(K505,K$2:K$671)</f>
        <v>503</v>
      </c>
      <c r="B505" s="10" t="s">
        <v>419</v>
      </c>
      <c r="C505" s="47" t="s">
        <v>145</v>
      </c>
      <c r="D505" s="48" t="str" cm="1">
        <f t="array" ref="D505">VLOOKUP(B505,'Player Data'!A1:D673,4,FALSE)</f>
        <v>C</v>
      </c>
      <c r="E505" s="49" cm="1">
        <f t="array" ref="E505">VLOOKUP(B505,'C'!A1:C210,3,FALSE)</f>
        <v>135</v>
      </c>
      <c r="F505" s="56" t="str" cm="1">
        <f t="array" ref="F505">VLOOKUP(B505,'Player Data'!A1:B673,2,FALSE)</f>
        <v>S.J</v>
      </c>
      <c r="G505" s="66" cm="1">
        <f t="array" ref="G505">VLOOKUP(B505,'Player Data'!A1:D673,3,FALSE)</f>
        <v>32</v>
      </c>
      <c r="H505" s="51" cm="1">
        <f t="array" ref="H505">IFERROR(VLOOKUP(B505,ADP!A1:F671,6,FALSE)/1000000,VLOOKUP(B505,ADP!A1:F671,6,FALSE))</f>
        <v>6</v>
      </c>
      <c r="I505" s="52">
        <f>IF(Settings!$E$15="POINTS",((R505*Q505)*Settings!$B$12)+(S505*Settings!$B$2)+(T505*Settings!$B$3)+(U505*Settings!$B$4)+(V505*Settings!$B$5)+(X505*Settings!$B$9)+(AA505*Settings!$B$6)+(W505*Settings!$B$8)+(AB505*Settings!$B$7)+(AC505*Settings!$B$14)+(AD505*Settings!$B$15)+(AE505*Settings!$B$16)+(AF505*Settings!$B$17)+(AG505*Settings!$B$18)+(Y505*Settings!$B$10)+(Z505*Settings!$B$11),VLOOKUP(B505,'Standard Deviations'!A$1:C$672,3,FALSE))</f>
        <v>-1.3285785019127041</v>
      </c>
      <c r="J505" s="53" cm="1">
        <f t="array" ref="J505">IF(D505="G",I505/AJ505,I505/Q505)</f>
        <v>-1.6006969902562701E-2</v>
      </c>
      <c r="K505" s="52" cm="1">
        <f t="array" ref="K505">IF(Settings!$E$18="C/LW/RW",VLOOKUP(B505,'C'!A1:F210,6,FALSE),VLOOKUP(B505,F!A1:F407,6,FALSE))</f>
        <v>-7.6885880595277687</v>
      </c>
      <c r="L505" s="54" cm="1">
        <f t="array" ref="L505">IFERROR(K505/H505,"N/A")</f>
        <v>-1.281431343254628</v>
      </c>
      <c r="M505" s="84" t="s">
        <v>828</v>
      </c>
      <c r="N505" s="84" t="str" cm="1">
        <f t="array" ref="N505">IFERROR(M505-A505,"N/A")</f>
        <v>N/A</v>
      </c>
      <c r="O505" s="55"/>
      <c r="P505" s="56" cm="1">
        <f t="array" ref="P505">_xlfn.XLOOKUP($B505,ADP!A2:A671,ADP!G2:G671)</f>
        <v>0</v>
      </c>
      <c r="Q505" s="57" cm="1">
        <f t="array" ref="Q505">IF(Settings!$E$12="YES",VLOOKUP(B505,'Player Data'!A1:E673,5,FALSE),84)</f>
        <v>83</v>
      </c>
      <c r="R505" s="83" cm="1">
        <f t="array" ref="R505">VLOOKUP(B505,'Player Data'!$A1:$AE673,6,FALSE)</f>
        <v>19.5</v>
      </c>
      <c r="S505" s="57" cm="1">
        <f t="array" ref="S505">VLOOKUP(B505,'Player Data'!$A1:$AE673,7,FALSE)*$Q505*IFERROR((VLOOKUP(P505,Settings!$E$28:$F$33,2,FALSE)+1),1)</f>
        <v>14.94</v>
      </c>
      <c r="T505" s="57" cm="1">
        <f t="array" ref="T505">VLOOKUP(B505,'Player Data'!$A1:$AE673,8,FALSE)*$Q505*IFERROR((VLOOKUP(P505,Settings!$E$28:$F$33,2,FALSE)+1),1)</f>
        <v>30.71</v>
      </c>
      <c r="U505" s="57" cm="1">
        <f t="array" ref="U505">SUM(S505:T505)</f>
        <v>45.65</v>
      </c>
      <c r="V505" s="57" cm="1">
        <f t="array" ref="V505">VLOOKUP(B505,'Player Data'!$A1:$AE673,10,FALSE)*$Q505*IFERROR(((VLOOKUP(P505,Settings!$E$28:$F$33,2,FALSE)/2)+1),1)</f>
        <v>99.6</v>
      </c>
      <c r="W505" s="57" cm="1">
        <f t="array" ref="W505">VLOOKUP(B505,'Player Data'!$A1:$AE673,11,FALSE)*$Q505*IFERROR((VLOOKUP(P505,Settings!$E$28:$F$33,2,FALSE)+1),1)</f>
        <v>5.8100000000000005</v>
      </c>
      <c r="X505" s="78" cm="1">
        <f t="array" ref="X505">VLOOKUP(B505,'Player Data'!$A1:$AE673,12,FALSE)*$Q505*IFERROR((VLOOKUP(P505,Settings!$E$28:$F$33,2,FALSE)+1),1)</f>
        <v>11.620000000000001</v>
      </c>
      <c r="Y505" s="57" cm="1">
        <f t="array" ref="Y505">VLOOKUP(B505,'Player Data'!$A1:$AE673,13,FALSE)*$Q505</f>
        <v>0</v>
      </c>
      <c r="Z505" s="57" cm="1">
        <f t="array" ref="Z505">VLOOKUP(B505,'Player Data'!$A1:$AE673,14,FALSE)*$Q505</f>
        <v>0.83000000000000007</v>
      </c>
      <c r="AA505" s="57" cm="1">
        <f t="array" ref="AA505">VLOOKUP(B505,'Player Data'!$A1:$AE673,15,FALSE)*$Q505</f>
        <v>87.98</v>
      </c>
      <c r="AB505" s="57" cm="1">
        <f t="array" ref="AB505">VLOOKUP(B505,'Player Data'!$A1:$AE673,16,FALSE)*$Q505</f>
        <v>36.520000000000003</v>
      </c>
      <c r="AC505" s="57" cm="1">
        <f t="array" ref="AC505">VLOOKUP(B505,'Player Data'!$A1:$AE673,17,FALSE)*$Q505*IFERROR((VLOOKUP(P505,Settings!$E$28:$F$33,2,FALSE)+1),1)</f>
        <v>-3.3200000000000003</v>
      </c>
      <c r="AD505" s="57" cm="1">
        <f t="array" ref="AD505">VLOOKUP(B505,'Player Data'!$A1:$AE673,18,FALSE)*$Q505</f>
        <v>20.75</v>
      </c>
      <c r="AE505" s="57" cm="1">
        <f t="array" ref="AE505">VLOOKUP(B505,'Player Data'!$A1:$AE673,19,FALSE)*$Q505*IFERROR((VLOOKUP(P505,Settings!$E$28:$F$33,2,FALSE)+1),1)</f>
        <v>2.4899999999999998</v>
      </c>
      <c r="AF505" s="57" cm="1">
        <f t="array" ref="AF505">VLOOKUP(B505,'Player Data'!$A1:$AE673,20,FALSE)*$Q505</f>
        <v>634.95000000000005</v>
      </c>
      <c r="AG505" s="57" cm="1">
        <f t="array" ref="AG505">VLOOKUP(B505,'Player Data'!$A1:$AE673,21,FALSE)*$Q505</f>
        <v>717.12</v>
      </c>
      <c r="AH505" s="59" cm="1">
        <f t="array" ref="AH505">VLOOKUP(B505,'Player Data'!$A1:$AE673,22,FALSE)</f>
        <v>0.47</v>
      </c>
      <c r="AI505" s="55"/>
      <c r="AJ505" s="57"/>
      <c r="AK505" s="57"/>
      <c r="AL505" s="57"/>
      <c r="AM505" s="57"/>
      <c r="AN505" s="57"/>
      <c r="AO505" s="57"/>
      <c r="AP505" s="57"/>
      <c r="AQ505" s="60"/>
      <c r="AR505" s="61"/>
      <c r="AS505" s="55"/>
    </row>
    <row r="506" spans="1:45" ht="21.25" customHeight="1" x14ac:dyDescent="0.15">
      <c r="A506" s="62">
        <f>RANK(K506,K$2:K$671)</f>
        <v>508</v>
      </c>
      <c r="B506" s="10" t="s">
        <v>683</v>
      </c>
      <c r="C506" s="47" t="s">
        <v>145</v>
      </c>
      <c r="D506" s="48" t="str" cm="1">
        <f t="array" ref="D506">VLOOKUP(B506,'Player Data'!A1:D673,4,FALSE)</f>
        <v>C,LW</v>
      </c>
      <c r="E506" s="74" cm="1">
        <f t="array" ref="E506">VLOOKUP(B506,LW!A1:C210,3,FALSE)</f>
        <v>133</v>
      </c>
      <c r="F506" s="63" t="str" cm="1">
        <f t="array" ref="F506">VLOOKUP(B506,'Player Data'!A1:B673,2,FALSE)</f>
        <v>DAL</v>
      </c>
      <c r="G506" s="11" cm="1">
        <f t="array" ref="G506">VLOOKUP(B506,'Player Data'!A1:D673,3,FALSE)</f>
        <v>28</v>
      </c>
      <c r="H506" s="67" cm="1">
        <f t="array" ref="H506">IFERROR(VLOOKUP(B506,ADP!A1:F671,6,FALSE)/1000000,VLOOKUP(B506,ADP!A1:F671,6,FALSE))</f>
        <v>2.1</v>
      </c>
      <c r="I506" s="52">
        <f>IF(Settings!$E$15="POINTS",((R506*Q506)*Settings!$B$12)+(S506*Settings!$B$2)+(T506*Settings!$B$3)+(U506*Settings!$B$4)+(V506*Settings!$B$5)+(X506*Settings!$B$9)+(AA506*Settings!$B$6)+(W506*Settings!$B$8)+(AB506*Settings!$B$7)+(AC506*Settings!$B$14)+(AD506*Settings!$B$15)+(AE506*Settings!$B$16)+(AF506*Settings!$B$17)+(AG506*Settings!$B$18)+(Y506*Settings!$B$10)+(Z506*Settings!$B$11),VLOOKUP(B506,'Standard Deviations'!A$1:C$672,3,FALSE))</f>
        <v>-0.83151698307592525</v>
      </c>
      <c r="J506" s="53" cm="1">
        <f t="array" ref="J506">IF(D506="G",I506/AJ506,I506/Q506)</f>
        <v>-1.0140451013121039E-2</v>
      </c>
      <c r="K506" s="52" cm="1">
        <f t="array" ref="K506">IF(Settings!$E$18="C/LW/RW",VLOOKUP(B506,LW!A1:F210,6,FALSE),VLOOKUP(B506,F!A1:F407,6,FALSE))</f>
        <v>-7.725902627465735</v>
      </c>
      <c r="L506" s="54" cm="1">
        <f t="array" ref="L506">IFERROR(K506/H506,"N/A")</f>
        <v>-3.6790012511741592</v>
      </c>
      <c r="M506" s="84" t="s">
        <v>828</v>
      </c>
      <c r="N506" s="84" t="str" cm="1">
        <f t="array" ref="N506">IFERROR(M506-A506,"N/A")</f>
        <v>N/A</v>
      </c>
      <c r="O506" s="55"/>
      <c r="P506" s="56" cm="1">
        <f t="array" ref="P506">_xlfn.XLOOKUP($B506,ADP!A2:A671,ADP!G2:G671)</f>
        <v>0</v>
      </c>
      <c r="Q506" s="57" cm="1">
        <f t="array" ref="Q506">IF(Settings!$E$12="YES",VLOOKUP(B506,'Player Data'!A1:E673,5,FALSE),84)</f>
        <v>82</v>
      </c>
      <c r="R506" s="83" cm="1">
        <f t="array" ref="R506">VLOOKUP(B506,'Player Data'!$A1:$AE673,6,FALSE)</f>
        <v>14</v>
      </c>
      <c r="S506" s="57" cm="1">
        <f t="array" ref="S506">VLOOKUP(B506,'Player Data'!$A1:$AE673,7,FALSE)*$Q506*IFERROR((VLOOKUP(P506,Settings!$E$28:$F$33,2,FALSE)+1),1)</f>
        <v>11.48</v>
      </c>
      <c r="T506" s="57" cm="1">
        <f t="array" ref="T506">VLOOKUP(B506,'Player Data'!$A1:$AE673,8,FALSE)*$Q506*IFERROR((VLOOKUP(P506,Settings!$E$28:$F$33,2,FALSE)+1),1)</f>
        <v>21.32</v>
      </c>
      <c r="U506" s="57" cm="1">
        <f t="array" ref="U506">SUM(S506:T506)</f>
        <v>32.799999999999997</v>
      </c>
      <c r="V506" s="57" cm="1">
        <f t="array" ref="V506">VLOOKUP(B506,'Player Data'!$A1:$AE673,10,FALSE)*$Q506*IFERROR(((VLOOKUP(P506,Settings!$E$28:$F$33,2,FALSE)/2)+1),1)</f>
        <v>98.399999999999991</v>
      </c>
      <c r="W506" s="57" cm="1">
        <f t="array" ref="W506">VLOOKUP(B506,'Player Data'!$A1:$AE673,11,FALSE)*$Q506*IFERROR((VLOOKUP(P506,Settings!$E$28:$F$33,2,FALSE)+1),1)</f>
        <v>0.82000000000000006</v>
      </c>
      <c r="X506" s="57" cm="1">
        <f t="array" ref="X506">VLOOKUP(B506,'Player Data'!$A1:$AE673,12,FALSE)*$Q506*IFERROR((VLOOKUP(P506,Settings!$E$28:$F$33,2,FALSE)+1),1)</f>
        <v>1.6400000000000001</v>
      </c>
      <c r="Y506" s="57" cm="1">
        <f t="array" ref="Y506">VLOOKUP(B506,'Player Data'!$A1:$AE673,13,FALSE)*$Q506</f>
        <v>0</v>
      </c>
      <c r="Z506" s="57" cm="1">
        <f t="array" ref="Z506">VLOOKUP(B506,'Player Data'!$A1:$AE673,14,FALSE)*$Q506</f>
        <v>0.82000000000000006</v>
      </c>
      <c r="AA506" s="57" cm="1">
        <f t="array" ref="AA506">VLOOKUP(B506,'Player Data'!$A1:$AE673,15,FALSE)*$Q506</f>
        <v>32.800000000000004</v>
      </c>
      <c r="AB506" s="57" cm="1">
        <f t="array" ref="AB506">VLOOKUP(B506,'Player Data'!$A1:$AE673,16,FALSE)*$Q506</f>
        <v>81.179999999999993</v>
      </c>
      <c r="AC506" s="57" cm="1">
        <f t="array" ref="AC506">VLOOKUP(B506,'Player Data'!$A1:$AE673,17,FALSE)*$Q506*IFERROR((VLOOKUP(P506,Settings!$E$28:$F$33,2,FALSE)+1),1)</f>
        <v>4.1000000000000005</v>
      </c>
      <c r="AD506" s="57" cm="1">
        <f t="array" ref="AD506">VLOOKUP(B506,'Player Data'!$A1:$AE673,18,FALSE)*$Q506</f>
        <v>27.880000000000003</v>
      </c>
      <c r="AE506" s="57" cm="1">
        <f t="array" ref="AE506">VLOOKUP(B506,'Player Data'!$A1:$AE673,19,FALSE)*$Q506*IFERROR((VLOOKUP(P506,Settings!$E$28:$F$33,2,FALSE)+1),1)</f>
        <v>1.6400000000000001</v>
      </c>
      <c r="AF506" s="57" cm="1">
        <f t="array" ref="AF506">VLOOKUP(B506,'Player Data'!$A1:$AE673,20,FALSE)*$Q506</f>
        <v>136.12</v>
      </c>
      <c r="AG506" s="57" cm="1">
        <f t="array" ref="AG506">VLOOKUP(B506,'Player Data'!$A1:$AE673,21,FALSE)*$Q506</f>
        <v>134.47999999999999</v>
      </c>
      <c r="AH506" s="59" cm="1">
        <f t="array" ref="AH506">VLOOKUP(B506,'Player Data'!$A1:$AE673,22,FALSE)</f>
        <v>0.5</v>
      </c>
      <c r="AI506" s="55"/>
      <c r="AJ506" s="57"/>
      <c r="AK506" s="57"/>
      <c r="AL506" s="57"/>
      <c r="AM506" s="57"/>
      <c r="AN506" s="57"/>
      <c r="AO506" s="57"/>
      <c r="AP506" s="57"/>
      <c r="AQ506" s="60"/>
      <c r="AR506" s="61"/>
      <c r="AS506" s="55"/>
    </row>
    <row r="507" spans="1:45" ht="21.25" customHeight="1" x14ac:dyDescent="0.15">
      <c r="A507" s="62">
        <f>RANK(K507,K$2:K$671)</f>
        <v>506</v>
      </c>
      <c r="B507" s="10" t="s">
        <v>574</v>
      </c>
      <c r="C507" s="47" t="s">
        <v>145</v>
      </c>
      <c r="D507" s="48" t="str" cm="1">
        <f t="array" ref="D507">VLOOKUP(B507,'Player Data'!A1:D673,4,FALSE)</f>
        <v>C</v>
      </c>
      <c r="E507" s="49" cm="1">
        <f t="array" ref="E507">VLOOKUP(B507,'C'!A1:C210,3,FALSE)</f>
        <v>136</v>
      </c>
      <c r="F507" s="63" t="str" cm="1">
        <f t="array" ref="F507">VLOOKUP(B507,'Player Data'!A1:B673,2,FALSE)</f>
        <v>VGK</v>
      </c>
      <c r="G507" s="66" cm="1">
        <f t="array" ref="G507">VLOOKUP(B507,'Player Data'!A1:D673,3,FALSE)</f>
        <v>33</v>
      </c>
      <c r="H507" s="67" cm="1">
        <f t="array" ref="H507">IFERROR(VLOOKUP(B507,ADP!A1:F671,6,FALSE)/1000000,VLOOKUP(B507,ADP!A1:F671,6,FALSE))</f>
        <v>5.9</v>
      </c>
      <c r="I507" s="52">
        <f>IF(Settings!$E$15="POINTS",((R507*Q507)*Settings!$B$12)+(S507*Settings!$B$2)+(T507*Settings!$B$3)+(U507*Settings!$B$4)+(V507*Settings!$B$5)+(X507*Settings!$B$9)+(AA507*Settings!$B$6)+(W507*Settings!$B$8)+(AB507*Settings!$B$7)+(AC507*Settings!$B$14)+(AD507*Settings!$B$15)+(AE507*Settings!$B$16)+(AF507*Settings!$B$17)+(AG507*Settings!$B$18)+(Y507*Settings!$B$10)+(Z507*Settings!$B$11),VLOOKUP(B507,'Standard Deviations'!A$1:C$672,3,FALSE))</f>
        <v>-1.3439693578780743</v>
      </c>
      <c r="J507" s="53" cm="1">
        <f t="array" ref="J507">IF(D507="G",I507/AJ507,I507/Q507)</f>
        <v>-2.0059244147433944E-2</v>
      </c>
      <c r="K507" s="52" cm="1">
        <f t="array" ref="K507">IF(Settings!$E$18="C/LW/RW",VLOOKUP(B507,'C'!A1:F210,6,FALSE),VLOOKUP(B507,F!A1:F407,6,FALSE))</f>
        <v>-7.7039789154931384</v>
      </c>
      <c r="L507" s="54" cm="1">
        <f t="array" ref="L507">IFERROR(K507/H507,"N/A")</f>
        <v>-1.305759138219176</v>
      </c>
      <c r="M507" s="84" t="s">
        <v>828</v>
      </c>
      <c r="N507" s="84" t="str" cm="1">
        <f t="array" ref="N507">IFERROR(M507-A507,"N/A")</f>
        <v>N/A</v>
      </c>
      <c r="O507" s="55"/>
      <c r="P507" s="56" cm="1">
        <f t="array" ref="P507">_xlfn.XLOOKUP($B507,ADP!A2:A671,ADP!G2:G671)</f>
        <v>0</v>
      </c>
      <c r="Q507" s="57" cm="1">
        <f t="array" ref="Q507">IF(Settings!$E$12="YES",VLOOKUP(B507,'Player Data'!A1:E673,5,FALSE),84)</f>
        <v>67</v>
      </c>
      <c r="R507" s="55" cm="1">
        <f t="array" ref="R507">VLOOKUP(B507,'Player Data'!$A1:$AE673,6,FALSE)</f>
        <v>15.3</v>
      </c>
      <c r="S507" s="57" cm="1">
        <f t="array" ref="S507">VLOOKUP(B507,'Player Data'!$A1:$AE673,7,FALSE)*$Q507*IFERROR((VLOOKUP(P507,Settings!$E$28:$F$33,2,FALSE)+1),1)</f>
        <v>13.4</v>
      </c>
      <c r="T507" s="57" cm="1">
        <f t="array" ref="T507">VLOOKUP(B507,'Player Data'!$A1:$AE673,8,FALSE)*$Q507*IFERROR((VLOOKUP(P507,Settings!$E$28:$F$33,2,FALSE)+1),1)</f>
        <v>17.420000000000002</v>
      </c>
      <c r="U507" s="57" cm="1">
        <f t="array" ref="U507">SUM(S507:T507)</f>
        <v>30.82</v>
      </c>
      <c r="V507" s="57" cm="1">
        <f t="array" ref="V507">VLOOKUP(B507,'Player Data'!$A1:$AE673,10,FALSE)*$Q507*IFERROR(((VLOOKUP(P507,Settings!$E$28:$F$33,2,FALSE)/2)+1),1)</f>
        <v>132.66</v>
      </c>
      <c r="W507" s="57" cm="1">
        <f t="array" ref="W507">VLOOKUP(B507,'Player Data'!$A1:$AE673,11,FALSE)*$Q507*IFERROR((VLOOKUP(P507,Settings!$E$28:$F$33,2,FALSE)+1),1)</f>
        <v>1.34</v>
      </c>
      <c r="X507" s="57" cm="1">
        <f t="array" ref="X507">VLOOKUP(B507,'Player Data'!$A1:$AE673,12,FALSE)*$Q507*IFERROR((VLOOKUP(P507,Settings!$E$28:$F$33,2,FALSE)+1),1)</f>
        <v>2.68</v>
      </c>
      <c r="Y507" s="57" cm="1">
        <f t="array" ref="Y507">VLOOKUP(B507,'Player Data'!$A1:$AE673,13,FALSE)*$Q507</f>
        <v>1.34</v>
      </c>
      <c r="Z507" s="57" cm="1">
        <f t="array" ref="Z507">VLOOKUP(B507,'Player Data'!$A1:$AE673,14,FALSE)*$Q507</f>
        <v>2.0099999999999998</v>
      </c>
      <c r="AA507" s="57" cm="1">
        <f t="array" ref="AA507">VLOOKUP(B507,'Player Data'!$A1:$AE673,15,FALSE)*$Q507</f>
        <v>45.56</v>
      </c>
      <c r="AB507" s="57" cm="1">
        <f t="array" ref="AB507">VLOOKUP(B507,'Player Data'!$A1:$AE673,16,FALSE)*$Q507</f>
        <v>34.17</v>
      </c>
      <c r="AC507" s="57" cm="1">
        <f t="array" ref="AC507">VLOOKUP(B507,'Player Data'!$A1:$AE673,17,FALSE)*$Q507*IFERROR((VLOOKUP(P507,Settings!$E$28:$F$33,2,FALSE)+1),1)</f>
        <v>3.35</v>
      </c>
      <c r="AD507" s="57" cm="1">
        <f t="array" ref="AD507">VLOOKUP(B507,'Player Data'!$A1:$AE673,18,FALSE)*$Q507</f>
        <v>14.07</v>
      </c>
      <c r="AE507" s="57" cm="1">
        <f t="array" ref="AE507">VLOOKUP(B507,'Player Data'!$A1:$AE673,19,FALSE)*$Q507*IFERROR((VLOOKUP(P507,Settings!$E$28:$F$33,2,FALSE)+1),1)</f>
        <v>2.68</v>
      </c>
      <c r="AF507" s="57" cm="1">
        <f t="array" ref="AF507">VLOOKUP(B507,'Player Data'!$A1:$AE673,20,FALSE)*$Q507</f>
        <v>454.93</v>
      </c>
      <c r="AG507" s="57" cm="1">
        <f t="array" ref="AG507">VLOOKUP(B507,'Player Data'!$A1:$AE673,21,FALSE)*$Q507</f>
        <v>339.69</v>
      </c>
      <c r="AH507" s="59" cm="1">
        <f t="array" ref="AH507">VLOOKUP(B507,'Player Data'!$A1:$AE673,22,FALSE)</f>
        <v>0.56999999999999995</v>
      </c>
      <c r="AI507" s="55"/>
      <c r="AJ507" s="57"/>
      <c r="AK507" s="57"/>
      <c r="AL507" s="57"/>
      <c r="AM507" s="57"/>
      <c r="AN507" s="57"/>
      <c r="AO507" s="57"/>
      <c r="AP507" s="57"/>
      <c r="AQ507" s="60"/>
      <c r="AR507" s="61"/>
      <c r="AS507" s="55"/>
    </row>
    <row r="508" spans="1:45" ht="21.25" customHeight="1" x14ac:dyDescent="0.15">
      <c r="A508" s="62">
        <f>RANK(K508,K$2:K$671)</f>
        <v>507</v>
      </c>
      <c r="B508" s="10" t="s">
        <v>473</v>
      </c>
      <c r="C508" s="47" t="s">
        <v>145</v>
      </c>
      <c r="D508" s="48" t="str" cm="1">
        <f t="array" ref="D508">VLOOKUP(B508,'Player Data'!A1:D673,4,FALSE)</f>
        <v>C</v>
      </c>
      <c r="E508" s="49" cm="1">
        <f t="array" ref="E508">VLOOKUP(B508,'C'!A1:C210,3,FALSE)</f>
        <v>137</v>
      </c>
      <c r="F508" s="56" t="str" cm="1">
        <f t="array" ref="F508">VLOOKUP(B508,'Player Data'!A1:B673,2,FALSE)</f>
        <v>PHI</v>
      </c>
      <c r="G508" s="11" cm="1">
        <f t="array" ref="G508">VLOOKUP(B508,'Player Data'!A1:D673,3,FALSE)</f>
        <v>30</v>
      </c>
      <c r="H508" s="51" cm="1">
        <f t="array" ref="H508">IFERROR(VLOOKUP(B508,ADP!A1:F671,6,FALSE)/1000000,VLOOKUP(B508,ADP!A1:F671,6,FALSE))</f>
        <v>5.15</v>
      </c>
      <c r="I508" s="52">
        <f>IF(Settings!$E$15="POINTS",((R508*Q508)*Settings!$B$12)+(S508*Settings!$B$2)+(T508*Settings!$B$3)+(U508*Settings!$B$4)+(V508*Settings!$B$5)+(X508*Settings!$B$9)+(AA508*Settings!$B$6)+(W508*Settings!$B$8)+(AB508*Settings!$B$7)+(AC508*Settings!$B$14)+(AD508*Settings!$B$15)+(AE508*Settings!$B$16)+(AF508*Settings!$B$17)+(AG508*Settings!$B$18)+(Y508*Settings!$B$10)+(Z508*Settings!$B$11),VLOOKUP(B508,'Standard Deviations'!A$1:C$672,3,FALSE))</f>
        <v>-1.3604702784414373</v>
      </c>
      <c r="J508" s="53" cm="1">
        <f t="array" ref="J508">IF(D508="G",I508/AJ508,I508/Q508)</f>
        <v>-1.7441926646685094E-2</v>
      </c>
      <c r="K508" s="52" cm="1">
        <f t="array" ref="K508">IF(Settings!$E$18="C/LW/RW",VLOOKUP(B508,'C'!A1:F210,6,FALSE),VLOOKUP(B508,F!A1:F407,6,FALSE))</f>
        <v>-7.7204798360565015</v>
      </c>
      <c r="L508" s="54" cm="1">
        <f t="array" ref="L508">IFERROR(K508/H508,"N/A")</f>
        <v>-1.4991222982633983</v>
      </c>
      <c r="M508" s="84" t="s">
        <v>828</v>
      </c>
      <c r="N508" s="84" t="str" cm="1">
        <f t="array" ref="N508">IFERROR(M508-A508,"N/A")</f>
        <v>N/A</v>
      </c>
      <c r="O508" s="55"/>
      <c r="P508" s="56" cm="1">
        <f t="array" ref="P508">_xlfn.XLOOKUP($B508,ADP!A2:A671,ADP!G2:G671)</f>
        <v>0</v>
      </c>
      <c r="Q508" s="57" cm="1">
        <f t="array" ref="Q508">IF(Settings!$E$12="YES",VLOOKUP(B508,'Player Data'!A1:E673,5,FALSE),84)</f>
        <v>78</v>
      </c>
      <c r="R508" s="83" cm="1">
        <f t="array" ref="R508">VLOOKUP(B508,'Player Data'!$A1:$AE673,6,FALSE)</f>
        <v>17.399999999999999</v>
      </c>
      <c r="S508" s="57" cm="1">
        <f t="array" ref="S508">VLOOKUP(B508,'Player Data'!$A1:$AE673,7,FALSE)*$Q508*IFERROR((VLOOKUP(P508,Settings!$E$28:$F$33,2,FALSE)+1),1)</f>
        <v>14.04</v>
      </c>
      <c r="T508" s="57" cm="1">
        <f t="array" ref="T508">VLOOKUP(B508,'Player Data'!$A1:$AE673,8,FALSE)*$Q508*IFERROR((VLOOKUP(P508,Settings!$E$28:$F$33,2,FALSE)+1),1)</f>
        <v>24.96</v>
      </c>
      <c r="U508" s="57" cm="1">
        <f t="array" ref="U508">SUM(S508:T508)</f>
        <v>39</v>
      </c>
      <c r="V508" s="57" cm="1">
        <f t="array" ref="V508">VLOOKUP(B508,'Player Data'!$A1:$AE673,10,FALSE)*$Q508*IFERROR(((VLOOKUP(P508,Settings!$E$28:$F$33,2,FALSE)/2)+1),1)</f>
        <v>125.58000000000001</v>
      </c>
      <c r="W508" s="57" cm="1">
        <f t="array" ref="W508">VLOOKUP(B508,'Player Data'!$A1:$AE673,11,FALSE)*$Q508*IFERROR((VLOOKUP(P508,Settings!$E$28:$F$33,2,FALSE)+1),1)</f>
        <v>1.56</v>
      </c>
      <c r="X508" s="57" cm="1">
        <f t="array" ref="X508">VLOOKUP(B508,'Player Data'!$A1:$AE673,12,FALSE)*$Q508*IFERROR((VLOOKUP(P508,Settings!$E$28:$F$33,2,FALSE)+1),1)</f>
        <v>3.12</v>
      </c>
      <c r="Y508" s="57" cm="1">
        <f t="array" ref="Y508">VLOOKUP(B508,'Player Data'!$A1:$AE673,13,FALSE)*$Q508</f>
        <v>0</v>
      </c>
      <c r="Z508" s="57" cm="1">
        <f t="array" ref="Z508">VLOOKUP(B508,'Player Data'!$A1:$AE673,14,FALSE)*$Q508</f>
        <v>0.78</v>
      </c>
      <c r="AA508" s="57" cm="1">
        <f t="array" ref="AA508">VLOOKUP(B508,'Player Data'!$A1:$AE673,15,FALSE)*$Q508</f>
        <v>53.819999999999993</v>
      </c>
      <c r="AB508" s="57" cm="1">
        <f t="array" ref="AB508">VLOOKUP(B508,'Player Data'!$A1:$AE673,16,FALSE)*$Q508</f>
        <v>43.680000000000007</v>
      </c>
      <c r="AC508" s="57" cm="1">
        <f t="array" ref="AC508">VLOOKUP(B508,'Player Data'!$A1:$AE673,17,FALSE)*$Q508*IFERROR((VLOOKUP(P508,Settings!$E$28:$F$33,2,FALSE)+1),1)</f>
        <v>0</v>
      </c>
      <c r="AD508" s="57" cm="1">
        <f t="array" ref="AD508">VLOOKUP(B508,'Player Data'!$A1:$AE673,18,FALSE)*$Q508</f>
        <v>23.4</v>
      </c>
      <c r="AE508" s="57" cm="1">
        <f t="array" ref="AE508">VLOOKUP(B508,'Player Data'!$A1:$AE673,19,FALSE)*$Q508*IFERROR((VLOOKUP(P508,Settings!$E$28:$F$33,2,FALSE)+1),1)</f>
        <v>2.34</v>
      </c>
      <c r="AF508" s="57" cm="1">
        <f t="array" ref="AF508">VLOOKUP(B508,'Player Data'!$A1:$AE673,20,FALSE)*$Q508</f>
        <v>592.79999999999995</v>
      </c>
      <c r="AG508" s="57" cm="1">
        <f t="array" ref="AG508">VLOOKUP(B508,'Player Data'!$A1:$AE673,21,FALSE)*$Q508</f>
        <v>479.70000000000005</v>
      </c>
      <c r="AH508" s="59" cm="1">
        <f t="array" ref="AH508">VLOOKUP(B508,'Player Data'!$A1:$AE673,22,FALSE)</f>
        <v>0.55000000000000004</v>
      </c>
      <c r="AI508" s="55"/>
      <c r="AJ508" s="57"/>
      <c r="AK508" s="57"/>
      <c r="AL508" s="57"/>
      <c r="AM508" s="57"/>
      <c r="AN508" s="57"/>
      <c r="AO508" s="57"/>
      <c r="AP508" s="57"/>
      <c r="AQ508" s="60"/>
      <c r="AR508" s="61"/>
      <c r="AS508" s="55"/>
    </row>
    <row r="509" spans="1:45" ht="21.25" customHeight="1" x14ac:dyDescent="0.15">
      <c r="A509" s="62">
        <f>RANK(K509,K$2:K$671)</f>
        <v>549</v>
      </c>
      <c r="B509" s="10" t="s">
        <v>552</v>
      </c>
      <c r="C509" s="47" t="s">
        <v>145</v>
      </c>
      <c r="D509" s="48" t="str" cm="1">
        <f t="array" ref="D509">VLOOKUP(B509,'Player Data'!A1:D673,4,FALSE)</f>
        <v>G</v>
      </c>
      <c r="E509" s="76" cm="1">
        <f t="array" ref="E509">VLOOKUP(B509,G!A1:D66,3,FALSE)</f>
        <v>62</v>
      </c>
      <c r="F509" s="18" t="str" cm="1">
        <f t="array" ref="F509">VLOOKUP(B509,'Player Data'!A1:B673,2,FALSE)</f>
        <v>VAN</v>
      </c>
      <c r="G509" s="66" cm="1">
        <f t="array" ref="G509">VLOOKUP(B509,'Player Data'!A1:D673,3,FALSE)</f>
        <v>31</v>
      </c>
      <c r="H509" s="51" cm="1">
        <f t="array" ref="H509">IFERROR(VLOOKUP(B509,ADP!A1:F671,6,FALSE)/1000000,VLOOKUP(B509,ADP!A1:F671,6,FALSE))</f>
        <v>4.5</v>
      </c>
      <c r="I509" s="52">
        <f>IF(Settings!$E$15="POINTS",(AJ509*Settings!$B$29)+(AK509*Settings!$B$21)+(AL509*Settings!$B$22)+(AN509*Settings!$B$24)+(AO509*Settings!$B$25)+(AP509*Settings!$B$27)+(AM509*Settings!$B$23),VLOOKUP(B509,'Standard Deviations'!A$1:C$672,3,FALSE))</f>
        <v>-6.4083215240818596</v>
      </c>
      <c r="J509" s="53" cm="1">
        <f t="array" ref="J509">IF(D509="G",I509/AJ509,I509/Q509)</f>
        <v>-0.18309490068805312</v>
      </c>
      <c r="K509" s="52" cm="1">
        <f t="array" ref="K509">VLOOKUP(B509,G!A1:F66,6,FALSE)</f>
        <v>-8.4465067832055354</v>
      </c>
      <c r="L509" s="54" cm="1">
        <f t="array" ref="L509">IFERROR(K509/H509,"N/A")</f>
        <v>-1.8770015073790078</v>
      </c>
      <c r="M509" s="84" t="s">
        <v>828</v>
      </c>
      <c r="N509" s="84" t="str" cm="1">
        <f t="array" ref="N509">IFERROR(M509-A509,"N/A")</f>
        <v>N/A</v>
      </c>
      <c r="O509" s="55"/>
      <c r="P509" s="56" cm="1">
        <f t="array" ref="P509">_xlfn.XLOOKUP($B509,ADP!A2:A671,ADP!G2:G671)</f>
        <v>0</v>
      </c>
      <c r="Q509" s="57"/>
      <c r="R509" s="55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9"/>
      <c r="AI509" s="55"/>
      <c r="AJ509" s="77" cm="1">
        <f t="array" ref="AJ509">VLOOKUP(B509,'Player Data'!$A1:$AE673,24,FALSE)</f>
        <v>35</v>
      </c>
      <c r="AK509" s="57" cm="1">
        <f t="array" ref="AK509">VLOOKUP(B509,'Player Data'!$A1:$AE673,25,FALSE)*$AJ509*IFERROR((VLOOKUP(P509,Settings!$E$28:$F$33,2,FALSE)+1),1)</f>
        <v>12.25</v>
      </c>
      <c r="AL509" s="57" cm="1">
        <f t="array" ref="AL509">AJ509-AK509-AM509</f>
        <v>17.149999999999999</v>
      </c>
      <c r="AM509" s="57" cm="1">
        <f t="array" ref="AM509">VLOOKUP(B509,'Player Data'!$A1:$AE673,27,FALSE)*$AJ509</f>
        <v>5.6000000000000005</v>
      </c>
      <c r="AN509" s="57" cm="1">
        <f t="array" ref="AN509">VLOOKUP(B509,'Player Data'!$A1:$AE673,28,FALSE)*AJ509</f>
        <v>0.70000000000000007</v>
      </c>
      <c r="AO509" s="57" cm="1">
        <f t="array" ref="AO509">VLOOKUP(B509,'Player Data'!$A1:$AE673,29,FALSE)*$AJ509*IFERROR((VLOOKUP(P509,Settings!$E$28:$F$33,2,FALSE)/4)+1,1)</f>
        <v>948.5</v>
      </c>
      <c r="AP509" s="57" cm="1">
        <f t="array" ref="AP509">VLOOKUP(B509,'Player Data'!$A1:$AE673,31,FALSE)*$AJ509*(IFERROR(1-(VLOOKUP(P509,Settings!$E$28:$F$33,2,FALSE)/4),1))</f>
        <v>114.8</v>
      </c>
      <c r="AQ509" s="60" cm="1">
        <f t="array" ref="AQ509">1-(AP509/(AO509+AP509))</f>
        <v>0.89203423304805796</v>
      </c>
      <c r="AR509" s="61" cm="1">
        <f t="array" ref="AR509">AP509/AJ509</f>
        <v>3.28</v>
      </c>
      <c r="AS509" s="55"/>
    </row>
    <row r="510" spans="1:45" ht="21.25" customHeight="1" x14ac:dyDescent="0.15">
      <c r="A510" s="62">
        <f>RANK(K510,K$2:K$671)</f>
        <v>509</v>
      </c>
      <c r="B510" s="10" t="s">
        <v>714</v>
      </c>
      <c r="C510" s="47" t="s">
        <v>145</v>
      </c>
      <c r="D510" s="48" t="str" cm="1">
        <f t="array" ref="D510">VLOOKUP(B510,'Player Data'!A1:D673,4,FALSE)</f>
        <v>LW</v>
      </c>
      <c r="E510" s="75" cm="1">
        <f t="array" ref="E510">VLOOKUP(B510,LW!A1:C210,3,FALSE)</f>
        <v>134</v>
      </c>
      <c r="F510" s="56" t="str" cm="1">
        <f t="array" ref="F510">VLOOKUP(B510,'Player Data'!A1:B673,2,FALSE)</f>
        <v>NYR</v>
      </c>
      <c r="G510" s="11" cm="1">
        <f t="array" ref="G510">VLOOKUP(B510,'Player Data'!A1:D673,3,FALSE)</f>
        <v>25</v>
      </c>
      <c r="H510" s="67" cm="1">
        <f t="array" ref="H510">IFERROR(VLOOKUP(B510,ADP!A1:F671,6,FALSE)/1000000,VLOOKUP(B510,ADP!A1:F671,6,FALSE))</f>
        <v>1.25</v>
      </c>
      <c r="I510" s="52">
        <f>IF(Settings!$E$15="POINTS",((R510*Q510)*Settings!$B$12)+(S510*Settings!$B$2)+(T510*Settings!$B$3)+(U510*Settings!$B$4)+(V510*Settings!$B$5)+(X510*Settings!$B$9)+(AA510*Settings!$B$6)+(W510*Settings!$B$8)+(AB510*Settings!$B$7)+(AC510*Settings!$B$14)+(AD510*Settings!$B$15)+(AE510*Settings!$B$16)+(AF510*Settings!$B$17)+(AG510*Settings!$B$18)+(Y510*Settings!$B$10)+(Z510*Settings!$B$11),VLOOKUP(B510,'Standard Deviations'!A$1:C$672,3,FALSE))</f>
        <v>-0.86211263915304626</v>
      </c>
      <c r="J510" s="53" cm="1">
        <f t="array" ref="J510">IF(D510="G",I510/AJ510,I510/Q510)</f>
        <v>-1.1052726142987773E-2</v>
      </c>
      <c r="K510" s="52" cm="1">
        <f t="array" ref="K510">IF(Settings!$E$18="C/LW/RW",VLOOKUP(B510,LW!A1:F210,6,FALSE),VLOOKUP(B510,F!A1:F407,6,FALSE))</f>
        <v>-7.7564982835428555</v>
      </c>
      <c r="L510" s="54" cm="1">
        <f t="array" ref="L510">IFERROR(K510/H510,"N/A")</f>
        <v>-6.2051986268342842</v>
      </c>
      <c r="M510" s="84" t="s">
        <v>828</v>
      </c>
      <c r="N510" s="84" t="str" cm="1">
        <f t="array" ref="N510">IFERROR(M510-A510,"N/A")</f>
        <v>N/A</v>
      </c>
      <c r="O510" s="55"/>
      <c r="P510" s="56" cm="1">
        <f t="array" ref="P510">_xlfn.XLOOKUP($B510,ADP!A2:A671,ADP!G2:G671)</f>
        <v>0</v>
      </c>
      <c r="Q510" s="57" cm="1">
        <f t="array" ref="Q510">IF(Settings!$E$12="YES",VLOOKUP(B510,'Player Data'!A1:E673,5,FALSE),84)</f>
        <v>78</v>
      </c>
      <c r="R510" s="55" cm="1">
        <f t="array" ref="R510">VLOOKUP(B510,'Player Data'!$A1:$AE673,6,FALSE)</f>
        <v>11.6</v>
      </c>
      <c r="S510" s="57" cm="1">
        <f t="array" ref="S510">VLOOKUP(B510,'Player Data'!$A1:$AE673,7,FALSE)*$Q510*IFERROR((VLOOKUP(P510,Settings!$E$28:$F$33,2,FALSE)+1),1)</f>
        <v>9.36</v>
      </c>
      <c r="T510" s="57" cm="1">
        <f t="array" ref="T510">VLOOKUP(B510,'Player Data'!$A1:$AE673,8,FALSE)*$Q510*IFERROR((VLOOKUP(P510,Settings!$E$28:$F$33,2,FALSE)+1),1)</f>
        <v>13.260000000000002</v>
      </c>
      <c r="U510" s="57" cm="1">
        <f t="array" ref="U510">SUM(S510:T510)</f>
        <v>22.62</v>
      </c>
      <c r="V510" s="57" cm="1">
        <f t="array" ref="V510">VLOOKUP(B510,'Player Data'!$A1:$AE673,10,FALSE)*$Q510*IFERROR(((VLOOKUP(P510,Settings!$E$28:$F$33,2,FALSE)/2)+1),1)</f>
        <v>78</v>
      </c>
      <c r="W510" s="57" cm="1">
        <f t="array" ref="W510">VLOOKUP(B510,'Player Data'!$A1:$AE673,11,FALSE)*$Q510*IFERROR((VLOOKUP(P510,Settings!$E$28:$F$33,2,FALSE)+1),1)</f>
        <v>0</v>
      </c>
      <c r="X510" s="57" cm="1">
        <f t="array" ref="X510">VLOOKUP(B510,'Player Data'!$A1:$AE673,12,FALSE)*$Q510*IFERROR((VLOOKUP(P510,Settings!$E$28:$F$33,2,FALSE)+1),1)</f>
        <v>0</v>
      </c>
      <c r="Y510" s="57" cm="1">
        <f t="array" ref="Y510">VLOOKUP(B510,'Player Data'!$A1:$AE673,13,FALSE)*$Q510</f>
        <v>0.78</v>
      </c>
      <c r="Z510" s="57" cm="1">
        <f t="array" ref="Z510">VLOOKUP(B510,'Player Data'!$A1:$AE673,14,FALSE)*$Q510</f>
        <v>0.78</v>
      </c>
      <c r="AA510" s="57" cm="1">
        <f t="array" ref="AA510">VLOOKUP(B510,'Player Data'!$A1:$AE673,15,FALSE)*$Q510</f>
        <v>43.680000000000007</v>
      </c>
      <c r="AB510" s="57" cm="1">
        <f t="array" ref="AB510">VLOOKUP(B510,'Player Data'!$A1:$AE673,16,FALSE)*$Q510</f>
        <v>202.8</v>
      </c>
      <c r="AC510" s="57" cm="1">
        <f t="array" ref="AC510">VLOOKUP(B510,'Player Data'!$A1:$AE673,17,FALSE)*$Q510*IFERROR((VLOOKUP(P510,Settings!$E$28:$F$33,2,FALSE)+1),1)</f>
        <v>-1.56</v>
      </c>
      <c r="AD510" s="57" cm="1">
        <f t="array" ref="AD510">VLOOKUP(B510,'Player Data'!$A1:$AE673,18,FALSE)*$Q510</f>
        <v>33.54</v>
      </c>
      <c r="AE510" s="57" cm="1">
        <f t="array" ref="AE510">VLOOKUP(B510,'Player Data'!$A1:$AE673,19,FALSE)*$Q510*IFERROR((VLOOKUP(P510,Settings!$E$28:$F$33,2,FALSE)+1),1)</f>
        <v>1.56</v>
      </c>
      <c r="AF510" s="57" cm="1">
        <f t="array" ref="AF510">VLOOKUP(B510,'Player Data'!$A1:$AE673,20,FALSE)*$Q510</f>
        <v>8.58</v>
      </c>
      <c r="AG510" s="57" cm="1">
        <f t="array" ref="AG510">VLOOKUP(B510,'Player Data'!$A1:$AE673,21,FALSE)*$Q510</f>
        <v>19.5</v>
      </c>
      <c r="AH510" s="59" cm="1">
        <f t="array" ref="AH510">VLOOKUP(B510,'Player Data'!$A1:$AE673,22,FALSE)</f>
        <v>0.3</v>
      </c>
      <c r="AI510" s="55"/>
      <c r="AJ510" s="57"/>
      <c r="AK510" s="57"/>
      <c r="AL510" s="57"/>
      <c r="AM510" s="57"/>
      <c r="AN510" s="57"/>
      <c r="AO510" s="57"/>
      <c r="AP510" s="57"/>
      <c r="AQ510" s="60"/>
      <c r="AR510" s="61"/>
      <c r="AS510" s="55"/>
    </row>
    <row r="511" spans="1:45" ht="21.25" customHeight="1" x14ac:dyDescent="0.15">
      <c r="A511" s="62">
        <f>RANK(K511,K$2:K$671)</f>
        <v>505</v>
      </c>
      <c r="B511" s="10" t="s">
        <v>690</v>
      </c>
      <c r="C511" s="47" t="s">
        <v>145</v>
      </c>
      <c r="D511" s="48" t="str" cm="1">
        <f t="array" ref="D511">VLOOKUP(B511,'Player Data'!A1:D673,4,FALSE)</f>
        <v>C,RW</v>
      </c>
      <c r="E511" s="74" cm="1">
        <f t="array" ref="E511">VLOOKUP(B511,RW!A1:F210,3,FALSE)</f>
        <v>130</v>
      </c>
      <c r="F511" s="72" t="str" cm="1">
        <f t="array" ref="F511">VLOOKUP(B511,'Player Data'!A1:B673,2,FALSE)</f>
        <v>BOS</v>
      </c>
      <c r="G511" s="11" cm="1">
        <f t="array" ref="G511">VLOOKUP(B511,'Player Data'!A1:D673,3,FALSE)</f>
        <v>27</v>
      </c>
      <c r="H511" s="51" cm="1">
        <f t="array" ref="H511">IFERROR(VLOOKUP(B511,ADP!A1:F671,6,FALSE)/1000000,VLOOKUP(B511,ADP!A1:F671,6,FALSE))</f>
        <v>1.5660000000000001</v>
      </c>
      <c r="I511" s="52">
        <f>IF(Settings!$E$15="POINTS",((R511*Q511)*Settings!$B$12)+(S511*Settings!$B$2)+(T511*Settings!$B$3)+(U511*Settings!$B$4)+(V511*Settings!$B$5)+(X511*Settings!$B$9)+(AA511*Settings!$B$6)+(W511*Settings!$B$8)+(AB511*Settings!$B$7)+(AC511*Settings!$B$14)+(AD511*Settings!$B$15)+(AE511*Settings!$B$16)+(AF511*Settings!$B$17)+(AG511*Settings!$B$18)+(Y511*Settings!$B$10)+(Z511*Settings!$B$11),VLOOKUP(B511,'Standard Deviations'!A$1:C$672,3,FALSE))</f>
        <v>-0.81661890518515745</v>
      </c>
      <c r="J511" s="53" cm="1">
        <f t="array" ref="J511">IF(D511="G",I511/AJ511,I511/Q511)</f>
        <v>-1.0336948166900728E-2</v>
      </c>
      <c r="K511" s="52" cm="1">
        <f t="array" ref="K511">IF(Settings!$E$18="C/LW/RW",VLOOKUP(B511,RW!A1:F210,6,FALSE),VLOOKUP(B511,F!A1:F407,6,FALSE))</f>
        <v>-7.7038535069942347</v>
      </c>
      <c r="L511" s="54" cm="1">
        <f t="array" ref="L511">IFERROR(K511/H511,"N/A")</f>
        <v>-4.919446683904364</v>
      </c>
      <c r="M511" s="84" t="s">
        <v>828</v>
      </c>
      <c r="N511" s="84" t="str" cm="1">
        <f t="array" ref="N511">IFERROR(M511-A511,"N/A")</f>
        <v>N/A</v>
      </c>
      <c r="O511" s="55"/>
      <c r="P511" s="56" cm="1">
        <f t="array" ref="P511">_xlfn.XLOOKUP($B511,ADP!A2:A671,ADP!G2:G671)</f>
        <v>0</v>
      </c>
      <c r="Q511" s="57" cm="1">
        <f t="array" ref="Q511">IF(Settings!$E$12="YES",VLOOKUP(B511,'Player Data'!A1:E673,5,FALSE),84)</f>
        <v>79</v>
      </c>
      <c r="R511" s="55" cm="1">
        <f t="array" ref="R511">VLOOKUP(B511,'Player Data'!$A1:$AE673,6,FALSE)</f>
        <v>12.3</v>
      </c>
      <c r="S511" s="57" cm="1">
        <f t="array" ref="S511">VLOOKUP(B511,'Player Data'!$A1:$AE673,7,FALSE)*$Q511*IFERROR((VLOOKUP(P511,Settings!$E$28:$F$33,2,FALSE)+1),1)</f>
        <v>9.48</v>
      </c>
      <c r="T511" s="57" cm="1">
        <f t="array" ref="T511">VLOOKUP(B511,'Player Data'!$A1:$AE673,8,FALSE)*$Q511*IFERROR((VLOOKUP(P511,Settings!$E$28:$F$33,2,FALSE)+1),1)</f>
        <v>10.27</v>
      </c>
      <c r="U511" s="57" cm="1">
        <f t="array" ref="U511">SUM(S511:T511)</f>
        <v>19.75</v>
      </c>
      <c r="V511" s="57" cm="1">
        <f t="array" ref="V511">VLOOKUP(B511,'Player Data'!$A1:$AE673,10,FALSE)*$Q511*IFERROR(((VLOOKUP(P511,Settings!$E$28:$F$33,2,FALSE)/2)+1),1)</f>
        <v>96.38</v>
      </c>
      <c r="W511" s="57" cm="1">
        <f t="array" ref="W511">VLOOKUP(B511,'Player Data'!$A1:$AE673,11,FALSE)*$Q511*IFERROR((VLOOKUP(P511,Settings!$E$28:$F$33,2,FALSE)+1),1)</f>
        <v>0</v>
      </c>
      <c r="X511" s="57" cm="1">
        <f t="array" ref="X511">VLOOKUP(B511,'Player Data'!$A1:$AE673,12,FALSE)*$Q511*IFERROR((VLOOKUP(P511,Settings!$E$28:$F$33,2,FALSE)+1),1)</f>
        <v>0</v>
      </c>
      <c r="Y511" s="57" cm="1">
        <f t="array" ref="Y511">VLOOKUP(B511,'Player Data'!$A1:$AE673,13,FALSE)*$Q511</f>
        <v>0.79</v>
      </c>
      <c r="Z511" s="57" cm="1">
        <f t="array" ref="Z511">VLOOKUP(B511,'Player Data'!$A1:$AE673,14,FALSE)*$Q511</f>
        <v>0.79</v>
      </c>
      <c r="AA511" s="57" cm="1">
        <f t="array" ref="AA511">VLOOKUP(B511,'Player Data'!$A1:$AE673,15,FALSE)*$Q511</f>
        <v>56.879999999999995</v>
      </c>
      <c r="AB511" s="57" cm="1">
        <f t="array" ref="AB511">VLOOKUP(B511,'Player Data'!$A1:$AE673,16,FALSE)*$Q511</f>
        <v>207.76999999999998</v>
      </c>
      <c r="AC511" s="57" cm="1">
        <f t="array" ref="AC511">VLOOKUP(B511,'Player Data'!$A1:$AE673,17,FALSE)*$Q511*IFERROR((VLOOKUP(P511,Settings!$E$28:$F$33,2,FALSE)+1),1)</f>
        <v>-2.37</v>
      </c>
      <c r="AD511" s="57" cm="1">
        <f t="array" ref="AD511">VLOOKUP(B511,'Player Data'!$A1:$AE673,18,FALSE)*$Q511</f>
        <v>82.16</v>
      </c>
      <c r="AE511" s="57" cm="1">
        <f t="array" ref="AE511">VLOOKUP(B511,'Player Data'!$A1:$AE673,19,FALSE)*$Q511*IFERROR((VLOOKUP(P511,Settings!$E$28:$F$33,2,FALSE)+1),1)</f>
        <v>1.58</v>
      </c>
      <c r="AF511" s="57" cm="1">
        <f t="array" ref="AF511">VLOOKUP(B511,'Player Data'!$A1:$AE673,20,FALSE)*$Q511</f>
        <v>315.21000000000004</v>
      </c>
      <c r="AG511" s="57" cm="1">
        <f t="array" ref="AG511">VLOOKUP(B511,'Player Data'!$A1:$AE673,21,FALSE)*$Q511</f>
        <v>229.89000000000001</v>
      </c>
      <c r="AH511" s="59" cm="1">
        <f t="array" ref="AH511">VLOOKUP(B511,'Player Data'!$A1:$AE673,22,FALSE)</f>
        <v>0.57999999999999996</v>
      </c>
      <c r="AI511" s="55"/>
      <c r="AJ511" s="57"/>
      <c r="AK511" s="57"/>
      <c r="AL511" s="57"/>
      <c r="AM511" s="57"/>
      <c r="AN511" s="57"/>
      <c r="AO511" s="57"/>
      <c r="AP511" s="57"/>
      <c r="AQ511" s="60"/>
      <c r="AR511" s="61"/>
      <c r="AS511" s="55"/>
    </row>
    <row r="512" spans="1:45" ht="21.25" customHeight="1" x14ac:dyDescent="0.15">
      <c r="A512" s="62">
        <f>RANK(K512,K$2:K$671)</f>
        <v>510</v>
      </c>
      <c r="B512" s="10" t="s">
        <v>613</v>
      </c>
      <c r="C512" s="47" t="s">
        <v>145</v>
      </c>
      <c r="D512" s="48" t="str" cm="1">
        <f t="array" ref="D512">VLOOKUP(B512,'Player Data'!A1:D673,4,FALSE)</f>
        <v>C</v>
      </c>
      <c r="E512" s="49" cm="1">
        <f t="array" ref="E512">VLOOKUP(B512,'C'!A1:C210,3,FALSE)</f>
        <v>138</v>
      </c>
      <c r="F512" s="56" t="str" cm="1">
        <f t="array" ref="F512">VLOOKUP(B512,'Player Data'!A1:B673,2,FALSE)</f>
        <v>PHI</v>
      </c>
      <c r="G512" s="66" cm="1">
        <f t="array" ref="G512">VLOOKUP(B512,'Player Data'!A1:D673,3,FALSE)</f>
        <v>33</v>
      </c>
      <c r="H512" s="51" cm="1">
        <f t="array" ref="H512">IFERROR(VLOOKUP(B512,ADP!A1:F671,6,FALSE)/1000000,VLOOKUP(B512,ADP!A1:F671,6,FALSE))</f>
        <v>7.75</v>
      </c>
      <c r="I512" s="52">
        <f>IF(Settings!$E$15="POINTS",((R512*Q512)*Settings!$B$12)+(S512*Settings!$B$2)+(T512*Settings!$B$3)+(U512*Settings!$B$4)+(V512*Settings!$B$5)+(X512*Settings!$B$9)+(AA512*Settings!$B$6)+(W512*Settings!$B$8)+(AB512*Settings!$B$7)+(AC512*Settings!$B$14)+(AD512*Settings!$B$15)+(AE512*Settings!$B$16)+(AF512*Settings!$B$17)+(AG512*Settings!$B$18)+(Y512*Settings!$B$10)+(Z512*Settings!$B$11),VLOOKUP(B512,'Standard Deviations'!A$1:C$672,3,FALSE))</f>
        <v>-1.4341270122017449</v>
      </c>
      <c r="J512" s="53" cm="1">
        <f t="array" ref="J512">IF(D512="G",I512/AJ512,I512/Q512)</f>
        <v>-1.7489353807338352E-2</v>
      </c>
      <c r="K512" s="52" cm="1">
        <f t="array" ref="K512">IF(Settings!$E$18="C/LW/RW",VLOOKUP(B512,'C'!A1:F210,6,FALSE),VLOOKUP(B512,F!A1:F407,6,FALSE))</f>
        <v>-7.7941365698168088</v>
      </c>
      <c r="L512" s="54" cm="1">
        <f t="array" ref="L512">IFERROR(K512/H512,"N/A")</f>
        <v>-1.005695041266685</v>
      </c>
      <c r="M512" s="84" t="s">
        <v>828</v>
      </c>
      <c r="N512" s="84" t="str" cm="1">
        <f t="array" ref="N512">IFERROR(M512-A512,"N/A")</f>
        <v>N/A</v>
      </c>
      <c r="O512" s="55"/>
      <c r="P512" s="56" cm="1">
        <f t="array" ref="P512">_xlfn.XLOOKUP($B512,ADP!A2:A671,ADP!G2:G671)</f>
        <v>0</v>
      </c>
      <c r="Q512" s="57" cm="1">
        <f t="array" ref="Q512">IF(Settings!$E$12="YES",VLOOKUP(B512,'Player Data'!A1:E673,5,FALSE),84)</f>
        <v>82</v>
      </c>
      <c r="R512" s="83" cm="1">
        <f t="array" ref="R512">VLOOKUP(B512,'Player Data'!$A1:$AE673,6,FALSE)</f>
        <v>14.3</v>
      </c>
      <c r="S512" s="57" cm="1">
        <f t="array" ref="S512">VLOOKUP(B512,'Player Data'!$A1:$AE673,7,FALSE)*$Q512*IFERROR((VLOOKUP(P512,Settings!$E$28:$F$33,2,FALSE)+1),1)</f>
        <v>10.66</v>
      </c>
      <c r="T512" s="57" cm="1">
        <f t="array" ref="T512">VLOOKUP(B512,'Player Data'!$A1:$AE673,8,FALSE)*$Q512*IFERROR((VLOOKUP(P512,Settings!$E$28:$F$33,2,FALSE)+1),1)</f>
        <v>20.5</v>
      </c>
      <c r="U512" s="57" cm="1">
        <f t="array" ref="U512">SUM(S512:T512)</f>
        <v>31.16</v>
      </c>
      <c r="V512" s="57" cm="1">
        <f t="array" ref="V512">VLOOKUP(B512,'Player Data'!$A1:$AE673,10,FALSE)*$Q512*IFERROR(((VLOOKUP(P512,Settings!$E$28:$F$33,2,FALSE)/2)+1),1)</f>
        <v>113.97999999999999</v>
      </c>
      <c r="W512" s="57" cm="1">
        <f t="array" ref="W512">VLOOKUP(B512,'Player Data'!$A1:$AE673,11,FALSE)*$Q512*IFERROR((VLOOKUP(P512,Settings!$E$28:$F$33,2,FALSE)+1),1)</f>
        <v>0</v>
      </c>
      <c r="X512" s="57" cm="1">
        <f t="array" ref="X512">VLOOKUP(B512,'Player Data'!$A1:$AE673,12,FALSE)*$Q512*IFERROR((VLOOKUP(P512,Settings!$E$28:$F$33,2,FALSE)+1),1)</f>
        <v>0</v>
      </c>
      <c r="Y512" s="57" cm="1">
        <f t="array" ref="Y512">VLOOKUP(B512,'Player Data'!$A1:$AE673,13,FALSE)*$Q512</f>
        <v>0</v>
      </c>
      <c r="Z512" s="57" cm="1">
        <f t="array" ref="Z512">VLOOKUP(B512,'Player Data'!$A1:$AE673,14,FALSE)*$Q512</f>
        <v>0.82000000000000006</v>
      </c>
      <c r="AA512" s="57" cm="1">
        <f t="array" ref="AA512">VLOOKUP(B512,'Player Data'!$A1:$AE673,15,FALSE)*$Q512</f>
        <v>41.82</v>
      </c>
      <c r="AB512" s="57" cm="1">
        <f t="array" ref="AB512">VLOOKUP(B512,'Player Data'!$A1:$AE673,16,FALSE)*$Q512</f>
        <v>79.539999999999992</v>
      </c>
      <c r="AC512" s="57" cm="1">
        <f t="array" ref="AC512">VLOOKUP(B512,'Player Data'!$A1:$AE673,17,FALSE)*$Q512*IFERROR((VLOOKUP(P512,Settings!$E$28:$F$33,2,FALSE)+1),1)</f>
        <v>1.6400000000000001</v>
      </c>
      <c r="AD512" s="57" cm="1">
        <f t="array" ref="AD512">VLOOKUP(B512,'Player Data'!$A1:$AE673,18,FALSE)*$Q512</f>
        <v>29.52</v>
      </c>
      <c r="AE512" s="57" cm="1">
        <f t="array" ref="AE512">VLOOKUP(B512,'Player Data'!$A1:$AE673,19,FALSE)*$Q512*IFERROR((VLOOKUP(P512,Settings!$E$28:$F$33,2,FALSE)+1),1)</f>
        <v>1.6400000000000001</v>
      </c>
      <c r="AF512" s="57" cm="1">
        <f t="array" ref="AF512">VLOOKUP(B512,'Player Data'!$A1:$AE673,20,FALSE)*$Q512</f>
        <v>583.02</v>
      </c>
      <c r="AG512" s="57" cm="1">
        <f t="array" ref="AG512">VLOOKUP(B512,'Player Data'!$A1:$AE673,21,FALSE)*$Q512</f>
        <v>482.15999999999997</v>
      </c>
      <c r="AH512" s="59" cm="1">
        <f t="array" ref="AH512">VLOOKUP(B512,'Player Data'!$A1:$AE673,22,FALSE)</f>
        <v>0.55000000000000004</v>
      </c>
      <c r="AI512" s="55"/>
      <c r="AJ512" s="57"/>
      <c r="AK512" s="57"/>
      <c r="AL512" s="57"/>
      <c r="AM512" s="57"/>
      <c r="AN512" s="57"/>
      <c r="AO512" s="57"/>
      <c r="AP512" s="57"/>
      <c r="AQ512" s="60"/>
      <c r="AR512" s="61"/>
      <c r="AS512" s="55"/>
    </row>
    <row r="513" spans="1:45" ht="21.25" customHeight="1" x14ac:dyDescent="0.15">
      <c r="A513" s="62">
        <f>RANK(K513,K$2:K$671)</f>
        <v>511</v>
      </c>
      <c r="B513" s="10" t="s">
        <v>631</v>
      </c>
      <c r="C513" s="47" t="s">
        <v>145</v>
      </c>
      <c r="D513" s="48" t="str" cm="1">
        <f t="array" ref="D513">VLOOKUP(B513,'Player Data'!A1:D673,4,FALSE)</f>
        <v>C</v>
      </c>
      <c r="E513" s="49" cm="1">
        <f t="array" ref="E513">VLOOKUP(B513,'C'!A1:C210,3,FALSE)</f>
        <v>139</v>
      </c>
      <c r="F513" s="56" t="str" cm="1">
        <f t="array" ref="F513">VLOOKUP(B513,'Player Data'!A1:B673,2,FALSE)</f>
        <v>NYR</v>
      </c>
      <c r="G513" s="71" cm="1">
        <f t="array" ref="G513">VLOOKUP(B513,'Player Data'!A1:D673,3,FALSE)</f>
        <v>23</v>
      </c>
      <c r="H513" s="51" cm="1">
        <f t="array" ref="H513">IFERROR(VLOOKUP(B513,ADP!A1:F671,6,FALSE)/1000000,VLOOKUP(B513,ADP!A1:F671,6,FALSE))</f>
        <v>0.90749999999999997</v>
      </c>
      <c r="I513" s="52">
        <f>IF(Settings!$E$15="POINTS",((R513*Q513)*Settings!$B$12)+(S513*Settings!$B$2)+(T513*Settings!$B$3)+(U513*Settings!$B$4)+(V513*Settings!$B$5)+(X513*Settings!$B$9)+(AA513*Settings!$B$6)+(W513*Settings!$B$8)+(AB513*Settings!$B$7)+(AC513*Settings!$B$14)+(AD513*Settings!$B$15)+(AE513*Settings!$B$16)+(AF513*Settings!$B$17)+(AG513*Settings!$B$18)+(Y513*Settings!$B$10)+(Z513*Settings!$B$11),VLOOKUP(B513,'Standard Deviations'!A$1:C$672,3,FALSE))</f>
        <v>-1.4682289157211754</v>
      </c>
      <c r="J513" s="53" cm="1">
        <f t="array" ref="J513">IF(D513="G",I513/AJ513,I513/Q513)</f>
        <v>-1.8126282910137969E-2</v>
      </c>
      <c r="K513" s="52" cm="1">
        <f t="array" ref="K513">IF(Settings!$E$18="C/LW/RW",VLOOKUP(B513,'C'!A1:F210,6,FALSE),VLOOKUP(B513,F!A1:F407,6,FALSE))</f>
        <v>-7.8282384733362393</v>
      </c>
      <c r="L513" s="54" cm="1">
        <f t="array" ref="L513">IFERROR(K513/H513,"N/A")</f>
        <v>-8.626158097340209</v>
      </c>
      <c r="M513" s="84" t="s">
        <v>828</v>
      </c>
      <c r="N513" s="84" t="str" cm="1">
        <f t="array" ref="N513">IFERROR(M513-A513,"N/A")</f>
        <v>N/A</v>
      </c>
      <c r="O513" s="55"/>
      <c r="P513" s="56" cm="1">
        <f t="array" ref="P513">_xlfn.XLOOKUP($B513,ADP!A2:A671,ADP!G2:G671)</f>
        <v>0</v>
      </c>
      <c r="Q513" s="57" cm="1">
        <f t="array" ref="Q513">IF(Settings!$E$12="YES",VLOOKUP(B513,'Player Data'!A1:E673,5,FALSE),84)</f>
        <v>81</v>
      </c>
      <c r="R513" s="55" cm="1">
        <f t="array" ref="R513">VLOOKUP(B513,'Player Data'!$A1:$AE673,6,FALSE)</f>
        <v>14.1</v>
      </c>
      <c r="S513" s="57" cm="1">
        <f t="array" ref="S513">VLOOKUP(B513,'Player Data'!$A1:$AE673,7,FALSE)*$Q513*IFERROR((VLOOKUP(P513,Settings!$E$28:$F$33,2,FALSE)+1),1)</f>
        <v>10.530000000000001</v>
      </c>
      <c r="T513" s="57" cm="1">
        <f t="array" ref="T513">VLOOKUP(B513,'Player Data'!$A1:$AE673,8,FALSE)*$Q513*IFERROR((VLOOKUP(P513,Settings!$E$28:$F$33,2,FALSE)+1),1)</f>
        <v>17.009999999999998</v>
      </c>
      <c r="U513" s="57" cm="1">
        <f t="array" ref="U513">SUM(S513:T513)</f>
        <v>27.54</v>
      </c>
      <c r="V513" s="57" cm="1">
        <f t="array" ref="V513">VLOOKUP(B513,'Player Data'!$A1:$AE673,10,FALSE)*$Q513*IFERROR(((VLOOKUP(P513,Settings!$E$28:$F$33,2,FALSE)/2)+1),1)</f>
        <v>87.48</v>
      </c>
      <c r="W513" s="57" cm="1">
        <f t="array" ref="W513">VLOOKUP(B513,'Player Data'!$A1:$AE673,11,FALSE)*$Q513*IFERROR((VLOOKUP(P513,Settings!$E$28:$F$33,2,FALSE)+1),1)</f>
        <v>1.62</v>
      </c>
      <c r="X513" s="57" cm="1">
        <f t="array" ref="X513">VLOOKUP(B513,'Player Data'!$A1:$AE673,12,FALSE)*$Q513*IFERROR((VLOOKUP(P513,Settings!$E$28:$F$33,2,FALSE)+1),1)</f>
        <v>2.4299999999999997</v>
      </c>
      <c r="Y513" s="57" cm="1">
        <f t="array" ref="Y513">VLOOKUP(B513,'Player Data'!$A1:$AE673,13,FALSE)*$Q513</f>
        <v>0</v>
      </c>
      <c r="Z513" s="57" cm="1">
        <f t="array" ref="Z513">VLOOKUP(B513,'Player Data'!$A1:$AE673,14,FALSE)*$Q513</f>
        <v>0</v>
      </c>
      <c r="AA513" s="57" cm="1">
        <f t="array" ref="AA513">VLOOKUP(B513,'Player Data'!$A1:$AE673,15,FALSE)*$Q513</f>
        <v>47.79</v>
      </c>
      <c r="AB513" s="57" cm="1">
        <f t="array" ref="AB513">VLOOKUP(B513,'Player Data'!$A1:$AE673,16,FALSE)*$Q513</f>
        <v>118.25999999999999</v>
      </c>
      <c r="AC513" s="57" cm="1">
        <f t="array" ref="AC513">VLOOKUP(B513,'Player Data'!$A1:$AE673,17,FALSE)*$Q513*IFERROR((VLOOKUP(P513,Settings!$E$28:$F$33,2,FALSE)+1),1)</f>
        <v>0</v>
      </c>
      <c r="AD513" s="57" cm="1">
        <f t="array" ref="AD513">VLOOKUP(B513,'Player Data'!$A1:$AE673,18,FALSE)*$Q513</f>
        <v>32.4</v>
      </c>
      <c r="AE513" s="57" cm="1">
        <f t="array" ref="AE513">VLOOKUP(B513,'Player Data'!$A1:$AE673,19,FALSE)*$Q513*IFERROR((VLOOKUP(P513,Settings!$E$28:$F$33,2,FALSE)+1),1)</f>
        <v>1.62</v>
      </c>
      <c r="AF513" s="57" cm="1">
        <f t="array" ref="AF513">VLOOKUP(B513,'Player Data'!$A1:$AE673,20,FALSE)*$Q513</f>
        <v>379.89000000000004</v>
      </c>
      <c r="AG513" s="57" cm="1">
        <f t="array" ref="AG513">VLOOKUP(B513,'Player Data'!$A1:$AE673,21,FALSE)*$Q513</f>
        <v>366.11999999999995</v>
      </c>
      <c r="AH513" s="59" cm="1">
        <f t="array" ref="AH513">VLOOKUP(B513,'Player Data'!$A1:$AE673,22,FALSE)</f>
        <v>0.51</v>
      </c>
      <c r="AI513" s="55"/>
      <c r="AJ513" s="57"/>
      <c r="AK513" s="57"/>
      <c r="AL513" s="57"/>
      <c r="AM513" s="57"/>
      <c r="AN513" s="57"/>
      <c r="AO513" s="57"/>
      <c r="AP513" s="57"/>
      <c r="AQ513" s="60"/>
      <c r="AR513" s="61"/>
      <c r="AS513" s="55"/>
    </row>
    <row r="514" spans="1:45" ht="21.25" customHeight="1" x14ac:dyDescent="0.15">
      <c r="A514" s="62">
        <f>RANK(K514,K$2:K$671)</f>
        <v>554</v>
      </c>
      <c r="B514" s="10" t="s">
        <v>652</v>
      </c>
      <c r="C514" s="47" t="s">
        <v>145</v>
      </c>
      <c r="D514" s="48" t="str" cm="1">
        <f t="array" ref="D514">VLOOKUP(B514,'Player Data'!A1:D673,4,FALSE)</f>
        <v>G</v>
      </c>
      <c r="E514" s="76" cm="1">
        <f t="array" ref="E514">VLOOKUP(B514,G!A1:D66,3,FALSE)</f>
        <v>63</v>
      </c>
      <c r="F514" s="50" t="str" cm="1">
        <f t="array" ref="F514">VLOOKUP(B514,'Player Data'!A1:B673,2,FALSE)</f>
        <v>ANA</v>
      </c>
      <c r="G514" s="66" cm="1">
        <f t="array" ref="G514">VLOOKUP(B514,'Player Data'!A1:D673,3,FALSE)</f>
        <v>31</v>
      </c>
      <c r="H514" s="67" cm="1">
        <f t="array" ref="H514">IFERROR(VLOOKUP(B514,ADP!A1:F671,6,FALSE)/1000000,VLOOKUP(B514,ADP!A1:F671,6,FALSE))</f>
        <v>2.2000000000000002</v>
      </c>
      <c r="I514" s="52">
        <f>IF(Settings!$E$15="POINTS",(AJ514*Settings!$B$29)+(AK514*Settings!$B$21)+(AL514*Settings!$B$22)+(AN514*Settings!$B$24)+(AO514*Settings!$B$25)+(AP514*Settings!$B$27)+(AM514*Settings!$B$23),VLOOKUP(B514,'Standard Deviations'!A$1:C$672,3,FALSE))</f>
        <v>-6.5388547929681877</v>
      </c>
      <c r="J514" s="53" cm="1">
        <f t="array" ref="J514">IF(D514="G",I514/AJ514,I514/Q514)</f>
        <v>-0.26155419171872751</v>
      </c>
      <c r="K514" s="52" cm="1">
        <f t="array" ref="K514">VLOOKUP(B514,G!A1:F66,6,FALSE)</f>
        <v>-8.5770400520918635</v>
      </c>
      <c r="L514" s="54" cm="1">
        <f t="array" ref="L514">IFERROR(K514/H514,"N/A")</f>
        <v>-3.8986545691326651</v>
      </c>
      <c r="M514" s="84" t="s">
        <v>828</v>
      </c>
      <c r="N514" s="84" t="str" cm="1">
        <f t="array" ref="N514">IFERROR(M514-A514,"N/A")</f>
        <v>N/A</v>
      </c>
      <c r="O514" s="55"/>
      <c r="P514" s="56" cm="1">
        <f t="array" ref="P514">_xlfn.XLOOKUP($B514,ADP!A2:A671,ADP!G2:G671)</f>
        <v>0</v>
      </c>
      <c r="Q514" s="57"/>
      <c r="R514" s="55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9"/>
      <c r="AI514" s="55"/>
      <c r="AJ514" s="77" cm="1">
        <f t="array" ref="AJ514">VLOOKUP(B514,'Player Data'!$A1:$AE673,24,FALSE)</f>
        <v>25</v>
      </c>
      <c r="AK514" s="57" cm="1">
        <f t="array" ref="AK514">VLOOKUP(B514,'Player Data'!$A1:$AE673,25,FALSE)*$AJ514*IFERROR((VLOOKUP(P514,Settings!$E$28:$F$33,2,FALSE)+1),1)</f>
        <v>11</v>
      </c>
      <c r="AL514" s="57" cm="1">
        <f t="array" ref="AL514">AJ514-AK514-AM514</f>
        <v>10.5</v>
      </c>
      <c r="AM514" s="57" cm="1">
        <f t="array" ref="AM514">VLOOKUP(B514,'Player Data'!$A1:$AE673,27,FALSE)*$AJ514</f>
        <v>3.5000000000000004</v>
      </c>
      <c r="AN514" s="57" cm="1">
        <f t="array" ref="AN514">VLOOKUP(B514,'Player Data'!$A1:$AE673,28,FALSE)*AJ514</f>
        <v>0.5</v>
      </c>
      <c r="AO514" s="57" cm="1">
        <f t="array" ref="AO514">VLOOKUP(B514,'Player Data'!$A1:$AE673,29,FALSE)*$AJ514*IFERROR((VLOOKUP(P514,Settings!$E$28:$F$33,2,FALSE)/4)+1,1)</f>
        <v>662.5</v>
      </c>
      <c r="AP514" s="57" cm="1">
        <f t="array" ref="AP514">VLOOKUP(B514,'Player Data'!$A1:$AE673,31,FALSE)*$AJ514*(IFERROR(1-(VLOOKUP(P514,Settings!$E$28:$F$33,2,FALSE)/4),1))</f>
        <v>80.5</v>
      </c>
      <c r="AQ514" s="60" cm="1">
        <f t="array" ref="AQ514">1-(AP514/(AO514+AP514))</f>
        <v>0.89165545087483178</v>
      </c>
      <c r="AR514" s="61" cm="1">
        <f t="array" ref="AR514">AP514/AJ514</f>
        <v>3.22</v>
      </c>
      <c r="AS514" s="55"/>
    </row>
    <row r="515" spans="1:45" ht="21.25" customHeight="1" x14ac:dyDescent="0.15">
      <c r="A515" s="62">
        <f>RANK(K515,K$2:K$671)</f>
        <v>514</v>
      </c>
      <c r="B515" s="10" t="s">
        <v>559</v>
      </c>
      <c r="C515" s="47" t="s">
        <v>145</v>
      </c>
      <c r="D515" s="48" t="str" cm="1">
        <f t="array" ref="D515">VLOOKUP(B515,'Player Data'!A1:D673,4,FALSE)</f>
        <v>C</v>
      </c>
      <c r="E515" s="49" cm="1">
        <f t="array" ref="E515">VLOOKUP(B515,'C'!A1:C210,3,FALSE)</f>
        <v>140</v>
      </c>
      <c r="F515" s="69" t="str" cm="1">
        <f t="array" ref="F515">VLOOKUP(B515,'Player Data'!A1:B673,2,FALSE)</f>
        <v>MTL</v>
      </c>
      <c r="G515" s="71" cm="1">
        <f t="array" ref="G515">VLOOKUP(B515,'Player Data'!A1:D673,3,FALSE)</f>
        <v>23</v>
      </c>
      <c r="H515" s="51" cm="1">
        <f t="array" ref="H515">IFERROR(VLOOKUP(B515,ADP!A1:F671,6,FALSE)/1000000,VLOOKUP(B515,ADP!A1:F671,6,FALSE))</f>
        <v>0.9425</v>
      </c>
      <c r="I515" s="52">
        <f>IF(Settings!$E$15="POINTS",((R515*Q515)*Settings!$B$12)+(S515*Settings!$B$2)+(T515*Settings!$B$3)+(U515*Settings!$B$4)+(V515*Settings!$B$5)+(X515*Settings!$B$9)+(AA515*Settings!$B$6)+(W515*Settings!$B$8)+(AB515*Settings!$B$7)+(AC515*Settings!$B$14)+(AD515*Settings!$B$15)+(AE515*Settings!$B$16)+(AF515*Settings!$B$17)+(AG515*Settings!$B$18)+(Y515*Settings!$B$10)+(Z515*Settings!$B$11),VLOOKUP(B515,'Standard Deviations'!A$1:C$672,3,FALSE))</f>
        <v>-1.4998526838265684</v>
      </c>
      <c r="J515" s="53" cm="1">
        <f t="array" ref="J515">IF(D515="G",I515/AJ515,I515/Q515)</f>
        <v>-1.9228880561879082E-2</v>
      </c>
      <c r="K515" s="52" cm="1">
        <f t="array" ref="K515">IF(Settings!$E$18="C/LW/RW",VLOOKUP(B515,'C'!A1:F210,6,FALSE),VLOOKUP(B515,F!A1:F407,6,FALSE))</f>
        <v>-7.8598622414416326</v>
      </c>
      <c r="L515" s="54" cm="1">
        <f t="array" ref="L515">IFERROR(K515/H515,"N/A")</f>
        <v>-8.3393763834924481</v>
      </c>
      <c r="M515" s="84" t="s">
        <v>828</v>
      </c>
      <c r="N515" s="84" t="str" cm="1">
        <f t="array" ref="N515">IFERROR(M515-A515,"N/A")</f>
        <v>N/A</v>
      </c>
      <c r="O515" s="55"/>
      <c r="P515" s="56" cm="1">
        <f t="array" ref="P515">_xlfn.XLOOKUP($B515,ADP!A2:A671,ADP!G2:G671)</f>
        <v>0</v>
      </c>
      <c r="Q515" s="57" cm="1">
        <f t="array" ref="Q515">IF(Settings!$E$12="YES",VLOOKUP(B515,'Player Data'!A1:E673,5,FALSE),84)</f>
        <v>78</v>
      </c>
      <c r="R515" s="55" cm="1">
        <f t="array" ref="R515">VLOOKUP(B515,'Player Data'!$A1:$AE673,6,FALSE)</f>
        <v>14.1</v>
      </c>
      <c r="S515" s="57" cm="1">
        <f t="array" ref="S515">VLOOKUP(B515,'Player Data'!$A1:$AE673,7,FALSE)*$Q515*IFERROR((VLOOKUP(P515,Settings!$E$28:$F$33,2,FALSE)+1),1)</f>
        <v>18.72</v>
      </c>
      <c r="T515" s="57" cm="1">
        <f t="array" ref="T515">VLOOKUP(B515,'Player Data'!$A1:$AE673,8,FALSE)*$Q515*IFERROR((VLOOKUP(P515,Settings!$E$28:$F$33,2,FALSE)+1),1)</f>
        <v>16.38</v>
      </c>
      <c r="U515" s="57" cm="1">
        <f t="array" ref="U515">SUM(S515:T515)</f>
        <v>35.099999999999994</v>
      </c>
      <c r="V515" s="57" cm="1">
        <f t="array" ref="V515">VLOOKUP(B515,'Player Data'!$A1:$AE673,10,FALSE)*$Q515*IFERROR(((VLOOKUP(P515,Settings!$E$28:$F$33,2,FALSE)/2)+1),1)</f>
        <v>125.58000000000001</v>
      </c>
      <c r="W515" s="57" cm="1">
        <f t="array" ref="W515">VLOOKUP(B515,'Player Data'!$A1:$AE673,11,FALSE)*$Q515*IFERROR((VLOOKUP(P515,Settings!$E$28:$F$33,2,FALSE)+1),1)</f>
        <v>0.78</v>
      </c>
      <c r="X515" s="57" cm="1">
        <f t="array" ref="X515">VLOOKUP(B515,'Player Data'!$A1:$AE673,12,FALSE)*$Q515*IFERROR((VLOOKUP(P515,Settings!$E$28:$F$33,2,FALSE)+1),1)</f>
        <v>1.56</v>
      </c>
      <c r="Y515" s="57" cm="1">
        <f t="array" ref="Y515">VLOOKUP(B515,'Player Data'!$A1:$AE673,13,FALSE)*$Q515</f>
        <v>0.78</v>
      </c>
      <c r="Z515" s="57" cm="1">
        <f t="array" ref="Z515">VLOOKUP(B515,'Player Data'!$A1:$AE673,14,FALSE)*$Q515</f>
        <v>2.34</v>
      </c>
      <c r="AA515" s="57" cm="1">
        <f t="array" ref="AA515">VLOOKUP(B515,'Player Data'!$A1:$AE673,15,FALSE)*$Q515</f>
        <v>60.06</v>
      </c>
      <c r="AB515" s="57" cm="1">
        <f t="array" ref="AB515">VLOOKUP(B515,'Player Data'!$A1:$AE673,16,FALSE)*$Q515</f>
        <v>42.900000000000006</v>
      </c>
      <c r="AC515" s="57" cm="1">
        <f t="array" ref="AC515">VLOOKUP(B515,'Player Data'!$A1:$AE673,17,FALSE)*$Q515*IFERROR((VLOOKUP(P515,Settings!$E$28:$F$33,2,FALSE)+1),1)</f>
        <v>0.78</v>
      </c>
      <c r="AD515" s="57" cm="1">
        <f t="array" ref="AD515">VLOOKUP(B515,'Player Data'!$A1:$AE673,18,FALSE)*$Q515</f>
        <v>21.840000000000003</v>
      </c>
      <c r="AE515" s="57" cm="1">
        <f t="array" ref="AE515">VLOOKUP(B515,'Player Data'!$A1:$AE673,19,FALSE)*$Q515*IFERROR((VLOOKUP(P515,Settings!$E$28:$F$33,2,FALSE)+1),1)</f>
        <v>3.12</v>
      </c>
      <c r="AF515" s="57" cm="1">
        <f t="array" ref="AF515">VLOOKUP(B515,'Player Data'!$A1:$AE673,20,FALSE)*$Q515</f>
        <v>276.89999999999998</v>
      </c>
      <c r="AG515" s="57" cm="1">
        <f t="array" ref="AG515">VLOOKUP(B515,'Player Data'!$A1:$AE673,21,FALSE)*$Q515</f>
        <v>335.4</v>
      </c>
      <c r="AH515" s="59" cm="1">
        <f t="array" ref="AH515">VLOOKUP(B515,'Player Data'!$A1:$AE673,22,FALSE)</f>
        <v>0.45</v>
      </c>
      <c r="AI515" s="55"/>
      <c r="AJ515" s="57"/>
      <c r="AK515" s="57"/>
      <c r="AL515" s="57"/>
      <c r="AM515" s="57"/>
      <c r="AN515" s="57"/>
      <c r="AO515" s="57"/>
      <c r="AP515" s="57"/>
      <c r="AQ515" s="60"/>
      <c r="AR515" s="61"/>
      <c r="AS515" s="55"/>
    </row>
    <row r="516" spans="1:45" ht="21.25" customHeight="1" x14ac:dyDescent="0.15">
      <c r="A516" s="62">
        <f>RANK(K516,K$2:K$671)</f>
        <v>512</v>
      </c>
      <c r="B516" s="10" t="s">
        <v>573</v>
      </c>
      <c r="C516" s="47" t="s">
        <v>145</v>
      </c>
      <c r="D516" s="48" t="str" cm="1">
        <f t="array" ref="D516">VLOOKUP(B516,'Player Data'!A1:D673,4,FALSE)</f>
        <v>C,RW</v>
      </c>
      <c r="E516" s="74" cm="1">
        <f t="array" ref="E516">VLOOKUP(B516,RW!A1:F210,3,FALSE)</f>
        <v>131</v>
      </c>
      <c r="F516" s="69" t="str" cm="1">
        <f t="array" ref="F516">VLOOKUP(B516,'Player Data'!A1:B673,2,FALSE)</f>
        <v>CBJ</v>
      </c>
      <c r="G516" s="71" cm="1">
        <f t="array" ref="G516">VLOOKUP(B516,'Player Data'!A1:D673,3,FALSE)</f>
        <v>23</v>
      </c>
      <c r="H516" s="51" cm="1">
        <f t="array" ref="H516">IFERROR(VLOOKUP(B516,ADP!A1:F671,6,FALSE)/1000000,VLOOKUP(B516,ADP!A1:F671,6,FALSE))</f>
        <v>4.625</v>
      </c>
      <c r="I516" s="52">
        <f>IF(Settings!$E$15="POINTS",((R516*Q516)*Settings!$B$12)+(S516*Settings!$B$2)+(T516*Settings!$B$3)+(U516*Settings!$B$4)+(V516*Settings!$B$5)+(X516*Settings!$B$9)+(AA516*Settings!$B$6)+(W516*Settings!$B$8)+(AB516*Settings!$B$7)+(AC516*Settings!$B$14)+(AD516*Settings!$B$15)+(AE516*Settings!$B$16)+(AF516*Settings!$B$17)+(AG516*Settings!$B$18)+(Y516*Settings!$B$10)+(Z516*Settings!$B$11),VLOOKUP(B516,'Standard Deviations'!A$1:C$672,3,FALSE))</f>
        <v>-0.95055809431372806</v>
      </c>
      <c r="J516" s="53" cm="1">
        <f t="array" ref="J516">IF(D516="G",I516/AJ516,I516/Q516)</f>
        <v>-1.1735285114984298E-2</v>
      </c>
      <c r="K516" s="52" cm="1">
        <f t="array" ref="K516">IF(Settings!$E$18="C/LW/RW",VLOOKUP(B516,RW!A1:F210,6,FALSE),VLOOKUP(B516,F!A1:F407,6,FALSE))</f>
        <v>-7.8377926961228059</v>
      </c>
      <c r="L516" s="54" cm="1">
        <f t="array" ref="L516">IFERROR(K516/H516,"N/A")</f>
        <v>-1.6946578802427688</v>
      </c>
      <c r="M516" s="84" t="s">
        <v>828</v>
      </c>
      <c r="N516" s="84" t="str" cm="1">
        <f t="array" ref="N516">IFERROR(M516-A516,"N/A")</f>
        <v>N/A</v>
      </c>
      <c r="O516" s="55"/>
      <c r="P516" s="56" cm="1">
        <f t="array" ref="P516">_xlfn.XLOOKUP($B516,ADP!A2:A671,ADP!G2:G671)</f>
        <v>0</v>
      </c>
      <c r="Q516" s="57" cm="1">
        <f t="array" ref="Q516">IF(Settings!$E$12="YES",VLOOKUP(B516,'Player Data'!A1:E673,5,FALSE),84)</f>
        <v>81</v>
      </c>
      <c r="R516" s="55" cm="1">
        <f t="array" ref="R516">VLOOKUP(B516,'Player Data'!$A1:$AE673,6,FALSE)</f>
        <v>14.5</v>
      </c>
      <c r="S516" s="57" cm="1">
        <f t="array" ref="S516">VLOOKUP(B516,'Player Data'!$A1:$AE673,7,FALSE)*$Q516*IFERROR((VLOOKUP(P516,Settings!$E$28:$F$33,2,FALSE)+1),1)</f>
        <v>10.530000000000001</v>
      </c>
      <c r="T516" s="57" cm="1">
        <f t="array" ref="T516">VLOOKUP(B516,'Player Data'!$A1:$AE673,8,FALSE)*$Q516*IFERROR((VLOOKUP(P516,Settings!$E$28:$F$33,2,FALSE)+1),1)</f>
        <v>22.680000000000003</v>
      </c>
      <c r="U516" s="57" cm="1">
        <f t="array" ref="U516">SUM(S516:T516)</f>
        <v>33.210000000000008</v>
      </c>
      <c r="V516" s="57" cm="1">
        <f t="array" ref="V516">VLOOKUP(B516,'Player Data'!$A1:$AE673,10,FALSE)*$Q516*IFERROR(((VLOOKUP(P516,Settings!$E$28:$F$33,2,FALSE)/2)+1),1)</f>
        <v>128.79000000000002</v>
      </c>
      <c r="W516" s="57" cm="1">
        <f t="array" ref="W516">VLOOKUP(B516,'Player Data'!$A1:$AE673,11,FALSE)*$Q516*IFERROR((VLOOKUP(P516,Settings!$E$28:$F$33,2,FALSE)+1),1)</f>
        <v>0.81</v>
      </c>
      <c r="X516" s="57" cm="1">
        <f t="array" ref="X516">VLOOKUP(B516,'Player Data'!$A1:$AE673,12,FALSE)*$Q516*IFERROR((VLOOKUP(P516,Settings!$E$28:$F$33,2,FALSE)+1),1)</f>
        <v>0.81</v>
      </c>
      <c r="Y516" s="57" cm="1">
        <f t="array" ref="Y516">VLOOKUP(B516,'Player Data'!$A1:$AE673,13,FALSE)*$Q516</f>
        <v>0</v>
      </c>
      <c r="Z516" s="57" cm="1">
        <f t="array" ref="Z516">VLOOKUP(B516,'Player Data'!$A1:$AE673,14,FALSE)*$Q516</f>
        <v>0.81</v>
      </c>
      <c r="AA516" s="57" cm="1">
        <f t="array" ref="AA516">VLOOKUP(B516,'Player Data'!$A1:$AE673,15,FALSE)*$Q516</f>
        <v>42.120000000000005</v>
      </c>
      <c r="AB516" s="57" cm="1">
        <f t="array" ref="AB516">VLOOKUP(B516,'Player Data'!$A1:$AE673,16,FALSE)*$Q516</f>
        <v>97.2</v>
      </c>
      <c r="AC516" s="57" cm="1">
        <f t="array" ref="AC516">VLOOKUP(B516,'Player Data'!$A1:$AE673,17,FALSE)*$Q516*IFERROR((VLOOKUP(P516,Settings!$E$28:$F$33,2,FALSE)+1),1)</f>
        <v>0</v>
      </c>
      <c r="AD516" s="57" cm="1">
        <f t="array" ref="AD516">VLOOKUP(B516,'Player Data'!$A1:$AE673,18,FALSE)*$Q516</f>
        <v>33.21</v>
      </c>
      <c r="AE516" s="57" cm="1">
        <f t="array" ref="AE516">VLOOKUP(B516,'Player Data'!$A1:$AE673,19,FALSE)*$Q516*IFERROR((VLOOKUP(P516,Settings!$E$28:$F$33,2,FALSE)+1),1)</f>
        <v>1.62</v>
      </c>
      <c r="AF516" s="57" cm="1">
        <f t="array" ref="AF516">VLOOKUP(B516,'Player Data'!$A1:$AE673,20,FALSE)*$Q516</f>
        <v>136.07999999999998</v>
      </c>
      <c r="AG516" s="57" cm="1">
        <f t="array" ref="AG516">VLOOKUP(B516,'Player Data'!$A1:$AE673,21,FALSE)*$Q516</f>
        <v>171.72</v>
      </c>
      <c r="AH516" s="59" cm="1">
        <f t="array" ref="AH516">VLOOKUP(B516,'Player Data'!$A1:$AE673,22,FALSE)</f>
        <v>0.44</v>
      </c>
      <c r="AI516" s="55"/>
      <c r="AJ516" s="57"/>
      <c r="AK516" s="57"/>
      <c r="AL516" s="57"/>
      <c r="AM516" s="57"/>
      <c r="AN516" s="57"/>
      <c r="AO516" s="57"/>
      <c r="AP516" s="57"/>
      <c r="AQ516" s="60"/>
      <c r="AR516" s="61"/>
      <c r="AS516" s="55"/>
    </row>
    <row r="517" spans="1:45" ht="21.25" customHeight="1" x14ac:dyDescent="0.15">
      <c r="A517" s="62">
        <f>RANK(K517,K$2:K$671)</f>
        <v>513</v>
      </c>
      <c r="B517" s="10" t="s">
        <v>664</v>
      </c>
      <c r="C517" s="47" t="s">
        <v>145</v>
      </c>
      <c r="D517" s="48" t="str" cm="1">
        <f t="array" ref="D517">VLOOKUP(B517,'Player Data'!A1:D673,4,FALSE)</f>
        <v>C,RW</v>
      </c>
      <c r="E517" s="74" cm="1">
        <f t="array" ref="E517">VLOOKUP(B517,RW!A1:F210,3,FALSE)</f>
        <v>132</v>
      </c>
      <c r="F517" s="50" t="str" cm="1">
        <f t="array" ref="F517">VLOOKUP(B517,'Player Data'!A1:B673,2,FALSE)</f>
        <v>COL</v>
      </c>
      <c r="G517" s="11" cm="1">
        <f t="array" ref="G517">VLOOKUP(B517,'Player Data'!A1:D673,3,FALSE)</f>
        <v>29</v>
      </c>
      <c r="H517" s="67" cm="1">
        <f t="array" ref="H517">IFERROR(VLOOKUP(B517,ADP!A1:F671,6,FALSE)/1000000,VLOOKUP(B517,ADP!A1:F671,6,FALSE))</f>
        <v>3</v>
      </c>
      <c r="I517" s="52">
        <f>IF(Settings!$E$15="POINTS",((R517*Q517)*Settings!$B$12)+(S517*Settings!$B$2)+(T517*Settings!$B$3)+(U517*Settings!$B$4)+(V517*Settings!$B$5)+(X517*Settings!$B$9)+(AA517*Settings!$B$6)+(W517*Settings!$B$8)+(AB517*Settings!$B$7)+(AC517*Settings!$B$14)+(AD517*Settings!$B$15)+(AE517*Settings!$B$16)+(AF517*Settings!$B$17)+(AG517*Settings!$B$18)+(Y517*Settings!$B$10)+(Z517*Settings!$B$11),VLOOKUP(B517,'Standard Deviations'!A$1:C$672,3,FALSE))</f>
        <v>-0.9511738264205809</v>
      </c>
      <c r="J517" s="53" cm="1">
        <f t="array" ref="J517">IF(D517="G",I517/AJ517,I517/Q517)</f>
        <v>-1.1889672830257261E-2</v>
      </c>
      <c r="K517" s="52" cm="1">
        <f t="array" ref="K517">IF(Settings!$E$18="C/LW/RW",VLOOKUP(B517,RW!A1:F210,6,FALSE),VLOOKUP(B517,F!A1:F407,6,FALSE))</f>
        <v>-7.8384084282296582</v>
      </c>
      <c r="L517" s="54" cm="1">
        <f t="array" ref="L517">IFERROR(K517/H517,"N/A")</f>
        <v>-2.6128028094098861</v>
      </c>
      <c r="M517" s="84" t="s">
        <v>828</v>
      </c>
      <c r="N517" s="84" t="str" cm="1">
        <f t="array" ref="N517">IFERROR(M517-A517,"N/A")</f>
        <v>N/A</v>
      </c>
      <c r="O517" s="80"/>
      <c r="P517" s="56" cm="1">
        <f t="array" ref="P517">_xlfn.XLOOKUP($B517,ADP!A2:A671,ADP!G2:G671)</f>
        <v>0</v>
      </c>
      <c r="Q517" s="57" cm="1">
        <f t="array" ref="Q517">IF(Settings!$E$12="YES",VLOOKUP(B517,'Player Data'!A1:E673,5,FALSE),84)</f>
        <v>80</v>
      </c>
      <c r="R517" s="83" cm="1">
        <f t="array" ref="R517">VLOOKUP(B517,'Player Data'!$A1:$AE673,6,FALSE)</f>
        <v>13.4</v>
      </c>
      <c r="S517" s="57" cm="1">
        <f t="array" ref="S517">VLOOKUP(B517,'Player Data'!$A1:$AE673,7,FALSE)*$Q517*IFERROR((VLOOKUP(P517,Settings!$E$28:$F$33,2,FALSE)+1),1)</f>
        <v>11.200000000000001</v>
      </c>
      <c r="T517" s="57" cm="1">
        <f t="array" ref="T517">VLOOKUP(B517,'Player Data'!$A1:$AE673,8,FALSE)*$Q517*IFERROR((VLOOKUP(P517,Settings!$E$28:$F$33,2,FALSE)+1),1)</f>
        <v>18.400000000000002</v>
      </c>
      <c r="U517" s="57" cm="1">
        <f t="array" ref="U517">SUM(S517:T517)</f>
        <v>29.6</v>
      </c>
      <c r="V517" s="57" cm="1">
        <f t="array" ref="V517">VLOOKUP(B517,'Player Data'!$A1:$AE673,10,FALSE)*$Q517*IFERROR(((VLOOKUP(P517,Settings!$E$28:$F$33,2,FALSE)/2)+1),1)</f>
        <v>88.800000000000011</v>
      </c>
      <c r="W517" s="57" cm="1">
        <f t="array" ref="W517">VLOOKUP(B517,'Player Data'!$A1:$AE673,11,FALSE)*$Q517*IFERROR((VLOOKUP(P517,Settings!$E$28:$F$33,2,FALSE)+1),1)</f>
        <v>1.6</v>
      </c>
      <c r="X517" s="57" cm="1">
        <f t="array" ref="X517">VLOOKUP(B517,'Player Data'!$A1:$AE673,12,FALSE)*$Q517*IFERROR((VLOOKUP(P517,Settings!$E$28:$F$33,2,FALSE)+1),1)</f>
        <v>2.4</v>
      </c>
      <c r="Y517" s="57" cm="1">
        <f t="array" ref="Y517">VLOOKUP(B517,'Player Data'!$A1:$AE673,13,FALSE)*$Q517</f>
        <v>0</v>
      </c>
      <c r="Z517" s="57" cm="1">
        <f t="array" ref="Z517">VLOOKUP(B517,'Player Data'!$A1:$AE673,14,FALSE)*$Q517</f>
        <v>0.8</v>
      </c>
      <c r="AA517" s="57" cm="1">
        <f t="array" ref="AA517">VLOOKUP(B517,'Player Data'!$A1:$AE673,15,FALSE)*$Q517</f>
        <v>44</v>
      </c>
      <c r="AB517" s="57" cm="1">
        <f t="array" ref="AB517">VLOOKUP(B517,'Player Data'!$A1:$AE673,16,FALSE)*$Q517</f>
        <v>75.199999999999989</v>
      </c>
      <c r="AC517" s="57" cm="1">
        <f t="array" ref="AC517">VLOOKUP(B517,'Player Data'!$A1:$AE673,17,FALSE)*$Q517*IFERROR((VLOOKUP(P517,Settings!$E$28:$F$33,2,FALSE)+1),1)</f>
        <v>5.6000000000000005</v>
      </c>
      <c r="AD517" s="57" cm="1">
        <f t="array" ref="AD517">VLOOKUP(B517,'Player Data'!$A1:$AE673,18,FALSE)*$Q517</f>
        <v>27.200000000000003</v>
      </c>
      <c r="AE517" s="57" cm="1">
        <f t="array" ref="AE517">VLOOKUP(B517,'Player Data'!$A1:$AE673,19,FALSE)*$Q517*IFERROR((VLOOKUP(P517,Settings!$E$28:$F$33,2,FALSE)+1),1)</f>
        <v>1.6</v>
      </c>
      <c r="AF517" s="57" cm="1">
        <f t="array" ref="AF517">VLOOKUP(B517,'Player Data'!$A1:$AE673,20,FALSE)*$Q517</f>
        <v>362.40000000000003</v>
      </c>
      <c r="AG517" s="57" cm="1">
        <f t="array" ref="AG517">VLOOKUP(B517,'Player Data'!$A1:$AE673,21,FALSE)*$Q517</f>
        <v>370.4</v>
      </c>
      <c r="AH517" s="59" cm="1">
        <f t="array" ref="AH517">VLOOKUP(B517,'Player Data'!$A1:$AE673,22,FALSE)</f>
        <v>0.49</v>
      </c>
      <c r="AI517" s="55"/>
      <c r="AJ517" s="57"/>
      <c r="AK517" s="57"/>
      <c r="AL517" s="57"/>
      <c r="AM517" s="57"/>
      <c r="AN517" s="57"/>
      <c r="AO517" s="57"/>
      <c r="AP517" s="57"/>
      <c r="AQ517" s="60"/>
      <c r="AR517" s="61"/>
      <c r="AS517" s="55"/>
    </row>
    <row r="518" spans="1:45" ht="21.25" customHeight="1" x14ac:dyDescent="0.15">
      <c r="A518" s="62">
        <f>RANK(K518,K$2:K$671)</f>
        <v>518</v>
      </c>
      <c r="B518" s="10" t="s">
        <v>689</v>
      </c>
      <c r="C518" s="47" t="s">
        <v>145</v>
      </c>
      <c r="D518" s="48" t="str" cm="1">
        <f t="array" ref="D518">VLOOKUP(B518,'Player Data'!A1:D673,4,FALSE)</f>
        <v>LW</v>
      </c>
      <c r="E518" s="75" cm="1">
        <f t="array" ref="E518">VLOOKUP(B518,LW!A1:C210,3,FALSE)</f>
        <v>137</v>
      </c>
      <c r="F518" s="56" t="str" cm="1">
        <f t="array" ref="F518">VLOOKUP(B518,'Player Data'!A1:B673,2,FALSE)</f>
        <v>UTA</v>
      </c>
      <c r="G518" s="11" cm="1">
        <f t="array" ref="G518">VLOOKUP(B518,'Player Data'!A1:D673,3,FALSE)</f>
        <v>30</v>
      </c>
      <c r="H518" s="51" cm="1">
        <f t="array" ref="H518">IFERROR(VLOOKUP(B518,ADP!A1:F671,6,FALSE)/1000000,VLOOKUP(B518,ADP!A1:F671,6,FALSE))</f>
        <v>1.75</v>
      </c>
      <c r="I518" s="52">
        <f>IF(Settings!$E$15="POINTS",((R518*Q518)*Settings!$B$12)+(S518*Settings!$B$2)+(T518*Settings!$B$3)+(U518*Settings!$B$4)+(V518*Settings!$B$5)+(X518*Settings!$B$9)+(AA518*Settings!$B$6)+(W518*Settings!$B$8)+(AB518*Settings!$B$7)+(AC518*Settings!$B$14)+(AD518*Settings!$B$15)+(AE518*Settings!$B$16)+(AF518*Settings!$B$17)+(AG518*Settings!$B$18)+(Y518*Settings!$B$10)+(Z518*Settings!$B$11),VLOOKUP(B518,'Standard Deviations'!A$1:C$672,3,FALSE))</f>
        <v>-1.0074437014506903</v>
      </c>
      <c r="J518" s="53" cm="1">
        <f t="array" ref="J518">IF(D518="G",I518/AJ518,I518/Q518)</f>
        <v>-1.2752451917097346E-2</v>
      </c>
      <c r="K518" s="52" cm="1">
        <f t="array" ref="K518">IF(Settings!$E$18="C/LW/RW",VLOOKUP(B518,LW!A1:F210,6,FALSE),VLOOKUP(B518,F!A1:F407,6,FALSE))</f>
        <v>-7.9018293458405005</v>
      </c>
      <c r="L518" s="54" cm="1">
        <f t="array" ref="L518">IFERROR(K518/H518,"N/A")</f>
        <v>-4.5153310547660004</v>
      </c>
      <c r="M518" s="84" t="s">
        <v>828</v>
      </c>
      <c r="N518" s="84" t="str" cm="1">
        <f t="array" ref="N518">IFERROR(M518-A518,"N/A")</f>
        <v>N/A</v>
      </c>
      <c r="O518" s="82"/>
      <c r="P518" s="56" cm="1">
        <f t="array" ref="P518">_xlfn.XLOOKUP($B518,ADP!A2:A671,ADP!G2:G671)</f>
        <v>0</v>
      </c>
      <c r="Q518" s="57" cm="1">
        <f t="array" ref="Q518">IF(Settings!$E$12="YES",VLOOKUP(B518,'Player Data'!A1:E673,5,FALSE),84)</f>
        <v>79</v>
      </c>
      <c r="R518" s="83" cm="1">
        <f t="array" ref="R518">VLOOKUP(B518,'Player Data'!$A1:$AE673,6,FALSE)</f>
        <v>11.1</v>
      </c>
      <c r="S518" s="57" cm="1">
        <f t="array" ref="S518">VLOOKUP(B518,'Player Data'!$A1:$AE673,7,FALSE)*$Q518*IFERROR((VLOOKUP(P518,Settings!$E$28:$F$33,2,FALSE)+1),1)</f>
        <v>11.85</v>
      </c>
      <c r="T518" s="57" cm="1">
        <f t="array" ref="T518">VLOOKUP(B518,'Player Data'!$A1:$AE673,8,FALSE)*$Q518*IFERROR((VLOOKUP(P518,Settings!$E$28:$F$33,2,FALSE)+1),1)</f>
        <v>11.85</v>
      </c>
      <c r="U518" s="57" cm="1">
        <f t="array" ref="U518">SUM(S518:T518)</f>
        <v>23.7</v>
      </c>
      <c r="V518" s="57" cm="1">
        <f t="array" ref="V518">VLOOKUP(B518,'Player Data'!$A1:$AE673,10,FALSE)*$Q518*IFERROR(((VLOOKUP(P518,Settings!$E$28:$F$33,2,FALSE)/2)+1),1)</f>
        <v>116.92</v>
      </c>
      <c r="W518" s="57" cm="1">
        <f t="array" ref="W518">VLOOKUP(B518,'Player Data'!$A1:$AE673,11,FALSE)*$Q518*IFERROR((VLOOKUP(P518,Settings!$E$28:$F$33,2,FALSE)+1),1)</f>
        <v>0.79</v>
      </c>
      <c r="X518" s="57" cm="1">
        <f t="array" ref="X518">VLOOKUP(B518,'Player Data'!$A1:$AE673,12,FALSE)*$Q518*IFERROR((VLOOKUP(P518,Settings!$E$28:$F$33,2,FALSE)+1),1)</f>
        <v>0.79</v>
      </c>
      <c r="Y518" s="57" cm="1">
        <f t="array" ref="Y518">VLOOKUP(B518,'Player Data'!$A1:$AE673,13,FALSE)*$Q518</f>
        <v>0</v>
      </c>
      <c r="Z518" s="57" cm="1">
        <f t="array" ref="Z518">VLOOKUP(B518,'Player Data'!$A1:$AE673,14,FALSE)*$Q518</f>
        <v>0</v>
      </c>
      <c r="AA518" s="57" cm="1">
        <f t="array" ref="AA518">VLOOKUP(B518,'Player Data'!$A1:$AE673,15,FALSE)*$Q518</f>
        <v>18.170000000000002</v>
      </c>
      <c r="AB518" s="57" cm="1">
        <f t="array" ref="AB518">VLOOKUP(B518,'Player Data'!$A1:$AE673,16,FALSE)*$Q518</f>
        <v>118.5</v>
      </c>
      <c r="AC518" s="57" cm="1">
        <f t="array" ref="AC518">VLOOKUP(B518,'Player Data'!$A1:$AE673,17,FALSE)*$Q518*IFERROR((VLOOKUP(P518,Settings!$E$28:$F$33,2,FALSE)+1),1)</f>
        <v>1.58</v>
      </c>
      <c r="AD518" s="57" cm="1">
        <f t="array" ref="AD518">VLOOKUP(B518,'Player Data'!$A1:$AE673,18,FALSE)*$Q518</f>
        <v>22.91</v>
      </c>
      <c r="AE518" s="57" cm="1">
        <f t="array" ref="AE518">VLOOKUP(B518,'Player Data'!$A1:$AE673,19,FALSE)*$Q518*IFERROR((VLOOKUP(P518,Settings!$E$28:$F$33,2,FALSE)+1),1)</f>
        <v>2.37</v>
      </c>
      <c r="AF518" s="57" cm="1">
        <f t="array" ref="AF518">VLOOKUP(B518,'Player Data'!$A1:$AE673,20,FALSE)*$Q518</f>
        <v>10.27</v>
      </c>
      <c r="AG518" s="57" cm="1">
        <f t="array" ref="AG518">VLOOKUP(B518,'Player Data'!$A1:$AE673,21,FALSE)*$Q518</f>
        <v>13.430000000000001</v>
      </c>
      <c r="AH518" s="59" cm="1">
        <f t="array" ref="AH518">VLOOKUP(B518,'Player Data'!$A1:$AE673,22,FALSE)</f>
        <v>0.43</v>
      </c>
      <c r="AI518" s="55"/>
      <c r="AJ518" s="57"/>
      <c r="AK518" s="57"/>
      <c r="AL518" s="57"/>
      <c r="AM518" s="57"/>
      <c r="AN518" s="57"/>
      <c r="AO518" s="57"/>
      <c r="AP518" s="57"/>
      <c r="AQ518" s="60"/>
      <c r="AR518" s="61"/>
      <c r="AS518" s="55"/>
    </row>
    <row r="519" spans="1:45" ht="21.25" customHeight="1" x14ac:dyDescent="0.15">
      <c r="A519" s="62">
        <f>RANK(K519,K$2:K$671)</f>
        <v>515</v>
      </c>
      <c r="B519" s="10" t="s">
        <v>392</v>
      </c>
      <c r="C519" s="47" t="s">
        <v>145</v>
      </c>
      <c r="D519" s="48" t="str" cm="1">
        <f t="array" ref="D519">VLOOKUP(B519,'Player Data'!A1:D673,4,FALSE)</f>
        <v>C</v>
      </c>
      <c r="E519" s="49" cm="1">
        <f t="array" ref="E519">VLOOKUP(B519,'C'!A1:C210,3,FALSE)</f>
        <v>141</v>
      </c>
      <c r="F519" s="56" t="str" cm="1">
        <f t="array" ref="F519">VLOOKUP(B519,'Player Data'!A1:B673,2,FALSE)</f>
        <v>CHI</v>
      </c>
      <c r="G519" s="71" cm="1">
        <f t="array" ref="G519">VLOOKUP(B519,'Player Data'!A1:D673,3,FALSE)</f>
        <v>22</v>
      </c>
      <c r="H519" s="51" cm="1">
        <f t="array" ref="H519">IFERROR(VLOOKUP(B519,ADP!A1:F671,6,FALSE)/1000000,VLOOKUP(B519,ADP!A1:F671,6,FALSE))</f>
        <v>6.5990000000000002</v>
      </c>
      <c r="I519" s="52">
        <f>IF(Settings!$E$15="POINTS",((R519*Q519)*Settings!$B$12)+(S519*Settings!$B$2)+(T519*Settings!$B$3)+(U519*Settings!$B$4)+(V519*Settings!$B$5)+(X519*Settings!$B$9)+(AA519*Settings!$B$6)+(W519*Settings!$B$8)+(AB519*Settings!$B$7)+(AC519*Settings!$B$14)+(AD519*Settings!$B$15)+(AE519*Settings!$B$16)+(AF519*Settings!$B$17)+(AG519*Settings!$B$18)+(Y519*Settings!$B$10)+(Z519*Settings!$B$11),VLOOKUP(B519,'Standard Deviations'!A$1:C$672,3,FALSE))</f>
        <v>-1.5115879104757712</v>
      </c>
      <c r="J519" s="53" cm="1">
        <f t="array" ref="J519">IF(D519="G",I519/AJ519,I519/Q519)</f>
        <v>-2.0154505473010283E-2</v>
      </c>
      <c r="K519" s="52" cm="1">
        <f t="array" ref="K519">IF(Settings!$E$18="C/LW/RW",VLOOKUP(B519,'C'!A1:F210,6,FALSE),VLOOKUP(B519,F!A1:F407,6,FALSE))</f>
        <v>-7.8715974680908349</v>
      </c>
      <c r="L519" s="54" cm="1">
        <f t="array" ref="L519">IFERROR(K519/H519,"N/A")</f>
        <v>-1.1928470174406478</v>
      </c>
      <c r="M519" s="84" t="s">
        <v>828</v>
      </c>
      <c r="N519" s="84" t="str" cm="1">
        <f t="array" ref="N519">IFERROR(M519-A519,"N/A")</f>
        <v>N/A</v>
      </c>
      <c r="O519" s="55"/>
      <c r="P519" s="56" cm="1">
        <f t="array" ref="P519">_xlfn.XLOOKUP($B519,ADP!A2:A671,ADP!G2:G671)</f>
        <v>0</v>
      </c>
      <c r="Q519" s="57" cm="1">
        <f t="array" ref="Q519">IF(Settings!$E$12="YES",VLOOKUP(B519,'Player Data'!A1:E673,5,FALSE),84)</f>
        <v>75</v>
      </c>
      <c r="R519" s="55" cm="1">
        <f t="array" ref="R519">VLOOKUP(B519,'Player Data'!$A1:$AE673,6,FALSE)</f>
        <v>18</v>
      </c>
      <c r="S519" s="57" cm="1">
        <f t="array" ref="S519">VLOOKUP(B519,'Player Data'!$A1:$AE673,7,FALSE)*$Q519*IFERROR((VLOOKUP(P519,Settings!$E$28:$F$33,2,FALSE)+1),1)</f>
        <v>18.75</v>
      </c>
      <c r="T519" s="57" cm="1">
        <f t="array" ref="T519">VLOOKUP(B519,'Player Data'!$A1:$AE673,8,FALSE)*$Q519*IFERROR((VLOOKUP(P519,Settings!$E$28:$F$33,2,FALSE)+1),1)</f>
        <v>27</v>
      </c>
      <c r="U519" s="57" cm="1">
        <f t="array" ref="U519">SUM(S519:T519)</f>
        <v>45.75</v>
      </c>
      <c r="V519" s="57" cm="1">
        <f t="array" ref="V519">VLOOKUP(B519,'Player Data'!$A1:$AE673,10,FALSE)*$Q519*IFERROR(((VLOOKUP(P519,Settings!$E$28:$F$33,2,FALSE)/2)+1),1)</f>
        <v>144.75</v>
      </c>
      <c r="W519" s="57" cm="1">
        <f t="array" ref="W519">VLOOKUP(B519,'Player Data'!$A1:$AE673,11,FALSE)*$Q519*IFERROR((VLOOKUP(P519,Settings!$E$28:$F$33,2,FALSE)+1),1)</f>
        <v>3</v>
      </c>
      <c r="X519" s="78" cm="1">
        <f t="array" ref="X519">VLOOKUP(B519,'Player Data'!$A1:$AE673,12,FALSE)*$Q519*IFERROR((VLOOKUP(P519,Settings!$E$28:$F$33,2,FALSE)+1),1)</f>
        <v>9</v>
      </c>
      <c r="Y519" s="57" cm="1">
        <f t="array" ref="Y519">VLOOKUP(B519,'Player Data'!$A1:$AE673,13,FALSE)*$Q519</f>
        <v>0.75</v>
      </c>
      <c r="Z519" s="57" cm="1">
        <f t="array" ref="Z519">VLOOKUP(B519,'Player Data'!$A1:$AE673,14,FALSE)*$Q519</f>
        <v>0.75</v>
      </c>
      <c r="AA519" s="57" cm="1">
        <f t="array" ref="AA519">VLOOKUP(B519,'Player Data'!$A1:$AE673,15,FALSE)*$Q519</f>
        <v>48.75</v>
      </c>
      <c r="AB519" s="57" cm="1">
        <f t="array" ref="AB519">VLOOKUP(B519,'Player Data'!$A1:$AE673,16,FALSE)*$Q519</f>
        <v>48.75</v>
      </c>
      <c r="AC519" s="57" cm="1">
        <f t="array" ref="AC519">VLOOKUP(B519,'Player Data'!$A1:$AE673,17,FALSE)*$Q519*IFERROR((VLOOKUP(P519,Settings!$E$28:$F$33,2,FALSE)+1),1)</f>
        <v>-8.25</v>
      </c>
      <c r="AD519" s="57" cm="1">
        <f t="array" ref="AD519">VLOOKUP(B519,'Player Data'!$A1:$AE673,18,FALSE)*$Q519</f>
        <v>27.75</v>
      </c>
      <c r="AE519" s="57" cm="1">
        <f t="array" ref="AE519">VLOOKUP(B519,'Player Data'!$A1:$AE673,19,FALSE)*$Q519*IFERROR((VLOOKUP(P519,Settings!$E$28:$F$33,2,FALSE)+1),1)</f>
        <v>2.25</v>
      </c>
      <c r="AF519" s="57" cm="1">
        <f t="array" ref="AF519">VLOOKUP(B519,'Player Data'!$A1:$AE673,20,FALSE)*$Q519</f>
        <v>416.99999999999994</v>
      </c>
      <c r="AG519" s="57" cm="1">
        <f t="array" ref="AG519">VLOOKUP(B519,'Player Data'!$A1:$AE673,21,FALSE)*$Q519</f>
        <v>482.25</v>
      </c>
      <c r="AH519" s="59" cm="1">
        <f t="array" ref="AH519">VLOOKUP(B519,'Player Data'!$A1:$AE673,22,FALSE)</f>
        <v>0.46</v>
      </c>
      <c r="AI519" s="55"/>
      <c r="AJ519" s="57"/>
      <c r="AK519" s="57"/>
      <c r="AL519" s="57"/>
      <c r="AM519" s="57"/>
      <c r="AN519" s="57"/>
      <c r="AO519" s="57"/>
      <c r="AP519" s="57"/>
      <c r="AQ519" s="60"/>
      <c r="AR519" s="61"/>
      <c r="AS519" s="55"/>
    </row>
    <row r="520" spans="1:45" ht="21.25" customHeight="1" x14ac:dyDescent="0.15">
      <c r="A520" s="62">
        <f>RANK(K520,K$2:K$671)</f>
        <v>516</v>
      </c>
      <c r="B520" s="10" t="s">
        <v>627</v>
      </c>
      <c r="C520" s="47" t="s">
        <v>145</v>
      </c>
      <c r="D520" s="48" t="str" cm="1">
        <f t="array" ref="D520">VLOOKUP(B520,'Player Data'!A1:D673,4,FALSE)</f>
        <v>LW,RW</v>
      </c>
      <c r="E520" s="74" cm="1">
        <f t="array" ref="E520">VLOOKUP(B520,RW!A1:F210,3,FALSE)</f>
        <v>133</v>
      </c>
      <c r="F520" s="18" t="str" cm="1">
        <f t="array" ref="F520">VLOOKUP(B520,'Player Data'!A1:B673,2,FALSE)</f>
        <v>OTT</v>
      </c>
      <c r="G520" s="11" cm="1">
        <f t="array" ref="G520">VLOOKUP(B520,'Player Data'!A1:D673,3,FALSE)</f>
        <v>30</v>
      </c>
      <c r="H520" s="67" cm="1">
        <f t="array" ref="H520">IFERROR(VLOOKUP(B520,ADP!A1:F671,6,FALSE)/1000000,VLOOKUP(B520,ADP!A1:F671,6,FALSE))</f>
        <v>3.5</v>
      </c>
      <c r="I520" s="52">
        <f>IF(Settings!$E$15="POINTS",((R520*Q520)*Settings!$B$12)+(S520*Settings!$B$2)+(T520*Settings!$B$3)+(U520*Settings!$B$4)+(V520*Settings!$B$5)+(X520*Settings!$B$9)+(AA520*Settings!$B$6)+(W520*Settings!$B$8)+(AB520*Settings!$B$7)+(AC520*Settings!$B$14)+(AD520*Settings!$B$15)+(AE520*Settings!$B$16)+(AF520*Settings!$B$17)+(AG520*Settings!$B$18)+(Y520*Settings!$B$10)+(Z520*Settings!$B$11),VLOOKUP(B520,'Standard Deviations'!A$1:C$672,3,FALSE))</f>
        <v>-0.99025770759389942</v>
      </c>
      <c r="J520" s="53" cm="1">
        <f t="array" ref="J520">IF(D520="G",I520/AJ520,I520/Q520)</f>
        <v>-1.2076313507242677E-2</v>
      </c>
      <c r="K520" s="52" cm="1">
        <f t="array" ref="K520">IF(Settings!$E$18="C/LW/RW",VLOOKUP(B520,RW!A1:F210,6,FALSE),VLOOKUP(B520,F!A1:F407,6,FALSE))</f>
        <v>-7.8774923094029772</v>
      </c>
      <c r="L520" s="54" cm="1">
        <f t="array" ref="L520">IFERROR(K520/H520,"N/A")</f>
        <v>-2.2507120884008507</v>
      </c>
      <c r="M520" s="84" t="s">
        <v>828</v>
      </c>
      <c r="N520" s="84" t="str" cm="1">
        <f t="array" ref="N520">IFERROR(M520-A520,"N/A")</f>
        <v>N/A</v>
      </c>
      <c r="O520" s="55"/>
      <c r="P520" s="56" cm="1">
        <f t="array" ref="P520">_xlfn.XLOOKUP($B520,ADP!A2:A671,ADP!G2:G671)</f>
        <v>0</v>
      </c>
      <c r="Q520" s="57" cm="1">
        <f t="array" ref="Q520">IF(Settings!$E$12="YES",VLOOKUP(B520,'Player Data'!A1:E673,5,FALSE),84)</f>
        <v>82</v>
      </c>
      <c r="R520" s="55" cm="1">
        <f t="array" ref="R520">VLOOKUP(B520,'Player Data'!$A1:$AE673,6,FALSE)</f>
        <v>13.1</v>
      </c>
      <c r="S520" s="57" cm="1">
        <f t="array" ref="S520">VLOOKUP(B520,'Player Data'!$A1:$AE673,7,FALSE)*$Q520*IFERROR((VLOOKUP(P520,Settings!$E$28:$F$33,2,FALSE)+1),1)</f>
        <v>14.76</v>
      </c>
      <c r="T520" s="57" cm="1">
        <f t="array" ref="T520">VLOOKUP(B520,'Player Data'!$A1:$AE673,8,FALSE)*$Q520*IFERROR((VLOOKUP(P520,Settings!$E$28:$F$33,2,FALSE)+1),1)</f>
        <v>12.299999999999999</v>
      </c>
      <c r="U520" s="57" cm="1">
        <f t="array" ref="U520">SUM(S520:T520)</f>
        <v>27.06</v>
      </c>
      <c r="V520" s="57" cm="1">
        <f t="array" ref="V520">VLOOKUP(B520,'Player Data'!$A1:$AE673,10,FALSE)*$Q520*IFERROR(((VLOOKUP(P520,Settings!$E$28:$F$33,2,FALSE)/2)+1),1)</f>
        <v>130.38</v>
      </c>
      <c r="W520" s="57" cm="1">
        <f t="array" ref="W520">VLOOKUP(B520,'Player Data'!$A1:$AE673,11,FALSE)*$Q520*IFERROR((VLOOKUP(P520,Settings!$E$28:$F$33,2,FALSE)+1),1)</f>
        <v>0.82000000000000006</v>
      </c>
      <c r="X520" s="57" cm="1">
        <f t="array" ref="X520">VLOOKUP(B520,'Player Data'!$A1:$AE673,12,FALSE)*$Q520*IFERROR((VLOOKUP(P520,Settings!$E$28:$F$33,2,FALSE)+1),1)</f>
        <v>0.82000000000000006</v>
      </c>
      <c r="Y520" s="57" cm="1">
        <f t="array" ref="Y520">VLOOKUP(B520,'Player Data'!$A1:$AE673,13,FALSE)*$Q520</f>
        <v>0</v>
      </c>
      <c r="Z520" s="57" cm="1">
        <f t="array" ref="Z520">VLOOKUP(B520,'Player Data'!$A1:$AE673,14,FALSE)*$Q520</f>
        <v>0</v>
      </c>
      <c r="AA520" s="57" cm="1">
        <f t="array" ref="AA520">VLOOKUP(B520,'Player Data'!$A1:$AE673,15,FALSE)*$Q520</f>
        <v>27.060000000000002</v>
      </c>
      <c r="AB520" s="57" cm="1">
        <f t="array" ref="AB520">VLOOKUP(B520,'Player Data'!$A1:$AE673,16,FALSE)*$Q520</f>
        <v>82.820000000000007</v>
      </c>
      <c r="AC520" s="57" cm="1">
        <f t="array" ref="AC520">VLOOKUP(B520,'Player Data'!$A1:$AE673,17,FALSE)*$Q520*IFERROR((VLOOKUP(P520,Settings!$E$28:$F$33,2,FALSE)+1),1)</f>
        <v>2.46</v>
      </c>
      <c r="AD520" s="57" cm="1">
        <f t="array" ref="AD520">VLOOKUP(B520,'Player Data'!$A1:$AE673,18,FALSE)*$Q520</f>
        <v>24.599999999999998</v>
      </c>
      <c r="AE520" s="57" cm="1">
        <f t="array" ref="AE520">VLOOKUP(B520,'Player Data'!$A1:$AE673,19,FALSE)*$Q520*IFERROR((VLOOKUP(P520,Settings!$E$28:$F$33,2,FALSE)+1),1)</f>
        <v>2.46</v>
      </c>
      <c r="AF520" s="57" cm="1">
        <f t="array" ref="AF520">VLOOKUP(B520,'Player Data'!$A1:$AE673,20,FALSE)*$Q520</f>
        <v>13.940000000000001</v>
      </c>
      <c r="AG520" s="57" cm="1">
        <f t="array" ref="AG520">VLOOKUP(B520,'Player Data'!$A1:$AE673,21,FALSE)*$Q520</f>
        <v>18.86</v>
      </c>
      <c r="AH520" s="59" cm="1">
        <f t="array" ref="AH520">VLOOKUP(B520,'Player Data'!$A1:$AE673,22,FALSE)</f>
        <v>0.43</v>
      </c>
      <c r="AI520" s="55"/>
      <c r="AJ520" s="57"/>
      <c r="AK520" s="57"/>
      <c r="AL520" s="57"/>
      <c r="AM520" s="57"/>
      <c r="AN520" s="57"/>
      <c r="AO520" s="57"/>
      <c r="AP520" s="57"/>
      <c r="AQ520" s="60"/>
      <c r="AR520" s="61"/>
      <c r="AS520" s="55"/>
    </row>
    <row r="521" spans="1:45" ht="21.25" customHeight="1" x14ac:dyDescent="0.15">
      <c r="A521" s="62">
        <f>RANK(K521,K$2:K$671)</f>
        <v>517</v>
      </c>
      <c r="B521" s="10" t="s">
        <v>470</v>
      </c>
      <c r="C521" s="47" t="s">
        <v>145</v>
      </c>
      <c r="D521" s="48" t="str" cm="1">
        <f t="array" ref="D521">VLOOKUP(B521,'Player Data'!A1:D673,4,FALSE)</f>
        <v>LW,RW</v>
      </c>
      <c r="E521" s="74" cm="1">
        <f t="array" ref="E521">VLOOKUP(B521,RW!A1:F210,3,FALSE)</f>
        <v>134</v>
      </c>
      <c r="F521" s="63" t="str" cm="1">
        <f t="array" ref="F521">VLOOKUP(B521,'Player Data'!A1:B673,2,FALSE)</f>
        <v>CGY</v>
      </c>
      <c r="G521" s="11" cm="1">
        <f t="array" ref="G521">VLOOKUP(B521,'Player Data'!A1:D673,3,FALSE)</f>
        <v>26</v>
      </c>
      <c r="H521" s="51" cm="1">
        <f t="array" ref="H521">IFERROR(VLOOKUP(B521,ADP!A1:F671,6,FALSE)/1000000,VLOOKUP(B521,ADP!A1:F671,6,FALSE))</f>
        <v>5</v>
      </c>
      <c r="I521" s="52">
        <f>IF(Settings!$E$15="POINTS",((R521*Q521)*Settings!$B$12)+(S521*Settings!$B$2)+(T521*Settings!$B$3)+(U521*Settings!$B$4)+(V521*Settings!$B$5)+(X521*Settings!$B$9)+(AA521*Settings!$B$6)+(W521*Settings!$B$8)+(AB521*Settings!$B$7)+(AC521*Settings!$B$14)+(AD521*Settings!$B$15)+(AE521*Settings!$B$16)+(AF521*Settings!$B$17)+(AG521*Settings!$B$18)+(Y521*Settings!$B$10)+(Z521*Settings!$B$11),VLOOKUP(B521,'Standard Deviations'!A$1:C$672,3,FALSE))</f>
        <v>-1.0029587954988544</v>
      </c>
      <c r="J521" s="53" cm="1">
        <f t="array" ref="J521">IF(D521="G",I521/AJ521,I521/Q521)</f>
        <v>-1.1939985660700647E-2</v>
      </c>
      <c r="K521" s="52" cm="1">
        <f t="array" ref="K521">IF(Settings!$E$18="C/LW/RW",VLOOKUP(B521,RW!A1:F210,6,FALSE),VLOOKUP(B521,F!A1:F407,6,FALSE))</f>
        <v>-7.8901933973079323</v>
      </c>
      <c r="L521" s="54" cm="1">
        <f t="array" ref="L521">IFERROR(K521/H521,"N/A")</f>
        <v>-1.5780386794615864</v>
      </c>
      <c r="M521" s="84" t="s">
        <v>828</v>
      </c>
      <c r="N521" s="84" t="str" cm="1">
        <f t="array" ref="N521">IFERROR(M521-A521,"N/A")</f>
        <v>N/A</v>
      </c>
      <c r="O521" s="55"/>
      <c r="P521" s="56" cm="1">
        <f t="array" ref="P521">_xlfn.XLOOKUP($B521,ADP!A2:A671,ADP!G2:G671)</f>
        <v>0</v>
      </c>
      <c r="Q521" s="57" cm="1">
        <f t="array" ref="Q521">IF(Settings!$E$12="YES",VLOOKUP(B521,'Player Data'!A1:E673,5,FALSE),84)</f>
        <v>84</v>
      </c>
      <c r="R521" s="55" cm="1">
        <f t="array" ref="R521">VLOOKUP(B521,'Player Data'!$A1:$AE673,6,FALSE)</f>
        <v>17.100000000000001</v>
      </c>
      <c r="S521" s="57" cm="1">
        <f t="array" ref="S521">VLOOKUP(B521,'Player Data'!$A1:$AE673,7,FALSE)*$Q521*IFERROR((VLOOKUP(P521,Settings!$E$28:$F$33,2,FALSE)+1),1)</f>
        <v>20.16</v>
      </c>
      <c r="T521" s="57" cm="1">
        <f t="array" ref="T521">VLOOKUP(B521,'Player Data'!$A1:$AE673,8,FALSE)*$Q521*IFERROR((VLOOKUP(P521,Settings!$E$28:$F$33,2,FALSE)+1),1)</f>
        <v>22.68</v>
      </c>
      <c r="U521" s="57" cm="1">
        <f t="array" ref="U521">SUM(S521:T521)</f>
        <v>42.84</v>
      </c>
      <c r="V521" s="57" cm="1">
        <f t="array" ref="V521">VLOOKUP(B521,'Player Data'!$A1:$AE673,10,FALSE)*$Q521*IFERROR(((VLOOKUP(P521,Settings!$E$28:$F$33,2,FALSE)/2)+1),1)</f>
        <v>166.32</v>
      </c>
      <c r="W521" s="57" cm="1">
        <f t="array" ref="W521">VLOOKUP(B521,'Player Data'!$A1:$AE673,11,FALSE)*$Q521*IFERROR((VLOOKUP(P521,Settings!$E$28:$F$33,2,FALSE)+1),1)</f>
        <v>1.68</v>
      </c>
      <c r="X521" s="57" cm="1">
        <f t="array" ref="X521">VLOOKUP(B521,'Player Data'!$A1:$AE673,12,FALSE)*$Q521*IFERROR((VLOOKUP(P521,Settings!$E$28:$F$33,2,FALSE)+1),1)</f>
        <v>6.72</v>
      </c>
      <c r="Y521" s="57" cm="1">
        <f t="array" ref="Y521">VLOOKUP(B521,'Player Data'!$A1:$AE673,13,FALSE)*$Q521</f>
        <v>2.52</v>
      </c>
      <c r="Z521" s="57" cm="1">
        <f t="array" ref="Z521">VLOOKUP(B521,'Player Data'!$A1:$AE673,14,FALSE)*$Q521</f>
        <v>3.36</v>
      </c>
      <c r="AA521" s="57" cm="1">
        <f t="array" ref="AA521">VLOOKUP(B521,'Player Data'!$A1:$AE673,15,FALSE)*$Q521</f>
        <v>55.440000000000005</v>
      </c>
      <c r="AB521" s="57" cm="1">
        <f t="array" ref="AB521">VLOOKUP(B521,'Player Data'!$A1:$AE673,16,FALSE)*$Q521</f>
        <v>67.2</v>
      </c>
      <c r="AC521" s="57" cm="1">
        <f t="array" ref="AC521">VLOOKUP(B521,'Player Data'!$A1:$AE673,17,FALSE)*$Q521*IFERROR((VLOOKUP(P521,Settings!$E$28:$F$33,2,FALSE)+1),1)</f>
        <v>-7.56</v>
      </c>
      <c r="AD521" s="57" cm="1">
        <f t="array" ref="AD521">VLOOKUP(B521,'Player Data'!$A1:$AE673,18,FALSE)*$Q521</f>
        <v>32.76</v>
      </c>
      <c r="AE521" s="57" cm="1">
        <f t="array" ref="AE521">VLOOKUP(B521,'Player Data'!$A1:$AE673,19,FALSE)*$Q521*IFERROR((VLOOKUP(P521,Settings!$E$28:$F$33,2,FALSE)+1),1)</f>
        <v>2.52</v>
      </c>
      <c r="AF521" s="57" cm="1">
        <f t="array" ref="AF521">VLOOKUP(B521,'Player Data'!$A1:$AE673,20,FALSE)*$Q521</f>
        <v>26.04</v>
      </c>
      <c r="AG521" s="57" cm="1">
        <f t="array" ref="AG521">VLOOKUP(B521,'Player Data'!$A1:$AE673,21,FALSE)*$Q521</f>
        <v>37.800000000000004</v>
      </c>
      <c r="AH521" s="59" cm="1">
        <f t="array" ref="AH521">VLOOKUP(B521,'Player Data'!$A1:$AE673,22,FALSE)</f>
        <v>0.41</v>
      </c>
      <c r="AI521" s="55"/>
      <c r="AJ521" s="57"/>
      <c r="AK521" s="57"/>
      <c r="AL521" s="57"/>
      <c r="AM521" s="57"/>
      <c r="AN521" s="57"/>
      <c r="AO521" s="57"/>
      <c r="AP521" s="57"/>
      <c r="AQ521" s="60"/>
      <c r="AR521" s="61"/>
      <c r="AS521" s="55"/>
    </row>
    <row r="522" spans="1:45" ht="21.25" customHeight="1" x14ac:dyDescent="0.15">
      <c r="A522" s="62">
        <f>RANK(K522,K$2:K$671)</f>
        <v>519</v>
      </c>
      <c r="B522" s="10" t="s">
        <v>731</v>
      </c>
      <c r="C522" s="47" t="s">
        <v>145</v>
      </c>
      <c r="D522" s="48" t="str" cm="1">
        <f t="array" ref="D522">VLOOKUP(B522,'Player Data'!A1:D673,4,FALSE)</f>
        <v>LW,RW</v>
      </c>
      <c r="E522" s="74" cm="1">
        <f t="array" ref="E522">VLOOKUP(B522,RW!A1:F210,3,FALSE)</f>
        <v>135</v>
      </c>
      <c r="F522" s="65" t="str" cm="1">
        <f t="array" ref="F522">VLOOKUP(B522,'Player Data'!A1:B673,2,FALSE)</f>
        <v>CAR</v>
      </c>
      <c r="G522" s="66" cm="1">
        <f t="array" ref="G522">VLOOKUP(B522,'Player Data'!A1:D673,3,FALSE)</f>
        <v>31</v>
      </c>
      <c r="H522" s="51" cm="1">
        <f t="array" ref="H522">IFERROR(VLOOKUP(B522,ADP!A1:F671,6,FALSE)/1000000,VLOOKUP(B522,ADP!A1:F671,6,FALSE))</f>
        <v>1.7</v>
      </c>
      <c r="I522" s="52">
        <f>IF(Settings!$E$15="POINTS",((R522*Q522)*Settings!$B$12)+(S522*Settings!$B$2)+(T522*Settings!$B$3)+(U522*Settings!$B$4)+(V522*Settings!$B$5)+(X522*Settings!$B$9)+(AA522*Settings!$B$6)+(W522*Settings!$B$8)+(AB522*Settings!$B$7)+(AC522*Settings!$B$14)+(AD522*Settings!$B$15)+(AE522*Settings!$B$16)+(AF522*Settings!$B$17)+(AG522*Settings!$B$18)+(Y522*Settings!$B$10)+(Z522*Settings!$B$11),VLOOKUP(B522,'Standard Deviations'!A$1:C$672,3,FALSE))</f>
        <v>-1.0146216631431979</v>
      </c>
      <c r="J522" s="53" cm="1">
        <f t="array" ref="J522">IF(D522="G",I522/AJ522,I522/Q522)</f>
        <v>-1.3007970040297408E-2</v>
      </c>
      <c r="K522" s="52" cm="1">
        <f t="array" ref="K522">IF(Settings!$E$18="C/LW/RW",VLOOKUP(B522,RW!A1:F210,6,FALSE),VLOOKUP(B522,F!A1:F407,6,FALSE))</f>
        <v>-7.9018562649522757</v>
      </c>
      <c r="L522" s="54" cm="1">
        <f t="array" ref="L522">IFERROR(K522/H522,"N/A")</f>
        <v>-4.6481507440895742</v>
      </c>
      <c r="M522" s="84" t="s">
        <v>828</v>
      </c>
      <c r="N522" s="84" t="str" cm="1">
        <f t="array" ref="N522">IFERROR(M522-A522,"N/A")</f>
        <v>N/A</v>
      </c>
      <c r="O522" s="55"/>
      <c r="P522" s="56" cm="1">
        <f t="array" ref="P522">_xlfn.XLOOKUP($B522,ADP!A2:A671,ADP!G2:G671)</f>
        <v>0</v>
      </c>
      <c r="Q522" s="57" cm="1">
        <f t="array" ref="Q522">IF(Settings!$E$12="YES",VLOOKUP(B522,'Player Data'!A1:E673,5,FALSE),84)</f>
        <v>78</v>
      </c>
      <c r="R522" s="55" cm="1">
        <f t="array" ref="R522">VLOOKUP(B522,'Player Data'!$A1:$AE673,6,FALSE)</f>
        <v>11.3</v>
      </c>
      <c r="S522" s="57" cm="1">
        <f t="array" ref="S522">VLOOKUP(B522,'Player Data'!$A1:$AE673,7,FALSE)*$Q522*IFERROR((VLOOKUP(P522,Settings!$E$28:$F$33,2,FALSE)+1),1)</f>
        <v>10.14</v>
      </c>
      <c r="T522" s="57" cm="1">
        <f t="array" ref="T522">VLOOKUP(B522,'Player Data'!$A1:$AE673,8,FALSE)*$Q522*IFERROR((VLOOKUP(P522,Settings!$E$28:$F$33,2,FALSE)+1),1)</f>
        <v>9.36</v>
      </c>
      <c r="U522" s="57" cm="1">
        <f t="array" ref="U522">SUM(S522:T522)</f>
        <v>19.5</v>
      </c>
      <c r="V522" s="57" cm="1">
        <f t="array" ref="V522">VLOOKUP(B522,'Player Data'!$A1:$AE673,10,FALSE)*$Q522*IFERROR(((VLOOKUP(P522,Settings!$E$28:$F$33,2,FALSE)/2)+1),1)</f>
        <v>93.6</v>
      </c>
      <c r="W522" s="57" cm="1">
        <f t="array" ref="W522">VLOOKUP(B522,'Player Data'!$A1:$AE673,11,FALSE)*$Q522*IFERROR((VLOOKUP(P522,Settings!$E$28:$F$33,2,FALSE)+1),1)</f>
        <v>0</v>
      </c>
      <c r="X522" s="57" cm="1">
        <f t="array" ref="X522">VLOOKUP(B522,'Player Data'!$A1:$AE673,12,FALSE)*$Q522*IFERROR((VLOOKUP(P522,Settings!$E$28:$F$33,2,FALSE)+1),1)</f>
        <v>0</v>
      </c>
      <c r="Y522" s="57" cm="1">
        <f t="array" ref="Y522">VLOOKUP(B522,'Player Data'!$A1:$AE673,13,FALSE)*$Q522</f>
        <v>0</v>
      </c>
      <c r="Z522" s="57" cm="1">
        <f t="array" ref="Z522">VLOOKUP(B522,'Player Data'!$A1:$AE673,14,FALSE)*$Q522</f>
        <v>0.78</v>
      </c>
      <c r="AA522" s="57" cm="1">
        <f t="array" ref="AA522">VLOOKUP(B522,'Player Data'!$A1:$AE673,15,FALSE)*$Q522</f>
        <v>18.72</v>
      </c>
      <c r="AB522" s="57" cm="1">
        <f t="array" ref="AB522">VLOOKUP(B522,'Player Data'!$A1:$AE673,16,FALSE)*$Q522</f>
        <v>109.19999999999999</v>
      </c>
      <c r="AC522" s="57" cm="1">
        <f t="array" ref="AC522">VLOOKUP(B522,'Player Data'!$A1:$AE673,17,FALSE)*$Q522*IFERROR((VLOOKUP(P522,Settings!$E$28:$F$33,2,FALSE)+1),1)</f>
        <v>6.24</v>
      </c>
      <c r="AD522" s="57" cm="1">
        <f t="array" ref="AD522">VLOOKUP(B522,'Player Data'!$A1:$AE673,18,FALSE)*$Q522</f>
        <v>13.260000000000002</v>
      </c>
      <c r="AE522" s="57" cm="1">
        <f t="array" ref="AE522">VLOOKUP(B522,'Player Data'!$A1:$AE673,19,FALSE)*$Q522*IFERROR((VLOOKUP(P522,Settings!$E$28:$F$33,2,FALSE)+1),1)</f>
        <v>1.56</v>
      </c>
      <c r="AF522" s="57" cm="1">
        <f t="array" ref="AF522">VLOOKUP(B522,'Player Data'!$A1:$AE673,20,FALSE)*$Q522</f>
        <v>3.9000000000000004</v>
      </c>
      <c r="AG522" s="57" cm="1">
        <f t="array" ref="AG522">VLOOKUP(B522,'Player Data'!$A1:$AE673,21,FALSE)*$Q522</f>
        <v>13.260000000000002</v>
      </c>
      <c r="AH522" s="59" cm="1">
        <f t="array" ref="AH522">VLOOKUP(B522,'Player Data'!$A1:$AE673,22,FALSE)</f>
        <v>0.21</v>
      </c>
      <c r="AI522" s="55"/>
      <c r="AJ522" s="57"/>
      <c r="AK522" s="57"/>
      <c r="AL522" s="57"/>
      <c r="AM522" s="57"/>
      <c r="AN522" s="57"/>
      <c r="AO522" s="57"/>
      <c r="AP522" s="57"/>
      <c r="AQ522" s="60"/>
      <c r="AR522" s="61"/>
      <c r="AS522" s="55"/>
    </row>
    <row r="523" spans="1:45" ht="21.25" customHeight="1" x14ac:dyDescent="0.15">
      <c r="A523" s="62">
        <f>RANK(K523,K$2:K$671)</f>
        <v>523</v>
      </c>
      <c r="B523" s="10" t="s">
        <v>541</v>
      </c>
      <c r="C523" s="47" t="s">
        <v>145</v>
      </c>
      <c r="D523" s="48" t="str" cm="1">
        <f t="array" ref="D523">VLOOKUP(B523,'Player Data'!A1:D673,4,FALSE)</f>
        <v>C,LW</v>
      </c>
      <c r="E523" s="74" cm="1">
        <f t="array" ref="E523">VLOOKUP(B523,LW!A1:C210,3,FALSE)</f>
        <v>140</v>
      </c>
      <c r="F523" s="72" t="str" cm="1">
        <f t="array" ref="F523">VLOOKUP(B523,'Player Data'!A1:B673,2,FALSE)</f>
        <v>PIT</v>
      </c>
      <c r="G523" s="11" cm="1">
        <f t="array" ref="G523">VLOOKUP(B523,'Player Data'!A1:D673,3,FALSE)</f>
        <v>29</v>
      </c>
      <c r="H523" s="67" cm="1">
        <f t="array" ref="H523">IFERROR(VLOOKUP(B523,ADP!A1:F671,6,FALSE)/1000000,VLOOKUP(B523,ADP!A1:F671,6,FALSE))</f>
        <v>3.5</v>
      </c>
      <c r="I523" s="52">
        <f>IF(Settings!$E$15="POINTS",((R523*Q523)*Settings!$B$12)+(S523*Settings!$B$2)+(T523*Settings!$B$3)+(U523*Settings!$B$4)+(V523*Settings!$B$5)+(X523*Settings!$B$9)+(AA523*Settings!$B$6)+(W523*Settings!$B$8)+(AB523*Settings!$B$7)+(AC523*Settings!$B$14)+(AD523*Settings!$B$15)+(AE523*Settings!$B$16)+(AF523*Settings!$B$17)+(AG523*Settings!$B$18)+(Y523*Settings!$B$10)+(Z523*Settings!$B$11),VLOOKUP(B523,'Standard Deviations'!A$1:C$672,3,FALSE))</f>
        <v>-1.0781224379880312</v>
      </c>
      <c r="J523" s="53" cm="1">
        <f t="array" ref="J523">IF(D523="G",I523/AJ523,I523/Q523)</f>
        <v>-1.3647119468202927E-2</v>
      </c>
      <c r="K523" s="52" cm="1">
        <f t="array" ref="K523">IF(Settings!$E$18="C/LW/RW",VLOOKUP(B523,LW!A1:F210,6,FALSE),VLOOKUP(B523,F!A1:F407,6,FALSE))</f>
        <v>-7.9725080823778409</v>
      </c>
      <c r="L523" s="54" cm="1">
        <f t="array" ref="L523">IFERROR(K523/H523,"N/A")</f>
        <v>-2.2778594521079545</v>
      </c>
      <c r="M523" s="84" t="s">
        <v>828</v>
      </c>
      <c r="N523" s="84" t="str" cm="1">
        <f t="array" ref="N523">IFERROR(M523-A523,"N/A")</f>
        <v>N/A</v>
      </c>
      <c r="O523" s="55"/>
      <c r="P523" s="56" cm="1">
        <f t="array" ref="P523">_xlfn.XLOOKUP($B523,ADP!A2:A671,ADP!G2:G671)</f>
        <v>0</v>
      </c>
      <c r="Q523" s="57" cm="1">
        <f t="array" ref="Q523">IF(Settings!$E$12="YES",VLOOKUP(B523,'Player Data'!A1:E673,5,FALSE),84)</f>
        <v>79</v>
      </c>
      <c r="R523" s="55" cm="1">
        <f t="array" ref="R523">VLOOKUP(B523,'Player Data'!$A1:$AE673,6,FALSE)</f>
        <v>14.5</v>
      </c>
      <c r="S523" s="57" cm="1">
        <f t="array" ref="S523">VLOOKUP(B523,'Player Data'!$A1:$AE673,7,FALSE)*$Q523*IFERROR((VLOOKUP(P523,Settings!$E$28:$F$33,2,FALSE)+1),1)</f>
        <v>16.59</v>
      </c>
      <c r="T523" s="57" cm="1">
        <f t="array" ref="T523">VLOOKUP(B523,'Player Data'!$A1:$AE673,8,FALSE)*$Q523*IFERROR((VLOOKUP(P523,Settings!$E$28:$F$33,2,FALSE)+1),1)</f>
        <v>22.91</v>
      </c>
      <c r="U523" s="57" cm="1">
        <f t="array" ref="U523">SUM(S523:T523)</f>
        <v>39.5</v>
      </c>
      <c r="V523" s="57" cm="1">
        <f t="array" ref="V523">VLOOKUP(B523,'Player Data'!$A1:$AE673,10,FALSE)*$Q523*IFERROR(((VLOOKUP(P523,Settings!$E$28:$F$33,2,FALSE)/2)+1),1)</f>
        <v>126.4</v>
      </c>
      <c r="W523" s="57" cm="1">
        <f t="array" ref="W523">VLOOKUP(B523,'Player Data'!$A1:$AE673,11,FALSE)*$Q523*IFERROR((VLOOKUP(P523,Settings!$E$28:$F$33,2,FALSE)+1),1)</f>
        <v>3.16</v>
      </c>
      <c r="X523" s="57" cm="1">
        <f t="array" ref="X523">VLOOKUP(B523,'Player Data'!$A1:$AE673,12,FALSE)*$Q523*IFERROR((VLOOKUP(P523,Settings!$E$28:$F$33,2,FALSE)+1),1)</f>
        <v>6.32</v>
      </c>
      <c r="Y523" s="57" cm="1">
        <f t="array" ref="Y523">VLOOKUP(B523,'Player Data'!$A1:$AE673,13,FALSE)*$Q523</f>
        <v>0</v>
      </c>
      <c r="Z523" s="57" cm="1">
        <f t="array" ref="Z523">VLOOKUP(B523,'Player Data'!$A1:$AE673,14,FALSE)*$Q523</f>
        <v>0</v>
      </c>
      <c r="AA523" s="57" cm="1">
        <f t="array" ref="AA523">VLOOKUP(B523,'Player Data'!$A1:$AE673,15,FALSE)*$Q523</f>
        <v>34.76</v>
      </c>
      <c r="AB523" s="57" cm="1">
        <f t="array" ref="AB523">VLOOKUP(B523,'Player Data'!$A1:$AE673,16,FALSE)*$Q523</f>
        <v>18.96</v>
      </c>
      <c r="AC523" s="57" cm="1">
        <f t="array" ref="AC523">VLOOKUP(B523,'Player Data'!$A1:$AE673,17,FALSE)*$Q523*IFERROR((VLOOKUP(P523,Settings!$E$28:$F$33,2,FALSE)+1),1)</f>
        <v>1.58</v>
      </c>
      <c r="AD523" s="57" cm="1">
        <f t="array" ref="AD523">VLOOKUP(B523,'Player Data'!$A1:$AE673,18,FALSE)*$Q523</f>
        <v>18.96</v>
      </c>
      <c r="AE523" s="57" cm="1">
        <f t="array" ref="AE523">VLOOKUP(B523,'Player Data'!$A1:$AE673,19,FALSE)*$Q523*IFERROR((VLOOKUP(P523,Settings!$E$28:$F$33,2,FALSE)+1),1)</f>
        <v>2.37</v>
      </c>
      <c r="AF523" s="57" cm="1">
        <f t="array" ref="AF523">VLOOKUP(B523,'Player Data'!$A1:$AE673,20,FALSE)*$Q523</f>
        <v>208.56</v>
      </c>
      <c r="AG523" s="57" cm="1">
        <f t="array" ref="AG523">VLOOKUP(B523,'Player Data'!$A1:$AE673,21,FALSE)*$Q523</f>
        <v>280.45</v>
      </c>
      <c r="AH523" s="59" cm="1">
        <f t="array" ref="AH523">VLOOKUP(B523,'Player Data'!$A1:$AE673,22,FALSE)</f>
        <v>0.43</v>
      </c>
      <c r="AI523" s="55"/>
      <c r="AJ523" s="57"/>
      <c r="AK523" s="57"/>
      <c r="AL523" s="57"/>
      <c r="AM523" s="57"/>
      <c r="AN523" s="57"/>
      <c r="AO523" s="57"/>
      <c r="AP523" s="57"/>
      <c r="AQ523" s="60"/>
      <c r="AR523" s="61"/>
      <c r="AS523" s="55"/>
    </row>
    <row r="524" spans="1:45" ht="21.25" customHeight="1" x14ac:dyDescent="0.15">
      <c r="A524" s="62">
        <f>RANK(K524,K$2:K$671)</f>
        <v>524</v>
      </c>
      <c r="B524" s="10" t="s">
        <v>498</v>
      </c>
      <c r="C524" s="47" t="s">
        <v>145</v>
      </c>
      <c r="D524" s="48" t="str" cm="1">
        <f t="array" ref="D524">VLOOKUP(B524,'Player Data'!A1:D673,4,FALSE)</f>
        <v>C,LW</v>
      </c>
      <c r="E524" s="74" cm="1">
        <f t="array" ref="E524">VLOOKUP(B524,LW!A1:C210,3,FALSE)</f>
        <v>141</v>
      </c>
      <c r="F524" s="72" t="str" cm="1">
        <f t="array" ref="F524">VLOOKUP(B524,'Player Data'!A1:B673,2,FALSE)</f>
        <v>DET</v>
      </c>
      <c r="G524" s="66" cm="1">
        <f t="array" ref="G524">VLOOKUP(B524,'Player Data'!A1:D673,3,FALSE)</f>
        <v>32</v>
      </c>
      <c r="H524" s="67" cm="1">
        <f t="array" ref="H524">IFERROR(VLOOKUP(B524,ADP!A1:F671,6,FALSE)/1000000,VLOOKUP(B524,ADP!A1:F671,6,FALSE))</f>
        <v>5.625</v>
      </c>
      <c r="I524" s="52">
        <f>IF(Settings!$E$15="POINTS",((R524*Q524)*Settings!$B$12)+(S524*Settings!$B$2)+(T524*Settings!$B$3)+(U524*Settings!$B$4)+(V524*Settings!$B$5)+(X524*Settings!$B$9)+(AA524*Settings!$B$6)+(W524*Settings!$B$8)+(AB524*Settings!$B$7)+(AC524*Settings!$B$14)+(AD524*Settings!$B$15)+(AE524*Settings!$B$16)+(AF524*Settings!$B$17)+(AG524*Settings!$B$18)+(Y524*Settings!$B$10)+(Z524*Settings!$B$11),VLOOKUP(B524,'Standard Deviations'!A$1:C$672,3,FALSE))</f>
        <v>-1.0872197422009546</v>
      </c>
      <c r="J524" s="53" cm="1">
        <f t="array" ref="J524">IF(D524="G",I524/AJ524,I524/Q524)</f>
        <v>-1.3590246777511934E-2</v>
      </c>
      <c r="K524" s="52" cm="1">
        <f t="array" ref="K524">IF(Settings!$E$18="C/LW/RW",VLOOKUP(B524,LW!A1:F210,6,FALSE),VLOOKUP(B524,F!A1:F407,6,FALSE))</f>
        <v>-7.9816053865907648</v>
      </c>
      <c r="L524" s="54" cm="1">
        <f t="array" ref="L524">IFERROR(K524/H524,"N/A")</f>
        <v>-1.418952068727247</v>
      </c>
      <c r="M524" s="84" t="s">
        <v>828</v>
      </c>
      <c r="N524" s="84" t="str" cm="1">
        <f t="array" ref="N524">IFERROR(M524-A524,"N/A")</f>
        <v>N/A</v>
      </c>
      <c r="O524" s="55"/>
      <c r="P524" s="56" cm="1">
        <f t="array" ref="P524">_xlfn.XLOOKUP($B524,ADP!A2:A671,ADP!G2:G671)</f>
        <v>0</v>
      </c>
      <c r="Q524" s="57" cm="1">
        <f t="array" ref="Q524">IF(Settings!$E$12="YES",VLOOKUP(B524,'Player Data'!A1:E673,5,FALSE),84)</f>
        <v>80</v>
      </c>
      <c r="R524" s="55" cm="1">
        <f t="array" ref="R524">VLOOKUP(B524,'Player Data'!$A1:$AE673,6,FALSE)</f>
        <v>17.2</v>
      </c>
      <c r="S524" s="57" cm="1">
        <f t="array" ref="S524">VLOOKUP(B524,'Player Data'!$A1:$AE673,7,FALSE)*$Q524*IFERROR((VLOOKUP(P524,Settings!$E$28:$F$33,2,FALSE)+1),1)</f>
        <v>12</v>
      </c>
      <c r="T524" s="57" cm="1">
        <f t="array" ref="T524">VLOOKUP(B524,'Player Data'!$A1:$AE673,8,FALSE)*$Q524*IFERROR((VLOOKUP(P524,Settings!$E$28:$F$33,2,FALSE)+1),1)</f>
        <v>28.799999999999997</v>
      </c>
      <c r="U524" s="57" cm="1">
        <f t="array" ref="U524">SUM(S524:T524)</f>
        <v>40.799999999999997</v>
      </c>
      <c r="V524" s="57" cm="1">
        <f t="array" ref="V524">VLOOKUP(B524,'Player Data'!$A1:$AE673,10,FALSE)*$Q524*IFERROR(((VLOOKUP(P524,Settings!$E$28:$F$33,2,FALSE)/2)+1),1)</f>
        <v>121.6</v>
      </c>
      <c r="W524" s="57" cm="1">
        <f t="array" ref="W524">VLOOKUP(B524,'Player Data'!$A1:$AE673,11,FALSE)*$Q524*IFERROR((VLOOKUP(P524,Settings!$E$28:$F$33,2,FALSE)+1),1)</f>
        <v>1.6</v>
      </c>
      <c r="X524" s="57" cm="1">
        <f t="array" ref="X524">VLOOKUP(B524,'Player Data'!$A1:$AE673,12,FALSE)*$Q524*IFERROR((VLOOKUP(P524,Settings!$E$28:$F$33,2,FALSE)+1),1)</f>
        <v>7.1999999999999993</v>
      </c>
      <c r="Y524" s="57" cm="1">
        <f t="array" ref="Y524">VLOOKUP(B524,'Player Data'!$A1:$AE673,13,FALSE)*$Q524</f>
        <v>0.8</v>
      </c>
      <c r="Z524" s="57" cm="1">
        <f t="array" ref="Z524">VLOOKUP(B524,'Player Data'!$A1:$AE673,14,FALSE)*$Q524</f>
        <v>0.8</v>
      </c>
      <c r="AA524" s="57" cm="1">
        <f t="array" ref="AA524">VLOOKUP(B524,'Player Data'!$A1:$AE673,15,FALSE)*$Q524</f>
        <v>61.6</v>
      </c>
      <c r="AB524" s="57" cm="1">
        <f t="array" ref="AB524">VLOOKUP(B524,'Player Data'!$A1:$AE673,16,FALSE)*$Q524</f>
        <v>45.599999999999994</v>
      </c>
      <c r="AC524" s="57" cm="1">
        <f t="array" ref="AC524">VLOOKUP(B524,'Player Data'!$A1:$AE673,17,FALSE)*$Q524*IFERROR((VLOOKUP(P524,Settings!$E$28:$F$33,2,FALSE)+1),1)</f>
        <v>-0.8</v>
      </c>
      <c r="AD524" s="57" cm="1">
        <f t="array" ref="AD524">VLOOKUP(B524,'Player Data'!$A1:$AE673,18,FALSE)*$Q524</f>
        <v>25.6</v>
      </c>
      <c r="AE524" s="57" cm="1">
        <f t="array" ref="AE524">VLOOKUP(B524,'Player Data'!$A1:$AE673,19,FALSE)*$Q524*IFERROR((VLOOKUP(P524,Settings!$E$28:$F$33,2,FALSE)+1),1)</f>
        <v>1.6</v>
      </c>
      <c r="AF524" s="57" cm="1">
        <f t="array" ref="AF524">VLOOKUP(B524,'Player Data'!$A1:$AE673,20,FALSE)*$Q524</f>
        <v>555.20000000000005</v>
      </c>
      <c r="AG524" s="57" cm="1">
        <f t="array" ref="AG524">VLOOKUP(B524,'Player Data'!$A1:$AE673,21,FALSE)*$Q524</f>
        <v>494.4</v>
      </c>
      <c r="AH524" s="59" cm="1">
        <f t="array" ref="AH524">VLOOKUP(B524,'Player Data'!$A1:$AE673,22,FALSE)</f>
        <v>0.53</v>
      </c>
      <c r="AI524" s="55"/>
      <c r="AJ524" s="57"/>
      <c r="AK524" s="57"/>
      <c r="AL524" s="57"/>
      <c r="AM524" s="57"/>
      <c r="AN524" s="57"/>
      <c r="AO524" s="57"/>
      <c r="AP524" s="57"/>
      <c r="AQ524" s="60"/>
      <c r="AR524" s="61"/>
      <c r="AS524" s="55"/>
    </row>
    <row r="525" spans="1:45" ht="21.25" customHeight="1" x14ac:dyDescent="0.15">
      <c r="A525" s="62">
        <f>RANK(K525,K$2:K$671)</f>
        <v>520</v>
      </c>
      <c r="B525" s="10" t="s">
        <v>686</v>
      </c>
      <c r="C525" s="47" t="s">
        <v>145</v>
      </c>
      <c r="D525" s="48" t="str" cm="1">
        <f t="array" ref="D525">VLOOKUP(B525,'Player Data'!A1:D673,4,FALSE)</f>
        <v>RW</v>
      </c>
      <c r="E525" s="64" cm="1">
        <f t="array" ref="E525">VLOOKUP(B525,RW!A1:F210,3,FALSE)</f>
        <v>136</v>
      </c>
      <c r="F525" s="69" t="str" cm="1">
        <f t="array" ref="F525">VLOOKUP(B525,'Player Data'!A1:B673,2,FALSE)</f>
        <v>MTL</v>
      </c>
      <c r="G525" s="66" cm="1">
        <f t="array" ref="G525">VLOOKUP(B525,'Player Data'!A1:D673,3,FALSE)</f>
        <v>32</v>
      </c>
      <c r="H525" s="67" cm="1">
        <f t="array" ref="H525">IFERROR(VLOOKUP(B525,ADP!A1:F671,6,FALSE)/1000000,VLOOKUP(B525,ADP!A1:F671,6,FALSE))</f>
        <v>5.5</v>
      </c>
      <c r="I525" s="52">
        <f>IF(Settings!$E$15="POINTS",((R525*Q525)*Settings!$B$12)+(S525*Settings!$B$2)+(T525*Settings!$B$3)+(U525*Settings!$B$4)+(V525*Settings!$B$5)+(X525*Settings!$B$9)+(AA525*Settings!$B$6)+(W525*Settings!$B$8)+(AB525*Settings!$B$7)+(AC525*Settings!$B$14)+(AD525*Settings!$B$15)+(AE525*Settings!$B$16)+(AF525*Settings!$B$17)+(AG525*Settings!$B$18)+(Y525*Settings!$B$10)+(Z525*Settings!$B$11),VLOOKUP(B525,'Standard Deviations'!A$1:C$672,3,FALSE))</f>
        <v>-1.0511744711829583</v>
      </c>
      <c r="J525" s="53" cm="1">
        <f t="array" ref="J525">IF(D525="G",I525/AJ525,I525/Q525)</f>
        <v>-1.2819200868084857E-2</v>
      </c>
      <c r="K525" s="52" cm="1">
        <f t="array" ref="K525">IF(Settings!$E$18="C/LW/RW",VLOOKUP(B525,RW!A1:F210,6,FALSE),VLOOKUP(B525,F!A1:F407,6,FALSE))</f>
        <v>-7.9384090729920356</v>
      </c>
      <c r="L525" s="54" cm="1">
        <f t="array" ref="L525">IFERROR(K525/H525,"N/A")</f>
        <v>-1.44334710418037</v>
      </c>
      <c r="M525" s="84" t="s">
        <v>828</v>
      </c>
      <c r="N525" s="84" t="str" cm="1">
        <f t="array" ref="N525">IFERROR(M525-A525,"N/A")</f>
        <v>N/A</v>
      </c>
      <c r="O525" s="55"/>
      <c r="P525" s="56" cm="1">
        <f t="array" ref="P525">_xlfn.XLOOKUP($B525,ADP!A2:A671,ADP!G2:G671)</f>
        <v>0</v>
      </c>
      <c r="Q525" s="57" cm="1">
        <f t="array" ref="Q525">IF(Settings!$E$12="YES",VLOOKUP(B525,'Player Data'!A1:E673,5,FALSE),84)</f>
        <v>82</v>
      </c>
      <c r="R525" s="55" cm="1">
        <f t="array" ref="R525">VLOOKUP(B525,'Player Data'!$A1:$AE673,6,FALSE)</f>
        <v>13.2</v>
      </c>
      <c r="S525" s="57" cm="1">
        <f t="array" ref="S525">VLOOKUP(B525,'Player Data'!$A1:$AE673,7,FALSE)*$Q525*IFERROR((VLOOKUP(P525,Settings!$E$28:$F$33,2,FALSE)+1),1)</f>
        <v>12.299999999999999</v>
      </c>
      <c r="T525" s="57" cm="1">
        <f t="array" ref="T525">VLOOKUP(B525,'Player Data'!$A1:$AE673,8,FALSE)*$Q525*IFERROR((VLOOKUP(P525,Settings!$E$28:$F$33,2,FALSE)+1),1)</f>
        <v>9.84</v>
      </c>
      <c r="U525" s="57" cm="1">
        <f t="array" ref="U525">SUM(S525:T525)</f>
        <v>22.14</v>
      </c>
      <c r="V525" s="57" cm="1">
        <f t="array" ref="V525">VLOOKUP(B525,'Player Data'!$A1:$AE673,10,FALSE)*$Q525*IFERROR(((VLOOKUP(P525,Settings!$E$28:$F$33,2,FALSE)/2)+1),1)</f>
        <v>102.5</v>
      </c>
      <c r="W525" s="57" cm="1">
        <f t="array" ref="W525">VLOOKUP(B525,'Player Data'!$A1:$AE673,11,FALSE)*$Q525*IFERROR((VLOOKUP(P525,Settings!$E$28:$F$33,2,FALSE)+1),1)</f>
        <v>0</v>
      </c>
      <c r="X525" s="57" cm="1">
        <f t="array" ref="X525">VLOOKUP(B525,'Player Data'!$A1:$AE673,12,FALSE)*$Q525*IFERROR((VLOOKUP(P525,Settings!$E$28:$F$33,2,FALSE)+1),1)</f>
        <v>0</v>
      </c>
      <c r="Y525" s="57" cm="1">
        <f t="array" ref="Y525">VLOOKUP(B525,'Player Data'!$A1:$AE673,13,FALSE)*$Q525</f>
        <v>1.6400000000000001</v>
      </c>
      <c r="Z525" s="57" cm="1">
        <f t="array" ref="Z525">VLOOKUP(B525,'Player Data'!$A1:$AE673,14,FALSE)*$Q525</f>
        <v>2.46</v>
      </c>
      <c r="AA525" s="57" cm="1">
        <f t="array" ref="AA525">VLOOKUP(B525,'Player Data'!$A1:$AE673,15,FALSE)*$Q525</f>
        <v>44.28</v>
      </c>
      <c r="AB525" s="57" cm="1">
        <f t="array" ref="AB525">VLOOKUP(B525,'Player Data'!$A1:$AE673,16,FALSE)*$Q525</f>
        <v>145.14000000000001</v>
      </c>
      <c r="AC525" s="57" cm="1">
        <f t="array" ref="AC525">VLOOKUP(B525,'Player Data'!$A1:$AE673,17,FALSE)*$Q525*IFERROR((VLOOKUP(P525,Settings!$E$28:$F$33,2,FALSE)+1),1)</f>
        <v>0.82000000000000006</v>
      </c>
      <c r="AD525" s="57" cm="1">
        <f t="array" ref="AD525">VLOOKUP(B525,'Player Data'!$A1:$AE673,18,FALSE)*$Q525</f>
        <v>63.14</v>
      </c>
      <c r="AE525" s="57" cm="1">
        <f t="array" ref="AE525">VLOOKUP(B525,'Player Data'!$A1:$AE673,19,FALSE)*$Q525*IFERROR((VLOOKUP(P525,Settings!$E$28:$F$33,2,FALSE)+1),1)</f>
        <v>2.46</v>
      </c>
      <c r="AF525" s="57" cm="1">
        <f t="array" ref="AF525">VLOOKUP(B525,'Player Data'!$A1:$AE673,20,FALSE)*$Q525</f>
        <v>21.32</v>
      </c>
      <c r="AG525" s="57" cm="1">
        <f t="array" ref="AG525">VLOOKUP(B525,'Player Data'!$A1:$AE673,21,FALSE)*$Q525</f>
        <v>13.940000000000001</v>
      </c>
      <c r="AH525" s="59" cm="1">
        <f t="array" ref="AH525">VLOOKUP(B525,'Player Data'!$A1:$AE673,22,FALSE)</f>
        <v>0.6</v>
      </c>
      <c r="AI525" s="55"/>
      <c r="AJ525" s="57"/>
      <c r="AK525" s="57"/>
      <c r="AL525" s="57"/>
      <c r="AM525" s="57"/>
      <c r="AN525" s="57"/>
      <c r="AO525" s="57"/>
      <c r="AP525" s="57"/>
      <c r="AQ525" s="60"/>
      <c r="AR525" s="61"/>
      <c r="AS525" s="55"/>
    </row>
    <row r="526" spans="1:45" ht="21.25" customHeight="1" x14ac:dyDescent="0.15">
      <c r="A526" s="62">
        <f>RANK(K526,K$2:K$671)</f>
        <v>521</v>
      </c>
      <c r="B526" s="10" t="s">
        <v>621</v>
      </c>
      <c r="C526" s="47" t="s">
        <v>145</v>
      </c>
      <c r="D526" s="48" t="str" cm="1">
        <f t="array" ref="D526">VLOOKUP(B526,'Player Data'!A1:D673,4,FALSE)</f>
        <v>LW,RW</v>
      </c>
      <c r="E526" s="74" cm="1">
        <f t="array" ref="E526">VLOOKUP(B526,RW!A1:F210,3,FALSE)</f>
        <v>137</v>
      </c>
      <c r="F526" s="18" t="str" cm="1">
        <f t="array" ref="F526">VLOOKUP(B526,'Player Data'!A1:B673,2,FALSE)</f>
        <v>OTT</v>
      </c>
      <c r="G526" s="11" cm="1">
        <f t="array" ref="G526">VLOOKUP(B526,'Player Data'!A1:D673,3,FALSE)</f>
        <v>30</v>
      </c>
      <c r="H526" s="67" cm="1">
        <f t="array" ref="H526">IFERROR(VLOOKUP(B526,ADP!A1:F671,6,FALSE)/1000000,VLOOKUP(B526,ADP!A1:F671,6,FALSE))</f>
        <v>2.6</v>
      </c>
      <c r="I526" s="52">
        <f>IF(Settings!$E$15="POINTS",((R526*Q526)*Settings!$B$12)+(S526*Settings!$B$2)+(T526*Settings!$B$3)+(U526*Settings!$B$4)+(V526*Settings!$B$5)+(X526*Settings!$B$9)+(AA526*Settings!$B$6)+(W526*Settings!$B$8)+(AB526*Settings!$B$7)+(AC526*Settings!$B$14)+(AD526*Settings!$B$15)+(AE526*Settings!$B$16)+(AF526*Settings!$B$17)+(AG526*Settings!$B$18)+(Y526*Settings!$B$10)+(Z526*Settings!$B$11),VLOOKUP(B526,'Standard Deviations'!A$1:C$672,3,FALSE))</f>
        <v>-1.0519437435226986</v>
      </c>
      <c r="J526" s="53" cm="1">
        <f t="array" ref="J526">IF(D526="G",I526/AJ526,I526/Q526)</f>
        <v>-1.282858223808169E-2</v>
      </c>
      <c r="K526" s="52" cm="1">
        <f t="array" ref="K526">IF(Settings!$E$18="C/LW/RW",VLOOKUP(B526,RW!A1:F210,6,FALSE),VLOOKUP(B526,F!A1:F407,6,FALSE))</f>
        <v>-7.9391783453317757</v>
      </c>
      <c r="L526" s="54" cm="1">
        <f t="array" ref="L526">IFERROR(K526/H526,"N/A")</f>
        <v>-3.0535301328199136</v>
      </c>
      <c r="M526" s="84" t="s">
        <v>828</v>
      </c>
      <c r="N526" s="84" t="str" cm="1">
        <f t="array" ref="N526">IFERROR(M526-A526,"N/A")</f>
        <v>N/A</v>
      </c>
      <c r="O526" s="55"/>
      <c r="P526" s="56" cm="1">
        <f t="array" ref="P526">_xlfn.XLOOKUP($B526,ADP!A2:A671,ADP!G2:G671)</f>
        <v>0</v>
      </c>
      <c r="Q526" s="57" cm="1">
        <f t="array" ref="Q526">IF(Settings!$E$12="YES",VLOOKUP(B526,'Player Data'!A1:E673,5,FALSE),84)</f>
        <v>82</v>
      </c>
      <c r="R526" s="55" cm="1">
        <f t="array" ref="R526">VLOOKUP(B526,'Player Data'!$A1:$AE673,6,FALSE)</f>
        <v>15.2</v>
      </c>
      <c r="S526" s="57" cm="1">
        <f t="array" ref="S526">VLOOKUP(B526,'Player Data'!$A1:$AE673,7,FALSE)*$Q526*IFERROR((VLOOKUP(P526,Settings!$E$28:$F$33,2,FALSE)+1),1)</f>
        <v>13.120000000000001</v>
      </c>
      <c r="T526" s="57" cm="1">
        <f t="array" ref="T526">VLOOKUP(B526,'Player Data'!$A1:$AE673,8,FALSE)*$Q526*IFERROR((VLOOKUP(P526,Settings!$E$28:$F$33,2,FALSE)+1),1)</f>
        <v>18.04</v>
      </c>
      <c r="U526" s="57" cm="1">
        <f t="array" ref="U526">SUM(S526:T526)</f>
        <v>31.16</v>
      </c>
      <c r="V526" s="57" cm="1">
        <f t="array" ref="V526">VLOOKUP(B526,'Player Data'!$A1:$AE673,10,FALSE)*$Q526*IFERROR(((VLOOKUP(P526,Settings!$E$28:$F$33,2,FALSE)/2)+1),1)</f>
        <v>99.22</v>
      </c>
      <c r="W526" s="57" cm="1">
        <f t="array" ref="W526">VLOOKUP(B526,'Player Data'!$A1:$AE673,11,FALSE)*$Q526*IFERROR((VLOOKUP(P526,Settings!$E$28:$F$33,2,FALSE)+1),1)</f>
        <v>0</v>
      </c>
      <c r="X526" s="57" cm="1">
        <f t="array" ref="X526">VLOOKUP(B526,'Player Data'!$A1:$AE673,12,FALSE)*$Q526*IFERROR((VLOOKUP(P526,Settings!$E$28:$F$33,2,FALSE)+1),1)</f>
        <v>0</v>
      </c>
      <c r="Y526" s="57" cm="1">
        <f t="array" ref="Y526">VLOOKUP(B526,'Player Data'!$A1:$AE673,13,FALSE)*$Q526</f>
        <v>0</v>
      </c>
      <c r="Z526" s="57" cm="1">
        <f t="array" ref="Z526">VLOOKUP(B526,'Player Data'!$A1:$AE673,14,FALSE)*$Q526</f>
        <v>0.82000000000000006</v>
      </c>
      <c r="AA526" s="57" cm="1">
        <f t="array" ref="AA526">VLOOKUP(B526,'Player Data'!$A1:$AE673,15,FALSE)*$Q526</f>
        <v>47.559999999999995</v>
      </c>
      <c r="AB526" s="57" cm="1">
        <f t="array" ref="AB526">VLOOKUP(B526,'Player Data'!$A1:$AE673,16,FALSE)*$Q526</f>
        <v>98.399999999999991</v>
      </c>
      <c r="AC526" s="57" cm="1">
        <f t="array" ref="AC526">VLOOKUP(B526,'Player Data'!$A1:$AE673,17,FALSE)*$Q526*IFERROR((VLOOKUP(P526,Settings!$E$28:$F$33,2,FALSE)+1),1)</f>
        <v>2.46</v>
      </c>
      <c r="AD526" s="57" cm="1">
        <f t="array" ref="AD526">VLOOKUP(B526,'Player Data'!$A1:$AE673,18,FALSE)*$Q526</f>
        <v>22.14</v>
      </c>
      <c r="AE526" s="57" cm="1">
        <f t="array" ref="AE526">VLOOKUP(B526,'Player Data'!$A1:$AE673,19,FALSE)*$Q526*IFERROR((VLOOKUP(P526,Settings!$E$28:$F$33,2,FALSE)+1),1)</f>
        <v>2.46</v>
      </c>
      <c r="AF526" s="57" cm="1">
        <f t="array" ref="AF526">VLOOKUP(B526,'Player Data'!$A1:$AE673,20,FALSE)*$Q526</f>
        <v>21.32</v>
      </c>
      <c r="AG526" s="57" cm="1">
        <f t="array" ref="AG526">VLOOKUP(B526,'Player Data'!$A1:$AE673,21,FALSE)*$Q526</f>
        <v>27.060000000000002</v>
      </c>
      <c r="AH526" s="59" cm="1">
        <f t="array" ref="AH526">VLOOKUP(B526,'Player Data'!$A1:$AE673,22,FALSE)</f>
        <v>0.44</v>
      </c>
      <c r="AI526" s="55"/>
      <c r="AJ526" s="57"/>
      <c r="AK526" s="57"/>
      <c r="AL526" s="57"/>
      <c r="AM526" s="57"/>
      <c r="AN526" s="57"/>
      <c r="AO526" s="57"/>
      <c r="AP526" s="57"/>
      <c r="AQ526" s="60"/>
      <c r="AR526" s="61"/>
      <c r="AS526" s="55"/>
    </row>
    <row r="527" spans="1:45" ht="21.25" customHeight="1" x14ac:dyDescent="0.15">
      <c r="A527" s="62">
        <f>RANK(K527,K$2:K$671)</f>
        <v>522</v>
      </c>
      <c r="B527" s="10" t="s">
        <v>713</v>
      </c>
      <c r="C527" s="47" t="s">
        <v>145</v>
      </c>
      <c r="D527" s="48" t="str" cm="1">
        <f t="array" ref="D527">VLOOKUP(B527,'Player Data'!A1:D673,4,FALSE)</f>
        <v>RW</v>
      </c>
      <c r="E527" s="64" cm="1">
        <f t="array" ref="E527">VLOOKUP(B527,RW!A1:F210,3,FALSE)</f>
        <v>138</v>
      </c>
      <c r="F527" s="63" t="str" cm="1">
        <f t="array" ref="F527">VLOOKUP(B527,'Player Data'!A1:B673,2,FALSE)</f>
        <v>CGY</v>
      </c>
      <c r="G527" s="11" cm="1">
        <f t="array" ref="G527">VLOOKUP(B527,'Player Data'!A1:D673,3,FALSE)</f>
        <v>26</v>
      </c>
      <c r="H527" s="67" cm="1">
        <f t="array" ref="H527">IFERROR(VLOOKUP(B527,ADP!A1:F671,6,FALSE)/1000000,VLOOKUP(B527,ADP!A1:F671,6,FALSE))</f>
        <v>1.25</v>
      </c>
      <c r="I527" s="52">
        <f>IF(Settings!$E$15="POINTS",((R527*Q527)*Settings!$B$12)+(S527*Settings!$B$2)+(T527*Settings!$B$3)+(U527*Settings!$B$4)+(V527*Settings!$B$5)+(X527*Settings!$B$9)+(AA527*Settings!$B$6)+(W527*Settings!$B$8)+(AB527*Settings!$B$7)+(AC527*Settings!$B$14)+(AD527*Settings!$B$15)+(AE527*Settings!$B$16)+(AF527*Settings!$B$17)+(AG527*Settings!$B$18)+(Y527*Settings!$B$10)+(Z527*Settings!$B$11),VLOOKUP(B527,'Standard Deviations'!A$1:C$672,3,FALSE))</f>
        <v>-1.0808650551433439</v>
      </c>
      <c r="J527" s="53" cm="1">
        <f t="array" ref="J527">IF(D527="G",I527/AJ527,I527/Q527)</f>
        <v>-1.5664710944106434E-2</v>
      </c>
      <c r="K527" s="52" cm="1">
        <f t="array" ref="K527">IF(Settings!$E$18="C/LW/RW",VLOOKUP(B527,RW!A1:F210,6,FALSE),VLOOKUP(B527,F!A1:F407,6,FALSE))</f>
        <v>-7.9680996569524218</v>
      </c>
      <c r="L527" s="54" cm="1">
        <f t="array" ref="L527">IFERROR(K527/H527,"N/A")</f>
        <v>-6.3744797255619376</v>
      </c>
      <c r="M527" s="84" t="s">
        <v>828</v>
      </c>
      <c r="N527" s="84" t="str" cm="1">
        <f t="array" ref="N527">IFERROR(M527-A527,"N/A")</f>
        <v>N/A</v>
      </c>
      <c r="O527" s="55"/>
      <c r="P527" s="56" cm="1">
        <f t="array" ref="P527">_xlfn.XLOOKUP($B527,ADP!A2:A671,ADP!G2:G671)</f>
        <v>0</v>
      </c>
      <c r="Q527" s="57" cm="1">
        <f t="array" ref="Q527">IF(Settings!$E$12="YES",VLOOKUP(B527,'Player Data'!A1:E673,5,FALSE),84)</f>
        <v>69</v>
      </c>
      <c r="R527" s="81" cm="1">
        <f t="array" ref="R527">VLOOKUP(B527,'Player Data'!$A1:$AE673,6,FALSE)</f>
        <v>11.9</v>
      </c>
      <c r="S527" s="57" cm="1">
        <f t="array" ref="S527">VLOOKUP(B527,'Player Data'!$A1:$AE673,7,FALSE)*$Q527*IFERROR((VLOOKUP(P527,Settings!$E$28:$F$33,2,FALSE)+1),1)</f>
        <v>8.2799999999999994</v>
      </c>
      <c r="T527" s="57" cm="1">
        <f t="array" ref="T527">VLOOKUP(B527,'Player Data'!$A1:$AE673,8,FALSE)*$Q527*IFERROR((VLOOKUP(P527,Settings!$E$28:$F$33,2,FALSE)+1),1)</f>
        <v>11.73</v>
      </c>
      <c r="U527" s="57" cm="1">
        <f t="array" ref="U527">SUM(S527:T527)</f>
        <v>20.009999999999998</v>
      </c>
      <c r="V527" s="57" cm="1">
        <f t="array" ref="V527">VLOOKUP(B527,'Player Data'!$A1:$AE673,10,FALSE)*$Q527*IFERROR(((VLOOKUP(P527,Settings!$E$28:$F$33,2,FALSE)/2)+1),1)</f>
        <v>83.49</v>
      </c>
      <c r="W527" s="57" cm="1">
        <f t="array" ref="W527">VLOOKUP(B527,'Player Data'!$A1:$AE673,11,FALSE)*$Q527*IFERROR((VLOOKUP(P527,Settings!$E$28:$F$33,2,FALSE)+1),1)</f>
        <v>0</v>
      </c>
      <c r="X527" s="57" cm="1">
        <f t="array" ref="X527">VLOOKUP(B527,'Player Data'!$A1:$AE673,12,FALSE)*$Q527*IFERROR((VLOOKUP(P527,Settings!$E$28:$F$33,2,FALSE)+1),1)</f>
        <v>0.69000000000000006</v>
      </c>
      <c r="Y527" s="57" cm="1">
        <f t="array" ref="Y527">VLOOKUP(B527,'Player Data'!$A1:$AE673,13,FALSE)*$Q527</f>
        <v>0</v>
      </c>
      <c r="Z527" s="57" cm="1">
        <f t="array" ref="Z527">VLOOKUP(B527,'Player Data'!$A1:$AE673,14,FALSE)*$Q527</f>
        <v>0</v>
      </c>
      <c r="AA527" s="57" cm="1">
        <f t="array" ref="AA527">VLOOKUP(B527,'Player Data'!$A1:$AE673,15,FALSE)*$Q527</f>
        <v>46.92</v>
      </c>
      <c r="AB527" s="57" cm="1">
        <f t="array" ref="AB527">VLOOKUP(B527,'Player Data'!$A1:$AE673,16,FALSE)*$Q527</f>
        <v>251.16</v>
      </c>
      <c r="AC527" s="57" cm="1">
        <f t="array" ref="AC527">VLOOKUP(B527,'Player Data'!$A1:$AE673,17,FALSE)*$Q527*IFERROR((VLOOKUP(P527,Settings!$E$28:$F$33,2,FALSE)+1),1)</f>
        <v>-6.9</v>
      </c>
      <c r="AD527" s="57" cm="1">
        <f t="array" ref="AD527">VLOOKUP(B527,'Player Data'!$A1:$AE673,18,FALSE)*$Q527</f>
        <v>53.82</v>
      </c>
      <c r="AE527" s="57" cm="1">
        <f t="array" ref="AE527">VLOOKUP(B527,'Player Data'!$A1:$AE673,19,FALSE)*$Q527*IFERROR((VLOOKUP(P527,Settings!$E$28:$F$33,2,FALSE)+1),1)</f>
        <v>1.3800000000000001</v>
      </c>
      <c r="AF527" s="57" cm="1">
        <f t="array" ref="AF527">VLOOKUP(B527,'Player Data'!$A1:$AE673,20,FALSE)*$Q527</f>
        <v>11.73</v>
      </c>
      <c r="AG527" s="57" cm="1">
        <f t="array" ref="AG527">VLOOKUP(B527,'Player Data'!$A1:$AE673,21,FALSE)*$Q527</f>
        <v>24.84</v>
      </c>
      <c r="AH527" s="59" cm="1">
        <f t="array" ref="AH527">VLOOKUP(B527,'Player Data'!$A1:$AE673,22,FALSE)</f>
        <v>0.32</v>
      </c>
      <c r="AI527" s="55"/>
      <c r="AJ527" s="57"/>
      <c r="AK527" s="57"/>
      <c r="AL527" s="57"/>
      <c r="AM527" s="57"/>
      <c r="AN527" s="57"/>
      <c r="AO527" s="57"/>
      <c r="AP527" s="57"/>
      <c r="AQ527" s="60"/>
      <c r="AR527" s="61"/>
      <c r="AS527" s="55"/>
    </row>
    <row r="528" spans="1:45" ht="21.25" customHeight="1" x14ac:dyDescent="0.15">
      <c r="A528" s="62">
        <f>RANK(K528,K$2:K$671)</f>
        <v>525</v>
      </c>
      <c r="B528" s="10" t="s">
        <v>688</v>
      </c>
      <c r="C528" s="47" t="s">
        <v>145</v>
      </c>
      <c r="D528" s="48" t="str" cm="1">
        <f t="array" ref="D528">VLOOKUP(B528,'Player Data'!A1:D673,4,FALSE)</f>
        <v>C</v>
      </c>
      <c r="E528" s="49" cm="1">
        <f t="array" ref="E528">VLOOKUP(B528,'C'!A1:C210,3,FALSE)</f>
        <v>144</v>
      </c>
      <c r="F528" s="63" t="str" cm="1">
        <f t="array" ref="F528">VLOOKUP(B528,'Player Data'!A1:B673,2,FALSE)</f>
        <v>EDM</v>
      </c>
      <c r="G528" s="66" cm="1">
        <f t="array" ref="G528">VLOOKUP(B528,'Player Data'!A1:D673,3,FALSE)</f>
        <v>31</v>
      </c>
      <c r="H528" s="51" cm="1">
        <f t="array" ref="H528">IFERROR(VLOOKUP(B528,ADP!A1:F671,6,FALSE)/1000000,VLOOKUP(B528,ADP!A1:F671,6,FALSE))</f>
        <v>4</v>
      </c>
      <c r="I528" s="52">
        <f>IF(Settings!$E$15="POINTS",((R528*Q528)*Settings!$B$12)+(S528*Settings!$B$2)+(T528*Settings!$B$3)+(U528*Settings!$B$4)+(V528*Settings!$B$5)+(X528*Settings!$B$9)+(AA528*Settings!$B$6)+(W528*Settings!$B$8)+(AB528*Settings!$B$7)+(AC528*Settings!$B$14)+(AD528*Settings!$B$15)+(AE528*Settings!$B$16)+(AF528*Settings!$B$17)+(AG528*Settings!$B$18)+(Y528*Settings!$B$10)+(Z528*Settings!$B$11),VLOOKUP(B528,'Standard Deviations'!A$1:C$672,3,FALSE))</f>
        <v>-1.6400950552983609</v>
      </c>
      <c r="J528" s="53" cm="1">
        <f t="array" ref="J528">IF(D528="G",I528/AJ528,I528/Q528)</f>
        <v>-2.1026859683312318E-2</v>
      </c>
      <c r="K528" s="52" cm="1">
        <f t="array" ref="K528">IF(Settings!$E$18="C/LW/RW",VLOOKUP(B528,'C'!A1:F210,6,FALSE),VLOOKUP(B528,F!A1:F407,6,FALSE))</f>
        <v>-8.0001046129134252</v>
      </c>
      <c r="L528" s="54" cm="1">
        <f t="array" ref="L528">IFERROR(K528/H528,"N/A")</f>
        <v>-2.0000261532283563</v>
      </c>
      <c r="M528" s="84" t="s">
        <v>828</v>
      </c>
      <c r="N528" s="84" t="str" cm="1">
        <f t="array" ref="N528">IFERROR(M528-A528,"N/A")</f>
        <v>N/A</v>
      </c>
      <c r="O528" s="55"/>
      <c r="P528" s="56" cm="1">
        <f t="array" ref="P528">_xlfn.XLOOKUP($B528,ADP!A2:A671,ADP!G2:G671)</f>
        <v>0</v>
      </c>
      <c r="Q528" s="57" cm="1">
        <f t="array" ref="Q528">IF(Settings!$E$12="YES",VLOOKUP(B528,'Player Data'!A1:E673,5,FALSE),84)</f>
        <v>78</v>
      </c>
      <c r="R528" s="83" cm="1">
        <f t="array" ref="R528">VLOOKUP(B528,'Player Data'!$A1:$AE673,6,FALSE)</f>
        <v>13.6</v>
      </c>
      <c r="S528" s="57" cm="1">
        <f t="array" ref="S528">VLOOKUP(B528,'Player Data'!$A1:$AE673,7,FALSE)*$Q528*IFERROR((VLOOKUP(P528,Settings!$E$28:$F$33,2,FALSE)+1),1)</f>
        <v>10.14</v>
      </c>
      <c r="T528" s="57" cm="1">
        <f t="array" ref="T528">VLOOKUP(B528,'Player Data'!$A1:$AE673,8,FALSE)*$Q528*IFERROR((VLOOKUP(P528,Settings!$E$28:$F$33,2,FALSE)+1),1)</f>
        <v>10.920000000000002</v>
      </c>
      <c r="U528" s="57" cm="1">
        <f t="array" ref="U528">SUM(S528:T528)</f>
        <v>21.060000000000002</v>
      </c>
      <c r="V528" s="57" cm="1">
        <f t="array" ref="V528">VLOOKUP(B528,'Player Data'!$A1:$AE673,10,FALSE)*$Q528*IFERROR(((VLOOKUP(P528,Settings!$E$28:$F$33,2,FALSE)/2)+1),1)</f>
        <v>82.68</v>
      </c>
      <c r="W528" s="57" cm="1">
        <f t="array" ref="W528">VLOOKUP(B528,'Player Data'!$A1:$AE673,11,FALSE)*$Q528*IFERROR((VLOOKUP(P528,Settings!$E$28:$F$33,2,FALSE)+1),1)</f>
        <v>0</v>
      </c>
      <c r="X528" s="57" cm="1">
        <f t="array" ref="X528">VLOOKUP(B528,'Player Data'!$A1:$AE673,12,FALSE)*$Q528*IFERROR((VLOOKUP(P528,Settings!$E$28:$F$33,2,FALSE)+1),1)</f>
        <v>0</v>
      </c>
      <c r="Y528" s="57" cm="1">
        <f t="array" ref="Y528">VLOOKUP(B528,'Player Data'!$A1:$AE673,13,FALSE)*$Q528</f>
        <v>0.78</v>
      </c>
      <c r="Z528" s="57" cm="1">
        <f t="array" ref="Z528">VLOOKUP(B528,'Player Data'!$A1:$AE673,14,FALSE)*$Q528</f>
        <v>1.56</v>
      </c>
      <c r="AA528" s="57" cm="1">
        <f t="array" ref="AA528">VLOOKUP(B528,'Player Data'!$A1:$AE673,15,FALSE)*$Q528</f>
        <v>55.379999999999995</v>
      </c>
      <c r="AB528" s="57" cm="1">
        <f t="array" ref="AB528">VLOOKUP(B528,'Player Data'!$A1:$AE673,16,FALSE)*$Q528</f>
        <v>99.06</v>
      </c>
      <c r="AC528" s="57" cm="1">
        <f t="array" ref="AC528">VLOOKUP(B528,'Player Data'!$A1:$AE673,17,FALSE)*$Q528*IFERROR((VLOOKUP(P528,Settings!$E$28:$F$33,2,FALSE)+1),1)</f>
        <v>4.68</v>
      </c>
      <c r="AD528" s="57" cm="1">
        <f t="array" ref="AD528">VLOOKUP(B528,'Player Data'!$A1:$AE673,18,FALSE)*$Q528</f>
        <v>25.740000000000002</v>
      </c>
      <c r="AE528" s="57" cm="1">
        <f t="array" ref="AE528">VLOOKUP(B528,'Player Data'!$A1:$AE673,19,FALSE)*$Q528*IFERROR((VLOOKUP(P528,Settings!$E$28:$F$33,2,FALSE)+1),1)</f>
        <v>1.56</v>
      </c>
      <c r="AF528" s="57" cm="1">
        <f t="array" ref="AF528">VLOOKUP(B528,'Player Data'!$A1:$AE673,20,FALSE)*$Q528</f>
        <v>477.36</v>
      </c>
      <c r="AG528" s="57" cm="1">
        <f t="array" ref="AG528">VLOOKUP(B528,'Player Data'!$A1:$AE673,21,FALSE)*$Q528</f>
        <v>485.94000000000005</v>
      </c>
      <c r="AH528" s="59" cm="1">
        <f t="array" ref="AH528">VLOOKUP(B528,'Player Data'!$A1:$AE673,22,FALSE)</f>
        <v>0.5</v>
      </c>
      <c r="AI528" s="55"/>
      <c r="AJ528" s="57"/>
      <c r="AK528" s="57"/>
      <c r="AL528" s="57"/>
      <c r="AM528" s="57"/>
      <c r="AN528" s="57"/>
      <c r="AO528" s="57"/>
      <c r="AP528" s="57"/>
      <c r="AQ528" s="60"/>
      <c r="AR528" s="61"/>
      <c r="AS528" s="55"/>
    </row>
    <row r="529" spans="1:45" ht="21.25" customHeight="1" x14ac:dyDescent="0.15">
      <c r="A529" s="62">
        <f>RANK(K529,K$2:K$671)</f>
        <v>526</v>
      </c>
      <c r="B529" s="10" t="s">
        <v>677</v>
      </c>
      <c r="C529" s="47" t="s">
        <v>145</v>
      </c>
      <c r="D529" s="48" t="str" cm="1">
        <f t="array" ref="D529">VLOOKUP(B529,'Player Data'!A1:D673,4,FALSE)</f>
        <v>C,LW</v>
      </c>
      <c r="E529" s="74" cm="1">
        <f t="array" ref="E529">VLOOKUP(B529,LW!A1:C210,3,FALSE)</f>
        <v>142</v>
      </c>
      <c r="F529" s="72" t="str" cm="1">
        <f t="array" ref="F529">VLOOKUP(B529,'Player Data'!A1:B673,2,FALSE)</f>
        <v>PIT</v>
      </c>
      <c r="G529" s="11" cm="1">
        <f t="array" ref="G529">VLOOKUP(B529,'Player Data'!A1:D673,3,FALSE)</f>
        <v>27</v>
      </c>
      <c r="H529" s="51" cm="1">
        <f t="array" ref="H529">IFERROR(VLOOKUP(B529,ADP!A1:F671,6,FALSE)/1000000,VLOOKUP(B529,ADP!A1:F671,6,FALSE))</f>
        <v>2.25</v>
      </c>
      <c r="I529" s="52">
        <f>IF(Settings!$E$15="POINTS",((R529*Q529)*Settings!$B$12)+(S529*Settings!$B$2)+(T529*Settings!$B$3)+(U529*Settings!$B$4)+(V529*Settings!$B$5)+(X529*Settings!$B$9)+(AA529*Settings!$B$6)+(W529*Settings!$B$8)+(AB529*Settings!$B$7)+(AC529*Settings!$B$14)+(AD529*Settings!$B$15)+(AE529*Settings!$B$16)+(AF529*Settings!$B$17)+(AG529*Settings!$B$18)+(Y529*Settings!$B$10)+(Z529*Settings!$B$11),VLOOKUP(B529,'Standard Deviations'!A$1:C$672,3,FALSE))</f>
        <v>-1.1397600834011909</v>
      </c>
      <c r="J529" s="53" cm="1">
        <f t="array" ref="J529">IF(D529="G",I529/AJ529,I529/Q529)</f>
        <v>-1.4612308761553731E-2</v>
      </c>
      <c r="K529" s="52" cm="1">
        <f t="array" ref="K529">IF(Settings!$E$18="C/LW/RW",VLOOKUP(B529,LW!A1:F210,6,FALSE),VLOOKUP(B529,F!A1:F407,6,FALSE))</f>
        <v>-8.0341457277910013</v>
      </c>
      <c r="L529" s="54" cm="1">
        <f t="array" ref="L529">IFERROR(K529/H529,"N/A")</f>
        <v>-3.5707314345737782</v>
      </c>
      <c r="M529" s="84" t="s">
        <v>828</v>
      </c>
      <c r="N529" s="84" t="str" cm="1">
        <f t="array" ref="N529">IFERROR(M529-A529,"N/A")</f>
        <v>N/A</v>
      </c>
      <c r="O529" s="55"/>
      <c r="P529" s="56" cm="1">
        <f t="array" ref="P529">_xlfn.XLOOKUP($B529,ADP!A2:A671,ADP!G2:G671)</f>
        <v>0</v>
      </c>
      <c r="Q529" s="57" cm="1">
        <f t="array" ref="Q529">IF(Settings!$E$12="YES",VLOOKUP(B529,'Player Data'!A1:E673,5,FALSE),84)</f>
        <v>78</v>
      </c>
      <c r="R529" s="55" cm="1">
        <f t="array" ref="R529">VLOOKUP(B529,'Player Data'!$A1:$AE673,6,FALSE)</f>
        <v>13.3</v>
      </c>
      <c r="S529" s="57" cm="1">
        <f t="array" ref="S529">VLOOKUP(B529,'Player Data'!$A1:$AE673,7,FALSE)*$Q529*IFERROR((VLOOKUP(P529,Settings!$E$28:$F$33,2,FALSE)+1),1)</f>
        <v>11.7</v>
      </c>
      <c r="T529" s="57" cm="1">
        <f t="array" ref="T529">VLOOKUP(B529,'Player Data'!$A1:$AE673,8,FALSE)*$Q529*IFERROR((VLOOKUP(P529,Settings!$E$28:$F$33,2,FALSE)+1),1)</f>
        <v>13.260000000000002</v>
      </c>
      <c r="U529" s="57" cm="1">
        <f t="array" ref="U529">SUM(S529:T529)</f>
        <v>24.96</v>
      </c>
      <c r="V529" s="57" cm="1">
        <f t="array" ref="V529">VLOOKUP(B529,'Player Data'!$A1:$AE673,10,FALSE)*$Q529*IFERROR(((VLOOKUP(P529,Settings!$E$28:$F$33,2,FALSE)/2)+1),1)</f>
        <v>100.62</v>
      </c>
      <c r="W529" s="57" cm="1">
        <f t="array" ref="W529">VLOOKUP(B529,'Player Data'!$A1:$AE673,11,FALSE)*$Q529*IFERROR((VLOOKUP(P529,Settings!$E$28:$F$33,2,FALSE)+1),1)</f>
        <v>0</v>
      </c>
      <c r="X529" s="57" cm="1">
        <f t="array" ref="X529">VLOOKUP(B529,'Player Data'!$A1:$AE673,12,FALSE)*$Q529*IFERROR((VLOOKUP(P529,Settings!$E$28:$F$33,2,FALSE)+1),1)</f>
        <v>0</v>
      </c>
      <c r="Y529" s="57" cm="1">
        <f t="array" ref="Y529">VLOOKUP(B529,'Player Data'!$A1:$AE673,13,FALSE)*$Q529</f>
        <v>0.78</v>
      </c>
      <c r="Z529" s="57" cm="1">
        <f t="array" ref="Z529">VLOOKUP(B529,'Player Data'!$A1:$AE673,14,FALSE)*$Q529</f>
        <v>1.56</v>
      </c>
      <c r="AA529" s="57" cm="1">
        <f t="array" ref="AA529">VLOOKUP(B529,'Player Data'!$A1:$AE673,15,FALSE)*$Q529</f>
        <v>48.36</v>
      </c>
      <c r="AB529" s="57" cm="1">
        <f t="array" ref="AB529">VLOOKUP(B529,'Player Data'!$A1:$AE673,16,FALSE)*$Q529</f>
        <v>150.54</v>
      </c>
      <c r="AC529" s="57" cm="1">
        <f t="array" ref="AC529">VLOOKUP(B529,'Player Data'!$A1:$AE673,17,FALSE)*$Q529*IFERROR((VLOOKUP(P529,Settings!$E$28:$F$33,2,FALSE)+1),1)</f>
        <v>-0.78</v>
      </c>
      <c r="AD529" s="57" cm="1">
        <f t="array" ref="AD529">VLOOKUP(B529,'Player Data'!$A1:$AE673,18,FALSE)*$Q529</f>
        <v>24.18</v>
      </c>
      <c r="AE529" s="57" cm="1">
        <f t="array" ref="AE529">VLOOKUP(B529,'Player Data'!$A1:$AE673,19,FALSE)*$Q529*IFERROR((VLOOKUP(P529,Settings!$E$28:$F$33,2,FALSE)+1),1)</f>
        <v>1.56</v>
      </c>
      <c r="AF529" s="57" cm="1">
        <f t="array" ref="AF529">VLOOKUP(B529,'Player Data'!$A1:$AE673,20,FALSE)*$Q529</f>
        <v>78.78</v>
      </c>
      <c r="AG529" s="57" cm="1">
        <f t="array" ref="AG529">VLOOKUP(B529,'Player Data'!$A1:$AE673,21,FALSE)*$Q529</f>
        <v>92.039999999999992</v>
      </c>
      <c r="AH529" s="59" cm="1">
        <f t="array" ref="AH529">VLOOKUP(B529,'Player Data'!$A1:$AE673,22,FALSE)</f>
        <v>0.46</v>
      </c>
      <c r="AI529" s="55"/>
      <c r="AJ529" s="57"/>
      <c r="AK529" s="57"/>
      <c r="AL529" s="57"/>
      <c r="AM529" s="57"/>
      <c r="AN529" s="57"/>
      <c r="AO529" s="57"/>
      <c r="AP529" s="57"/>
      <c r="AQ529" s="60"/>
      <c r="AR529" s="61"/>
      <c r="AS529" s="55"/>
    </row>
    <row r="530" spans="1:45" ht="21.25" customHeight="1" x14ac:dyDescent="0.15">
      <c r="A530" s="62">
        <f>RANK(K530,K$2:K$671)</f>
        <v>529</v>
      </c>
      <c r="B530" s="10" t="s">
        <v>758</v>
      </c>
      <c r="C530" s="47" t="s">
        <v>145</v>
      </c>
      <c r="D530" s="48" t="str" cm="1">
        <f t="array" ref="D530">VLOOKUP(B530,'Player Data'!A1:D673,4,FALSE)</f>
        <v>C,LW</v>
      </c>
      <c r="E530" s="74" cm="1">
        <f t="array" ref="E530">VLOOKUP(B530,LW!A1:C210,3,FALSE)</f>
        <v>143</v>
      </c>
      <c r="F530" s="70" t="str" cm="1">
        <f t="array" ref="F530">VLOOKUP(B530,'Player Data'!A1:B673,2,FALSE)</f>
        <v>MIN</v>
      </c>
      <c r="G530" s="66" cm="1">
        <f t="array" ref="G530">VLOOKUP(B530,'Player Data'!A1:D673,3,FALSE)</f>
        <v>38</v>
      </c>
      <c r="H530" s="67" cm="1">
        <f t="array" ref="H530">IFERROR(VLOOKUP(B530,ADP!A1:F671,6,FALSE)/1000000,VLOOKUP(B530,ADP!A1:F671,6,FALSE))</f>
        <v>0.9</v>
      </c>
      <c r="I530" s="52">
        <f>IF(Settings!$E$15="POINTS",((R530*Q530)*Settings!$B$12)+(S530*Settings!$B$2)+(T530*Settings!$B$3)+(U530*Settings!$B$4)+(V530*Settings!$B$5)+(X530*Settings!$B$9)+(AA530*Settings!$B$6)+(W530*Settings!$B$8)+(AB530*Settings!$B$7)+(AC530*Settings!$B$14)+(AD530*Settings!$B$15)+(AE530*Settings!$B$16)+(AF530*Settings!$B$17)+(AG530*Settings!$B$18)+(Y530*Settings!$B$10)+(Z530*Settings!$B$11),VLOOKUP(B530,'Standard Deviations'!A$1:C$672,3,FALSE))</f>
        <v>-1.1763249349317575</v>
      </c>
      <c r="J530" s="53" cm="1">
        <f t="array" ref="J530">IF(D530="G",I530/AJ530,I530/Q530)</f>
        <v>-1.5081088909381507E-2</v>
      </c>
      <c r="K530" s="52" cm="1">
        <f t="array" ref="K530">IF(Settings!$E$18="C/LW/RW",VLOOKUP(B530,LW!A1:F210,6,FALSE),VLOOKUP(B530,F!A1:F407,6,FALSE))</f>
        <v>-8.0707105793215668</v>
      </c>
      <c r="L530" s="54" cm="1">
        <f t="array" ref="L530">IFERROR(K530/H530,"N/A")</f>
        <v>-8.9674561992461843</v>
      </c>
      <c r="M530" s="84" t="s">
        <v>828</v>
      </c>
      <c r="N530" s="84" t="str" cm="1">
        <f t="array" ref="N530">IFERROR(M530-A530,"N/A")</f>
        <v>N/A</v>
      </c>
      <c r="O530" s="55"/>
      <c r="P530" s="56" cm="1">
        <f t="array" ref="P530">_xlfn.XLOOKUP($B530,ADP!A2:A671,ADP!G2:G671)</f>
        <v>0</v>
      </c>
      <c r="Q530" s="57" cm="1">
        <f t="array" ref="Q530">IF(Settings!$E$12="YES",VLOOKUP(B530,'Player Data'!A1:E673,5,FALSE),84)</f>
        <v>78</v>
      </c>
      <c r="R530" s="83" cm="1">
        <f t="array" ref="R530">VLOOKUP(B530,'Player Data'!$A1:$AE673,6,FALSE)</f>
        <v>11.1</v>
      </c>
      <c r="S530" s="57" cm="1">
        <f t="array" ref="S530">VLOOKUP(B530,'Player Data'!$A1:$AE673,7,FALSE)*$Q530*IFERROR((VLOOKUP(P530,Settings!$E$28:$F$33,2,FALSE)+1),1)</f>
        <v>7.8000000000000007</v>
      </c>
      <c r="T530" s="57" cm="1">
        <f t="array" ref="T530">VLOOKUP(B530,'Player Data'!$A1:$AE673,8,FALSE)*$Q530*IFERROR((VLOOKUP(P530,Settings!$E$28:$F$33,2,FALSE)+1),1)</f>
        <v>11.7</v>
      </c>
      <c r="U530" s="57" cm="1">
        <f t="array" ref="U530">SUM(S530:T530)</f>
        <v>19.5</v>
      </c>
      <c r="V530" s="57" cm="1">
        <f t="array" ref="V530">VLOOKUP(B530,'Player Data'!$A1:$AE673,10,FALSE)*$Q530*IFERROR(((VLOOKUP(P530,Settings!$E$28:$F$33,2,FALSE)/2)+1),1)</f>
        <v>72.540000000000006</v>
      </c>
      <c r="W530" s="57" cm="1">
        <f t="array" ref="W530">VLOOKUP(B530,'Player Data'!$A1:$AE673,11,FALSE)*$Q530*IFERROR((VLOOKUP(P530,Settings!$E$28:$F$33,2,FALSE)+1),1)</f>
        <v>0.78</v>
      </c>
      <c r="X530" s="57" cm="1">
        <f t="array" ref="X530">VLOOKUP(B530,'Player Data'!$A1:$AE673,12,FALSE)*$Q530*IFERROR((VLOOKUP(P530,Settings!$E$28:$F$33,2,FALSE)+1),1)</f>
        <v>0.78</v>
      </c>
      <c r="Y530" s="57" cm="1">
        <f t="array" ref="Y530">VLOOKUP(B530,'Player Data'!$A1:$AE673,13,FALSE)*$Q530</f>
        <v>0</v>
      </c>
      <c r="Z530" s="57" cm="1">
        <f t="array" ref="Z530">VLOOKUP(B530,'Player Data'!$A1:$AE673,14,FALSE)*$Q530</f>
        <v>0</v>
      </c>
      <c r="AA530" s="57" cm="1">
        <f t="array" ref="AA530">VLOOKUP(B530,'Player Data'!$A1:$AE673,15,FALSE)*$Q530</f>
        <v>35.1</v>
      </c>
      <c r="AB530" s="57" cm="1">
        <f t="array" ref="AB530">VLOOKUP(B530,'Player Data'!$A1:$AE673,16,FALSE)*$Q530</f>
        <v>159.89999999999998</v>
      </c>
      <c r="AC530" s="57" cm="1">
        <f t="array" ref="AC530">VLOOKUP(B530,'Player Data'!$A1:$AE673,17,FALSE)*$Q530*IFERROR((VLOOKUP(P530,Settings!$E$28:$F$33,2,FALSE)+1),1)</f>
        <v>2.34</v>
      </c>
      <c r="AD530" s="57" cm="1">
        <f t="array" ref="AD530">VLOOKUP(B530,'Player Data'!$A1:$AE673,18,FALSE)*$Q530</f>
        <v>35.880000000000003</v>
      </c>
      <c r="AE530" s="57" cm="1">
        <f t="array" ref="AE530">VLOOKUP(B530,'Player Data'!$A1:$AE673,19,FALSE)*$Q530*IFERROR((VLOOKUP(P530,Settings!$E$28:$F$33,2,FALSE)+1),1)</f>
        <v>1.56</v>
      </c>
      <c r="AF530" s="57" cm="1">
        <f t="array" ref="AF530">VLOOKUP(B530,'Player Data'!$A1:$AE673,20,FALSE)*$Q530</f>
        <v>230.88</v>
      </c>
      <c r="AG530" s="57" cm="1">
        <f t="array" ref="AG530">VLOOKUP(B530,'Player Data'!$A1:$AE673,21,FALSE)*$Q530</f>
        <v>231.66000000000003</v>
      </c>
      <c r="AH530" s="59" cm="1">
        <f t="array" ref="AH530">VLOOKUP(B530,'Player Data'!$A1:$AE673,22,FALSE)</f>
        <v>0.5</v>
      </c>
      <c r="AI530" s="55"/>
      <c r="AJ530" s="57"/>
      <c r="AK530" s="57"/>
      <c r="AL530" s="57"/>
      <c r="AM530" s="57"/>
      <c r="AN530" s="57"/>
      <c r="AO530" s="57"/>
      <c r="AP530" s="57"/>
      <c r="AQ530" s="60"/>
      <c r="AR530" s="61"/>
      <c r="AS530" s="55"/>
    </row>
    <row r="531" spans="1:45" ht="21.25" customHeight="1" x14ac:dyDescent="0.15">
      <c r="A531" s="62">
        <f>RANK(K531,K$2:K$671)</f>
        <v>533</v>
      </c>
      <c r="B531" s="10" t="s">
        <v>640</v>
      </c>
      <c r="C531" s="47" t="s">
        <v>145</v>
      </c>
      <c r="D531" s="48" t="str" cm="1">
        <f t="array" ref="D531">VLOOKUP(B531,'Player Data'!A1:D673,4,FALSE)</f>
        <v>C,LW</v>
      </c>
      <c r="E531" s="74" cm="1">
        <f t="array" ref="E531">VLOOKUP(B531,LW!A1:C210,3,FALSE)</f>
        <v>147</v>
      </c>
      <c r="F531" s="69" t="str" cm="1">
        <f t="array" ref="F531">VLOOKUP(B531,'Player Data'!A1:B673,2,FALSE)</f>
        <v>MTL</v>
      </c>
      <c r="G531" s="11" cm="1">
        <f t="array" ref="G531">VLOOKUP(B531,'Player Data'!A1:D673,3,FALSE)</f>
        <v>25</v>
      </c>
      <c r="H531" s="67" cm="1">
        <f t="array" ref="H531">IFERROR(VLOOKUP(B531,ADP!A1:F671,6,FALSE)/1000000,VLOOKUP(B531,ADP!A1:F671,6,FALSE))</f>
        <v>2.9</v>
      </c>
      <c r="I531" s="52">
        <f>IF(Settings!$E$15="POINTS",((R531*Q531)*Settings!$B$12)+(S531*Settings!$B$2)+(T531*Settings!$B$3)+(U531*Settings!$B$4)+(V531*Settings!$B$5)+(X531*Settings!$B$9)+(AA531*Settings!$B$6)+(W531*Settings!$B$8)+(AB531*Settings!$B$7)+(AC531*Settings!$B$14)+(AD531*Settings!$B$15)+(AE531*Settings!$B$16)+(AF531*Settings!$B$17)+(AG531*Settings!$B$18)+(Y531*Settings!$B$10)+(Z531*Settings!$B$11),VLOOKUP(B531,'Standard Deviations'!A$1:C$672,3,FALSE))</f>
        <v>-1.2106531449017033</v>
      </c>
      <c r="J531" s="53" cm="1">
        <f t="array" ref="J531">IF(D531="G",I531/AJ531,I531/Q531)</f>
        <v>-1.6360177633806802E-2</v>
      </c>
      <c r="K531" s="52" cm="1">
        <f t="array" ref="K531">IF(Settings!$E$18="C/LW/RW",VLOOKUP(B531,LW!A1:F210,6,FALSE),VLOOKUP(B531,F!A1:F407,6,FALSE))</f>
        <v>-8.1050387892915126</v>
      </c>
      <c r="L531" s="54" cm="1">
        <f t="array" ref="L531">IFERROR(K531/H531,"N/A")</f>
        <v>-2.7948409618246597</v>
      </c>
      <c r="M531" s="84" t="s">
        <v>828</v>
      </c>
      <c r="N531" s="84" t="str" cm="1">
        <f t="array" ref="N531">IFERROR(M531-A531,"N/A")</f>
        <v>N/A</v>
      </c>
      <c r="O531" s="55"/>
      <c r="P531" s="56" cm="1">
        <f t="array" ref="P531">_xlfn.XLOOKUP($B531,ADP!A2:A671,ADP!G2:G671)</f>
        <v>0</v>
      </c>
      <c r="Q531" s="57" cm="1">
        <f t="array" ref="Q531">IF(Settings!$E$12="YES",VLOOKUP(B531,'Player Data'!A1:E673,5,FALSE),84)</f>
        <v>74</v>
      </c>
      <c r="R531" s="55" cm="1">
        <f t="array" ref="R531">VLOOKUP(B531,'Player Data'!$A1:$AE673,6,FALSE)</f>
        <v>14.7</v>
      </c>
      <c r="S531" s="57" cm="1">
        <f t="array" ref="S531">VLOOKUP(B531,'Player Data'!$A1:$AE673,7,FALSE)*$Q531*IFERROR((VLOOKUP(P531,Settings!$E$28:$F$33,2,FALSE)+1),1)</f>
        <v>16.28</v>
      </c>
      <c r="T531" s="57" cm="1">
        <f t="array" ref="T531">VLOOKUP(B531,'Player Data'!$A1:$AE673,8,FALSE)*$Q531*IFERROR((VLOOKUP(P531,Settings!$E$28:$F$33,2,FALSE)+1),1)</f>
        <v>15.54</v>
      </c>
      <c r="U531" s="57" cm="1">
        <f t="array" ref="U531">SUM(S531:T531)</f>
        <v>31.82</v>
      </c>
      <c r="V531" s="57" cm="1">
        <f t="array" ref="V531">VLOOKUP(B531,'Player Data'!$A1:$AE673,10,FALSE)*$Q531*IFERROR(((VLOOKUP(P531,Settings!$E$28:$F$33,2,FALSE)/2)+1),1)</f>
        <v>100.64</v>
      </c>
      <c r="W531" s="57" cm="1">
        <f t="array" ref="W531">VLOOKUP(B531,'Player Data'!$A1:$AE673,11,FALSE)*$Q531*IFERROR((VLOOKUP(P531,Settings!$E$28:$F$33,2,FALSE)+1),1)</f>
        <v>0.74</v>
      </c>
      <c r="X531" s="57" cm="1">
        <f t="array" ref="X531">VLOOKUP(B531,'Player Data'!$A1:$AE673,12,FALSE)*$Q531*IFERROR((VLOOKUP(P531,Settings!$E$28:$F$33,2,FALSE)+1),1)</f>
        <v>2.2199999999999998</v>
      </c>
      <c r="Y531" s="57" cm="1">
        <f t="array" ref="Y531">VLOOKUP(B531,'Player Data'!$A1:$AE673,13,FALSE)*$Q531</f>
        <v>0</v>
      </c>
      <c r="Z531" s="57" cm="1">
        <f t="array" ref="Z531">VLOOKUP(B531,'Player Data'!$A1:$AE673,14,FALSE)*$Q531</f>
        <v>0</v>
      </c>
      <c r="AA531" s="57" cm="1">
        <f t="array" ref="AA531">VLOOKUP(B531,'Player Data'!$A1:$AE673,15,FALSE)*$Q531</f>
        <v>31.82</v>
      </c>
      <c r="AB531" s="57" cm="1">
        <f t="array" ref="AB531">VLOOKUP(B531,'Player Data'!$A1:$AE673,16,FALSE)*$Q531</f>
        <v>82.14</v>
      </c>
      <c r="AC531" s="57" cm="1">
        <f t="array" ref="AC531">VLOOKUP(B531,'Player Data'!$A1:$AE673,17,FALSE)*$Q531*IFERROR((VLOOKUP(P531,Settings!$E$28:$F$33,2,FALSE)+1),1)</f>
        <v>1.48</v>
      </c>
      <c r="AD531" s="57" cm="1">
        <f t="array" ref="AD531">VLOOKUP(B531,'Player Data'!$A1:$AE673,18,FALSE)*$Q531</f>
        <v>22.2</v>
      </c>
      <c r="AE531" s="57" cm="1">
        <f t="array" ref="AE531">VLOOKUP(B531,'Player Data'!$A1:$AE673,19,FALSE)*$Q531*IFERROR((VLOOKUP(P531,Settings!$E$28:$F$33,2,FALSE)+1),1)</f>
        <v>2.96</v>
      </c>
      <c r="AF531" s="57" cm="1">
        <f t="array" ref="AF531">VLOOKUP(B531,'Player Data'!$A1:$AE673,20,FALSE)*$Q531</f>
        <v>222.73999999999998</v>
      </c>
      <c r="AG531" s="57" cm="1">
        <f t="array" ref="AG531">VLOOKUP(B531,'Player Data'!$A1:$AE673,21,FALSE)*$Q531</f>
        <v>271.58</v>
      </c>
      <c r="AH531" s="59" cm="1">
        <f t="array" ref="AH531">VLOOKUP(B531,'Player Data'!$A1:$AE673,22,FALSE)</f>
        <v>0.45</v>
      </c>
      <c r="AI531" s="55"/>
      <c r="AJ531" s="57"/>
      <c r="AK531" s="57"/>
      <c r="AL531" s="57"/>
      <c r="AM531" s="57"/>
      <c r="AN531" s="57"/>
      <c r="AO531" s="57"/>
      <c r="AP531" s="57"/>
      <c r="AQ531" s="60"/>
      <c r="AR531" s="61"/>
      <c r="AS531" s="55"/>
    </row>
    <row r="532" spans="1:45" ht="21.25" customHeight="1" x14ac:dyDescent="0.15">
      <c r="A532" s="62">
        <f>RANK(K532,K$2:K$671)</f>
        <v>535</v>
      </c>
      <c r="B532" s="10" t="s">
        <v>657</v>
      </c>
      <c r="C532" s="47" t="s">
        <v>145</v>
      </c>
      <c r="D532" s="48" t="str" cm="1">
        <f t="array" ref="D532">VLOOKUP(B532,'Player Data'!A1:D673,4,FALSE)</f>
        <v>C,LW</v>
      </c>
      <c r="E532" s="74" cm="1">
        <f t="array" ref="E532">VLOOKUP(B532,LW!A1:C210,3,FALSE)</f>
        <v>148</v>
      </c>
      <c r="F532" s="70" t="str" cm="1">
        <f t="array" ref="F532">VLOOKUP(B532,'Player Data'!A1:B673,2,FALSE)</f>
        <v>L.A</v>
      </c>
      <c r="G532" s="66" cm="1">
        <f t="array" ref="G532">VLOOKUP(B532,'Player Data'!A1:D673,3,FALSE)</f>
        <v>32</v>
      </c>
      <c r="H532" s="51" cm="1">
        <f t="array" ref="H532">IFERROR(VLOOKUP(B532,ADP!A1:F671,6,FALSE)/1000000,VLOOKUP(B532,ADP!A1:F671,6,FALSE))</f>
        <v>3.5</v>
      </c>
      <c r="I532" s="52">
        <f>IF(Settings!$E$15="POINTS",((R532*Q532)*Settings!$B$12)+(S532*Settings!$B$2)+(T532*Settings!$B$3)+(U532*Settings!$B$4)+(V532*Settings!$B$5)+(X532*Settings!$B$9)+(AA532*Settings!$B$6)+(W532*Settings!$B$8)+(AB532*Settings!$B$7)+(AC532*Settings!$B$14)+(AD532*Settings!$B$15)+(AE532*Settings!$B$16)+(AF532*Settings!$B$17)+(AG532*Settings!$B$18)+(Y532*Settings!$B$10)+(Z532*Settings!$B$11),VLOOKUP(B532,'Standard Deviations'!A$1:C$672,3,FALSE))</f>
        <v>-1.2296359703829536</v>
      </c>
      <c r="J532" s="53" cm="1">
        <f t="array" ref="J532">IF(D532="G",I532/AJ532,I532/Q532)</f>
        <v>-1.5180690992382144E-2</v>
      </c>
      <c r="K532" s="52" cm="1">
        <f t="array" ref="K532">IF(Settings!$E$18="C/LW/RW",VLOOKUP(B532,LW!A1:F210,6,FALSE),VLOOKUP(B532,F!A1:F407,6,FALSE))</f>
        <v>-8.1240216147727633</v>
      </c>
      <c r="L532" s="54" cm="1">
        <f t="array" ref="L532">IFERROR(K532/H532,"N/A")</f>
        <v>-2.321149032792218</v>
      </c>
      <c r="M532" s="84" t="s">
        <v>828</v>
      </c>
      <c r="N532" s="84" t="str" cm="1">
        <f t="array" ref="N532">IFERROR(M532-A532,"N/A")</f>
        <v>N/A</v>
      </c>
      <c r="O532" s="55"/>
      <c r="P532" s="56" cm="1">
        <f t="array" ref="P532">_xlfn.XLOOKUP($B532,ADP!A2:A671,ADP!G2:G671)</f>
        <v>0</v>
      </c>
      <c r="Q532" s="57" cm="1">
        <f t="array" ref="Q532">IF(Settings!$E$12="YES",VLOOKUP(B532,'Player Data'!A1:E673,5,FALSE),84)</f>
        <v>81</v>
      </c>
      <c r="R532" s="55" cm="1">
        <f t="array" ref="R532">VLOOKUP(B532,'Player Data'!$A1:$AE673,6,FALSE)</f>
        <v>13.6</v>
      </c>
      <c r="S532" s="57" cm="1">
        <f t="array" ref="S532">VLOOKUP(B532,'Player Data'!$A1:$AE673,7,FALSE)*$Q532*IFERROR((VLOOKUP(P532,Settings!$E$28:$F$33,2,FALSE)+1),1)</f>
        <v>12.15</v>
      </c>
      <c r="T532" s="57" cm="1">
        <f t="array" ref="T532">VLOOKUP(B532,'Player Data'!$A1:$AE673,8,FALSE)*$Q532*IFERROR((VLOOKUP(P532,Settings!$E$28:$F$33,2,FALSE)+1),1)</f>
        <v>12.96</v>
      </c>
      <c r="U532" s="57" cm="1">
        <f t="array" ref="U532">SUM(S532:T532)</f>
        <v>25.11</v>
      </c>
      <c r="V532" s="57" cm="1">
        <f t="array" ref="V532">VLOOKUP(B532,'Player Data'!$A1:$AE673,10,FALSE)*$Q532*IFERROR(((VLOOKUP(P532,Settings!$E$28:$F$33,2,FALSE)/2)+1),1)</f>
        <v>115.02</v>
      </c>
      <c r="W532" s="57" cm="1">
        <f t="array" ref="W532">VLOOKUP(B532,'Player Data'!$A1:$AE673,11,FALSE)*$Q532*IFERROR((VLOOKUP(P532,Settings!$E$28:$F$33,2,FALSE)+1),1)</f>
        <v>0</v>
      </c>
      <c r="X532" s="57" cm="1">
        <f t="array" ref="X532">VLOOKUP(B532,'Player Data'!$A1:$AE673,12,FALSE)*$Q532*IFERROR((VLOOKUP(P532,Settings!$E$28:$F$33,2,FALSE)+1),1)</f>
        <v>0</v>
      </c>
      <c r="Y532" s="57" cm="1">
        <f t="array" ref="Y532">VLOOKUP(B532,'Player Data'!$A1:$AE673,13,FALSE)*$Q532</f>
        <v>1.62</v>
      </c>
      <c r="Z532" s="57" cm="1">
        <f t="array" ref="Z532">VLOOKUP(B532,'Player Data'!$A1:$AE673,14,FALSE)*$Q532</f>
        <v>3.24</v>
      </c>
      <c r="AA532" s="57" cm="1">
        <f t="array" ref="AA532">VLOOKUP(B532,'Player Data'!$A1:$AE673,15,FALSE)*$Q532</f>
        <v>51.03</v>
      </c>
      <c r="AB532" s="57" cm="1">
        <f t="array" ref="AB532">VLOOKUP(B532,'Player Data'!$A1:$AE673,16,FALSE)*$Q532</f>
        <v>141.75</v>
      </c>
      <c r="AC532" s="57" cm="1">
        <f t="array" ref="AC532">VLOOKUP(B532,'Player Data'!$A1:$AE673,17,FALSE)*$Q532*IFERROR((VLOOKUP(P532,Settings!$E$28:$F$33,2,FALSE)+1),1)</f>
        <v>-1.62</v>
      </c>
      <c r="AD532" s="57" cm="1">
        <f t="array" ref="AD532">VLOOKUP(B532,'Player Data'!$A1:$AE673,18,FALSE)*$Q532</f>
        <v>36.450000000000003</v>
      </c>
      <c r="AE532" s="57" cm="1">
        <f t="array" ref="AE532">VLOOKUP(B532,'Player Data'!$A1:$AE673,19,FALSE)*$Q532*IFERROR((VLOOKUP(P532,Settings!$E$28:$F$33,2,FALSE)+1),1)</f>
        <v>1.62</v>
      </c>
      <c r="AF532" s="57" cm="1">
        <f t="array" ref="AF532">VLOOKUP(B532,'Player Data'!$A1:$AE673,20,FALSE)*$Q532</f>
        <v>438.21000000000004</v>
      </c>
      <c r="AG532" s="57" cm="1">
        <f t="array" ref="AG532">VLOOKUP(B532,'Player Data'!$A1:$AE673,21,FALSE)*$Q532</f>
        <v>393.66</v>
      </c>
      <c r="AH532" s="59" cm="1">
        <f t="array" ref="AH532">VLOOKUP(B532,'Player Data'!$A1:$AE673,22,FALSE)</f>
        <v>0.53</v>
      </c>
      <c r="AI532" s="55"/>
      <c r="AJ532" s="57"/>
      <c r="AK532" s="57"/>
      <c r="AL532" s="57"/>
      <c r="AM532" s="57"/>
      <c r="AN532" s="57"/>
      <c r="AO532" s="57"/>
      <c r="AP532" s="57"/>
      <c r="AQ532" s="60"/>
      <c r="AR532" s="61"/>
      <c r="AS532" s="55"/>
    </row>
    <row r="533" spans="1:45" ht="21.25" customHeight="1" x14ac:dyDescent="0.15">
      <c r="A533" s="62">
        <f>RANK(K533,K$2:K$671)</f>
        <v>527</v>
      </c>
      <c r="B533" s="10" t="s">
        <v>722</v>
      </c>
      <c r="C533" s="47" t="s">
        <v>145</v>
      </c>
      <c r="D533" s="48" t="str" cm="1">
        <f t="array" ref="D533">VLOOKUP(B533,'Player Data'!A1:D673,4,FALSE)</f>
        <v>LW,RW</v>
      </c>
      <c r="E533" s="74" cm="1">
        <f t="array" ref="E533">VLOOKUP(B533,RW!A1:F210,3,FALSE)</f>
        <v>139</v>
      </c>
      <c r="F533" s="72" t="str" cm="1">
        <f t="array" ref="F533">VLOOKUP(B533,'Player Data'!A1:B673,2,FALSE)</f>
        <v>BOS</v>
      </c>
      <c r="G533" s="11" cm="1">
        <f t="array" ref="G533">VLOOKUP(B533,'Player Data'!A1:D673,3,FALSE)</f>
        <v>29</v>
      </c>
      <c r="H533" s="51" cm="1">
        <f t="array" ref="H533">IFERROR(VLOOKUP(B533,ADP!A1:F671,6,FALSE)/1000000,VLOOKUP(B533,ADP!A1:F671,6,FALSE))</f>
        <v>3.4</v>
      </c>
      <c r="I533" s="52">
        <f>IF(Settings!$E$15="POINTS",((R533*Q533)*Settings!$B$12)+(S533*Settings!$B$2)+(T533*Settings!$B$3)+(U533*Settings!$B$4)+(V533*Settings!$B$5)+(X533*Settings!$B$9)+(AA533*Settings!$B$6)+(W533*Settings!$B$8)+(AB533*Settings!$B$7)+(AC533*Settings!$B$14)+(AD533*Settings!$B$15)+(AE533*Settings!$B$16)+(AF533*Settings!$B$17)+(AG533*Settings!$B$18)+(Y533*Settings!$B$10)+(Z533*Settings!$B$11),VLOOKUP(B533,'Standard Deviations'!A$1:C$672,3,FALSE))</f>
        <v>-1.1794715691308397</v>
      </c>
      <c r="J533" s="53" cm="1">
        <f t="array" ref="J533">IF(D533="G",I533/AJ533,I533/Q533)</f>
        <v>-1.5121430373472303E-2</v>
      </c>
      <c r="K533" s="52" cm="1">
        <f t="array" ref="K533">IF(Settings!$E$18="C/LW/RW",VLOOKUP(B533,RW!A1:F210,6,FALSE),VLOOKUP(B533,F!A1:F407,6,FALSE))</f>
        <v>-8.0667061709399164</v>
      </c>
      <c r="L533" s="54" cm="1">
        <f t="array" ref="L533">IFERROR(K533/H533,"N/A")</f>
        <v>-2.3725606385117404</v>
      </c>
      <c r="M533" s="84" t="s">
        <v>828</v>
      </c>
      <c r="N533" s="84" t="str" cm="1">
        <f t="array" ref="N533">IFERROR(M533-A533,"N/A")</f>
        <v>N/A</v>
      </c>
      <c r="O533" s="55"/>
      <c r="P533" s="56" cm="1">
        <f t="array" ref="P533">_xlfn.XLOOKUP($B533,ADP!A2:A671,ADP!G2:G671)</f>
        <v>0</v>
      </c>
      <c r="Q533" s="57" cm="1">
        <f t="array" ref="Q533">IF(Settings!$E$12="YES",VLOOKUP(B533,'Player Data'!A1:E673,5,FALSE),84)</f>
        <v>78</v>
      </c>
      <c r="R533" s="55" cm="1">
        <f t="array" ref="R533">VLOOKUP(B533,'Player Data'!$A1:$AE673,6,FALSE)</f>
        <v>12</v>
      </c>
      <c r="S533" s="57" cm="1">
        <f t="array" ref="S533">VLOOKUP(B533,'Player Data'!$A1:$AE673,7,FALSE)*$Q533*IFERROR((VLOOKUP(P533,Settings!$E$28:$F$33,2,FALSE)+1),1)</f>
        <v>7.02</v>
      </c>
      <c r="T533" s="57" cm="1">
        <f t="array" ref="T533">VLOOKUP(B533,'Player Data'!$A1:$AE673,8,FALSE)*$Q533*IFERROR((VLOOKUP(P533,Settings!$E$28:$F$33,2,FALSE)+1),1)</f>
        <v>10.920000000000002</v>
      </c>
      <c r="U533" s="57" cm="1">
        <f t="array" ref="U533">SUM(S533:T533)</f>
        <v>17.940000000000001</v>
      </c>
      <c r="V533" s="57" cm="1">
        <f t="array" ref="V533">VLOOKUP(B533,'Player Data'!$A1:$AE673,10,FALSE)*$Q533*IFERROR(((VLOOKUP(P533,Settings!$E$28:$F$33,2,FALSE)/2)+1),1)</f>
        <v>74.88</v>
      </c>
      <c r="W533" s="57" cm="1">
        <f t="array" ref="W533">VLOOKUP(B533,'Player Data'!$A1:$AE673,11,FALSE)*$Q533*IFERROR((VLOOKUP(P533,Settings!$E$28:$F$33,2,FALSE)+1),1)</f>
        <v>0</v>
      </c>
      <c r="X533" s="57" cm="1">
        <f t="array" ref="X533">VLOOKUP(B533,'Player Data'!$A1:$AE673,12,FALSE)*$Q533*IFERROR((VLOOKUP(P533,Settings!$E$28:$F$33,2,FALSE)+1),1)</f>
        <v>0</v>
      </c>
      <c r="Y533" s="57" cm="1">
        <f t="array" ref="Y533">VLOOKUP(B533,'Player Data'!$A1:$AE673,13,FALSE)*$Q533</f>
        <v>0</v>
      </c>
      <c r="Z533" s="57" cm="1">
        <f t="array" ref="Z533">VLOOKUP(B533,'Player Data'!$A1:$AE673,14,FALSE)*$Q533</f>
        <v>0</v>
      </c>
      <c r="AA533" s="57" cm="1">
        <f t="array" ref="AA533">VLOOKUP(B533,'Player Data'!$A1:$AE673,15,FALSE)*$Q533</f>
        <v>51.480000000000004</v>
      </c>
      <c r="AB533" s="57" cm="1">
        <f t="array" ref="AB533">VLOOKUP(B533,'Player Data'!$A1:$AE673,16,FALSE)*$Q533</f>
        <v>217.62</v>
      </c>
      <c r="AC533" s="57" cm="1">
        <f t="array" ref="AC533">VLOOKUP(B533,'Player Data'!$A1:$AE673,17,FALSE)*$Q533*IFERROR((VLOOKUP(P533,Settings!$E$28:$F$33,2,FALSE)+1),1)</f>
        <v>-2.34</v>
      </c>
      <c r="AD533" s="57" cm="1">
        <f t="array" ref="AD533">VLOOKUP(B533,'Player Data'!$A1:$AE673,18,FALSE)*$Q533</f>
        <v>62.400000000000006</v>
      </c>
      <c r="AE533" s="57" cm="1">
        <f t="array" ref="AE533">VLOOKUP(B533,'Player Data'!$A1:$AE673,19,FALSE)*$Q533*IFERROR((VLOOKUP(P533,Settings!$E$28:$F$33,2,FALSE)+1),1)</f>
        <v>0.78</v>
      </c>
      <c r="AF533" s="57" cm="1">
        <f t="array" ref="AF533">VLOOKUP(B533,'Player Data'!$A1:$AE673,20,FALSE)*$Q533</f>
        <v>10.920000000000002</v>
      </c>
      <c r="AG533" s="57" cm="1">
        <f t="array" ref="AG533">VLOOKUP(B533,'Player Data'!$A1:$AE673,21,FALSE)*$Q533</f>
        <v>14.82</v>
      </c>
      <c r="AH533" s="59" cm="1">
        <f t="array" ref="AH533">VLOOKUP(B533,'Player Data'!$A1:$AE673,22,FALSE)</f>
        <v>0.43</v>
      </c>
      <c r="AI533" s="55"/>
      <c r="AJ533" s="57"/>
      <c r="AK533" s="57"/>
      <c r="AL533" s="57"/>
      <c r="AM533" s="57"/>
      <c r="AN533" s="57"/>
      <c r="AO533" s="57"/>
      <c r="AP533" s="57"/>
      <c r="AQ533" s="60"/>
      <c r="AR533" s="61"/>
      <c r="AS533" s="55"/>
    </row>
    <row r="534" spans="1:45" ht="21.25" customHeight="1" x14ac:dyDescent="0.15">
      <c r="A534" s="62">
        <f>RANK(K534,K$2:K$671)</f>
        <v>528</v>
      </c>
      <c r="B534" s="10" t="s">
        <v>642</v>
      </c>
      <c r="C534" s="47" t="s">
        <v>145</v>
      </c>
      <c r="D534" s="48" t="str" cm="1">
        <f t="array" ref="D534">VLOOKUP(B534,'Player Data'!A1:D673,4,FALSE)</f>
        <v>C,RW</v>
      </c>
      <c r="E534" s="74" cm="1">
        <f t="array" ref="E534">VLOOKUP(B534,RW!A1:F210,3,FALSE)</f>
        <v>140</v>
      </c>
      <c r="F534" s="70" t="str" cm="1">
        <f t="array" ref="F534">VLOOKUP(B534,'Player Data'!A1:B673,2,FALSE)</f>
        <v>MIN</v>
      </c>
      <c r="G534" s="71" cm="1">
        <f t="array" ref="G534">VLOOKUP(B534,'Player Data'!A1:D673,3,FALSE)</f>
        <v>22</v>
      </c>
      <c r="H534" s="51" cm="1">
        <f t="array" ref="H534">IFERROR(VLOOKUP(B534,ADP!A1:F671,6,FALSE)/1000000,VLOOKUP(B534,ADP!A1:F671,6,FALSE))</f>
        <v>0.95</v>
      </c>
      <c r="I534" s="52">
        <f>IF(Settings!$E$15="POINTS",((R534*Q534)*Settings!$B$12)+(S534*Settings!$B$2)+(T534*Settings!$B$3)+(U534*Settings!$B$4)+(V534*Settings!$B$5)+(X534*Settings!$B$9)+(AA534*Settings!$B$6)+(W534*Settings!$B$8)+(AB534*Settings!$B$7)+(AC534*Settings!$B$14)+(AD534*Settings!$B$15)+(AE534*Settings!$B$16)+(AF534*Settings!$B$17)+(AG534*Settings!$B$18)+(Y534*Settings!$B$10)+(Z534*Settings!$B$11),VLOOKUP(B534,'Standard Deviations'!A$1:C$672,3,FALSE))</f>
        <v>-1.1810132525968216</v>
      </c>
      <c r="J534" s="53" cm="1">
        <f t="array" ref="J534">IF(D534="G",I534/AJ534,I534/Q534)</f>
        <v>-1.476266565746027E-2</v>
      </c>
      <c r="K534" s="52" cm="1">
        <f t="array" ref="K534">IF(Settings!$E$18="C/LW/RW",VLOOKUP(B534,RW!A1:F210,6,FALSE),VLOOKUP(B534,F!A1:F407,6,FALSE))</f>
        <v>-8.0682478544058984</v>
      </c>
      <c r="L534" s="54" cm="1">
        <f t="array" ref="L534">IFERROR(K534/H534,"N/A")</f>
        <v>-8.4928924783219983</v>
      </c>
      <c r="M534" s="84" t="s">
        <v>828</v>
      </c>
      <c r="N534" s="84" t="str" cm="1">
        <f t="array" ref="N534">IFERROR(M534-A534,"N/A")</f>
        <v>N/A</v>
      </c>
      <c r="O534" s="55"/>
      <c r="P534" s="56" cm="1">
        <f t="array" ref="P534">_xlfn.XLOOKUP($B534,ADP!A2:A671,ADP!G2:G671)</f>
        <v>0</v>
      </c>
      <c r="Q534" s="57" cm="1">
        <f t="array" ref="Q534">IF(Settings!$E$12="YES",VLOOKUP(B534,'Player Data'!A1:E673,5,FALSE),84)</f>
        <v>80</v>
      </c>
      <c r="R534" s="55" cm="1">
        <f t="array" ref="R534">VLOOKUP(B534,'Player Data'!$A1:$AE673,6,FALSE)</f>
        <v>13.2</v>
      </c>
      <c r="S534" s="57" cm="1">
        <f t="array" ref="S534">VLOOKUP(B534,'Player Data'!$A1:$AE673,7,FALSE)*$Q534*IFERROR((VLOOKUP(P534,Settings!$E$28:$F$33,2,FALSE)+1),1)</f>
        <v>14.399999999999999</v>
      </c>
      <c r="T534" s="57" cm="1">
        <f t="array" ref="T534">VLOOKUP(B534,'Player Data'!$A1:$AE673,8,FALSE)*$Q534*IFERROR((VLOOKUP(P534,Settings!$E$28:$F$33,2,FALSE)+1),1)</f>
        <v>18.400000000000002</v>
      </c>
      <c r="U534" s="57" cm="1">
        <f t="array" ref="U534">SUM(S534:T534)</f>
        <v>32.799999999999997</v>
      </c>
      <c r="V534" s="57" cm="1">
        <f t="array" ref="V534">VLOOKUP(B534,'Player Data'!$A1:$AE673,10,FALSE)*$Q534*IFERROR(((VLOOKUP(P534,Settings!$E$28:$F$33,2,FALSE)/2)+1),1)</f>
        <v>95.199999999999989</v>
      </c>
      <c r="W534" s="57" cm="1">
        <f t="array" ref="W534">VLOOKUP(B534,'Player Data'!$A1:$AE673,11,FALSE)*$Q534*IFERROR((VLOOKUP(P534,Settings!$E$28:$F$33,2,FALSE)+1),1)</f>
        <v>1.6</v>
      </c>
      <c r="X534" s="57" cm="1">
        <f t="array" ref="X534">VLOOKUP(B534,'Player Data'!$A1:$AE673,12,FALSE)*$Q534*IFERROR((VLOOKUP(P534,Settings!$E$28:$F$33,2,FALSE)+1),1)</f>
        <v>4.8</v>
      </c>
      <c r="Y534" s="57" cm="1">
        <f t="array" ref="Y534">VLOOKUP(B534,'Player Data'!$A1:$AE673,13,FALSE)*$Q534</f>
        <v>0</v>
      </c>
      <c r="Z534" s="57" cm="1">
        <f t="array" ref="Z534">VLOOKUP(B534,'Player Data'!$A1:$AE673,14,FALSE)*$Q534</f>
        <v>0</v>
      </c>
      <c r="AA534" s="57" cm="1">
        <f t="array" ref="AA534">VLOOKUP(B534,'Player Data'!$A1:$AE673,15,FALSE)*$Q534</f>
        <v>46.4</v>
      </c>
      <c r="AB534" s="57" cm="1">
        <f t="array" ref="AB534">VLOOKUP(B534,'Player Data'!$A1:$AE673,16,FALSE)*$Q534</f>
        <v>73.600000000000009</v>
      </c>
      <c r="AC534" s="57" cm="1">
        <f t="array" ref="AC534">VLOOKUP(B534,'Player Data'!$A1:$AE673,17,FALSE)*$Q534*IFERROR((VLOOKUP(P534,Settings!$E$28:$F$33,2,FALSE)+1),1)</f>
        <v>1.6</v>
      </c>
      <c r="AD534" s="57" cm="1">
        <f t="array" ref="AD534">VLOOKUP(B534,'Player Data'!$A1:$AE673,18,FALSE)*$Q534</f>
        <v>28.799999999999997</v>
      </c>
      <c r="AE534" s="57" cm="1">
        <f t="array" ref="AE534">VLOOKUP(B534,'Player Data'!$A1:$AE673,19,FALSE)*$Q534*IFERROR((VLOOKUP(P534,Settings!$E$28:$F$33,2,FALSE)+1),1)</f>
        <v>2.4</v>
      </c>
      <c r="AF534" s="57" cm="1">
        <f t="array" ref="AF534">VLOOKUP(B534,'Player Data'!$A1:$AE673,20,FALSE)*$Q534</f>
        <v>320</v>
      </c>
      <c r="AG534" s="57" cm="1">
        <f t="array" ref="AG534">VLOOKUP(B534,'Player Data'!$A1:$AE673,21,FALSE)*$Q534</f>
        <v>490.4</v>
      </c>
      <c r="AH534" s="59" cm="1">
        <f t="array" ref="AH534">VLOOKUP(B534,'Player Data'!$A1:$AE673,22,FALSE)</f>
        <v>0.39</v>
      </c>
      <c r="AI534" s="55"/>
      <c r="AJ534" s="57"/>
      <c r="AK534" s="57"/>
      <c r="AL534" s="57"/>
      <c r="AM534" s="57"/>
      <c r="AN534" s="57"/>
      <c r="AO534" s="57"/>
      <c r="AP534" s="57"/>
      <c r="AQ534" s="60"/>
      <c r="AR534" s="61"/>
      <c r="AS534" s="55"/>
    </row>
    <row r="535" spans="1:45" ht="21.25" customHeight="1" x14ac:dyDescent="0.15">
      <c r="A535" s="62">
        <f>RANK(K535,K$2:K$671)</f>
        <v>537</v>
      </c>
      <c r="B535" s="10" t="s">
        <v>644</v>
      </c>
      <c r="C535" s="47" t="s">
        <v>145</v>
      </c>
      <c r="D535" s="48" t="str" cm="1">
        <f t="array" ref="D535">VLOOKUP(B535,'Player Data'!A1:D673,4,FALSE)</f>
        <v>C,LW</v>
      </c>
      <c r="E535" s="74" cm="1">
        <f t="array" ref="E535">VLOOKUP(B535,LW!A1:C210,3,FALSE)</f>
        <v>149</v>
      </c>
      <c r="F535" s="69" t="str" cm="1">
        <f t="array" ref="F535">VLOOKUP(B535,'Player Data'!A1:B673,2,FALSE)</f>
        <v>TOR</v>
      </c>
      <c r="G535" s="66" cm="1">
        <f t="array" ref="G535">VLOOKUP(B535,'Player Data'!A1:D673,3,FALSE)</f>
        <v>31</v>
      </c>
      <c r="H535" s="51" cm="1">
        <f t="array" ref="H535">IFERROR(VLOOKUP(B535,ADP!A1:F671,6,FALSE)/1000000,VLOOKUP(B535,ADP!A1:F671,6,FALSE))</f>
        <v>3.15</v>
      </c>
      <c r="I535" s="52">
        <f>IF(Settings!$E$15="POINTS",((R535*Q535)*Settings!$B$12)+(S535*Settings!$B$2)+(T535*Settings!$B$3)+(U535*Settings!$B$4)+(V535*Settings!$B$5)+(X535*Settings!$B$9)+(AA535*Settings!$B$6)+(W535*Settings!$B$8)+(AB535*Settings!$B$7)+(AC535*Settings!$B$14)+(AD535*Settings!$B$15)+(AE535*Settings!$B$16)+(AF535*Settings!$B$17)+(AG535*Settings!$B$18)+(Y535*Settings!$B$10)+(Z535*Settings!$B$11),VLOOKUP(B535,'Standard Deviations'!A$1:C$672,3,FALSE))</f>
        <v>-1.2401911603977114</v>
      </c>
      <c r="J535" s="53" cm="1">
        <f t="array" ref="J535">IF(D535="G",I535/AJ535,I535/Q535)</f>
        <v>-1.5899886671765531E-2</v>
      </c>
      <c r="K535" s="52" cm="1">
        <f t="array" ref="K535">IF(Settings!$E$18="C/LW/RW",VLOOKUP(B535,LW!A1:F210,6,FALSE),VLOOKUP(B535,F!A1:F407,6,FALSE))</f>
        <v>-8.1345768047875211</v>
      </c>
      <c r="L535" s="54" cm="1">
        <f t="array" ref="L535">IFERROR(K535/H535,"N/A")</f>
        <v>-2.5824053348531812</v>
      </c>
      <c r="M535" s="84" t="s">
        <v>828</v>
      </c>
      <c r="N535" s="84" t="str" cm="1">
        <f t="array" ref="N535">IFERROR(M535-A535,"N/A")</f>
        <v>N/A</v>
      </c>
      <c r="O535" s="55"/>
      <c r="P535" s="56" cm="1">
        <f t="array" ref="P535">_xlfn.XLOOKUP($B535,ADP!A2:A671,ADP!G2:G671)</f>
        <v>0</v>
      </c>
      <c r="Q535" s="57" cm="1">
        <f t="array" ref="Q535">IF(Settings!$E$12="YES",VLOOKUP(B535,'Player Data'!A1:E673,5,FALSE),84)</f>
        <v>78</v>
      </c>
      <c r="R535" s="55" cm="1">
        <f t="array" ref="R535">VLOOKUP(B535,'Player Data'!$A1:$AE673,6,FALSE)</f>
        <v>14.5</v>
      </c>
      <c r="S535" s="57" cm="1">
        <f t="array" ref="S535">VLOOKUP(B535,'Player Data'!$A1:$AE673,7,FALSE)*$Q535*IFERROR((VLOOKUP(P535,Settings!$E$28:$F$33,2,FALSE)+1),1)</f>
        <v>15.600000000000001</v>
      </c>
      <c r="T535" s="57" cm="1">
        <f t="array" ref="T535">VLOOKUP(B535,'Player Data'!$A1:$AE673,8,FALSE)*$Q535*IFERROR((VLOOKUP(P535,Settings!$E$28:$F$33,2,FALSE)+1),1)</f>
        <v>15.600000000000001</v>
      </c>
      <c r="U535" s="57" cm="1">
        <f t="array" ref="U535">SUM(S535:T535)</f>
        <v>31.200000000000003</v>
      </c>
      <c r="V535" s="57" cm="1">
        <f t="array" ref="V535">VLOOKUP(B535,'Player Data'!$A1:$AE673,10,FALSE)*$Q535*IFERROR(((VLOOKUP(P535,Settings!$E$28:$F$33,2,FALSE)/2)+1),1)</f>
        <v>118.56</v>
      </c>
      <c r="W535" s="57" cm="1">
        <f t="array" ref="W535">VLOOKUP(B535,'Player Data'!$A1:$AE673,11,FALSE)*$Q535*IFERROR((VLOOKUP(P535,Settings!$E$28:$F$33,2,FALSE)+1),1)</f>
        <v>1.56</v>
      </c>
      <c r="X535" s="57" cm="1">
        <f t="array" ref="X535">VLOOKUP(B535,'Player Data'!$A1:$AE673,12,FALSE)*$Q535*IFERROR((VLOOKUP(P535,Settings!$E$28:$F$33,2,FALSE)+1),1)</f>
        <v>2.34</v>
      </c>
      <c r="Y535" s="57" cm="1">
        <f t="array" ref="Y535">VLOOKUP(B535,'Player Data'!$A1:$AE673,13,FALSE)*$Q535</f>
        <v>0</v>
      </c>
      <c r="Z535" s="57" cm="1">
        <f t="array" ref="Z535">VLOOKUP(B535,'Player Data'!$A1:$AE673,14,FALSE)*$Q535</f>
        <v>0.78</v>
      </c>
      <c r="AA535" s="57" cm="1">
        <f t="array" ref="AA535">VLOOKUP(B535,'Player Data'!$A1:$AE673,15,FALSE)*$Q535</f>
        <v>35.1</v>
      </c>
      <c r="AB535" s="57" cm="1">
        <f t="array" ref="AB535">VLOOKUP(B535,'Player Data'!$A1:$AE673,16,FALSE)*$Q535</f>
        <v>92.039999999999992</v>
      </c>
      <c r="AC535" s="57" cm="1">
        <f t="array" ref="AC535">VLOOKUP(B535,'Player Data'!$A1:$AE673,17,FALSE)*$Q535*IFERROR((VLOOKUP(P535,Settings!$E$28:$F$33,2,FALSE)+1),1)</f>
        <v>-0.78</v>
      </c>
      <c r="AD535" s="57" cm="1">
        <f t="array" ref="AD535">VLOOKUP(B535,'Player Data'!$A1:$AE673,18,FALSE)*$Q535</f>
        <v>22.619999999999997</v>
      </c>
      <c r="AE535" s="57" cm="1">
        <f t="array" ref="AE535">VLOOKUP(B535,'Player Data'!$A1:$AE673,19,FALSE)*$Q535*IFERROR((VLOOKUP(P535,Settings!$E$28:$F$33,2,FALSE)+1),1)</f>
        <v>2.34</v>
      </c>
      <c r="AF535" s="57" cm="1">
        <f t="array" ref="AF535">VLOOKUP(B535,'Player Data'!$A1:$AE673,20,FALSE)*$Q535</f>
        <v>436.79999999999995</v>
      </c>
      <c r="AG535" s="57" cm="1">
        <f t="array" ref="AG535">VLOOKUP(B535,'Player Data'!$A1:$AE673,21,FALSE)*$Q535</f>
        <v>396.24</v>
      </c>
      <c r="AH535" s="59" cm="1">
        <f t="array" ref="AH535">VLOOKUP(B535,'Player Data'!$A1:$AE673,22,FALSE)</f>
        <v>0.52</v>
      </c>
      <c r="AI535" s="55"/>
      <c r="AJ535" s="57"/>
      <c r="AK535" s="57"/>
      <c r="AL535" s="57"/>
      <c r="AM535" s="57"/>
      <c r="AN535" s="57"/>
      <c r="AO535" s="57"/>
      <c r="AP535" s="57"/>
      <c r="AQ535" s="60"/>
      <c r="AR535" s="61"/>
      <c r="AS535" s="55"/>
    </row>
    <row r="536" spans="1:45" ht="21.25" customHeight="1" x14ac:dyDescent="0.15">
      <c r="A536" s="62">
        <f>RANK(K536,K$2:K$671)</f>
        <v>530</v>
      </c>
      <c r="B536" s="10" t="s">
        <v>674</v>
      </c>
      <c r="C536" s="47" t="s">
        <v>145</v>
      </c>
      <c r="D536" s="48" t="str" cm="1">
        <f t="array" ref="D536">VLOOKUP(B536,'Player Data'!A1:D673,4,FALSE)</f>
        <v>C,RW</v>
      </c>
      <c r="E536" s="74" cm="1">
        <f t="array" ref="E536">VLOOKUP(B536,RW!A1:F210,3,FALSE)</f>
        <v>141</v>
      </c>
      <c r="F536" s="56" t="str" cm="1">
        <f t="array" ref="F536">VLOOKUP(B536,'Player Data'!A1:B673,2,FALSE)</f>
        <v>WSH</v>
      </c>
      <c r="G536" s="71" cm="1">
        <f t="array" ref="G536">VLOOKUP(B536,'Player Data'!A1:D673,3,FALSE)</f>
        <v>24</v>
      </c>
      <c r="H536" s="67" cm="1">
        <f t="array" ref="H536">IFERROR(VLOOKUP(B536,ADP!A1:F671,6,FALSE)/1000000,VLOOKUP(B536,ADP!A1:F671,6,FALSE))</f>
        <v>0.82509999999999994</v>
      </c>
      <c r="I536" s="52">
        <f>IF(Settings!$E$15="POINTS",((R536*Q536)*Settings!$B$12)+(S536*Settings!$B$2)+(T536*Settings!$B$3)+(U536*Settings!$B$4)+(V536*Settings!$B$5)+(X536*Settings!$B$9)+(AA536*Settings!$B$6)+(W536*Settings!$B$8)+(AB536*Settings!$B$7)+(AC536*Settings!$B$14)+(AD536*Settings!$B$15)+(AE536*Settings!$B$16)+(AF536*Settings!$B$17)+(AG536*Settings!$B$18)+(Y536*Settings!$B$10)+(Z536*Settings!$B$11),VLOOKUP(B536,'Standard Deviations'!A$1:C$672,3,FALSE))</f>
        <v>-1.1902907480935121</v>
      </c>
      <c r="J536" s="53" cm="1">
        <f t="array" ref="J536">IF(D536="G",I536/AJ536,I536/Q536)</f>
        <v>-1.5066971494854583E-2</v>
      </c>
      <c r="K536" s="52" cm="1">
        <f t="array" ref="K536">IF(Settings!$E$18="C/LW/RW",VLOOKUP(B536,RW!A1:F210,6,FALSE),VLOOKUP(B536,F!A1:F407,6,FALSE))</f>
        <v>-8.0775253499025901</v>
      </c>
      <c r="L536" s="54" cm="1">
        <f t="array" ref="L536">IFERROR(K536/H536,"N/A")</f>
        <v>-9.7897531813144951</v>
      </c>
      <c r="M536" s="84" t="s">
        <v>828</v>
      </c>
      <c r="N536" s="84" t="str" cm="1">
        <f t="array" ref="N536">IFERROR(M536-A536,"N/A")</f>
        <v>N/A</v>
      </c>
      <c r="O536" s="55"/>
      <c r="P536" s="56" cm="1">
        <f t="array" ref="P536">_xlfn.XLOOKUP($B536,ADP!A2:A671,ADP!G2:G671)</f>
        <v>0</v>
      </c>
      <c r="Q536" s="57" cm="1">
        <f t="array" ref="Q536">IF(Settings!$E$12="YES",VLOOKUP(B536,'Player Data'!A1:E673,5,FALSE),84)</f>
        <v>79</v>
      </c>
      <c r="R536" s="83" cm="1">
        <f t="array" ref="R536">VLOOKUP(B536,'Player Data'!$A1:$AE673,6,FALSE)</f>
        <v>12.1</v>
      </c>
      <c r="S536" s="57" cm="1">
        <f t="array" ref="S536">VLOOKUP(B536,'Player Data'!$A1:$AE673,7,FALSE)*$Q536*IFERROR((VLOOKUP(P536,Settings!$E$28:$F$33,2,FALSE)+1),1)</f>
        <v>11.06</v>
      </c>
      <c r="T536" s="57" cm="1">
        <f t="array" ref="T536">VLOOKUP(B536,'Player Data'!$A1:$AE673,8,FALSE)*$Q536*IFERROR((VLOOKUP(P536,Settings!$E$28:$F$33,2,FALSE)+1),1)</f>
        <v>16.59</v>
      </c>
      <c r="U536" s="57" cm="1">
        <f t="array" ref="U536">SUM(S536:T536)</f>
        <v>27.65</v>
      </c>
      <c r="V536" s="57" cm="1">
        <f t="array" ref="V536">VLOOKUP(B536,'Player Data'!$A1:$AE673,10,FALSE)*$Q536*IFERROR(((VLOOKUP(P536,Settings!$E$28:$F$33,2,FALSE)/2)+1),1)</f>
        <v>86.9</v>
      </c>
      <c r="W536" s="57" cm="1">
        <f t="array" ref="W536">VLOOKUP(B536,'Player Data'!$A1:$AE673,11,FALSE)*$Q536*IFERROR((VLOOKUP(P536,Settings!$E$28:$F$33,2,FALSE)+1),1)</f>
        <v>0</v>
      </c>
      <c r="X536" s="57" cm="1">
        <f t="array" ref="X536">VLOOKUP(B536,'Player Data'!$A1:$AE673,12,FALSE)*$Q536*IFERROR((VLOOKUP(P536,Settings!$E$28:$F$33,2,FALSE)+1),1)</f>
        <v>0</v>
      </c>
      <c r="Y536" s="57" cm="1">
        <f t="array" ref="Y536">VLOOKUP(B536,'Player Data'!$A1:$AE673,13,FALSE)*$Q536</f>
        <v>0</v>
      </c>
      <c r="Z536" s="57" cm="1">
        <f t="array" ref="Z536">VLOOKUP(B536,'Player Data'!$A1:$AE673,14,FALSE)*$Q536</f>
        <v>0</v>
      </c>
      <c r="AA536" s="57" cm="1">
        <f t="array" ref="AA536">VLOOKUP(B536,'Player Data'!$A1:$AE673,15,FALSE)*$Q536</f>
        <v>35.550000000000004</v>
      </c>
      <c r="AB536" s="57" cm="1">
        <f t="array" ref="AB536">VLOOKUP(B536,'Player Data'!$A1:$AE673,16,FALSE)*$Q536</f>
        <v>84.53</v>
      </c>
      <c r="AC536" s="57" cm="1">
        <f t="array" ref="AC536">VLOOKUP(B536,'Player Data'!$A1:$AE673,17,FALSE)*$Q536*IFERROR((VLOOKUP(P536,Settings!$E$28:$F$33,2,FALSE)+1),1)</f>
        <v>5.53</v>
      </c>
      <c r="AD536" s="57" cm="1">
        <f t="array" ref="AD536">VLOOKUP(B536,'Player Data'!$A1:$AE673,18,FALSE)*$Q536</f>
        <v>26.07</v>
      </c>
      <c r="AE536" s="57" cm="1">
        <f t="array" ref="AE536">VLOOKUP(B536,'Player Data'!$A1:$AE673,19,FALSE)*$Q536*IFERROR((VLOOKUP(P536,Settings!$E$28:$F$33,2,FALSE)+1),1)</f>
        <v>1.58</v>
      </c>
      <c r="AF536" s="57" cm="1">
        <f t="array" ref="AF536">VLOOKUP(B536,'Player Data'!$A1:$AE673,20,FALSE)*$Q536</f>
        <v>255.17</v>
      </c>
      <c r="AG536" s="57" cm="1">
        <f t="array" ref="AG536">VLOOKUP(B536,'Player Data'!$A1:$AE673,21,FALSE)*$Q536</f>
        <v>310.47000000000003</v>
      </c>
      <c r="AH536" s="59" cm="1">
        <f t="array" ref="AH536">VLOOKUP(B536,'Player Data'!$A1:$AE673,22,FALSE)</f>
        <v>0.45</v>
      </c>
      <c r="AI536" s="55"/>
      <c r="AJ536" s="57"/>
      <c r="AK536" s="57"/>
      <c r="AL536" s="57"/>
      <c r="AM536" s="57"/>
      <c r="AN536" s="57"/>
      <c r="AO536" s="57"/>
      <c r="AP536" s="57"/>
      <c r="AQ536" s="60"/>
      <c r="AR536" s="61"/>
      <c r="AS536" s="55"/>
    </row>
    <row r="537" spans="1:45" ht="21.25" customHeight="1" x14ac:dyDescent="0.15">
      <c r="A537" s="62">
        <f>RANK(K537,K$2:K$671)</f>
        <v>531</v>
      </c>
      <c r="B537" s="10" t="s">
        <v>601</v>
      </c>
      <c r="C537" s="47" t="s">
        <v>145</v>
      </c>
      <c r="D537" s="48" t="str" cm="1">
        <f t="array" ref="D537">VLOOKUP(B537,'Player Data'!A1:D673,4,FALSE)</f>
        <v>LW,RW</v>
      </c>
      <c r="E537" s="74" cm="1">
        <f t="array" ref="E537">VLOOKUP(B537,RW!A1:F210,3,FALSE)</f>
        <v>142</v>
      </c>
      <c r="F537" s="50" t="str" cm="1">
        <f t="array" ref="F537">VLOOKUP(B537,'Player Data'!A1:B673,2,FALSE)</f>
        <v>ANA</v>
      </c>
      <c r="G537" s="66" cm="1">
        <f t="array" ref="G537">VLOOKUP(B537,'Player Data'!A1:D673,3,FALSE)</f>
        <v>37</v>
      </c>
      <c r="H537" s="67" cm="1">
        <f t="array" ref="H537">IFERROR(VLOOKUP(B537,ADP!A1:F671,6,FALSE)/1000000,VLOOKUP(B537,ADP!A1:F671,6,FALSE))</f>
        <v>6.25</v>
      </c>
      <c r="I537" s="52">
        <f>IF(Settings!$E$15="POINTS",((R537*Q537)*Settings!$B$12)+(S537*Settings!$B$2)+(T537*Settings!$B$3)+(U537*Settings!$B$4)+(V537*Settings!$B$5)+(X537*Settings!$B$9)+(AA537*Settings!$B$6)+(W537*Settings!$B$8)+(AB537*Settings!$B$7)+(AC537*Settings!$B$14)+(AD537*Settings!$B$15)+(AE537*Settings!$B$16)+(AF537*Settings!$B$17)+(AG537*Settings!$B$18)+(Y537*Settings!$B$10)+(Z537*Settings!$B$11),VLOOKUP(B537,'Standard Deviations'!A$1:C$672,3,FALSE))</f>
        <v>-1.2081383921809659</v>
      </c>
      <c r="J537" s="53" cm="1">
        <f t="array" ref="J537">IF(D537="G",I537/AJ537,I537/Q537)</f>
        <v>-1.4733395026597144E-2</v>
      </c>
      <c r="K537" s="52" cm="1">
        <f t="array" ref="K537">IF(Settings!$E$18="C/LW/RW",VLOOKUP(B537,RW!A1:F210,6,FALSE),VLOOKUP(B537,F!A1:F407,6,FALSE))</f>
        <v>-8.0953729939900434</v>
      </c>
      <c r="L537" s="54" cm="1">
        <f t="array" ref="L537">IFERROR(K537/H537,"N/A")</f>
        <v>-1.295259679038407</v>
      </c>
      <c r="M537" s="84" t="s">
        <v>828</v>
      </c>
      <c r="N537" s="84" t="str" cm="1">
        <f t="array" ref="N537">IFERROR(M537-A537,"N/A")</f>
        <v>N/A</v>
      </c>
      <c r="O537" s="55"/>
      <c r="P537" s="56" cm="1">
        <f t="array" ref="P537">_xlfn.XLOOKUP($B537,ADP!A2:A671,ADP!G2:G671)</f>
        <v>0</v>
      </c>
      <c r="Q537" s="57" cm="1">
        <f t="array" ref="Q537">IF(Settings!$E$12="YES",VLOOKUP(B537,'Player Data'!A1:E673,5,FALSE),84)</f>
        <v>82</v>
      </c>
      <c r="R537" s="55" cm="1">
        <f t="array" ref="R537">VLOOKUP(B537,'Player Data'!$A1:$AE673,6,FALSE)</f>
        <v>16.899999999999999</v>
      </c>
      <c r="S537" s="57" cm="1">
        <f t="array" ref="S537">VLOOKUP(B537,'Player Data'!$A1:$AE673,7,FALSE)*$Q537*IFERROR((VLOOKUP(P537,Settings!$E$28:$F$33,2,FALSE)+1),1)</f>
        <v>14.76</v>
      </c>
      <c r="T537" s="57" cm="1">
        <f t="array" ref="T537">VLOOKUP(B537,'Player Data'!$A1:$AE673,8,FALSE)*$Q537*IFERROR((VLOOKUP(P537,Settings!$E$28:$F$33,2,FALSE)+1),1)</f>
        <v>17.22</v>
      </c>
      <c r="U537" s="57" cm="1">
        <f t="array" ref="U537">SUM(S537:T537)</f>
        <v>31.979999999999997</v>
      </c>
      <c r="V537" s="57" cm="1">
        <f t="array" ref="V537">VLOOKUP(B537,'Player Data'!$A1:$AE673,10,FALSE)*$Q537*IFERROR(((VLOOKUP(P537,Settings!$E$28:$F$33,2,FALSE)/2)+1),1)</f>
        <v>149.24</v>
      </c>
      <c r="W537" s="57" cm="1">
        <f t="array" ref="W537">VLOOKUP(B537,'Player Data'!$A1:$AE673,11,FALSE)*$Q537*IFERROR((VLOOKUP(P537,Settings!$E$28:$F$33,2,FALSE)+1),1)</f>
        <v>1.6400000000000001</v>
      </c>
      <c r="X537" s="57" cm="1">
        <f t="array" ref="X537">VLOOKUP(B537,'Player Data'!$A1:$AE673,12,FALSE)*$Q537*IFERROR((VLOOKUP(P537,Settings!$E$28:$F$33,2,FALSE)+1),1)</f>
        <v>4.1000000000000005</v>
      </c>
      <c r="Y537" s="57" cm="1">
        <f t="array" ref="Y537">VLOOKUP(B537,'Player Data'!$A1:$AE673,13,FALSE)*$Q537</f>
        <v>0</v>
      </c>
      <c r="Z537" s="57" cm="1">
        <f t="array" ref="Z537">VLOOKUP(B537,'Player Data'!$A1:$AE673,14,FALSE)*$Q537</f>
        <v>1.6400000000000001</v>
      </c>
      <c r="AA537" s="57" cm="1">
        <f t="array" ref="AA537">VLOOKUP(B537,'Player Data'!$A1:$AE673,15,FALSE)*$Q537</f>
        <v>31.98</v>
      </c>
      <c r="AB537" s="57" cm="1">
        <f t="array" ref="AB537">VLOOKUP(B537,'Player Data'!$A1:$AE673,16,FALSE)*$Q537</f>
        <v>75.44</v>
      </c>
      <c r="AC537" s="57" cm="1">
        <f t="array" ref="AC537">VLOOKUP(B537,'Player Data'!$A1:$AE673,17,FALSE)*$Q537*IFERROR((VLOOKUP(P537,Settings!$E$28:$F$33,2,FALSE)+1),1)</f>
        <v>-2.46</v>
      </c>
      <c r="AD537" s="57" cm="1">
        <f t="array" ref="AD537">VLOOKUP(B537,'Player Data'!$A1:$AE673,18,FALSE)*$Q537</f>
        <v>34.44</v>
      </c>
      <c r="AE537" s="57" cm="1">
        <f t="array" ref="AE537">VLOOKUP(B537,'Player Data'!$A1:$AE673,19,FALSE)*$Q537*IFERROR((VLOOKUP(P537,Settings!$E$28:$F$33,2,FALSE)+1),1)</f>
        <v>2.46</v>
      </c>
      <c r="AF537" s="57" cm="1">
        <f t="array" ref="AF537">VLOOKUP(B537,'Player Data'!$A1:$AE673,20,FALSE)*$Q537</f>
        <v>34.44</v>
      </c>
      <c r="AG537" s="57" cm="1">
        <f t="array" ref="AG537">VLOOKUP(B537,'Player Data'!$A1:$AE673,21,FALSE)*$Q537</f>
        <v>63.96</v>
      </c>
      <c r="AH537" s="59" cm="1">
        <f t="array" ref="AH537">VLOOKUP(B537,'Player Data'!$A1:$AE673,22,FALSE)</f>
        <v>0.35</v>
      </c>
      <c r="AI537" s="55"/>
      <c r="AJ537" s="57"/>
      <c r="AK537" s="57"/>
      <c r="AL537" s="57"/>
      <c r="AM537" s="57"/>
      <c r="AN537" s="57"/>
      <c r="AO537" s="57"/>
      <c r="AP537" s="57"/>
      <c r="AQ537" s="60"/>
      <c r="AR537" s="61"/>
      <c r="AS537" s="55"/>
    </row>
    <row r="538" spans="1:45" ht="21.25" customHeight="1" x14ac:dyDescent="0.15">
      <c r="A538" s="62">
        <f>RANK(K538,K$2:K$671)</f>
        <v>532</v>
      </c>
      <c r="B538" s="10" t="s">
        <v>569</v>
      </c>
      <c r="C538" s="47" t="s">
        <v>145</v>
      </c>
      <c r="D538" s="48" t="str" cm="1">
        <f t="array" ref="D538">VLOOKUP(B538,'Player Data'!A1:D673,4,FALSE)</f>
        <v>LW,RW</v>
      </c>
      <c r="E538" s="74" cm="1">
        <f t="array" ref="E538">VLOOKUP(B538,RW!A1:F210,3,FALSE)</f>
        <v>143</v>
      </c>
      <c r="F538" s="63" t="str" cm="1">
        <f t="array" ref="F538">VLOOKUP(B538,'Player Data'!A1:B673,2,FALSE)</f>
        <v>WPG</v>
      </c>
      <c r="G538" s="66" cm="1">
        <f t="array" ref="G538">VLOOKUP(B538,'Player Data'!A1:D673,3,FALSE)</f>
        <v>32</v>
      </c>
      <c r="H538" s="51" cm="1">
        <f t="array" ref="H538">IFERROR(VLOOKUP(B538,ADP!A1:F671,6,FALSE)/1000000,VLOOKUP(B538,ADP!A1:F671,6,FALSE))</f>
        <v>3.66</v>
      </c>
      <c r="I538" s="52">
        <f>IF(Settings!$E$15="POINTS",((R538*Q538)*Settings!$B$12)+(S538*Settings!$B$2)+(T538*Settings!$B$3)+(U538*Settings!$B$4)+(V538*Settings!$B$5)+(X538*Settings!$B$9)+(AA538*Settings!$B$6)+(W538*Settings!$B$8)+(AB538*Settings!$B$7)+(AC538*Settings!$B$14)+(AD538*Settings!$B$15)+(AE538*Settings!$B$16)+(AF538*Settings!$B$17)+(AG538*Settings!$B$18)+(Y538*Settings!$B$10)+(Z538*Settings!$B$11),VLOOKUP(B538,'Standard Deviations'!A$1:C$672,3,FALSE))</f>
        <v>-1.2103164070106915</v>
      </c>
      <c r="J538" s="53" cm="1">
        <f t="array" ref="J538">IF(D538="G",I538/AJ538,I538/Q538)</f>
        <v>-1.4582125385670983E-2</v>
      </c>
      <c r="K538" s="52" cm="1">
        <f t="array" ref="K538">IF(Settings!$E$18="C/LW/RW",VLOOKUP(B538,RW!A1:F210,6,FALSE),VLOOKUP(B538,F!A1:F407,6,FALSE))</f>
        <v>-8.0975510088197691</v>
      </c>
      <c r="L538" s="54" cm="1">
        <f t="array" ref="L538">IFERROR(K538/H538,"N/A")</f>
        <v>-2.2124456308250733</v>
      </c>
      <c r="M538" s="84" t="s">
        <v>828</v>
      </c>
      <c r="N538" s="84" t="str" cm="1">
        <f t="array" ref="N538">IFERROR(M538-A538,"N/A")</f>
        <v>N/A</v>
      </c>
      <c r="O538" s="55"/>
      <c r="P538" s="56" cm="1">
        <f t="array" ref="P538">_xlfn.XLOOKUP($B538,ADP!A2:A671,ADP!G2:G671)</f>
        <v>0</v>
      </c>
      <c r="Q538" s="57" cm="1">
        <f t="array" ref="Q538">IF(Settings!$E$12="YES",VLOOKUP(B538,'Player Data'!A1:E673,5,FALSE),84)</f>
        <v>83</v>
      </c>
      <c r="R538" s="55" cm="1">
        <f t="array" ref="R538">VLOOKUP(B538,'Player Data'!$A1:$AE673,6,FALSE)</f>
        <v>15.7</v>
      </c>
      <c r="S538" s="57" cm="1">
        <f t="array" ref="S538">VLOOKUP(B538,'Player Data'!$A1:$AE673,7,FALSE)*$Q538*IFERROR((VLOOKUP(P538,Settings!$E$28:$F$33,2,FALSE)+1),1)</f>
        <v>11.620000000000001</v>
      </c>
      <c r="T538" s="57" cm="1">
        <f t="array" ref="T538">VLOOKUP(B538,'Player Data'!$A1:$AE673,8,FALSE)*$Q538*IFERROR((VLOOKUP(P538,Settings!$E$28:$F$33,2,FALSE)+1),1)</f>
        <v>14.94</v>
      </c>
      <c r="U538" s="57" cm="1">
        <f t="array" ref="U538">SUM(S538:T538)</f>
        <v>26.560000000000002</v>
      </c>
      <c r="V538" s="57" cm="1">
        <f t="array" ref="V538">VLOOKUP(B538,'Player Data'!$A1:$AE673,10,FALSE)*$Q538*IFERROR(((VLOOKUP(P538,Settings!$E$28:$F$33,2,FALSE)/2)+1),1)</f>
        <v>106.24000000000001</v>
      </c>
      <c r="W538" s="57" cm="1">
        <f t="array" ref="W538">VLOOKUP(B538,'Player Data'!$A1:$AE673,11,FALSE)*$Q538*IFERROR((VLOOKUP(P538,Settings!$E$28:$F$33,2,FALSE)+1),1)</f>
        <v>1.6600000000000001</v>
      </c>
      <c r="X538" s="57" cm="1">
        <f t="array" ref="X538">VLOOKUP(B538,'Player Data'!$A1:$AE673,12,FALSE)*$Q538*IFERROR((VLOOKUP(P538,Settings!$E$28:$F$33,2,FALSE)+1),1)</f>
        <v>4.1500000000000004</v>
      </c>
      <c r="Y538" s="57" cm="1">
        <f t="array" ref="Y538">VLOOKUP(B538,'Player Data'!$A1:$AE673,13,FALSE)*$Q538</f>
        <v>0</v>
      </c>
      <c r="Z538" s="57" cm="1">
        <f t="array" ref="Z538">VLOOKUP(B538,'Player Data'!$A1:$AE673,14,FALSE)*$Q538</f>
        <v>0.83000000000000007</v>
      </c>
      <c r="AA538" s="57" cm="1">
        <f t="array" ref="AA538">VLOOKUP(B538,'Player Data'!$A1:$AE673,15,FALSE)*$Q538</f>
        <v>55.610000000000007</v>
      </c>
      <c r="AB538" s="57" cm="1">
        <f t="array" ref="AB538">VLOOKUP(B538,'Player Data'!$A1:$AE673,16,FALSE)*$Q538</f>
        <v>99.6</v>
      </c>
      <c r="AC538" s="57" cm="1">
        <f t="array" ref="AC538">VLOOKUP(B538,'Player Data'!$A1:$AE673,17,FALSE)*$Q538*IFERROR((VLOOKUP(P538,Settings!$E$28:$F$33,2,FALSE)+1),1)</f>
        <v>0.83000000000000007</v>
      </c>
      <c r="AD538" s="57" cm="1">
        <f t="array" ref="AD538">VLOOKUP(B538,'Player Data'!$A1:$AE673,18,FALSE)*$Q538</f>
        <v>17.43</v>
      </c>
      <c r="AE538" s="57" cm="1">
        <f t="array" ref="AE538">VLOOKUP(B538,'Player Data'!$A1:$AE673,19,FALSE)*$Q538*IFERROR((VLOOKUP(P538,Settings!$E$28:$F$33,2,FALSE)+1),1)</f>
        <v>1.6600000000000001</v>
      </c>
      <c r="AF538" s="57" cm="1">
        <f t="array" ref="AF538">VLOOKUP(B538,'Player Data'!$A1:$AE673,20,FALSE)*$Q538</f>
        <v>15.77</v>
      </c>
      <c r="AG538" s="57" cm="1">
        <f t="array" ref="AG538">VLOOKUP(B538,'Player Data'!$A1:$AE673,21,FALSE)*$Q538</f>
        <v>22.41</v>
      </c>
      <c r="AH538" s="59" cm="1">
        <f t="array" ref="AH538">VLOOKUP(B538,'Player Data'!$A1:$AE673,22,FALSE)</f>
        <v>0.42</v>
      </c>
      <c r="AI538" s="55"/>
      <c r="AJ538" s="57"/>
      <c r="AK538" s="57"/>
      <c r="AL538" s="57"/>
      <c r="AM538" s="57"/>
      <c r="AN538" s="57"/>
      <c r="AO538" s="57"/>
      <c r="AP538" s="57"/>
      <c r="AQ538" s="60"/>
      <c r="AR538" s="61"/>
      <c r="AS538" s="55"/>
    </row>
    <row r="539" spans="1:45" ht="21.25" customHeight="1" x14ac:dyDescent="0.15">
      <c r="A539" s="62">
        <f>RANK(K539,K$2:K$671)</f>
        <v>536</v>
      </c>
      <c r="B539" s="10" t="s">
        <v>754</v>
      </c>
      <c r="C539" s="47" t="s">
        <v>145</v>
      </c>
      <c r="D539" s="48" t="str" cm="1">
        <f t="array" ref="D539">VLOOKUP(B539,'Player Data'!A1:D673,4,FALSE)</f>
        <v>C</v>
      </c>
      <c r="E539" s="49" cm="1">
        <f t="array" ref="E539">VLOOKUP(B539,'C'!A1:C210,3,FALSE)</f>
        <v>147</v>
      </c>
      <c r="F539" s="65" t="str" cm="1">
        <f t="array" ref="F539">VLOOKUP(B539,'Player Data'!A1:B673,2,FALSE)</f>
        <v>T.B</v>
      </c>
      <c r="G539" s="71" cm="1">
        <f t="array" ref="G539">VLOOKUP(B539,'Player Data'!A1:D673,3,FALSE)</f>
        <v>22</v>
      </c>
      <c r="H539" s="51" cm="1">
        <f t="array" ref="H539">IFERROR(VLOOKUP(B539,ADP!A1:F671,6,FALSE)/1000000,VLOOKUP(B539,ADP!A1:F671,6,FALSE))</f>
        <v>0.88666699999999998</v>
      </c>
      <c r="I539" s="52">
        <f>IF(Settings!$E$15="POINTS",((R539*Q539)*Settings!$B$12)+(S539*Settings!$B$2)+(T539*Settings!$B$3)+(U539*Settings!$B$4)+(V539*Settings!$B$5)+(X539*Settings!$B$9)+(AA539*Settings!$B$6)+(W539*Settings!$B$8)+(AB539*Settings!$B$7)+(AC539*Settings!$B$14)+(AD539*Settings!$B$15)+(AE539*Settings!$B$16)+(AF539*Settings!$B$17)+(AG539*Settings!$B$18)+(Y539*Settings!$B$10)+(Z539*Settings!$B$11),VLOOKUP(B539,'Standard Deviations'!A$1:C$672,3,FALSE))</f>
        <v>-1.7722092005993726</v>
      </c>
      <c r="J539" s="53" cm="1">
        <f t="array" ref="J539">IF(D539="G",I539/AJ539,I539/Q539)</f>
        <v>-2.8130304771418611E-2</v>
      </c>
      <c r="K539" s="52" cm="1">
        <f t="array" ref="K539">IF(Settings!$E$18="C/LW/RW",VLOOKUP(B539,'C'!A1:F210,6,FALSE),VLOOKUP(B539,F!A1:F407,6,FALSE))</f>
        <v>-8.132218758214437</v>
      </c>
      <c r="L539" s="54" cm="1">
        <f t="array" ref="L539">IFERROR(K539/H539,"N/A")</f>
        <v>-9.1716718432223558</v>
      </c>
      <c r="M539" s="84" t="s">
        <v>828</v>
      </c>
      <c r="N539" s="84" t="str" cm="1">
        <f t="array" ref="N539">IFERROR(M539-A539,"N/A")</f>
        <v>N/A</v>
      </c>
      <c r="O539" s="55"/>
      <c r="P539" s="56" cm="1">
        <f t="array" ref="P539">_xlfn.XLOOKUP($B539,ADP!A2:A671,ADP!G2:G671)</f>
        <v>0</v>
      </c>
      <c r="Q539" s="57" cm="1">
        <f t="array" ref="Q539">IF(Settings!$E$12="YES",VLOOKUP(B539,'Player Data'!A1:E673,5,FALSE),84)</f>
        <v>63</v>
      </c>
      <c r="R539" s="81" cm="1">
        <f t="array" ref="R539">VLOOKUP(B539,'Player Data'!$A1:$AE673,6,FALSE)</f>
        <v>11.5</v>
      </c>
      <c r="S539" s="57" cm="1">
        <f t="array" ref="S539">VLOOKUP(B539,'Player Data'!$A1:$AE673,7,FALSE)*$Q539*IFERROR((VLOOKUP(P539,Settings!$E$28:$F$33,2,FALSE)+1),1)</f>
        <v>8.82</v>
      </c>
      <c r="T539" s="57" cm="1">
        <f t="array" ref="T539">VLOOKUP(B539,'Player Data'!$A1:$AE673,8,FALSE)*$Q539*IFERROR((VLOOKUP(P539,Settings!$E$28:$F$33,2,FALSE)+1),1)</f>
        <v>10.08</v>
      </c>
      <c r="U539" s="57" cm="1">
        <f t="array" ref="U539">SUM(S539:T539)</f>
        <v>18.899999999999999</v>
      </c>
      <c r="V539" s="57" cm="1">
        <f t="array" ref="V539">VLOOKUP(B539,'Player Data'!$A1:$AE673,10,FALSE)*$Q539*IFERROR(((VLOOKUP(P539,Settings!$E$28:$F$33,2,FALSE)/2)+1),1)</f>
        <v>69.300000000000011</v>
      </c>
      <c r="W539" s="57" cm="1">
        <f t="array" ref="W539">VLOOKUP(B539,'Player Data'!$A1:$AE673,11,FALSE)*$Q539*IFERROR((VLOOKUP(P539,Settings!$E$28:$F$33,2,FALSE)+1),1)</f>
        <v>0.63</v>
      </c>
      <c r="X539" s="57" cm="1">
        <f t="array" ref="X539">VLOOKUP(B539,'Player Data'!$A1:$AE673,12,FALSE)*$Q539*IFERROR((VLOOKUP(P539,Settings!$E$28:$F$33,2,FALSE)+1),1)</f>
        <v>1.26</v>
      </c>
      <c r="Y539" s="57" cm="1">
        <f t="array" ref="Y539">VLOOKUP(B539,'Player Data'!$A1:$AE673,13,FALSE)*$Q539</f>
        <v>0</v>
      </c>
      <c r="Z539" s="57" cm="1">
        <f t="array" ref="Z539">VLOOKUP(B539,'Player Data'!$A1:$AE673,14,FALSE)*$Q539</f>
        <v>0</v>
      </c>
      <c r="AA539" s="57" cm="1">
        <f t="array" ref="AA539">VLOOKUP(B539,'Player Data'!$A1:$AE673,15,FALSE)*$Q539</f>
        <v>29.61</v>
      </c>
      <c r="AB539" s="57" cm="1">
        <f t="array" ref="AB539">VLOOKUP(B539,'Player Data'!$A1:$AE673,16,FALSE)*$Q539</f>
        <v>116.55000000000001</v>
      </c>
      <c r="AC539" s="57" cm="1">
        <f t="array" ref="AC539">VLOOKUP(B539,'Player Data'!$A1:$AE673,17,FALSE)*$Q539*IFERROR((VLOOKUP(P539,Settings!$E$28:$F$33,2,FALSE)+1),1)</f>
        <v>3.78</v>
      </c>
      <c r="AD539" s="57" cm="1">
        <f t="array" ref="AD539">VLOOKUP(B539,'Player Data'!$A1:$AE673,18,FALSE)*$Q539</f>
        <v>20.790000000000003</v>
      </c>
      <c r="AE539" s="57" cm="1">
        <f t="array" ref="AE539">VLOOKUP(B539,'Player Data'!$A1:$AE673,19,FALSE)*$Q539*IFERROR((VLOOKUP(P539,Settings!$E$28:$F$33,2,FALSE)+1),1)</f>
        <v>1.26</v>
      </c>
      <c r="AF539" s="57" cm="1">
        <f t="array" ref="AF539">VLOOKUP(B539,'Player Data'!$A1:$AE673,20,FALSE)*$Q539</f>
        <v>120.33</v>
      </c>
      <c r="AG539" s="57" cm="1">
        <f t="array" ref="AG539">VLOOKUP(B539,'Player Data'!$A1:$AE673,21,FALSE)*$Q539</f>
        <v>159.38999999999999</v>
      </c>
      <c r="AH539" s="59" cm="1">
        <f t="array" ref="AH539">VLOOKUP(B539,'Player Data'!$A1:$AE673,22,FALSE)</f>
        <v>0.43</v>
      </c>
      <c r="AI539" s="55"/>
      <c r="AJ539" s="57"/>
      <c r="AK539" s="57"/>
      <c r="AL539" s="57"/>
      <c r="AM539" s="57"/>
      <c r="AN539" s="57"/>
      <c r="AO539" s="57"/>
      <c r="AP539" s="57"/>
      <c r="AQ539" s="60"/>
      <c r="AR539" s="61"/>
      <c r="AS539" s="55"/>
    </row>
    <row r="540" spans="1:45" ht="21.25" customHeight="1" x14ac:dyDescent="0.15">
      <c r="A540" s="62">
        <f>RANK(K540,K$2:K$671)</f>
        <v>534</v>
      </c>
      <c r="B540" s="10" t="s">
        <v>489</v>
      </c>
      <c r="C540" s="47" t="s">
        <v>145</v>
      </c>
      <c r="D540" s="48" t="str" cm="1">
        <f t="array" ref="D540">VLOOKUP(B540,'Player Data'!A1:D673,4,FALSE)</f>
        <v>C,RW</v>
      </c>
      <c r="E540" s="74" cm="1">
        <f t="array" ref="E540">VLOOKUP(B540,RW!A1:F210,3,FALSE)</f>
        <v>144</v>
      </c>
      <c r="F540" s="63" t="str" cm="1">
        <f t="array" ref="F540">VLOOKUP(B540,'Player Data'!A1:B673,2,FALSE)</f>
        <v>SEA</v>
      </c>
      <c r="G540" s="71" cm="1">
        <f t="array" ref="G540">VLOOKUP(B540,'Player Data'!A1:D673,3,FALSE)</f>
        <v>22</v>
      </c>
      <c r="H540" s="51" cm="1">
        <f t="array" ref="H540">IFERROR(VLOOKUP(B540,ADP!A1:F671,6,FALSE)/1000000,VLOOKUP(B540,ADP!A1:F671,6,FALSE))</f>
        <v>0.88666699999999998</v>
      </c>
      <c r="I540" s="52">
        <f>IF(Settings!$E$15="POINTS",((R540*Q540)*Settings!$B$12)+(S540*Settings!$B$2)+(T540*Settings!$B$3)+(U540*Settings!$B$4)+(V540*Settings!$B$5)+(X540*Settings!$B$9)+(AA540*Settings!$B$6)+(W540*Settings!$B$8)+(AB540*Settings!$B$7)+(AC540*Settings!$B$14)+(AD540*Settings!$B$15)+(AE540*Settings!$B$16)+(AF540*Settings!$B$17)+(AG540*Settings!$B$18)+(Y540*Settings!$B$10)+(Z540*Settings!$B$11),VLOOKUP(B540,'Standard Deviations'!A$1:C$672,3,FALSE))</f>
        <v>-1.2188232551746023</v>
      </c>
      <c r="J540" s="53" cm="1">
        <f t="array" ref="J540">IF(D540="G",I540/AJ540,I540/Q540)</f>
        <v>-1.504720068116793E-2</v>
      </c>
      <c r="K540" s="52" cm="1">
        <f t="array" ref="K540">IF(Settings!$E$18="C/LW/RW",VLOOKUP(B540,RW!A1:F210,6,FALSE),VLOOKUP(B540,F!A1:F407,6,FALSE))</f>
        <v>-8.1060578569836803</v>
      </c>
      <c r="L540" s="54" cm="1">
        <f t="array" ref="L540">IFERROR(K540/H540,"N/A")</f>
        <v>-9.1421670784902123</v>
      </c>
      <c r="M540" s="84" t="s">
        <v>828</v>
      </c>
      <c r="N540" s="84" t="str" cm="1">
        <f t="array" ref="N540">IFERROR(M540-A540,"N/A")</f>
        <v>N/A</v>
      </c>
      <c r="O540" s="55"/>
      <c r="P540" s="56" cm="1">
        <f t="array" ref="P540">_xlfn.XLOOKUP($B540,ADP!A2:A671,ADP!G2:G671)</f>
        <v>0</v>
      </c>
      <c r="Q540" s="57" cm="1">
        <f t="array" ref="Q540">IF(Settings!$E$12="YES",VLOOKUP(B540,'Player Data'!A1:E673,5,FALSE),84)</f>
        <v>81</v>
      </c>
      <c r="R540" s="81" cm="1">
        <f t="array" ref="R540">VLOOKUP(B540,'Player Data'!$A1:$AE673,6,FALSE)</f>
        <v>15</v>
      </c>
      <c r="S540" s="57" cm="1">
        <f t="array" ref="S540">VLOOKUP(B540,'Player Data'!$A1:$AE673,7,FALSE)*$Q540*IFERROR((VLOOKUP(P540,Settings!$E$28:$F$33,2,FALSE)+1),1)</f>
        <v>17.82</v>
      </c>
      <c r="T540" s="57" cm="1">
        <f t="array" ref="T540">VLOOKUP(B540,'Player Data'!$A1:$AE673,8,FALSE)*$Q540*IFERROR((VLOOKUP(P540,Settings!$E$28:$F$33,2,FALSE)+1),1)</f>
        <v>23.49</v>
      </c>
      <c r="U540" s="57" cm="1">
        <f t="array" ref="U540">SUM(S540:T540)</f>
        <v>41.31</v>
      </c>
      <c r="V540" s="57" cm="1">
        <f t="array" ref="V540">VLOOKUP(B540,'Player Data'!$A1:$AE673,10,FALSE)*$Q540*IFERROR(((VLOOKUP(P540,Settings!$E$28:$F$33,2,FALSE)/2)+1),1)</f>
        <v>117.45</v>
      </c>
      <c r="W540" s="57" cm="1">
        <f t="array" ref="W540">VLOOKUP(B540,'Player Data'!$A1:$AE673,11,FALSE)*$Q540*IFERROR((VLOOKUP(P540,Settings!$E$28:$F$33,2,FALSE)+1),1)</f>
        <v>4.05</v>
      </c>
      <c r="X540" s="57" cm="1">
        <f t="array" ref="X540">VLOOKUP(B540,'Player Data'!$A1:$AE673,12,FALSE)*$Q540*IFERROR((VLOOKUP(P540,Settings!$E$28:$F$33,2,FALSE)+1),1)</f>
        <v>9.7199999999999989</v>
      </c>
      <c r="Y540" s="57" cm="1">
        <f t="array" ref="Y540">VLOOKUP(B540,'Player Data'!$A1:$AE673,13,FALSE)*$Q540</f>
        <v>0</v>
      </c>
      <c r="Z540" s="57" cm="1">
        <f t="array" ref="Z540">VLOOKUP(B540,'Player Data'!$A1:$AE673,14,FALSE)*$Q540</f>
        <v>0</v>
      </c>
      <c r="AA540" s="57" cm="1">
        <f t="array" ref="AA540">VLOOKUP(B540,'Player Data'!$A1:$AE673,15,FALSE)*$Q540</f>
        <v>63.99</v>
      </c>
      <c r="AB540" s="57" cm="1">
        <f t="array" ref="AB540">VLOOKUP(B540,'Player Data'!$A1:$AE673,16,FALSE)*$Q540</f>
        <v>63.18</v>
      </c>
      <c r="AC540" s="57" cm="1">
        <f t="array" ref="AC540">VLOOKUP(B540,'Player Data'!$A1:$AE673,17,FALSE)*$Q540*IFERROR((VLOOKUP(P540,Settings!$E$28:$F$33,2,FALSE)+1),1)</f>
        <v>-4.8599999999999994</v>
      </c>
      <c r="AD540" s="57" cm="1">
        <f t="array" ref="AD540">VLOOKUP(B540,'Player Data'!$A1:$AE673,18,FALSE)*$Q540</f>
        <v>18.630000000000003</v>
      </c>
      <c r="AE540" s="57" cm="1">
        <f t="array" ref="AE540">VLOOKUP(B540,'Player Data'!$A1:$AE673,19,FALSE)*$Q540*IFERROR((VLOOKUP(P540,Settings!$E$28:$F$33,2,FALSE)+1),1)</f>
        <v>2.4299999999999997</v>
      </c>
      <c r="AF540" s="57" cm="1">
        <f t="array" ref="AF540">VLOOKUP(B540,'Player Data'!$A1:$AE673,20,FALSE)*$Q540</f>
        <v>295.64999999999998</v>
      </c>
      <c r="AG540" s="57" cm="1">
        <f t="array" ref="AG540">VLOOKUP(B540,'Player Data'!$A1:$AE673,21,FALSE)*$Q540</f>
        <v>405.81</v>
      </c>
      <c r="AH540" s="59" cm="1">
        <f t="array" ref="AH540">VLOOKUP(B540,'Player Data'!$A1:$AE673,22,FALSE)</f>
        <v>0.42</v>
      </c>
      <c r="AI540" s="55"/>
      <c r="AJ540" s="57"/>
      <c r="AK540" s="57"/>
      <c r="AL540" s="57"/>
      <c r="AM540" s="57"/>
      <c r="AN540" s="57"/>
      <c r="AO540" s="57"/>
      <c r="AP540" s="57"/>
      <c r="AQ540" s="60"/>
      <c r="AR540" s="61"/>
      <c r="AS540" s="55"/>
    </row>
    <row r="541" spans="1:45" ht="21.25" customHeight="1" x14ac:dyDescent="0.15">
      <c r="A541" s="62">
        <f>RANK(K541,K$2:K$671)</f>
        <v>538</v>
      </c>
      <c r="B541" s="10" t="s">
        <v>645</v>
      </c>
      <c r="C541" s="47" t="s">
        <v>145</v>
      </c>
      <c r="D541" s="48" t="str" cm="1">
        <f t="array" ref="D541">VLOOKUP(B541,'Player Data'!A1:D673,4,FALSE)</f>
        <v>LW,RW</v>
      </c>
      <c r="E541" s="74" cm="1">
        <f t="array" ref="E541">VLOOKUP(B541,RW!A1:F210,3,FALSE)</f>
        <v>145</v>
      </c>
      <c r="F541" s="63" t="str" cm="1">
        <f t="array" ref="F541">VLOOKUP(B541,'Player Data'!A1:B673,2,FALSE)</f>
        <v>VGK</v>
      </c>
      <c r="G541" s="66" cm="1">
        <f t="array" ref="G541">VLOOKUP(B541,'Player Data'!A1:D673,3,FALSE)</f>
        <v>31</v>
      </c>
      <c r="H541" s="67" cm="1">
        <f t="array" ref="H541">IFERROR(VLOOKUP(B541,ADP!A1:F671,6,FALSE)/1000000,VLOOKUP(B541,ADP!A1:F671,6,FALSE))</f>
        <v>1.6379999999999999</v>
      </c>
      <c r="I541" s="52">
        <f>IF(Settings!$E$15="POINTS",((R541*Q541)*Settings!$B$12)+(S541*Settings!$B$2)+(T541*Settings!$B$3)+(U541*Settings!$B$4)+(V541*Settings!$B$5)+(X541*Settings!$B$9)+(AA541*Settings!$B$6)+(W541*Settings!$B$8)+(AB541*Settings!$B$7)+(AC541*Settings!$B$14)+(AD541*Settings!$B$15)+(AE541*Settings!$B$16)+(AF541*Settings!$B$17)+(AG541*Settings!$B$18)+(Y541*Settings!$B$10)+(Z541*Settings!$B$11),VLOOKUP(B541,'Standard Deviations'!A$1:C$672,3,FALSE))</f>
        <v>-1.2575447680183016</v>
      </c>
      <c r="J541" s="53" cm="1">
        <f t="array" ref="J541">IF(D541="G",I541/AJ541,I541/Q541)</f>
        <v>-1.6331750234003916E-2</v>
      </c>
      <c r="K541" s="52" cm="1">
        <f t="array" ref="K541">IF(Settings!$E$18="C/LW/RW",VLOOKUP(B541,RW!A1:F210,6,FALSE),VLOOKUP(B541,F!A1:F407,6,FALSE))</f>
        <v>-8.1447793698273792</v>
      </c>
      <c r="L541" s="54" cm="1">
        <f t="array" ref="L541">IFERROR(K541/H541,"N/A")</f>
        <v>-4.9723927776723933</v>
      </c>
      <c r="M541" s="84" t="s">
        <v>828</v>
      </c>
      <c r="N541" s="84" t="str" cm="1">
        <f t="array" ref="N541">IFERROR(M541-A541,"N/A")</f>
        <v>N/A</v>
      </c>
      <c r="O541" s="80"/>
      <c r="P541" s="56" cm="1">
        <f t="array" ref="P541">_xlfn.XLOOKUP($B541,ADP!A2:A671,ADP!G2:G671)</f>
        <v>0</v>
      </c>
      <c r="Q541" s="57" cm="1">
        <f t="array" ref="Q541">IF(Settings!$E$12="YES",VLOOKUP(B541,'Player Data'!A1:E673,5,FALSE),84)</f>
        <v>77</v>
      </c>
      <c r="R541" s="55" cm="1">
        <f t="array" ref="R541">VLOOKUP(B541,'Player Data'!$A1:$AE673,6,FALSE)</f>
        <v>13.1</v>
      </c>
      <c r="S541" s="57" cm="1">
        <f t="array" ref="S541">VLOOKUP(B541,'Player Data'!$A1:$AE673,7,FALSE)*$Q541*IFERROR((VLOOKUP(P541,Settings!$E$28:$F$33,2,FALSE)+1),1)</f>
        <v>12.32</v>
      </c>
      <c r="T541" s="57" cm="1">
        <f t="array" ref="T541">VLOOKUP(B541,'Player Data'!$A1:$AE673,8,FALSE)*$Q541*IFERROR((VLOOKUP(P541,Settings!$E$28:$F$33,2,FALSE)+1),1)</f>
        <v>15.4</v>
      </c>
      <c r="U541" s="57" cm="1">
        <f t="array" ref="U541">SUM(S541:T541)</f>
        <v>27.72</v>
      </c>
      <c r="V541" s="57" cm="1">
        <f t="array" ref="V541">VLOOKUP(B541,'Player Data'!$A1:$AE673,10,FALSE)*$Q541*IFERROR(((VLOOKUP(P541,Settings!$E$28:$F$33,2,FALSE)/2)+1),1)</f>
        <v>127.05</v>
      </c>
      <c r="W541" s="57" cm="1">
        <f t="array" ref="W541">VLOOKUP(B541,'Player Data'!$A1:$AE673,11,FALSE)*$Q541*IFERROR((VLOOKUP(P541,Settings!$E$28:$F$33,2,FALSE)+1),1)</f>
        <v>2.31</v>
      </c>
      <c r="X541" s="57" cm="1">
        <f t="array" ref="X541">VLOOKUP(B541,'Player Data'!$A1:$AE673,12,FALSE)*$Q541*IFERROR((VLOOKUP(P541,Settings!$E$28:$F$33,2,FALSE)+1),1)</f>
        <v>4.62</v>
      </c>
      <c r="Y541" s="57" cm="1">
        <f t="array" ref="Y541">VLOOKUP(B541,'Player Data'!$A1:$AE673,13,FALSE)*$Q541</f>
        <v>0</v>
      </c>
      <c r="Z541" s="57" cm="1">
        <f t="array" ref="Z541">VLOOKUP(B541,'Player Data'!$A1:$AE673,14,FALSE)*$Q541</f>
        <v>0</v>
      </c>
      <c r="AA541" s="57" cm="1">
        <f t="array" ref="AA541">VLOOKUP(B541,'Player Data'!$A1:$AE673,15,FALSE)*$Q541</f>
        <v>23.099999999999998</v>
      </c>
      <c r="AB541" s="57" cm="1">
        <f t="array" ref="AB541">VLOOKUP(B541,'Player Data'!$A1:$AE673,16,FALSE)*$Q541</f>
        <v>32.339999999999996</v>
      </c>
      <c r="AC541" s="57" cm="1">
        <f t="array" ref="AC541">VLOOKUP(B541,'Player Data'!$A1:$AE673,17,FALSE)*$Q541*IFERROR((VLOOKUP(P541,Settings!$E$28:$F$33,2,FALSE)+1),1)</f>
        <v>4.62</v>
      </c>
      <c r="AD541" s="57" cm="1">
        <f t="array" ref="AD541">VLOOKUP(B541,'Player Data'!$A1:$AE673,18,FALSE)*$Q541</f>
        <v>13.86</v>
      </c>
      <c r="AE541" s="57" cm="1">
        <f t="array" ref="AE541">VLOOKUP(B541,'Player Data'!$A1:$AE673,19,FALSE)*$Q541*IFERROR((VLOOKUP(P541,Settings!$E$28:$F$33,2,FALSE)+1),1)</f>
        <v>2.31</v>
      </c>
      <c r="AF541" s="57" cm="1">
        <f t="array" ref="AF541">VLOOKUP(B541,'Player Data'!$A1:$AE673,20,FALSE)*$Q541</f>
        <v>1.54</v>
      </c>
      <c r="AG541" s="57" cm="1">
        <f t="array" ref="AG541">VLOOKUP(B541,'Player Data'!$A1:$AE673,21,FALSE)*$Q541</f>
        <v>6.16</v>
      </c>
      <c r="AH541" s="59" cm="1">
        <f t="array" ref="AH541">VLOOKUP(B541,'Player Data'!$A1:$AE673,22,FALSE)</f>
        <v>0.22</v>
      </c>
      <c r="AI541" s="55"/>
      <c r="AJ541" s="57"/>
      <c r="AK541" s="57"/>
      <c r="AL541" s="57"/>
      <c r="AM541" s="57"/>
      <c r="AN541" s="57"/>
      <c r="AO541" s="57"/>
      <c r="AP541" s="57"/>
      <c r="AQ541" s="60"/>
      <c r="AR541" s="61"/>
      <c r="AS541" s="55"/>
    </row>
    <row r="542" spans="1:45" ht="21.25" customHeight="1" x14ac:dyDescent="0.15">
      <c r="A542" s="62">
        <f>RANK(K542,K$2:K$671)</f>
        <v>539</v>
      </c>
      <c r="B542" s="10" t="s">
        <v>624</v>
      </c>
      <c r="C542" s="47" t="s">
        <v>145</v>
      </c>
      <c r="D542" s="48" t="str" cm="1">
        <f t="array" ref="D542">VLOOKUP(B542,'Player Data'!A1:D673,4,FALSE)</f>
        <v>C</v>
      </c>
      <c r="E542" s="49" cm="1">
        <f t="array" ref="E542">VLOOKUP(B542,'C'!A1:C210,3,FALSE)</f>
        <v>149</v>
      </c>
      <c r="F542" s="65" t="str" cm="1">
        <f t="array" ref="F542">VLOOKUP(B542,'Player Data'!A1:B673,2,FALSE)</f>
        <v>STL</v>
      </c>
      <c r="G542" s="71" cm="1">
        <f t="array" ref="G542">VLOOKUP(B542,'Player Data'!A1:D673,3,FALSE)</f>
        <v>21</v>
      </c>
      <c r="H542" s="51" cm="1">
        <f t="array" ref="H542">IFERROR(VLOOKUP(B542,ADP!A1:F671,6,FALSE)/1000000,VLOOKUP(B542,ADP!A1:F671,6,FALSE))</f>
        <v>0.90916699999999995</v>
      </c>
      <c r="I542" s="52">
        <f>IF(Settings!$E$15="POINTS",((R542*Q542)*Settings!$B$12)+(S542*Settings!$B$2)+(T542*Settings!$B$3)+(U542*Settings!$B$4)+(V542*Settings!$B$5)+(X542*Settings!$B$9)+(AA542*Settings!$B$6)+(W542*Settings!$B$8)+(AB542*Settings!$B$7)+(AC542*Settings!$B$14)+(AD542*Settings!$B$15)+(AE542*Settings!$B$16)+(AF542*Settings!$B$17)+(AG542*Settings!$B$18)+(Y542*Settings!$B$10)+(Z542*Settings!$B$11),VLOOKUP(B542,'Standard Deviations'!A$1:C$672,3,FALSE))</f>
        <v>-1.8232029198549249</v>
      </c>
      <c r="J542" s="53" cm="1">
        <f t="array" ref="J542">IF(D542="G",I542/AJ542,I542/Q542)</f>
        <v>-2.307851797284715E-2</v>
      </c>
      <c r="K542" s="52" cm="1">
        <f t="array" ref="K542">IF(Settings!$E$18="C/LW/RW",VLOOKUP(B542,'C'!A1:F210,6,FALSE),VLOOKUP(B542,F!A1:F407,6,FALSE))</f>
        <v>-8.1832124774699899</v>
      </c>
      <c r="L542" s="54" cm="1">
        <f t="array" ref="L542">IFERROR(K542/H542,"N/A")</f>
        <v>-9.0007803599008653</v>
      </c>
      <c r="M542" s="84" t="s">
        <v>828</v>
      </c>
      <c r="N542" s="84" t="str" cm="1">
        <f t="array" ref="N542">IFERROR(M542-A542,"N/A")</f>
        <v>N/A</v>
      </c>
      <c r="O542" s="82"/>
      <c r="P542" s="56" cm="1">
        <f t="array" ref="P542">_xlfn.XLOOKUP($B542,ADP!A2:A671,ADP!G2:G671)</f>
        <v>0</v>
      </c>
      <c r="Q542" s="57" cm="1">
        <f t="array" ref="Q542">IF(Settings!$E$12="YES",VLOOKUP(B542,'Player Data'!A1:E673,5,FALSE),84)</f>
        <v>79</v>
      </c>
      <c r="R542" s="55" cm="1">
        <f t="array" ref="R542">VLOOKUP(B542,'Player Data'!$A1:$AE673,6,FALSE)</f>
        <v>14.7</v>
      </c>
      <c r="S542" s="57" cm="1">
        <f t="array" ref="S542">VLOOKUP(B542,'Player Data'!$A1:$AE673,7,FALSE)*$Q542*IFERROR((VLOOKUP(P542,Settings!$E$28:$F$33,2,FALSE)+1),1)</f>
        <v>14.219999999999999</v>
      </c>
      <c r="T542" s="57" cm="1">
        <f t="array" ref="T542">VLOOKUP(B542,'Player Data'!$A1:$AE673,8,FALSE)*$Q542*IFERROR((VLOOKUP(P542,Settings!$E$28:$F$33,2,FALSE)+1),1)</f>
        <v>14.219999999999999</v>
      </c>
      <c r="U542" s="57" cm="1">
        <f t="array" ref="U542">SUM(S542:T542)</f>
        <v>28.439999999999998</v>
      </c>
      <c r="V542" s="57" cm="1">
        <f t="array" ref="V542">VLOOKUP(B542,'Player Data'!$A1:$AE673,10,FALSE)*$Q542*IFERROR(((VLOOKUP(P542,Settings!$E$28:$F$33,2,FALSE)/2)+1),1)</f>
        <v>108.23</v>
      </c>
      <c r="W542" s="57" cm="1">
        <f t="array" ref="W542">VLOOKUP(B542,'Player Data'!$A1:$AE673,11,FALSE)*$Q542*IFERROR((VLOOKUP(P542,Settings!$E$28:$F$33,2,FALSE)+1),1)</f>
        <v>4.74</v>
      </c>
      <c r="X542" s="57" cm="1">
        <f t="array" ref="X542">VLOOKUP(B542,'Player Data'!$A1:$AE673,12,FALSE)*$Q542*IFERROR((VLOOKUP(P542,Settings!$E$28:$F$33,2,FALSE)+1),1)</f>
        <v>7.9</v>
      </c>
      <c r="Y542" s="57" cm="1">
        <f t="array" ref="Y542">VLOOKUP(B542,'Player Data'!$A1:$AE673,13,FALSE)*$Q542</f>
        <v>0</v>
      </c>
      <c r="Z542" s="57" cm="1">
        <f t="array" ref="Z542">VLOOKUP(B542,'Player Data'!$A1:$AE673,14,FALSE)*$Q542</f>
        <v>0</v>
      </c>
      <c r="AA542" s="57" cm="1">
        <f t="array" ref="AA542">VLOOKUP(B542,'Player Data'!$A1:$AE673,15,FALSE)*$Q542</f>
        <v>29.23</v>
      </c>
      <c r="AB542" s="57" cm="1">
        <f t="array" ref="AB542">VLOOKUP(B542,'Player Data'!$A1:$AE673,16,FALSE)*$Q542</f>
        <v>90.059999999999988</v>
      </c>
      <c r="AC542" s="57" cm="1">
        <f t="array" ref="AC542">VLOOKUP(B542,'Player Data'!$A1:$AE673,17,FALSE)*$Q542*IFERROR((VLOOKUP(P542,Settings!$E$28:$F$33,2,FALSE)+1),1)</f>
        <v>-3.95</v>
      </c>
      <c r="AD542" s="57" cm="1">
        <f t="array" ref="AD542">VLOOKUP(B542,'Player Data'!$A1:$AE673,18,FALSE)*$Q542</f>
        <v>29.23</v>
      </c>
      <c r="AE542" s="57" cm="1">
        <f t="array" ref="AE542">VLOOKUP(B542,'Player Data'!$A1:$AE673,19,FALSE)*$Q542*IFERROR((VLOOKUP(P542,Settings!$E$28:$F$33,2,FALSE)+1),1)</f>
        <v>2.37</v>
      </c>
      <c r="AF542" s="57" cm="1">
        <f t="array" ref="AF542">VLOOKUP(B542,'Player Data'!$A1:$AE673,20,FALSE)*$Q542</f>
        <v>382.36</v>
      </c>
      <c r="AG542" s="57" cm="1">
        <f t="array" ref="AG542">VLOOKUP(B542,'Player Data'!$A1:$AE673,21,FALSE)*$Q542</f>
        <v>448.71999999999997</v>
      </c>
      <c r="AH542" s="59" cm="1">
        <f t="array" ref="AH542">VLOOKUP(B542,'Player Data'!$A1:$AE673,22,FALSE)</f>
        <v>0.46</v>
      </c>
      <c r="AI542" s="55"/>
      <c r="AJ542" s="57"/>
      <c r="AK542" s="57"/>
      <c r="AL542" s="57"/>
      <c r="AM542" s="57"/>
      <c r="AN542" s="57"/>
      <c r="AO542" s="57"/>
      <c r="AP542" s="57"/>
      <c r="AQ542" s="60"/>
      <c r="AR542" s="61"/>
      <c r="AS542" s="55"/>
    </row>
    <row r="543" spans="1:45" ht="21.25" customHeight="1" x14ac:dyDescent="0.15">
      <c r="A543" s="62">
        <f>RANK(K543,K$2:K$671)</f>
        <v>541</v>
      </c>
      <c r="B543" s="10" t="s">
        <v>628</v>
      </c>
      <c r="C543" s="47" t="s">
        <v>145</v>
      </c>
      <c r="D543" s="48" t="str" cm="1">
        <f t="array" ref="D543">VLOOKUP(B543,'Player Data'!A1:D673,4,FALSE)</f>
        <v>C</v>
      </c>
      <c r="E543" s="49" cm="1">
        <f t="array" ref="E543">VLOOKUP(B543,'C'!A1:C210,3,FALSE)</f>
        <v>151</v>
      </c>
      <c r="F543" s="69" t="str" cm="1">
        <f t="array" ref="F543">VLOOKUP(B543,'Player Data'!A1:B673,2,FALSE)</f>
        <v>MTL</v>
      </c>
      <c r="G543" s="11" cm="1">
        <f t="array" ref="G543">VLOOKUP(B543,'Player Data'!A1:D673,3,FALSE)</f>
        <v>30</v>
      </c>
      <c r="H543" s="51" cm="1">
        <f t="array" ref="H543">IFERROR(VLOOKUP(B543,ADP!A1:F671,6,FALSE)/1000000,VLOOKUP(B543,ADP!A1:F671,6,FALSE))</f>
        <v>2.85</v>
      </c>
      <c r="I543" s="52">
        <f>IF(Settings!$E$15="POINTS",((R543*Q543)*Settings!$B$12)+(S543*Settings!$B$2)+(T543*Settings!$B$3)+(U543*Settings!$B$4)+(V543*Settings!$B$5)+(X543*Settings!$B$9)+(AA543*Settings!$B$6)+(W543*Settings!$B$8)+(AB543*Settings!$B$7)+(AC543*Settings!$B$14)+(AD543*Settings!$B$15)+(AE543*Settings!$B$16)+(AF543*Settings!$B$17)+(AG543*Settings!$B$18)+(Y543*Settings!$B$10)+(Z543*Settings!$B$11),VLOOKUP(B543,'Standard Deviations'!A$1:C$672,3,FALSE))</f>
        <v>-1.8918054087525389</v>
      </c>
      <c r="J543" s="53" cm="1">
        <f t="array" ref="J543">IF(D543="G",I543/AJ543,I543/Q543)</f>
        <v>-2.3070797667713888E-2</v>
      </c>
      <c r="K543" s="52" cm="1">
        <f t="array" ref="K543">IF(Settings!$E$18="C/LW/RW",VLOOKUP(B543,'C'!A1:F210,6,FALSE),VLOOKUP(B543,F!A1:F407,6,FALSE))</f>
        <v>-8.2518149663676024</v>
      </c>
      <c r="L543" s="54" cm="1">
        <f t="array" ref="L543">IFERROR(K543/H543,"N/A")</f>
        <v>-2.895373672409685</v>
      </c>
      <c r="M543" s="84" t="s">
        <v>828</v>
      </c>
      <c r="N543" s="84" t="str" cm="1">
        <f t="array" ref="N543">IFERROR(M543-A543,"N/A")</f>
        <v>N/A</v>
      </c>
      <c r="O543" s="55"/>
      <c r="P543" s="56" cm="1">
        <f t="array" ref="P543">_xlfn.XLOOKUP($B543,ADP!A2:A671,ADP!G2:G671)</f>
        <v>0</v>
      </c>
      <c r="Q543" s="57" cm="1">
        <f t="array" ref="Q543">IF(Settings!$E$12="YES",VLOOKUP(B543,'Player Data'!A1:E673,5,FALSE),84)</f>
        <v>82</v>
      </c>
      <c r="R543" s="55" cm="1">
        <f t="array" ref="R543">VLOOKUP(B543,'Player Data'!$A1:$AE673,6,FALSE)</f>
        <v>15.4</v>
      </c>
      <c r="S543" s="57" cm="1">
        <f t="array" ref="S543">VLOOKUP(B543,'Player Data'!$A1:$AE673,7,FALSE)*$Q543*IFERROR((VLOOKUP(P543,Settings!$E$28:$F$33,2,FALSE)+1),1)</f>
        <v>10.66</v>
      </c>
      <c r="T543" s="57" cm="1">
        <f t="array" ref="T543">VLOOKUP(B543,'Player Data'!$A1:$AE673,8,FALSE)*$Q543*IFERROR((VLOOKUP(P543,Settings!$E$28:$F$33,2,FALSE)+1),1)</f>
        <v>16.400000000000002</v>
      </c>
      <c r="U543" s="57" cm="1">
        <f t="array" ref="U543">SUM(S543:T543)</f>
        <v>27.060000000000002</v>
      </c>
      <c r="V543" s="57" cm="1">
        <f t="array" ref="V543">VLOOKUP(B543,'Player Data'!$A1:$AE673,10,FALSE)*$Q543*IFERROR(((VLOOKUP(P543,Settings!$E$28:$F$33,2,FALSE)/2)+1),1)</f>
        <v>85.28</v>
      </c>
      <c r="W543" s="57" cm="1">
        <f t="array" ref="W543">VLOOKUP(B543,'Player Data'!$A1:$AE673,11,FALSE)*$Q543*IFERROR((VLOOKUP(P543,Settings!$E$28:$F$33,2,FALSE)+1),1)</f>
        <v>0</v>
      </c>
      <c r="X543" s="57" cm="1">
        <f t="array" ref="X543">VLOOKUP(B543,'Player Data'!$A1:$AE673,12,FALSE)*$Q543*IFERROR((VLOOKUP(P543,Settings!$E$28:$F$33,2,FALSE)+1),1)</f>
        <v>0</v>
      </c>
      <c r="Y543" s="57" cm="1">
        <f t="array" ref="Y543">VLOOKUP(B543,'Player Data'!$A1:$AE673,13,FALSE)*$Q543</f>
        <v>1.6400000000000001</v>
      </c>
      <c r="Z543" s="57" cm="1">
        <f t="array" ref="Z543">VLOOKUP(B543,'Player Data'!$A1:$AE673,14,FALSE)*$Q543</f>
        <v>2.46</v>
      </c>
      <c r="AA543" s="57" cm="1">
        <f t="array" ref="AA543">VLOOKUP(B543,'Player Data'!$A1:$AE673,15,FALSE)*$Q543</f>
        <v>56.58</v>
      </c>
      <c r="AB543" s="57" cm="1">
        <f t="array" ref="AB543">VLOOKUP(B543,'Player Data'!$A1:$AE673,16,FALSE)*$Q543</f>
        <v>104.14</v>
      </c>
      <c r="AC543" s="57" cm="1">
        <f t="array" ref="AC543">VLOOKUP(B543,'Player Data'!$A1:$AE673,17,FALSE)*$Q543*IFERROR((VLOOKUP(P543,Settings!$E$28:$F$33,2,FALSE)+1),1)</f>
        <v>0.82000000000000006</v>
      </c>
      <c r="AD543" s="57" cm="1">
        <f t="array" ref="AD543">VLOOKUP(B543,'Player Data'!$A1:$AE673,18,FALSE)*$Q543</f>
        <v>20.5</v>
      </c>
      <c r="AE543" s="57" cm="1">
        <f t="array" ref="AE543">VLOOKUP(B543,'Player Data'!$A1:$AE673,19,FALSE)*$Q543*IFERROR((VLOOKUP(P543,Settings!$E$28:$F$33,2,FALSE)+1),1)</f>
        <v>1.6400000000000001</v>
      </c>
      <c r="AF543" s="57" cm="1">
        <f t="array" ref="AF543">VLOOKUP(B543,'Player Data'!$A1:$AE673,20,FALSE)*$Q543</f>
        <v>564.16</v>
      </c>
      <c r="AG543" s="57" cm="1">
        <f t="array" ref="AG543">VLOOKUP(B543,'Player Data'!$A1:$AE673,21,FALSE)*$Q543</f>
        <v>484.62</v>
      </c>
      <c r="AH543" s="59" cm="1">
        <f t="array" ref="AH543">VLOOKUP(B543,'Player Data'!$A1:$AE673,22,FALSE)</f>
        <v>0.54</v>
      </c>
      <c r="AI543" s="55"/>
      <c r="AJ543" s="57"/>
      <c r="AK543" s="57"/>
      <c r="AL543" s="57"/>
      <c r="AM543" s="57"/>
      <c r="AN543" s="57"/>
      <c r="AO543" s="57"/>
      <c r="AP543" s="57"/>
      <c r="AQ543" s="60"/>
      <c r="AR543" s="61"/>
      <c r="AS543" s="55"/>
    </row>
    <row r="544" spans="1:45" ht="21.25" customHeight="1" x14ac:dyDescent="0.15">
      <c r="A544" s="62">
        <f>RANK(K544,K$2:K$671)</f>
        <v>542</v>
      </c>
      <c r="B544" s="10" t="s">
        <v>595</v>
      </c>
      <c r="C544" s="47" t="s">
        <v>145</v>
      </c>
      <c r="D544" s="48" t="str" cm="1">
        <f t="array" ref="D544">VLOOKUP(B544,'Player Data'!A1:D673,4,FALSE)</f>
        <v>C</v>
      </c>
      <c r="E544" s="49" cm="1">
        <f t="array" ref="E544">VLOOKUP(B544,'C'!A1:C210,3,FALSE)</f>
        <v>152</v>
      </c>
      <c r="F544" s="72" t="str" cm="1">
        <f t="array" ref="F544">VLOOKUP(B544,'Player Data'!A1:B673,2,FALSE)</f>
        <v>NYI</v>
      </c>
      <c r="G544" s="66" cm="1">
        <f t="array" ref="G544">VLOOKUP(B544,'Player Data'!A1:D673,3,FALSE)</f>
        <v>33</v>
      </c>
      <c r="H544" s="51" cm="1">
        <f t="array" ref="H544">IFERROR(VLOOKUP(B544,ADP!A1:F671,6,FALSE)/1000000,VLOOKUP(B544,ADP!A1:F671,6,FALSE))</f>
        <v>4.8499999999999996</v>
      </c>
      <c r="I544" s="52">
        <f>IF(Settings!$E$15="POINTS",((R544*Q544)*Settings!$B$12)+(S544*Settings!$B$2)+(T544*Settings!$B$3)+(U544*Settings!$B$4)+(V544*Settings!$B$5)+(X544*Settings!$B$9)+(AA544*Settings!$B$6)+(W544*Settings!$B$8)+(AB544*Settings!$B$7)+(AC544*Settings!$B$14)+(AD544*Settings!$B$15)+(AE544*Settings!$B$16)+(AF544*Settings!$B$17)+(AG544*Settings!$B$18)+(Y544*Settings!$B$10)+(Z544*Settings!$B$11),VLOOKUP(B544,'Standard Deviations'!A$1:C$672,3,FALSE))</f>
        <v>-1.9049223704493481</v>
      </c>
      <c r="J544" s="53" cm="1">
        <f t="array" ref="J544">IF(D544="G",I544/AJ544,I544/Q544)</f>
        <v>-2.3230760615235952E-2</v>
      </c>
      <c r="K544" s="52" cm="1">
        <f t="array" ref="K544">IF(Settings!$E$18="C/LW/RW",VLOOKUP(B544,'C'!A1:F210,6,FALSE),VLOOKUP(B544,F!A1:F407,6,FALSE))</f>
        <v>-8.2649319280644118</v>
      </c>
      <c r="L544" s="54" cm="1">
        <f t="array" ref="L544">IFERROR(K544/H544,"N/A")</f>
        <v>-1.7041096758895695</v>
      </c>
      <c r="M544" s="84" t="s">
        <v>828</v>
      </c>
      <c r="N544" s="84" t="str" cm="1">
        <f t="array" ref="N544">IFERROR(M544-A544,"N/A")</f>
        <v>N/A</v>
      </c>
      <c r="O544" s="55"/>
      <c r="P544" s="56" cm="1">
        <f t="array" ref="P544">_xlfn.XLOOKUP($B544,ADP!A2:A671,ADP!G2:G671)</f>
        <v>0</v>
      </c>
      <c r="Q544" s="57" cm="1">
        <f t="array" ref="Q544">IF(Settings!$E$12="YES",VLOOKUP(B544,'Player Data'!A1:E673,5,FALSE),84)</f>
        <v>82</v>
      </c>
      <c r="R544" s="55" cm="1">
        <f t="array" ref="R544">VLOOKUP(B544,'Player Data'!$A1:$AE673,6,FALSE)</f>
        <v>14.8</v>
      </c>
      <c r="S544" s="57" cm="1">
        <f t="array" ref="S544">VLOOKUP(B544,'Player Data'!$A1:$AE673,7,FALSE)*$Q544*IFERROR((VLOOKUP(P544,Settings!$E$28:$F$33,2,FALSE)+1),1)</f>
        <v>13.120000000000001</v>
      </c>
      <c r="T544" s="57" cm="1">
        <f t="array" ref="T544">VLOOKUP(B544,'Player Data'!$A1:$AE673,8,FALSE)*$Q544*IFERROR((VLOOKUP(P544,Settings!$E$28:$F$33,2,FALSE)+1),1)</f>
        <v>19.68</v>
      </c>
      <c r="U544" s="57" cm="1">
        <f t="array" ref="U544">SUM(S544:T544)</f>
        <v>32.799999999999997</v>
      </c>
      <c r="V544" s="57" cm="1">
        <f t="array" ref="V544">VLOOKUP(B544,'Player Data'!$A1:$AE673,10,FALSE)*$Q544*IFERROR(((VLOOKUP(P544,Settings!$E$28:$F$33,2,FALSE)/2)+1),1)</f>
        <v>93.47999999999999</v>
      </c>
      <c r="W544" s="57" cm="1">
        <f t="array" ref="W544">VLOOKUP(B544,'Player Data'!$A1:$AE673,11,FALSE)*$Q544*IFERROR((VLOOKUP(P544,Settings!$E$28:$F$33,2,FALSE)+1),1)</f>
        <v>0</v>
      </c>
      <c r="X544" s="57" cm="1">
        <f t="array" ref="X544">VLOOKUP(B544,'Player Data'!$A1:$AE673,12,FALSE)*$Q544*IFERROR((VLOOKUP(P544,Settings!$E$28:$F$33,2,FALSE)+1),1)</f>
        <v>0</v>
      </c>
      <c r="Y544" s="57" cm="1">
        <f t="array" ref="Y544">VLOOKUP(B544,'Player Data'!$A1:$AE673,13,FALSE)*$Q544</f>
        <v>1.6400000000000001</v>
      </c>
      <c r="Z544" s="57" cm="1">
        <f t="array" ref="Z544">VLOOKUP(B544,'Player Data'!$A1:$AE673,14,FALSE)*$Q544</f>
        <v>5.74</v>
      </c>
      <c r="AA544" s="57" cm="1">
        <f t="array" ref="AA544">VLOOKUP(B544,'Player Data'!$A1:$AE673,15,FALSE)*$Q544</f>
        <v>55.760000000000005</v>
      </c>
      <c r="AB544" s="57" cm="1">
        <f t="array" ref="AB544">VLOOKUP(B544,'Player Data'!$A1:$AE673,16,FALSE)*$Q544</f>
        <v>125.46000000000001</v>
      </c>
      <c r="AC544" s="57" cm="1">
        <f t="array" ref="AC544">VLOOKUP(B544,'Player Data'!$A1:$AE673,17,FALSE)*$Q544*IFERROR((VLOOKUP(P544,Settings!$E$28:$F$33,2,FALSE)+1),1)</f>
        <v>-4.1000000000000005</v>
      </c>
      <c r="AD544" s="57" cm="1">
        <f t="array" ref="AD544">VLOOKUP(B544,'Player Data'!$A1:$AE673,18,FALSE)*$Q544</f>
        <v>13.120000000000001</v>
      </c>
      <c r="AE544" s="57" cm="1">
        <f t="array" ref="AE544">VLOOKUP(B544,'Player Data'!$A1:$AE673,19,FALSE)*$Q544*IFERROR((VLOOKUP(P544,Settings!$E$28:$F$33,2,FALSE)+1),1)</f>
        <v>1.6400000000000001</v>
      </c>
      <c r="AF544" s="57" cm="1">
        <f t="array" ref="AF544">VLOOKUP(B544,'Player Data'!$A1:$AE673,20,FALSE)*$Q544</f>
        <v>647.80000000000007</v>
      </c>
      <c r="AG544" s="57" cm="1">
        <f t="array" ref="AG544">VLOOKUP(B544,'Player Data'!$A1:$AE673,21,FALSE)*$Q544</f>
        <v>462.47999999999996</v>
      </c>
      <c r="AH544" s="59" cm="1">
        <f t="array" ref="AH544">VLOOKUP(B544,'Player Data'!$A1:$AE673,22,FALSE)</f>
        <v>0.57999999999999996</v>
      </c>
      <c r="AI544" s="55"/>
      <c r="AJ544" s="57"/>
      <c r="AK544" s="57"/>
      <c r="AL544" s="57"/>
      <c r="AM544" s="57"/>
      <c r="AN544" s="57"/>
      <c r="AO544" s="57"/>
      <c r="AP544" s="57"/>
      <c r="AQ544" s="60"/>
      <c r="AR544" s="61"/>
      <c r="AS544" s="55"/>
    </row>
    <row r="545" spans="1:45" ht="21.25" customHeight="1" x14ac:dyDescent="0.15">
      <c r="A545" s="62">
        <f>RANK(K545,K$2:K$671)</f>
        <v>540</v>
      </c>
      <c r="B545" s="10" t="s">
        <v>527</v>
      </c>
      <c r="C545" s="47" t="s">
        <v>145</v>
      </c>
      <c r="D545" s="48" t="str" cm="1">
        <f t="array" ref="D545">VLOOKUP(B545,'Player Data'!A1:D673,4,FALSE)</f>
        <v>RW</v>
      </c>
      <c r="E545" s="64" cm="1">
        <f t="array" ref="E545">VLOOKUP(B545,RW!A1:F210,3,FALSE)</f>
        <v>146</v>
      </c>
      <c r="F545" s="63" t="str" cm="1">
        <f t="array" ref="F545">VLOOKUP(B545,'Player Data'!A1:B673,2,FALSE)</f>
        <v>SEA</v>
      </c>
      <c r="G545" s="11" cm="1">
        <f t="array" ref="G545">VLOOKUP(B545,'Player Data'!A1:D673,3,FALSE)</f>
        <v>25</v>
      </c>
      <c r="H545" s="51" cm="1">
        <f t="array" ref="H545">IFERROR(VLOOKUP(B545,ADP!A1:F671,6,FALSE)/1000000,VLOOKUP(B545,ADP!A1:F671,6,FALSE))</f>
        <v>4.5250000000000004</v>
      </c>
      <c r="I545" s="52">
        <f>IF(Settings!$E$15="POINTS",((R545*Q545)*Settings!$B$12)+(S545*Settings!$B$2)+(T545*Settings!$B$3)+(U545*Settings!$B$4)+(V545*Settings!$B$5)+(X545*Settings!$B$9)+(AA545*Settings!$B$6)+(W545*Settings!$B$8)+(AB545*Settings!$B$7)+(AC545*Settings!$B$14)+(AD545*Settings!$B$15)+(AE545*Settings!$B$16)+(AF545*Settings!$B$17)+(AG545*Settings!$B$18)+(Y545*Settings!$B$10)+(Z545*Settings!$B$11),VLOOKUP(B545,'Standard Deviations'!A$1:C$672,3,FALSE))</f>
        <v>-1.3644384587056608</v>
      </c>
      <c r="J545" s="53" cm="1">
        <f t="array" ref="J545">IF(D545="G",I545/AJ545,I545/Q545)</f>
        <v>-1.7271372895008366E-2</v>
      </c>
      <c r="K545" s="52" cm="1">
        <f t="array" ref="K545">IF(Settings!$E$18="C/LW/RW",VLOOKUP(B545,RW!A1:F210,6,FALSE),VLOOKUP(B545,F!A1:F407,6,FALSE))</f>
        <v>-8.2516730605147384</v>
      </c>
      <c r="L545" s="54" cm="1">
        <f t="array" ref="L545">IFERROR(K545/H545,"N/A")</f>
        <v>-1.8235741570198316</v>
      </c>
      <c r="M545" s="84" t="s">
        <v>828</v>
      </c>
      <c r="N545" s="84" t="str" cm="1">
        <f t="array" ref="N545">IFERROR(M545-A545,"N/A")</f>
        <v>N/A</v>
      </c>
      <c r="O545" s="55"/>
      <c r="P545" s="56" cm="1">
        <f t="array" ref="P545">_xlfn.XLOOKUP($B545,ADP!A2:A671,ADP!G2:G671)</f>
        <v>0</v>
      </c>
      <c r="Q545" s="57" cm="1">
        <f t="array" ref="Q545">IF(Settings!$E$12="YES",VLOOKUP(B545,'Player Data'!A1:E673,5,FALSE),84)</f>
        <v>79</v>
      </c>
      <c r="R545" s="55" cm="1">
        <f t="array" ref="R545">VLOOKUP(B545,'Player Data'!$A1:$AE673,6,FALSE)</f>
        <v>15.1</v>
      </c>
      <c r="S545" s="57" cm="1">
        <f t="array" ref="S545">VLOOKUP(B545,'Player Data'!$A1:$AE673,7,FALSE)*$Q545*IFERROR((VLOOKUP(P545,Settings!$E$28:$F$33,2,FALSE)+1),1)</f>
        <v>16.59</v>
      </c>
      <c r="T545" s="57" cm="1">
        <f t="array" ref="T545">VLOOKUP(B545,'Player Data'!$A1:$AE673,8,FALSE)*$Q545*IFERROR((VLOOKUP(P545,Settings!$E$28:$F$33,2,FALSE)+1),1)</f>
        <v>29.23</v>
      </c>
      <c r="U545" s="57" cm="1">
        <f t="array" ref="U545">SUM(S545:T545)</f>
        <v>45.82</v>
      </c>
      <c r="V545" s="57" cm="1">
        <f t="array" ref="V545">VLOOKUP(B545,'Player Data'!$A1:$AE673,10,FALSE)*$Q545*IFERROR(((VLOOKUP(P545,Settings!$E$28:$F$33,2,FALSE)/2)+1),1)</f>
        <v>112.97</v>
      </c>
      <c r="W545" s="57" cm="1">
        <f t="array" ref="W545">VLOOKUP(B545,'Player Data'!$A1:$AE673,11,FALSE)*$Q545*IFERROR((VLOOKUP(P545,Settings!$E$28:$F$33,2,FALSE)+1),1)</f>
        <v>3.95</v>
      </c>
      <c r="X545" s="57" cm="1">
        <f t="array" ref="X545">VLOOKUP(B545,'Player Data'!$A1:$AE673,12,FALSE)*$Q545*IFERROR((VLOOKUP(P545,Settings!$E$28:$F$33,2,FALSE)+1),1)</f>
        <v>10.27</v>
      </c>
      <c r="Y545" s="57" cm="1">
        <f t="array" ref="Y545">VLOOKUP(B545,'Player Data'!$A1:$AE673,13,FALSE)*$Q545</f>
        <v>0</v>
      </c>
      <c r="Z545" s="57" cm="1">
        <f t="array" ref="Z545">VLOOKUP(B545,'Player Data'!$A1:$AE673,14,FALSE)*$Q545</f>
        <v>0</v>
      </c>
      <c r="AA545" s="57" cm="1">
        <f t="array" ref="AA545">VLOOKUP(B545,'Player Data'!$A1:$AE673,15,FALSE)*$Q545</f>
        <v>21.330000000000002</v>
      </c>
      <c r="AB545" s="57" cm="1">
        <f t="array" ref="AB545">VLOOKUP(B545,'Player Data'!$A1:$AE673,16,FALSE)*$Q545</f>
        <v>50.56</v>
      </c>
      <c r="AC545" s="57" cm="1">
        <f t="array" ref="AC545">VLOOKUP(B545,'Player Data'!$A1:$AE673,17,FALSE)*$Q545*IFERROR((VLOOKUP(P545,Settings!$E$28:$F$33,2,FALSE)+1),1)</f>
        <v>-5.53</v>
      </c>
      <c r="AD545" s="57" cm="1">
        <f t="array" ref="AD545">VLOOKUP(B545,'Player Data'!$A1:$AE673,18,FALSE)*$Q545</f>
        <v>26.07</v>
      </c>
      <c r="AE545" s="57" cm="1">
        <f t="array" ref="AE545">VLOOKUP(B545,'Player Data'!$A1:$AE673,19,FALSE)*$Q545*IFERROR((VLOOKUP(P545,Settings!$E$28:$F$33,2,FALSE)+1),1)</f>
        <v>2.37</v>
      </c>
      <c r="AF545" s="57" cm="1">
        <f t="array" ref="AF545">VLOOKUP(B545,'Player Data'!$A1:$AE673,20,FALSE)*$Q545</f>
        <v>27.65</v>
      </c>
      <c r="AG545" s="57" cm="1">
        <f t="array" ref="AG545">VLOOKUP(B545,'Player Data'!$A1:$AE673,21,FALSE)*$Q545</f>
        <v>27.65</v>
      </c>
      <c r="AH545" s="59" cm="1">
        <f t="array" ref="AH545">VLOOKUP(B545,'Player Data'!$A1:$AE673,22,FALSE)</f>
        <v>0.5</v>
      </c>
      <c r="AI545" s="55"/>
      <c r="AJ545" s="57"/>
      <c r="AK545" s="57"/>
      <c r="AL545" s="57"/>
      <c r="AM545" s="57"/>
      <c r="AN545" s="57"/>
      <c r="AO545" s="57"/>
      <c r="AP545" s="57"/>
      <c r="AQ545" s="60"/>
      <c r="AR545" s="61"/>
      <c r="AS545" s="55"/>
    </row>
    <row r="546" spans="1:45" ht="21.25" customHeight="1" x14ac:dyDescent="0.15">
      <c r="A546" s="62">
        <f>RANK(K546,K$2:K$671)</f>
        <v>544</v>
      </c>
      <c r="B546" s="10" t="s">
        <v>775</v>
      </c>
      <c r="C546" s="47" t="s">
        <v>145</v>
      </c>
      <c r="D546" s="48" t="str" cm="1">
        <f t="array" ref="D546">VLOOKUP(B546,'Player Data'!A1:D673,4,FALSE)</f>
        <v>C</v>
      </c>
      <c r="E546" s="49" cm="1">
        <f t="array" ref="E546">VLOOKUP(B546,'C'!A1:C210,3,FALSE)</f>
        <v>153</v>
      </c>
      <c r="F546" s="70" t="str" cm="1">
        <f t="array" ref="F546">VLOOKUP(B546,'Player Data'!A1:B673,2,FALSE)</f>
        <v>L.A</v>
      </c>
      <c r="G546" s="71" cm="1">
        <f t="array" ref="G546">VLOOKUP(B546,'Player Data'!A1:D673,3,FALSE)</f>
        <v>23</v>
      </c>
      <c r="H546" s="51" cm="1">
        <f t="array" ref="H546">IFERROR(VLOOKUP(B546,ADP!A1:F671,6,FALSE)/1000000,VLOOKUP(B546,ADP!A1:F671,6,FALSE))</f>
        <v>0.875</v>
      </c>
      <c r="I546" s="52">
        <f>IF(Settings!$E$15="POINTS",((R546*Q546)*Settings!$B$12)+(S546*Settings!$B$2)+(T546*Settings!$B$3)+(U546*Settings!$B$4)+(V546*Settings!$B$5)+(X546*Settings!$B$9)+(AA546*Settings!$B$6)+(W546*Settings!$B$8)+(AB546*Settings!$B$7)+(AC546*Settings!$B$14)+(AD546*Settings!$B$15)+(AE546*Settings!$B$16)+(AF546*Settings!$B$17)+(AG546*Settings!$B$18)+(Y546*Settings!$B$10)+(Z546*Settings!$B$11),VLOOKUP(B546,'Standard Deviations'!A$1:C$672,3,FALSE))</f>
        <v>-1.9323844006867246</v>
      </c>
      <c r="J546" s="53" cm="1">
        <f t="array" ref="J546">IF(D546="G",I546/AJ546,I546/Q546)</f>
        <v>-2.7216681699813023E-2</v>
      </c>
      <c r="K546" s="52" cm="1">
        <f t="array" ref="K546">IF(Settings!$E$18="C/LW/RW",VLOOKUP(B546,'C'!A1:F210,6,FALSE),VLOOKUP(B546,F!A1:F407,6,FALSE))</f>
        <v>-8.2923939583017887</v>
      </c>
      <c r="L546" s="54" cm="1">
        <f t="array" ref="L546">IFERROR(K546/H546,"N/A")</f>
        <v>-9.4770216666306162</v>
      </c>
      <c r="M546" s="84" t="s">
        <v>828</v>
      </c>
      <c r="N546" s="84" t="str" cm="1">
        <f t="array" ref="N546">IFERROR(M546-A546,"N/A")</f>
        <v>N/A</v>
      </c>
      <c r="O546" s="55"/>
      <c r="P546" s="56" cm="1">
        <f t="array" ref="P546">_xlfn.XLOOKUP($B546,ADP!A2:A671,ADP!G2:G671)</f>
        <v>0</v>
      </c>
      <c r="Q546" s="57" cm="1">
        <f t="array" ref="Q546">IF(Settings!$E$12="YES",VLOOKUP(B546,'Player Data'!A1:E673,5,FALSE),84)</f>
        <v>71</v>
      </c>
      <c r="R546" s="81" cm="1">
        <f t="array" ref="R546">VLOOKUP(B546,'Player Data'!$A1:$AE673,6,FALSE)</f>
        <v>9.4</v>
      </c>
      <c r="S546" s="57" cm="1">
        <f t="array" ref="S546">VLOOKUP(B546,'Player Data'!$A1:$AE673,7,FALSE)*$Q546*IFERROR((VLOOKUP(P546,Settings!$E$28:$F$33,2,FALSE)+1),1)</f>
        <v>7.1000000000000005</v>
      </c>
      <c r="T546" s="57" cm="1">
        <f t="array" ref="T546">VLOOKUP(B546,'Player Data'!$A1:$AE673,8,FALSE)*$Q546*IFERROR((VLOOKUP(P546,Settings!$E$28:$F$33,2,FALSE)+1),1)</f>
        <v>6.39</v>
      </c>
      <c r="U546" s="57" cm="1">
        <f t="array" ref="U546">SUM(S546:T546)</f>
        <v>13.49</v>
      </c>
      <c r="V546" s="57" cm="1">
        <f t="array" ref="V546">VLOOKUP(B546,'Player Data'!$A1:$AE673,10,FALSE)*$Q546*IFERROR(((VLOOKUP(P546,Settings!$E$28:$F$33,2,FALSE)/2)+1),1)</f>
        <v>57.510000000000005</v>
      </c>
      <c r="W546" s="57" cm="1">
        <f t="array" ref="W546">VLOOKUP(B546,'Player Data'!$A1:$AE673,11,FALSE)*$Q546*IFERROR((VLOOKUP(P546,Settings!$E$28:$F$33,2,FALSE)+1),1)</f>
        <v>0</v>
      </c>
      <c r="X546" s="57" cm="1">
        <f t="array" ref="X546">VLOOKUP(B546,'Player Data'!$A1:$AE673,12,FALSE)*$Q546*IFERROR((VLOOKUP(P546,Settings!$E$28:$F$33,2,FALSE)+1),1)</f>
        <v>0</v>
      </c>
      <c r="Y546" s="57" cm="1">
        <f t="array" ref="Y546">VLOOKUP(B546,'Player Data'!$A1:$AE673,13,FALSE)*$Q546</f>
        <v>0</v>
      </c>
      <c r="Z546" s="57" cm="1">
        <f t="array" ref="Z546">VLOOKUP(B546,'Player Data'!$A1:$AE673,14,FALSE)*$Q546</f>
        <v>0</v>
      </c>
      <c r="AA546" s="57" cm="1">
        <f t="array" ref="AA546">VLOOKUP(B546,'Player Data'!$A1:$AE673,15,FALSE)*$Q546</f>
        <v>27.69</v>
      </c>
      <c r="AB546" s="57" cm="1">
        <f t="array" ref="AB546">VLOOKUP(B546,'Player Data'!$A1:$AE673,16,FALSE)*$Q546</f>
        <v>200.93</v>
      </c>
      <c r="AC546" s="57" cm="1">
        <f t="array" ref="AC546">VLOOKUP(B546,'Player Data'!$A1:$AE673,17,FALSE)*$Q546*IFERROR((VLOOKUP(P546,Settings!$E$28:$F$33,2,FALSE)+1),1)</f>
        <v>-1.42</v>
      </c>
      <c r="AD546" s="57" cm="1">
        <f t="array" ref="AD546">VLOOKUP(B546,'Player Data'!$A1:$AE673,18,FALSE)*$Q546</f>
        <v>34.79</v>
      </c>
      <c r="AE546" s="57" cm="1">
        <f t="array" ref="AE546">VLOOKUP(B546,'Player Data'!$A1:$AE673,19,FALSE)*$Q546*IFERROR((VLOOKUP(P546,Settings!$E$28:$F$33,2,FALSE)+1),1)</f>
        <v>1.42</v>
      </c>
      <c r="AF546" s="57" cm="1">
        <f t="array" ref="AF546">VLOOKUP(B546,'Player Data'!$A1:$AE673,20,FALSE)*$Q546</f>
        <v>185.31</v>
      </c>
      <c r="AG546" s="57" cm="1">
        <f t="array" ref="AG546">VLOOKUP(B546,'Player Data'!$A1:$AE673,21,FALSE)*$Q546</f>
        <v>218.68</v>
      </c>
      <c r="AH546" s="59" cm="1">
        <f t="array" ref="AH546">VLOOKUP(B546,'Player Data'!$A1:$AE673,22,FALSE)</f>
        <v>0.46</v>
      </c>
      <c r="AI546" s="55"/>
      <c r="AJ546" s="57"/>
      <c r="AK546" s="57"/>
      <c r="AL546" s="57"/>
      <c r="AM546" s="57"/>
      <c r="AN546" s="57"/>
      <c r="AO546" s="57"/>
      <c r="AP546" s="57"/>
      <c r="AQ546" s="60"/>
      <c r="AR546" s="61"/>
      <c r="AS546" s="55"/>
    </row>
    <row r="547" spans="1:45" ht="21.25" customHeight="1" x14ac:dyDescent="0.15">
      <c r="A547" s="62">
        <f>RANK(K547,K$2:K$671)</f>
        <v>543</v>
      </c>
      <c r="B547" s="10" t="s">
        <v>533</v>
      </c>
      <c r="C547" s="47" t="s">
        <v>145</v>
      </c>
      <c r="D547" s="48" t="str" cm="1">
        <f t="array" ref="D547">VLOOKUP(B547,'Player Data'!A1:D673,4,FALSE)</f>
        <v>RW</v>
      </c>
      <c r="E547" s="64" cm="1">
        <f t="array" ref="E547">VLOOKUP(B547,RW!A1:F210,3,FALSE)</f>
        <v>147</v>
      </c>
      <c r="F547" s="50" t="str" cm="1">
        <f t="array" ref="F547">VLOOKUP(B547,'Player Data'!A1:B673,2,FALSE)</f>
        <v>ANA</v>
      </c>
      <c r="G547" s="11" cm="1">
        <f t="array" ref="G547">VLOOKUP(B547,'Player Data'!A1:D673,3,FALSE)</f>
        <v>29</v>
      </c>
      <c r="H547" s="51" cm="1">
        <f t="array" ref="H547">IFERROR(VLOOKUP(B547,ADP!A1:F671,6,FALSE)/1000000,VLOOKUP(B547,ADP!A1:F671,6,FALSE))</f>
        <v>7</v>
      </c>
      <c r="I547" s="52">
        <f>IF(Settings!$E$15="POINTS",((R547*Q547)*Settings!$B$12)+(S547*Settings!$B$2)+(T547*Settings!$B$3)+(U547*Settings!$B$4)+(V547*Settings!$B$5)+(X547*Settings!$B$9)+(AA547*Settings!$B$6)+(W547*Settings!$B$8)+(AB547*Settings!$B$7)+(AC547*Settings!$B$14)+(AD547*Settings!$B$15)+(AE547*Settings!$B$16)+(AF547*Settings!$B$17)+(AG547*Settings!$B$18)+(Y547*Settings!$B$10)+(Z547*Settings!$B$11),VLOOKUP(B547,'Standard Deviations'!A$1:C$672,3,FALSE))</f>
        <v>-1.3849612555042985</v>
      </c>
      <c r="J547" s="53" cm="1">
        <f t="array" ref="J547">IF(D547="G",I547/AJ547,I547/Q547)</f>
        <v>-2.6633870298159588E-2</v>
      </c>
      <c r="K547" s="52" cm="1">
        <f t="array" ref="K547">IF(Settings!$E$18="C/LW/RW",VLOOKUP(B547,RW!A1:F210,6,FALSE),VLOOKUP(B547,F!A1:F407,6,FALSE))</f>
        <v>-8.2721958573133758</v>
      </c>
      <c r="L547" s="54" cm="1">
        <f t="array" ref="L547">IFERROR(K547/H547,"N/A")</f>
        <v>-1.1817422653304823</v>
      </c>
      <c r="M547" s="84" t="s">
        <v>828</v>
      </c>
      <c r="N547" s="84" t="str" cm="1">
        <f t="array" ref="N547">IFERROR(M547-A547,"N/A")</f>
        <v>N/A</v>
      </c>
      <c r="O547" s="55"/>
      <c r="P547" s="56" cm="1">
        <f t="array" ref="P547">_xlfn.XLOOKUP($B547,ADP!A2:A671,ADP!G2:G671)</f>
        <v>0</v>
      </c>
      <c r="Q547" s="57" cm="1">
        <f t="array" ref="Q547">IF(Settings!$E$12="YES",VLOOKUP(B547,'Player Data'!A1:E673,5,FALSE),84)</f>
        <v>52</v>
      </c>
      <c r="R547" s="55" cm="1">
        <f t="array" ref="R547">VLOOKUP(B547,'Player Data'!$A1:$AE673,6,FALSE)</f>
        <v>18.5</v>
      </c>
      <c r="S547" s="57" cm="1">
        <f t="array" ref="S547">VLOOKUP(B547,'Player Data'!$A1:$AE673,7,FALSE)*$Q547*IFERROR((VLOOKUP(P547,Settings!$E$28:$F$33,2,FALSE)+1),1)</f>
        <v>15.6</v>
      </c>
      <c r="T547" s="57" cm="1">
        <f t="array" ref="T547">VLOOKUP(B547,'Player Data'!$A1:$AE673,8,FALSE)*$Q547*IFERROR((VLOOKUP(P547,Settings!$E$28:$F$33,2,FALSE)+1),1)</f>
        <v>27.04</v>
      </c>
      <c r="U547" s="57" cm="1">
        <f t="array" ref="U547">SUM(S547:T547)</f>
        <v>42.64</v>
      </c>
      <c r="V547" s="57" cm="1">
        <f t="array" ref="V547">VLOOKUP(B547,'Player Data'!$A1:$AE673,10,FALSE)*$Q547*IFERROR(((VLOOKUP(P547,Settings!$E$28:$F$33,2,FALSE)/2)+1),1)</f>
        <v>133.12</v>
      </c>
      <c r="W547" s="57" cm="1">
        <f t="array" ref="W547">VLOOKUP(B547,'Player Data'!$A1:$AE673,11,FALSE)*$Q547*IFERROR((VLOOKUP(P547,Settings!$E$28:$F$33,2,FALSE)+1),1)</f>
        <v>2.08</v>
      </c>
      <c r="X547" s="78" cm="1">
        <f t="array" ref="X547">VLOOKUP(B547,'Player Data'!$A1:$AE673,12,FALSE)*$Q547*IFERROR((VLOOKUP(P547,Settings!$E$28:$F$33,2,FALSE)+1),1)</f>
        <v>8.84</v>
      </c>
      <c r="Y547" s="57" cm="1">
        <f t="array" ref="Y547">VLOOKUP(B547,'Player Data'!$A1:$AE673,13,FALSE)*$Q547</f>
        <v>1.04</v>
      </c>
      <c r="Z547" s="57" cm="1">
        <f t="array" ref="Z547">VLOOKUP(B547,'Player Data'!$A1:$AE673,14,FALSE)*$Q547</f>
        <v>2.6</v>
      </c>
      <c r="AA547" s="57" cm="1">
        <f t="array" ref="AA547">VLOOKUP(B547,'Player Data'!$A1:$AE673,15,FALSE)*$Q547</f>
        <v>18.72</v>
      </c>
      <c r="AB547" s="57" cm="1">
        <f t="array" ref="AB547">VLOOKUP(B547,'Player Data'!$A1:$AE673,16,FALSE)*$Q547</f>
        <v>9.8800000000000008</v>
      </c>
      <c r="AC547" s="57" cm="1">
        <f t="array" ref="AC547">VLOOKUP(B547,'Player Data'!$A1:$AE673,17,FALSE)*$Q547*IFERROR((VLOOKUP(P547,Settings!$E$28:$F$33,2,FALSE)+1),1)</f>
        <v>-1.56</v>
      </c>
      <c r="AD547" s="57" cm="1">
        <f t="array" ref="AD547">VLOOKUP(B547,'Player Data'!$A1:$AE673,18,FALSE)*$Q547</f>
        <v>15.6</v>
      </c>
      <c r="AE547" s="57" cm="1">
        <f t="array" ref="AE547">VLOOKUP(B547,'Player Data'!$A1:$AE673,19,FALSE)*$Q547*IFERROR((VLOOKUP(P547,Settings!$E$28:$F$33,2,FALSE)+1),1)</f>
        <v>2.08</v>
      </c>
      <c r="AF547" s="57" cm="1">
        <f t="array" ref="AF547">VLOOKUP(B547,'Player Data'!$A1:$AE673,20,FALSE)*$Q547</f>
        <v>4.16</v>
      </c>
      <c r="AG547" s="57" cm="1">
        <f t="array" ref="AG547">VLOOKUP(B547,'Player Data'!$A1:$AE673,21,FALSE)*$Q547</f>
        <v>7.2800000000000011</v>
      </c>
      <c r="AH547" s="59" cm="1">
        <f t="array" ref="AH547">VLOOKUP(B547,'Player Data'!$A1:$AE673,22,FALSE)</f>
        <v>0.37</v>
      </c>
      <c r="AI547" s="55"/>
      <c r="AJ547" s="57"/>
      <c r="AK547" s="57"/>
      <c r="AL547" s="57"/>
      <c r="AM547" s="57"/>
      <c r="AN547" s="57"/>
      <c r="AO547" s="57"/>
      <c r="AP547" s="57"/>
      <c r="AQ547" s="60"/>
      <c r="AR547" s="61"/>
      <c r="AS547" s="55"/>
    </row>
    <row r="548" spans="1:45" ht="21.25" customHeight="1" x14ac:dyDescent="0.15">
      <c r="A548" s="62">
        <f>RANK(K548,K$2:K$671)</f>
        <v>545</v>
      </c>
      <c r="B548" s="10" t="s">
        <v>727</v>
      </c>
      <c r="C548" s="47" t="s">
        <v>145</v>
      </c>
      <c r="D548" s="48" t="str" cm="1">
        <f t="array" ref="D548">VLOOKUP(B548,'Player Data'!A1:D673,4,FALSE)</f>
        <v>RW</v>
      </c>
      <c r="E548" s="64" cm="1">
        <f t="array" ref="E548">VLOOKUP(B548,RW!A1:F210,3,FALSE)</f>
        <v>148</v>
      </c>
      <c r="F548" s="63" t="str" cm="1">
        <f t="array" ref="F548">VLOOKUP(B548,'Player Data'!A1:B673,2,FALSE)</f>
        <v>EDM</v>
      </c>
      <c r="G548" s="11" cm="1">
        <f t="array" ref="G548">VLOOKUP(B548,'Player Data'!A1:D673,3,FALSE)</f>
        <v>30</v>
      </c>
      <c r="H548" s="67" cm="1">
        <f t="array" ref="H548">IFERROR(VLOOKUP(B548,ADP!A1:F671,6,FALSE)/1000000,VLOOKUP(B548,ADP!A1:F671,6,FALSE))</f>
        <v>2.6</v>
      </c>
      <c r="I548" s="52">
        <f>IF(Settings!$E$15="POINTS",((R548*Q548)*Settings!$B$12)+(S548*Settings!$B$2)+(T548*Settings!$B$3)+(U548*Settings!$B$4)+(V548*Settings!$B$5)+(X548*Settings!$B$9)+(AA548*Settings!$B$6)+(W548*Settings!$B$8)+(AB548*Settings!$B$7)+(AC548*Settings!$B$14)+(AD548*Settings!$B$15)+(AE548*Settings!$B$16)+(AF548*Settings!$B$17)+(AG548*Settings!$B$18)+(Y548*Settings!$B$10)+(Z548*Settings!$B$11),VLOOKUP(B548,'Standard Deviations'!A$1:C$672,3,FALSE))</f>
        <v>-1.4501069590465332</v>
      </c>
      <c r="J548" s="53" cm="1">
        <f t="array" ref="J548">IF(D548="G",I548/AJ548,I548/Q548)</f>
        <v>-1.9596039987115312E-2</v>
      </c>
      <c r="K548" s="52" cm="1">
        <f t="array" ref="K548">IF(Settings!$E$18="C/LW/RW",VLOOKUP(B548,RW!A1:F210,6,FALSE),VLOOKUP(B548,F!A1:F407,6,FALSE))</f>
        <v>-8.3373415608556112</v>
      </c>
      <c r="L548" s="54" cm="1">
        <f t="array" ref="L548">IFERROR(K548/H548,"N/A")</f>
        <v>-3.2066698310983117</v>
      </c>
      <c r="M548" s="84" t="s">
        <v>828</v>
      </c>
      <c r="N548" s="84" t="str" cm="1">
        <f t="array" ref="N548">IFERROR(M548-A548,"N/A")</f>
        <v>N/A</v>
      </c>
      <c r="O548" s="55"/>
      <c r="P548" s="56" cm="1">
        <f t="array" ref="P548">_xlfn.XLOOKUP($B548,ADP!A2:A671,ADP!G2:G671)</f>
        <v>0</v>
      </c>
      <c r="Q548" s="57" cm="1">
        <f t="array" ref="Q548">IF(Settings!$E$12="YES",VLOOKUP(B548,'Player Data'!A1:E673,5,FALSE),84)</f>
        <v>74</v>
      </c>
      <c r="R548" s="83" cm="1">
        <f t="array" ref="R548">VLOOKUP(B548,'Player Data'!$A1:$AE673,6,FALSE)</f>
        <v>12</v>
      </c>
      <c r="S548" s="57" cm="1">
        <f t="array" ref="S548">VLOOKUP(B548,'Player Data'!$A1:$AE673,7,FALSE)*$Q548*IFERROR((VLOOKUP(P548,Settings!$E$28:$F$33,2,FALSE)+1),1)</f>
        <v>9.620000000000001</v>
      </c>
      <c r="T548" s="57" cm="1">
        <f t="array" ref="T548">VLOOKUP(B548,'Player Data'!$A1:$AE673,8,FALSE)*$Q548*IFERROR((VLOOKUP(P548,Settings!$E$28:$F$33,2,FALSE)+1),1)</f>
        <v>13.32</v>
      </c>
      <c r="U548" s="57" cm="1">
        <f t="array" ref="U548">SUM(S548:T548)</f>
        <v>22.94</v>
      </c>
      <c r="V548" s="57" cm="1">
        <f t="array" ref="V548">VLOOKUP(B548,'Player Data'!$A1:$AE673,10,FALSE)*$Q548*IFERROR(((VLOOKUP(P548,Settings!$E$28:$F$33,2,FALSE)/2)+1),1)</f>
        <v>96.2</v>
      </c>
      <c r="W548" s="57" cm="1">
        <f t="array" ref="W548">VLOOKUP(B548,'Player Data'!$A1:$AE673,11,FALSE)*$Q548*IFERROR((VLOOKUP(P548,Settings!$E$28:$F$33,2,FALSE)+1),1)</f>
        <v>0</v>
      </c>
      <c r="X548" s="57" cm="1">
        <f t="array" ref="X548">VLOOKUP(B548,'Player Data'!$A1:$AE673,12,FALSE)*$Q548*IFERROR((VLOOKUP(P548,Settings!$E$28:$F$33,2,FALSE)+1),1)</f>
        <v>0.74</v>
      </c>
      <c r="Y548" s="57" cm="1">
        <f t="array" ref="Y548">VLOOKUP(B548,'Player Data'!$A1:$AE673,13,FALSE)*$Q548</f>
        <v>0</v>
      </c>
      <c r="Z548" s="57" cm="1">
        <f t="array" ref="Z548">VLOOKUP(B548,'Player Data'!$A1:$AE673,14,FALSE)*$Q548</f>
        <v>0.74</v>
      </c>
      <c r="AA548" s="57" cm="1">
        <f t="array" ref="AA548">VLOOKUP(B548,'Player Data'!$A1:$AE673,15,FALSE)*$Q548</f>
        <v>26.64</v>
      </c>
      <c r="AB548" s="57" cm="1">
        <f t="array" ref="AB548">VLOOKUP(B548,'Player Data'!$A1:$AE673,16,FALSE)*$Q548</f>
        <v>105.82</v>
      </c>
      <c r="AC548" s="57" cm="1">
        <f t="array" ref="AC548">VLOOKUP(B548,'Player Data'!$A1:$AE673,17,FALSE)*$Q548*IFERROR((VLOOKUP(P548,Settings!$E$28:$F$33,2,FALSE)+1),1)</f>
        <v>2.96</v>
      </c>
      <c r="AD548" s="57" cm="1">
        <f t="array" ref="AD548">VLOOKUP(B548,'Player Data'!$A1:$AE673,18,FALSE)*$Q548</f>
        <v>18.5</v>
      </c>
      <c r="AE548" s="57" cm="1">
        <f t="array" ref="AE548">VLOOKUP(B548,'Player Data'!$A1:$AE673,19,FALSE)*$Q548*IFERROR((VLOOKUP(P548,Settings!$E$28:$F$33,2,FALSE)+1),1)</f>
        <v>1.48</v>
      </c>
      <c r="AF548" s="57" cm="1">
        <f t="array" ref="AF548">VLOOKUP(B548,'Player Data'!$A1:$AE673,20,FALSE)*$Q548</f>
        <v>7.4</v>
      </c>
      <c r="AG548" s="57" cm="1">
        <f t="array" ref="AG548">VLOOKUP(B548,'Player Data'!$A1:$AE673,21,FALSE)*$Q548</f>
        <v>20.720000000000002</v>
      </c>
      <c r="AH548" s="59" cm="1">
        <f t="array" ref="AH548">VLOOKUP(B548,'Player Data'!$A1:$AE673,22,FALSE)</f>
        <v>0.26</v>
      </c>
      <c r="AI548" s="55"/>
      <c r="AJ548" s="57"/>
      <c r="AK548" s="57"/>
      <c r="AL548" s="57"/>
      <c r="AM548" s="57"/>
      <c r="AN548" s="57"/>
      <c r="AO548" s="57"/>
      <c r="AP548" s="57"/>
      <c r="AQ548" s="60"/>
      <c r="AR548" s="61"/>
      <c r="AS548" s="55"/>
    </row>
    <row r="549" spans="1:45" ht="21.25" customHeight="1" x14ac:dyDescent="0.15">
      <c r="A549" s="62">
        <f>RANK(K549,K$2:K$671)</f>
        <v>546</v>
      </c>
      <c r="B549" s="10" t="s">
        <v>570</v>
      </c>
      <c r="C549" s="47" t="s">
        <v>145</v>
      </c>
      <c r="D549" s="48" t="str" cm="1">
        <f t="array" ref="D549">VLOOKUP(B549,'Player Data'!A1:D673,4,FALSE)</f>
        <v>C,LW</v>
      </c>
      <c r="E549" s="74" cm="1">
        <f t="array" ref="E549">VLOOKUP(B549,LW!A1:C210,3,FALSE)</f>
        <v>151</v>
      </c>
      <c r="F549" s="72" t="str" cm="1">
        <f t="array" ref="F549">VLOOKUP(B549,'Player Data'!A1:B673,2,FALSE)</f>
        <v>BOS</v>
      </c>
      <c r="G549" s="11" cm="1">
        <f t="array" ref="G549">VLOOKUP(B549,'Player Data'!A1:D673,3,FALSE)</f>
        <v>27</v>
      </c>
      <c r="H549" s="67" cm="1">
        <f t="array" ref="H549">IFERROR(VLOOKUP(B549,ADP!A1:F671,6,FALSE)/1000000,VLOOKUP(B549,ADP!A1:F671,6,FALSE))</f>
        <v>5.75</v>
      </c>
      <c r="I549" s="52">
        <f>IF(Settings!$E$15="POINTS",((R549*Q549)*Settings!$B$12)+(S549*Settings!$B$2)+(T549*Settings!$B$3)+(U549*Settings!$B$4)+(V549*Settings!$B$5)+(X549*Settings!$B$9)+(AA549*Settings!$B$6)+(W549*Settings!$B$8)+(AB549*Settings!$B$7)+(AC549*Settings!$B$14)+(AD549*Settings!$B$15)+(AE549*Settings!$B$16)+(AF549*Settings!$B$17)+(AG549*Settings!$B$18)+(Y549*Settings!$B$10)+(Z549*Settings!$B$11),VLOOKUP(B549,'Standard Deviations'!A$1:C$672,3,FALSE))</f>
        <v>-1.5396413667959146</v>
      </c>
      <c r="J549" s="53" cm="1">
        <f t="array" ref="J549">IF(D549="G",I549/AJ549,I549/Q549)</f>
        <v>-1.8776114229218471E-2</v>
      </c>
      <c r="K549" s="52" cm="1">
        <f t="array" ref="K549">IF(Settings!$E$18="C/LW/RW",VLOOKUP(B549,LW!A1:F210,6,FALSE),VLOOKUP(B549,F!A1:F407,6,FALSE))</f>
        <v>-8.4340270111857247</v>
      </c>
      <c r="L549" s="54" cm="1">
        <f t="array" ref="L549">IFERROR(K549/H549,"N/A")</f>
        <v>-1.4667873062931696</v>
      </c>
      <c r="M549" s="84" t="s">
        <v>828</v>
      </c>
      <c r="N549" s="84" t="str" cm="1">
        <f t="array" ref="N549">IFERROR(M549-A549,"N/A")</f>
        <v>N/A</v>
      </c>
      <c r="O549" s="55"/>
      <c r="P549" s="56" cm="1">
        <f t="array" ref="P549">_xlfn.XLOOKUP($B549,ADP!A2:A671,ADP!G2:G671)</f>
        <v>0</v>
      </c>
      <c r="Q549" s="57" cm="1">
        <f t="array" ref="Q549">IF(Settings!$E$12="YES",VLOOKUP(B549,'Player Data'!A1:E673,5,FALSE),84)</f>
        <v>82</v>
      </c>
      <c r="R549" s="55" cm="1">
        <f t="array" ref="R549">VLOOKUP(B549,'Player Data'!$A1:$AE673,6,FALSE)</f>
        <v>15.1</v>
      </c>
      <c r="S549" s="57" cm="1">
        <f t="array" ref="S549">VLOOKUP(B549,'Player Data'!$A1:$AE673,7,FALSE)*$Q549*IFERROR((VLOOKUP(P549,Settings!$E$28:$F$33,2,FALSE)+1),1)</f>
        <v>15.58</v>
      </c>
      <c r="T549" s="57" cm="1">
        <f t="array" ref="T549">VLOOKUP(B549,'Player Data'!$A1:$AE673,8,FALSE)*$Q549*IFERROR((VLOOKUP(P549,Settings!$E$28:$F$33,2,FALSE)+1),1)</f>
        <v>27.880000000000003</v>
      </c>
      <c r="U549" s="57" cm="1">
        <f t="array" ref="U549">SUM(S549:T549)</f>
        <v>43.46</v>
      </c>
      <c r="V549" s="57" cm="1">
        <f t="array" ref="V549">VLOOKUP(B549,'Player Data'!$A1:$AE673,10,FALSE)*$Q549*IFERROR(((VLOOKUP(P549,Settings!$E$28:$F$33,2,FALSE)/2)+1),1)</f>
        <v>98.399999999999991</v>
      </c>
      <c r="W549" s="57" cm="1">
        <f t="array" ref="W549">VLOOKUP(B549,'Player Data'!$A1:$AE673,11,FALSE)*$Q549*IFERROR((VLOOKUP(P549,Settings!$E$28:$F$33,2,FALSE)+1),1)</f>
        <v>2.46</v>
      </c>
      <c r="X549" s="57" cm="1">
        <f t="array" ref="X549">VLOOKUP(B549,'Player Data'!$A1:$AE673,12,FALSE)*$Q549*IFERROR((VLOOKUP(P549,Settings!$E$28:$F$33,2,FALSE)+1),1)</f>
        <v>8.2000000000000011</v>
      </c>
      <c r="Y549" s="57" cm="1">
        <f t="array" ref="Y549">VLOOKUP(B549,'Player Data'!$A1:$AE673,13,FALSE)*$Q549</f>
        <v>0</v>
      </c>
      <c r="Z549" s="57" cm="1">
        <f t="array" ref="Z549">VLOOKUP(B549,'Player Data'!$A1:$AE673,14,FALSE)*$Q549</f>
        <v>0</v>
      </c>
      <c r="AA549" s="57" cm="1">
        <f t="array" ref="AA549">VLOOKUP(B549,'Player Data'!$A1:$AE673,15,FALSE)*$Q549</f>
        <v>28.7</v>
      </c>
      <c r="AB549" s="57" cm="1">
        <f t="array" ref="AB549">VLOOKUP(B549,'Player Data'!$A1:$AE673,16,FALSE)*$Q549</f>
        <v>32.800000000000004</v>
      </c>
      <c r="AC549" s="57" cm="1">
        <f t="array" ref="AC549">VLOOKUP(B549,'Player Data'!$A1:$AE673,17,FALSE)*$Q549*IFERROR((VLOOKUP(P549,Settings!$E$28:$F$33,2,FALSE)+1),1)</f>
        <v>-1.6400000000000001</v>
      </c>
      <c r="AD549" s="57" cm="1">
        <f t="array" ref="AD549">VLOOKUP(B549,'Player Data'!$A1:$AE673,18,FALSE)*$Q549</f>
        <v>22.14</v>
      </c>
      <c r="AE549" s="57" cm="1">
        <f t="array" ref="AE549">VLOOKUP(B549,'Player Data'!$A1:$AE673,19,FALSE)*$Q549*IFERROR((VLOOKUP(P549,Settings!$E$28:$F$33,2,FALSE)+1),1)</f>
        <v>2.46</v>
      </c>
      <c r="AF549" s="57" cm="1">
        <f t="array" ref="AF549">VLOOKUP(B549,'Player Data'!$A1:$AE673,20,FALSE)*$Q549</f>
        <v>218.12</v>
      </c>
      <c r="AG549" s="57" cm="1">
        <f t="array" ref="AG549">VLOOKUP(B549,'Player Data'!$A1:$AE673,21,FALSE)*$Q549</f>
        <v>248.45999999999998</v>
      </c>
      <c r="AH549" s="59" cm="1">
        <f t="array" ref="AH549">VLOOKUP(B549,'Player Data'!$A1:$AE673,22,FALSE)</f>
        <v>0.47</v>
      </c>
      <c r="AI549" s="55"/>
      <c r="AJ549" s="57"/>
      <c r="AK549" s="57"/>
      <c r="AL549" s="57"/>
      <c r="AM549" s="57"/>
      <c r="AN549" s="57"/>
      <c r="AO549" s="57"/>
      <c r="AP549" s="57"/>
      <c r="AQ549" s="60"/>
      <c r="AR549" s="61"/>
      <c r="AS549" s="55"/>
    </row>
    <row r="550" spans="1:45" ht="21.25" customHeight="1" x14ac:dyDescent="0.15">
      <c r="A550" s="62">
        <f>RANK(K550,K$2:K$671)</f>
        <v>550</v>
      </c>
      <c r="B550" s="10" t="s">
        <v>751</v>
      </c>
      <c r="C550" s="47" t="s">
        <v>145</v>
      </c>
      <c r="D550" s="48" t="str" cm="1">
        <f t="array" ref="D550">VLOOKUP(B550,'Player Data'!A1:D673,4,FALSE)</f>
        <v>LW</v>
      </c>
      <c r="E550" s="75" cm="1">
        <f t="array" ref="E550">VLOOKUP(B550,LW!A1:C210,3,FALSE)</f>
        <v>153</v>
      </c>
      <c r="F550" s="18" t="str" cm="1">
        <f t="array" ref="F550">VLOOKUP(B550,'Player Data'!A1:B673,2,FALSE)</f>
        <v>OTT</v>
      </c>
      <c r="G550" s="66" cm="1">
        <f t="array" ref="G550">VLOOKUP(B550,'Player Data'!A1:D673,3,FALSE)</f>
        <v>33</v>
      </c>
      <c r="H550" s="51" cm="1">
        <f t="array" ref="H550">IFERROR(VLOOKUP(B550,ADP!A1:F671,6,FALSE)/1000000,VLOOKUP(B550,ADP!A1:F671,6,FALSE))</f>
        <v>1.5874999999999999</v>
      </c>
      <c r="I550" s="52">
        <f>IF(Settings!$E$15="POINTS",((R550*Q550)*Settings!$B$12)+(S550*Settings!$B$2)+(T550*Settings!$B$3)+(U550*Settings!$B$4)+(V550*Settings!$B$5)+(X550*Settings!$B$9)+(AA550*Settings!$B$6)+(W550*Settings!$B$8)+(AB550*Settings!$B$7)+(AC550*Settings!$B$14)+(AD550*Settings!$B$15)+(AE550*Settings!$B$16)+(AF550*Settings!$B$17)+(AG550*Settings!$B$18)+(Y550*Settings!$B$10)+(Z550*Settings!$B$11),VLOOKUP(B550,'Standard Deviations'!A$1:C$672,3,FALSE))</f>
        <v>-1.5589041044680725</v>
      </c>
      <c r="J550" s="53" cm="1">
        <f t="array" ref="J550">IF(D550="G",I550/AJ550,I550/Q550)</f>
        <v>-1.9985950057282979E-2</v>
      </c>
      <c r="K550" s="52" cm="1">
        <f t="array" ref="K550">IF(Settings!$E$18="C/LW/RW",VLOOKUP(B550,LW!A1:F210,6,FALSE),VLOOKUP(B550,F!A1:F407,6,FALSE))</f>
        <v>-8.4532897488578822</v>
      </c>
      <c r="L550" s="54" cm="1">
        <f t="array" ref="L550">IFERROR(K550/H550,"N/A")</f>
        <v>-5.3249069284144142</v>
      </c>
      <c r="M550" s="84" t="s">
        <v>828</v>
      </c>
      <c r="N550" s="84" t="str" cm="1">
        <f t="array" ref="N550">IFERROR(M550-A550,"N/A")</f>
        <v>N/A</v>
      </c>
      <c r="O550" s="55"/>
      <c r="P550" s="56" cm="1">
        <f t="array" ref="P550">_xlfn.XLOOKUP($B550,ADP!A2:A671,ADP!G2:G671)</f>
        <v>0</v>
      </c>
      <c r="Q550" s="57" cm="1">
        <f t="array" ref="Q550">IF(Settings!$E$12="YES",VLOOKUP(B550,'Player Data'!A1:E673,5,FALSE),84)</f>
        <v>78</v>
      </c>
      <c r="R550" s="55" cm="1">
        <f t="array" ref="R550">VLOOKUP(B550,'Player Data'!$A1:$AE673,6,FALSE)</f>
        <v>10.9</v>
      </c>
      <c r="S550" s="57" cm="1">
        <f t="array" ref="S550">VLOOKUP(B550,'Player Data'!$A1:$AE673,7,FALSE)*$Q550*IFERROR((VLOOKUP(P550,Settings!$E$28:$F$33,2,FALSE)+1),1)</f>
        <v>7.02</v>
      </c>
      <c r="T550" s="57" cm="1">
        <f t="array" ref="T550">VLOOKUP(B550,'Player Data'!$A1:$AE673,8,FALSE)*$Q550*IFERROR((VLOOKUP(P550,Settings!$E$28:$F$33,2,FALSE)+1),1)</f>
        <v>10.920000000000002</v>
      </c>
      <c r="U550" s="57" cm="1">
        <f t="array" ref="U550">SUM(S550:T550)</f>
        <v>17.940000000000001</v>
      </c>
      <c r="V550" s="57" cm="1">
        <f t="array" ref="V550">VLOOKUP(B550,'Player Data'!$A1:$AE673,10,FALSE)*$Q550*IFERROR(((VLOOKUP(P550,Settings!$E$28:$F$33,2,FALSE)/2)+1),1)</f>
        <v>81.12</v>
      </c>
      <c r="W550" s="57" cm="1">
        <f t="array" ref="W550">VLOOKUP(B550,'Player Data'!$A1:$AE673,11,FALSE)*$Q550*IFERROR((VLOOKUP(P550,Settings!$E$28:$F$33,2,FALSE)+1),1)</f>
        <v>0</v>
      </c>
      <c r="X550" s="57" cm="1">
        <f t="array" ref="X550">VLOOKUP(B550,'Player Data'!$A1:$AE673,12,FALSE)*$Q550*IFERROR((VLOOKUP(P550,Settings!$E$28:$F$33,2,FALSE)+1),1)</f>
        <v>0</v>
      </c>
      <c r="Y550" s="57" cm="1">
        <f t="array" ref="Y550">VLOOKUP(B550,'Player Data'!$A1:$AE673,13,FALSE)*$Q550</f>
        <v>0</v>
      </c>
      <c r="Z550" s="57" cm="1">
        <f t="array" ref="Z550">VLOOKUP(B550,'Player Data'!$A1:$AE673,14,FALSE)*$Q550</f>
        <v>0</v>
      </c>
      <c r="AA550" s="57" cm="1">
        <f t="array" ref="AA550">VLOOKUP(B550,'Player Data'!$A1:$AE673,15,FALSE)*$Q550</f>
        <v>36.659999999999997</v>
      </c>
      <c r="AB550" s="57" cm="1">
        <f t="array" ref="AB550">VLOOKUP(B550,'Player Data'!$A1:$AE673,16,FALSE)*$Q550</f>
        <v>144.30000000000001</v>
      </c>
      <c r="AC550" s="57" cm="1">
        <f t="array" ref="AC550">VLOOKUP(B550,'Player Data'!$A1:$AE673,17,FALSE)*$Q550*IFERROR((VLOOKUP(P550,Settings!$E$28:$F$33,2,FALSE)+1),1)</f>
        <v>2.34</v>
      </c>
      <c r="AD550" s="57" cm="1">
        <f t="array" ref="AD550">VLOOKUP(B550,'Player Data'!$A1:$AE673,18,FALSE)*$Q550</f>
        <v>44.459999999999994</v>
      </c>
      <c r="AE550" s="57" cm="1">
        <f t="array" ref="AE550">VLOOKUP(B550,'Player Data'!$A1:$AE673,19,FALSE)*$Q550*IFERROR((VLOOKUP(P550,Settings!$E$28:$F$33,2,FALSE)+1),1)</f>
        <v>1.56</v>
      </c>
      <c r="AF550" s="57" cm="1">
        <f t="array" ref="AF550">VLOOKUP(B550,'Player Data'!$A1:$AE673,20,FALSE)*$Q550</f>
        <v>10.14</v>
      </c>
      <c r="AG550" s="57" cm="1">
        <f t="array" ref="AG550">VLOOKUP(B550,'Player Data'!$A1:$AE673,21,FALSE)*$Q550</f>
        <v>14.82</v>
      </c>
      <c r="AH550" s="59" cm="1">
        <f t="array" ref="AH550">VLOOKUP(B550,'Player Data'!$A1:$AE673,22,FALSE)</f>
        <v>0.4</v>
      </c>
      <c r="AI550" s="55"/>
      <c r="AJ550" s="57"/>
      <c r="AK550" s="57"/>
      <c r="AL550" s="57"/>
      <c r="AM550" s="57"/>
      <c r="AN550" s="57"/>
      <c r="AO550" s="57"/>
      <c r="AP550" s="57"/>
      <c r="AQ550" s="60"/>
      <c r="AR550" s="61"/>
      <c r="AS550" s="55"/>
    </row>
    <row r="551" spans="1:45" ht="21.25" customHeight="1" x14ac:dyDescent="0.15">
      <c r="A551" s="62">
        <f>RANK(K551,K$2:K$671)</f>
        <v>547</v>
      </c>
      <c r="B551" s="10" t="s">
        <v>460</v>
      </c>
      <c r="C551" s="47" t="s">
        <v>145</v>
      </c>
      <c r="D551" s="48" t="str" cm="1">
        <f t="array" ref="D551">VLOOKUP(B551,'Player Data'!A1:D673,4,FALSE)</f>
        <v>LW,RW</v>
      </c>
      <c r="E551" s="74" cm="1">
        <f t="array" ref="E551">VLOOKUP(B551,RW!A1:F210,3,FALSE)</f>
        <v>149</v>
      </c>
      <c r="F551" s="72" t="str" cm="1">
        <f t="array" ref="F551">VLOOKUP(B551,'Player Data'!A1:B673,2,FALSE)</f>
        <v>NYI</v>
      </c>
      <c r="G551" s="11" cm="1">
        <f t="array" ref="G551">VLOOKUP(B551,'Player Data'!A1:D673,3,FALSE)</f>
        <v>25</v>
      </c>
      <c r="H551" s="67" cm="1">
        <f t="array" ref="H551">IFERROR(VLOOKUP(B551,ADP!A1:F671,6,FALSE)/1000000,VLOOKUP(B551,ADP!A1:F671,6,FALSE))</f>
        <v>3.625</v>
      </c>
      <c r="I551" s="52">
        <f>IF(Settings!$E$15="POINTS",((R551*Q551)*Settings!$B$12)+(S551*Settings!$B$2)+(T551*Settings!$B$3)+(U551*Settings!$B$4)+(V551*Settings!$B$5)+(X551*Settings!$B$9)+(AA551*Settings!$B$6)+(W551*Settings!$B$8)+(AB551*Settings!$B$7)+(AC551*Settings!$B$14)+(AD551*Settings!$B$15)+(AE551*Settings!$B$16)+(AF551*Settings!$B$17)+(AG551*Settings!$B$18)+(Y551*Settings!$B$10)+(Z551*Settings!$B$11),VLOOKUP(B551,'Standard Deviations'!A$1:C$672,3,FALSE))</f>
        <v>-1.5582882553853754</v>
      </c>
      <c r="J551" s="53" cm="1">
        <f t="array" ref="J551">IF(D551="G",I551/AJ551,I551/Q551)</f>
        <v>-1.9003515309577747E-2</v>
      </c>
      <c r="K551" s="52" cm="1">
        <f t="array" ref="K551">IF(Settings!$E$18="C/LW/RW",VLOOKUP(B551,RW!A1:F210,6,FALSE),VLOOKUP(B551,F!A1:F407,6,FALSE))</f>
        <v>-8.4455228571944527</v>
      </c>
      <c r="L551" s="54" cm="1">
        <f t="array" ref="L551">IFERROR(K551/H551,"N/A")</f>
        <v>-2.3297994088812284</v>
      </c>
      <c r="M551" s="84" t="s">
        <v>828</v>
      </c>
      <c r="N551" s="84" t="str" cm="1">
        <f t="array" ref="N551">IFERROR(M551-A551,"N/A")</f>
        <v>N/A</v>
      </c>
      <c r="O551" s="55"/>
      <c r="P551" s="56" cm="1">
        <f t="array" ref="P551">_xlfn.XLOOKUP($B551,ADP!A2:A671,ADP!G2:G671)</f>
        <v>0</v>
      </c>
      <c r="Q551" s="57" cm="1">
        <f t="array" ref="Q551">IF(Settings!$E$12="YES",VLOOKUP(B551,'Player Data'!A1:E673,5,FALSE),84)</f>
        <v>82</v>
      </c>
      <c r="R551" s="55" cm="1">
        <f t="array" ref="R551">VLOOKUP(B551,'Player Data'!$A1:$AE673,6,FALSE)</f>
        <v>17.600000000000001</v>
      </c>
      <c r="S551" s="57" cm="1">
        <f t="array" ref="S551">VLOOKUP(B551,'Player Data'!$A1:$AE673,7,FALSE)*$Q551*IFERROR((VLOOKUP(P551,Settings!$E$28:$F$33,2,FALSE)+1),1)</f>
        <v>22.14</v>
      </c>
      <c r="T551" s="57" cm="1">
        <f t="array" ref="T551">VLOOKUP(B551,'Player Data'!$A1:$AE673,8,FALSE)*$Q551*IFERROR((VLOOKUP(P551,Settings!$E$28:$F$33,2,FALSE)+1),1)</f>
        <v>25.419999999999998</v>
      </c>
      <c r="U551" s="57" cm="1">
        <f t="array" ref="U551">SUM(S551:T551)</f>
        <v>47.56</v>
      </c>
      <c r="V551" s="57" cm="1">
        <f t="array" ref="V551">VLOOKUP(B551,'Player Data'!$A1:$AE673,10,FALSE)*$Q551*IFERROR(((VLOOKUP(P551,Settings!$E$28:$F$33,2,FALSE)/2)+1),1)</f>
        <v>113.97999999999999</v>
      </c>
      <c r="W551" s="57" cm="1">
        <f t="array" ref="W551">VLOOKUP(B551,'Player Data'!$A1:$AE673,11,FALSE)*$Q551*IFERROR((VLOOKUP(P551,Settings!$E$28:$F$33,2,FALSE)+1),1)</f>
        <v>1.6400000000000001</v>
      </c>
      <c r="X551" s="57" cm="1">
        <f t="array" ref="X551">VLOOKUP(B551,'Player Data'!$A1:$AE673,12,FALSE)*$Q551*IFERROR((VLOOKUP(P551,Settings!$E$28:$F$33,2,FALSE)+1),1)</f>
        <v>4.92</v>
      </c>
      <c r="Y551" s="57" cm="1">
        <f t="array" ref="Y551">VLOOKUP(B551,'Player Data'!$A1:$AE673,13,FALSE)*$Q551</f>
        <v>2.46</v>
      </c>
      <c r="Z551" s="57" cm="1">
        <f t="array" ref="Z551">VLOOKUP(B551,'Player Data'!$A1:$AE673,14,FALSE)*$Q551</f>
        <v>5.74</v>
      </c>
      <c r="AA551" s="57" cm="1">
        <f t="array" ref="AA551">VLOOKUP(B551,'Player Data'!$A1:$AE673,15,FALSE)*$Q551</f>
        <v>53.300000000000004</v>
      </c>
      <c r="AB551" s="57" cm="1">
        <f t="array" ref="AB551">VLOOKUP(B551,'Player Data'!$A1:$AE673,16,FALSE)*$Q551</f>
        <v>28.7</v>
      </c>
      <c r="AC551" s="57" cm="1">
        <f t="array" ref="AC551">VLOOKUP(B551,'Player Data'!$A1:$AE673,17,FALSE)*$Q551*IFERROR((VLOOKUP(P551,Settings!$E$28:$F$33,2,FALSE)+1),1)</f>
        <v>-3.2800000000000002</v>
      </c>
      <c r="AD551" s="57" cm="1">
        <f t="array" ref="AD551">VLOOKUP(B551,'Player Data'!$A1:$AE673,18,FALSE)*$Q551</f>
        <v>19.68</v>
      </c>
      <c r="AE551" s="57" cm="1">
        <f t="array" ref="AE551">VLOOKUP(B551,'Player Data'!$A1:$AE673,19,FALSE)*$Q551*IFERROR((VLOOKUP(P551,Settings!$E$28:$F$33,2,FALSE)+1),1)</f>
        <v>3.2800000000000002</v>
      </c>
      <c r="AF551" s="57" cm="1">
        <f t="array" ref="AF551">VLOOKUP(B551,'Player Data'!$A1:$AE673,20,FALSE)*$Q551</f>
        <v>4.1000000000000005</v>
      </c>
      <c r="AG551" s="57" cm="1">
        <f t="array" ref="AG551">VLOOKUP(B551,'Player Data'!$A1:$AE673,21,FALSE)*$Q551</f>
        <v>13.120000000000001</v>
      </c>
      <c r="AH551" s="59" cm="1">
        <f t="array" ref="AH551">VLOOKUP(B551,'Player Data'!$A1:$AE673,22,FALSE)</f>
        <v>0.24</v>
      </c>
      <c r="AI551" s="55"/>
      <c r="AJ551" s="57"/>
      <c r="AK551" s="57"/>
      <c r="AL551" s="57"/>
      <c r="AM551" s="57"/>
      <c r="AN551" s="57"/>
      <c r="AO551" s="57"/>
      <c r="AP551" s="57"/>
      <c r="AQ551" s="60"/>
      <c r="AR551" s="61"/>
      <c r="AS551" s="55"/>
    </row>
    <row r="552" spans="1:45" ht="21.25" customHeight="1" x14ac:dyDescent="0.15">
      <c r="A552" s="62">
        <f>RANK(K552,K$2:K$671)</f>
        <v>548</v>
      </c>
      <c r="B552" s="10" t="s">
        <v>654</v>
      </c>
      <c r="C552" s="47" t="s">
        <v>145</v>
      </c>
      <c r="D552" s="48" t="str" cm="1">
        <f t="array" ref="D552">VLOOKUP(B552,'Player Data'!A1:D673,4,FALSE)</f>
        <v>RW</v>
      </c>
      <c r="E552" s="64" cm="1">
        <f t="array" ref="E552">VLOOKUP(B552,RW!A1:F210,3,FALSE)</f>
        <v>150</v>
      </c>
      <c r="F552" s="72" t="str" cm="1">
        <f t="array" ref="F552">VLOOKUP(B552,'Player Data'!A1:B673,2,FALSE)</f>
        <v>PIT</v>
      </c>
      <c r="G552" s="11" cm="1">
        <f t="array" ref="G552">VLOOKUP(B552,'Player Data'!A1:D673,3,FALSE)</f>
        <v>28</v>
      </c>
      <c r="H552" s="67" cm="1">
        <f t="array" ref="H552">IFERROR(VLOOKUP(B552,ADP!A1:F671,6,FALSE)/1000000,VLOOKUP(B552,ADP!A1:F671,6,FALSE))</f>
        <v>1.5</v>
      </c>
      <c r="I552" s="52">
        <f>IF(Settings!$E$15="POINTS",((R552*Q552)*Settings!$B$12)+(S552*Settings!$B$2)+(T552*Settings!$B$3)+(U552*Settings!$B$4)+(V552*Settings!$B$5)+(X552*Settings!$B$9)+(AA552*Settings!$B$6)+(W552*Settings!$B$8)+(AB552*Settings!$B$7)+(AC552*Settings!$B$14)+(AD552*Settings!$B$15)+(AE552*Settings!$B$16)+(AF552*Settings!$B$17)+(AG552*Settings!$B$18)+(Y552*Settings!$B$10)+(Z552*Settings!$B$11),VLOOKUP(B552,'Standard Deviations'!A$1:C$672,3,FALSE))</f>
        <v>-1.5587072618623365</v>
      </c>
      <c r="J552" s="53" cm="1">
        <f t="array" ref="J552">IF(D552="G",I552/AJ552,I552/Q552)</f>
        <v>-2.0242951452757618E-2</v>
      </c>
      <c r="K552" s="52" cm="1">
        <f t="array" ref="K552">IF(Settings!$E$18="C/LW/RW",VLOOKUP(B552,RW!A1:F210,6,FALSE),VLOOKUP(B552,F!A1:F407,6,FALSE))</f>
        <v>-8.4459418636714148</v>
      </c>
      <c r="L552" s="54" cm="1">
        <f t="array" ref="L552">IFERROR(K552/H552,"N/A")</f>
        <v>-5.6306279091142768</v>
      </c>
      <c r="M552" s="84" t="s">
        <v>828</v>
      </c>
      <c r="N552" s="84" t="str" cm="1">
        <f t="array" ref="N552">IFERROR(M552-A552,"N/A")</f>
        <v>N/A</v>
      </c>
      <c r="O552" s="55"/>
      <c r="P552" s="56" cm="1">
        <f t="array" ref="P552">_xlfn.XLOOKUP($B552,ADP!A2:A671,ADP!G2:G671)</f>
        <v>0</v>
      </c>
      <c r="Q552" s="57" cm="1">
        <f t="array" ref="Q552">IF(Settings!$E$12="YES",VLOOKUP(B552,'Player Data'!A1:E673,5,FALSE),84)</f>
        <v>77</v>
      </c>
      <c r="R552" s="83" cm="1">
        <f t="array" ref="R552">VLOOKUP(B552,'Player Data'!$A1:$AE673,6,FALSE)</f>
        <v>11.6</v>
      </c>
      <c r="S552" s="57" cm="1">
        <f t="array" ref="S552">VLOOKUP(B552,'Player Data'!$A1:$AE673,7,FALSE)*$Q552*IFERROR((VLOOKUP(P552,Settings!$E$28:$F$33,2,FALSE)+1),1)</f>
        <v>12.32</v>
      </c>
      <c r="T552" s="57" cm="1">
        <f t="array" ref="T552">VLOOKUP(B552,'Player Data'!$A1:$AE673,8,FALSE)*$Q552*IFERROR((VLOOKUP(P552,Settings!$E$28:$F$33,2,FALSE)+1),1)</f>
        <v>13.86</v>
      </c>
      <c r="U552" s="57" cm="1">
        <f t="array" ref="U552">SUM(S552:T552)</f>
        <v>26.18</v>
      </c>
      <c r="V552" s="57" cm="1">
        <f t="array" ref="V552">VLOOKUP(B552,'Player Data'!$A1:$AE673,10,FALSE)*$Q552*IFERROR(((VLOOKUP(P552,Settings!$E$28:$F$33,2,FALSE)/2)+1),1)</f>
        <v>98.56</v>
      </c>
      <c r="W552" s="57" cm="1">
        <f t="array" ref="W552">VLOOKUP(B552,'Player Data'!$A1:$AE673,11,FALSE)*$Q552*IFERROR((VLOOKUP(P552,Settings!$E$28:$F$33,2,FALSE)+1),1)</f>
        <v>0.77</v>
      </c>
      <c r="X552" s="57" cm="1">
        <f t="array" ref="X552">VLOOKUP(B552,'Player Data'!$A1:$AE673,12,FALSE)*$Q552*IFERROR((VLOOKUP(P552,Settings!$E$28:$F$33,2,FALSE)+1),1)</f>
        <v>0.77</v>
      </c>
      <c r="Y552" s="57" cm="1">
        <f t="array" ref="Y552">VLOOKUP(B552,'Player Data'!$A1:$AE673,13,FALSE)*$Q552</f>
        <v>0</v>
      </c>
      <c r="Z552" s="57" cm="1">
        <f t="array" ref="Z552">VLOOKUP(B552,'Player Data'!$A1:$AE673,14,FALSE)*$Q552</f>
        <v>0</v>
      </c>
      <c r="AA552" s="57" cm="1">
        <f t="array" ref="AA552">VLOOKUP(B552,'Player Data'!$A1:$AE673,15,FALSE)*$Q552</f>
        <v>45.43</v>
      </c>
      <c r="AB552" s="57" cm="1">
        <f t="array" ref="AB552">VLOOKUP(B552,'Player Data'!$A1:$AE673,16,FALSE)*$Q552</f>
        <v>114.73</v>
      </c>
      <c r="AC552" s="57" cm="1">
        <f t="array" ref="AC552">VLOOKUP(B552,'Player Data'!$A1:$AE673,17,FALSE)*$Q552*IFERROR((VLOOKUP(P552,Settings!$E$28:$F$33,2,FALSE)+1),1)</f>
        <v>0</v>
      </c>
      <c r="AD552" s="57" cm="1">
        <f t="array" ref="AD552">VLOOKUP(B552,'Player Data'!$A1:$AE673,18,FALSE)*$Q552</f>
        <v>15.4</v>
      </c>
      <c r="AE552" s="57" cm="1">
        <f t="array" ref="AE552">VLOOKUP(B552,'Player Data'!$A1:$AE673,19,FALSE)*$Q552*IFERROR((VLOOKUP(P552,Settings!$E$28:$F$33,2,FALSE)+1),1)</f>
        <v>1.54</v>
      </c>
      <c r="AF552" s="57" cm="1">
        <f t="array" ref="AF552">VLOOKUP(B552,'Player Data'!$A1:$AE673,20,FALSE)*$Q552</f>
        <v>0.77</v>
      </c>
      <c r="AG552" s="57" cm="1">
        <f t="array" ref="AG552">VLOOKUP(B552,'Player Data'!$A1:$AE673,21,FALSE)*$Q552</f>
        <v>6.16</v>
      </c>
      <c r="AH552" s="59" cm="1">
        <f t="array" ref="AH552">VLOOKUP(B552,'Player Data'!$A1:$AE673,22,FALSE)</f>
        <v>0.12</v>
      </c>
      <c r="AI552" s="55"/>
      <c r="AJ552" s="57"/>
      <c r="AK552" s="57"/>
      <c r="AL552" s="57"/>
      <c r="AM552" s="57"/>
      <c r="AN552" s="57"/>
      <c r="AO552" s="57"/>
      <c r="AP552" s="57"/>
      <c r="AQ552" s="60"/>
      <c r="AR552" s="61"/>
      <c r="AS552" s="55"/>
    </row>
    <row r="553" spans="1:45" ht="21.25" customHeight="1" x14ac:dyDescent="0.15">
      <c r="A553" s="62">
        <f>RANK(K553,K$2:K$671)</f>
        <v>551</v>
      </c>
      <c r="B553" s="10" t="s">
        <v>723</v>
      </c>
      <c r="C553" s="47" t="s">
        <v>145</v>
      </c>
      <c r="D553" s="48" t="str" cm="1">
        <f t="array" ref="D553">VLOOKUP(B553,'Player Data'!A1:D673,4,FALSE)</f>
        <v>LW,RW</v>
      </c>
      <c r="E553" s="74" cm="1">
        <f t="array" ref="E553">VLOOKUP(B553,RW!A1:F210,3,FALSE)</f>
        <v>151</v>
      </c>
      <c r="F553" s="69" t="str" cm="1">
        <f t="array" ref="F553">VLOOKUP(B553,'Player Data'!A1:B673,2,FALSE)</f>
        <v>TOR</v>
      </c>
      <c r="G553" s="11" cm="1">
        <f t="array" ref="G553">VLOOKUP(B553,'Player Data'!A1:D673,3,FALSE)</f>
        <v>30</v>
      </c>
      <c r="H553" s="51" cm="1">
        <f t="array" ref="H553">IFERROR(VLOOKUP(B553,ADP!A1:F671,6,FALSE)/1000000,VLOOKUP(B553,ADP!A1:F671,6,FALSE))</f>
        <v>1.35</v>
      </c>
      <c r="I553" s="52">
        <f>IF(Settings!$E$15="POINTS",((R553*Q553)*Settings!$B$12)+(S553*Settings!$B$2)+(T553*Settings!$B$3)+(U553*Settings!$B$4)+(V553*Settings!$B$5)+(X553*Settings!$B$9)+(AA553*Settings!$B$6)+(W553*Settings!$B$8)+(AB553*Settings!$B$7)+(AC553*Settings!$B$14)+(AD553*Settings!$B$15)+(AE553*Settings!$B$16)+(AF553*Settings!$B$17)+(AG553*Settings!$B$18)+(Y553*Settings!$B$10)+(Z553*Settings!$B$11),VLOOKUP(B553,'Standard Deviations'!A$1:C$672,3,FALSE))</f>
        <v>-1.5854709524943382</v>
      </c>
      <c r="J553" s="53" cm="1">
        <f t="array" ref="J553">IF(D553="G",I553/AJ553,I553/Q553)</f>
        <v>-2.059053185057582E-2</v>
      </c>
      <c r="K553" s="52" cm="1">
        <f t="array" ref="K553">IF(Settings!$E$18="C/LW/RW",VLOOKUP(B553,RW!A1:F210,6,FALSE),VLOOKUP(B553,F!A1:F407,6,FALSE))</f>
        <v>-8.4727055543034151</v>
      </c>
      <c r="L553" s="54" cm="1">
        <f t="array" ref="L553">IFERROR(K553/H553,"N/A")</f>
        <v>-6.2760781883728995</v>
      </c>
      <c r="M553" s="84" t="s">
        <v>828</v>
      </c>
      <c r="N553" s="84" t="str" cm="1">
        <f t="array" ref="N553">IFERROR(M553-A553,"N/A")</f>
        <v>N/A</v>
      </c>
      <c r="O553" s="55"/>
      <c r="P553" s="56" cm="1">
        <f t="array" ref="P553">_xlfn.XLOOKUP($B553,ADP!A2:A671,ADP!G2:G671)</f>
        <v>0</v>
      </c>
      <c r="Q553" s="57" cm="1">
        <f t="array" ref="Q553">IF(Settings!$E$12="YES",VLOOKUP(B553,'Player Data'!A1:E673,5,FALSE),84)</f>
        <v>77</v>
      </c>
      <c r="R553" s="55" cm="1">
        <f t="array" ref="R553">VLOOKUP(B553,'Player Data'!$A1:$AE673,6,FALSE)</f>
        <v>11.8</v>
      </c>
      <c r="S553" s="57" cm="1">
        <f t="array" ref="S553">VLOOKUP(B553,'Player Data'!$A1:$AE673,7,FALSE)*$Q553*IFERROR((VLOOKUP(P553,Settings!$E$28:$F$33,2,FALSE)+1),1)</f>
        <v>7.7</v>
      </c>
      <c r="T553" s="57" cm="1">
        <f t="array" ref="T553">VLOOKUP(B553,'Player Data'!$A1:$AE673,8,FALSE)*$Q553*IFERROR((VLOOKUP(P553,Settings!$E$28:$F$33,2,FALSE)+1),1)</f>
        <v>10.01</v>
      </c>
      <c r="U553" s="57" cm="1">
        <f t="array" ref="U553">SUM(S553:T553)</f>
        <v>17.71</v>
      </c>
      <c r="V553" s="57" cm="1">
        <f t="array" ref="V553">VLOOKUP(B553,'Player Data'!$A1:$AE673,10,FALSE)*$Q553*IFERROR(((VLOOKUP(P553,Settings!$E$28:$F$33,2,FALSE)/2)+1),1)</f>
        <v>76.23</v>
      </c>
      <c r="W553" s="57" cm="1">
        <f t="array" ref="W553">VLOOKUP(B553,'Player Data'!$A1:$AE673,11,FALSE)*$Q553*IFERROR((VLOOKUP(P553,Settings!$E$28:$F$33,2,FALSE)+1),1)</f>
        <v>0</v>
      </c>
      <c r="X553" s="57" cm="1">
        <f t="array" ref="X553">VLOOKUP(B553,'Player Data'!$A1:$AE673,12,FALSE)*$Q553*IFERROR((VLOOKUP(P553,Settings!$E$28:$F$33,2,FALSE)+1),1)</f>
        <v>0</v>
      </c>
      <c r="Y553" s="57" cm="1">
        <f t="array" ref="Y553">VLOOKUP(B553,'Player Data'!$A1:$AE673,13,FALSE)*$Q553</f>
        <v>1.54</v>
      </c>
      <c r="Z553" s="57" cm="1">
        <f t="array" ref="Z553">VLOOKUP(B553,'Player Data'!$A1:$AE673,14,FALSE)*$Q553</f>
        <v>1.54</v>
      </c>
      <c r="AA553" s="57" cm="1">
        <f t="array" ref="AA553">VLOOKUP(B553,'Player Data'!$A1:$AE673,15,FALSE)*$Q553</f>
        <v>51.59</v>
      </c>
      <c r="AB553" s="57" cm="1">
        <f t="array" ref="AB553">VLOOKUP(B553,'Player Data'!$A1:$AE673,16,FALSE)*$Q553</f>
        <v>171.71</v>
      </c>
      <c r="AC553" s="57" cm="1">
        <f t="array" ref="AC553">VLOOKUP(B553,'Player Data'!$A1:$AE673,17,FALSE)*$Q553*IFERROR((VLOOKUP(P553,Settings!$E$28:$F$33,2,FALSE)+1),1)</f>
        <v>0</v>
      </c>
      <c r="AD553" s="57" cm="1">
        <f t="array" ref="AD553">VLOOKUP(B553,'Player Data'!$A1:$AE673,18,FALSE)*$Q553</f>
        <v>13.86</v>
      </c>
      <c r="AE553" s="57" cm="1">
        <f t="array" ref="AE553">VLOOKUP(B553,'Player Data'!$A1:$AE673,19,FALSE)*$Q553*IFERROR((VLOOKUP(P553,Settings!$E$28:$F$33,2,FALSE)+1),1)</f>
        <v>0.77</v>
      </c>
      <c r="AF553" s="57" cm="1">
        <f t="array" ref="AF553">VLOOKUP(B553,'Player Data'!$A1:$AE673,20,FALSE)*$Q553</f>
        <v>56.21</v>
      </c>
      <c r="AG553" s="57" cm="1">
        <f t="array" ref="AG553">VLOOKUP(B553,'Player Data'!$A1:$AE673,21,FALSE)*$Q553</f>
        <v>76.23</v>
      </c>
      <c r="AH553" s="59" cm="1">
        <f t="array" ref="AH553">VLOOKUP(B553,'Player Data'!$A1:$AE673,22,FALSE)</f>
        <v>0.42</v>
      </c>
      <c r="AI553" s="55"/>
      <c r="AJ553" s="57"/>
      <c r="AK553" s="57"/>
      <c r="AL553" s="57"/>
      <c r="AM553" s="57"/>
      <c r="AN553" s="57"/>
      <c r="AO553" s="57"/>
      <c r="AP553" s="57"/>
      <c r="AQ553" s="60"/>
      <c r="AR553" s="61"/>
      <c r="AS553" s="55"/>
    </row>
    <row r="554" spans="1:45" ht="21.25" customHeight="1" x14ac:dyDescent="0.15">
      <c r="A554" s="62">
        <f>RANK(K554,K$2:K$671)</f>
        <v>552</v>
      </c>
      <c r="B554" s="10" t="s">
        <v>736</v>
      </c>
      <c r="C554" s="47" t="s">
        <v>145</v>
      </c>
      <c r="D554" s="48" t="str" cm="1">
        <f t="array" ref="D554">VLOOKUP(B554,'Player Data'!A1:D673,4,FALSE)</f>
        <v>C,RW</v>
      </c>
      <c r="E554" s="74" cm="1">
        <f t="array" ref="E554">VLOOKUP(B554,RW!A1:F210,3,FALSE)</f>
        <v>152</v>
      </c>
      <c r="F554" s="63" t="str" cm="1">
        <f t="array" ref="F554">VLOOKUP(B554,'Player Data'!A1:B673,2,FALSE)</f>
        <v>CGY</v>
      </c>
      <c r="G554" s="11" cm="1">
        <f t="array" ref="G554">VLOOKUP(B554,'Player Data'!A1:D673,3,FALSE)</f>
        <v>26</v>
      </c>
      <c r="H554" s="51" cm="1">
        <f t="array" ref="H554">IFERROR(VLOOKUP(B554,ADP!A1:F671,6,FALSE)/1000000,VLOOKUP(B554,ADP!A1:F671,6,FALSE))</f>
        <v>2.5</v>
      </c>
      <c r="I554" s="52">
        <f>IF(Settings!$E$15="POINTS",((R554*Q554)*Settings!$B$12)+(S554*Settings!$B$2)+(T554*Settings!$B$3)+(U554*Settings!$B$4)+(V554*Settings!$B$5)+(X554*Settings!$B$9)+(AA554*Settings!$B$6)+(W554*Settings!$B$8)+(AB554*Settings!$B$7)+(AC554*Settings!$B$14)+(AD554*Settings!$B$15)+(AE554*Settings!$B$16)+(AF554*Settings!$B$17)+(AG554*Settings!$B$18)+(Y554*Settings!$B$10)+(Z554*Settings!$B$11),VLOOKUP(B554,'Standard Deviations'!A$1:C$672,3,FALSE))</f>
        <v>-1.619234432600376</v>
      </c>
      <c r="J554" s="53" cm="1">
        <f t="array" ref="J554">IF(D554="G",I554/AJ554,I554/Q554)</f>
        <v>-2.280611876901938E-2</v>
      </c>
      <c r="K554" s="52" cm="1">
        <f t="array" ref="K554">IF(Settings!$E$18="C/LW/RW",VLOOKUP(B554,RW!A1:F210,6,FALSE),VLOOKUP(B554,F!A1:F407,6,FALSE))</f>
        <v>-8.506469034409454</v>
      </c>
      <c r="L554" s="54" cm="1">
        <f t="array" ref="L554">IFERROR(K554/H554,"N/A")</f>
        <v>-3.4025876137637816</v>
      </c>
      <c r="M554" s="84" t="s">
        <v>828</v>
      </c>
      <c r="N554" s="84" t="str" cm="1">
        <f t="array" ref="N554">IFERROR(M554-A554,"N/A")</f>
        <v>N/A</v>
      </c>
      <c r="O554" s="55"/>
      <c r="P554" s="56" cm="1">
        <f t="array" ref="P554">_xlfn.XLOOKUP($B554,ADP!A2:A671,ADP!G2:G671)</f>
        <v>0</v>
      </c>
      <c r="Q554" s="57" cm="1">
        <f t="array" ref="Q554">IF(Settings!$E$12="YES",VLOOKUP(B554,'Player Data'!A1:E673,5,FALSE),84)</f>
        <v>71</v>
      </c>
      <c r="R554" s="81" cm="1">
        <f t="array" ref="R554">VLOOKUP(B554,'Player Data'!$A1:$AE673,6,FALSE)</f>
        <v>11.9</v>
      </c>
      <c r="S554" s="57" cm="1">
        <f t="array" ref="S554">VLOOKUP(B554,'Player Data'!$A1:$AE673,7,FALSE)*$Q554*IFERROR((VLOOKUP(P554,Settings!$E$28:$F$33,2,FALSE)+1),1)</f>
        <v>5.68</v>
      </c>
      <c r="T554" s="57" cm="1">
        <f t="array" ref="T554">VLOOKUP(B554,'Player Data'!$A1:$AE673,8,FALSE)*$Q554*IFERROR((VLOOKUP(P554,Settings!$E$28:$F$33,2,FALSE)+1),1)</f>
        <v>13.49</v>
      </c>
      <c r="U554" s="57" cm="1">
        <f t="array" ref="U554">SUM(S554:T554)</f>
        <v>19.170000000000002</v>
      </c>
      <c r="V554" s="57" cm="1">
        <f t="array" ref="V554">VLOOKUP(B554,'Player Data'!$A1:$AE673,10,FALSE)*$Q554*IFERROR(((VLOOKUP(P554,Settings!$E$28:$F$33,2,FALSE)/2)+1),1)</f>
        <v>88.75</v>
      </c>
      <c r="W554" s="57" cm="1">
        <f t="array" ref="W554">VLOOKUP(B554,'Player Data'!$A1:$AE673,11,FALSE)*$Q554*IFERROR((VLOOKUP(P554,Settings!$E$28:$F$33,2,FALSE)+1),1)</f>
        <v>0</v>
      </c>
      <c r="X554" s="57" cm="1">
        <f t="array" ref="X554">VLOOKUP(B554,'Player Data'!$A1:$AE673,12,FALSE)*$Q554*IFERROR((VLOOKUP(P554,Settings!$E$28:$F$33,2,FALSE)+1),1)</f>
        <v>0</v>
      </c>
      <c r="Y554" s="57" cm="1">
        <f t="array" ref="Y554">VLOOKUP(B554,'Player Data'!$A1:$AE673,13,FALSE)*$Q554</f>
        <v>0</v>
      </c>
      <c r="Z554" s="57" cm="1">
        <f t="array" ref="Z554">VLOOKUP(B554,'Player Data'!$A1:$AE673,14,FALSE)*$Q554</f>
        <v>0</v>
      </c>
      <c r="AA554" s="57" cm="1">
        <f t="array" ref="AA554">VLOOKUP(B554,'Player Data'!$A1:$AE673,15,FALSE)*$Q554</f>
        <v>25.56</v>
      </c>
      <c r="AB554" s="57" cm="1">
        <f t="array" ref="AB554">VLOOKUP(B554,'Player Data'!$A1:$AE673,16,FALSE)*$Q554</f>
        <v>225.07</v>
      </c>
      <c r="AC554" s="57" cm="1">
        <f t="array" ref="AC554">VLOOKUP(B554,'Player Data'!$A1:$AE673,17,FALSE)*$Q554*IFERROR((VLOOKUP(P554,Settings!$E$28:$F$33,2,FALSE)+1),1)</f>
        <v>-6.39</v>
      </c>
      <c r="AD554" s="57" cm="1">
        <f t="array" ref="AD554">VLOOKUP(B554,'Player Data'!$A1:$AE673,18,FALSE)*$Q554</f>
        <v>48.28</v>
      </c>
      <c r="AE554" s="57" cm="1">
        <f t="array" ref="AE554">VLOOKUP(B554,'Player Data'!$A1:$AE673,19,FALSE)*$Q554*IFERROR((VLOOKUP(P554,Settings!$E$28:$F$33,2,FALSE)+1),1)</f>
        <v>0.71</v>
      </c>
      <c r="AF554" s="57" cm="1">
        <f t="array" ref="AF554">VLOOKUP(B554,'Player Data'!$A1:$AE673,20,FALSE)*$Q554</f>
        <v>47.57</v>
      </c>
      <c r="AG554" s="57" cm="1">
        <f t="array" ref="AG554">VLOOKUP(B554,'Player Data'!$A1:$AE673,21,FALSE)*$Q554</f>
        <v>63.19</v>
      </c>
      <c r="AH554" s="59" cm="1">
        <f t="array" ref="AH554">VLOOKUP(B554,'Player Data'!$A1:$AE673,22,FALSE)</f>
        <v>0.43</v>
      </c>
      <c r="AI554" s="55"/>
      <c r="AJ554" s="57"/>
      <c r="AK554" s="57"/>
      <c r="AL554" s="57"/>
      <c r="AM554" s="57"/>
      <c r="AN554" s="57"/>
      <c r="AO554" s="57"/>
      <c r="AP554" s="57"/>
      <c r="AQ554" s="60"/>
      <c r="AR554" s="61"/>
      <c r="AS554" s="55"/>
    </row>
    <row r="555" spans="1:45" ht="21.25" customHeight="1" x14ac:dyDescent="0.15">
      <c r="A555" s="62">
        <f>RANK(K555,K$2:K$671)</f>
        <v>553</v>
      </c>
      <c r="B555" s="10" t="s">
        <v>600</v>
      </c>
      <c r="C555" s="47" t="s">
        <v>145</v>
      </c>
      <c r="D555" s="48" t="str" cm="1">
        <f t="array" ref="D555">VLOOKUP(B555,'Player Data'!A1:D673,4,FALSE)</f>
        <v>LW,RW</v>
      </c>
      <c r="E555" s="74" cm="1">
        <f t="array" ref="E555">VLOOKUP(B555,RW!A1:F210,3,FALSE)</f>
        <v>153</v>
      </c>
      <c r="F555" s="56" t="str" cm="1">
        <f t="array" ref="F555">VLOOKUP(B555,'Player Data'!A1:B673,2,FALSE)</f>
        <v>S.J</v>
      </c>
      <c r="G555" s="71" cm="1">
        <f t="array" ref="G555">VLOOKUP(B555,'Player Data'!A1:D673,3,FALSE)</f>
        <v>24</v>
      </c>
      <c r="H555" s="51" cm="1">
        <f t="array" ref="H555">IFERROR(VLOOKUP(B555,ADP!A1:F671,6,FALSE)/1000000,VLOOKUP(B555,ADP!A1:F671,6,FALSE))</f>
        <v>4.25</v>
      </c>
      <c r="I555" s="52">
        <f>IF(Settings!$E$15="POINTS",((R555*Q555)*Settings!$B$12)+(S555*Settings!$B$2)+(T555*Settings!$B$3)+(U555*Settings!$B$4)+(V555*Settings!$B$5)+(X555*Settings!$B$9)+(AA555*Settings!$B$6)+(W555*Settings!$B$8)+(AB555*Settings!$B$7)+(AC555*Settings!$B$14)+(AD555*Settings!$B$15)+(AE555*Settings!$B$16)+(AF555*Settings!$B$17)+(AG555*Settings!$B$18)+(Y555*Settings!$B$10)+(Z555*Settings!$B$11),VLOOKUP(B555,'Standard Deviations'!A$1:C$672,3,FALSE))</f>
        <v>-1.6670101965604309</v>
      </c>
      <c r="J555" s="53" cm="1">
        <f t="array" ref="J555">IF(D555="G",I555/AJ555,I555/Q555)</f>
        <v>-2.0837627457005386E-2</v>
      </c>
      <c r="K555" s="52" cm="1">
        <f t="array" ref="K555">IF(Settings!$E$18="C/LW/RW",VLOOKUP(B555,RW!A1:F210,6,FALSE),VLOOKUP(B555,F!A1:F407,6,FALSE))</f>
        <v>-8.554244798369508</v>
      </c>
      <c r="L555" s="54" cm="1">
        <f t="array" ref="L555">IFERROR(K555/H555,"N/A")</f>
        <v>-2.0127634819692961</v>
      </c>
      <c r="M555" s="84" t="s">
        <v>828</v>
      </c>
      <c r="N555" s="84" t="str" cm="1">
        <f t="array" ref="N555">IFERROR(M555-A555,"N/A")</f>
        <v>N/A</v>
      </c>
      <c r="O555" s="55"/>
      <c r="P555" s="56" cm="1">
        <f t="array" ref="P555">_xlfn.XLOOKUP($B555,ADP!A2:A671,ADP!G2:G671)</f>
        <v>0</v>
      </c>
      <c r="Q555" s="57" cm="1">
        <f t="array" ref="Q555">IF(Settings!$E$12="YES",VLOOKUP(B555,'Player Data'!A1:E673,5,FALSE),84)</f>
        <v>80</v>
      </c>
      <c r="R555" s="83" cm="1">
        <f t="array" ref="R555">VLOOKUP(B555,'Player Data'!$A1:$AE673,6,FALSE)</f>
        <v>14.8</v>
      </c>
      <c r="S555" s="57" cm="1">
        <f t="array" ref="S555">VLOOKUP(B555,'Player Data'!$A1:$AE673,7,FALSE)*$Q555*IFERROR((VLOOKUP(P555,Settings!$E$28:$F$33,2,FALSE)+1),1)</f>
        <v>17.600000000000001</v>
      </c>
      <c r="T555" s="57" cm="1">
        <f t="array" ref="T555">VLOOKUP(B555,'Player Data'!$A1:$AE673,8,FALSE)*$Q555*IFERROR((VLOOKUP(P555,Settings!$E$28:$F$33,2,FALSE)+1),1)</f>
        <v>20</v>
      </c>
      <c r="U555" s="57" cm="1">
        <f t="array" ref="U555">SUM(S555:T555)</f>
        <v>37.6</v>
      </c>
      <c r="V555" s="57" cm="1">
        <f t="array" ref="V555">VLOOKUP(B555,'Player Data'!$A1:$AE673,10,FALSE)*$Q555*IFERROR(((VLOOKUP(P555,Settings!$E$28:$F$33,2,FALSE)/2)+1),1)</f>
        <v>108</v>
      </c>
      <c r="W555" s="57" cm="1">
        <f t="array" ref="W555">VLOOKUP(B555,'Player Data'!$A1:$AE673,11,FALSE)*$Q555*IFERROR((VLOOKUP(P555,Settings!$E$28:$F$33,2,FALSE)+1),1)</f>
        <v>0</v>
      </c>
      <c r="X555" s="57" cm="1">
        <f t="array" ref="X555">VLOOKUP(B555,'Player Data'!$A1:$AE673,12,FALSE)*$Q555*IFERROR((VLOOKUP(P555,Settings!$E$28:$F$33,2,FALSE)+1),1)</f>
        <v>0.8</v>
      </c>
      <c r="Y555" s="57" cm="1">
        <f t="array" ref="Y555">VLOOKUP(B555,'Player Data'!$A1:$AE673,13,FALSE)*$Q555</f>
        <v>2.4</v>
      </c>
      <c r="Z555" s="57" cm="1">
        <f t="array" ref="Z555">VLOOKUP(B555,'Player Data'!$A1:$AE673,14,FALSE)*$Q555</f>
        <v>3.2</v>
      </c>
      <c r="AA555" s="57" cm="1">
        <f t="array" ref="AA555">VLOOKUP(B555,'Player Data'!$A1:$AE673,15,FALSE)*$Q555</f>
        <v>44.800000000000004</v>
      </c>
      <c r="AB555" s="57" cm="1">
        <f t="array" ref="AB555">VLOOKUP(B555,'Player Data'!$A1:$AE673,16,FALSE)*$Q555</f>
        <v>80</v>
      </c>
      <c r="AC555" s="57" cm="1">
        <f t="array" ref="AC555">VLOOKUP(B555,'Player Data'!$A1:$AE673,17,FALSE)*$Q555*IFERROR((VLOOKUP(P555,Settings!$E$28:$F$33,2,FALSE)+1),1)</f>
        <v>-2.4</v>
      </c>
      <c r="AD555" s="57" cm="1">
        <f t="array" ref="AD555">VLOOKUP(B555,'Player Data'!$A1:$AE673,18,FALSE)*$Q555</f>
        <v>16.8</v>
      </c>
      <c r="AE555" s="57" cm="1">
        <f t="array" ref="AE555">VLOOKUP(B555,'Player Data'!$A1:$AE673,19,FALSE)*$Q555*IFERROR((VLOOKUP(P555,Settings!$E$28:$F$33,2,FALSE)+1),1)</f>
        <v>2.4</v>
      </c>
      <c r="AF555" s="57" cm="1">
        <f t="array" ref="AF555">VLOOKUP(B555,'Player Data'!$A1:$AE673,20,FALSE)*$Q555</f>
        <v>6.4</v>
      </c>
      <c r="AG555" s="57" cm="1">
        <f t="array" ref="AG555">VLOOKUP(B555,'Player Data'!$A1:$AE673,21,FALSE)*$Q555</f>
        <v>15.2</v>
      </c>
      <c r="AH555" s="59" cm="1">
        <f t="array" ref="AH555">VLOOKUP(B555,'Player Data'!$A1:$AE673,22,FALSE)</f>
        <v>0.28999999999999998</v>
      </c>
      <c r="AI555" s="55"/>
      <c r="AJ555" s="57"/>
      <c r="AK555" s="57"/>
      <c r="AL555" s="57"/>
      <c r="AM555" s="57"/>
      <c r="AN555" s="57"/>
      <c r="AO555" s="57"/>
      <c r="AP555" s="57"/>
      <c r="AQ555" s="60"/>
      <c r="AR555" s="61"/>
      <c r="AS555" s="55"/>
    </row>
    <row r="556" spans="1:45" ht="21.25" customHeight="1" x14ac:dyDescent="0.15">
      <c r="A556" s="62">
        <f>RANK(K556,K$2:K$671)</f>
        <v>560</v>
      </c>
      <c r="B556" s="10" t="s">
        <v>783</v>
      </c>
      <c r="C556" s="47" t="s">
        <v>145</v>
      </c>
      <c r="D556" s="48" t="str" cm="1">
        <f t="array" ref="D556">VLOOKUP(B556,'Player Data'!A1:D673,4,FALSE)</f>
        <v>LW</v>
      </c>
      <c r="E556" s="75" cm="1">
        <f t="array" ref="E556">VLOOKUP(B556,LW!A1:C210,3,FALSE)</f>
        <v>157</v>
      </c>
      <c r="F556" s="65" t="str" cm="1">
        <f t="array" ref="F556">VLOOKUP(B556,'Player Data'!A1:B673,2,FALSE)</f>
        <v>T.B</v>
      </c>
      <c r="G556" s="11" cm="1">
        <f t="array" ref="G556">VLOOKUP(B556,'Player Data'!A1:D673,3,FALSE)</f>
        <v>29</v>
      </c>
      <c r="H556" s="51" cm="1">
        <f t="array" ref="H556">IFERROR(VLOOKUP(B556,ADP!A1:F671,6,FALSE)/1000000,VLOOKUP(B556,ADP!A1:F671,6,FALSE))</f>
        <v>2.5</v>
      </c>
      <c r="I556" s="52">
        <f>IF(Settings!$E$15="POINTS",((R556*Q556)*Settings!$B$12)+(S556*Settings!$B$2)+(T556*Settings!$B$3)+(U556*Settings!$B$4)+(V556*Settings!$B$5)+(X556*Settings!$B$9)+(AA556*Settings!$B$6)+(W556*Settings!$B$8)+(AB556*Settings!$B$7)+(AC556*Settings!$B$14)+(AD556*Settings!$B$15)+(AE556*Settings!$B$16)+(AF556*Settings!$B$17)+(AG556*Settings!$B$18)+(Y556*Settings!$B$10)+(Z556*Settings!$B$11),VLOOKUP(B556,'Standard Deviations'!A$1:C$672,3,FALSE))</f>
        <v>-1.7283872596701955</v>
      </c>
      <c r="J556" s="53" cm="1">
        <f t="array" ref="J556">IF(D556="G",I556/AJ556,I556/Q556)</f>
        <v>-2.8334217371642548E-2</v>
      </c>
      <c r="K556" s="52" cm="1">
        <f t="array" ref="K556">IF(Settings!$E$18="C/LW/RW",VLOOKUP(B556,LW!A1:F210,6,FALSE),VLOOKUP(B556,F!A1:F407,6,FALSE))</f>
        <v>-8.622772904060005</v>
      </c>
      <c r="L556" s="54" cm="1">
        <f t="array" ref="L556">IFERROR(K556/H556,"N/A")</f>
        <v>-3.4491091616240022</v>
      </c>
      <c r="M556" s="84" t="s">
        <v>828</v>
      </c>
      <c r="N556" s="84" t="str" cm="1">
        <f t="array" ref="N556">IFERROR(M556-A556,"N/A")</f>
        <v>N/A</v>
      </c>
      <c r="O556" s="55"/>
      <c r="P556" s="56" cm="1">
        <f t="array" ref="P556">_xlfn.XLOOKUP($B556,ADP!A2:A671,ADP!G2:G671)</f>
        <v>0</v>
      </c>
      <c r="Q556" s="57" cm="1">
        <f t="array" ref="Q556">IF(Settings!$E$12="YES",VLOOKUP(B556,'Player Data'!A1:E673,5,FALSE),84)</f>
        <v>61</v>
      </c>
      <c r="R556" s="83" cm="1">
        <f t="array" ref="R556">VLOOKUP(B556,'Player Data'!$A1:$AE673,6,FALSE)</f>
        <v>10.9</v>
      </c>
      <c r="S556" s="57" cm="1">
        <f t="array" ref="S556">VLOOKUP(B556,'Player Data'!$A1:$AE673,7,FALSE)*$Q556*IFERROR((VLOOKUP(P556,Settings!$E$28:$F$33,2,FALSE)+1),1)</f>
        <v>4.88</v>
      </c>
      <c r="T556" s="57" cm="1">
        <f t="array" ref="T556">VLOOKUP(B556,'Player Data'!$A1:$AE673,8,FALSE)*$Q556*IFERROR((VLOOKUP(P556,Settings!$E$28:$F$33,2,FALSE)+1),1)</f>
        <v>8.5400000000000009</v>
      </c>
      <c r="U556" s="57" cm="1">
        <f t="array" ref="U556">SUM(S556:T556)</f>
        <v>13.420000000000002</v>
      </c>
      <c r="V556" s="57" cm="1">
        <f t="array" ref="V556">VLOOKUP(B556,'Player Data'!$A1:$AE673,10,FALSE)*$Q556*IFERROR(((VLOOKUP(P556,Settings!$E$28:$F$33,2,FALSE)/2)+1),1)</f>
        <v>71.97999999999999</v>
      </c>
      <c r="W556" s="57" cm="1">
        <f t="array" ref="W556">VLOOKUP(B556,'Player Data'!$A1:$AE673,11,FALSE)*$Q556*IFERROR((VLOOKUP(P556,Settings!$E$28:$F$33,2,FALSE)+1),1)</f>
        <v>0</v>
      </c>
      <c r="X556" s="57" cm="1">
        <f t="array" ref="X556">VLOOKUP(B556,'Player Data'!$A1:$AE673,12,FALSE)*$Q556*IFERROR((VLOOKUP(P556,Settings!$E$28:$F$33,2,FALSE)+1),1)</f>
        <v>0</v>
      </c>
      <c r="Y556" s="57" cm="1">
        <f t="array" ref="Y556">VLOOKUP(B556,'Player Data'!$A1:$AE673,13,FALSE)*$Q556</f>
        <v>0</v>
      </c>
      <c r="Z556" s="57" cm="1">
        <f t="array" ref="Z556">VLOOKUP(B556,'Player Data'!$A1:$AE673,14,FALSE)*$Q556</f>
        <v>0</v>
      </c>
      <c r="AA556" s="57" cm="1">
        <f t="array" ref="AA556">VLOOKUP(B556,'Player Data'!$A1:$AE673,15,FALSE)*$Q556</f>
        <v>26.84</v>
      </c>
      <c r="AB556" s="57" cm="1">
        <f t="array" ref="AB556">VLOOKUP(B556,'Player Data'!$A1:$AE673,16,FALSE)*$Q556</f>
        <v>135.42000000000002</v>
      </c>
      <c r="AC556" s="57" cm="1">
        <f t="array" ref="AC556">VLOOKUP(B556,'Player Data'!$A1:$AE673,17,FALSE)*$Q556*IFERROR((VLOOKUP(P556,Settings!$E$28:$F$33,2,FALSE)+1),1)</f>
        <v>4.88</v>
      </c>
      <c r="AD556" s="57" cm="1">
        <f t="array" ref="AD556">VLOOKUP(B556,'Player Data'!$A1:$AE673,18,FALSE)*$Q556</f>
        <v>48.190000000000005</v>
      </c>
      <c r="AE556" s="57" cm="1">
        <f t="array" ref="AE556">VLOOKUP(B556,'Player Data'!$A1:$AE673,19,FALSE)*$Q556*IFERROR((VLOOKUP(P556,Settings!$E$28:$F$33,2,FALSE)+1),1)</f>
        <v>0.61</v>
      </c>
      <c r="AF556" s="57" cm="1">
        <f t="array" ref="AF556">VLOOKUP(B556,'Player Data'!$A1:$AE673,20,FALSE)*$Q556</f>
        <v>1.8299999999999998</v>
      </c>
      <c r="AG556" s="57" cm="1">
        <f t="array" ref="AG556">VLOOKUP(B556,'Player Data'!$A1:$AE673,21,FALSE)*$Q556</f>
        <v>4.88</v>
      </c>
      <c r="AH556" s="59" cm="1">
        <f t="array" ref="AH556">VLOOKUP(B556,'Player Data'!$A1:$AE673,22,FALSE)</f>
        <v>0.24</v>
      </c>
      <c r="AI556" s="55"/>
      <c r="AJ556" s="57"/>
      <c r="AK556" s="57"/>
      <c r="AL556" s="57"/>
      <c r="AM556" s="57"/>
      <c r="AN556" s="57"/>
      <c r="AO556" s="57"/>
      <c r="AP556" s="57"/>
      <c r="AQ556" s="60"/>
      <c r="AR556" s="61"/>
      <c r="AS556" s="55"/>
    </row>
    <row r="557" spans="1:45" ht="21.25" customHeight="1" x14ac:dyDescent="0.15">
      <c r="A557" s="62">
        <f>RANK(K557,K$2:K$671)</f>
        <v>561</v>
      </c>
      <c r="B557" s="10" t="s">
        <v>700</v>
      </c>
      <c r="C557" s="47" t="s">
        <v>145</v>
      </c>
      <c r="D557" s="48" t="str" cm="1">
        <f t="array" ref="D557">VLOOKUP(B557,'Player Data'!A1:D673,4,FALSE)</f>
        <v>LW</v>
      </c>
      <c r="E557" s="75" cm="1">
        <f t="array" ref="E557">VLOOKUP(B557,LW!A1:C210,3,FALSE)</f>
        <v>158</v>
      </c>
      <c r="F557" s="56" t="str" cm="1">
        <f t="array" ref="F557">VLOOKUP(B557,'Player Data'!A1:B673,2,FALSE)</f>
        <v>WSH</v>
      </c>
      <c r="G557" s="11" cm="1">
        <f t="array" ref="G557">VLOOKUP(B557,'Player Data'!A1:D673,3,FALSE)</f>
        <v>29</v>
      </c>
      <c r="H557" s="67" cm="1">
        <f t="array" ref="H557">IFERROR(VLOOKUP(B557,ADP!A1:F671,6,FALSE)/1000000,VLOOKUP(B557,ADP!A1:F671,6,FALSE))</f>
        <v>2.75</v>
      </c>
      <c r="I557" s="52">
        <f>IF(Settings!$E$15="POINTS",((R557*Q557)*Settings!$B$12)+(S557*Settings!$B$2)+(T557*Settings!$B$3)+(U557*Settings!$B$4)+(V557*Settings!$B$5)+(X557*Settings!$B$9)+(AA557*Settings!$B$6)+(W557*Settings!$B$8)+(AB557*Settings!$B$7)+(AC557*Settings!$B$14)+(AD557*Settings!$B$15)+(AE557*Settings!$B$16)+(AF557*Settings!$B$17)+(AG557*Settings!$B$18)+(Y557*Settings!$B$10)+(Z557*Settings!$B$11),VLOOKUP(B557,'Standard Deviations'!A$1:C$672,3,FALSE))</f>
        <v>-1.7357624054724721</v>
      </c>
      <c r="J557" s="53" cm="1">
        <f t="array" ref="J557">IF(D557="G",I557/AJ557,I557/Q557)</f>
        <v>-2.1167834213078926E-2</v>
      </c>
      <c r="K557" s="52" cm="1">
        <f t="array" ref="K557">IF(Settings!$E$18="C/LW/RW",VLOOKUP(B557,LW!A1:F210,6,FALSE),VLOOKUP(B557,F!A1:F407,6,FALSE))</f>
        <v>-8.6301480498622816</v>
      </c>
      <c r="L557" s="54" cm="1">
        <f t="array" ref="L557">IFERROR(K557/H557,"N/A")</f>
        <v>-3.1382356544953751</v>
      </c>
      <c r="M557" s="84" t="s">
        <v>828</v>
      </c>
      <c r="N557" s="84" t="str" cm="1">
        <f t="array" ref="N557">IFERROR(M557-A557,"N/A")</f>
        <v>N/A</v>
      </c>
      <c r="O557" s="55"/>
      <c r="P557" s="56" cm="1">
        <f t="array" ref="P557">_xlfn.XLOOKUP($B557,ADP!A2:A671,ADP!G2:G671)</f>
        <v>0</v>
      </c>
      <c r="Q557" s="57" cm="1">
        <f t="array" ref="Q557">IF(Settings!$E$12="YES",VLOOKUP(B557,'Player Data'!A1:E673,5,FALSE),84)</f>
        <v>82</v>
      </c>
      <c r="R557" s="83" cm="1">
        <f t="array" ref="R557">VLOOKUP(B557,'Player Data'!$A1:$AE673,6,FALSE)</f>
        <v>12.1</v>
      </c>
      <c r="S557" s="57" cm="1">
        <f t="array" ref="S557">VLOOKUP(B557,'Player Data'!$A1:$AE673,7,FALSE)*$Q557*IFERROR((VLOOKUP(P557,Settings!$E$28:$F$33,2,FALSE)+1),1)</f>
        <v>9.84</v>
      </c>
      <c r="T557" s="57" cm="1">
        <f t="array" ref="T557">VLOOKUP(B557,'Player Data'!$A1:$AE673,8,FALSE)*$Q557*IFERROR((VLOOKUP(P557,Settings!$E$28:$F$33,2,FALSE)+1),1)</f>
        <v>9.84</v>
      </c>
      <c r="U557" s="57" cm="1">
        <f t="array" ref="U557">SUM(S557:T557)</f>
        <v>19.68</v>
      </c>
      <c r="V557" s="57" cm="1">
        <f t="array" ref="V557">VLOOKUP(B557,'Player Data'!$A1:$AE673,10,FALSE)*$Q557*IFERROR(((VLOOKUP(P557,Settings!$E$28:$F$33,2,FALSE)/2)+1),1)</f>
        <v>112.34</v>
      </c>
      <c r="W557" s="57" cm="1">
        <f t="array" ref="W557">VLOOKUP(B557,'Player Data'!$A1:$AE673,11,FALSE)*$Q557*IFERROR((VLOOKUP(P557,Settings!$E$28:$F$33,2,FALSE)+1),1)</f>
        <v>0</v>
      </c>
      <c r="X557" s="57" cm="1">
        <f t="array" ref="X557">VLOOKUP(B557,'Player Data'!$A1:$AE673,12,FALSE)*$Q557*IFERROR((VLOOKUP(P557,Settings!$E$28:$F$33,2,FALSE)+1),1)</f>
        <v>0</v>
      </c>
      <c r="Y557" s="57" cm="1">
        <f t="array" ref="Y557">VLOOKUP(B557,'Player Data'!$A1:$AE673,13,FALSE)*$Q557</f>
        <v>0.82000000000000006</v>
      </c>
      <c r="Z557" s="57" cm="1">
        <f t="array" ref="Z557">VLOOKUP(B557,'Player Data'!$A1:$AE673,14,FALSE)*$Q557</f>
        <v>1.6400000000000001</v>
      </c>
      <c r="AA557" s="57" cm="1">
        <f t="array" ref="AA557">VLOOKUP(B557,'Player Data'!$A1:$AE673,15,FALSE)*$Q557</f>
        <v>38.54</v>
      </c>
      <c r="AB557" s="57" cm="1">
        <f t="array" ref="AB557">VLOOKUP(B557,'Player Data'!$A1:$AE673,16,FALSE)*$Q557</f>
        <v>89.38000000000001</v>
      </c>
      <c r="AC557" s="57" cm="1">
        <f t="array" ref="AC557">VLOOKUP(B557,'Player Data'!$A1:$AE673,17,FALSE)*$Q557*IFERROR((VLOOKUP(P557,Settings!$E$28:$F$33,2,FALSE)+1),1)</f>
        <v>3.2800000000000002</v>
      </c>
      <c r="AD557" s="57" cm="1">
        <f t="array" ref="AD557">VLOOKUP(B557,'Player Data'!$A1:$AE673,18,FALSE)*$Q557</f>
        <v>18.86</v>
      </c>
      <c r="AE557" s="57" cm="1">
        <f t="array" ref="AE557">VLOOKUP(B557,'Player Data'!$A1:$AE673,19,FALSE)*$Q557*IFERROR((VLOOKUP(P557,Settings!$E$28:$F$33,2,FALSE)+1),1)</f>
        <v>1.6400000000000001</v>
      </c>
      <c r="AF557" s="57" cm="1">
        <f t="array" ref="AF557">VLOOKUP(B557,'Player Data'!$A1:$AE673,20,FALSE)*$Q557</f>
        <v>31.16</v>
      </c>
      <c r="AG557" s="57" cm="1">
        <f t="array" ref="AG557">VLOOKUP(B557,'Player Data'!$A1:$AE673,21,FALSE)*$Q557</f>
        <v>31.98</v>
      </c>
      <c r="AH557" s="59" cm="1">
        <f t="array" ref="AH557">VLOOKUP(B557,'Player Data'!$A1:$AE673,22,FALSE)</f>
        <v>0.49</v>
      </c>
      <c r="AI557" s="55"/>
      <c r="AJ557" s="57"/>
      <c r="AK557" s="57"/>
      <c r="AL557" s="57"/>
      <c r="AM557" s="57"/>
      <c r="AN557" s="57"/>
      <c r="AO557" s="57"/>
      <c r="AP557" s="57"/>
      <c r="AQ557" s="60"/>
      <c r="AR557" s="61"/>
      <c r="AS557" s="55"/>
    </row>
    <row r="558" spans="1:45" ht="21.25" customHeight="1" x14ac:dyDescent="0.15">
      <c r="A558" s="62">
        <f>RANK(K558,K$2:K$671)</f>
        <v>559</v>
      </c>
      <c r="B558" s="10" t="s">
        <v>720</v>
      </c>
      <c r="C558" s="47" t="s">
        <v>145</v>
      </c>
      <c r="D558" s="48" t="str" cm="1">
        <f t="array" ref="D558">VLOOKUP(B558,'Player Data'!A1:D673,4,FALSE)</f>
        <v>C</v>
      </c>
      <c r="E558" s="49" cm="1">
        <f t="array" ref="E558">VLOOKUP(B558,'C'!A1:C210,3,FALSE)</f>
        <v>155</v>
      </c>
      <c r="F558" s="63" t="str" cm="1">
        <f t="array" ref="F558">VLOOKUP(B558,'Player Data'!A1:B673,2,FALSE)</f>
        <v>VGK</v>
      </c>
      <c r="G558" s="66" cm="1">
        <f t="array" ref="G558">VLOOKUP(B558,'Player Data'!A1:D673,3,FALSE)</f>
        <v>36</v>
      </c>
      <c r="H558" s="67" cm="1">
        <f t="array" ref="H558">IFERROR(VLOOKUP(B558,ADP!A1:F671,6,FALSE)/1000000,VLOOKUP(B558,ADP!A1:F671,6,FALSE))</f>
        <v>3</v>
      </c>
      <c r="I558" s="52">
        <f>IF(Settings!$E$15="POINTS",((R558*Q558)*Settings!$B$12)+(S558*Settings!$B$2)+(T558*Settings!$B$3)+(U558*Settings!$B$4)+(V558*Settings!$B$5)+(X558*Settings!$B$9)+(AA558*Settings!$B$6)+(W558*Settings!$B$8)+(AB558*Settings!$B$7)+(AC558*Settings!$B$14)+(AD558*Settings!$B$15)+(AE558*Settings!$B$16)+(AF558*Settings!$B$17)+(AG558*Settings!$B$18)+(Y558*Settings!$B$10)+(Z558*Settings!$B$11),VLOOKUP(B558,'Standard Deviations'!A$1:C$672,3,FALSE))</f>
        <v>-2.258050240993283</v>
      </c>
      <c r="J558" s="53" cm="1">
        <f t="array" ref="J558">IF(D558="G",I558/AJ558,I558/Q558)</f>
        <v>-2.7877163469052876E-2</v>
      </c>
      <c r="K558" s="52" cm="1">
        <f t="array" ref="K558">IF(Settings!$E$18="C/LW/RW",VLOOKUP(B558,'C'!A1:F210,6,FALSE),VLOOKUP(B558,F!A1:F407,6,FALSE))</f>
        <v>-8.6180597986083463</v>
      </c>
      <c r="L558" s="54" cm="1">
        <f t="array" ref="L558">IFERROR(K558/H558,"N/A")</f>
        <v>-2.8726865995361153</v>
      </c>
      <c r="M558" s="84" t="s">
        <v>828</v>
      </c>
      <c r="N558" s="84" t="str" cm="1">
        <f t="array" ref="N558">IFERROR(M558-A558,"N/A")</f>
        <v>N/A</v>
      </c>
      <c r="O558" s="55"/>
      <c r="P558" s="56" cm="1">
        <f t="array" ref="P558">_xlfn.XLOOKUP($B558,ADP!A2:A671,ADP!G2:G671)</f>
        <v>0</v>
      </c>
      <c r="Q558" s="57" cm="1">
        <f t="array" ref="Q558">IF(Settings!$E$12="YES",VLOOKUP(B558,'Player Data'!A1:E673,5,FALSE),84)</f>
        <v>81</v>
      </c>
      <c r="R558" s="83" cm="1">
        <f t="array" ref="R558">VLOOKUP(B558,'Player Data'!$A1:$AE673,6,FALSE)</f>
        <v>12.6</v>
      </c>
      <c r="S558" s="57" cm="1">
        <f t="array" ref="S558">VLOOKUP(B558,'Player Data'!$A1:$AE673,7,FALSE)*$Q558*IFERROR((VLOOKUP(P558,Settings!$E$28:$F$33,2,FALSE)+1),1)</f>
        <v>6.48</v>
      </c>
      <c r="T558" s="57" cm="1">
        <f t="array" ref="T558">VLOOKUP(B558,'Player Data'!$A1:$AE673,8,FALSE)*$Q558*IFERROR((VLOOKUP(P558,Settings!$E$28:$F$33,2,FALSE)+1),1)</f>
        <v>11.340000000000002</v>
      </c>
      <c r="U558" s="57" cm="1">
        <f t="array" ref="U558">SUM(S558:T558)</f>
        <v>17.82</v>
      </c>
      <c r="V558" s="57" cm="1">
        <f t="array" ref="V558">VLOOKUP(B558,'Player Data'!$A1:$AE673,10,FALSE)*$Q558*IFERROR(((VLOOKUP(P558,Settings!$E$28:$F$33,2,FALSE)/2)+1),1)</f>
        <v>63.18</v>
      </c>
      <c r="W558" s="57" cm="1">
        <f t="array" ref="W558">VLOOKUP(B558,'Player Data'!$A1:$AE673,11,FALSE)*$Q558*IFERROR((VLOOKUP(P558,Settings!$E$28:$F$33,2,FALSE)+1),1)</f>
        <v>0</v>
      </c>
      <c r="X558" s="57" cm="1">
        <f t="array" ref="X558">VLOOKUP(B558,'Player Data'!$A1:$AE673,12,FALSE)*$Q558*IFERROR((VLOOKUP(P558,Settings!$E$28:$F$33,2,FALSE)+1),1)</f>
        <v>0</v>
      </c>
      <c r="Y558" s="57" cm="1">
        <f t="array" ref="Y558">VLOOKUP(B558,'Player Data'!$A1:$AE673,13,FALSE)*$Q558</f>
        <v>0.81</v>
      </c>
      <c r="Z558" s="57" cm="1">
        <f t="array" ref="Z558">VLOOKUP(B558,'Player Data'!$A1:$AE673,14,FALSE)*$Q558</f>
        <v>0.81</v>
      </c>
      <c r="AA558" s="57" cm="1">
        <f t="array" ref="AA558">VLOOKUP(B558,'Player Data'!$A1:$AE673,15,FALSE)*$Q558</f>
        <v>52.65</v>
      </c>
      <c r="AB558" s="57" cm="1">
        <f t="array" ref="AB558">VLOOKUP(B558,'Player Data'!$A1:$AE673,16,FALSE)*$Q558</f>
        <v>125.55</v>
      </c>
      <c r="AC558" s="57" cm="1">
        <f t="array" ref="AC558">VLOOKUP(B558,'Player Data'!$A1:$AE673,17,FALSE)*$Q558*IFERROR((VLOOKUP(P558,Settings!$E$28:$F$33,2,FALSE)+1),1)</f>
        <v>2.4299999999999997</v>
      </c>
      <c r="AD558" s="57" cm="1">
        <f t="array" ref="AD558">VLOOKUP(B558,'Player Data'!$A1:$AE673,18,FALSE)*$Q558</f>
        <v>41.31</v>
      </c>
      <c r="AE558" s="57" cm="1">
        <f t="array" ref="AE558">VLOOKUP(B558,'Player Data'!$A1:$AE673,19,FALSE)*$Q558*IFERROR((VLOOKUP(P558,Settings!$E$28:$F$33,2,FALSE)+1),1)</f>
        <v>1.62</v>
      </c>
      <c r="AF558" s="57" cm="1">
        <f t="array" ref="AF558">VLOOKUP(B558,'Player Data'!$A1:$AE673,20,FALSE)*$Q558</f>
        <v>460.89000000000004</v>
      </c>
      <c r="AG558" s="57" cm="1">
        <f t="array" ref="AG558">VLOOKUP(B558,'Player Data'!$A1:$AE673,21,FALSE)*$Q558</f>
        <v>481.14000000000004</v>
      </c>
      <c r="AH558" s="59" cm="1">
        <f t="array" ref="AH558">VLOOKUP(B558,'Player Data'!$A1:$AE673,22,FALSE)</f>
        <v>0.49</v>
      </c>
      <c r="AI558" s="55"/>
      <c r="AJ558" s="57"/>
      <c r="AK558" s="57"/>
      <c r="AL558" s="57"/>
      <c r="AM558" s="57"/>
      <c r="AN558" s="57"/>
      <c r="AO558" s="57"/>
      <c r="AP558" s="57"/>
      <c r="AQ558" s="60"/>
      <c r="AR558" s="61"/>
      <c r="AS558" s="55"/>
    </row>
    <row r="559" spans="1:45" ht="21.25" customHeight="1" x14ac:dyDescent="0.15">
      <c r="A559" s="62">
        <f>RANK(K559,K$2:K$671)</f>
        <v>555</v>
      </c>
      <c r="B559" s="10" t="s">
        <v>671</v>
      </c>
      <c r="C559" s="47" t="s">
        <v>145</v>
      </c>
      <c r="D559" s="48" t="str" cm="1">
        <f t="array" ref="D559">VLOOKUP(B559,'Player Data'!A1:D673,4,FALSE)</f>
        <v>LW,RW</v>
      </c>
      <c r="E559" s="74" cm="1">
        <f t="array" ref="E559">VLOOKUP(B559,RW!A1:F210,3,FALSE)</f>
        <v>154</v>
      </c>
      <c r="F559" s="69" t="str" cm="1">
        <f t="array" ref="F559">VLOOKUP(B559,'Player Data'!A1:B673,2,FALSE)</f>
        <v>MTL</v>
      </c>
      <c r="G559" s="11" cm="1">
        <f t="array" ref="G559">VLOOKUP(B559,'Player Data'!A1:D673,3,FALSE)</f>
        <v>27</v>
      </c>
      <c r="H559" s="51" cm="1">
        <f t="array" ref="H559">IFERROR(VLOOKUP(B559,ADP!A1:F671,6,FALSE)/1000000,VLOOKUP(B559,ADP!A1:F671,6,FALSE))</f>
        <v>2.5</v>
      </c>
      <c r="I559" s="52">
        <f>IF(Settings!$E$15="POINTS",((R559*Q559)*Settings!$B$12)+(S559*Settings!$B$2)+(T559*Settings!$B$3)+(U559*Settings!$B$4)+(V559*Settings!$B$5)+(X559*Settings!$B$9)+(AA559*Settings!$B$6)+(W559*Settings!$B$8)+(AB559*Settings!$B$7)+(AC559*Settings!$B$14)+(AD559*Settings!$B$15)+(AE559*Settings!$B$16)+(AF559*Settings!$B$17)+(AG559*Settings!$B$18)+(Y559*Settings!$B$10)+(Z559*Settings!$B$11),VLOOKUP(B559,'Standard Deviations'!A$1:C$672,3,FALSE))</f>
        <v>-1.7036081245795029</v>
      </c>
      <c r="J559" s="53" cm="1">
        <f t="array" ref="J559">IF(D559="G",I559/AJ559,I559/Q559)</f>
        <v>-2.3994480627880323E-2</v>
      </c>
      <c r="K559" s="52" cm="1">
        <f t="array" ref="K559">IF(Settings!$E$18="C/LW/RW",VLOOKUP(B559,RW!A1:F210,6,FALSE),VLOOKUP(B559,F!A1:F407,6,FALSE))</f>
        <v>-8.5908427263885798</v>
      </c>
      <c r="L559" s="54" cm="1">
        <f t="array" ref="L559">IFERROR(K559/H559,"N/A")</f>
        <v>-3.436337090555432</v>
      </c>
      <c r="M559" s="84" t="s">
        <v>828</v>
      </c>
      <c r="N559" s="84" t="str" cm="1">
        <f t="array" ref="N559">IFERROR(M559-A559,"N/A")</f>
        <v>N/A</v>
      </c>
      <c r="O559" s="55"/>
      <c r="P559" s="56" cm="1">
        <f t="array" ref="P559">_xlfn.XLOOKUP($B559,ADP!A2:A671,ADP!G2:G671)</f>
        <v>0</v>
      </c>
      <c r="Q559" s="57" cm="1">
        <f t="array" ref="Q559">IF(Settings!$E$12="YES",VLOOKUP(B559,'Player Data'!A1:E673,5,FALSE),84)</f>
        <v>71</v>
      </c>
      <c r="R559" s="55" cm="1">
        <f t="array" ref="R559">VLOOKUP(B559,'Player Data'!$A1:$AE673,6,FALSE)</f>
        <v>13.3</v>
      </c>
      <c r="S559" s="57" cm="1">
        <f t="array" ref="S559">VLOOKUP(B559,'Player Data'!$A1:$AE673,7,FALSE)*$Q559*IFERROR((VLOOKUP(P559,Settings!$E$28:$F$33,2,FALSE)+1),1)</f>
        <v>11.36</v>
      </c>
      <c r="T559" s="57" cm="1">
        <f t="array" ref="T559">VLOOKUP(B559,'Player Data'!$A1:$AE673,8,FALSE)*$Q559*IFERROR((VLOOKUP(P559,Settings!$E$28:$F$33,2,FALSE)+1),1)</f>
        <v>15.62</v>
      </c>
      <c r="U559" s="57" cm="1">
        <f t="array" ref="U559">SUM(S559:T559)</f>
        <v>26.979999999999997</v>
      </c>
      <c r="V559" s="57" cm="1">
        <f t="array" ref="V559">VLOOKUP(B559,'Player Data'!$A1:$AE673,10,FALSE)*$Q559*IFERROR(((VLOOKUP(P559,Settings!$E$28:$F$33,2,FALSE)/2)+1),1)</f>
        <v>97.27000000000001</v>
      </c>
      <c r="W559" s="57" cm="1">
        <f t="array" ref="W559">VLOOKUP(B559,'Player Data'!$A1:$AE673,11,FALSE)*$Q559*IFERROR((VLOOKUP(P559,Settings!$E$28:$F$33,2,FALSE)+1),1)</f>
        <v>0.71</v>
      </c>
      <c r="X559" s="57" cm="1">
        <f t="array" ref="X559">VLOOKUP(B559,'Player Data'!$A1:$AE673,12,FALSE)*$Q559*IFERROR((VLOOKUP(P559,Settings!$E$28:$F$33,2,FALSE)+1),1)</f>
        <v>1.42</v>
      </c>
      <c r="Y559" s="57" cm="1">
        <f t="array" ref="Y559">VLOOKUP(B559,'Player Data'!$A1:$AE673,13,FALSE)*$Q559</f>
        <v>0</v>
      </c>
      <c r="Z559" s="57" cm="1">
        <f t="array" ref="Z559">VLOOKUP(B559,'Player Data'!$A1:$AE673,14,FALSE)*$Q559</f>
        <v>0</v>
      </c>
      <c r="AA559" s="57" cm="1">
        <f t="array" ref="AA559">VLOOKUP(B559,'Player Data'!$A1:$AE673,15,FALSE)*$Q559</f>
        <v>23.43</v>
      </c>
      <c r="AB559" s="57" cm="1">
        <f t="array" ref="AB559">VLOOKUP(B559,'Player Data'!$A1:$AE673,16,FALSE)*$Q559</f>
        <v>81.649999999999991</v>
      </c>
      <c r="AC559" s="57" cm="1">
        <f t="array" ref="AC559">VLOOKUP(B559,'Player Data'!$A1:$AE673,17,FALSE)*$Q559*IFERROR((VLOOKUP(P559,Settings!$E$28:$F$33,2,FALSE)+1),1)</f>
        <v>2.13</v>
      </c>
      <c r="AD559" s="57" cm="1">
        <f t="array" ref="AD559">VLOOKUP(B559,'Player Data'!$A1:$AE673,18,FALSE)*$Q559</f>
        <v>24.849999999999998</v>
      </c>
      <c r="AE559" s="57" cm="1">
        <f t="array" ref="AE559">VLOOKUP(B559,'Player Data'!$A1:$AE673,19,FALSE)*$Q559*IFERROR((VLOOKUP(P559,Settings!$E$28:$F$33,2,FALSE)+1),1)</f>
        <v>2.13</v>
      </c>
      <c r="AF559" s="57" cm="1">
        <f t="array" ref="AF559">VLOOKUP(B559,'Player Data'!$A1:$AE673,20,FALSE)*$Q559</f>
        <v>4.26</v>
      </c>
      <c r="AG559" s="57" cm="1">
        <f t="array" ref="AG559">VLOOKUP(B559,'Player Data'!$A1:$AE673,21,FALSE)*$Q559</f>
        <v>14.91</v>
      </c>
      <c r="AH559" s="59" cm="1">
        <f t="array" ref="AH559">VLOOKUP(B559,'Player Data'!$A1:$AE673,22,FALSE)</f>
        <v>0.22</v>
      </c>
      <c r="AI559" s="55"/>
      <c r="AJ559" s="57"/>
      <c r="AK559" s="57"/>
      <c r="AL559" s="57"/>
      <c r="AM559" s="57"/>
      <c r="AN559" s="57"/>
      <c r="AO559" s="57"/>
      <c r="AP559" s="57"/>
      <c r="AQ559" s="60"/>
      <c r="AR559" s="61"/>
      <c r="AS559" s="55"/>
    </row>
    <row r="560" spans="1:45" ht="21.25" customHeight="1" x14ac:dyDescent="0.15">
      <c r="A560" s="62">
        <f>RANK(K560,K$2:K$671)</f>
        <v>556</v>
      </c>
      <c r="B560" s="10" t="s">
        <v>469</v>
      </c>
      <c r="C560" s="47" t="s">
        <v>145</v>
      </c>
      <c r="D560" s="48" t="str" cm="1">
        <f t="array" ref="D560">VLOOKUP(B560,'Player Data'!A1:D673,4,FALSE)</f>
        <v>C,RW</v>
      </c>
      <c r="E560" s="74" cm="1">
        <f t="array" ref="E560">VLOOKUP(B560,RW!A1:F210,3,FALSE)</f>
        <v>155</v>
      </c>
      <c r="F560" s="69" t="str" cm="1">
        <f t="array" ref="F560">VLOOKUP(B560,'Player Data'!A1:B673,2,FALSE)</f>
        <v>N.J</v>
      </c>
      <c r="G560" s="71" cm="1">
        <f t="array" ref="G560">VLOOKUP(B560,'Player Data'!A1:D673,3,FALSE)</f>
        <v>24</v>
      </c>
      <c r="H560" s="67" cm="1">
        <f t="array" ref="H560">IFERROR(VLOOKUP(B560,ADP!A1:F671,6,FALSE)/1000000,VLOOKUP(B560,ADP!A1:F671,6,FALSE))</f>
        <v>4</v>
      </c>
      <c r="I560" s="52">
        <f>IF(Settings!$E$15="POINTS",((R560*Q560)*Settings!$B$12)+(S560*Settings!$B$2)+(T560*Settings!$B$3)+(U560*Settings!$B$4)+(V560*Settings!$B$5)+(X560*Settings!$B$9)+(AA560*Settings!$B$6)+(W560*Settings!$B$8)+(AB560*Settings!$B$7)+(AC560*Settings!$B$14)+(AD560*Settings!$B$15)+(AE560*Settings!$B$16)+(AF560*Settings!$B$17)+(AG560*Settings!$B$18)+(Y560*Settings!$B$10)+(Z560*Settings!$B$11),VLOOKUP(B560,'Standard Deviations'!A$1:C$672,3,FALSE))</f>
        <v>-1.7040895708625621</v>
      </c>
      <c r="J560" s="53" cm="1">
        <f t="array" ref="J560">IF(D560="G",I560/AJ560,I560/Q560)</f>
        <v>-2.0286780605506691E-2</v>
      </c>
      <c r="K560" s="52" cm="1">
        <f t="array" ref="K560">IF(Settings!$E$18="C/LW/RW",VLOOKUP(B560,RW!A1:F210,6,FALSE),VLOOKUP(B560,F!A1:F407,6,FALSE))</f>
        <v>-8.5913241726716389</v>
      </c>
      <c r="L560" s="54" cm="1">
        <f t="array" ref="L560">IFERROR(K560/H560,"N/A")</f>
        <v>-2.1478310431679097</v>
      </c>
      <c r="M560" s="84" t="s">
        <v>828</v>
      </c>
      <c r="N560" s="84" t="str" cm="1">
        <f t="array" ref="N560">IFERROR(M560-A560,"N/A")</f>
        <v>N/A</v>
      </c>
      <c r="O560" s="55"/>
      <c r="P560" s="56" cm="1">
        <f t="array" ref="P560">_xlfn.XLOOKUP($B560,ADP!A2:A671,ADP!G2:G671)</f>
        <v>0</v>
      </c>
      <c r="Q560" s="57" cm="1">
        <f t="array" ref="Q560">IF(Settings!$E$12="YES",VLOOKUP(B560,'Player Data'!A1:E673,5,FALSE),84)</f>
        <v>84</v>
      </c>
      <c r="R560" s="55" cm="1">
        <f t="array" ref="R560">VLOOKUP(B560,'Player Data'!$A1:$AE673,6,FALSE)</f>
        <v>17.8</v>
      </c>
      <c r="S560" s="57" cm="1">
        <f t="array" ref="S560">VLOOKUP(B560,'Player Data'!$A1:$AE673,7,FALSE)*$Q560*IFERROR((VLOOKUP(P560,Settings!$E$28:$F$33,2,FALSE)+1),1)</f>
        <v>16.8</v>
      </c>
      <c r="T560" s="57" cm="1">
        <f t="array" ref="T560">VLOOKUP(B560,'Player Data'!$A1:$AE673,8,FALSE)*$Q560*IFERROR((VLOOKUP(P560,Settings!$E$28:$F$33,2,FALSE)+1),1)</f>
        <v>16.8</v>
      </c>
      <c r="U560" s="57" cm="1">
        <f t="array" ref="U560">SUM(S560:T560)</f>
        <v>33.6</v>
      </c>
      <c r="V560" s="57" cm="1">
        <f t="array" ref="V560">VLOOKUP(B560,'Player Data'!$A1:$AE673,10,FALSE)*$Q560*IFERROR(((VLOOKUP(P560,Settings!$E$28:$F$33,2,FALSE)/2)+1),1)</f>
        <v>128.52000000000001</v>
      </c>
      <c r="W560" s="57" cm="1">
        <f t="array" ref="W560">VLOOKUP(B560,'Player Data'!$A1:$AE673,11,FALSE)*$Q560*IFERROR((VLOOKUP(P560,Settings!$E$28:$F$33,2,FALSE)+1),1)</f>
        <v>1.68</v>
      </c>
      <c r="X560" s="57" cm="1">
        <f t="array" ref="X560">VLOOKUP(B560,'Player Data'!$A1:$AE673,12,FALSE)*$Q560*IFERROR((VLOOKUP(P560,Settings!$E$28:$F$33,2,FALSE)+1),1)</f>
        <v>3.36</v>
      </c>
      <c r="Y560" s="57" cm="1">
        <f t="array" ref="Y560">VLOOKUP(B560,'Player Data'!$A1:$AE673,13,FALSE)*$Q560</f>
        <v>1.68</v>
      </c>
      <c r="Z560" s="57" cm="1">
        <f t="array" ref="Z560">VLOOKUP(B560,'Player Data'!$A1:$AE673,14,FALSE)*$Q560</f>
        <v>1.68</v>
      </c>
      <c r="AA560" s="57" cm="1">
        <f t="array" ref="AA560">VLOOKUP(B560,'Player Data'!$A1:$AE673,15,FALSE)*$Q560</f>
        <v>46.2</v>
      </c>
      <c r="AB560" s="57" cm="1">
        <f t="array" ref="AB560">VLOOKUP(B560,'Player Data'!$A1:$AE673,16,FALSE)*$Q560</f>
        <v>37.800000000000004</v>
      </c>
      <c r="AC560" s="57" cm="1">
        <f t="array" ref="AC560">VLOOKUP(B560,'Player Data'!$A1:$AE673,17,FALSE)*$Q560*IFERROR((VLOOKUP(P560,Settings!$E$28:$F$33,2,FALSE)+1),1)</f>
        <v>0</v>
      </c>
      <c r="AD560" s="57" cm="1">
        <f t="array" ref="AD560">VLOOKUP(B560,'Player Data'!$A1:$AE673,18,FALSE)*$Q560</f>
        <v>23.520000000000003</v>
      </c>
      <c r="AE560" s="57" cm="1">
        <f t="array" ref="AE560">VLOOKUP(B560,'Player Data'!$A1:$AE673,19,FALSE)*$Q560*IFERROR((VLOOKUP(P560,Settings!$E$28:$F$33,2,FALSE)+1),1)</f>
        <v>2.52</v>
      </c>
      <c r="AF560" s="57" cm="1">
        <f t="array" ref="AF560">VLOOKUP(B560,'Player Data'!$A1:$AE673,20,FALSE)*$Q560</f>
        <v>115.91999999999999</v>
      </c>
      <c r="AG560" s="57" cm="1">
        <f t="array" ref="AG560">VLOOKUP(B560,'Player Data'!$A1:$AE673,21,FALSE)*$Q560</f>
        <v>168</v>
      </c>
      <c r="AH560" s="59" cm="1">
        <f t="array" ref="AH560">VLOOKUP(B560,'Player Data'!$A1:$AE673,22,FALSE)</f>
        <v>0.41</v>
      </c>
      <c r="AI560" s="55"/>
      <c r="AJ560" s="57"/>
      <c r="AK560" s="57"/>
      <c r="AL560" s="57"/>
      <c r="AM560" s="57"/>
      <c r="AN560" s="57"/>
      <c r="AO560" s="57"/>
      <c r="AP560" s="57"/>
      <c r="AQ560" s="60"/>
      <c r="AR560" s="61"/>
      <c r="AS560" s="55"/>
    </row>
    <row r="561" spans="1:45" ht="21.25" customHeight="1" x14ac:dyDescent="0.15">
      <c r="A561" s="62">
        <f>RANK(K561,K$2:K$671)</f>
        <v>562</v>
      </c>
      <c r="B561" s="10" t="s">
        <v>668</v>
      </c>
      <c r="C561" s="47" t="s">
        <v>145</v>
      </c>
      <c r="D561" s="48" t="str" cm="1">
        <f t="array" ref="D561">VLOOKUP(B561,'Player Data'!A1:D673,4,FALSE)</f>
        <v>LW</v>
      </c>
      <c r="E561" s="75" cm="1">
        <f t="array" ref="E561">VLOOKUP(B561,LW!A1:C210,3,FALSE)</f>
        <v>159</v>
      </c>
      <c r="F561" s="72" t="str" cm="1">
        <f t="array" ref="F561">VLOOKUP(B561,'Player Data'!A1:B673,2,FALSE)</f>
        <v>BOS</v>
      </c>
      <c r="G561" s="11" cm="1">
        <f t="array" ref="G561">VLOOKUP(B561,'Player Data'!A1:D673,3,FALSE)</f>
        <v>30</v>
      </c>
      <c r="H561" s="67" cm="1">
        <f t="array" ref="H561">IFERROR(VLOOKUP(B561,ADP!A1:F671,6,FALSE)/1000000,VLOOKUP(B561,ADP!A1:F671,6,FALSE))</f>
        <v>1.45</v>
      </c>
      <c r="I561" s="52">
        <f>IF(Settings!$E$15="POINTS",((R561*Q561)*Settings!$B$12)+(S561*Settings!$B$2)+(T561*Settings!$B$3)+(U561*Settings!$B$4)+(V561*Settings!$B$5)+(X561*Settings!$B$9)+(AA561*Settings!$B$6)+(W561*Settings!$B$8)+(AB561*Settings!$B$7)+(AC561*Settings!$B$14)+(AD561*Settings!$B$15)+(AE561*Settings!$B$16)+(AF561*Settings!$B$17)+(AG561*Settings!$B$18)+(Y561*Settings!$B$10)+(Z561*Settings!$B$11),VLOOKUP(B561,'Standard Deviations'!A$1:C$672,3,FALSE))</f>
        <v>-1.7628096282874823</v>
      </c>
      <c r="J561" s="53" cm="1">
        <f t="array" ref="J561">IF(D561="G",I561/AJ561,I561/Q561)</f>
        <v>-2.2314045927689648E-2</v>
      </c>
      <c r="K561" s="52" cm="1">
        <f t="array" ref="K561">IF(Settings!$E$18="C/LW/RW",VLOOKUP(B561,LW!A1:F210,6,FALSE),VLOOKUP(B561,F!A1:F407,6,FALSE))</f>
        <v>-8.6571952726772921</v>
      </c>
      <c r="L561" s="54" cm="1">
        <f t="array" ref="L561">IFERROR(K561/H561,"N/A")</f>
        <v>-5.9704794983981326</v>
      </c>
      <c r="M561" s="84" t="s">
        <v>828</v>
      </c>
      <c r="N561" s="84" t="str" cm="1">
        <f t="array" ref="N561">IFERROR(M561-A561,"N/A")</f>
        <v>N/A</v>
      </c>
      <c r="O561" s="55"/>
      <c r="P561" s="56" cm="1">
        <f t="array" ref="P561">_xlfn.XLOOKUP($B561,ADP!A2:A671,ADP!G2:G671)</f>
        <v>0</v>
      </c>
      <c r="Q561" s="57" cm="1">
        <f t="array" ref="Q561">IF(Settings!$E$12="YES",VLOOKUP(B561,'Player Data'!A1:E673,5,FALSE),84)</f>
        <v>79</v>
      </c>
      <c r="R561" s="55" cm="1">
        <f t="array" ref="R561">VLOOKUP(B561,'Player Data'!$A1:$AE673,6,FALSE)</f>
        <v>11.8</v>
      </c>
      <c r="S561" s="57" cm="1">
        <f t="array" ref="S561">VLOOKUP(B561,'Player Data'!$A1:$AE673,7,FALSE)*$Q561*IFERROR((VLOOKUP(P561,Settings!$E$28:$F$33,2,FALSE)+1),1)</f>
        <v>10.27</v>
      </c>
      <c r="T561" s="57" cm="1">
        <f t="array" ref="T561">VLOOKUP(B561,'Player Data'!$A1:$AE673,8,FALSE)*$Q561*IFERROR((VLOOKUP(P561,Settings!$E$28:$F$33,2,FALSE)+1),1)</f>
        <v>11.06</v>
      </c>
      <c r="U561" s="57" cm="1">
        <f t="array" ref="U561">SUM(S561:T561)</f>
        <v>21.33</v>
      </c>
      <c r="V561" s="57" cm="1">
        <f t="array" ref="V561">VLOOKUP(B561,'Player Data'!$A1:$AE673,10,FALSE)*$Q561*IFERROR(((VLOOKUP(P561,Settings!$E$28:$F$33,2,FALSE)/2)+1),1)</f>
        <v>147.73000000000002</v>
      </c>
      <c r="W561" s="57" cm="1">
        <f t="array" ref="W561">VLOOKUP(B561,'Player Data'!$A1:$AE673,11,FALSE)*$Q561*IFERROR((VLOOKUP(P561,Settings!$E$28:$F$33,2,FALSE)+1),1)</f>
        <v>0</v>
      </c>
      <c r="X561" s="57" cm="1">
        <f t="array" ref="X561">VLOOKUP(B561,'Player Data'!$A1:$AE673,12,FALSE)*$Q561*IFERROR((VLOOKUP(P561,Settings!$E$28:$F$33,2,FALSE)+1),1)</f>
        <v>0.79</v>
      </c>
      <c r="Y561" s="57" cm="1">
        <f t="array" ref="Y561">VLOOKUP(B561,'Player Data'!$A1:$AE673,13,FALSE)*$Q561</f>
        <v>0</v>
      </c>
      <c r="Z561" s="57" cm="1">
        <f t="array" ref="Z561">VLOOKUP(B561,'Player Data'!$A1:$AE673,14,FALSE)*$Q561</f>
        <v>0</v>
      </c>
      <c r="AA561" s="57" cm="1">
        <f t="array" ref="AA561">VLOOKUP(B561,'Player Data'!$A1:$AE673,15,FALSE)*$Q561</f>
        <v>31.6</v>
      </c>
      <c r="AB561" s="57" cm="1">
        <f t="array" ref="AB561">VLOOKUP(B561,'Player Data'!$A1:$AE673,16,FALSE)*$Q561</f>
        <v>99.54</v>
      </c>
      <c r="AC561" s="57" cm="1">
        <f t="array" ref="AC561">VLOOKUP(B561,'Player Data'!$A1:$AE673,17,FALSE)*$Q561*IFERROR((VLOOKUP(P561,Settings!$E$28:$F$33,2,FALSE)+1),1)</f>
        <v>-1.58</v>
      </c>
      <c r="AD561" s="57" cm="1">
        <f t="array" ref="AD561">VLOOKUP(B561,'Player Data'!$A1:$AE673,18,FALSE)*$Q561</f>
        <v>51.35</v>
      </c>
      <c r="AE561" s="57" cm="1">
        <f t="array" ref="AE561">VLOOKUP(B561,'Player Data'!$A1:$AE673,19,FALSE)*$Q561*IFERROR((VLOOKUP(P561,Settings!$E$28:$F$33,2,FALSE)+1),1)</f>
        <v>1.58</v>
      </c>
      <c r="AF561" s="57" cm="1">
        <f t="array" ref="AF561">VLOOKUP(B561,'Player Data'!$A1:$AE673,20,FALSE)*$Q561</f>
        <v>4.74</v>
      </c>
      <c r="AG561" s="57" cm="1">
        <f t="array" ref="AG561">VLOOKUP(B561,'Player Data'!$A1:$AE673,21,FALSE)*$Q561</f>
        <v>7.1099999999999994</v>
      </c>
      <c r="AH561" s="59" cm="1">
        <f t="array" ref="AH561">VLOOKUP(B561,'Player Data'!$A1:$AE673,22,FALSE)</f>
        <v>0.43</v>
      </c>
      <c r="AI561" s="55"/>
      <c r="AJ561" s="57"/>
      <c r="AK561" s="57"/>
      <c r="AL561" s="57"/>
      <c r="AM561" s="57"/>
      <c r="AN561" s="57"/>
      <c r="AO561" s="57"/>
      <c r="AP561" s="57"/>
      <c r="AQ561" s="60"/>
      <c r="AR561" s="61"/>
      <c r="AS561" s="55"/>
    </row>
    <row r="562" spans="1:45" ht="21.25" customHeight="1" x14ac:dyDescent="0.15">
      <c r="A562" s="62">
        <f>RANK(K562,K$2:K$671)</f>
        <v>557</v>
      </c>
      <c r="B562" s="10" t="s">
        <v>696</v>
      </c>
      <c r="C562" s="47" t="s">
        <v>145</v>
      </c>
      <c r="D562" s="48" t="str" cm="1">
        <f t="array" ref="D562">VLOOKUP(B562,'Player Data'!A1:D673,4,FALSE)</f>
        <v>RW</v>
      </c>
      <c r="E562" s="64" cm="1">
        <f t="array" ref="E562">VLOOKUP(B562,RW!A1:F210,3,FALSE)</f>
        <v>156</v>
      </c>
      <c r="F562" s="65" t="str" cm="1">
        <f t="array" ref="F562">VLOOKUP(B562,'Player Data'!A1:B673,2,FALSE)</f>
        <v>T.B</v>
      </c>
      <c r="G562" s="11" cm="1">
        <f t="array" ref="G562">VLOOKUP(B562,'Player Data'!A1:D673,3,FALSE)</f>
        <v>27</v>
      </c>
      <c r="H562" s="67" cm="1">
        <f t="array" ref="H562">IFERROR(VLOOKUP(B562,ADP!A1:F671,6,FALSE)/1000000,VLOOKUP(B562,ADP!A1:F671,6,FALSE))</f>
        <v>1.55</v>
      </c>
      <c r="I562" s="52">
        <f>IF(Settings!$E$15="POINTS",((R562*Q562)*Settings!$B$12)+(S562*Settings!$B$2)+(T562*Settings!$B$3)+(U562*Settings!$B$4)+(V562*Settings!$B$5)+(X562*Settings!$B$9)+(AA562*Settings!$B$6)+(W562*Settings!$B$8)+(AB562*Settings!$B$7)+(AC562*Settings!$B$14)+(AD562*Settings!$B$15)+(AE562*Settings!$B$16)+(AF562*Settings!$B$17)+(AG562*Settings!$B$18)+(Y562*Settings!$B$10)+(Z562*Settings!$B$11),VLOOKUP(B562,'Standard Deviations'!A$1:C$672,3,FALSE))</f>
        <v>-1.7204186641133012</v>
      </c>
      <c r="J562" s="53" cm="1">
        <f t="array" ref="J562">IF(D562="G",I562/AJ562,I562/Q562)</f>
        <v>-2.2343099533938978E-2</v>
      </c>
      <c r="K562" s="52" cm="1">
        <f t="array" ref="K562">IF(Settings!$E$18="C/LW/RW",VLOOKUP(B562,RW!A1:F210,6,FALSE),VLOOKUP(B562,F!A1:F407,6,FALSE))</f>
        <v>-8.6076532659223783</v>
      </c>
      <c r="L562" s="54" cm="1">
        <f t="array" ref="L562">IFERROR(K562/H562,"N/A")</f>
        <v>-5.5533246876918572</v>
      </c>
      <c r="M562" s="84" t="s">
        <v>828</v>
      </c>
      <c r="N562" s="84" t="str" cm="1">
        <f t="array" ref="N562">IFERROR(M562-A562,"N/A")</f>
        <v>N/A</v>
      </c>
      <c r="O562" s="55"/>
      <c r="P562" s="56" cm="1">
        <f t="array" ref="P562">_xlfn.XLOOKUP($B562,ADP!A2:A671,ADP!G2:G671)</f>
        <v>0</v>
      </c>
      <c r="Q562" s="57" cm="1">
        <f t="array" ref="Q562">IF(Settings!$E$12="YES",VLOOKUP(B562,'Player Data'!A1:E673,5,FALSE),84)</f>
        <v>77</v>
      </c>
      <c r="R562" s="83" cm="1">
        <f t="array" ref="R562">VLOOKUP(B562,'Player Data'!$A1:$AE673,6,FALSE)</f>
        <v>12.2</v>
      </c>
      <c r="S562" s="57" cm="1">
        <f t="array" ref="S562">VLOOKUP(B562,'Player Data'!$A1:$AE673,7,FALSE)*$Q562*IFERROR((VLOOKUP(P562,Settings!$E$28:$F$33,2,FALSE)+1),1)</f>
        <v>10.01</v>
      </c>
      <c r="T562" s="57" cm="1">
        <f t="array" ref="T562">VLOOKUP(B562,'Player Data'!$A1:$AE673,8,FALSE)*$Q562*IFERROR((VLOOKUP(P562,Settings!$E$28:$F$33,2,FALSE)+1),1)</f>
        <v>12.32</v>
      </c>
      <c r="U562" s="57" cm="1">
        <f t="array" ref="U562">SUM(S562:T562)</f>
        <v>22.33</v>
      </c>
      <c r="V562" s="57" cm="1">
        <f t="array" ref="V562">VLOOKUP(B562,'Player Data'!$A1:$AE673,10,FALSE)*$Q562*IFERROR(((VLOOKUP(P562,Settings!$E$28:$F$33,2,FALSE)/2)+1),1)</f>
        <v>84.7</v>
      </c>
      <c r="W562" s="57" cm="1">
        <f t="array" ref="W562">VLOOKUP(B562,'Player Data'!$A1:$AE673,11,FALSE)*$Q562*IFERROR((VLOOKUP(P562,Settings!$E$28:$F$33,2,FALSE)+1),1)</f>
        <v>0</v>
      </c>
      <c r="X562" s="57" cm="1">
        <f t="array" ref="X562">VLOOKUP(B562,'Player Data'!$A1:$AE673,12,FALSE)*$Q562*IFERROR((VLOOKUP(P562,Settings!$E$28:$F$33,2,FALSE)+1),1)</f>
        <v>0</v>
      </c>
      <c r="Y562" s="57" cm="1">
        <f t="array" ref="Y562">VLOOKUP(B562,'Player Data'!$A1:$AE673,13,FALSE)*$Q562</f>
        <v>0</v>
      </c>
      <c r="Z562" s="57" cm="1">
        <f t="array" ref="Z562">VLOOKUP(B562,'Player Data'!$A1:$AE673,14,FALSE)*$Q562</f>
        <v>0</v>
      </c>
      <c r="AA562" s="57" cm="1">
        <f t="array" ref="AA562">VLOOKUP(B562,'Player Data'!$A1:$AE673,15,FALSE)*$Q562</f>
        <v>36.96</v>
      </c>
      <c r="AB562" s="57" cm="1">
        <f t="array" ref="AB562">VLOOKUP(B562,'Player Data'!$A1:$AE673,16,FALSE)*$Q562</f>
        <v>65.45</v>
      </c>
      <c r="AC562" s="57" cm="1">
        <f t="array" ref="AC562">VLOOKUP(B562,'Player Data'!$A1:$AE673,17,FALSE)*$Q562*IFERROR((VLOOKUP(P562,Settings!$E$28:$F$33,2,FALSE)+1),1)</f>
        <v>6.93</v>
      </c>
      <c r="AD562" s="57" cm="1">
        <f t="array" ref="AD562">VLOOKUP(B562,'Player Data'!$A1:$AE673,18,FALSE)*$Q562</f>
        <v>27.72</v>
      </c>
      <c r="AE562" s="57" cm="1">
        <f t="array" ref="AE562">VLOOKUP(B562,'Player Data'!$A1:$AE673,19,FALSE)*$Q562*IFERROR((VLOOKUP(P562,Settings!$E$28:$F$33,2,FALSE)+1),1)</f>
        <v>1.54</v>
      </c>
      <c r="AF562" s="57" cm="1">
        <f t="array" ref="AF562">VLOOKUP(B562,'Player Data'!$A1:$AE673,20,FALSE)*$Q562</f>
        <v>49.28</v>
      </c>
      <c r="AG562" s="57" cm="1">
        <f t="array" ref="AG562">VLOOKUP(B562,'Player Data'!$A1:$AE673,21,FALSE)*$Q562</f>
        <v>66.22</v>
      </c>
      <c r="AH562" s="59" cm="1">
        <f t="array" ref="AH562">VLOOKUP(B562,'Player Data'!$A1:$AE673,22,FALSE)</f>
        <v>0.43</v>
      </c>
      <c r="AI562" s="55"/>
      <c r="AJ562" s="57"/>
      <c r="AK562" s="57"/>
      <c r="AL562" s="57"/>
      <c r="AM562" s="57"/>
      <c r="AN562" s="57"/>
      <c r="AO562" s="57"/>
      <c r="AP562" s="57"/>
      <c r="AQ562" s="60"/>
      <c r="AR562" s="61"/>
      <c r="AS562" s="55"/>
    </row>
    <row r="563" spans="1:45" ht="21.25" customHeight="1" x14ac:dyDescent="0.15">
      <c r="A563" s="62">
        <f>RANK(K563,K$2:K$671)</f>
        <v>558</v>
      </c>
      <c r="B563" s="10" t="s">
        <v>708</v>
      </c>
      <c r="C563" s="47" t="s">
        <v>145</v>
      </c>
      <c r="D563" s="48" t="str" cm="1">
        <f t="array" ref="D563">VLOOKUP(B563,'Player Data'!A1:D673,4,FALSE)</f>
        <v>C,RW</v>
      </c>
      <c r="E563" s="74" cm="1">
        <f t="array" ref="E563">VLOOKUP(B563,RW!A1:F210,3,FALSE)</f>
        <v>157</v>
      </c>
      <c r="F563" s="63" t="str" cm="1">
        <f t="array" ref="F563">VLOOKUP(B563,'Player Data'!A1:B673,2,FALSE)</f>
        <v>DAL</v>
      </c>
      <c r="G563" s="11" cm="1">
        <f t="array" ref="G563">VLOOKUP(B563,'Player Data'!A1:D673,3,FALSE)</f>
        <v>25</v>
      </c>
      <c r="H563" s="51" cm="1">
        <f t="array" ref="H563">IFERROR(VLOOKUP(B563,ADP!A1:F671,6,FALSE)/1000000,VLOOKUP(B563,ADP!A1:F671,6,FALSE))</f>
        <v>0.875</v>
      </c>
      <c r="I563" s="52">
        <f>IF(Settings!$E$15="POINTS",((R563*Q563)*Settings!$B$12)+(S563*Settings!$B$2)+(T563*Settings!$B$3)+(U563*Settings!$B$4)+(V563*Settings!$B$5)+(X563*Settings!$B$9)+(AA563*Settings!$B$6)+(W563*Settings!$B$8)+(AB563*Settings!$B$7)+(AC563*Settings!$B$14)+(AD563*Settings!$B$15)+(AE563*Settings!$B$16)+(AF563*Settings!$B$17)+(AG563*Settings!$B$18)+(Y563*Settings!$B$10)+(Z563*Settings!$B$11),VLOOKUP(B563,'Standard Deviations'!A$1:C$672,3,FALSE))</f>
        <v>-1.726368971078331</v>
      </c>
      <c r="J563" s="53" cm="1">
        <f t="array" ref="J563">IF(D563="G",I563/AJ563,I563/Q563)</f>
        <v>-2.576670106087061E-2</v>
      </c>
      <c r="K563" s="52" cm="1">
        <f t="array" ref="K563">IF(Settings!$E$18="C/LW/RW",VLOOKUP(B563,RW!A1:F210,6,FALSE),VLOOKUP(B563,F!A1:F407,6,FALSE))</f>
        <v>-8.6136035728874081</v>
      </c>
      <c r="L563" s="54" cm="1">
        <f t="array" ref="L563">IFERROR(K563/H563,"N/A")</f>
        <v>-9.8441183690141809</v>
      </c>
      <c r="M563" s="84" t="s">
        <v>828</v>
      </c>
      <c r="N563" s="84" t="str" cm="1">
        <f t="array" ref="N563">IFERROR(M563-A563,"N/A")</f>
        <v>N/A</v>
      </c>
      <c r="O563" s="55"/>
      <c r="P563" s="56" cm="1">
        <f t="array" ref="P563">_xlfn.XLOOKUP($B563,ADP!A2:A671,ADP!G2:G671)</f>
        <v>0</v>
      </c>
      <c r="Q563" s="57" cm="1">
        <f t="array" ref="Q563">IF(Settings!$E$12="YES",VLOOKUP(B563,'Player Data'!A1:E673,5,FALSE),84)</f>
        <v>67</v>
      </c>
      <c r="R563" s="81" cm="1">
        <f t="array" ref="R563">VLOOKUP(B563,'Player Data'!$A1:$AE673,6,FALSE)</f>
        <v>13.4</v>
      </c>
      <c r="S563" s="57" cm="1">
        <f t="array" ref="S563">VLOOKUP(B563,'Player Data'!$A1:$AE673,7,FALSE)*$Q563*IFERROR((VLOOKUP(P563,Settings!$E$28:$F$33,2,FALSE)+1),1)</f>
        <v>9.3800000000000008</v>
      </c>
      <c r="T563" s="57" cm="1">
        <f t="array" ref="T563">VLOOKUP(B563,'Player Data'!$A1:$AE673,8,FALSE)*$Q563*IFERROR((VLOOKUP(P563,Settings!$E$28:$F$33,2,FALSE)+1),1)</f>
        <v>10.049999999999999</v>
      </c>
      <c r="U563" s="57" cm="1">
        <f t="array" ref="U563">SUM(S563:T563)</f>
        <v>19.43</v>
      </c>
      <c r="V563" s="57" cm="1">
        <f t="array" ref="V563">VLOOKUP(B563,'Player Data'!$A1:$AE673,10,FALSE)*$Q563*IFERROR(((VLOOKUP(P563,Settings!$E$28:$F$33,2,FALSE)/2)+1),1)</f>
        <v>87.100000000000009</v>
      </c>
      <c r="W563" s="57" cm="1">
        <f t="array" ref="W563">VLOOKUP(B563,'Player Data'!$A1:$AE673,11,FALSE)*$Q563*IFERROR((VLOOKUP(P563,Settings!$E$28:$F$33,2,FALSE)+1),1)</f>
        <v>0</v>
      </c>
      <c r="X563" s="57" cm="1">
        <f t="array" ref="X563">VLOOKUP(B563,'Player Data'!$A1:$AE673,12,FALSE)*$Q563*IFERROR((VLOOKUP(P563,Settings!$E$28:$F$33,2,FALSE)+1),1)</f>
        <v>0</v>
      </c>
      <c r="Y563" s="57" cm="1">
        <f t="array" ref="Y563">VLOOKUP(B563,'Player Data'!$A1:$AE673,13,FALSE)*$Q563</f>
        <v>2.0099999999999998</v>
      </c>
      <c r="Z563" s="57" cm="1">
        <f t="array" ref="Z563">VLOOKUP(B563,'Player Data'!$A1:$AE673,14,FALSE)*$Q563</f>
        <v>2.0099999999999998</v>
      </c>
      <c r="AA563" s="57" cm="1">
        <f t="array" ref="AA563">VLOOKUP(B563,'Player Data'!$A1:$AE673,15,FALSE)*$Q563</f>
        <v>30.150000000000002</v>
      </c>
      <c r="AB563" s="57" cm="1">
        <f t="array" ref="AB563">VLOOKUP(B563,'Player Data'!$A1:$AE673,16,FALSE)*$Q563</f>
        <v>111.89</v>
      </c>
      <c r="AC563" s="57" cm="1">
        <f t="array" ref="AC563">VLOOKUP(B563,'Player Data'!$A1:$AE673,17,FALSE)*$Q563*IFERROR((VLOOKUP(P563,Settings!$E$28:$F$33,2,FALSE)+1),1)</f>
        <v>3.35</v>
      </c>
      <c r="AD563" s="57" cm="1">
        <f t="array" ref="AD563">VLOOKUP(B563,'Player Data'!$A1:$AE673,18,FALSE)*$Q563</f>
        <v>17.420000000000002</v>
      </c>
      <c r="AE563" s="57" cm="1">
        <f t="array" ref="AE563">VLOOKUP(B563,'Player Data'!$A1:$AE673,19,FALSE)*$Q563*IFERROR((VLOOKUP(P563,Settings!$E$28:$F$33,2,FALSE)+1),1)</f>
        <v>1.34</v>
      </c>
      <c r="AF563" s="57" cm="1">
        <f t="array" ref="AF563">VLOOKUP(B563,'Player Data'!$A1:$AE673,20,FALSE)*$Q563</f>
        <v>461.63</v>
      </c>
      <c r="AG563" s="57" cm="1">
        <f t="array" ref="AG563">VLOOKUP(B563,'Player Data'!$A1:$AE673,21,FALSE)*$Q563</f>
        <v>315.57</v>
      </c>
      <c r="AH563" s="59" cm="1">
        <f t="array" ref="AH563">VLOOKUP(B563,'Player Data'!$A1:$AE673,22,FALSE)</f>
        <v>0.59</v>
      </c>
      <c r="AI563" s="55"/>
      <c r="AJ563" s="57"/>
      <c r="AK563" s="57"/>
      <c r="AL563" s="57"/>
      <c r="AM563" s="57"/>
      <c r="AN563" s="57"/>
      <c r="AO563" s="57"/>
      <c r="AP563" s="57"/>
      <c r="AQ563" s="60"/>
      <c r="AR563" s="61"/>
      <c r="AS563" s="55"/>
    </row>
    <row r="564" spans="1:45" ht="21.25" customHeight="1" x14ac:dyDescent="0.15">
      <c r="A564" s="62">
        <f>RANK(K564,K$2:K$671)</f>
        <v>563</v>
      </c>
      <c r="B564" s="10" t="s">
        <v>653</v>
      </c>
      <c r="C564" s="47" t="s">
        <v>145</v>
      </c>
      <c r="D564" s="48" t="str" cm="1">
        <f t="array" ref="D564">VLOOKUP(B564,'Player Data'!A1:D673,4,FALSE)</f>
        <v>C</v>
      </c>
      <c r="E564" s="49" cm="1">
        <f t="array" ref="E564">VLOOKUP(B564,'C'!A1:C210,3,FALSE)</f>
        <v>157</v>
      </c>
      <c r="F564" s="69" t="str" cm="1">
        <f t="array" ref="F564">VLOOKUP(B564,'Player Data'!A1:B673,2,FALSE)</f>
        <v>TOR</v>
      </c>
      <c r="G564" s="71" cm="1">
        <f t="array" ref="G564">VLOOKUP(B564,'Player Data'!A1:D673,3,FALSE)</f>
        <v>19</v>
      </c>
      <c r="H564" s="51" cm="1">
        <f t="array" ref="H564">IFERROR(VLOOKUP(B564,ADP!A1:F671,6,FALSE)/1000000,VLOOKUP(B564,ADP!A1:F671,6,FALSE))</f>
        <v>2.5</v>
      </c>
      <c r="I564" s="52">
        <f>IF(Settings!$E$15="POINTS",((R564*Q564)*Settings!$B$12)+(S564*Settings!$B$2)+(T564*Settings!$B$3)+(U564*Settings!$B$4)+(V564*Settings!$B$5)+(X564*Settings!$B$9)+(AA564*Settings!$B$6)+(W564*Settings!$B$8)+(AB564*Settings!$B$7)+(AC564*Settings!$B$14)+(AD564*Settings!$B$15)+(AE564*Settings!$B$16)+(AF564*Settings!$B$17)+(AG564*Settings!$B$18)+(Y564*Settings!$B$10)+(Z564*Settings!$B$11),VLOOKUP(B564,'Standard Deviations'!A$1:C$672,3,FALSE))</f>
        <v>-2.3293513954864569</v>
      </c>
      <c r="J564" s="53" cm="1">
        <f t="array" ref="J564">IF(D564="G",I564/AJ564,I564/Q564)</f>
        <v>-3.0251316824499441E-2</v>
      </c>
      <c r="K564" s="52" cm="1">
        <f t="array" ref="K564">IF(Settings!$E$18="C/LW/RW",VLOOKUP(B564,'C'!A1:F210,6,FALSE),VLOOKUP(B564,F!A1:F407,6,FALSE))</f>
        <v>-8.6893609531015201</v>
      </c>
      <c r="L564" s="54" cm="1">
        <f t="array" ref="L564">IFERROR(K564/H564,"N/A")</f>
        <v>-3.4757443812406081</v>
      </c>
      <c r="M564" s="84" t="s">
        <v>828</v>
      </c>
      <c r="N564" s="84" t="str" cm="1">
        <f t="array" ref="N564">IFERROR(M564-A564,"N/A")</f>
        <v>N/A</v>
      </c>
      <c r="O564" s="55"/>
      <c r="P564" s="56" cm="1">
        <f t="array" ref="P564">_xlfn.XLOOKUP($B564,ADP!A2:A671,ADP!G2:G671)</f>
        <v>0</v>
      </c>
      <c r="Q564" s="57" cm="1">
        <f t="array" ref="Q564">IF(Settings!$E$12="YES",VLOOKUP(B564,'Player Data'!A1:E673,5,FALSE),84)</f>
        <v>77</v>
      </c>
      <c r="R564" s="83" cm="1">
        <f t="array" ref="R564">VLOOKUP(B564,'Player Data'!$A1:$AE673,6,FALSE)</f>
        <v>14.2</v>
      </c>
      <c r="S564" s="57" cm="1">
        <f t="array" ref="S564">VLOOKUP(B564,'Player Data'!$A1:$AE673,7,FALSE)*$Q564*IFERROR((VLOOKUP(P564,Settings!$E$28:$F$33,2,FALSE)+1),1)</f>
        <v>10.01</v>
      </c>
      <c r="T564" s="57" cm="1">
        <f t="array" ref="T564">VLOOKUP(B564,'Player Data'!$A1:$AE673,8,FALSE)*$Q564*IFERROR((VLOOKUP(P564,Settings!$E$28:$F$33,2,FALSE)+1),1)</f>
        <v>15.4</v>
      </c>
      <c r="U564" s="57" cm="1">
        <f t="array" ref="U564">SUM(S564:T564)</f>
        <v>25.41</v>
      </c>
      <c r="V564" s="57" cm="1">
        <f t="array" ref="V564">VLOOKUP(B564,'Player Data'!$A1:$AE673,10,FALSE)*$Q564*IFERROR(((VLOOKUP(P564,Settings!$E$28:$F$33,2,FALSE)/2)+1),1)</f>
        <v>91.63</v>
      </c>
      <c r="W564" s="57" cm="1">
        <f t="array" ref="W564">VLOOKUP(B564,'Player Data'!$A1:$AE673,11,FALSE)*$Q564*IFERROR((VLOOKUP(P564,Settings!$E$28:$F$33,2,FALSE)+1),1)</f>
        <v>0</v>
      </c>
      <c r="X564" s="57" cm="1">
        <f t="array" ref="X564">VLOOKUP(B564,'Player Data'!$A1:$AE673,12,FALSE)*$Q564*IFERROR((VLOOKUP(P564,Settings!$E$28:$F$33,2,FALSE)+1),1)</f>
        <v>0</v>
      </c>
      <c r="Y564" s="57" cm="1">
        <f t="array" ref="Y564">VLOOKUP(B564,'Player Data'!$A1:$AE673,13,FALSE)*$Q564</f>
        <v>2.31</v>
      </c>
      <c r="Z564" s="57" cm="1">
        <f t="array" ref="Z564">VLOOKUP(B564,'Player Data'!$A1:$AE673,14,FALSE)*$Q564</f>
        <v>3.08</v>
      </c>
      <c r="AA564" s="57" cm="1">
        <f t="array" ref="AA564">VLOOKUP(B564,'Player Data'!$A1:$AE673,15,FALSE)*$Q564</f>
        <v>36.96</v>
      </c>
      <c r="AB564" s="57" cm="1">
        <f t="array" ref="AB564">VLOOKUP(B564,'Player Data'!$A1:$AE673,16,FALSE)*$Q564</f>
        <v>100.87</v>
      </c>
      <c r="AC564" s="57" cm="1">
        <f t="array" ref="AC564">VLOOKUP(B564,'Player Data'!$A1:$AE673,17,FALSE)*$Q564*IFERROR((VLOOKUP(P564,Settings!$E$28:$F$33,2,FALSE)+1),1)</f>
        <v>-0.77</v>
      </c>
      <c r="AD564" s="57" cm="1">
        <f t="array" ref="AD564">VLOOKUP(B564,'Player Data'!$A1:$AE673,18,FALSE)*$Q564</f>
        <v>38.5</v>
      </c>
      <c r="AE564" s="57" cm="1">
        <f t="array" ref="AE564">VLOOKUP(B564,'Player Data'!$A1:$AE673,19,FALSE)*$Q564*IFERROR((VLOOKUP(P564,Settings!$E$28:$F$33,2,FALSE)+1),1)</f>
        <v>1.54</v>
      </c>
      <c r="AF564" s="57" cm="1">
        <f t="array" ref="AF564">VLOOKUP(B564,'Player Data'!$A1:$AE673,20,FALSE)*$Q564</f>
        <v>421.19</v>
      </c>
      <c r="AG564" s="57" cm="1">
        <f t="array" ref="AG564">VLOOKUP(B564,'Player Data'!$A1:$AE673,21,FALSE)*$Q564</f>
        <v>413.49</v>
      </c>
      <c r="AH564" s="59" cm="1">
        <f t="array" ref="AH564">VLOOKUP(B564,'Player Data'!$A1:$AE673,22,FALSE)</f>
        <v>0.5</v>
      </c>
      <c r="AI564" s="55"/>
      <c r="AJ564" s="57"/>
      <c r="AK564" s="57"/>
      <c r="AL564" s="57"/>
      <c r="AM564" s="57"/>
      <c r="AN564" s="57"/>
      <c r="AO564" s="57"/>
      <c r="AP564" s="57"/>
      <c r="AQ564" s="60"/>
      <c r="AR564" s="61"/>
      <c r="AS564" s="55"/>
    </row>
    <row r="565" spans="1:45" ht="21.25" customHeight="1" x14ac:dyDescent="0.15">
      <c r="A565" s="62">
        <f>RANK(K565,K$2:K$671)</f>
        <v>565</v>
      </c>
      <c r="B565" s="10" t="s">
        <v>766</v>
      </c>
      <c r="C565" s="47" t="s">
        <v>145</v>
      </c>
      <c r="D565" s="48" t="str" cm="1">
        <f t="array" ref="D565">VLOOKUP(B565,'Player Data'!A1:D673,4,FALSE)</f>
        <v>C,LW</v>
      </c>
      <c r="E565" s="74" cm="1">
        <f t="array" ref="E565">VLOOKUP(B565,LW!A1:C210,3,FALSE)</f>
        <v>160</v>
      </c>
      <c r="F565" s="72" t="str" cm="1">
        <f t="array" ref="F565">VLOOKUP(B565,'Player Data'!A1:B673,2,FALSE)</f>
        <v>BOS</v>
      </c>
      <c r="G565" s="11" cm="1">
        <f t="array" ref="G565">VLOOKUP(B565,'Player Data'!A1:D673,3,FALSE)</f>
        <v>26</v>
      </c>
      <c r="H565" s="51" cm="1">
        <f t="array" ref="H565">IFERROR(VLOOKUP(B565,ADP!A1:F671,6,FALSE)/1000000,VLOOKUP(B565,ADP!A1:F671,6,FALSE))</f>
        <v>1.625</v>
      </c>
      <c r="I565" s="52">
        <f>IF(Settings!$E$15="POINTS",((R565*Q565)*Settings!$B$12)+(S565*Settings!$B$2)+(T565*Settings!$B$3)+(U565*Settings!$B$4)+(V565*Settings!$B$5)+(X565*Settings!$B$9)+(AA565*Settings!$B$6)+(W565*Settings!$B$8)+(AB565*Settings!$B$7)+(AC565*Settings!$B$14)+(AD565*Settings!$B$15)+(AE565*Settings!$B$16)+(AF565*Settings!$B$17)+(AG565*Settings!$B$18)+(Y565*Settings!$B$10)+(Z565*Settings!$B$11),VLOOKUP(B565,'Standard Deviations'!A$1:C$672,3,FALSE))</f>
        <v>-1.8542978686534763</v>
      </c>
      <c r="J565" s="53" cm="1">
        <f t="array" ref="J565">IF(D565="G",I565/AJ565,I565/Q565)</f>
        <v>-3.1428777434804683E-2</v>
      </c>
      <c r="K565" s="52" cm="1">
        <f t="array" ref="K565">IF(Settings!$E$18="C/LW/RW",VLOOKUP(B565,LW!A1:F210,6,FALSE),VLOOKUP(B565,F!A1:F407,6,FALSE))</f>
        <v>-8.7486835130432858</v>
      </c>
      <c r="L565" s="54" cm="1">
        <f t="array" ref="L565">IFERROR(K565/H565,"N/A")</f>
        <v>-5.3838052387958681</v>
      </c>
      <c r="M565" s="84" t="s">
        <v>828</v>
      </c>
      <c r="N565" s="84" t="str" cm="1">
        <f t="array" ref="N565">IFERROR(M565-A565,"N/A")</f>
        <v>N/A</v>
      </c>
      <c r="O565" s="55"/>
      <c r="P565" s="56" cm="1">
        <f t="array" ref="P565">_xlfn.XLOOKUP($B565,ADP!A2:A671,ADP!G2:G671)</f>
        <v>0</v>
      </c>
      <c r="Q565" s="57" cm="1">
        <f t="array" ref="Q565">IF(Settings!$E$12="YES",VLOOKUP(B565,'Player Data'!A1:E673,5,FALSE),84)</f>
        <v>59</v>
      </c>
      <c r="R565" s="55" cm="1">
        <f t="array" ref="R565">VLOOKUP(B565,'Player Data'!$A1:$AE673,6,FALSE)</f>
        <v>11.4</v>
      </c>
      <c r="S565" s="57" cm="1">
        <f t="array" ref="S565">VLOOKUP(B565,'Player Data'!$A1:$AE673,7,FALSE)*$Q565*IFERROR((VLOOKUP(P565,Settings!$E$28:$F$33,2,FALSE)+1),1)</f>
        <v>9.44</v>
      </c>
      <c r="T565" s="57" cm="1">
        <f t="array" ref="T565">VLOOKUP(B565,'Player Data'!$A1:$AE673,8,FALSE)*$Q565*IFERROR((VLOOKUP(P565,Settings!$E$28:$F$33,2,FALSE)+1),1)</f>
        <v>8.2600000000000016</v>
      </c>
      <c r="U565" s="57" cm="1">
        <f t="array" ref="U565">SUM(S565:T565)</f>
        <v>17.700000000000003</v>
      </c>
      <c r="V565" s="57" cm="1">
        <f t="array" ref="V565">VLOOKUP(B565,'Player Data'!$A1:$AE673,10,FALSE)*$Q565*IFERROR(((VLOOKUP(P565,Settings!$E$28:$F$33,2,FALSE)/2)+1),1)</f>
        <v>70.209999999999994</v>
      </c>
      <c r="W565" s="57" cm="1">
        <f t="array" ref="W565">VLOOKUP(B565,'Player Data'!$A1:$AE673,11,FALSE)*$Q565*IFERROR((VLOOKUP(P565,Settings!$E$28:$F$33,2,FALSE)+1),1)</f>
        <v>0.59</v>
      </c>
      <c r="X565" s="57" cm="1">
        <f t="array" ref="X565">VLOOKUP(B565,'Player Data'!$A1:$AE673,12,FALSE)*$Q565*IFERROR((VLOOKUP(P565,Settings!$E$28:$F$33,2,FALSE)+1),1)</f>
        <v>1.18</v>
      </c>
      <c r="Y565" s="57" cm="1">
        <f t="array" ref="Y565">VLOOKUP(B565,'Player Data'!$A1:$AE673,13,FALSE)*$Q565</f>
        <v>0.59</v>
      </c>
      <c r="Z565" s="57" cm="1">
        <f t="array" ref="Z565">VLOOKUP(B565,'Player Data'!$A1:$AE673,14,FALSE)*$Q565</f>
        <v>0.59</v>
      </c>
      <c r="AA565" s="57" cm="1">
        <f t="array" ref="AA565">VLOOKUP(B565,'Player Data'!$A1:$AE673,15,FALSE)*$Q565</f>
        <v>31.270000000000003</v>
      </c>
      <c r="AB565" s="57" cm="1">
        <f t="array" ref="AB565">VLOOKUP(B565,'Player Data'!$A1:$AE673,16,FALSE)*$Q565</f>
        <v>161.66000000000003</v>
      </c>
      <c r="AC565" s="57" cm="1">
        <f t="array" ref="AC565">VLOOKUP(B565,'Player Data'!$A1:$AE673,17,FALSE)*$Q565*IFERROR((VLOOKUP(P565,Settings!$E$28:$F$33,2,FALSE)+1),1)</f>
        <v>-0.59</v>
      </c>
      <c r="AD565" s="57" cm="1">
        <f t="array" ref="AD565">VLOOKUP(B565,'Player Data'!$A1:$AE673,18,FALSE)*$Q565</f>
        <v>21.24</v>
      </c>
      <c r="AE565" s="57" cm="1">
        <f t="array" ref="AE565">VLOOKUP(B565,'Player Data'!$A1:$AE673,19,FALSE)*$Q565*IFERROR((VLOOKUP(P565,Settings!$E$28:$F$33,2,FALSE)+1),1)</f>
        <v>1.18</v>
      </c>
      <c r="AF565" s="57" cm="1">
        <f t="array" ref="AF565">VLOOKUP(B565,'Player Data'!$A1:$AE673,20,FALSE)*$Q565</f>
        <v>3.54</v>
      </c>
      <c r="AG565" s="57" cm="1">
        <f t="array" ref="AG565">VLOOKUP(B565,'Player Data'!$A1:$AE673,21,FALSE)*$Q565</f>
        <v>5.31</v>
      </c>
      <c r="AH565" s="59" cm="1">
        <f t="array" ref="AH565">VLOOKUP(B565,'Player Data'!$A1:$AE673,22,FALSE)</f>
        <v>0.38</v>
      </c>
      <c r="AI565" s="55"/>
      <c r="AJ565" s="57"/>
      <c r="AK565" s="57"/>
      <c r="AL565" s="57"/>
      <c r="AM565" s="57"/>
      <c r="AN565" s="57"/>
      <c r="AO565" s="57"/>
      <c r="AP565" s="57"/>
      <c r="AQ565" s="60"/>
      <c r="AR565" s="61"/>
      <c r="AS565" s="55"/>
    </row>
    <row r="566" spans="1:45" ht="21.25" customHeight="1" x14ac:dyDescent="0.15">
      <c r="A566" s="62">
        <f>RANK(K566,K$2:K$671)</f>
        <v>564</v>
      </c>
      <c r="B566" s="10" t="s">
        <v>672</v>
      </c>
      <c r="C566" s="47" t="s">
        <v>145</v>
      </c>
      <c r="D566" s="48" t="str" cm="1">
        <f t="array" ref="D566">VLOOKUP(B566,'Player Data'!A1:D673,4,FALSE)</f>
        <v>C,RW</v>
      </c>
      <c r="E566" s="74" cm="1">
        <f t="array" ref="E566">VLOOKUP(B566,RW!A1:F210,3,FALSE)</f>
        <v>158</v>
      </c>
      <c r="F566" s="69" t="str" cm="1">
        <f t="array" ref="F566">VLOOKUP(B566,'Player Data'!A1:B673,2,FALSE)</f>
        <v>MTL</v>
      </c>
      <c r="G566" s="11" cm="1">
        <f t="array" ref="G566">VLOOKUP(B566,'Player Data'!A1:D673,3,FALSE)</f>
        <v>25</v>
      </c>
      <c r="H566" s="67" cm="1">
        <f t="array" ref="H566">IFERROR(VLOOKUP(B566,ADP!A1:F671,6,FALSE)/1000000,VLOOKUP(B566,ADP!A1:F671,6,FALSE))</f>
        <v>3.6</v>
      </c>
      <c r="I566" s="52">
        <f>IF(Settings!$E$15="POINTS",((R566*Q566)*Settings!$B$12)+(S566*Settings!$B$2)+(T566*Settings!$B$3)+(U566*Settings!$B$4)+(V566*Settings!$B$5)+(X566*Settings!$B$9)+(AA566*Settings!$B$6)+(W566*Settings!$B$8)+(AB566*Settings!$B$7)+(AC566*Settings!$B$14)+(AD566*Settings!$B$15)+(AE566*Settings!$B$16)+(AF566*Settings!$B$17)+(AG566*Settings!$B$18)+(Y566*Settings!$B$10)+(Z566*Settings!$B$11),VLOOKUP(B566,'Standard Deviations'!A$1:C$672,3,FALSE))</f>
        <v>-1.8102459853513537</v>
      </c>
      <c r="J566" s="53" cm="1">
        <f t="array" ref="J566">IF(D566="G",I566/AJ566,I566/Q566)</f>
        <v>-2.7849938236174671E-2</v>
      </c>
      <c r="K566" s="52" cm="1">
        <f t="array" ref="K566">IF(Settings!$E$18="C/LW/RW",VLOOKUP(B566,RW!A1:F210,6,FALSE),VLOOKUP(B566,F!A1:F407,6,FALSE))</f>
        <v>-8.697480587160431</v>
      </c>
      <c r="L566" s="54" cm="1">
        <f t="array" ref="L566">IFERROR(K566/H566,"N/A")</f>
        <v>-2.4159668297667865</v>
      </c>
      <c r="M566" s="84" t="s">
        <v>828</v>
      </c>
      <c r="N566" s="84" t="str" cm="1">
        <f t="array" ref="N566">IFERROR(M566-A566,"N/A")</f>
        <v>N/A</v>
      </c>
      <c r="O566" s="55"/>
      <c r="P566" s="56" cm="1">
        <f t="array" ref="P566">_xlfn.XLOOKUP($B566,ADP!A2:A671,ADP!G2:G671)</f>
        <v>0</v>
      </c>
      <c r="Q566" s="57" cm="1">
        <f t="array" ref="Q566">IF(Settings!$E$12="YES",VLOOKUP(B566,'Player Data'!A1:E673,5,FALSE),84)</f>
        <v>65</v>
      </c>
      <c r="R566" s="55" cm="1">
        <f t="array" ref="R566">VLOOKUP(B566,'Player Data'!$A1:$AE673,6,FALSE)</f>
        <v>14</v>
      </c>
      <c r="S566" s="57" cm="1">
        <f t="array" ref="S566">VLOOKUP(B566,'Player Data'!$A1:$AE673,7,FALSE)*$Q566*IFERROR((VLOOKUP(P566,Settings!$E$28:$F$33,2,FALSE)+1),1)</f>
        <v>11.7</v>
      </c>
      <c r="T566" s="57" cm="1">
        <f t="array" ref="T566">VLOOKUP(B566,'Player Data'!$A1:$AE673,8,FALSE)*$Q566*IFERROR((VLOOKUP(P566,Settings!$E$28:$F$33,2,FALSE)+1),1)</f>
        <v>12.35</v>
      </c>
      <c r="U566" s="57" cm="1">
        <f t="array" ref="U566">SUM(S566:T566)</f>
        <v>24.049999999999997</v>
      </c>
      <c r="V566" s="57" cm="1">
        <f t="array" ref="V566">VLOOKUP(B566,'Player Data'!$A1:$AE673,10,FALSE)*$Q566*IFERROR(((VLOOKUP(P566,Settings!$E$28:$F$33,2,FALSE)/2)+1),1)</f>
        <v>85.8</v>
      </c>
      <c r="W566" s="57" cm="1">
        <f t="array" ref="W566">VLOOKUP(B566,'Player Data'!$A1:$AE673,11,FALSE)*$Q566*IFERROR((VLOOKUP(P566,Settings!$E$28:$F$33,2,FALSE)+1),1)</f>
        <v>0.65</v>
      </c>
      <c r="X566" s="57" cm="1">
        <f t="array" ref="X566">VLOOKUP(B566,'Player Data'!$A1:$AE673,12,FALSE)*$Q566*IFERROR((VLOOKUP(P566,Settings!$E$28:$F$33,2,FALSE)+1),1)</f>
        <v>3.9</v>
      </c>
      <c r="Y566" s="57" cm="1">
        <f t="array" ref="Y566">VLOOKUP(B566,'Player Data'!$A1:$AE673,13,FALSE)*$Q566</f>
        <v>0</v>
      </c>
      <c r="Z566" s="57" cm="1">
        <f t="array" ref="Z566">VLOOKUP(B566,'Player Data'!$A1:$AE673,14,FALSE)*$Q566</f>
        <v>0</v>
      </c>
      <c r="AA566" s="57" cm="1">
        <f t="array" ref="AA566">VLOOKUP(B566,'Player Data'!$A1:$AE673,15,FALSE)*$Q566</f>
        <v>42.9</v>
      </c>
      <c r="AB566" s="57" cm="1">
        <f t="array" ref="AB566">VLOOKUP(B566,'Player Data'!$A1:$AE673,16,FALSE)*$Q566</f>
        <v>92.3</v>
      </c>
      <c r="AC566" s="57" cm="1">
        <f t="array" ref="AC566">VLOOKUP(B566,'Player Data'!$A1:$AE673,17,FALSE)*$Q566*IFERROR((VLOOKUP(P566,Settings!$E$28:$F$33,2,FALSE)+1),1)</f>
        <v>1.3</v>
      </c>
      <c r="AD566" s="57" cm="1">
        <f t="array" ref="AD566">VLOOKUP(B566,'Player Data'!$A1:$AE673,18,FALSE)*$Q566</f>
        <v>37.699999999999996</v>
      </c>
      <c r="AE566" s="57" cm="1">
        <f t="array" ref="AE566">VLOOKUP(B566,'Player Data'!$A1:$AE673,19,FALSE)*$Q566*IFERROR((VLOOKUP(P566,Settings!$E$28:$F$33,2,FALSE)+1),1)</f>
        <v>1.95</v>
      </c>
      <c r="AF566" s="57" cm="1">
        <f t="array" ref="AF566">VLOOKUP(B566,'Player Data'!$A1:$AE673,20,FALSE)*$Q566</f>
        <v>89.050000000000011</v>
      </c>
      <c r="AG566" s="57" cm="1">
        <f t="array" ref="AG566">VLOOKUP(B566,'Player Data'!$A1:$AE673,21,FALSE)*$Q566</f>
        <v>129.35</v>
      </c>
      <c r="AH566" s="59" cm="1">
        <f t="array" ref="AH566">VLOOKUP(B566,'Player Data'!$A1:$AE673,22,FALSE)</f>
        <v>0.41</v>
      </c>
      <c r="AI566" s="55"/>
      <c r="AJ566" s="57"/>
      <c r="AK566" s="57"/>
      <c r="AL566" s="57"/>
      <c r="AM566" s="57"/>
      <c r="AN566" s="57"/>
      <c r="AO566" s="57"/>
      <c r="AP566" s="57"/>
      <c r="AQ566" s="60"/>
      <c r="AR566" s="61"/>
      <c r="AS566" s="55"/>
    </row>
    <row r="567" spans="1:45" ht="21.25" customHeight="1" x14ac:dyDescent="0.15">
      <c r="A567" s="62">
        <f>RANK(K567,K$2:K$671)</f>
        <v>592</v>
      </c>
      <c r="B567" s="10" t="s">
        <v>662</v>
      </c>
      <c r="C567" s="47" t="s">
        <v>145</v>
      </c>
      <c r="D567" s="48" t="str" cm="1">
        <f t="array" ref="D567">VLOOKUP(B567,'Player Data'!A1:D673,4,FALSE)</f>
        <v>G</v>
      </c>
      <c r="E567" s="76" cm="1">
        <f t="array" ref="E567">VLOOKUP(B567,G!A1:D66,3,FALSE)</f>
        <v>64</v>
      </c>
      <c r="F567" s="56" t="str" cm="1">
        <f t="array" ref="F567">VLOOKUP(B567,'Player Data'!A1:B673,2,FALSE)</f>
        <v>CHI</v>
      </c>
      <c r="G567" s="11" cm="1">
        <f t="array" ref="G567">VLOOKUP(B567,'Player Data'!A1:D673,3,FALSE)</f>
        <v>27</v>
      </c>
      <c r="H567" s="67" cm="1">
        <f t="array" ref="H567">IFERROR(VLOOKUP(B567,ADP!A1:F671,6,FALSE)/1000000,VLOOKUP(B567,ADP!A1:F671,6,FALSE))</f>
        <v>2.75</v>
      </c>
      <c r="I567" s="52">
        <f>IF(Settings!$E$15="POINTS",(AJ567*Settings!$B$29)+(AK567*Settings!$B$21)+(AL567*Settings!$B$22)+(AN567*Settings!$B$24)+(AO567*Settings!$B$25)+(AP567*Settings!$B$27)+(AM567*Settings!$B$23),VLOOKUP(B567,'Standard Deviations'!A$1:C$672,3,FALSE))</f>
        <v>-7.4320291691413827</v>
      </c>
      <c r="J567" s="53" cm="1">
        <f t="array" ref="J567">IF(D567="G",I567/AJ567,I567/Q567)</f>
        <v>-0.2972811667656553</v>
      </c>
      <c r="K567" s="52" cm="1">
        <f t="array" ref="K567">VLOOKUP(B567,G!A1:F66,6,FALSE)</f>
        <v>-9.4702144282650575</v>
      </c>
      <c r="L567" s="54" cm="1">
        <f t="array" ref="L567">IFERROR(K567/H567,"N/A")</f>
        <v>-3.4437143375509298</v>
      </c>
      <c r="M567" s="84" t="s">
        <v>828</v>
      </c>
      <c r="N567" s="84" t="str" cm="1">
        <f t="array" ref="N567">IFERROR(M567-A567,"N/A")</f>
        <v>N/A</v>
      </c>
      <c r="O567" s="55"/>
      <c r="P567" s="56" cm="1">
        <f t="array" ref="P567">_xlfn.XLOOKUP($B567,ADP!A2:A671,ADP!G2:G671)</f>
        <v>0</v>
      </c>
      <c r="Q567" s="57"/>
      <c r="R567" s="55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9"/>
      <c r="AI567" s="55"/>
      <c r="AJ567" s="77" cm="1">
        <f t="array" ref="AJ567">VLOOKUP(B567,'Player Data'!$A1:$AE673,24,FALSE)</f>
        <v>25</v>
      </c>
      <c r="AK567" s="57" cm="1">
        <f t="array" ref="AK567">VLOOKUP(B567,'Player Data'!$A1:$AE673,25,FALSE)*$AJ567*IFERROR((VLOOKUP(P567,Settings!$E$28:$F$33,2,FALSE)+1),1)</f>
        <v>9.25</v>
      </c>
      <c r="AL567" s="57" cm="1">
        <f t="array" ref="AL567">AJ567-AK567-AM567</f>
        <v>11.75</v>
      </c>
      <c r="AM567" s="57" cm="1">
        <f t="array" ref="AM567">VLOOKUP(B567,'Player Data'!$A1:$AE673,27,FALSE)*$AJ567</f>
        <v>4</v>
      </c>
      <c r="AN567" s="57" cm="1">
        <f t="array" ref="AN567">VLOOKUP(B567,'Player Data'!$A1:$AE673,28,FALSE)*AJ567</f>
        <v>0.5</v>
      </c>
      <c r="AO567" s="57" cm="1">
        <f t="array" ref="AO567">VLOOKUP(B567,'Player Data'!$A1:$AE673,29,FALSE)*$AJ567*IFERROR((VLOOKUP(P567,Settings!$E$28:$F$33,2,FALSE)/4)+1,1)</f>
        <v>672.5</v>
      </c>
      <c r="AP567" s="57" cm="1">
        <f t="array" ref="AP567">VLOOKUP(B567,'Player Data'!$A1:$AE673,31,FALSE)*$AJ567*(IFERROR(1-(VLOOKUP(P567,Settings!$E$28:$F$33,2,FALSE)/4),1))</f>
        <v>82.5</v>
      </c>
      <c r="AQ567" s="60" cm="1">
        <f t="array" ref="AQ567">1-(AP567/(AO567+AP567))</f>
        <v>0.89072847682119205</v>
      </c>
      <c r="AR567" s="61" cm="1">
        <f t="array" ref="AR567">AP567/AJ567</f>
        <v>3.3</v>
      </c>
      <c r="AS567" s="55"/>
    </row>
    <row r="568" spans="1:45" ht="21.25" customHeight="1" x14ac:dyDescent="0.15">
      <c r="A568" s="62">
        <f>RANK(K568,K$2:K$671)</f>
        <v>566</v>
      </c>
      <c r="B568" s="10" t="s">
        <v>725</v>
      </c>
      <c r="C568" s="47" t="s">
        <v>145</v>
      </c>
      <c r="D568" s="48" t="str" cm="1">
        <f t="array" ref="D568">VLOOKUP(B568,'Player Data'!A1:D673,4,FALSE)</f>
        <v>C</v>
      </c>
      <c r="E568" s="49" cm="1">
        <f t="array" ref="E568">VLOOKUP(B568,'C'!A1:C210,3,FALSE)</f>
        <v>159</v>
      </c>
      <c r="F568" s="73" t="str" cm="1">
        <f t="array" ref="F568">VLOOKUP(B568,'Player Data'!A1:B673,2,FALSE)</f>
        <v>BUF</v>
      </c>
      <c r="G568" s="66" cm="1">
        <f t="array" ref="G568">VLOOKUP(B568,'Player Data'!A1:D673,3,FALSE)</f>
        <v>34</v>
      </c>
      <c r="H568" s="67" cm="1">
        <f t="array" ref="H568">IFERROR(VLOOKUP(B568,ADP!A1:F671,6,FALSE)/1000000,VLOOKUP(B568,ADP!A1:F671,6,FALSE))</f>
        <v>1</v>
      </c>
      <c r="I568" s="52">
        <f>IF(Settings!$E$15="POINTS",((R568*Q568)*Settings!$B$12)+(S568*Settings!$B$2)+(T568*Settings!$B$3)+(U568*Settings!$B$4)+(V568*Settings!$B$5)+(X568*Settings!$B$9)+(AA568*Settings!$B$6)+(W568*Settings!$B$8)+(AB568*Settings!$B$7)+(AC568*Settings!$B$14)+(AD568*Settings!$B$15)+(AE568*Settings!$B$16)+(AF568*Settings!$B$17)+(AG568*Settings!$B$18)+(Y568*Settings!$B$10)+(Z568*Settings!$B$11),VLOOKUP(B568,'Standard Deviations'!A$1:C$672,3,FALSE))</f>
        <v>-2.3986269876138806</v>
      </c>
      <c r="J568" s="53" cm="1">
        <f t="array" ref="J568">IF(D568="G",I568/AJ568,I568/Q568)</f>
        <v>-2.9251548629437567E-2</v>
      </c>
      <c r="K568" s="52" cm="1">
        <f t="array" ref="K568">IF(Settings!$E$18="C/LW/RW",VLOOKUP(B568,'C'!A1:F210,6,FALSE),VLOOKUP(B568,F!A1:F407,6,FALSE))</f>
        <v>-8.7586365452289456</v>
      </c>
      <c r="L568" s="54" cm="1">
        <f t="array" ref="L568">IFERROR(K568/H568,"N/A")</f>
        <v>-8.7586365452289456</v>
      </c>
      <c r="M568" s="84" t="s">
        <v>828</v>
      </c>
      <c r="N568" s="84" t="str" cm="1">
        <f t="array" ref="N568">IFERROR(M568-A568,"N/A")</f>
        <v>N/A</v>
      </c>
      <c r="O568" s="55"/>
      <c r="P568" s="56" cm="1">
        <f t="array" ref="P568">_xlfn.XLOOKUP($B568,ADP!A2:A671,ADP!G2:G671)</f>
        <v>0</v>
      </c>
      <c r="Q568" s="57" cm="1">
        <f t="array" ref="Q568">IF(Settings!$E$12="YES",VLOOKUP(B568,'Player Data'!A1:E673,5,FALSE),84)</f>
        <v>82</v>
      </c>
      <c r="R568" s="55" cm="1">
        <f t="array" ref="R568">VLOOKUP(B568,'Player Data'!$A1:$AE673,6,FALSE)</f>
        <v>11.1</v>
      </c>
      <c r="S568" s="57" cm="1">
        <f t="array" ref="S568">VLOOKUP(B568,'Player Data'!$A1:$AE673,7,FALSE)*$Q568*IFERROR((VLOOKUP(P568,Settings!$E$28:$F$33,2,FALSE)+1),1)</f>
        <v>6.5600000000000005</v>
      </c>
      <c r="T568" s="57" cm="1">
        <f t="array" ref="T568">VLOOKUP(B568,'Player Data'!$A1:$AE673,8,FALSE)*$Q568*IFERROR((VLOOKUP(P568,Settings!$E$28:$F$33,2,FALSE)+1),1)</f>
        <v>8.2000000000000011</v>
      </c>
      <c r="U568" s="57" cm="1">
        <f t="array" ref="U568">SUM(S568:T568)</f>
        <v>14.760000000000002</v>
      </c>
      <c r="V568" s="57" cm="1">
        <f t="array" ref="V568">VLOOKUP(B568,'Player Data'!$A1:$AE673,10,FALSE)*$Q568*IFERROR(((VLOOKUP(P568,Settings!$E$28:$F$33,2,FALSE)/2)+1),1)</f>
        <v>82.820000000000007</v>
      </c>
      <c r="W568" s="57" cm="1">
        <f t="array" ref="W568">VLOOKUP(B568,'Player Data'!$A1:$AE673,11,FALSE)*$Q568*IFERROR((VLOOKUP(P568,Settings!$E$28:$F$33,2,FALSE)+1),1)</f>
        <v>0</v>
      </c>
      <c r="X568" s="57" cm="1">
        <f t="array" ref="X568">VLOOKUP(B568,'Player Data'!$A1:$AE673,12,FALSE)*$Q568*IFERROR((VLOOKUP(P568,Settings!$E$28:$F$33,2,FALSE)+1),1)</f>
        <v>0</v>
      </c>
      <c r="Y568" s="57" cm="1">
        <f t="array" ref="Y568">VLOOKUP(B568,'Player Data'!$A1:$AE673,13,FALSE)*$Q568</f>
        <v>0.82000000000000006</v>
      </c>
      <c r="Z568" s="57" cm="1">
        <f t="array" ref="Z568">VLOOKUP(B568,'Player Data'!$A1:$AE673,14,FALSE)*$Q568</f>
        <v>1.6400000000000001</v>
      </c>
      <c r="AA568" s="57" cm="1">
        <f t="array" ref="AA568">VLOOKUP(B568,'Player Data'!$A1:$AE673,15,FALSE)*$Q568</f>
        <v>41.82</v>
      </c>
      <c r="AB568" s="57" cm="1">
        <f t="array" ref="AB568">VLOOKUP(B568,'Player Data'!$A1:$AE673,16,FALSE)*$Q568</f>
        <v>129.56</v>
      </c>
      <c r="AC568" s="57" cm="1">
        <f t="array" ref="AC568">VLOOKUP(B568,'Player Data'!$A1:$AE673,17,FALSE)*$Q568*IFERROR((VLOOKUP(P568,Settings!$E$28:$F$33,2,FALSE)+1),1)</f>
        <v>0.82000000000000006</v>
      </c>
      <c r="AD568" s="57" cm="1">
        <f t="array" ref="AD568">VLOOKUP(B568,'Player Data'!$A1:$AE673,18,FALSE)*$Q568</f>
        <v>57.4</v>
      </c>
      <c r="AE568" s="57" cm="1">
        <f t="array" ref="AE568">VLOOKUP(B568,'Player Data'!$A1:$AE673,19,FALSE)*$Q568*IFERROR((VLOOKUP(P568,Settings!$E$28:$F$33,2,FALSE)+1),1)</f>
        <v>0.82000000000000006</v>
      </c>
      <c r="AF568" s="57" cm="1">
        <f t="array" ref="AF568">VLOOKUP(B568,'Player Data'!$A1:$AE673,20,FALSE)*$Q568</f>
        <v>361.62</v>
      </c>
      <c r="AG568" s="57" cm="1">
        <f t="array" ref="AG568">VLOOKUP(B568,'Player Data'!$A1:$AE673,21,FALSE)*$Q568</f>
        <v>305.04000000000002</v>
      </c>
      <c r="AH568" s="59" cm="1">
        <f t="array" ref="AH568">VLOOKUP(B568,'Player Data'!$A1:$AE673,22,FALSE)</f>
        <v>0.54</v>
      </c>
      <c r="AI568" s="55"/>
      <c r="AJ568" s="57"/>
      <c r="AK568" s="57"/>
      <c r="AL568" s="57"/>
      <c r="AM568" s="57"/>
      <c r="AN568" s="57"/>
      <c r="AO568" s="57"/>
      <c r="AP568" s="57"/>
      <c r="AQ568" s="60"/>
      <c r="AR568" s="61"/>
      <c r="AS568" s="55"/>
    </row>
    <row r="569" spans="1:45" ht="21.25" customHeight="1" x14ac:dyDescent="0.15">
      <c r="A569" s="62">
        <f>RANK(K569,K$2:K$671)</f>
        <v>569</v>
      </c>
      <c r="B569" s="10" t="s">
        <v>702</v>
      </c>
      <c r="C569" s="47" t="s">
        <v>145</v>
      </c>
      <c r="D569" s="48" t="str" cm="1">
        <f t="array" ref="D569">VLOOKUP(B569,'Player Data'!A1:D673,4,FALSE)</f>
        <v>LW</v>
      </c>
      <c r="E569" s="75" cm="1">
        <f t="array" ref="E569">VLOOKUP(B569,LW!A1:C210,3,FALSE)</f>
        <v>161</v>
      </c>
      <c r="F569" s="56" t="str" cm="1">
        <f t="array" ref="F569">VLOOKUP(B569,'Player Data'!A1:B673,2,FALSE)</f>
        <v>PHI</v>
      </c>
      <c r="G569" s="71" cm="1">
        <f t="array" ref="G569">VLOOKUP(B569,'Player Data'!A1:D673,3,FALSE)</f>
        <v>21</v>
      </c>
      <c r="H569" s="51" cm="1">
        <f t="array" ref="H569">IFERROR(VLOOKUP(B569,ADP!A1:F671,6,FALSE)/1000000,VLOOKUP(B569,ADP!A1:F671,6,FALSE))</f>
        <v>0.91666700000000001</v>
      </c>
      <c r="I569" s="52">
        <f>IF(Settings!$E$15="POINTS",((R569*Q569)*Settings!$B$12)+(S569*Settings!$B$2)+(T569*Settings!$B$3)+(U569*Settings!$B$4)+(V569*Settings!$B$5)+(X569*Settings!$B$9)+(AA569*Settings!$B$6)+(W569*Settings!$B$8)+(AB569*Settings!$B$7)+(AC569*Settings!$B$14)+(AD569*Settings!$B$15)+(AE569*Settings!$B$16)+(AF569*Settings!$B$17)+(AG569*Settings!$B$18)+(Y569*Settings!$B$10)+(Z569*Settings!$B$11),VLOOKUP(B569,'Standard Deviations'!A$1:C$672,3,FALSE))</f>
        <v>-1.9006701707233571</v>
      </c>
      <c r="J569" s="53" cm="1">
        <f t="array" ref="J569">IF(D569="G",I569/AJ569,I569/Q569)</f>
        <v>-2.7152431010333673E-2</v>
      </c>
      <c r="K569" s="52" cm="1">
        <f t="array" ref="K569">IF(Settings!$E$18="C/LW/RW",VLOOKUP(B569,LW!A1:F210,6,FALSE),VLOOKUP(B569,F!A1:F407,6,FALSE))</f>
        <v>-8.7950558151131659</v>
      </c>
      <c r="L569" s="54" cm="1">
        <f t="array" ref="L569">IFERROR(K569/H569,"N/A")</f>
        <v>-9.5946028548133242</v>
      </c>
      <c r="M569" s="84" t="s">
        <v>828</v>
      </c>
      <c r="N569" s="84" t="str" cm="1">
        <f t="array" ref="N569">IFERROR(M569-A569,"N/A")</f>
        <v>N/A</v>
      </c>
      <c r="O569" s="55"/>
      <c r="P569" s="56" cm="1">
        <f t="array" ref="P569">_xlfn.XLOOKUP($B569,ADP!A2:A671,ADP!G2:G671)</f>
        <v>0</v>
      </c>
      <c r="Q569" s="57" cm="1">
        <f t="array" ref="Q569">IF(Settings!$E$12="YES",VLOOKUP(B569,'Player Data'!A1:E673,5,FALSE),84)</f>
        <v>70</v>
      </c>
      <c r="R569" s="55" cm="1">
        <f t="array" ref="R569">VLOOKUP(B569,'Player Data'!$A1:$AE673,6,FALSE)</f>
        <v>12.8</v>
      </c>
      <c r="S569" s="57" cm="1">
        <f t="array" ref="S569">VLOOKUP(B569,'Player Data'!$A1:$AE673,7,FALSE)*$Q569*IFERROR((VLOOKUP(P569,Settings!$E$28:$F$33,2,FALSE)+1),1)</f>
        <v>10.5</v>
      </c>
      <c r="T569" s="57" cm="1">
        <f t="array" ref="T569">VLOOKUP(B569,'Player Data'!$A1:$AE673,8,FALSE)*$Q569*IFERROR((VLOOKUP(P569,Settings!$E$28:$F$33,2,FALSE)+1),1)</f>
        <v>18.900000000000002</v>
      </c>
      <c r="U569" s="57" cm="1">
        <f t="array" ref="U569">SUM(S569:T569)</f>
        <v>29.400000000000002</v>
      </c>
      <c r="V569" s="57" cm="1">
        <f t="array" ref="V569">VLOOKUP(B569,'Player Data'!$A1:$AE673,10,FALSE)*$Q569*IFERROR(((VLOOKUP(P569,Settings!$E$28:$F$33,2,FALSE)/2)+1),1)</f>
        <v>78.400000000000006</v>
      </c>
      <c r="W569" s="57" cm="1">
        <f t="array" ref="W569">VLOOKUP(B569,'Player Data'!$A1:$AE673,11,FALSE)*$Q569*IFERROR((VLOOKUP(P569,Settings!$E$28:$F$33,2,FALSE)+1),1)</f>
        <v>2.1</v>
      </c>
      <c r="X569" s="57" cm="1">
        <f t="array" ref="X569">VLOOKUP(B569,'Player Data'!$A1:$AE673,12,FALSE)*$Q569*IFERROR((VLOOKUP(P569,Settings!$E$28:$F$33,2,FALSE)+1),1)</f>
        <v>6.3</v>
      </c>
      <c r="Y569" s="57" cm="1">
        <f t="array" ref="Y569">VLOOKUP(B569,'Player Data'!$A1:$AE673,13,FALSE)*$Q569</f>
        <v>0</v>
      </c>
      <c r="Z569" s="57" cm="1">
        <f t="array" ref="Z569">VLOOKUP(B569,'Player Data'!$A1:$AE673,14,FALSE)*$Q569</f>
        <v>0</v>
      </c>
      <c r="AA569" s="57" cm="1">
        <f t="array" ref="AA569">VLOOKUP(B569,'Player Data'!$A1:$AE673,15,FALSE)*$Q569</f>
        <v>30.8</v>
      </c>
      <c r="AB569" s="57" cm="1">
        <f t="array" ref="AB569">VLOOKUP(B569,'Player Data'!$A1:$AE673,16,FALSE)*$Q569</f>
        <v>72.100000000000009</v>
      </c>
      <c r="AC569" s="57" cm="1">
        <f t="array" ref="AC569">VLOOKUP(B569,'Player Data'!$A1:$AE673,17,FALSE)*$Q569*IFERROR((VLOOKUP(P569,Settings!$E$28:$F$33,2,FALSE)+1),1)</f>
        <v>0.70000000000000007</v>
      </c>
      <c r="AD569" s="57" cm="1">
        <f t="array" ref="AD569">VLOOKUP(B569,'Player Data'!$A1:$AE673,18,FALSE)*$Q569</f>
        <v>22.400000000000002</v>
      </c>
      <c r="AE569" s="57" cm="1">
        <f t="array" ref="AE569">VLOOKUP(B569,'Player Data'!$A1:$AE673,19,FALSE)*$Q569*IFERROR((VLOOKUP(P569,Settings!$E$28:$F$33,2,FALSE)+1),1)</f>
        <v>1.4000000000000001</v>
      </c>
      <c r="AF569" s="57" cm="1">
        <f t="array" ref="AF569">VLOOKUP(B569,'Player Data'!$A1:$AE673,20,FALSE)*$Q569</f>
        <v>10.5</v>
      </c>
      <c r="AG569" s="57" cm="1">
        <f t="array" ref="AG569">VLOOKUP(B569,'Player Data'!$A1:$AE673,21,FALSE)*$Q569</f>
        <v>16.8</v>
      </c>
      <c r="AH569" s="59" cm="1">
        <f t="array" ref="AH569">VLOOKUP(B569,'Player Data'!$A1:$AE673,22,FALSE)</f>
        <v>0.39</v>
      </c>
      <c r="AI569" s="55"/>
      <c r="AJ569" s="57"/>
      <c r="AK569" s="57"/>
      <c r="AL569" s="57"/>
      <c r="AM569" s="57"/>
      <c r="AN569" s="57"/>
      <c r="AO569" s="57"/>
      <c r="AP569" s="57"/>
      <c r="AQ569" s="60"/>
      <c r="AR569" s="61"/>
      <c r="AS569" s="55"/>
    </row>
    <row r="570" spans="1:45" ht="21.25" customHeight="1" x14ac:dyDescent="0.15">
      <c r="A570" s="62">
        <f>RANK(K570,K$2:K$671)</f>
        <v>567</v>
      </c>
      <c r="B570" s="10" t="s">
        <v>724</v>
      </c>
      <c r="C570" s="47" t="s">
        <v>145</v>
      </c>
      <c r="D570" s="48" t="str" cm="1">
        <f t="array" ref="D570">VLOOKUP(B570,'Player Data'!A1:D673,4,FALSE)</f>
        <v>C</v>
      </c>
      <c r="E570" s="49" cm="1">
        <f t="array" ref="E570">VLOOKUP(B570,'C'!A1:C210,3,FALSE)</f>
        <v>160</v>
      </c>
      <c r="F570" s="65" t="str" cm="1">
        <f t="array" ref="F570">VLOOKUP(B570,'Player Data'!A1:B673,2,FALSE)</f>
        <v>CAR</v>
      </c>
      <c r="G570" s="66" cm="1">
        <f t="array" ref="G570">VLOOKUP(B570,'Player Data'!A1:D673,3,FALSE)</f>
        <v>32</v>
      </c>
      <c r="H570" s="51" cm="1">
        <f t="array" ref="H570">IFERROR(VLOOKUP(B570,ADP!A1:F671,6,FALSE)/1000000,VLOOKUP(B570,ADP!A1:F671,6,FALSE))</f>
        <v>1.85</v>
      </c>
      <c r="I570" s="52">
        <f>IF(Settings!$E$15="POINTS",((R570*Q570)*Settings!$B$12)+(S570*Settings!$B$2)+(T570*Settings!$B$3)+(U570*Settings!$B$4)+(V570*Settings!$B$5)+(X570*Settings!$B$9)+(AA570*Settings!$B$6)+(W570*Settings!$B$8)+(AB570*Settings!$B$7)+(AC570*Settings!$B$14)+(AD570*Settings!$B$15)+(AE570*Settings!$B$16)+(AF570*Settings!$B$17)+(AG570*Settings!$B$18)+(Y570*Settings!$B$10)+(Z570*Settings!$B$11),VLOOKUP(B570,'Standard Deviations'!A$1:C$672,3,FALSE))</f>
        <v>-2.4084530914898847</v>
      </c>
      <c r="J570" s="53" cm="1">
        <f t="array" ref="J570">IF(D570="G",I570/AJ570,I570/Q570)</f>
        <v>-3.2546663398511956E-2</v>
      </c>
      <c r="K570" s="52" cm="1">
        <f t="array" ref="K570">IF(Settings!$E$18="C/LW/RW",VLOOKUP(B570,'C'!A1:F210,6,FALSE),VLOOKUP(B570,F!A1:F407,6,FALSE))</f>
        <v>-8.7684626491049489</v>
      </c>
      <c r="L570" s="54" cm="1">
        <f t="array" ref="L570">IFERROR(K570/H570,"N/A")</f>
        <v>-4.7397095400567286</v>
      </c>
      <c r="M570" s="84" t="s">
        <v>828</v>
      </c>
      <c r="N570" s="84" t="str" cm="1">
        <f t="array" ref="N570">IFERROR(M570-A570,"N/A")</f>
        <v>N/A</v>
      </c>
      <c r="O570" s="55"/>
      <c r="P570" s="56" cm="1">
        <f t="array" ref="P570">_xlfn.XLOOKUP($B570,ADP!A2:A671,ADP!G2:G671)</f>
        <v>0</v>
      </c>
      <c r="Q570" s="57" cm="1">
        <f t="array" ref="Q570">IF(Settings!$E$12="YES",VLOOKUP(B570,'Player Data'!A1:E673,5,FALSE),84)</f>
        <v>74</v>
      </c>
      <c r="R570" s="55" cm="1">
        <f t="array" ref="R570">VLOOKUP(B570,'Player Data'!$A1:$AE673,6,FALSE)</f>
        <v>10.9</v>
      </c>
      <c r="S570" s="57" cm="1">
        <f t="array" ref="S570">VLOOKUP(B570,'Player Data'!$A1:$AE673,7,FALSE)*$Q570*IFERROR((VLOOKUP(P570,Settings!$E$28:$F$33,2,FALSE)+1),1)</f>
        <v>10.360000000000001</v>
      </c>
      <c r="T570" s="57" cm="1">
        <f t="array" ref="T570">VLOOKUP(B570,'Player Data'!$A1:$AE673,8,FALSE)*$Q570*IFERROR((VLOOKUP(P570,Settings!$E$28:$F$33,2,FALSE)+1),1)</f>
        <v>7.4</v>
      </c>
      <c r="U570" s="57" cm="1">
        <f t="array" ref="U570">SUM(S570:T570)</f>
        <v>17.760000000000002</v>
      </c>
      <c r="V570" s="57" cm="1">
        <f t="array" ref="V570">VLOOKUP(B570,'Player Data'!$A1:$AE673,10,FALSE)*$Q570*IFERROR(((VLOOKUP(P570,Settings!$E$28:$F$33,2,FALSE)/2)+1),1)</f>
        <v>71.039999999999992</v>
      </c>
      <c r="W570" s="57" cm="1">
        <f t="array" ref="W570">VLOOKUP(B570,'Player Data'!$A1:$AE673,11,FALSE)*$Q570*IFERROR((VLOOKUP(P570,Settings!$E$28:$F$33,2,FALSE)+1),1)</f>
        <v>0</v>
      </c>
      <c r="X570" s="57" cm="1">
        <f t="array" ref="X570">VLOOKUP(B570,'Player Data'!$A1:$AE673,12,FALSE)*$Q570*IFERROR((VLOOKUP(P570,Settings!$E$28:$F$33,2,FALSE)+1),1)</f>
        <v>0</v>
      </c>
      <c r="Y570" s="57" cm="1">
        <f t="array" ref="Y570">VLOOKUP(B570,'Player Data'!$A1:$AE673,13,FALSE)*$Q570</f>
        <v>0</v>
      </c>
      <c r="Z570" s="57" cm="1">
        <f t="array" ref="Z570">VLOOKUP(B570,'Player Data'!$A1:$AE673,14,FALSE)*$Q570</f>
        <v>0</v>
      </c>
      <c r="AA570" s="57" cm="1">
        <f t="array" ref="AA570">VLOOKUP(B570,'Player Data'!$A1:$AE673,15,FALSE)*$Q570</f>
        <v>42.919999999999995</v>
      </c>
      <c r="AB570" s="57" cm="1">
        <f t="array" ref="AB570">VLOOKUP(B570,'Player Data'!$A1:$AE673,16,FALSE)*$Q570</f>
        <v>61.419999999999995</v>
      </c>
      <c r="AC570" s="57" cm="1">
        <f t="array" ref="AC570">VLOOKUP(B570,'Player Data'!$A1:$AE673,17,FALSE)*$Q570*IFERROR((VLOOKUP(P570,Settings!$E$28:$F$33,2,FALSE)+1),1)</f>
        <v>6.66</v>
      </c>
      <c r="AD570" s="57" cm="1">
        <f t="array" ref="AD570">VLOOKUP(B570,'Player Data'!$A1:$AE673,18,FALSE)*$Q570</f>
        <v>19.98</v>
      </c>
      <c r="AE570" s="57" cm="1">
        <f t="array" ref="AE570">VLOOKUP(B570,'Player Data'!$A1:$AE673,19,FALSE)*$Q570*IFERROR((VLOOKUP(P570,Settings!$E$28:$F$33,2,FALSE)+1),1)</f>
        <v>1.48</v>
      </c>
      <c r="AF570" s="57" cm="1">
        <f t="array" ref="AF570">VLOOKUP(B570,'Player Data'!$A1:$AE673,20,FALSE)*$Q570</f>
        <v>341.14000000000004</v>
      </c>
      <c r="AG570" s="57" cm="1">
        <f t="array" ref="AG570">VLOOKUP(B570,'Player Data'!$A1:$AE673,21,FALSE)*$Q570</f>
        <v>327.82</v>
      </c>
      <c r="AH570" s="59" cm="1">
        <f t="array" ref="AH570">VLOOKUP(B570,'Player Data'!$A1:$AE673,22,FALSE)</f>
        <v>0.51</v>
      </c>
      <c r="AI570" s="55"/>
      <c r="AJ570" s="57"/>
      <c r="AK570" s="57"/>
      <c r="AL570" s="57"/>
      <c r="AM570" s="57"/>
      <c r="AN570" s="57"/>
      <c r="AO570" s="57"/>
      <c r="AP570" s="57"/>
      <c r="AQ570" s="60"/>
      <c r="AR570" s="61"/>
      <c r="AS570" s="55"/>
    </row>
    <row r="571" spans="1:45" ht="21.25" customHeight="1" x14ac:dyDescent="0.15">
      <c r="A571" s="62">
        <f>RANK(K571,K$2:K$671)</f>
        <v>568</v>
      </c>
      <c r="B571" s="10" t="s">
        <v>430</v>
      </c>
      <c r="C571" s="47" t="s">
        <v>145</v>
      </c>
      <c r="D571" s="48" t="str" cm="1">
        <f t="array" ref="D571">VLOOKUP(B571,'Player Data'!A1:D673,4,FALSE)</f>
        <v>LW,RW</v>
      </c>
      <c r="E571" s="74" cm="1">
        <f t="array" ref="E571">VLOOKUP(B571,RW!A1:F210,3,FALSE)</f>
        <v>159</v>
      </c>
      <c r="F571" s="63" t="str" cm="1">
        <f t="array" ref="F571">VLOOKUP(B571,'Player Data'!A1:B673,2,FALSE)</f>
        <v>CGY</v>
      </c>
      <c r="G571" s="66" cm="1">
        <f t="array" ref="G571">VLOOKUP(B571,'Player Data'!A1:D673,3,FALSE)</f>
        <v>33</v>
      </c>
      <c r="H571" s="51" cm="1">
        <f t="array" ref="H571">IFERROR(VLOOKUP(B571,ADP!A1:F671,6,FALSE)/1000000,VLOOKUP(B571,ADP!A1:F671,6,FALSE))</f>
        <v>10.5</v>
      </c>
      <c r="I571" s="52">
        <f>IF(Settings!$E$15="POINTS",((R571*Q571)*Settings!$B$12)+(S571*Settings!$B$2)+(T571*Settings!$B$3)+(U571*Settings!$B$4)+(V571*Settings!$B$5)+(X571*Settings!$B$9)+(AA571*Settings!$B$6)+(W571*Settings!$B$8)+(AB571*Settings!$B$7)+(AC571*Settings!$B$14)+(AD571*Settings!$B$15)+(AE571*Settings!$B$16)+(AF571*Settings!$B$17)+(AG571*Settings!$B$18)+(Y571*Settings!$B$10)+(Z571*Settings!$B$11),VLOOKUP(B571,'Standard Deviations'!A$1:C$672,3,FALSE))</f>
        <v>-1.9040250149974633</v>
      </c>
      <c r="J571" s="53" cm="1">
        <f t="array" ref="J571">IF(D571="G",I571/AJ571,I571/Q571)</f>
        <v>-2.8418283805932289E-2</v>
      </c>
      <c r="K571" s="52" cm="1">
        <f t="array" ref="K571">IF(Settings!$E$18="C/LW/RW",VLOOKUP(B571,RW!A1:F210,6,FALSE),VLOOKUP(B571,F!A1:F407,6,FALSE))</f>
        <v>-8.7912596168065402</v>
      </c>
      <c r="L571" s="54" cm="1">
        <f t="array" ref="L571">IFERROR(K571/H571,"N/A")</f>
        <v>-0.83726282064824198</v>
      </c>
      <c r="M571" s="84" t="s">
        <v>828</v>
      </c>
      <c r="N571" s="84" t="str" cm="1">
        <f t="array" ref="N571">IFERROR(M571-A571,"N/A")</f>
        <v>N/A</v>
      </c>
      <c r="O571" s="55"/>
      <c r="P571" s="56" cm="1">
        <f t="array" ref="P571">_xlfn.XLOOKUP($B571,ADP!A2:A671,ADP!G2:G671)</f>
        <v>0</v>
      </c>
      <c r="Q571" s="57" cm="1">
        <f t="array" ref="Q571">IF(Settings!$E$12="YES",VLOOKUP(B571,'Player Data'!A1:E673,5,FALSE),84)</f>
        <v>67</v>
      </c>
      <c r="R571" s="55" cm="1">
        <f t="array" ref="R571">VLOOKUP(B571,'Player Data'!$A1:$AE673,6,FALSE)</f>
        <v>18.2</v>
      </c>
      <c r="S571" s="57" cm="1">
        <f t="array" ref="S571">VLOOKUP(B571,'Player Data'!$A1:$AE673,7,FALSE)*$Q571*IFERROR((VLOOKUP(P571,Settings!$E$28:$F$33,2,FALSE)+1),1)</f>
        <v>15.41</v>
      </c>
      <c r="T571" s="57" cm="1">
        <f t="array" ref="T571">VLOOKUP(B571,'Player Data'!$A1:$AE673,8,FALSE)*$Q571*IFERROR((VLOOKUP(P571,Settings!$E$28:$F$33,2,FALSE)+1),1)</f>
        <v>24.119999999999997</v>
      </c>
      <c r="U571" s="57" cm="1">
        <f t="array" ref="U571">SUM(S571:T571)</f>
        <v>39.53</v>
      </c>
      <c r="V571" s="57" cm="1">
        <f t="array" ref="V571">VLOOKUP(B571,'Player Data'!$A1:$AE673,10,FALSE)*$Q571*IFERROR(((VLOOKUP(P571,Settings!$E$28:$F$33,2,FALSE)/2)+1),1)</f>
        <v>117.25</v>
      </c>
      <c r="W571" s="57" cm="1">
        <f t="array" ref="W571">VLOOKUP(B571,'Player Data'!$A1:$AE673,11,FALSE)*$Q571*IFERROR((VLOOKUP(P571,Settings!$E$28:$F$33,2,FALSE)+1),1)</f>
        <v>4.6900000000000004</v>
      </c>
      <c r="X571" s="78" cm="1">
        <f t="array" ref="X571">VLOOKUP(B571,'Player Data'!$A1:$AE673,12,FALSE)*$Q571*IFERROR((VLOOKUP(P571,Settings!$E$28:$F$33,2,FALSE)+1),1)</f>
        <v>12.73</v>
      </c>
      <c r="Y571" s="57" cm="1">
        <f t="array" ref="Y571">VLOOKUP(B571,'Player Data'!$A1:$AE673,13,FALSE)*$Q571</f>
        <v>0.67</v>
      </c>
      <c r="Z571" s="57" cm="1">
        <f t="array" ref="Z571">VLOOKUP(B571,'Player Data'!$A1:$AE673,14,FALSE)*$Q571</f>
        <v>1.34</v>
      </c>
      <c r="AA571" s="57" cm="1">
        <f t="array" ref="AA571">VLOOKUP(B571,'Player Data'!$A1:$AE673,15,FALSE)*$Q571</f>
        <v>42.88</v>
      </c>
      <c r="AB571" s="57" cm="1">
        <f t="array" ref="AB571">VLOOKUP(B571,'Player Data'!$A1:$AE673,16,FALSE)*$Q571</f>
        <v>44.22</v>
      </c>
      <c r="AC571" s="57" cm="1">
        <f t="array" ref="AC571">VLOOKUP(B571,'Player Data'!$A1:$AE673,17,FALSE)*$Q571*IFERROR((VLOOKUP(P571,Settings!$E$28:$F$33,2,FALSE)+1),1)</f>
        <v>-6.7</v>
      </c>
      <c r="AD571" s="57" cm="1">
        <f t="array" ref="AD571">VLOOKUP(B571,'Player Data'!$A1:$AE673,18,FALSE)*$Q571</f>
        <v>32.159999999999997</v>
      </c>
      <c r="AE571" s="57" cm="1">
        <f t="array" ref="AE571">VLOOKUP(B571,'Player Data'!$A1:$AE673,19,FALSE)*$Q571*IFERROR((VLOOKUP(P571,Settings!$E$28:$F$33,2,FALSE)+1),1)</f>
        <v>2.0099999999999998</v>
      </c>
      <c r="AF571" s="57" cm="1">
        <f t="array" ref="AF571">VLOOKUP(B571,'Player Data'!$A1:$AE673,20,FALSE)*$Q571</f>
        <v>10.72</v>
      </c>
      <c r="AG571" s="57" cm="1">
        <f t="array" ref="AG571">VLOOKUP(B571,'Player Data'!$A1:$AE673,21,FALSE)*$Q571</f>
        <v>15.41</v>
      </c>
      <c r="AH571" s="59" cm="1">
        <f t="array" ref="AH571">VLOOKUP(B571,'Player Data'!$A1:$AE673,22,FALSE)</f>
        <v>0.41</v>
      </c>
      <c r="AI571" s="55"/>
      <c r="AJ571" s="57"/>
      <c r="AK571" s="57"/>
      <c r="AL571" s="57"/>
      <c r="AM571" s="57"/>
      <c r="AN571" s="57"/>
      <c r="AO571" s="57"/>
      <c r="AP571" s="57"/>
      <c r="AQ571" s="60"/>
      <c r="AR571" s="61"/>
      <c r="AS571" s="55"/>
    </row>
    <row r="572" spans="1:45" ht="21.25" customHeight="1" x14ac:dyDescent="0.15">
      <c r="A572" s="62">
        <f>RANK(K572,K$2:K$671)</f>
        <v>570</v>
      </c>
      <c r="B572" s="10" t="s">
        <v>684</v>
      </c>
      <c r="C572" s="47" t="s">
        <v>145</v>
      </c>
      <c r="D572" s="48" t="str" cm="1">
        <f t="array" ref="D572">VLOOKUP(B572,'Player Data'!A1:D673,4,FALSE)</f>
        <v>RW</v>
      </c>
      <c r="E572" s="64" cm="1">
        <f t="array" ref="E572">VLOOKUP(B572,RW!A1:F210,3,FALSE)</f>
        <v>160</v>
      </c>
      <c r="F572" s="56" t="str" cm="1">
        <f t="array" ref="F572">VLOOKUP(B572,'Player Data'!A1:B673,2,FALSE)</f>
        <v>WSH</v>
      </c>
      <c r="G572" s="11" cm="1">
        <f t="array" ref="G572">VLOOKUP(B572,'Player Data'!A1:D673,3,FALSE)</f>
        <v>28</v>
      </c>
      <c r="H572" s="51" cm="1">
        <f t="array" ref="H572">IFERROR(VLOOKUP(B572,ADP!A1:F671,6,FALSE)/1000000,VLOOKUP(B572,ADP!A1:F671,6,FALSE))</f>
        <v>2</v>
      </c>
      <c r="I572" s="52">
        <f>IF(Settings!$E$15="POINTS",((R572*Q572)*Settings!$B$12)+(S572*Settings!$B$2)+(T572*Settings!$B$3)+(U572*Settings!$B$4)+(V572*Settings!$B$5)+(X572*Settings!$B$9)+(AA572*Settings!$B$6)+(W572*Settings!$B$8)+(AB572*Settings!$B$7)+(AC572*Settings!$B$14)+(AD572*Settings!$B$15)+(AE572*Settings!$B$16)+(AF572*Settings!$B$17)+(AG572*Settings!$B$18)+(Y572*Settings!$B$10)+(Z572*Settings!$B$11),VLOOKUP(B572,'Standard Deviations'!A$1:C$672,3,FALSE))</f>
        <v>-1.9100616998083231</v>
      </c>
      <c r="J572" s="53" cm="1">
        <f t="array" ref="J572">IF(D572="G",I572/AJ572,I572/Q572)</f>
        <v>-2.5132390786951619E-2</v>
      </c>
      <c r="K572" s="52" cm="1">
        <f t="array" ref="K572">IF(Settings!$E$18="C/LW/RW",VLOOKUP(B572,RW!A1:F210,6,FALSE),VLOOKUP(B572,F!A1:F407,6,FALSE))</f>
        <v>-8.7972963016174006</v>
      </c>
      <c r="L572" s="54" cm="1">
        <f t="array" ref="L572">IFERROR(K572/H572,"N/A")</f>
        <v>-4.3986481508087003</v>
      </c>
      <c r="M572" s="84" t="s">
        <v>828</v>
      </c>
      <c r="N572" s="84" t="str" cm="1">
        <f t="array" ref="N572">IFERROR(M572-A572,"N/A")</f>
        <v>N/A</v>
      </c>
      <c r="O572" s="55"/>
      <c r="P572" s="56" cm="1">
        <f t="array" ref="P572">_xlfn.XLOOKUP($B572,ADP!A2:A671,ADP!G2:G671)</f>
        <v>0</v>
      </c>
      <c r="Q572" s="57" cm="1">
        <f t="array" ref="Q572">IF(Settings!$E$12="YES",VLOOKUP(B572,'Player Data'!A1:E673,5,FALSE),84)</f>
        <v>76</v>
      </c>
      <c r="R572" s="83" cm="1">
        <f t="array" ref="R572">VLOOKUP(B572,'Player Data'!$A1:$AE673,6,FALSE)</f>
        <v>11</v>
      </c>
      <c r="S572" s="57" cm="1">
        <f t="array" ref="S572">VLOOKUP(B572,'Player Data'!$A1:$AE673,7,FALSE)*$Q572*IFERROR((VLOOKUP(P572,Settings!$E$28:$F$33,2,FALSE)+1),1)</f>
        <v>11.4</v>
      </c>
      <c r="T572" s="57" cm="1">
        <f t="array" ref="T572">VLOOKUP(B572,'Player Data'!$A1:$AE673,8,FALSE)*$Q572*IFERROR((VLOOKUP(P572,Settings!$E$28:$F$33,2,FALSE)+1),1)</f>
        <v>11.4</v>
      </c>
      <c r="U572" s="57" cm="1">
        <f t="array" ref="U572">SUM(S572:T572)</f>
        <v>22.8</v>
      </c>
      <c r="V572" s="57" cm="1">
        <f t="array" ref="V572">VLOOKUP(B572,'Player Data'!$A1:$AE673,10,FALSE)*$Q572*IFERROR(((VLOOKUP(P572,Settings!$E$28:$F$33,2,FALSE)/2)+1),1)</f>
        <v>91.2</v>
      </c>
      <c r="W572" s="57" cm="1">
        <f t="array" ref="W572">VLOOKUP(B572,'Player Data'!$A1:$AE673,11,FALSE)*$Q572*IFERROR((VLOOKUP(P572,Settings!$E$28:$F$33,2,FALSE)+1),1)</f>
        <v>0</v>
      </c>
      <c r="X572" s="57" cm="1">
        <f t="array" ref="X572">VLOOKUP(B572,'Player Data'!$A1:$AE673,12,FALSE)*$Q572*IFERROR((VLOOKUP(P572,Settings!$E$28:$F$33,2,FALSE)+1),1)</f>
        <v>0</v>
      </c>
      <c r="Y572" s="57" cm="1">
        <f t="array" ref="Y572">VLOOKUP(B572,'Player Data'!$A1:$AE673,13,FALSE)*$Q572</f>
        <v>0</v>
      </c>
      <c r="Z572" s="57" cm="1">
        <f t="array" ref="Z572">VLOOKUP(B572,'Player Data'!$A1:$AE673,14,FALSE)*$Q572</f>
        <v>0</v>
      </c>
      <c r="AA572" s="57" cm="1">
        <f t="array" ref="AA572">VLOOKUP(B572,'Player Data'!$A1:$AE673,15,FALSE)*$Q572</f>
        <v>49.4</v>
      </c>
      <c r="AB572" s="57" cm="1">
        <f t="array" ref="AB572">VLOOKUP(B572,'Player Data'!$A1:$AE673,16,FALSE)*$Q572</f>
        <v>72.2</v>
      </c>
      <c r="AC572" s="57" cm="1">
        <f t="array" ref="AC572">VLOOKUP(B572,'Player Data'!$A1:$AE673,17,FALSE)*$Q572*IFERROR((VLOOKUP(P572,Settings!$E$28:$F$33,2,FALSE)+1),1)</f>
        <v>4.5599999999999996</v>
      </c>
      <c r="AD572" s="57" cm="1">
        <f t="array" ref="AD572">VLOOKUP(B572,'Player Data'!$A1:$AE673,18,FALSE)*$Q572</f>
        <v>19.760000000000002</v>
      </c>
      <c r="AE572" s="57" cm="1">
        <f t="array" ref="AE572">VLOOKUP(B572,'Player Data'!$A1:$AE673,19,FALSE)*$Q572*IFERROR((VLOOKUP(P572,Settings!$E$28:$F$33,2,FALSE)+1),1)</f>
        <v>1.52</v>
      </c>
      <c r="AF572" s="57" cm="1">
        <f t="array" ref="AF572">VLOOKUP(B572,'Player Data'!$A1:$AE673,20,FALSE)*$Q572</f>
        <v>0.76</v>
      </c>
      <c r="AG572" s="57" cm="1">
        <f t="array" ref="AG572">VLOOKUP(B572,'Player Data'!$A1:$AE673,21,FALSE)*$Q572</f>
        <v>5.32</v>
      </c>
      <c r="AH572" s="59" cm="1">
        <f t="array" ref="AH572">VLOOKUP(B572,'Player Data'!$A1:$AE673,22,FALSE)</f>
        <v>0.13</v>
      </c>
      <c r="AI572" s="55"/>
      <c r="AJ572" s="57"/>
      <c r="AK572" s="57"/>
      <c r="AL572" s="57"/>
      <c r="AM572" s="57"/>
      <c r="AN572" s="57"/>
      <c r="AO572" s="57"/>
      <c r="AP572" s="57"/>
      <c r="AQ572" s="60"/>
      <c r="AR572" s="61"/>
      <c r="AS572" s="55"/>
    </row>
    <row r="573" spans="1:45" ht="21.25" customHeight="1" x14ac:dyDescent="0.15">
      <c r="A573" s="62">
        <f>RANK(K573,K$2:K$671)</f>
        <v>571</v>
      </c>
      <c r="B573" s="10" t="s">
        <v>661</v>
      </c>
      <c r="C573" s="47" t="s">
        <v>145</v>
      </c>
      <c r="D573" s="48" t="str" cm="1">
        <f t="array" ref="D573">VLOOKUP(B573,'Player Data'!A1:D673,4,FALSE)</f>
        <v>C</v>
      </c>
      <c r="E573" s="49" cm="1">
        <f t="array" ref="E573">VLOOKUP(B573,'C'!A1:C210,3,FALSE)</f>
        <v>162</v>
      </c>
      <c r="F573" s="69" t="str" cm="1">
        <f t="array" ref="F573">VLOOKUP(B573,'Player Data'!A1:B673,2,FALSE)</f>
        <v>MTL</v>
      </c>
      <c r="G573" s="66" cm="1">
        <f t="array" ref="G573">VLOOKUP(B573,'Player Data'!A1:D673,3,FALSE)</f>
        <v>33</v>
      </c>
      <c r="H573" s="67" cm="1">
        <f t="array" ref="H573">IFERROR(VLOOKUP(B573,ADP!A1:F671,6,FALSE)/1000000,VLOOKUP(B573,ADP!A1:F671,6,FALSE))</f>
        <v>5.5</v>
      </c>
      <c r="I573" s="52">
        <f>IF(Settings!$E$15="POINTS",((R573*Q573)*Settings!$B$12)+(S573*Settings!$B$2)+(T573*Settings!$B$3)+(U573*Settings!$B$4)+(V573*Settings!$B$5)+(X573*Settings!$B$9)+(AA573*Settings!$B$6)+(W573*Settings!$B$8)+(AB573*Settings!$B$7)+(AC573*Settings!$B$14)+(AD573*Settings!$B$15)+(AE573*Settings!$B$16)+(AF573*Settings!$B$17)+(AG573*Settings!$B$18)+(Y573*Settings!$B$10)+(Z573*Settings!$B$11),VLOOKUP(B573,'Standard Deviations'!A$1:C$672,3,FALSE))</f>
        <v>-2.5210520289238287</v>
      </c>
      <c r="J573" s="53" cm="1">
        <f t="array" ref="J573">IF(D573="G",I573/AJ573,I573/Q573)</f>
        <v>-3.0744536938095472E-2</v>
      </c>
      <c r="K573" s="52" cm="1">
        <f t="array" ref="K573">IF(Settings!$E$18="C/LW/RW",VLOOKUP(B573,'C'!A1:F210,6,FALSE),VLOOKUP(B573,F!A1:F407,6,FALSE))</f>
        <v>-8.8810615865388929</v>
      </c>
      <c r="L573" s="54" cm="1">
        <f t="array" ref="L573">IFERROR(K573/H573,"N/A")</f>
        <v>-1.6147384702797987</v>
      </c>
      <c r="M573" s="84" t="s">
        <v>828</v>
      </c>
      <c r="N573" s="84" t="str" cm="1">
        <f t="array" ref="N573">IFERROR(M573-A573,"N/A")</f>
        <v>N/A</v>
      </c>
      <c r="O573" s="55"/>
      <c r="P573" s="56" cm="1">
        <f t="array" ref="P573">_xlfn.XLOOKUP($B573,ADP!A2:A671,ADP!G2:G671)</f>
        <v>0</v>
      </c>
      <c r="Q573" s="57" cm="1">
        <f t="array" ref="Q573">IF(Settings!$E$12="YES",VLOOKUP(B573,'Player Data'!A1:E673,5,FALSE),84)</f>
        <v>82</v>
      </c>
      <c r="R573" s="83" cm="1">
        <f t="array" ref="R573">VLOOKUP(B573,'Player Data'!$A1:$AE673,6,FALSE)</f>
        <v>13.9</v>
      </c>
      <c r="S573" s="57" cm="1">
        <f t="array" ref="S573">VLOOKUP(B573,'Player Data'!$A1:$AE673,7,FALSE)*$Q573*IFERROR((VLOOKUP(P573,Settings!$E$28:$F$33,2,FALSE)+1),1)</f>
        <v>5.74</v>
      </c>
      <c r="T573" s="57" cm="1">
        <f t="array" ref="T573">VLOOKUP(B573,'Player Data'!$A1:$AE673,8,FALSE)*$Q573*IFERROR((VLOOKUP(P573,Settings!$E$28:$F$33,2,FALSE)+1),1)</f>
        <v>18.04</v>
      </c>
      <c r="U573" s="57" cm="1">
        <f t="array" ref="U573">SUM(S573:T573)</f>
        <v>23.78</v>
      </c>
      <c r="V573" s="57" cm="1">
        <f t="array" ref="V573">VLOOKUP(B573,'Player Data'!$A1:$AE673,10,FALSE)*$Q573*IFERROR(((VLOOKUP(P573,Settings!$E$28:$F$33,2,FALSE)/2)+1),1)</f>
        <v>91.84</v>
      </c>
      <c r="W573" s="57" cm="1">
        <f t="array" ref="W573">VLOOKUP(B573,'Player Data'!$A1:$AE673,11,FALSE)*$Q573*IFERROR((VLOOKUP(P573,Settings!$E$28:$F$33,2,FALSE)+1),1)</f>
        <v>0</v>
      </c>
      <c r="X573" s="57" cm="1">
        <f t="array" ref="X573">VLOOKUP(B573,'Player Data'!$A1:$AE673,12,FALSE)*$Q573*IFERROR((VLOOKUP(P573,Settings!$E$28:$F$33,2,FALSE)+1),1)</f>
        <v>0</v>
      </c>
      <c r="Y573" s="57" cm="1">
        <f t="array" ref="Y573">VLOOKUP(B573,'Player Data'!$A1:$AE673,13,FALSE)*$Q573</f>
        <v>0</v>
      </c>
      <c r="Z573" s="57" cm="1">
        <f t="array" ref="Z573">VLOOKUP(B573,'Player Data'!$A1:$AE673,14,FALSE)*$Q573</f>
        <v>0.82000000000000006</v>
      </c>
      <c r="AA573" s="57" cm="1">
        <f t="array" ref="AA573">VLOOKUP(B573,'Player Data'!$A1:$AE673,15,FALSE)*$Q573</f>
        <v>47.559999999999995</v>
      </c>
      <c r="AB573" s="57" cm="1">
        <f t="array" ref="AB573">VLOOKUP(B573,'Player Data'!$A1:$AE673,16,FALSE)*$Q573</f>
        <v>68.88</v>
      </c>
      <c r="AC573" s="57" cm="1">
        <f t="array" ref="AC573">VLOOKUP(B573,'Player Data'!$A1:$AE673,17,FALSE)*$Q573*IFERROR((VLOOKUP(P573,Settings!$E$28:$F$33,2,FALSE)+1),1)</f>
        <v>2.46</v>
      </c>
      <c r="AD573" s="57" cm="1">
        <f t="array" ref="AD573">VLOOKUP(B573,'Player Data'!$A1:$AE673,18,FALSE)*$Q573</f>
        <v>22.14</v>
      </c>
      <c r="AE573" s="57" cm="1">
        <f t="array" ref="AE573">VLOOKUP(B573,'Player Data'!$A1:$AE673,19,FALSE)*$Q573*IFERROR((VLOOKUP(P573,Settings!$E$28:$F$33,2,FALSE)+1),1)</f>
        <v>0.82000000000000006</v>
      </c>
      <c r="AF573" s="57" cm="1">
        <f t="array" ref="AF573">VLOOKUP(B573,'Player Data'!$A1:$AE673,20,FALSE)*$Q573</f>
        <v>513.31999999999994</v>
      </c>
      <c r="AG573" s="57" cm="1">
        <f t="array" ref="AG573">VLOOKUP(B573,'Player Data'!$A1:$AE673,21,FALSE)*$Q573</f>
        <v>455.09999999999997</v>
      </c>
      <c r="AH573" s="59" cm="1">
        <f t="array" ref="AH573">VLOOKUP(B573,'Player Data'!$A1:$AE673,22,FALSE)</f>
        <v>0.53</v>
      </c>
      <c r="AI573" s="55"/>
      <c r="AJ573" s="57"/>
      <c r="AK573" s="57"/>
      <c r="AL573" s="57"/>
      <c r="AM573" s="57"/>
      <c r="AN573" s="57"/>
      <c r="AO573" s="57"/>
      <c r="AP573" s="57"/>
      <c r="AQ573" s="60"/>
      <c r="AR573" s="61"/>
      <c r="AS573" s="55"/>
    </row>
    <row r="574" spans="1:45" ht="21.25" customHeight="1" x14ac:dyDescent="0.15">
      <c r="A574" s="62">
        <f>RANK(K574,K$2:K$671)</f>
        <v>572</v>
      </c>
      <c r="B574" s="10" t="s">
        <v>732</v>
      </c>
      <c r="C574" s="47" t="s">
        <v>145</v>
      </c>
      <c r="D574" s="48" t="str" cm="1">
        <f t="array" ref="D574">VLOOKUP(B574,'Player Data'!A1:D673,4,FALSE)</f>
        <v>C</v>
      </c>
      <c r="E574" s="49" cm="1">
        <f t="array" ref="E574">VLOOKUP(B574,'C'!A1:C210,3,FALSE)</f>
        <v>163</v>
      </c>
      <c r="F574" s="63" t="str" cm="1">
        <f t="array" ref="F574">VLOOKUP(B574,'Player Data'!A1:B673,2,FALSE)</f>
        <v>DAL</v>
      </c>
      <c r="G574" s="66" cm="1">
        <f t="array" ref="G574">VLOOKUP(B574,'Player Data'!A1:D673,3,FALSE)</f>
        <v>32</v>
      </c>
      <c r="H574" s="51" cm="1">
        <f t="array" ref="H574">IFERROR(VLOOKUP(B574,ADP!A1:F671,6,FALSE)/1000000,VLOOKUP(B574,ADP!A1:F671,6,FALSE))</f>
        <v>2</v>
      </c>
      <c r="I574" s="52">
        <f>IF(Settings!$E$15="POINTS",((R574*Q574)*Settings!$B$12)+(S574*Settings!$B$2)+(T574*Settings!$B$3)+(U574*Settings!$B$4)+(V574*Settings!$B$5)+(X574*Settings!$B$9)+(AA574*Settings!$B$6)+(W574*Settings!$B$8)+(AB574*Settings!$B$7)+(AC574*Settings!$B$14)+(AD574*Settings!$B$15)+(AE574*Settings!$B$16)+(AF574*Settings!$B$17)+(AG574*Settings!$B$18)+(Y574*Settings!$B$10)+(Z574*Settings!$B$11),VLOOKUP(B574,'Standard Deviations'!A$1:C$672,3,FALSE))</f>
        <v>-2.5237820972325968</v>
      </c>
      <c r="J574" s="53" cm="1">
        <f t="array" ref="J574">IF(D574="G",I574/AJ574,I574/Q574)</f>
        <v>-3.277639087315061E-2</v>
      </c>
      <c r="K574" s="52" cm="1">
        <f t="array" ref="K574">IF(Settings!$E$18="C/LW/RW",VLOOKUP(B574,'C'!A1:F210,6,FALSE),VLOOKUP(B574,F!A1:F407,6,FALSE))</f>
        <v>-8.883791654847661</v>
      </c>
      <c r="L574" s="54" cm="1">
        <f t="array" ref="L574">IFERROR(K574/H574,"N/A")</f>
        <v>-4.4418958274238305</v>
      </c>
      <c r="M574" s="84" t="s">
        <v>828</v>
      </c>
      <c r="N574" s="84" t="str" cm="1">
        <f t="array" ref="N574">IFERROR(M574-A574,"N/A")</f>
        <v>N/A</v>
      </c>
      <c r="O574" s="55"/>
      <c r="P574" s="56" cm="1">
        <f t="array" ref="P574">_xlfn.XLOOKUP($B574,ADP!A2:A671,ADP!G2:G671)</f>
        <v>0</v>
      </c>
      <c r="Q574" s="57" cm="1">
        <f t="array" ref="Q574">IF(Settings!$E$12="YES",VLOOKUP(B574,'Player Data'!A1:E673,5,FALSE),84)</f>
        <v>77</v>
      </c>
      <c r="R574" s="55" cm="1">
        <f t="array" ref="R574">VLOOKUP(B574,'Player Data'!$A1:$AE673,6,FALSE)</f>
        <v>11.5</v>
      </c>
      <c r="S574" s="57" cm="1">
        <f t="array" ref="S574">VLOOKUP(B574,'Player Data'!$A1:$AE673,7,FALSE)*$Q574*IFERROR((VLOOKUP(P574,Settings!$E$28:$F$33,2,FALSE)+1),1)</f>
        <v>3.85</v>
      </c>
      <c r="T574" s="57" cm="1">
        <f t="array" ref="T574">VLOOKUP(B574,'Player Data'!$A1:$AE673,8,FALSE)*$Q574*IFERROR((VLOOKUP(P574,Settings!$E$28:$F$33,2,FALSE)+1),1)</f>
        <v>13.090000000000002</v>
      </c>
      <c r="U574" s="57" cm="1">
        <f t="array" ref="U574">SUM(S574:T574)</f>
        <v>16.940000000000001</v>
      </c>
      <c r="V574" s="57" cm="1">
        <f t="array" ref="V574">VLOOKUP(B574,'Player Data'!$A1:$AE673,10,FALSE)*$Q574*IFERROR(((VLOOKUP(P574,Settings!$E$28:$F$33,2,FALSE)/2)+1),1)</f>
        <v>55.44</v>
      </c>
      <c r="W574" s="57" cm="1">
        <f t="array" ref="W574">VLOOKUP(B574,'Player Data'!$A1:$AE673,11,FALSE)*$Q574*IFERROR((VLOOKUP(P574,Settings!$E$28:$F$33,2,FALSE)+1),1)</f>
        <v>0</v>
      </c>
      <c r="X574" s="57" cm="1">
        <f t="array" ref="X574">VLOOKUP(B574,'Player Data'!$A1:$AE673,12,FALSE)*$Q574*IFERROR((VLOOKUP(P574,Settings!$E$28:$F$33,2,FALSE)+1),1)</f>
        <v>0</v>
      </c>
      <c r="Y574" s="57" cm="1">
        <f t="array" ref="Y574">VLOOKUP(B574,'Player Data'!$A1:$AE673,13,FALSE)*$Q574</f>
        <v>0.77</v>
      </c>
      <c r="Z574" s="57" cm="1">
        <f t="array" ref="Z574">VLOOKUP(B574,'Player Data'!$A1:$AE673,14,FALSE)*$Q574</f>
        <v>2.31</v>
      </c>
      <c r="AA574" s="57" cm="1">
        <f t="array" ref="AA574">VLOOKUP(B574,'Player Data'!$A1:$AE673,15,FALSE)*$Q574</f>
        <v>53.9</v>
      </c>
      <c r="AB574" s="57" cm="1">
        <f t="array" ref="AB574">VLOOKUP(B574,'Player Data'!$A1:$AE673,16,FALSE)*$Q574</f>
        <v>110.88</v>
      </c>
      <c r="AC574" s="57" cm="1">
        <f t="array" ref="AC574">VLOOKUP(B574,'Player Data'!$A1:$AE673,17,FALSE)*$Q574*IFERROR((VLOOKUP(P574,Settings!$E$28:$F$33,2,FALSE)+1),1)</f>
        <v>3.85</v>
      </c>
      <c r="AD574" s="57" cm="1">
        <f t="array" ref="AD574">VLOOKUP(B574,'Player Data'!$A1:$AE673,18,FALSE)*$Q574</f>
        <v>23.87</v>
      </c>
      <c r="AE574" s="57" cm="1">
        <f t="array" ref="AE574">VLOOKUP(B574,'Player Data'!$A1:$AE673,19,FALSE)*$Q574*IFERROR((VLOOKUP(P574,Settings!$E$28:$F$33,2,FALSE)+1),1)</f>
        <v>0.77</v>
      </c>
      <c r="AF574" s="57" cm="1">
        <f t="array" ref="AF574">VLOOKUP(B574,'Player Data'!$A1:$AE673,20,FALSE)*$Q574</f>
        <v>324.94</v>
      </c>
      <c r="AG574" s="57" cm="1">
        <f t="array" ref="AG574">VLOOKUP(B574,'Player Data'!$A1:$AE673,21,FALSE)*$Q574</f>
        <v>261.03000000000003</v>
      </c>
      <c r="AH574" s="59" cm="1">
        <f t="array" ref="AH574">VLOOKUP(B574,'Player Data'!$A1:$AE673,22,FALSE)</f>
        <v>0.55000000000000004</v>
      </c>
      <c r="AI574" s="55"/>
      <c r="AJ574" s="57"/>
      <c r="AK574" s="57"/>
      <c r="AL574" s="57"/>
      <c r="AM574" s="57"/>
      <c r="AN574" s="57"/>
      <c r="AO574" s="57"/>
      <c r="AP574" s="57"/>
      <c r="AQ574" s="60"/>
      <c r="AR574" s="61"/>
      <c r="AS574" s="55"/>
    </row>
    <row r="575" spans="1:45" ht="21.25" customHeight="1" x14ac:dyDescent="0.15">
      <c r="A575" s="62">
        <f>RANK(K575,K$2:K$671)</f>
        <v>573</v>
      </c>
      <c r="B575" s="10" t="s">
        <v>692</v>
      </c>
      <c r="C575" s="47" t="s">
        <v>145</v>
      </c>
      <c r="D575" s="48" t="str" cm="1">
        <f t="array" ref="D575">VLOOKUP(B575,'Player Data'!A1:D673,4,FALSE)</f>
        <v>RW</v>
      </c>
      <c r="E575" s="64" cm="1">
        <f t="array" ref="E575">VLOOKUP(B575,RW!A1:F210,3,FALSE)</f>
        <v>161</v>
      </c>
      <c r="F575" s="70" t="str" cm="1">
        <f t="array" ref="F575">VLOOKUP(B575,'Player Data'!A1:B673,2,FALSE)</f>
        <v>MIN</v>
      </c>
      <c r="G575" s="11" cm="1">
        <f t="array" ref="G575">VLOOKUP(B575,'Player Data'!A1:D673,3,FALSE)</f>
        <v>25</v>
      </c>
      <c r="H575" s="67" cm="1">
        <f t="array" ref="H575">IFERROR(VLOOKUP(B575,ADP!A1:F671,6,FALSE)/1000000,VLOOKUP(B575,ADP!A1:F671,6,FALSE))</f>
        <v>1.6</v>
      </c>
      <c r="I575" s="52">
        <f>IF(Settings!$E$15="POINTS",((R575*Q575)*Settings!$B$12)+(S575*Settings!$B$2)+(T575*Settings!$B$3)+(U575*Settings!$B$4)+(V575*Settings!$B$5)+(X575*Settings!$B$9)+(AA575*Settings!$B$6)+(W575*Settings!$B$8)+(AB575*Settings!$B$7)+(AC575*Settings!$B$14)+(AD575*Settings!$B$15)+(AE575*Settings!$B$16)+(AF575*Settings!$B$17)+(AG575*Settings!$B$18)+(Y575*Settings!$B$10)+(Z575*Settings!$B$11),VLOOKUP(B575,'Standard Deviations'!A$1:C$672,3,FALSE))</f>
        <v>-2.0105980973910089</v>
      </c>
      <c r="J575" s="53" cm="1">
        <f t="array" ref="J575">IF(D575="G",I575/AJ575,I575/Q575)</f>
        <v>-2.9567619079279545E-2</v>
      </c>
      <c r="K575" s="52" cm="1">
        <f t="array" ref="K575">IF(Settings!$E$18="C/LW/RW",VLOOKUP(B575,RW!A1:F210,6,FALSE),VLOOKUP(B575,F!A1:F407,6,FALSE))</f>
        <v>-8.8978326992000873</v>
      </c>
      <c r="L575" s="54" cm="1">
        <f t="array" ref="L575">IFERROR(K575/H575,"N/A")</f>
        <v>-5.5611454370000546</v>
      </c>
      <c r="M575" s="84" t="s">
        <v>828</v>
      </c>
      <c r="N575" s="84" t="str" cm="1">
        <f t="array" ref="N575">IFERROR(M575-A575,"N/A")</f>
        <v>N/A</v>
      </c>
      <c r="O575" s="55"/>
      <c r="P575" s="56" cm="1">
        <f t="array" ref="P575">_xlfn.XLOOKUP($B575,ADP!A2:A671,ADP!G2:G671)</f>
        <v>0</v>
      </c>
      <c r="Q575" s="57" cm="1">
        <f t="array" ref="Q575">IF(Settings!$E$12="YES",VLOOKUP(B575,'Player Data'!A1:E673,5,FALSE),84)</f>
        <v>68</v>
      </c>
      <c r="R575" s="55" cm="1">
        <f t="array" ref="R575">VLOOKUP(B575,'Player Data'!$A1:$AE673,6,FALSE)</f>
        <v>13.1</v>
      </c>
      <c r="S575" s="57" cm="1">
        <f t="array" ref="S575">VLOOKUP(B575,'Player Data'!$A1:$AE673,7,FALSE)*$Q575*IFERROR((VLOOKUP(P575,Settings!$E$28:$F$33,2,FALSE)+1),1)</f>
        <v>10.199999999999999</v>
      </c>
      <c r="T575" s="57" cm="1">
        <f t="array" ref="T575">VLOOKUP(B575,'Player Data'!$A1:$AE673,8,FALSE)*$Q575*IFERROR((VLOOKUP(P575,Settings!$E$28:$F$33,2,FALSE)+1),1)</f>
        <v>19.040000000000003</v>
      </c>
      <c r="U575" s="57" cm="1">
        <f t="array" ref="U575">SUM(S575:T575)</f>
        <v>29.240000000000002</v>
      </c>
      <c r="V575" s="57" cm="1">
        <f t="array" ref="V575">VLOOKUP(B575,'Player Data'!$A1:$AE673,10,FALSE)*$Q575*IFERROR(((VLOOKUP(P575,Settings!$E$28:$F$33,2,FALSE)/2)+1),1)</f>
        <v>96.56</v>
      </c>
      <c r="W575" s="57" cm="1">
        <f t="array" ref="W575">VLOOKUP(B575,'Player Data'!$A1:$AE673,11,FALSE)*$Q575*IFERROR((VLOOKUP(P575,Settings!$E$28:$F$33,2,FALSE)+1),1)</f>
        <v>0.68</v>
      </c>
      <c r="X575" s="57" cm="1">
        <f t="array" ref="X575">VLOOKUP(B575,'Player Data'!$A1:$AE673,12,FALSE)*$Q575*IFERROR((VLOOKUP(P575,Settings!$E$28:$F$33,2,FALSE)+1),1)</f>
        <v>5.44</v>
      </c>
      <c r="Y575" s="57" cm="1">
        <f t="array" ref="Y575">VLOOKUP(B575,'Player Data'!$A1:$AE673,13,FALSE)*$Q575</f>
        <v>0</v>
      </c>
      <c r="Z575" s="57" cm="1">
        <f t="array" ref="Z575">VLOOKUP(B575,'Player Data'!$A1:$AE673,14,FALSE)*$Q575</f>
        <v>0</v>
      </c>
      <c r="AA575" s="57" cm="1">
        <f t="array" ref="AA575">VLOOKUP(B575,'Player Data'!$A1:$AE673,15,FALSE)*$Q575</f>
        <v>27.88</v>
      </c>
      <c r="AB575" s="57" cm="1">
        <f t="array" ref="AB575">VLOOKUP(B575,'Player Data'!$A1:$AE673,16,FALSE)*$Q575</f>
        <v>49.64</v>
      </c>
      <c r="AC575" s="57" cm="1">
        <f t="array" ref="AC575">VLOOKUP(B575,'Player Data'!$A1:$AE673,17,FALSE)*$Q575*IFERROR((VLOOKUP(P575,Settings!$E$28:$F$33,2,FALSE)+1),1)</f>
        <v>1.36</v>
      </c>
      <c r="AD575" s="57" cm="1">
        <f t="array" ref="AD575">VLOOKUP(B575,'Player Data'!$A1:$AE673,18,FALSE)*$Q575</f>
        <v>14.28</v>
      </c>
      <c r="AE575" s="57" cm="1">
        <f t="array" ref="AE575">VLOOKUP(B575,'Player Data'!$A1:$AE673,19,FALSE)*$Q575*IFERROR((VLOOKUP(P575,Settings!$E$28:$F$33,2,FALSE)+1),1)</f>
        <v>2.04</v>
      </c>
      <c r="AF575" s="57" cm="1">
        <f t="array" ref="AF575">VLOOKUP(B575,'Player Data'!$A1:$AE673,20,FALSE)*$Q575</f>
        <v>0</v>
      </c>
      <c r="AG575" s="57" cm="1">
        <f t="array" ref="AG575">VLOOKUP(B575,'Player Data'!$A1:$AE673,21,FALSE)*$Q575</f>
        <v>2.72</v>
      </c>
      <c r="AH575" s="59" cm="1">
        <f t="array" ref="AH575">VLOOKUP(B575,'Player Data'!$A1:$AE673,22,FALSE)</f>
        <v>0</v>
      </c>
      <c r="AI575" s="55"/>
      <c r="AJ575" s="57"/>
      <c r="AK575" s="57"/>
      <c r="AL575" s="57"/>
      <c r="AM575" s="57"/>
      <c r="AN575" s="57"/>
      <c r="AO575" s="57"/>
      <c r="AP575" s="57"/>
      <c r="AQ575" s="60"/>
      <c r="AR575" s="61"/>
      <c r="AS575" s="55"/>
    </row>
    <row r="576" spans="1:45" ht="21.25" customHeight="1" x14ac:dyDescent="0.15">
      <c r="A576" s="62">
        <f>RANK(K576,K$2:K$671)</f>
        <v>574</v>
      </c>
      <c r="B576" s="10" t="s">
        <v>721</v>
      </c>
      <c r="C576" s="47" t="s">
        <v>145</v>
      </c>
      <c r="D576" s="48" t="str" cm="1">
        <f t="array" ref="D576">VLOOKUP(B576,'Player Data'!A1:D673,4,FALSE)</f>
        <v>C</v>
      </c>
      <c r="E576" s="49" cm="1">
        <f t="array" ref="E576">VLOOKUP(B576,'C'!A1:C210,3,FALSE)</f>
        <v>164</v>
      </c>
      <c r="F576" s="69" t="str" cm="1">
        <f t="array" ref="F576">VLOOKUP(B576,'Player Data'!A1:B673,2,FALSE)</f>
        <v>N.J</v>
      </c>
      <c r="G576" s="66" cm="1">
        <f t="array" ref="G576">VLOOKUP(B576,'Player Data'!A1:D673,3,FALSE)</f>
        <v>34</v>
      </c>
      <c r="H576" s="67" cm="1">
        <f t="array" ref="H576">IFERROR(VLOOKUP(B576,ADP!A1:F671,6,FALSE)/1000000,VLOOKUP(B576,ADP!A1:F671,6,FALSE))</f>
        <v>1.75</v>
      </c>
      <c r="I576" s="52">
        <f>IF(Settings!$E$15="POINTS",((R576*Q576)*Settings!$B$12)+(S576*Settings!$B$2)+(T576*Settings!$B$3)+(U576*Settings!$B$4)+(V576*Settings!$B$5)+(X576*Settings!$B$9)+(AA576*Settings!$B$6)+(W576*Settings!$B$8)+(AB576*Settings!$B$7)+(AC576*Settings!$B$14)+(AD576*Settings!$B$15)+(AE576*Settings!$B$16)+(AF576*Settings!$B$17)+(AG576*Settings!$B$18)+(Y576*Settings!$B$10)+(Z576*Settings!$B$11),VLOOKUP(B576,'Standard Deviations'!A$1:C$672,3,FALSE))</f>
        <v>-2.6199986135741415</v>
      </c>
      <c r="J576" s="53" cm="1">
        <f t="array" ref="J576">IF(D576="G",I576/AJ576,I576/Q576)</f>
        <v>-3.3589725815053095E-2</v>
      </c>
      <c r="K576" s="52" cm="1">
        <f t="array" ref="K576">IF(Settings!$E$18="C/LW/RW",VLOOKUP(B576,'C'!A1:F210,6,FALSE),VLOOKUP(B576,F!A1:F407,6,FALSE))</f>
        <v>-8.9800081711892048</v>
      </c>
      <c r="L576" s="54" cm="1">
        <f t="array" ref="L576">IFERROR(K576/H576,"N/A")</f>
        <v>-5.131433240679546</v>
      </c>
      <c r="M576" s="84" t="s">
        <v>828</v>
      </c>
      <c r="N576" s="84" t="str" cm="1">
        <f t="array" ref="N576">IFERROR(M576-A576,"N/A")</f>
        <v>N/A</v>
      </c>
      <c r="O576" s="55"/>
      <c r="P576" s="56" cm="1">
        <f t="array" ref="P576">_xlfn.XLOOKUP($B576,ADP!A2:A671,ADP!G2:G671)</f>
        <v>0</v>
      </c>
      <c r="Q576" s="57" cm="1">
        <f t="array" ref="Q576">IF(Settings!$E$12="YES",VLOOKUP(B576,'Player Data'!A1:E673,5,FALSE),84)</f>
        <v>78</v>
      </c>
      <c r="R576" s="55" cm="1">
        <f t="array" ref="R576">VLOOKUP(B576,'Player Data'!$A1:$AE673,6,FALSE)</f>
        <v>10.9</v>
      </c>
      <c r="S576" s="57" cm="1">
        <f t="array" ref="S576">VLOOKUP(B576,'Player Data'!$A1:$AE673,7,FALSE)*$Q576*IFERROR((VLOOKUP(P576,Settings!$E$28:$F$33,2,FALSE)+1),1)</f>
        <v>7.02</v>
      </c>
      <c r="T576" s="57" cm="1">
        <f t="array" ref="T576">VLOOKUP(B576,'Player Data'!$A1:$AE673,8,FALSE)*$Q576*IFERROR((VLOOKUP(P576,Settings!$E$28:$F$33,2,FALSE)+1),1)</f>
        <v>7.8000000000000007</v>
      </c>
      <c r="U576" s="57" cm="1">
        <f t="array" ref="U576">SUM(S576:T576)</f>
        <v>14.82</v>
      </c>
      <c r="V576" s="57" cm="1">
        <f t="array" ref="V576">VLOOKUP(B576,'Player Data'!$A1:$AE673,10,FALSE)*$Q576*IFERROR(((VLOOKUP(P576,Settings!$E$28:$F$33,2,FALSE)/2)+1),1)</f>
        <v>97.5</v>
      </c>
      <c r="W576" s="57" cm="1">
        <f t="array" ref="W576">VLOOKUP(B576,'Player Data'!$A1:$AE673,11,FALSE)*$Q576*IFERROR((VLOOKUP(P576,Settings!$E$28:$F$33,2,FALSE)+1),1)</f>
        <v>0</v>
      </c>
      <c r="X576" s="57" cm="1">
        <f t="array" ref="X576">VLOOKUP(B576,'Player Data'!$A1:$AE673,12,FALSE)*$Q576*IFERROR((VLOOKUP(P576,Settings!$E$28:$F$33,2,FALSE)+1),1)</f>
        <v>0</v>
      </c>
      <c r="Y576" s="57" cm="1">
        <f t="array" ref="Y576">VLOOKUP(B576,'Player Data'!$A1:$AE673,13,FALSE)*$Q576</f>
        <v>0.78</v>
      </c>
      <c r="Z576" s="57" cm="1">
        <f t="array" ref="Z576">VLOOKUP(B576,'Player Data'!$A1:$AE673,14,FALSE)*$Q576</f>
        <v>0.78</v>
      </c>
      <c r="AA576" s="57" cm="1">
        <f t="array" ref="AA576">VLOOKUP(B576,'Player Data'!$A1:$AE673,15,FALSE)*$Q576</f>
        <v>37.44</v>
      </c>
      <c r="AB576" s="57" cm="1">
        <f t="array" ref="AB576">VLOOKUP(B576,'Player Data'!$A1:$AE673,16,FALSE)*$Q576</f>
        <v>122.46000000000001</v>
      </c>
      <c r="AC576" s="57" cm="1">
        <f t="array" ref="AC576">VLOOKUP(B576,'Player Data'!$A1:$AE673,17,FALSE)*$Q576*IFERROR((VLOOKUP(P576,Settings!$E$28:$F$33,2,FALSE)+1),1)</f>
        <v>-0.78</v>
      </c>
      <c r="AD576" s="57" cm="1">
        <f t="array" ref="AD576">VLOOKUP(B576,'Player Data'!$A1:$AE673,18,FALSE)*$Q576</f>
        <v>28.08</v>
      </c>
      <c r="AE576" s="57" cm="1">
        <f t="array" ref="AE576">VLOOKUP(B576,'Player Data'!$A1:$AE673,19,FALSE)*$Q576*IFERROR((VLOOKUP(P576,Settings!$E$28:$F$33,2,FALSE)+1),1)</f>
        <v>1.56</v>
      </c>
      <c r="AF576" s="57" cm="1">
        <f t="array" ref="AF576">VLOOKUP(B576,'Player Data'!$A1:$AE673,20,FALSE)*$Q576</f>
        <v>261.3</v>
      </c>
      <c r="AG576" s="57" cm="1">
        <f t="array" ref="AG576">VLOOKUP(B576,'Player Data'!$A1:$AE673,21,FALSE)*$Q576</f>
        <v>273.77999999999997</v>
      </c>
      <c r="AH576" s="59" cm="1">
        <f t="array" ref="AH576">VLOOKUP(B576,'Player Data'!$A1:$AE673,22,FALSE)</f>
        <v>0.49</v>
      </c>
      <c r="AI576" s="55"/>
      <c r="AJ576" s="57"/>
      <c r="AK576" s="57"/>
      <c r="AL576" s="57"/>
      <c r="AM576" s="57"/>
      <c r="AN576" s="57"/>
      <c r="AO576" s="57"/>
      <c r="AP576" s="57"/>
      <c r="AQ576" s="60"/>
      <c r="AR576" s="61"/>
      <c r="AS576" s="55"/>
    </row>
    <row r="577" spans="1:45" ht="21.25" customHeight="1" x14ac:dyDescent="0.15">
      <c r="A577" s="62">
        <f>RANK(K577,K$2:K$671)</f>
        <v>575</v>
      </c>
      <c r="B577" s="10" t="s">
        <v>410</v>
      </c>
      <c r="C577" s="47" t="s">
        <v>145</v>
      </c>
      <c r="D577" s="48" t="str" cm="1">
        <f t="array" ref="D577">VLOOKUP(B577,'Player Data'!A1:D673,4,FALSE)</f>
        <v>C</v>
      </c>
      <c r="E577" s="49" cm="1">
        <f t="array" ref="E577">VLOOKUP(B577,'C'!A1:C210,3,FALSE)</f>
        <v>166</v>
      </c>
      <c r="F577" s="63" t="str" cm="1">
        <f t="array" ref="F577">VLOOKUP(B577,'Player Data'!A1:B673,2,FALSE)</f>
        <v>SEA</v>
      </c>
      <c r="G577" s="66" cm="1">
        <f t="array" ref="G577">VLOOKUP(B577,'Player Data'!A1:D673,3,FALSE)</f>
        <v>32</v>
      </c>
      <c r="H577" s="51" cm="1">
        <f t="array" ref="H577">IFERROR(VLOOKUP(B577,ADP!A1:F671,6,FALSE)/1000000,VLOOKUP(B577,ADP!A1:F671,6,FALSE))</f>
        <v>6.25</v>
      </c>
      <c r="I577" s="52">
        <f>IF(Settings!$E$15="POINTS",((R577*Q577)*Settings!$B$12)+(S577*Settings!$B$2)+(T577*Settings!$B$3)+(U577*Settings!$B$4)+(V577*Settings!$B$5)+(X577*Settings!$B$9)+(AA577*Settings!$B$6)+(W577*Settings!$B$8)+(AB577*Settings!$B$7)+(AC577*Settings!$B$14)+(AD577*Settings!$B$15)+(AE577*Settings!$B$16)+(AF577*Settings!$B$17)+(AG577*Settings!$B$18)+(Y577*Settings!$B$10)+(Z577*Settings!$B$11),VLOOKUP(B577,'Standard Deviations'!A$1:C$672,3,FALSE))</f>
        <v>-2.6668357658408421</v>
      </c>
      <c r="J577" s="53" cm="1">
        <f t="array" ref="J577">IF(D577="G",I577/AJ577,I577/Q577)</f>
        <v>-3.2522387388302952E-2</v>
      </c>
      <c r="K577" s="52" cm="1">
        <f t="array" ref="K577">IF(Settings!$E$18="C/LW/RW",VLOOKUP(B577,'C'!A1:F210,6,FALSE),VLOOKUP(B577,F!A1:F407,6,FALSE))</f>
        <v>-9.0268453234559054</v>
      </c>
      <c r="L577" s="54" cm="1">
        <f t="array" ref="L577">IFERROR(K577/H577,"N/A")</f>
        <v>-1.4442952517529448</v>
      </c>
      <c r="M577" s="84" t="s">
        <v>828</v>
      </c>
      <c r="N577" s="84" t="str" cm="1">
        <f t="array" ref="N577">IFERROR(M577-A577,"N/A")</f>
        <v>N/A</v>
      </c>
      <c r="O577" s="55"/>
      <c r="P577" s="56" cm="1">
        <f t="array" ref="P577">_xlfn.XLOOKUP($B577,ADP!A2:A671,ADP!G2:G671)</f>
        <v>0</v>
      </c>
      <c r="Q577" s="57" cm="1">
        <f t="array" ref="Q577">IF(Settings!$E$12="YES",VLOOKUP(B577,'Player Data'!A1:E673,5,FALSE),84)</f>
        <v>82</v>
      </c>
      <c r="R577" s="55" cm="1">
        <f t="array" ref="R577">VLOOKUP(B577,'Player Data'!$A1:$AE673,6,FALSE)</f>
        <v>19.3</v>
      </c>
      <c r="S577" s="57" cm="1">
        <f t="array" ref="S577">VLOOKUP(B577,'Player Data'!$A1:$AE673,7,FALSE)*$Q577*IFERROR((VLOOKUP(P577,Settings!$E$28:$F$33,2,FALSE)+1),1)</f>
        <v>14.76</v>
      </c>
      <c r="T577" s="57" cm="1">
        <f t="array" ref="T577">VLOOKUP(B577,'Player Data'!$A1:$AE673,8,FALSE)*$Q577*IFERROR((VLOOKUP(P577,Settings!$E$28:$F$33,2,FALSE)+1),1)</f>
        <v>34.44</v>
      </c>
      <c r="U577" s="57" cm="1">
        <f t="array" ref="U577">SUM(S577:T577)</f>
        <v>49.199999999999996</v>
      </c>
      <c r="V577" s="57" cm="1">
        <f t="array" ref="V577">VLOOKUP(B577,'Player Data'!$A1:$AE673,10,FALSE)*$Q577*IFERROR(((VLOOKUP(P577,Settings!$E$28:$F$33,2,FALSE)/2)+1),1)</f>
        <v>98.399999999999991</v>
      </c>
      <c r="W577" s="57" cm="1">
        <f t="array" ref="W577">VLOOKUP(B577,'Player Data'!$A1:$AE673,11,FALSE)*$Q577*IFERROR((VLOOKUP(P577,Settings!$E$28:$F$33,2,FALSE)+1),1)</f>
        <v>4.1000000000000005</v>
      </c>
      <c r="X577" s="78" cm="1">
        <f t="array" ref="X577">VLOOKUP(B577,'Player Data'!$A1:$AE673,12,FALSE)*$Q577*IFERROR((VLOOKUP(P577,Settings!$E$28:$F$33,2,FALSE)+1),1)</f>
        <v>16.400000000000002</v>
      </c>
      <c r="Y577" s="57" cm="1">
        <f t="array" ref="Y577">VLOOKUP(B577,'Player Data'!$A1:$AE673,13,FALSE)*$Q577</f>
        <v>0.82000000000000006</v>
      </c>
      <c r="Z577" s="57" cm="1">
        <f t="array" ref="Z577">VLOOKUP(B577,'Player Data'!$A1:$AE673,14,FALSE)*$Q577</f>
        <v>1.6400000000000001</v>
      </c>
      <c r="AA577" s="57" cm="1">
        <f t="array" ref="AA577">VLOOKUP(B577,'Player Data'!$A1:$AE673,15,FALSE)*$Q577</f>
        <v>55.760000000000005</v>
      </c>
      <c r="AB577" s="57" cm="1">
        <f t="array" ref="AB577">VLOOKUP(B577,'Player Data'!$A1:$AE673,16,FALSE)*$Q577</f>
        <v>31.98</v>
      </c>
      <c r="AC577" s="57" cm="1">
        <f t="array" ref="AC577">VLOOKUP(B577,'Player Data'!$A1:$AE673,17,FALSE)*$Q577*IFERROR((VLOOKUP(P577,Settings!$E$28:$F$33,2,FALSE)+1),1)</f>
        <v>-12.299999999999999</v>
      </c>
      <c r="AD577" s="57" cm="1">
        <f t="array" ref="AD577">VLOOKUP(B577,'Player Data'!$A1:$AE673,18,FALSE)*$Q577</f>
        <v>22.14</v>
      </c>
      <c r="AE577" s="57" cm="1">
        <f t="array" ref="AE577">VLOOKUP(B577,'Player Data'!$A1:$AE673,19,FALSE)*$Q577*IFERROR((VLOOKUP(P577,Settings!$E$28:$F$33,2,FALSE)+1),1)</f>
        <v>2.46</v>
      </c>
      <c r="AF577" s="57" cm="1">
        <f t="array" ref="AF577">VLOOKUP(B577,'Player Data'!$A1:$AE673,20,FALSE)*$Q577</f>
        <v>758.5</v>
      </c>
      <c r="AG577" s="57" cm="1">
        <f t="array" ref="AG577">VLOOKUP(B577,'Player Data'!$A1:$AE673,21,FALSE)*$Q577</f>
        <v>698.64</v>
      </c>
      <c r="AH577" s="59" cm="1">
        <f t="array" ref="AH577">VLOOKUP(B577,'Player Data'!$A1:$AE673,22,FALSE)</f>
        <v>0.52</v>
      </c>
      <c r="AI577" s="55"/>
      <c r="AJ577" s="57"/>
      <c r="AK577" s="57"/>
      <c r="AL577" s="57"/>
      <c r="AM577" s="57"/>
      <c r="AN577" s="57"/>
      <c r="AO577" s="57"/>
      <c r="AP577" s="57"/>
      <c r="AQ577" s="60"/>
      <c r="AR577" s="61"/>
      <c r="AS577" s="55"/>
    </row>
    <row r="578" spans="1:45" ht="21.25" customHeight="1" x14ac:dyDescent="0.15">
      <c r="A578" s="62">
        <f>RANK(K578,K$2:K$671)</f>
        <v>576</v>
      </c>
      <c r="B578" s="10" t="s">
        <v>532</v>
      </c>
      <c r="C578" s="47" t="s">
        <v>145</v>
      </c>
      <c r="D578" s="48" t="str" cm="1">
        <f t="array" ref="D578">VLOOKUP(B578,'Player Data'!A1:D673,4,FALSE)</f>
        <v>C</v>
      </c>
      <c r="E578" s="49" cm="1">
        <f t="array" ref="E578">VLOOKUP(B578,'C'!A1:C210,3,FALSE)</f>
        <v>167</v>
      </c>
      <c r="F578" s="50" t="str" cm="1">
        <f t="array" ref="F578">VLOOKUP(B578,'Player Data'!A1:B673,2,FALSE)</f>
        <v>ANA</v>
      </c>
      <c r="G578" s="11" cm="1">
        <f t="array" ref="G578">VLOOKUP(B578,'Player Data'!A1:D673,3,FALSE)</f>
        <v>27</v>
      </c>
      <c r="H578" s="51" cm="1">
        <f t="array" ref="H578">IFERROR(VLOOKUP(B578,ADP!A1:F671,6,FALSE)/1000000,VLOOKUP(B578,ADP!A1:F671,6,FALSE))</f>
        <v>3.75</v>
      </c>
      <c r="I578" s="52">
        <f>IF(Settings!$E$15="POINTS",((R578*Q578)*Settings!$B$12)+(S578*Settings!$B$2)+(T578*Settings!$B$3)+(U578*Settings!$B$4)+(V578*Settings!$B$5)+(X578*Settings!$B$9)+(AA578*Settings!$B$6)+(W578*Settings!$B$8)+(AB578*Settings!$B$7)+(AC578*Settings!$B$14)+(AD578*Settings!$B$15)+(AE578*Settings!$B$16)+(AF578*Settings!$B$17)+(AG578*Settings!$B$18)+(Y578*Settings!$B$10)+(Z578*Settings!$B$11),VLOOKUP(B578,'Standard Deviations'!A$1:C$672,3,FALSE))</f>
        <v>-2.6738521194252218</v>
      </c>
      <c r="J578" s="53" cm="1">
        <f t="array" ref="J578">IF(D578="G",I578/AJ578,I578/Q578)</f>
        <v>-3.3423151492815273E-2</v>
      </c>
      <c r="K578" s="52" cm="1">
        <f t="array" ref="K578">IF(Settings!$E$18="C/LW/RW",VLOOKUP(B578,'C'!A1:F210,6,FALSE),VLOOKUP(B578,F!A1:F407,6,FALSE))</f>
        <v>-9.0338616770402851</v>
      </c>
      <c r="L578" s="54" cm="1">
        <f t="array" ref="L578">IFERROR(K578/H578,"N/A")</f>
        <v>-2.4090297805440759</v>
      </c>
      <c r="M578" s="84" t="s">
        <v>828</v>
      </c>
      <c r="N578" s="84" t="str" cm="1">
        <f t="array" ref="N578">IFERROR(M578-A578,"N/A")</f>
        <v>N/A</v>
      </c>
      <c r="O578" s="55"/>
      <c r="P578" s="56" cm="1">
        <f t="array" ref="P578">_xlfn.XLOOKUP($B578,ADP!A2:A671,ADP!G2:G671)</f>
        <v>0</v>
      </c>
      <c r="Q578" s="57" cm="1">
        <f t="array" ref="Q578">IF(Settings!$E$12="YES",VLOOKUP(B578,'Player Data'!A1:E673,5,FALSE),84)</f>
        <v>80</v>
      </c>
      <c r="R578" s="55" cm="1">
        <f t="array" ref="R578">VLOOKUP(B578,'Player Data'!$A1:$AE673,6,FALSE)</f>
        <v>14.8</v>
      </c>
      <c r="S578" s="57" cm="1">
        <f t="array" ref="S578">VLOOKUP(B578,'Player Data'!$A1:$AE673,7,FALSE)*$Q578*IFERROR((VLOOKUP(P578,Settings!$E$28:$F$33,2,FALSE)+1),1)</f>
        <v>12.8</v>
      </c>
      <c r="T578" s="57" cm="1">
        <f t="array" ref="T578">VLOOKUP(B578,'Player Data'!$A1:$AE673,8,FALSE)*$Q578*IFERROR((VLOOKUP(P578,Settings!$E$28:$F$33,2,FALSE)+1),1)</f>
        <v>23.2</v>
      </c>
      <c r="U578" s="57" cm="1">
        <f t="array" ref="U578">SUM(S578:T578)</f>
        <v>36</v>
      </c>
      <c r="V578" s="57" cm="1">
        <f t="array" ref="V578">VLOOKUP(B578,'Player Data'!$A1:$AE673,10,FALSE)*$Q578*IFERROR(((VLOOKUP(P578,Settings!$E$28:$F$33,2,FALSE)/2)+1),1)</f>
        <v>104</v>
      </c>
      <c r="W578" s="57" cm="1">
        <f t="array" ref="W578">VLOOKUP(B578,'Player Data'!$A1:$AE673,11,FALSE)*$Q578*IFERROR((VLOOKUP(P578,Settings!$E$28:$F$33,2,FALSE)+1),1)</f>
        <v>0.8</v>
      </c>
      <c r="X578" s="57" cm="1">
        <f t="array" ref="X578">VLOOKUP(B578,'Player Data'!$A1:$AE673,12,FALSE)*$Q578*IFERROR((VLOOKUP(P578,Settings!$E$28:$F$33,2,FALSE)+1),1)</f>
        <v>1.6</v>
      </c>
      <c r="Y578" s="57" cm="1">
        <f t="array" ref="Y578">VLOOKUP(B578,'Player Data'!$A1:$AE673,13,FALSE)*$Q578</f>
        <v>1.6</v>
      </c>
      <c r="Z578" s="57" cm="1">
        <f t="array" ref="Z578">VLOOKUP(B578,'Player Data'!$A1:$AE673,14,FALSE)*$Q578</f>
        <v>4</v>
      </c>
      <c r="AA578" s="57" cm="1">
        <f t="array" ref="AA578">VLOOKUP(B578,'Player Data'!$A1:$AE673,15,FALSE)*$Q578</f>
        <v>89.600000000000009</v>
      </c>
      <c r="AB578" s="57" cm="1">
        <f t="array" ref="AB578">VLOOKUP(B578,'Player Data'!$A1:$AE673,16,FALSE)*$Q578</f>
        <v>51.2</v>
      </c>
      <c r="AC578" s="57" cm="1">
        <f t="array" ref="AC578">VLOOKUP(B578,'Player Data'!$A1:$AE673,17,FALSE)*$Q578*IFERROR((VLOOKUP(P578,Settings!$E$28:$F$33,2,FALSE)+1),1)</f>
        <v>-3.2</v>
      </c>
      <c r="AD578" s="57" cm="1">
        <f t="array" ref="AD578">VLOOKUP(B578,'Player Data'!$A1:$AE673,18,FALSE)*$Q578</f>
        <v>16.8</v>
      </c>
      <c r="AE578" s="57" cm="1">
        <f t="array" ref="AE578">VLOOKUP(B578,'Player Data'!$A1:$AE673,19,FALSE)*$Q578*IFERROR((VLOOKUP(P578,Settings!$E$28:$F$33,2,FALSE)+1),1)</f>
        <v>1.6</v>
      </c>
      <c r="AF578" s="57" cm="1">
        <f t="array" ref="AF578">VLOOKUP(B578,'Player Data'!$A1:$AE673,20,FALSE)*$Q578</f>
        <v>512.79999999999995</v>
      </c>
      <c r="AG578" s="57" cm="1">
        <f t="array" ref="AG578">VLOOKUP(B578,'Player Data'!$A1:$AE673,21,FALSE)*$Q578</f>
        <v>524.79999999999995</v>
      </c>
      <c r="AH578" s="59" cm="1">
        <f t="array" ref="AH578">VLOOKUP(B578,'Player Data'!$A1:$AE673,22,FALSE)</f>
        <v>0.49</v>
      </c>
      <c r="AI578" s="55"/>
      <c r="AJ578" s="57"/>
      <c r="AK578" s="57"/>
      <c r="AL578" s="57"/>
      <c r="AM578" s="57"/>
      <c r="AN578" s="57"/>
      <c r="AO578" s="57"/>
      <c r="AP578" s="57"/>
      <c r="AQ578" s="60"/>
      <c r="AR578" s="61"/>
      <c r="AS578" s="55"/>
    </row>
    <row r="579" spans="1:45" ht="21.25" customHeight="1" x14ac:dyDescent="0.15">
      <c r="A579" s="62">
        <f>RANK(K579,K$2:K$671)</f>
        <v>579</v>
      </c>
      <c r="B579" s="10" t="s">
        <v>475</v>
      </c>
      <c r="C579" s="47" t="s">
        <v>145</v>
      </c>
      <c r="D579" s="48" t="str" cm="1">
        <f t="array" ref="D579">VLOOKUP(B579,'Player Data'!A1:D673,4,FALSE)</f>
        <v>C</v>
      </c>
      <c r="E579" s="49" cm="1">
        <f t="array" ref="E579">VLOOKUP(B579,'C'!A1:C210,3,FALSE)</f>
        <v>168</v>
      </c>
      <c r="F579" s="63" t="str" cm="1">
        <f t="array" ref="F579">VLOOKUP(B579,'Player Data'!A1:B673,2,FALSE)</f>
        <v>CGY</v>
      </c>
      <c r="G579" s="66" cm="1">
        <f t="array" ref="G579">VLOOKUP(B579,'Player Data'!A1:D673,3,FALSE)</f>
        <v>37</v>
      </c>
      <c r="H579" s="51" cm="1">
        <f t="array" ref="H579">IFERROR(VLOOKUP(B579,ADP!A1:F671,6,FALSE)/1000000,VLOOKUP(B579,ADP!A1:F671,6,FALSE))</f>
        <v>3.25</v>
      </c>
      <c r="I579" s="52">
        <f>IF(Settings!$E$15="POINTS",((R579*Q579)*Settings!$B$12)+(S579*Settings!$B$2)+(T579*Settings!$B$3)+(U579*Settings!$B$4)+(V579*Settings!$B$5)+(X579*Settings!$B$9)+(AA579*Settings!$B$6)+(W579*Settings!$B$8)+(AB579*Settings!$B$7)+(AC579*Settings!$B$14)+(AD579*Settings!$B$15)+(AE579*Settings!$B$16)+(AF579*Settings!$B$17)+(AG579*Settings!$B$18)+(Y579*Settings!$B$10)+(Z579*Settings!$B$11),VLOOKUP(B579,'Standard Deviations'!A$1:C$672,3,FALSE))</f>
        <v>-2.7062861341832996</v>
      </c>
      <c r="J579" s="53" cm="1">
        <f t="array" ref="J579">IF(D579="G",I579/AJ579,I579/Q579)</f>
        <v>-3.2605857038353003E-2</v>
      </c>
      <c r="K579" s="52" cm="1">
        <f t="array" ref="K579">IF(Settings!$E$18="C/LW/RW",VLOOKUP(B579,'C'!A1:F210,6,FALSE),VLOOKUP(B579,F!A1:F407,6,FALSE))</f>
        <v>-9.0662956917983628</v>
      </c>
      <c r="L579" s="54" cm="1">
        <f t="array" ref="L579">IFERROR(K579/H579,"N/A")</f>
        <v>-2.7896294436302655</v>
      </c>
      <c r="M579" s="84" t="s">
        <v>828</v>
      </c>
      <c r="N579" s="84" t="str" cm="1">
        <f t="array" ref="N579">IFERROR(M579-A579,"N/A")</f>
        <v>N/A</v>
      </c>
      <c r="O579" s="55"/>
      <c r="P579" s="56" cm="1">
        <f t="array" ref="P579">_xlfn.XLOOKUP($B579,ADP!A2:A671,ADP!G2:G671)</f>
        <v>0</v>
      </c>
      <c r="Q579" s="57" cm="1">
        <f t="array" ref="Q579">IF(Settings!$E$12="YES",VLOOKUP(B579,'Player Data'!A1:E673,5,FALSE),84)</f>
        <v>83</v>
      </c>
      <c r="R579" s="55" cm="1">
        <f t="array" ref="R579">VLOOKUP(B579,'Player Data'!$A1:$AE673,6,FALSE)</f>
        <v>18.2</v>
      </c>
      <c r="S579" s="57" cm="1">
        <f t="array" ref="S579">VLOOKUP(B579,'Player Data'!$A1:$AE673,7,FALSE)*$Q579*IFERROR((VLOOKUP(P579,Settings!$E$28:$F$33,2,FALSE)+1),1)</f>
        <v>14.110000000000001</v>
      </c>
      <c r="T579" s="57" cm="1">
        <f t="array" ref="T579">VLOOKUP(B579,'Player Data'!$A1:$AE673,8,FALSE)*$Q579*IFERROR((VLOOKUP(P579,Settings!$E$28:$F$33,2,FALSE)+1),1)</f>
        <v>19.919999999999998</v>
      </c>
      <c r="U579" s="57" cm="1">
        <f t="array" ref="U579">SUM(S579:T579)</f>
        <v>34.03</v>
      </c>
      <c r="V579" s="57" cm="1">
        <f t="array" ref="V579">VLOOKUP(B579,'Player Data'!$A1:$AE673,10,FALSE)*$Q579*IFERROR(((VLOOKUP(P579,Settings!$E$28:$F$33,2,FALSE)/2)+1),1)</f>
        <v>177.62</v>
      </c>
      <c r="W579" s="57" cm="1">
        <f t="array" ref="W579">VLOOKUP(B579,'Player Data'!$A1:$AE673,11,FALSE)*$Q579*IFERROR((VLOOKUP(P579,Settings!$E$28:$F$33,2,FALSE)+1),1)</f>
        <v>0.83000000000000007</v>
      </c>
      <c r="X579" s="57" cm="1">
        <f t="array" ref="X579">VLOOKUP(B579,'Player Data'!$A1:$AE673,12,FALSE)*$Q579*IFERROR((VLOOKUP(P579,Settings!$E$28:$F$33,2,FALSE)+1),1)</f>
        <v>1.6600000000000001</v>
      </c>
      <c r="Y579" s="57" cm="1">
        <f t="array" ref="Y579">VLOOKUP(B579,'Player Data'!$A1:$AE673,13,FALSE)*$Q579</f>
        <v>0.83000000000000007</v>
      </c>
      <c r="Z579" s="57" cm="1">
        <f t="array" ref="Z579">VLOOKUP(B579,'Player Data'!$A1:$AE673,14,FALSE)*$Q579</f>
        <v>2.4899999999999998</v>
      </c>
      <c r="AA579" s="57" cm="1">
        <f t="array" ref="AA579">VLOOKUP(B579,'Player Data'!$A1:$AE673,15,FALSE)*$Q579</f>
        <v>37.35</v>
      </c>
      <c r="AB579" s="57" cm="1">
        <f t="array" ref="AB579">VLOOKUP(B579,'Player Data'!$A1:$AE673,16,FALSE)*$Q579</f>
        <v>37.35</v>
      </c>
      <c r="AC579" s="57" cm="1">
        <f t="array" ref="AC579">VLOOKUP(B579,'Player Data'!$A1:$AE673,17,FALSE)*$Q579*IFERROR((VLOOKUP(P579,Settings!$E$28:$F$33,2,FALSE)+1),1)</f>
        <v>-7.47</v>
      </c>
      <c r="AD579" s="57" cm="1">
        <f t="array" ref="AD579">VLOOKUP(B579,'Player Data'!$A1:$AE673,18,FALSE)*$Q579</f>
        <v>25.73</v>
      </c>
      <c r="AE579" s="57" cm="1">
        <f t="array" ref="AE579">VLOOKUP(B579,'Player Data'!$A1:$AE673,19,FALSE)*$Q579*IFERROR((VLOOKUP(P579,Settings!$E$28:$F$33,2,FALSE)+1),1)</f>
        <v>1.6600000000000001</v>
      </c>
      <c r="AF579" s="57" cm="1">
        <f t="array" ref="AF579">VLOOKUP(B579,'Player Data'!$A1:$AE673,20,FALSE)*$Q579</f>
        <v>738.7</v>
      </c>
      <c r="AG579" s="57" cm="1">
        <f t="array" ref="AG579">VLOOKUP(B579,'Player Data'!$A1:$AE673,21,FALSE)*$Q579</f>
        <v>751.15000000000009</v>
      </c>
      <c r="AH579" s="59" cm="1">
        <f t="array" ref="AH579">VLOOKUP(B579,'Player Data'!$A1:$AE673,22,FALSE)</f>
        <v>0.5</v>
      </c>
      <c r="AI579" s="55"/>
      <c r="AJ579" s="57"/>
      <c r="AK579" s="57"/>
      <c r="AL579" s="57"/>
      <c r="AM579" s="57"/>
      <c r="AN579" s="57"/>
      <c r="AO579" s="57"/>
      <c r="AP579" s="57"/>
      <c r="AQ579" s="60"/>
      <c r="AR579" s="61"/>
      <c r="AS579" s="55"/>
    </row>
    <row r="580" spans="1:45" ht="21.25" customHeight="1" x14ac:dyDescent="0.15">
      <c r="A580" s="62">
        <f>RANK(K580,K$2:K$671)</f>
        <v>577</v>
      </c>
      <c r="B580" s="10" t="s">
        <v>622</v>
      </c>
      <c r="C580" s="47" t="s">
        <v>145</v>
      </c>
      <c r="D580" s="48" t="str" cm="1">
        <f t="array" ref="D580">VLOOKUP(B580,'Player Data'!A1:D673,4,FALSE)</f>
        <v>C,LW,RW</v>
      </c>
      <c r="E580" s="74" cm="1">
        <f t="array" ref="E580">VLOOKUP(B580,RW!A1:F210,3,FALSE)</f>
        <v>162</v>
      </c>
      <c r="F580" s="56" t="str" cm="1">
        <f t="array" ref="F580">VLOOKUP(B580,'Player Data'!A1:B673,2,FALSE)</f>
        <v>CHI</v>
      </c>
      <c r="G580" s="11" cm="1">
        <f t="array" ref="G580">VLOOKUP(B580,'Player Data'!A1:D673,3,FALSE)</f>
        <v>30</v>
      </c>
      <c r="H580" s="51" cm="1">
        <f t="array" ref="H580">IFERROR(VLOOKUP(B580,ADP!A1:F671,6,FALSE)/1000000,VLOOKUP(B580,ADP!A1:F671,6,FALSE))</f>
        <v>4</v>
      </c>
      <c r="I580" s="52">
        <f>IF(Settings!$E$15="POINTS",((R580*Q580)*Settings!$B$12)+(S580*Settings!$B$2)+(T580*Settings!$B$3)+(U580*Settings!$B$4)+(V580*Settings!$B$5)+(X580*Settings!$B$9)+(AA580*Settings!$B$6)+(W580*Settings!$B$8)+(AB580*Settings!$B$7)+(AC580*Settings!$B$14)+(AD580*Settings!$B$15)+(AE580*Settings!$B$16)+(AF580*Settings!$B$17)+(AG580*Settings!$B$18)+(Y580*Settings!$B$10)+(Z580*Settings!$B$11),VLOOKUP(B580,'Standard Deviations'!A$1:C$672,3,FALSE))</f>
        <v>-2.1597569642769132</v>
      </c>
      <c r="J580" s="53" cm="1">
        <f t="array" ref="J580">IF(D580="G",I580/AJ580,I580/Q580)</f>
        <v>-2.6021168244300161E-2</v>
      </c>
      <c r="K580" s="52" cm="1">
        <f t="array" ref="K580">IF(Settings!$E$18="C/LW/RW",VLOOKUP(B580,RW!A1:F210,6,FALSE),VLOOKUP(B580,F!A1:F407,6,FALSE))</f>
        <v>-9.0469915660859908</v>
      </c>
      <c r="L580" s="54" cm="1">
        <f t="array" ref="L580">IFERROR(K580/H580,"N/A")</f>
        <v>-2.2617478915214977</v>
      </c>
      <c r="M580" s="84" t="s">
        <v>828</v>
      </c>
      <c r="N580" s="84" t="str" cm="1">
        <f t="array" ref="N580">IFERROR(M580-A580,"N/A")</f>
        <v>N/A</v>
      </c>
      <c r="O580" s="55"/>
      <c r="P580" s="56" cm="1">
        <f t="array" ref="P580">_xlfn.XLOOKUP($B580,ADP!A2:A671,ADP!G2:G671)</f>
        <v>0</v>
      </c>
      <c r="Q580" s="57" cm="1">
        <f t="array" ref="Q580">IF(Settings!$E$12="YES",VLOOKUP(B580,'Player Data'!A1:E673,5,FALSE),84)</f>
        <v>83</v>
      </c>
      <c r="R580" s="83" cm="1">
        <f t="array" ref="R580">VLOOKUP(B580,'Player Data'!$A1:$AE673,6,FALSE)</f>
        <v>13.4</v>
      </c>
      <c r="S580" s="57" cm="1">
        <f t="array" ref="S580">VLOOKUP(B580,'Player Data'!$A1:$AE673,7,FALSE)*$Q580*IFERROR((VLOOKUP(P580,Settings!$E$28:$F$33,2,FALSE)+1),1)</f>
        <v>17.43</v>
      </c>
      <c r="T580" s="57" cm="1">
        <f t="array" ref="T580">VLOOKUP(B580,'Player Data'!$A1:$AE673,8,FALSE)*$Q580*IFERROR((VLOOKUP(P580,Settings!$E$28:$F$33,2,FALSE)+1),1)</f>
        <v>19.09</v>
      </c>
      <c r="U580" s="57" cm="1">
        <f t="array" ref="U580">SUM(S580:T580)</f>
        <v>36.519999999999996</v>
      </c>
      <c r="V580" s="57" cm="1">
        <f t="array" ref="V580">VLOOKUP(B580,'Player Data'!$A1:$AE673,10,FALSE)*$Q580*IFERROR(((VLOOKUP(P580,Settings!$E$28:$F$33,2,FALSE)/2)+1),1)</f>
        <v>130.31</v>
      </c>
      <c r="W580" s="57" cm="1">
        <f t="array" ref="W580">VLOOKUP(B580,'Player Data'!$A1:$AE673,11,FALSE)*$Q580*IFERROR((VLOOKUP(P580,Settings!$E$28:$F$33,2,FALSE)+1),1)</f>
        <v>1.6600000000000001</v>
      </c>
      <c r="X580" s="57" cm="1">
        <f t="array" ref="X580">VLOOKUP(B580,'Player Data'!$A1:$AE673,12,FALSE)*$Q580*IFERROR((VLOOKUP(P580,Settings!$E$28:$F$33,2,FALSE)+1),1)</f>
        <v>4.1500000000000004</v>
      </c>
      <c r="Y580" s="57" cm="1">
        <f t="array" ref="Y580">VLOOKUP(B580,'Player Data'!$A1:$AE673,13,FALSE)*$Q580</f>
        <v>0</v>
      </c>
      <c r="Z580" s="57" cm="1">
        <f t="array" ref="Z580">VLOOKUP(B580,'Player Data'!$A1:$AE673,14,FALSE)*$Q580</f>
        <v>0</v>
      </c>
      <c r="AA580" s="57" cm="1">
        <f t="array" ref="AA580">VLOOKUP(B580,'Player Data'!$A1:$AE673,15,FALSE)*$Q580</f>
        <v>22.41</v>
      </c>
      <c r="AB580" s="57" cm="1">
        <f t="array" ref="AB580">VLOOKUP(B580,'Player Data'!$A1:$AE673,16,FALSE)*$Q580</f>
        <v>87.15</v>
      </c>
      <c r="AC580" s="57" cm="1">
        <f t="array" ref="AC580">VLOOKUP(B580,'Player Data'!$A1:$AE673,17,FALSE)*$Q580*IFERROR((VLOOKUP(P580,Settings!$E$28:$F$33,2,FALSE)+1),1)</f>
        <v>-8.3000000000000007</v>
      </c>
      <c r="AD580" s="57" cm="1">
        <f t="array" ref="AD580">VLOOKUP(B580,'Player Data'!$A1:$AE673,18,FALSE)*$Q580</f>
        <v>29.049999999999997</v>
      </c>
      <c r="AE580" s="57" cm="1">
        <f t="array" ref="AE580">VLOOKUP(B580,'Player Data'!$A1:$AE673,19,FALSE)*$Q580*IFERROR((VLOOKUP(P580,Settings!$E$28:$F$33,2,FALSE)+1),1)</f>
        <v>2.4899999999999998</v>
      </c>
      <c r="AF580" s="57" cm="1">
        <f t="array" ref="AF580">VLOOKUP(B580,'Player Data'!$A1:$AE673,20,FALSE)*$Q580</f>
        <v>153.55000000000001</v>
      </c>
      <c r="AG580" s="57" cm="1">
        <f t="array" ref="AG580">VLOOKUP(B580,'Player Data'!$A1:$AE673,21,FALSE)*$Q580</f>
        <v>185.09</v>
      </c>
      <c r="AH580" s="59" cm="1">
        <f t="array" ref="AH580">VLOOKUP(B580,'Player Data'!$A1:$AE673,22,FALSE)</f>
        <v>0.45</v>
      </c>
      <c r="AI580" s="55"/>
      <c r="AJ580" s="57"/>
      <c r="AK580" s="57"/>
      <c r="AL580" s="57"/>
      <c r="AM580" s="57"/>
      <c r="AN580" s="57"/>
      <c r="AO580" s="57"/>
      <c r="AP580" s="57"/>
      <c r="AQ580" s="60"/>
      <c r="AR580" s="61"/>
      <c r="AS580" s="55"/>
    </row>
    <row r="581" spans="1:45" ht="21.25" customHeight="1" x14ac:dyDescent="0.15">
      <c r="A581" s="62">
        <f>RANK(K581,K$2:K$671)</f>
        <v>578</v>
      </c>
      <c r="B581" s="10" t="s">
        <v>762</v>
      </c>
      <c r="C581" s="47" t="s">
        <v>145</v>
      </c>
      <c r="D581" s="48" t="str" cm="1">
        <f t="array" ref="D581">VLOOKUP(B581,'Player Data'!A1:D673,4,FALSE)</f>
        <v>LW,RW</v>
      </c>
      <c r="E581" s="74" cm="1">
        <f t="array" ref="E581">VLOOKUP(B581,RW!A1:F210,3,FALSE)</f>
        <v>163</v>
      </c>
      <c r="F581" s="69" t="str" cm="1">
        <f t="array" ref="F581">VLOOKUP(B581,'Player Data'!A1:B673,2,FALSE)</f>
        <v>TOR</v>
      </c>
      <c r="G581" s="11" cm="1">
        <f t="array" ref="G581">VLOOKUP(B581,'Player Data'!A1:D673,3,FALSE)</f>
        <v>29</v>
      </c>
      <c r="H581" s="51" cm="1">
        <f t="array" ref="H581">IFERROR(VLOOKUP(B581,ADP!A1:F671,6,FALSE)/1000000,VLOOKUP(B581,ADP!A1:F671,6,FALSE))</f>
        <v>2.6</v>
      </c>
      <c r="I581" s="52">
        <f>IF(Settings!$E$15="POINTS",((R581*Q581)*Settings!$B$12)+(S581*Settings!$B$2)+(T581*Settings!$B$3)+(U581*Settings!$B$4)+(V581*Settings!$B$5)+(X581*Settings!$B$9)+(AA581*Settings!$B$6)+(W581*Settings!$B$8)+(AB581*Settings!$B$7)+(AC581*Settings!$B$14)+(AD581*Settings!$B$15)+(AE581*Settings!$B$16)+(AF581*Settings!$B$17)+(AG581*Settings!$B$18)+(Y581*Settings!$B$10)+(Z581*Settings!$B$11),VLOOKUP(B581,'Standard Deviations'!A$1:C$672,3,FALSE))</f>
        <v>-2.1703472375258155</v>
      </c>
      <c r="J581" s="53" cm="1">
        <f t="array" ref="J581">IF(D581="G",I581/AJ581,I581/Q581)</f>
        <v>-2.5837467113402564E-2</v>
      </c>
      <c r="K581" s="52" cm="1">
        <f t="array" ref="K581">IF(Settings!$E$18="C/LW/RW",VLOOKUP(B581,RW!A1:F210,6,FALSE),VLOOKUP(B581,F!A1:F407,6,FALSE))</f>
        <v>-9.0575818393348939</v>
      </c>
      <c r="L581" s="54" cm="1">
        <f t="array" ref="L581">IFERROR(K581/H581,"N/A")</f>
        <v>-3.4836853228211129</v>
      </c>
      <c r="M581" s="84" t="s">
        <v>828</v>
      </c>
      <c r="N581" s="84" t="str" cm="1">
        <f t="array" ref="N581">IFERROR(M581-A581,"N/A")</f>
        <v>N/A</v>
      </c>
      <c r="O581" s="55"/>
      <c r="P581" s="56" cm="1">
        <f t="array" ref="P581">_xlfn.XLOOKUP($B581,ADP!A2:A671,ADP!G2:G671)</f>
        <v>0</v>
      </c>
      <c r="Q581" s="57" cm="1">
        <f t="array" ref="Q581">IF(Settings!$E$12="YES",VLOOKUP(B581,'Player Data'!A1:E673,5,FALSE),84)</f>
        <v>84</v>
      </c>
      <c r="R581" s="55" cm="1">
        <f t="array" ref="R581">VLOOKUP(B581,'Player Data'!$A1:$AE673,6,FALSE)</f>
        <v>11.4</v>
      </c>
      <c r="S581" s="57" cm="1">
        <f t="array" ref="S581">VLOOKUP(B581,'Player Data'!$A1:$AE673,7,FALSE)*$Q581*IFERROR((VLOOKUP(P581,Settings!$E$28:$F$33,2,FALSE)+1),1)</f>
        <v>5.8800000000000008</v>
      </c>
      <c r="T581" s="57" cm="1">
        <f t="array" ref="T581">VLOOKUP(B581,'Player Data'!$A1:$AE673,8,FALSE)*$Q581*IFERROR((VLOOKUP(P581,Settings!$E$28:$F$33,2,FALSE)+1),1)</f>
        <v>7.56</v>
      </c>
      <c r="U581" s="57" cm="1">
        <f t="array" ref="U581">SUM(S581:T581)</f>
        <v>13.440000000000001</v>
      </c>
      <c r="V581" s="57" cm="1">
        <f t="array" ref="V581">VLOOKUP(B581,'Player Data'!$A1:$AE673,10,FALSE)*$Q581*IFERROR(((VLOOKUP(P581,Settings!$E$28:$F$33,2,FALSE)/2)+1),1)</f>
        <v>72.239999999999995</v>
      </c>
      <c r="W581" s="57" cm="1">
        <f t="array" ref="W581">VLOOKUP(B581,'Player Data'!$A1:$AE673,11,FALSE)*$Q581*IFERROR((VLOOKUP(P581,Settings!$E$28:$F$33,2,FALSE)+1),1)</f>
        <v>0</v>
      </c>
      <c r="X581" s="57" cm="1">
        <f t="array" ref="X581">VLOOKUP(B581,'Player Data'!$A1:$AE673,12,FALSE)*$Q581*IFERROR((VLOOKUP(P581,Settings!$E$28:$F$33,2,FALSE)+1),1)</f>
        <v>0</v>
      </c>
      <c r="Y581" s="57" cm="1">
        <f t="array" ref="Y581">VLOOKUP(B581,'Player Data'!$A1:$AE673,13,FALSE)*$Q581</f>
        <v>0.84</v>
      </c>
      <c r="Z581" s="57" cm="1">
        <f t="array" ref="Z581">VLOOKUP(B581,'Player Data'!$A1:$AE673,14,FALSE)*$Q581</f>
        <v>0.84</v>
      </c>
      <c r="AA581" s="57" cm="1">
        <f t="array" ref="AA581">VLOOKUP(B581,'Player Data'!$A1:$AE673,15,FALSE)*$Q581</f>
        <v>56.28</v>
      </c>
      <c r="AB581" s="57" cm="1">
        <f t="array" ref="AB581">VLOOKUP(B581,'Player Data'!$A1:$AE673,16,FALSE)*$Q581</f>
        <v>163.79999999999998</v>
      </c>
      <c r="AC581" s="57" cm="1">
        <f t="array" ref="AC581">VLOOKUP(B581,'Player Data'!$A1:$AE673,17,FALSE)*$Q581*IFERROR((VLOOKUP(P581,Settings!$E$28:$F$33,2,FALSE)+1),1)</f>
        <v>0</v>
      </c>
      <c r="AD581" s="57" cm="1">
        <f t="array" ref="AD581">VLOOKUP(B581,'Player Data'!$A1:$AE673,18,FALSE)*$Q581</f>
        <v>61.32</v>
      </c>
      <c r="AE581" s="57" cm="1">
        <f t="array" ref="AE581">VLOOKUP(B581,'Player Data'!$A1:$AE673,19,FALSE)*$Q581*IFERROR((VLOOKUP(P581,Settings!$E$28:$F$33,2,FALSE)+1),1)</f>
        <v>0.84</v>
      </c>
      <c r="AF581" s="57" cm="1">
        <f t="array" ref="AF581">VLOOKUP(B581,'Player Data'!$A1:$AE673,20,FALSE)*$Q581</f>
        <v>15.12</v>
      </c>
      <c r="AG581" s="57" cm="1">
        <f t="array" ref="AG581">VLOOKUP(B581,'Player Data'!$A1:$AE673,21,FALSE)*$Q581</f>
        <v>24.36</v>
      </c>
      <c r="AH581" s="59" cm="1">
        <f t="array" ref="AH581">VLOOKUP(B581,'Player Data'!$A1:$AE673,22,FALSE)</f>
        <v>0.38</v>
      </c>
      <c r="AI581" s="55"/>
      <c r="AJ581" s="57"/>
      <c r="AK581" s="57"/>
      <c r="AL581" s="57"/>
      <c r="AM581" s="57"/>
      <c r="AN581" s="57"/>
      <c r="AO581" s="57"/>
      <c r="AP581" s="57"/>
      <c r="AQ581" s="60"/>
      <c r="AR581" s="61"/>
      <c r="AS581" s="55"/>
    </row>
    <row r="582" spans="1:45" ht="21.25" customHeight="1" x14ac:dyDescent="0.15">
      <c r="A582" s="62">
        <f>RANK(K582,K$2:K$671)</f>
        <v>580</v>
      </c>
      <c r="B582" s="10" t="s">
        <v>712</v>
      </c>
      <c r="C582" s="47" t="s">
        <v>145</v>
      </c>
      <c r="D582" s="48" t="str" cm="1">
        <f t="array" ref="D582">VLOOKUP(B582,'Player Data'!A1:D673,4,FALSE)</f>
        <v>LW,RW</v>
      </c>
      <c r="E582" s="74" cm="1">
        <f t="array" ref="E582">VLOOKUP(B582,RW!A1:F210,3,FALSE)</f>
        <v>164</v>
      </c>
      <c r="F582" s="65" t="str" cm="1">
        <f t="array" ref="F582">VLOOKUP(B582,'Player Data'!A1:B673,2,FALSE)</f>
        <v>STL</v>
      </c>
      <c r="G582" s="11" cm="1">
        <f t="array" ref="G582">VLOOKUP(B582,'Player Data'!A1:D673,3,FALSE)</f>
        <v>27</v>
      </c>
      <c r="H582" s="51" cm="1">
        <f t="array" ref="H582">IFERROR(VLOOKUP(B582,ADP!A1:F671,6,FALSE)/1000000,VLOOKUP(B582,ADP!A1:F671,6,FALSE))</f>
        <v>2.5</v>
      </c>
      <c r="I582" s="52">
        <f>IF(Settings!$E$15="POINTS",((R582*Q582)*Settings!$B$12)+(S582*Settings!$B$2)+(T582*Settings!$B$3)+(U582*Settings!$B$4)+(V582*Settings!$B$5)+(X582*Settings!$B$9)+(AA582*Settings!$B$6)+(W582*Settings!$B$8)+(AB582*Settings!$B$7)+(AC582*Settings!$B$14)+(AD582*Settings!$B$15)+(AE582*Settings!$B$16)+(AF582*Settings!$B$17)+(AG582*Settings!$B$18)+(Y582*Settings!$B$10)+(Z582*Settings!$B$11),VLOOKUP(B582,'Standard Deviations'!A$1:C$672,3,FALSE))</f>
        <v>-2.2554325284737589</v>
      </c>
      <c r="J582" s="53" cm="1">
        <f t="array" ref="J582">IF(D582="G",I582/AJ582,I582/Q582)</f>
        <v>-2.7844846030540233E-2</v>
      </c>
      <c r="K582" s="52" cm="1">
        <f t="array" ref="K582">IF(Settings!$E$18="C/LW/RW",VLOOKUP(B582,RW!A1:F210,6,FALSE),VLOOKUP(B582,F!A1:F407,6,FALSE))</f>
        <v>-9.1426671302828364</v>
      </c>
      <c r="L582" s="54" cm="1">
        <f t="array" ref="L582">IFERROR(K582/H582,"N/A")</f>
        <v>-3.6570668521131346</v>
      </c>
      <c r="M582" s="84" t="s">
        <v>828</v>
      </c>
      <c r="N582" s="84" t="str" cm="1">
        <f t="array" ref="N582">IFERROR(M582-A582,"N/A")</f>
        <v>N/A</v>
      </c>
      <c r="O582" s="80"/>
      <c r="P582" s="56" cm="1">
        <f t="array" ref="P582">_xlfn.XLOOKUP($B582,ADP!A2:A671,ADP!G2:G671)</f>
        <v>0</v>
      </c>
      <c r="Q582" s="57" cm="1">
        <f t="array" ref="Q582">IF(Settings!$E$12="YES",VLOOKUP(B582,'Player Data'!A1:E673,5,FALSE),84)</f>
        <v>81</v>
      </c>
      <c r="R582" s="55" cm="1">
        <f t="array" ref="R582">VLOOKUP(B582,'Player Data'!$A1:$AE673,6,FALSE)</f>
        <v>11.7</v>
      </c>
      <c r="S582" s="57" cm="1">
        <f t="array" ref="S582">VLOOKUP(B582,'Player Data'!$A1:$AE673,7,FALSE)*$Q582*IFERROR((VLOOKUP(P582,Settings!$E$28:$F$33,2,FALSE)+1),1)</f>
        <v>6.48</v>
      </c>
      <c r="T582" s="57" cm="1">
        <f t="array" ref="T582">VLOOKUP(B582,'Player Data'!$A1:$AE673,8,FALSE)*$Q582*IFERROR((VLOOKUP(P582,Settings!$E$28:$F$33,2,FALSE)+1),1)</f>
        <v>9.7199999999999989</v>
      </c>
      <c r="U582" s="57" cm="1">
        <f t="array" ref="U582">SUM(S582:T582)</f>
        <v>16.2</v>
      </c>
      <c r="V582" s="57" cm="1">
        <f t="array" ref="V582">VLOOKUP(B582,'Player Data'!$A1:$AE673,10,FALSE)*$Q582*IFERROR(((VLOOKUP(P582,Settings!$E$28:$F$33,2,FALSE)/2)+1),1)</f>
        <v>88.29</v>
      </c>
      <c r="W582" s="57" cm="1">
        <f t="array" ref="W582">VLOOKUP(B582,'Player Data'!$A1:$AE673,11,FALSE)*$Q582*IFERROR((VLOOKUP(P582,Settings!$E$28:$F$33,2,FALSE)+1),1)</f>
        <v>0</v>
      </c>
      <c r="X582" s="57" cm="1">
        <f t="array" ref="X582">VLOOKUP(B582,'Player Data'!$A1:$AE673,12,FALSE)*$Q582*IFERROR((VLOOKUP(P582,Settings!$E$28:$F$33,2,FALSE)+1),1)</f>
        <v>0</v>
      </c>
      <c r="Y582" s="57" cm="1">
        <f t="array" ref="Y582">VLOOKUP(B582,'Player Data'!$A1:$AE673,13,FALSE)*$Q582</f>
        <v>0.81</v>
      </c>
      <c r="Z582" s="57" cm="1">
        <f t="array" ref="Z582">VLOOKUP(B582,'Player Data'!$A1:$AE673,14,FALSE)*$Q582</f>
        <v>1.62</v>
      </c>
      <c r="AA582" s="57" cm="1">
        <f t="array" ref="AA582">VLOOKUP(B582,'Player Data'!$A1:$AE673,15,FALSE)*$Q582</f>
        <v>58.32</v>
      </c>
      <c r="AB582" s="57" cm="1">
        <f t="array" ref="AB582">VLOOKUP(B582,'Player Data'!$A1:$AE673,16,FALSE)*$Q582</f>
        <v>170.1</v>
      </c>
      <c r="AC582" s="57" cm="1">
        <f t="array" ref="AC582">VLOOKUP(B582,'Player Data'!$A1:$AE673,17,FALSE)*$Q582*IFERROR((VLOOKUP(P582,Settings!$E$28:$F$33,2,FALSE)+1),1)</f>
        <v>-3.24</v>
      </c>
      <c r="AD582" s="57" cm="1">
        <f t="array" ref="AD582">VLOOKUP(B582,'Player Data'!$A1:$AE673,18,FALSE)*$Q582</f>
        <v>23.49</v>
      </c>
      <c r="AE582" s="57" cm="1">
        <f t="array" ref="AE582">VLOOKUP(B582,'Player Data'!$A1:$AE673,19,FALSE)*$Q582*IFERROR((VLOOKUP(P582,Settings!$E$28:$F$33,2,FALSE)+1),1)</f>
        <v>0.81</v>
      </c>
      <c r="AF582" s="57" cm="1">
        <f t="array" ref="AF582">VLOOKUP(B582,'Player Data'!$A1:$AE673,20,FALSE)*$Q582</f>
        <v>3.24</v>
      </c>
      <c r="AG582" s="57" cm="1">
        <f t="array" ref="AG582">VLOOKUP(B582,'Player Data'!$A1:$AE673,21,FALSE)*$Q582</f>
        <v>4.05</v>
      </c>
      <c r="AH582" s="59" cm="1">
        <f t="array" ref="AH582">VLOOKUP(B582,'Player Data'!$A1:$AE673,22,FALSE)</f>
        <v>0.41</v>
      </c>
      <c r="AI582" s="55"/>
      <c r="AJ582" s="57"/>
      <c r="AK582" s="57"/>
      <c r="AL582" s="57"/>
      <c r="AM582" s="57"/>
      <c r="AN582" s="57"/>
      <c r="AO582" s="57"/>
      <c r="AP582" s="57"/>
      <c r="AQ582" s="60"/>
      <c r="AR582" s="61"/>
      <c r="AS582" s="55"/>
    </row>
    <row r="583" spans="1:45" ht="21.25" customHeight="1" x14ac:dyDescent="0.15">
      <c r="A583" s="62">
        <f>RANK(K583,K$2:K$671)</f>
        <v>581</v>
      </c>
      <c r="B583" s="10" t="s">
        <v>737</v>
      </c>
      <c r="C583" s="47" t="s">
        <v>145</v>
      </c>
      <c r="D583" s="48" t="str" cm="1">
        <f t="array" ref="D583">VLOOKUP(B583,'Player Data'!A1:D673,4,FALSE)</f>
        <v>C</v>
      </c>
      <c r="E583" s="49" cm="1">
        <f t="array" ref="E583">VLOOKUP(B583,'C'!A1:C210,3,FALSE)</f>
        <v>171</v>
      </c>
      <c r="F583" s="50" t="str" cm="1">
        <f t="array" ref="F583">VLOOKUP(B583,'Player Data'!A1:B673,2,FALSE)</f>
        <v>COL</v>
      </c>
      <c r="G583" s="71" cm="1">
        <f t="array" ref="G583">VLOOKUP(B583,'Player Data'!A1:D673,3,FALSE)</f>
        <v>23</v>
      </c>
      <c r="H583" s="51" cm="1">
        <f t="array" ref="H583">IFERROR(VLOOKUP(B583,ADP!A1:F671,6,FALSE)/1000000,VLOOKUP(B583,ADP!A1:F671,6,FALSE))</f>
        <v>1.25</v>
      </c>
      <c r="I583" s="52">
        <f>IF(Settings!$E$15="POINTS",((R583*Q583)*Settings!$B$12)+(S583*Settings!$B$2)+(T583*Settings!$B$3)+(U583*Settings!$B$4)+(V583*Settings!$B$5)+(X583*Settings!$B$9)+(AA583*Settings!$B$6)+(W583*Settings!$B$8)+(AB583*Settings!$B$7)+(AC583*Settings!$B$14)+(AD583*Settings!$B$15)+(AE583*Settings!$B$16)+(AF583*Settings!$B$17)+(AG583*Settings!$B$18)+(Y583*Settings!$B$10)+(Z583*Settings!$B$11),VLOOKUP(B583,'Standard Deviations'!A$1:C$672,3,FALSE))</f>
        <v>-2.831584267157591</v>
      </c>
      <c r="J583" s="53" cm="1">
        <f t="array" ref="J583">IF(D583="G",I583/AJ583,I583/Q583)</f>
        <v>-3.7754456895434545E-2</v>
      </c>
      <c r="K583" s="52" cm="1">
        <f t="array" ref="K583">IF(Settings!$E$18="C/LW/RW",VLOOKUP(B583,'C'!A1:F210,6,FALSE),VLOOKUP(B583,F!A1:F407,6,FALSE))</f>
        <v>-9.1915938247726547</v>
      </c>
      <c r="L583" s="54" cm="1">
        <f t="array" ref="L583">IFERROR(K583/H583,"N/A")</f>
        <v>-7.3532750598181238</v>
      </c>
      <c r="M583" s="84" t="s">
        <v>828</v>
      </c>
      <c r="N583" s="84" t="str" cm="1">
        <f t="array" ref="N583">IFERROR(M583-A583,"N/A")</f>
        <v>N/A</v>
      </c>
      <c r="O583" s="82"/>
      <c r="P583" s="56" cm="1">
        <f t="array" ref="P583">_xlfn.XLOOKUP($B583,ADP!A2:A671,ADP!G2:G671)</f>
        <v>0</v>
      </c>
      <c r="Q583" s="57" cm="1">
        <f t="array" ref="Q583">IF(Settings!$E$12="YES",VLOOKUP(B583,'Player Data'!A1:E673,5,FALSE),84)</f>
        <v>75</v>
      </c>
      <c r="R583" s="83" cm="1">
        <f t="array" ref="R583">VLOOKUP(B583,'Player Data'!$A1:$AE673,6,FALSE)</f>
        <v>11</v>
      </c>
      <c r="S583" s="57" cm="1">
        <f t="array" ref="S583">VLOOKUP(B583,'Player Data'!$A1:$AE673,7,FALSE)*$Q583*IFERROR((VLOOKUP(P583,Settings!$E$28:$F$33,2,FALSE)+1),1)</f>
        <v>6</v>
      </c>
      <c r="T583" s="57" cm="1">
        <f t="array" ref="T583">VLOOKUP(B583,'Player Data'!$A1:$AE673,8,FALSE)*$Q583*IFERROR((VLOOKUP(P583,Settings!$E$28:$F$33,2,FALSE)+1),1)</f>
        <v>12</v>
      </c>
      <c r="U583" s="57" cm="1">
        <f t="array" ref="U583">SUM(S583:T583)</f>
        <v>18</v>
      </c>
      <c r="V583" s="57" cm="1">
        <f t="array" ref="V583">VLOOKUP(B583,'Player Data'!$A1:$AE673,10,FALSE)*$Q583*IFERROR(((VLOOKUP(P583,Settings!$E$28:$F$33,2,FALSE)/2)+1),1)</f>
        <v>71.25</v>
      </c>
      <c r="W583" s="57" cm="1">
        <f t="array" ref="W583">VLOOKUP(B583,'Player Data'!$A1:$AE673,11,FALSE)*$Q583*IFERROR((VLOOKUP(P583,Settings!$E$28:$F$33,2,FALSE)+1),1)</f>
        <v>0</v>
      </c>
      <c r="X583" s="57" cm="1">
        <f t="array" ref="X583">VLOOKUP(B583,'Player Data'!$A1:$AE673,12,FALSE)*$Q583*IFERROR((VLOOKUP(P583,Settings!$E$28:$F$33,2,FALSE)+1),1)</f>
        <v>0.75</v>
      </c>
      <c r="Y583" s="57" cm="1">
        <f t="array" ref="Y583">VLOOKUP(B583,'Player Data'!$A1:$AE673,13,FALSE)*$Q583</f>
        <v>0</v>
      </c>
      <c r="Z583" s="57" cm="1">
        <f t="array" ref="Z583">VLOOKUP(B583,'Player Data'!$A1:$AE673,14,FALSE)*$Q583</f>
        <v>0</v>
      </c>
      <c r="AA583" s="57" cm="1">
        <f t="array" ref="AA583">VLOOKUP(B583,'Player Data'!$A1:$AE673,15,FALSE)*$Q583</f>
        <v>30</v>
      </c>
      <c r="AB583" s="57" cm="1">
        <f t="array" ref="AB583">VLOOKUP(B583,'Player Data'!$A1:$AE673,16,FALSE)*$Q583</f>
        <v>65.25</v>
      </c>
      <c r="AC583" s="57" cm="1">
        <f t="array" ref="AC583">VLOOKUP(B583,'Player Data'!$A1:$AE673,17,FALSE)*$Q583*IFERROR((VLOOKUP(P583,Settings!$E$28:$F$33,2,FALSE)+1),1)</f>
        <v>4.5</v>
      </c>
      <c r="AD583" s="57" cm="1">
        <f t="array" ref="AD583">VLOOKUP(B583,'Player Data'!$A1:$AE673,18,FALSE)*$Q583</f>
        <v>20.25</v>
      </c>
      <c r="AE583" s="57" cm="1">
        <f t="array" ref="AE583">VLOOKUP(B583,'Player Data'!$A1:$AE673,19,FALSE)*$Q583*IFERROR((VLOOKUP(P583,Settings!$E$28:$F$33,2,FALSE)+1),1)</f>
        <v>0.75</v>
      </c>
      <c r="AF583" s="57" cm="1">
        <f t="array" ref="AF583">VLOOKUP(B583,'Player Data'!$A1:$AE673,20,FALSE)*$Q583</f>
        <v>207.75</v>
      </c>
      <c r="AG583" s="57" cm="1">
        <f t="array" ref="AG583">VLOOKUP(B583,'Player Data'!$A1:$AE673,21,FALSE)*$Q583</f>
        <v>308.25</v>
      </c>
      <c r="AH583" s="59" cm="1">
        <f t="array" ref="AH583">VLOOKUP(B583,'Player Data'!$A1:$AE673,22,FALSE)</f>
        <v>0.4</v>
      </c>
      <c r="AI583" s="55"/>
      <c r="AJ583" s="57"/>
      <c r="AK583" s="57"/>
      <c r="AL583" s="57"/>
      <c r="AM583" s="57"/>
      <c r="AN583" s="57"/>
      <c r="AO583" s="57"/>
      <c r="AP583" s="57"/>
      <c r="AQ583" s="60"/>
      <c r="AR583" s="61"/>
      <c r="AS583" s="55"/>
    </row>
    <row r="584" spans="1:45" ht="21.25" customHeight="1" x14ac:dyDescent="0.15">
      <c r="A584" s="62">
        <f>RANK(K584,K$2:K$671)</f>
        <v>585</v>
      </c>
      <c r="B584" s="10" t="s">
        <v>637</v>
      </c>
      <c r="C584" s="47" t="s">
        <v>145</v>
      </c>
      <c r="D584" s="48" t="str" cm="1">
        <f t="array" ref="D584">VLOOKUP(B584,'Player Data'!A1:D673,4,FALSE)</f>
        <v>C,LW</v>
      </c>
      <c r="E584" s="74" cm="1">
        <f t="array" ref="E584">VLOOKUP(B584,LW!A1:C210,3,FALSE)</f>
        <v>167</v>
      </c>
      <c r="F584" s="65" t="str" cm="1">
        <f t="array" ref="F584">VLOOKUP(B584,'Player Data'!A1:B673,2,FALSE)</f>
        <v>STL</v>
      </c>
      <c r="G584" s="11" cm="1">
        <f t="array" ref="G584">VLOOKUP(B584,'Player Data'!A1:D673,3,FALSE)</f>
        <v>30</v>
      </c>
      <c r="H584" s="67" cm="1">
        <f t="array" ref="H584">IFERROR(VLOOKUP(B584,ADP!A1:F671,6,FALSE)/1000000,VLOOKUP(B584,ADP!A1:F671,6,FALSE))</f>
        <v>4.125</v>
      </c>
      <c r="I584" s="52">
        <f>IF(Settings!$E$15="POINTS",((R584*Q584)*Settings!$B$12)+(S584*Settings!$B$2)+(T584*Settings!$B$3)+(U584*Settings!$B$4)+(V584*Settings!$B$5)+(X584*Settings!$B$9)+(AA584*Settings!$B$6)+(W584*Settings!$B$8)+(AB584*Settings!$B$7)+(AC584*Settings!$B$14)+(AD584*Settings!$B$15)+(AE584*Settings!$B$16)+(AF584*Settings!$B$17)+(AG584*Settings!$B$18)+(Y584*Settings!$B$10)+(Z584*Settings!$B$11),VLOOKUP(B584,'Standard Deviations'!A$1:C$672,3,FALSE))</f>
        <v>-2.3395357587363774</v>
      </c>
      <c r="J584" s="53" cm="1">
        <f t="array" ref="J584">IF(D584="G",I584/AJ584,I584/Q584)</f>
        <v>-2.9614376692865537E-2</v>
      </c>
      <c r="K584" s="52" cm="1">
        <f t="array" ref="K584">IF(Settings!$E$18="C/LW/RW",VLOOKUP(B584,LW!A1:F210,6,FALSE),VLOOKUP(B584,F!A1:F407,6,FALSE))</f>
        <v>-9.2339214031261871</v>
      </c>
      <c r="L584" s="54" cm="1">
        <f t="array" ref="L584">IFERROR(K584/H584,"N/A")</f>
        <v>-2.2385264007578636</v>
      </c>
      <c r="M584" s="84" t="s">
        <v>828</v>
      </c>
      <c r="N584" s="84" t="str" cm="1">
        <f t="array" ref="N584">IFERROR(M584-A584,"N/A")</f>
        <v>N/A</v>
      </c>
      <c r="O584" s="55"/>
      <c r="P584" s="56" cm="1">
        <f t="array" ref="P584">_xlfn.XLOOKUP($B584,ADP!A2:A671,ADP!G2:G671)</f>
        <v>0</v>
      </c>
      <c r="Q584" s="57" cm="1">
        <f t="array" ref="Q584">IF(Settings!$E$12="YES",VLOOKUP(B584,'Player Data'!A1:E673,5,FALSE),84)</f>
        <v>79</v>
      </c>
      <c r="R584" s="83" cm="1">
        <f t="array" ref="R584">VLOOKUP(B584,'Player Data'!$A1:$AE673,6,FALSE)</f>
        <v>14.4</v>
      </c>
      <c r="S584" s="57" cm="1">
        <f t="array" ref="S584">VLOOKUP(B584,'Player Data'!$A1:$AE673,7,FALSE)*$Q584*IFERROR((VLOOKUP(P584,Settings!$E$28:$F$33,2,FALSE)+1),1)</f>
        <v>15.01</v>
      </c>
      <c r="T584" s="57" cm="1">
        <f t="array" ref="T584">VLOOKUP(B584,'Player Data'!$A1:$AE673,8,FALSE)*$Q584*IFERROR((VLOOKUP(P584,Settings!$E$28:$F$33,2,FALSE)+1),1)</f>
        <v>15.01</v>
      </c>
      <c r="U584" s="57" cm="1">
        <f t="array" ref="U584">SUM(S584:T584)</f>
        <v>30.02</v>
      </c>
      <c r="V584" s="57" cm="1">
        <f t="array" ref="V584">VLOOKUP(B584,'Player Data'!$A1:$AE673,10,FALSE)*$Q584*IFERROR(((VLOOKUP(P584,Settings!$E$28:$F$33,2,FALSE)/2)+1),1)</f>
        <v>102.7</v>
      </c>
      <c r="W584" s="57" cm="1">
        <f t="array" ref="W584">VLOOKUP(B584,'Player Data'!$A1:$AE673,11,FALSE)*$Q584*IFERROR((VLOOKUP(P584,Settings!$E$28:$F$33,2,FALSE)+1),1)</f>
        <v>0.79</v>
      </c>
      <c r="X584" s="57" cm="1">
        <f t="array" ref="X584">VLOOKUP(B584,'Player Data'!$A1:$AE673,12,FALSE)*$Q584*IFERROR((VLOOKUP(P584,Settings!$E$28:$F$33,2,FALSE)+1),1)</f>
        <v>1.58</v>
      </c>
      <c r="Y584" s="57" cm="1">
        <f t="array" ref="Y584">VLOOKUP(B584,'Player Data'!$A1:$AE673,13,FALSE)*$Q584</f>
        <v>0.79</v>
      </c>
      <c r="Z584" s="57" cm="1">
        <f t="array" ref="Z584">VLOOKUP(B584,'Player Data'!$A1:$AE673,14,FALSE)*$Q584</f>
        <v>1.58</v>
      </c>
      <c r="AA584" s="57" cm="1">
        <f t="array" ref="AA584">VLOOKUP(B584,'Player Data'!$A1:$AE673,15,FALSE)*$Q584</f>
        <v>30.810000000000002</v>
      </c>
      <c r="AB584" s="57" cm="1">
        <f t="array" ref="AB584">VLOOKUP(B584,'Player Data'!$A1:$AE673,16,FALSE)*$Q584</f>
        <v>52.14</v>
      </c>
      <c r="AC584" s="57" cm="1">
        <f t="array" ref="AC584">VLOOKUP(B584,'Player Data'!$A1:$AE673,17,FALSE)*$Q584*IFERROR((VLOOKUP(P584,Settings!$E$28:$F$33,2,FALSE)+1),1)</f>
        <v>0</v>
      </c>
      <c r="AD584" s="57" cm="1">
        <f t="array" ref="AD584">VLOOKUP(B584,'Player Data'!$A1:$AE673,18,FALSE)*$Q584</f>
        <v>20.54</v>
      </c>
      <c r="AE584" s="57" cm="1">
        <f t="array" ref="AE584">VLOOKUP(B584,'Player Data'!$A1:$AE673,19,FALSE)*$Q584*IFERROR((VLOOKUP(P584,Settings!$E$28:$F$33,2,FALSE)+1),1)</f>
        <v>2.37</v>
      </c>
      <c r="AF584" s="57" cm="1">
        <f t="array" ref="AF584">VLOOKUP(B584,'Player Data'!$A1:$AE673,20,FALSE)*$Q584</f>
        <v>279.66000000000003</v>
      </c>
      <c r="AG584" s="57" cm="1">
        <f t="array" ref="AG584">VLOOKUP(B584,'Player Data'!$A1:$AE673,21,FALSE)*$Q584</f>
        <v>325.48</v>
      </c>
      <c r="AH584" s="59" cm="1">
        <f t="array" ref="AH584">VLOOKUP(B584,'Player Data'!$A1:$AE673,22,FALSE)</f>
        <v>0.46</v>
      </c>
      <c r="AI584" s="55"/>
      <c r="AJ584" s="57"/>
      <c r="AK584" s="57"/>
      <c r="AL584" s="57"/>
      <c r="AM584" s="57"/>
      <c r="AN584" s="57"/>
      <c r="AO584" s="57"/>
      <c r="AP584" s="57"/>
      <c r="AQ584" s="60"/>
      <c r="AR584" s="61"/>
      <c r="AS584" s="55"/>
    </row>
    <row r="585" spans="1:45" ht="21.25" customHeight="1" x14ac:dyDescent="0.15">
      <c r="A585" s="62">
        <f>RANK(K585,K$2:K$671)</f>
        <v>582</v>
      </c>
      <c r="B585" s="10" t="s">
        <v>589</v>
      </c>
      <c r="C585" s="47" t="s">
        <v>145</v>
      </c>
      <c r="D585" s="48" t="str" cm="1">
        <f t="array" ref="D585">VLOOKUP(B585,'Player Data'!A1:D673,4,FALSE)</f>
        <v>LW,RW</v>
      </c>
      <c r="E585" s="74" cm="1">
        <f t="array" ref="E585">VLOOKUP(B585,RW!A1:F210,3,FALSE)</f>
        <v>165</v>
      </c>
      <c r="F585" s="72" t="str" cm="1">
        <f t="array" ref="F585">VLOOKUP(B585,'Player Data'!A1:B673,2,FALSE)</f>
        <v>NYI</v>
      </c>
      <c r="G585" s="11" cm="1">
        <f t="array" ref="G585">VLOOKUP(B585,'Player Data'!A1:D673,3,FALSE)</f>
        <v>25</v>
      </c>
      <c r="H585" s="67" cm="1">
        <f t="array" ref="H585">IFERROR(VLOOKUP(B585,ADP!A1:F671,6,FALSE)/1000000,VLOOKUP(B585,ADP!A1:F671,6,FALSE))</f>
        <v>2.25</v>
      </c>
      <c r="I585" s="52">
        <f>IF(Settings!$E$15="POINTS",((R585*Q585)*Settings!$B$12)+(S585*Settings!$B$2)+(T585*Settings!$B$3)+(U585*Settings!$B$4)+(V585*Settings!$B$5)+(X585*Settings!$B$9)+(AA585*Settings!$B$6)+(W585*Settings!$B$8)+(AB585*Settings!$B$7)+(AC585*Settings!$B$14)+(AD585*Settings!$B$15)+(AE585*Settings!$B$16)+(AF585*Settings!$B$17)+(AG585*Settings!$B$18)+(Y585*Settings!$B$10)+(Z585*Settings!$B$11),VLOOKUP(B585,'Standard Deviations'!A$1:C$672,3,FALSE))</f>
        <v>-2.3126938165404245</v>
      </c>
      <c r="J585" s="53" cm="1">
        <f t="array" ref="J585">IF(D585="G",I585/AJ585,I585/Q585)</f>
        <v>-2.9649920724877238E-2</v>
      </c>
      <c r="K585" s="52" cm="1">
        <f t="array" ref="K585">IF(Settings!$E$18="C/LW/RW",VLOOKUP(B585,RW!A1:F210,6,FALSE),VLOOKUP(B585,F!A1:F407,6,FALSE))</f>
        <v>-9.1999284183495025</v>
      </c>
      <c r="L585" s="54" cm="1">
        <f t="array" ref="L585">IFERROR(K585/H585,"N/A")</f>
        <v>-4.088857074822001</v>
      </c>
      <c r="M585" s="84" t="s">
        <v>828</v>
      </c>
      <c r="N585" s="84" t="str" cm="1">
        <f t="array" ref="N585">IFERROR(M585-A585,"N/A")</f>
        <v>N/A</v>
      </c>
      <c r="O585" s="55"/>
      <c r="P585" s="56" cm="1">
        <f t="array" ref="P585">_xlfn.XLOOKUP($B585,ADP!A2:A671,ADP!G2:G671)</f>
        <v>0</v>
      </c>
      <c r="Q585" s="57" cm="1">
        <f t="array" ref="Q585">IF(Settings!$E$12="YES",VLOOKUP(B585,'Player Data'!A1:E673,5,FALSE),84)</f>
        <v>78</v>
      </c>
      <c r="R585" s="55" cm="1">
        <f t="array" ref="R585">VLOOKUP(B585,'Player Data'!$A1:$AE673,6,FALSE)</f>
        <v>14.3</v>
      </c>
      <c r="S585" s="57" cm="1">
        <f t="array" ref="S585">VLOOKUP(B585,'Player Data'!$A1:$AE673,7,FALSE)*$Q585*IFERROR((VLOOKUP(P585,Settings!$E$28:$F$33,2,FALSE)+1),1)</f>
        <v>14.04</v>
      </c>
      <c r="T585" s="57" cm="1">
        <f t="array" ref="T585">VLOOKUP(B585,'Player Data'!$A1:$AE673,8,FALSE)*$Q585*IFERROR((VLOOKUP(P585,Settings!$E$28:$F$33,2,FALSE)+1),1)</f>
        <v>24.18</v>
      </c>
      <c r="U585" s="57" cm="1">
        <f t="array" ref="U585">SUM(S585:T585)</f>
        <v>38.22</v>
      </c>
      <c r="V585" s="57" cm="1">
        <f t="array" ref="V585">VLOOKUP(B585,'Player Data'!$A1:$AE673,10,FALSE)*$Q585*IFERROR(((VLOOKUP(P585,Settings!$E$28:$F$33,2,FALSE)/2)+1),1)</f>
        <v>107.63999999999999</v>
      </c>
      <c r="W585" s="57" cm="1">
        <f t="array" ref="W585">VLOOKUP(B585,'Player Data'!$A1:$AE673,11,FALSE)*$Q585*IFERROR((VLOOKUP(P585,Settings!$E$28:$F$33,2,FALSE)+1),1)</f>
        <v>1.56</v>
      </c>
      <c r="X585" s="57" cm="1">
        <f t="array" ref="X585">VLOOKUP(B585,'Player Data'!$A1:$AE673,12,FALSE)*$Q585*IFERROR((VLOOKUP(P585,Settings!$E$28:$F$33,2,FALSE)+1),1)</f>
        <v>6.24</v>
      </c>
      <c r="Y585" s="57" cm="1">
        <f t="array" ref="Y585">VLOOKUP(B585,'Player Data'!$A1:$AE673,13,FALSE)*$Q585</f>
        <v>0</v>
      </c>
      <c r="Z585" s="57" cm="1">
        <f t="array" ref="Z585">VLOOKUP(B585,'Player Data'!$A1:$AE673,14,FALSE)*$Q585</f>
        <v>0</v>
      </c>
      <c r="AA585" s="57" cm="1">
        <f t="array" ref="AA585">VLOOKUP(B585,'Player Data'!$A1:$AE673,15,FALSE)*$Q585</f>
        <v>20.28</v>
      </c>
      <c r="AB585" s="57" cm="1">
        <f t="array" ref="AB585">VLOOKUP(B585,'Player Data'!$A1:$AE673,16,FALSE)*$Q585</f>
        <v>32.76</v>
      </c>
      <c r="AC585" s="57" cm="1">
        <f t="array" ref="AC585">VLOOKUP(B585,'Player Data'!$A1:$AE673,17,FALSE)*$Q585*IFERROR((VLOOKUP(P585,Settings!$E$28:$F$33,2,FALSE)+1),1)</f>
        <v>-3.12</v>
      </c>
      <c r="AD585" s="57" cm="1">
        <f t="array" ref="AD585">VLOOKUP(B585,'Player Data'!$A1:$AE673,18,FALSE)*$Q585</f>
        <v>15.600000000000001</v>
      </c>
      <c r="AE585" s="57" cm="1">
        <f t="array" ref="AE585">VLOOKUP(B585,'Player Data'!$A1:$AE673,19,FALSE)*$Q585*IFERROR((VLOOKUP(P585,Settings!$E$28:$F$33,2,FALSE)+1),1)</f>
        <v>2.34</v>
      </c>
      <c r="AF585" s="57" cm="1">
        <f t="array" ref="AF585">VLOOKUP(B585,'Player Data'!$A1:$AE673,20,FALSE)*$Q585</f>
        <v>3.9000000000000004</v>
      </c>
      <c r="AG585" s="57" cm="1">
        <f t="array" ref="AG585">VLOOKUP(B585,'Player Data'!$A1:$AE673,21,FALSE)*$Q585</f>
        <v>5.4600000000000009</v>
      </c>
      <c r="AH585" s="59" cm="1">
        <f t="array" ref="AH585">VLOOKUP(B585,'Player Data'!$A1:$AE673,22,FALSE)</f>
        <v>0.43</v>
      </c>
      <c r="AI585" s="55"/>
      <c r="AJ585" s="57"/>
      <c r="AK585" s="57"/>
      <c r="AL585" s="57"/>
      <c r="AM585" s="57"/>
      <c r="AN585" s="57"/>
      <c r="AO585" s="57"/>
      <c r="AP585" s="57"/>
      <c r="AQ585" s="60"/>
      <c r="AR585" s="61"/>
      <c r="AS585" s="55"/>
    </row>
    <row r="586" spans="1:45" ht="21.25" customHeight="1" x14ac:dyDescent="0.15">
      <c r="A586" s="62">
        <f>RANK(K586,K$2:K$671)</f>
        <v>583</v>
      </c>
      <c r="B586" s="10" t="s">
        <v>769</v>
      </c>
      <c r="C586" s="47" t="s">
        <v>145</v>
      </c>
      <c r="D586" s="48" t="str" cm="1">
        <f t="array" ref="D586">VLOOKUP(B586,'Player Data'!A1:D673,4,FALSE)</f>
        <v>C,RW</v>
      </c>
      <c r="E586" s="74" cm="1">
        <f t="array" ref="E586">VLOOKUP(B586,RW!A1:F210,3,FALSE)</f>
        <v>166</v>
      </c>
      <c r="F586" s="63" t="str" cm="1">
        <f t="array" ref="F586">VLOOKUP(B586,'Player Data'!A1:B673,2,FALSE)</f>
        <v>DAL</v>
      </c>
      <c r="G586" s="66" cm="1">
        <f t="array" ref="G586">VLOOKUP(B586,'Player Data'!A1:D673,3,FALSE)</f>
        <v>33</v>
      </c>
      <c r="H586" s="67" cm="1">
        <f t="array" ref="H586">IFERROR(VLOOKUP(B586,ADP!A1:F671,6,FALSE)/1000000,VLOOKUP(B586,ADP!A1:F671,6,FALSE))</f>
        <v>0.81200000000000006</v>
      </c>
      <c r="I586" s="52">
        <f>IF(Settings!$E$15="POINTS",((R586*Q586)*Settings!$B$12)+(S586*Settings!$B$2)+(T586*Settings!$B$3)+(U586*Settings!$B$4)+(V586*Settings!$B$5)+(X586*Settings!$B$9)+(AA586*Settings!$B$6)+(W586*Settings!$B$8)+(AB586*Settings!$B$7)+(AC586*Settings!$B$14)+(AD586*Settings!$B$15)+(AE586*Settings!$B$16)+(AF586*Settings!$B$17)+(AG586*Settings!$B$18)+(Y586*Settings!$B$10)+(Z586*Settings!$B$11),VLOOKUP(B586,'Standard Deviations'!A$1:C$672,3,FALSE))</f>
        <v>-2.3143111037597985</v>
      </c>
      <c r="J586" s="53" cm="1">
        <f t="array" ref="J586">IF(D586="G",I586/AJ586,I586/Q586)</f>
        <v>-3.0857481383463982E-2</v>
      </c>
      <c r="K586" s="52" cm="1">
        <f t="array" ref="K586">IF(Settings!$E$18="C/LW/RW",VLOOKUP(B586,RW!A1:F210,6,FALSE),VLOOKUP(B586,F!A1:F407,6,FALSE))</f>
        <v>-9.2015457055688756</v>
      </c>
      <c r="L586" s="54" cm="1">
        <f t="array" ref="L586">IFERROR(K586/H586,"N/A")</f>
        <v>-11.331952839370535</v>
      </c>
      <c r="M586" s="84" t="s">
        <v>828</v>
      </c>
      <c r="N586" s="84" t="str" cm="1">
        <f t="array" ref="N586">IFERROR(M586-A586,"N/A")</f>
        <v>N/A</v>
      </c>
      <c r="O586" s="55"/>
      <c r="P586" s="56" cm="1">
        <f t="array" ref="P586">_xlfn.XLOOKUP($B586,ADP!A2:A671,ADP!G2:G671)</f>
        <v>0</v>
      </c>
      <c r="Q586" s="57" cm="1">
        <f t="array" ref="Q586">IF(Settings!$E$12="YES",VLOOKUP(B586,'Player Data'!A1:E673,5,FALSE),84)</f>
        <v>75</v>
      </c>
      <c r="R586" s="55" cm="1">
        <f t="array" ref="R586">VLOOKUP(B586,'Player Data'!$A1:$AE673,6,FALSE)</f>
        <v>11.5</v>
      </c>
      <c r="S586" s="57" cm="1">
        <f t="array" ref="S586">VLOOKUP(B586,'Player Data'!$A1:$AE673,7,FALSE)*$Q586*IFERROR((VLOOKUP(P586,Settings!$E$28:$F$33,2,FALSE)+1),1)</f>
        <v>4.5</v>
      </c>
      <c r="T586" s="57" cm="1">
        <f t="array" ref="T586">VLOOKUP(B586,'Player Data'!$A1:$AE673,8,FALSE)*$Q586*IFERROR((VLOOKUP(P586,Settings!$E$28:$F$33,2,FALSE)+1),1)</f>
        <v>9.75</v>
      </c>
      <c r="U586" s="57" cm="1">
        <f t="array" ref="U586">SUM(S586:T586)</f>
        <v>14.25</v>
      </c>
      <c r="V586" s="57" cm="1">
        <f t="array" ref="V586">VLOOKUP(B586,'Player Data'!$A1:$AE673,10,FALSE)*$Q586*IFERROR(((VLOOKUP(P586,Settings!$E$28:$F$33,2,FALSE)/2)+1),1)</f>
        <v>70.5</v>
      </c>
      <c r="W586" s="57" cm="1">
        <f t="array" ref="W586">VLOOKUP(B586,'Player Data'!$A1:$AE673,11,FALSE)*$Q586*IFERROR((VLOOKUP(P586,Settings!$E$28:$F$33,2,FALSE)+1),1)</f>
        <v>0</v>
      </c>
      <c r="X586" s="57" cm="1">
        <f t="array" ref="X586">VLOOKUP(B586,'Player Data'!$A1:$AE673,12,FALSE)*$Q586*IFERROR((VLOOKUP(P586,Settings!$E$28:$F$33,2,FALSE)+1),1)</f>
        <v>0</v>
      </c>
      <c r="Y586" s="57" cm="1">
        <f t="array" ref="Y586">VLOOKUP(B586,'Player Data'!$A1:$AE673,13,FALSE)*$Q586</f>
        <v>0.75</v>
      </c>
      <c r="Z586" s="57" cm="1">
        <f t="array" ref="Z586">VLOOKUP(B586,'Player Data'!$A1:$AE673,14,FALSE)*$Q586</f>
        <v>0.75</v>
      </c>
      <c r="AA586" s="57" cm="1">
        <f t="array" ref="AA586">VLOOKUP(B586,'Player Data'!$A1:$AE673,15,FALSE)*$Q586</f>
        <v>36</v>
      </c>
      <c r="AB586" s="57" cm="1">
        <f t="array" ref="AB586">VLOOKUP(B586,'Player Data'!$A1:$AE673,16,FALSE)*$Q586</f>
        <v>117.75</v>
      </c>
      <c r="AC586" s="57" cm="1">
        <f t="array" ref="AC586">VLOOKUP(B586,'Player Data'!$A1:$AE673,17,FALSE)*$Q586*IFERROR((VLOOKUP(P586,Settings!$E$28:$F$33,2,FALSE)+1),1)</f>
        <v>3.75</v>
      </c>
      <c r="AD586" s="57" cm="1">
        <f t="array" ref="AD586">VLOOKUP(B586,'Player Data'!$A1:$AE673,18,FALSE)*$Q586</f>
        <v>23.25</v>
      </c>
      <c r="AE586" s="57" cm="1">
        <f t="array" ref="AE586">VLOOKUP(B586,'Player Data'!$A1:$AE673,19,FALSE)*$Q586*IFERROR((VLOOKUP(P586,Settings!$E$28:$F$33,2,FALSE)+1),1)</f>
        <v>0.75</v>
      </c>
      <c r="AF586" s="57" cm="1">
        <f t="array" ref="AF586">VLOOKUP(B586,'Player Data'!$A1:$AE673,20,FALSE)*$Q586</f>
        <v>129.75</v>
      </c>
      <c r="AG586" s="57" cm="1">
        <f t="array" ref="AG586">VLOOKUP(B586,'Player Data'!$A1:$AE673,21,FALSE)*$Q586</f>
        <v>153.75</v>
      </c>
      <c r="AH586" s="59" cm="1">
        <f t="array" ref="AH586">VLOOKUP(B586,'Player Data'!$A1:$AE673,22,FALSE)</f>
        <v>0.46</v>
      </c>
      <c r="AI586" s="55"/>
      <c r="AJ586" s="57"/>
      <c r="AK586" s="57"/>
      <c r="AL586" s="57"/>
      <c r="AM586" s="57"/>
      <c r="AN586" s="57"/>
      <c r="AO586" s="57"/>
      <c r="AP586" s="57"/>
      <c r="AQ586" s="60"/>
      <c r="AR586" s="61"/>
      <c r="AS586" s="55"/>
    </row>
    <row r="587" spans="1:45" ht="21.25" customHeight="1" x14ac:dyDescent="0.15">
      <c r="A587" s="62">
        <f>RANK(K587,K$2:K$671)</f>
        <v>584</v>
      </c>
      <c r="B587" s="10" t="s">
        <v>618</v>
      </c>
      <c r="C587" s="47" t="s">
        <v>145</v>
      </c>
      <c r="D587" s="48" t="str" cm="1">
        <f t="array" ref="D587">VLOOKUP(B587,'Player Data'!A1:D673,4,FALSE)</f>
        <v>RW</v>
      </c>
      <c r="E587" s="64" cm="1">
        <f t="array" ref="E587">VLOOKUP(B587,RW!A1:F210,3,FALSE)</f>
        <v>167</v>
      </c>
      <c r="F587" s="18" t="str" cm="1">
        <f t="array" ref="F587">VLOOKUP(B587,'Player Data'!A1:B673,2,FALSE)</f>
        <v>VAN</v>
      </c>
      <c r="G587" s="11" cm="1">
        <f t="array" ref="G587">VLOOKUP(B587,'Player Data'!A1:D673,3,FALSE)</f>
        <v>26</v>
      </c>
      <c r="H587" s="51" cm="1">
        <f t="array" ref="H587">IFERROR(VLOOKUP(B587,ADP!A1:F671,6,FALSE)/1000000,VLOOKUP(B587,ADP!A1:F671,6,FALSE))</f>
        <v>2.25</v>
      </c>
      <c r="I587" s="52">
        <f>IF(Settings!$E$15="POINTS",((R587*Q587)*Settings!$B$12)+(S587*Settings!$B$2)+(T587*Settings!$B$3)+(U587*Settings!$B$4)+(V587*Settings!$B$5)+(X587*Settings!$B$9)+(AA587*Settings!$B$6)+(W587*Settings!$B$8)+(AB587*Settings!$B$7)+(AC587*Settings!$B$14)+(AD587*Settings!$B$15)+(AE587*Settings!$B$16)+(AF587*Settings!$B$17)+(AG587*Settings!$B$18)+(Y587*Settings!$B$10)+(Z587*Settings!$B$11),VLOOKUP(B587,'Standard Deviations'!A$1:C$672,3,FALSE))</f>
        <v>-2.3291493433084089</v>
      </c>
      <c r="J587" s="53" cm="1">
        <f t="array" ref="J587">IF(D587="G",I587/AJ587,I587/Q587)</f>
        <v>-3.147499112578931E-2</v>
      </c>
      <c r="K587" s="52" cm="1">
        <f t="array" ref="K587">IF(Settings!$E$18="C/LW/RW",VLOOKUP(B587,RW!A1:F210,6,FALSE),VLOOKUP(B587,F!A1:F407,6,FALSE))</f>
        <v>-9.2163839451174869</v>
      </c>
      <c r="L587" s="54" cm="1">
        <f t="array" ref="L587">IFERROR(K587/H587,"N/A")</f>
        <v>-4.0961706422744388</v>
      </c>
      <c r="M587" s="84" t="s">
        <v>828</v>
      </c>
      <c r="N587" s="84" t="str" cm="1">
        <f t="array" ref="N587">IFERROR(M587-A587,"N/A")</f>
        <v>N/A</v>
      </c>
      <c r="O587" s="55"/>
      <c r="P587" s="56" cm="1">
        <f t="array" ref="P587">_xlfn.XLOOKUP($B587,ADP!A2:A671,ADP!G2:G671)</f>
        <v>0</v>
      </c>
      <c r="Q587" s="57" cm="1">
        <f t="array" ref="Q587">IF(Settings!$E$12="YES",VLOOKUP(B587,'Player Data'!A1:E673,5,FALSE),84)</f>
        <v>74</v>
      </c>
      <c r="R587" s="81" cm="1">
        <f t="array" ref="R587">VLOOKUP(B587,'Player Data'!$A1:$AE673,6,FALSE)</f>
        <v>14</v>
      </c>
      <c r="S587" s="57" cm="1">
        <f t="array" ref="S587">VLOOKUP(B587,'Player Data'!$A1:$AE673,7,FALSE)*$Q587*IFERROR((VLOOKUP(P587,Settings!$E$28:$F$33,2,FALSE)+1),1)</f>
        <v>15.54</v>
      </c>
      <c r="T587" s="57" cm="1">
        <f t="array" ref="T587">VLOOKUP(B587,'Player Data'!$A1:$AE673,8,FALSE)*$Q587*IFERROR((VLOOKUP(P587,Settings!$E$28:$F$33,2,FALSE)+1),1)</f>
        <v>20.720000000000002</v>
      </c>
      <c r="U587" s="57" cm="1">
        <f t="array" ref="U587">SUM(S587:T587)</f>
        <v>36.260000000000005</v>
      </c>
      <c r="V587" s="57" cm="1">
        <f t="array" ref="V587">VLOOKUP(B587,'Player Data'!$A1:$AE673,10,FALSE)*$Q587*IFERROR(((VLOOKUP(P587,Settings!$E$28:$F$33,2,FALSE)/2)+1),1)</f>
        <v>125.8</v>
      </c>
      <c r="W587" s="57" cm="1">
        <f t="array" ref="W587">VLOOKUP(B587,'Player Data'!$A1:$AE673,11,FALSE)*$Q587*IFERROR((VLOOKUP(P587,Settings!$E$28:$F$33,2,FALSE)+1),1)</f>
        <v>2.2199999999999998</v>
      </c>
      <c r="X587" s="57" cm="1">
        <f t="array" ref="X587">VLOOKUP(B587,'Player Data'!$A1:$AE673,12,FALSE)*$Q587*IFERROR((VLOOKUP(P587,Settings!$E$28:$F$33,2,FALSE)+1),1)</f>
        <v>4.4399999999999995</v>
      </c>
      <c r="Y587" s="57" cm="1">
        <f t="array" ref="Y587">VLOOKUP(B587,'Player Data'!$A1:$AE673,13,FALSE)*$Q587</f>
        <v>0</v>
      </c>
      <c r="Z587" s="57" cm="1">
        <f t="array" ref="Z587">VLOOKUP(B587,'Player Data'!$A1:$AE673,14,FALSE)*$Q587</f>
        <v>0</v>
      </c>
      <c r="AA587" s="57" cm="1">
        <f t="array" ref="AA587">VLOOKUP(B587,'Player Data'!$A1:$AE673,15,FALSE)*$Q587</f>
        <v>27.38</v>
      </c>
      <c r="AB587" s="57" cm="1">
        <f t="array" ref="AB587">VLOOKUP(B587,'Player Data'!$A1:$AE673,16,FALSE)*$Q587</f>
        <v>91.02</v>
      </c>
      <c r="AC587" s="57" cm="1">
        <f t="array" ref="AC587">VLOOKUP(B587,'Player Data'!$A1:$AE673,17,FALSE)*$Q587*IFERROR((VLOOKUP(P587,Settings!$E$28:$F$33,2,FALSE)+1),1)</f>
        <v>-8.879999999999999</v>
      </c>
      <c r="AD587" s="57" cm="1">
        <f t="array" ref="AD587">VLOOKUP(B587,'Player Data'!$A1:$AE673,18,FALSE)*$Q587</f>
        <v>23.68</v>
      </c>
      <c r="AE587" s="57" cm="1">
        <f t="array" ref="AE587">VLOOKUP(B587,'Player Data'!$A1:$AE673,19,FALSE)*$Q587*IFERROR((VLOOKUP(P587,Settings!$E$28:$F$33,2,FALSE)+1),1)</f>
        <v>2.2199999999999998</v>
      </c>
      <c r="AF587" s="57" cm="1">
        <f t="array" ref="AF587">VLOOKUP(B587,'Player Data'!$A1:$AE673,20,FALSE)*$Q587</f>
        <v>14.8</v>
      </c>
      <c r="AG587" s="57" cm="1">
        <f t="array" ref="AG587">VLOOKUP(B587,'Player Data'!$A1:$AE673,21,FALSE)*$Q587</f>
        <v>38.480000000000004</v>
      </c>
      <c r="AH587" s="59" cm="1">
        <f t="array" ref="AH587">VLOOKUP(B587,'Player Data'!$A1:$AE673,22,FALSE)</f>
        <v>0.28000000000000003</v>
      </c>
      <c r="AI587" s="55"/>
      <c r="AJ587" s="57"/>
      <c r="AK587" s="57"/>
      <c r="AL587" s="57"/>
      <c r="AM587" s="57"/>
      <c r="AN587" s="57"/>
      <c r="AO587" s="57"/>
      <c r="AP587" s="57"/>
      <c r="AQ587" s="60"/>
      <c r="AR587" s="61"/>
      <c r="AS587" s="55"/>
    </row>
    <row r="588" spans="1:45" ht="21.25" customHeight="1" x14ac:dyDescent="0.15">
      <c r="A588" s="62">
        <f>RANK(K588,K$2:K$671)</f>
        <v>586</v>
      </c>
      <c r="B588" s="10" t="s">
        <v>718</v>
      </c>
      <c r="C588" s="47" t="s">
        <v>145</v>
      </c>
      <c r="D588" s="48" t="str" cm="1">
        <f t="array" ref="D588">VLOOKUP(B588,'Player Data'!A1:D673,4,FALSE)</f>
        <v>LW,RW</v>
      </c>
      <c r="E588" s="74" cm="1">
        <f t="array" ref="E588">VLOOKUP(B588,RW!A1:F210,3,FALSE)</f>
        <v>168</v>
      </c>
      <c r="F588" s="18" t="str" cm="1">
        <f t="array" ref="F588">VLOOKUP(B588,'Player Data'!A1:B673,2,FALSE)</f>
        <v>OTT</v>
      </c>
      <c r="G588" s="66" cm="1">
        <f t="array" ref="G588">VLOOKUP(B588,'Player Data'!A1:D673,3,FALSE)</f>
        <v>31</v>
      </c>
      <c r="H588" s="67" cm="1">
        <f t="array" ref="H588">IFERROR(VLOOKUP(B588,ADP!A1:F671,6,FALSE)/1000000,VLOOKUP(B588,ADP!A1:F671,6,FALSE))</f>
        <v>5.5</v>
      </c>
      <c r="I588" s="52">
        <f>IF(Settings!$E$15="POINTS",((R588*Q588)*Settings!$B$12)+(S588*Settings!$B$2)+(T588*Settings!$B$3)+(U588*Settings!$B$4)+(V588*Settings!$B$5)+(X588*Settings!$B$9)+(AA588*Settings!$B$6)+(W588*Settings!$B$8)+(AB588*Settings!$B$7)+(AC588*Settings!$B$14)+(AD588*Settings!$B$15)+(AE588*Settings!$B$16)+(AF588*Settings!$B$17)+(AG588*Settings!$B$18)+(Y588*Settings!$B$10)+(Z588*Settings!$B$11),VLOOKUP(B588,'Standard Deviations'!A$1:C$672,3,FALSE))</f>
        <v>-2.3505720411779167</v>
      </c>
      <c r="J588" s="53" cm="1">
        <f t="array" ref="J588">IF(D588="G",I588/AJ588,I588/Q588)</f>
        <v>-2.9754076470606541E-2</v>
      </c>
      <c r="K588" s="52" cm="1">
        <f t="array" ref="K588">IF(Settings!$E$18="C/LW/RW",VLOOKUP(B588,RW!A1:F210,6,FALSE),VLOOKUP(B588,F!A1:F407,6,FALSE))</f>
        <v>-9.2378066429869943</v>
      </c>
      <c r="L588" s="54" cm="1">
        <f t="array" ref="L588">IFERROR(K588/H588,"N/A")</f>
        <v>-1.6796012078158171</v>
      </c>
      <c r="M588" s="84" t="s">
        <v>828</v>
      </c>
      <c r="N588" s="84" t="str" cm="1">
        <f t="array" ref="N588">IFERROR(M588-A588,"N/A")</f>
        <v>N/A</v>
      </c>
      <c r="O588" s="55"/>
      <c r="P588" s="56" cm="1">
        <f t="array" ref="P588">_xlfn.XLOOKUP($B588,ADP!A2:A671,ADP!G2:G671)</f>
        <v>0</v>
      </c>
      <c r="Q588" s="57" cm="1">
        <f t="array" ref="Q588">IF(Settings!$E$12="YES",VLOOKUP(B588,'Player Data'!A1:E673,5,FALSE),84)</f>
        <v>79</v>
      </c>
      <c r="R588" s="83" cm="1">
        <f t="array" ref="R588">VLOOKUP(B588,'Player Data'!$A1:$AE673,6,FALSE)</f>
        <v>11.8</v>
      </c>
      <c r="S588" s="57" cm="1">
        <f t="array" ref="S588">VLOOKUP(B588,'Player Data'!$A1:$AE673,7,FALSE)*$Q588*IFERROR((VLOOKUP(P588,Settings!$E$28:$F$33,2,FALSE)+1),1)</f>
        <v>10.27</v>
      </c>
      <c r="T588" s="57" cm="1">
        <f t="array" ref="T588">VLOOKUP(B588,'Player Data'!$A1:$AE673,8,FALSE)*$Q588*IFERROR((VLOOKUP(P588,Settings!$E$28:$F$33,2,FALSE)+1),1)</f>
        <v>21.330000000000002</v>
      </c>
      <c r="U588" s="57" cm="1">
        <f t="array" ref="U588">SUM(S588:T588)</f>
        <v>31.6</v>
      </c>
      <c r="V588" s="57" cm="1">
        <f t="array" ref="V588">VLOOKUP(B588,'Player Data'!$A1:$AE673,10,FALSE)*$Q588*IFERROR(((VLOOKUP(P588,Settings!$E$28:$F$33,2,FALSE)/2)+1),1)</f>
        <v>98.75</v>
      </c>
      <c r="W588" s="57" cm="1">
        <f t="array" ref="W588">VLOOKUP(B588,'Player Data'!$A1:$AE673,11,FALSE)*$Q588*IFERROR((VLOOKUP(P588,Settings!$E$28:$F$33,2,FALSE)+1),1)</f>
        <v>1.58</v>
      </c>
      <c r="X588" s="57" cm="1">
        <f t="array" ref="X588">VLOOKUP(B588,'Player Data'!$A1:$AE673,12,FALSE)*$Q588*IFERROR((VLOOKUP(P588,Settings!$E$28:$F$33,2,FALSE)+1),1)</f>
        <v>7.1099999999999994</v>
      </c>
      <c r="Y588" s="57" cm="1">
        <f t="array" ref="Y588">VLOOKUP(B588,'Player Data'!$A1:$AE673,13,FALSE)*$Q588</f>
        <v>0</v>
      </c>
      <c r="Z588" s="57" cm="1">
        <f t="array" ref="Z588">VLOOKUP(B588,'Player Data'!$A1:$AE673,14,FALSE)*$Q588</f>
        <v>0</v>
      </c>
      <c r="AA588" s="57" cm="1">
        <f t="array" ref="AA588">VLOOKUP(B588,'Player Data'!$A1:$AE673,15,FALSE)*$Q588</f>
        <v>33.18</v>
      </c>
      <c r="AB588" s="57" cm="1">
        <f t="array" ref="AB588">VLOOKUP(B588,'Player Data'!$A1:$AE673,16,FALSE)*$Q588</f>
        <v>29.23</v>
      </c>
      <c r="AC588" s="57" cm="1">
        <f t="array" ref="AC588">VLOOKUP(B588,'Player Data'!$A1:$AE673,17,FALSE)*$Q588*IFERROR((VLOOKUP(P588,Settings!$E$28:$F$33,2,FALSE)+1),1)</f>
        <v>0</v>
      </c>
      <c r="AD588" s="57" cm="1">
        <f t="array" ref="AD588">VLOOKUP(B588,'Player Data'!$A1:$AE673,18,FALSE)*$Q588</f>
        <v>15.01</v>
      </c>
      <c r="AE588" s="57" cm="1">
        <f t="array" ref="AE588">VLOOKUP(B588,'Player Data'!$A1:$AE673,19,FALSE)*$Q588*IFERROR((VLOOKUP(P588,Settings!$E$28:$F$33,2,FALSE)+1),1)</f>
        <v>1.58</v>
      </c>
      <c r="AF588" s="57" cm="1">
        <f t="array" ref="AF588">VLOOKUP(B588,'Player Data'!$A1:$AE673,20,FALSE)*$Q588</f>
        <v>3.16</v>
      </c>
      <c r="AG588" s="57" cm="1">
        <f t="array" ref="AG588">VLOOKUP(B588,'Player Data'!$A1:$AE673,21,FALSE)*$Q588</f>
        <v>3.95</v>
      </c>
      <c r="AH588" s="59" cm="1">
        <f t="array" ref="AH588">VLOOKUP(B588,'Player Data'!$A1:$AE673,22,FALSE)</f>
        <v>0.45</v>
      </c>
      <c r="AI588" s="55"/>
      <c r="AJ588" s="57"/>
      <c r="AK588" s="57"/>
      <c r="AL588" s="57"/>
      <c r="AM588" s="57"/>
      <c r="AN588" s="57"/>
      <c r="AO588" s="57"/>
      <c r="AP588" s="57"/>
      <c r="AQ588" s="60"/>
      <c r="AR588" s="61"/>
      <c r="AS588" s="55"/>
    </row>
    <row r="589" spans="1:45" ht="21.25" customHeight="1" x14ac:dyDescent="0.15">
      <c r="A589" s="62">
        <f>RANK(K589,K$2:K$671)</f>
        <v>587</v>
      </c>
      <c r="B589" s="10" t="s">
        <v>602</v>
      </c>
      <c r="C589" s="47" t="s">
        <v>145</v>
      </c>
      <c r="D589" s="48" t="str" cm="1">
        <f t="array" ref="D589">VLOOKUP(B589,'Player Data'!A1:D673,4,FALSE)</f>
        <v>C</v>
      </c>
      <c r="E589" s="49" cm="1">
        <f t="array" ref="E589">VLOOKUP(B589,'C'!A1:C210,3,FALSE)</f>
        <v>174</v>
      </c>
      <c r="F589" s="65" t="str" cm="1">
        <f t="array" ref="F589">VLOOKUP(B589,'Player Data'!A1:B673,2,FALSE)</f>
        <v>NSH</v>
      </c>
      <c r="G589" s="11" cm="1">
        <f t="array" ref="G589">VLOOKUP(B589,'Player Data'!A1:D673,3,FALSE)</f>
        <v>26</v>
      </c>
      <c r="H589" s="51" cm="1">
        <f t="array" ref="H589">IFERROR(VLOOKUP(B589,ADP!A1:F671,6,FALSE)/1000000,VLOOKUP(B589,ADP!A1:F671,6,FALSE))</f>
        <v>4.5</v>
      </c>
      <c r="I589" s="52">
        <f>IF(Settings!$E$15="POINTS",((R589*Q589)*Settings!$B$12)+(S589*Settings!$B$2)+(T589*Settings!$B$3)+(U589*Settings!$B$4)+(V589*Settings!$B$5)+(X589*Settings!$B$9)+(AA589*Settings!$B$6)+(W589*Settings!$B$8)+(AB589*Settings!$B$7)+(AC589*Settings!$B$14)+(AD589*Settings!$B$15)+(AE589*Settings!$B$16)+(AF589*Settings!$B$17)+(AG589*Settings!$B$18)+(Y589*Settings!$B$10)+(Z589*Settings!$B$11),VLOOKUP(B589,'Standard Deviations'!A$1:C$672,3,FALSE))</f>
        <v>-2.9684082375585952</v>
      </c>
      <c r="J589" s="53" cm="1">
        <f t="array" ref="J589">IF(D589="G",I589/AJ589,I589/Q589)</f>
        <v>-3.6200100458031646E-2</v>
      </c>
      <c r="K589" s="52" cm="1">
        <f t="array" ref="K589">IF(Settings!$E$18="C/LW/RW",VLOOKUP(B589,'C'!A1:F210,6,FALSE),VLOOKUP(B589,F!A1:F407,6,FALSE))</f>
        <v>-9.3284177951736602</v>
      </c>
      <c r="L589" s="54" cm="1">
        <f t="array" ref="L589">IFERROR(K589/H589,"N/A")</f>
        <v>-2.0729817322608133</v>
      </c>
      <c r="M589" s="84" t="s">
        <v>828</v>
      </c>
      <c r="N589" s="84" t="str" cm="1">
        <f t="array" ref="N589">IFERROR(M589-A589,"N/A")</f>
        <v>N/A</v>
      </c>
      <c r="O589" s="55"/>
      <c r="P589" s="56" cm="1">
        <f t="array" ref="P589">_xlfn.XLOOKUP($B589,ADP!A2:A671,ADP!G2:G671)</f>
        <v>0</v>
      </c>
      <c r="Q589" s="57" cm="1">
        <f t="array" ref="Q589">IF(Settings!$E$12="YES",VLOOKUP(B589,'Player Data'!A1:E673,5,FALSE),84)</f>
        <v>82</v>
      </c>
      <c r="R589" s="81" cm="1">
        <f t="array" ref="R589">VLOOKUP(B589,'Player Data'!$A1:$AE673,6,FALSE)</f>
        <v>15.6</v>
      </c>
      <c r="S589" s="57" cm="1">
        <f t="array" ref="S589">VLOOKUP(B589,'Player Data'!$A1:$AE673,7,FALSE)*$Q589*IFERROR((VLOOKUP(P589,Settings!$E$28:$F$33,2,FALSE)+1),1)</f>
        <v>10.66</v>
      </c>
      <c r="T589" s="57" cm="1">
        <f t="array" ref="T589">VLOOKUP(B589,'Player Data'!$A1:$AE673,8,FALSE)*$Q589*IFERROR((VLOOKUP(P589,Settings!$E$28:$F$33,2,FALSE)+1),1)</f>
        <v>17.22</v>
      </c>
      <c r="U589" s="57" cm="1">
        <f t="array" ref="U589">SUM(S589:T589)</f>
        <v>27.88</v>
      </c>
      <c r="V589" s="57" cm="1">
        <f t="array" ref="V589">VLOOKUP(B589,'Player Data'!$A1:$AE673,10,FALSE)*$Q589*IFERROR(((VLOOKUP(P589,Settings!$E$28:$F$33,2,FALSE)/2)+1),1)</f>
        <v>111.52000000000001</v>
      </c>
      <c r="W589" s="57" cm="1">
        <f t="array" ref="W589">VLOOKUP(B589,'Player Data'!$A1:$AE673,11,FALSE)*$Q589*IFERROR((VLOOKUP(P589,Settings!$E$28:$F$33,2,FALSE)+1),1)</f>
        <v>0</v>
      </c>
      <c r="X589" s="57" cm="1">
        <f t="array" ref="X589">VLOOKUP(B589,'Player Data'!$A1:$AE673,12,FALSE)*$Q589*IFERROR((VLOOKUP(P589,Settings!$E$28:$F$33,2,FALSE)+1),1)</f>
        <v>0.82000000000000006</v>
      </c>
      <c r="Y589" s="57" cm="1">
        <f t="array" ref="Y589">VLOOKUP(B589,'Player Data'!$A1:$AE673,13,FALSE)*$Q589</f>
        <v>0</v>
      </c>
      <c r="Z589" s="57" cm="1">
        <f t="array" ref="Z589">VLOOKUP(B589,'Player Data'!$A1:$AE673,14,FALSE)*$Q589</f>
        <v>0</v>
      </c>
      <c r="AA589" s="57" cm="1">
        <f t="array" ref="AA589">VLOOKUP(B589,'Player Data'!$A1:$AE673,15,FALSE)*$Q589</f>
        <v>62.32</v>
      </c>
      <c r="AB589" s="57" cm="1">
        <f t="array" ref="AB589">VLOOKUP(B589,'Player Data'!$A1:$AE673,16,FALSE)*$Q589</f>
        <v>57.4</v>
      </c>
      <c r="AC589" s="57" cm="1">
        <f t="array" ref="AC589">VLOOKUP(B589,'Player Data'!$A1:$AE673,17,FALSE)*$Q589*IFERROR((VLOOKUP(P589,Settings!$E$28:$F$33,2,FALSE)+1),1)</f>
        <v>-2.46</v>
      </c>
      <c r="AD589" s="57" cm="1">
        <f t="array" ref="AD589">VLOOKUP(B589,'Player Data'!$A1:$AE673,18,FALSE)*$Q589</f>
        <v>34.44</v>
      </c>
      <c r="AE589" s="57" cm="1">
        <f t="array" ref="AE589">VLOOKUP(B589,'Player Data'!$A1:$AE673,19,FALSE)*$Q589*IFERROR((VLOOKUP(P589,Settings!$E$28:$F$33,2,FALSE)+1),1)</f>
        <v>1.6400000000000001</v>
      </c>
      <c r="AF589" s="57" cm="1">
        <f t="array" ref="AF589">VLOOKUP(B589,'Player Data'!$A1:$AE673,20,FALSE)*$Q589</f>
        <v>592.04</v>
      </c>
      <c r="AG589" s="57" cm="1">
        <f t="array" ref="AG589">VLOOKUP(B589,'Player Data'!$A1:$AE673,21,FALSE)*$Q589</f>
        <v>439.52000000000004</v>
      </c>
      <c r="AH589" s="59" cm="1">
        <f t="array" ref="AH589">VLOOKUP(B589,'Player Data'!$A1:$AE673,22,FALSE)</f>
        <v>0.56999999999999995</v>
      </c>
      <c r="AI589" s="55"/>
      <c r="AJ589" s="57"/>
      <c r="AK589" s="57"/>
      <c r="AL589" s="57"/>
      <c r="AM589" s="57"/>
      <c r="AN589" s="57"/>
      <c r="AO589" s="57"/>
      <c r="AP589" s="57"/>
      <c r="AQ589" s="60"/>
      <c r="AR589" s="61"/>
      <c r="AS589" s="55"/>
    </row>
    <row r="590" spans="1:45" ht="21.25" customHeight="1" x14ac:dyDescent="0.15">
      <c r="A590" s="62">
        <f>RANK(K590,K$2:K$671)</f>
        <v>588</v>
      </c>
      <c r="B590" s="10" t="s">
        <v>687</v>
      </c>
      <c r="C590" s="47" t="s">
        <v>145</v>
      </c>
      <c r="D590" s="48" t="str" cm="1">
        <f t="array" ref="D590">VLOOKUP(B590,'Player Data'!A1:D673,4,FALSE)</f>
        <v>C,RW</v>
      </c>
      <c r="E590" s="74" cm="1">
        <f t="array" ref="E590">VLOOKUP(B590,RW!A1:F210,3,FALSE)</f>
        <v>169</v>
      </c>
      <c r="F590" s="56" t="str" cm="1">
        <f t="array" ref="F590">VLOOKUP(B590,'Player Data'!A1:B673,2,FALSE)</f>
        <v>PHI</v>
      </c>
      <c r="G590" s="66" cm="1">
        <f t="array" ref="G590">VLOOKUP(B590,'Player Data'!A1:D673,3,FALSE)</f>
        <v>34</v>
      </c>
      <c r="H590" s="51" cm="1">
        <f t="array" ref="H590">IFERROR(VLOOKUP(B590,ADP!A1:F671,6,FALSE)/1000000,VLOOKUP(B590,ADP!A1:F671,6,FALSE))</f>
        <v>2.8</v>
      </c>
      <c r="I590" s="52">
        <f>IF(Settings!$E$15="POINTS",((R590*Q590)*Settings!$B$12)+(S590*Settings!$B$2)+(T590*Settings!$B$3)+(U590*Settings!$B$4)+(V590*Settings!$B$5)+(X590*Settings!$B$9)+(AA590*Settings!$B$6)+(W590*Settings!$B$8)+(AB590*Settings!$B$7)+(AC590*Settings!$B$14)+(AD590*Settings!$B$15)+(AE590*Settings!$B$16)+(AF590*Settings!$B$17)+(AG590*Settings!$B$18)+(Y590*Settings!$B$10)+(Z590*Settings!$B$11),VLOOKUP(B590,'Standard Deviations'!A$1:C$672,3,FALSE))</f>
        <v>-2.4421427064460115</v>
      </c>
      <c r="J590" s="53" cm="1">
        <f t="array" ref="J590">IF(D590="G",I590/AJ590,I590/Q590)</f>
        <v>-3.1309521877512965E-2</v>
      </c>
      <c r="K590" s="52" cm="1">
        <f t="array" ref="K590">IF(Settings!$E$18="C/LW/RW",VLOOKUP(B590,RW!A1:F210,6,FALSE),VLOOKUP(B590,F!A1:F407,6,FALSE))</f>
        <v>-9.3293773082550899</v>
      </c>
      <c r="L590" s="54" cm="1">
        <f t="array" ref="L590">IFERROR(K590/H590,"N/A")</f>
        <v>-3.3319204672339611</v>
      </c>
      <c r="M590" s="84" t="s">
        <v>828</v>
      </c>
      <c r="N590" s="84" t="str" cm="1">
        <f t="array" ref="N590">IFERROR(M590-A590,"N/A")</f>
        <v>N/A</v>
      </c>
      <c r="O590" s="55"/>
      <c r="P590" s="56" cm="1">
        <f t="array" ref="P590">_xlfn.XLOOKUP($B590,ADP!A2:A671,ADP!G2:G671)</f>
        <v>0</v>
      </c>
      <c r="Q590" s="57" cm="1">
        <f t="array" ref="Q590">IF(Settings!$E$12="YES",VLOOKUP(B590,'Player Data'!A1:E673,5,FALSE),84)</f>
        <v>78</v>
      </c>
      <c r="R590" s="55" cm="1">
        <f t="array" ref="R590">VLOOKUP(B590,'Player Data'!$A1:$AE673,6,FALSE)</f>
        <v>13.5</v>
      </c>
      <c r="S590" s="57" cm="1">
        <f t="array" ref="S590">VLOOKUP(B590,'Player Data'!$A1:$AE673,7,FALSE)*$Q590*IFERROR((VLOOKUP(P590,Settings!$E$28:$F$33,2,FALSE)+1),1)</f>
        <v>8.58</v>
      </c>
      <c r="T590" s="57" cm="1">
        <f t="array" ref="T590">VLOOKUP(B590,'Player Data'!$A1:$AE673,8,FALSE)*$Q590*IFERROR((VLOOKUP(P590,Settings!$E$28:$F$33,2,FALSE)+1),1)</f>
        <v>9.36</v>
      </c>
      <c r="U590" s="57" cm="1">
        <f t="array" ref="U590">SUM(S590:T590)</f>
        <v>17.939999999999998</v>
      </c>
      <c r="V590" s="57" cm="1">
        <f t="array" ref="V590">VLOOKUP(B590,'Player Data'!$A1:$AE673,10,FALSE)*$Q590*IFERROR(((VLOOKUP(P590,Settings!$E$28:$F$33,2,FALSE)/2)+1),1)</f>
        <v>92.82</v>
      </c>
      <c r="W590" s="57" cm="1">
        <f t="array" ref="W590">VLOOKUP(B590,'Player Data'!$A1:$AE673,11,FALSE)*$Q590*IFERROR((VLOOKUP(P590,Settings!$E$28:$F$33,2,FALSE)+1),1)</f>
        <v>0</v>
      </c>
      <c r="X590" s="57" cm="1">
        <f t="array" ref="X590">VLOOKUP(B590,'Player Data'!$A1:$AE673,12,FALSE)*$Q590*IFERROR((VLOOKUP(P590,Settings!$E$28:$F$33,2,FALSE)+1),1)</f>
        <v>0</v>
      </c>
      <c r="Y590" s="57" cm="1">
        <f t="array" ref="Y590">VLOOKUP(B590,'Player Data'!$A1:$AE673,13,FALSE)*$Q590</f>
        <v>0</v>
      </c>
      <c r="Z590" s="57" cm="1">
        <f t="array" ref="Z590">VLOOKUP(B590,'Player Data'!$A1:$AE673,14,FALSE)*$Q590</f>
        <v>0.78</v>
      </c>
      <c r="AA590" s="57" cm="1">
        <f t="array" ref="AA590">VLOOKUP(B590,'Player Data'!$A1:$AE673,15,FALSE)*$Q590</f>
        <v>77.22</v>
      </c>
      <c r="AB590" s="57" cm="1">
        <f t="array" ref="AB590">VLOOKUP(B590,'Player Data'!$A1:$AE673,16,FALSE)*$Q590</f>
        <v>113.88</v>
      </c>
      <c r="AC590" s="57" cm="1">
        <f t="array" ref="AC590">VLOOKUP(B590,'Player Data'!$A1:$AE673,17,FALSE)*$Q590*IFERROR((VLOOKUP(P590,Settings!$E$28:$F$33,2,FALSE)+1),1)</f>
        <v>0</v>
      </c>
      <c r="AD590" s="57" cm="1">
        <f t="array" ref="AD590">VLOOKUP(B590,'Player Data'!$A1:$AE673,18,FALSE)*$Q590</f>
        <v>18.72</v>
      </c>
      <c r="AE590" s="57" cm="1">
        <f t="array" ref="AE590">VLOOKUP(B590,'Player Data'!$A1:$AE673,19,FALSE)*$Q590*IFERROR((VLOOKUP(P590,Settings!$E$28:$F$33,2,FALSE)+1),1)</f>
        <v>1.56</v>
      </c>
      <c r="AF590" s="57" cm="1">
        <f t="array" ref="AF590">VLOOKUP(B590,'Player Data'!$A1:$AE673,20,FALSE)*$Q590</f>
        <v>363.48</v>
      </c>
      <c r="AG590" s="57" cm="1">
        <f t="array" ref="AG590">VLOOKUP(B590,'Player Data'!$A1:$AE673,21,FALSE)*$Q590</f>
        <v>321.36</v>
      </c>
      <c r="AH590" s="59" cm="1">
        <f t="array" ref="AH590">VLOOKUP(B590,'Player Data'!$A1:$AE673,22,FALSE)</f>
        <v>0.53</v>
      </c>
      <c r="AI590" s="55"/>
      <c r="AJ590" s="57"/>
      <c r="AK590" s="57"/>
      <c r="AL590" s="57"/>
      <c r="AM590" s="57"/>
      <c r="AN590" s="57"/>
      <c r="AO590" s="57"/>
      <c r="AP590" s="57"/>
      <c r="AQ590" s="60"/>
      <c r="AR590" s="61"/>
      <c r="AS590" s="55"/>
    </row>
    <row r="591" spans="1:45" ht="21.25" customHeight="1" x14ac:dyDescent="0.15">
      <c r="A591" s="62">
        <f>RANK(K591,K$2:K$671)</f>
        <v>589</v>
      </c>
      <c r="B591" s="10" t="s">
        <v>704</v>
      </c>
      <c r="C591" s="47" t="s">
        <v>145</v>
      </c>
      <c r="D591" s="48" t="str" cm="1">
        <f t="array" ref="D591">VLOOKUP(B591,'Player Data'!A1:D673,4,FALSE)</f>
        <v>C</v>
      </c>
      <c r="E591" s="49" cm="1">
        <f t="array" ref="E591">VLOOKUP(B591,'C'!A1:C210,3,FALSE)</f>
        <v>175</v>
      </c>
      <c r="F591" s="63" t="str" cm="1">
        <f t="array" ref="F591">VLOOKUP(B591,'Player Data'!A1:B673,2,FALSE)</f>
        <v>WPG</v>
      </c>
      <c r="G591" s="71" cm="1">
        <f t="array" ref="G591">VLOOKUP(B591,'Player Data'!A1:D673,3,FALSE)</f>
        <v>22</v>
      </c>
      <c r="H591" s="51" cm="1">
        <f t="array" ref="H591">IFERROR(VLOOKUP(B591,ADP!A1:F671,6,FALSE)/1000000,VLOOKUP(B591,ADP!A1:F671,6,FALSE))</f>
        <v>0.88666699999999998</v>
      </c>
      <c r="I591" s="52">
        <f>IF(Settings!$E$15="POINTS",((R591*Q591)*Settings!$B$12)+(S591*Settings!$B$2)+(T591*Settings!$B$3)+(U591*Settings!$B$4)+(V591*Settings!$B$5)+(X591*Settings!$B$9)+(AA591*Settings!$B$6)+(W591*Settings!$B$8)+(AB591*Settings!$B$7)+(AC591*Settings!$B$14)+(AD591*Settings!$B$15)+(AE591*Settings!$B$16)+(AF591*Settings!$B$17)+(AG591*Settings!$B$18)+(Y591*Settings!$B$10)+(Z591*Settings!$B$11),VLOOKUP(B591,'Standard Deviations'!A$1:C$672,3,FALSE))</f>
        <v>-3.0280993589762115</v>
      </c>
      <c r="J591" s="53" cm="1">
        <f t="array" ref="J591">IF(D591="G",I591/AJ591,I591/Q591)</f>
        <v>-5.5056351981385664E-2</v>
      </c>
      <c r="K591" s="52" cm="1">
        <f t="array" ref="K591">IF(Settings!$E$18="C/LW/RW",VLOOKUP(B591,'C'!A1:F210,6,FALSE),VLOOKUP(B591,F!A1:F407,6,FALSE))</f>
        <v>-9.3881089165912748</v>
      </c>
      <c r="L591" s="54" cm="1">
        <f t="array" ref="L591">IFERROR(K591/H591,"N/A")</f>
        <v>-10.588088782588361</v>
      </c>
      <c r="M591" s="84" t="s">
        <v>828</v>
      </c>
      <c r="N591" s="84" t="str" cm="1">
        <f t="array" ref="N591">IFERROR(M591-A591,"N/A")</f>
        <v>N/A</v>
      </c>
      <c r="O591" s="55"/>
      <c r="P591" s="56" cm="1">
        <f t="array" ref="P591">_xlfn.XLOOKUP($B591,ADP!A2:A671,ADP!G2:G671)</f>
        <v>0</v>
      </c>
      <c r="Q591" s="57" cm="1">
        <f t="array" ref="Q591">IF(Settings!$E$12="YES",VLOOKUP(B591,'Player Data'!A1:E673,5,FALSE),84)</f>
        <v>55</v>
      </c>
      <c r="R591" s="81" cm="1">
        <f t="array" ref="R591">VLOOKUP(B591,'Player Data'!$A1:$AE673,6,FALSE)</f>
        <v>13.9</v>
      </c>
      <c r="S591" s="57" cm="1">
        <f t="array" ref="S591">VLOOKUP(B591,'Player Data'!$A1:$AE673,7,FALSE)*$Q591*IFERROR((VLOOKUP(P591,Settings!$E$28:$F$33,2,FALSE)+1),1)</f>
        <v>9.3500000000000014</v>
      </c>
      <c r="T591" s="57" cm="1">
        <f t="array" ref="T591">VLOOKUP(B591,'Player Data'!$A1:$AE673,8,FALSE)*$Q591*IFERROR((VLOOKUP(P591,Settings!$E$28:$F$33,2,FALSE)+1),1)</f>
        <v>12.65</v>
      </c>
      <c r="U591" s="57" cm="1">
        <f t="array" ref="U591">SUM(S591:T591)</f>
        <v>22</v>
      </c>
      <c r="V591" s="57" cm="1">
        <f t="array" ref="V591">VLOOKUP(B591,'Player Data'!$A1:$AE673,10,FALSE)*$Q591*IFERROR(((VLOOKUP(P591,Settings!$E$28:$F$33,2,FALSE)/2)+1),1)</f>
        <v>78.099999999999994</v>
      </c>
      <c r="W591" s="57" cm="1">
        <f t="array" ref="W591">VLOOKUP(B591,'Player Data'!$A1:$AE673,11,FALSE)*$Q591*IFERROR((VLOOKUP(P591,Settings!$E$28:$F$33,2,FALSE)+1),1)</f>
        <v>1.1000000000000001</v>
      </c>
      <c r="X591" s="57" cm="1">
        <f t="array" ref="X591">VLOOKUP(B591,'Player Data'!$A1:$AE673,12,FALSE)*$Q591*IFERROR((VLOOKUP(P591,Settings!$E$28:$F$33,2,FALSE)+1),1)</f>
        <v>3.8500000000000005</v>
      </c>
      <c r="Y591" s="57" cm="1">
        <f t="array" ref="Y591">VLOOKUP(B591,'Player Data'!$A1:$AE673,13,FALSE)*$Q591</f>
        <v>0</v>
      </c>
      <c r="Z591" s="57" cm="1">
        <f t="array" ref="Z591">VLOOKUP(B591,'Player Data'!$A1:$AE673,14,FALSE)*$Q591</f>
        <v>0</v>
      </c>
      <c r="AA591" s="57" cm="1">
        <f t="array" ref="AA591">VLOOKUP(B591,'Player Data'!$A1:$AE673,15,FALSE)*$Q591</f>
        <v>22.549999999999997</v>
      </c>
      <c r="AB591" s="57" cm="1">
        <f t="array" ref="AB591">VLOOKUP(B591,'Player Data'!$A1:$AE673,16,FALSE)*$Q591</f>
        <v>63.8</v>
      </c>
      <c r="AC591" s="57" cm="1">
        <f t="array" ref="AC591">VLOOKUP(B591,'Player Data'!$A1:$AE673,17,FALSE)*$Q591*IFERROR((VLOOKUP(P591,Settings!$E$28:$F$33,2,FALSE)+1),1)</f>
        <v>0</v>
      </c>
      <c r="AD591" s="57" cm="1">
        <f t="array" ref="AD591">VLOOKUP(B591,'Player Data'!$A1:$AE673,18,FALSE)*$Q591</f>
        <v>18.150000000000002</v>
      </c>
      <c r="AE591" s="57" cm="1">
        <f t="array" ref="AE591">VLOOKUP(B591,'Player Data'!$A1:$AE673,19,FALSE)*$Q591*IFERROR((VLOOKUP(P591,Settings!$E$28:$F$33,2,FALSE)+1),1)</f>
        <v>1.65</v>
      </c>
      <c r="AF591" s="57" cm="1">
        <f t="array" ref="AF591">VLOOKUP(B591,'Player Data'!$A1:$AE673,20,FALSE)*$Q591</f>
        <v>14.850000000000001</v>
      </c>
      <c r="AG591" s="57" cm="1">
        <f t="array" ref="AG591">VLOOKUP(B591,'Player Data'!$A1:$AE673,21,FALSE)*$Q591</f>
        <v>34.65</v>
      </c>
      <c r="AH591" s="59" cm="1">
        <f t="array" ref="AH591">VLOOKUP(B591,'Player Data'!$A1:$AE673,22,FALSE)</f>
        <v>0.3</v>
      </c>
      <c r="AI591" s="55"/>
      <c r="AJ591" s="57"/>
      <c r="AK591" s="57"/>
      <c r="AL591" s="57"/>
      <c r="AM591" s="57"/>
      <c r="AN591" s="57"/>
      <c r="AO591" s="57"/>
      <c r="AP591" s="57"/>
      <c r="AQ591" s="60"/>
      <c r="AR591" s="61"/>
      <c r="AS591" s="55"/>
    </row>
    <row r="592" spans="1:45" ht="21.25" customHeight="1" x14ac:dyDescent="0.15">
      <c r="A592" s="62">
        <f>RANK(K592,K$2:K$671)</f>
        <v>591</v>
      </c>
      <c r="B592" s="10" t="s">
        <v>691</v>
      </c>
      <c r="C592" s="47" t="s">
        <v>145</v>
      </c>
      <c r="D592" s="48" t="str" cm="1">
        <f t="array" ref="D592">VLOOKUP(B592,'Player Data'!A1:D673,4,FALSE)</f>
        <v>LW</v>
      </c>
      <c r="E592" s="75" cm="1">
        <f t="array" ref="E592">VLOOKUP(B592,LW!A1:C210,3,FALSE)</f>
        <v>170</v>
      </c>
      <c r="F592" s="56" t="str" cm="1">
        <f t="array" ref="F592">VLOOKUP(B592,'Player Data'!A1:B673,2,FALSE)</f>
        <v>PHI</v>
      </c>
      <c r="G592" s="71" cm="1">
        <f t="array" ref="G592">VLOOKUP(B592,'Player Data'!A1:D673,3,FALSE)</f>
        <v>22</v>
      </c>
      <c r="H592" s="51" cm="1">
        <f t="array" ref="H592">IFERROR(VLOOKUP(B592,ADP!A1:F671,6,FALSE)/1000000,VLOOKUP(B592,ADP!A1:F671,6,FALSE))</f>
        <v>0.95</v>
      </c>
      <c r="I592" s="52">
        <f>IF(Settings!$E$15="POINTS",((R592*Q592)*Settings!$B$12)+(S592*Settings!$B$2)+(T592*Settings!$B$3)+(U592*Settings!$B$4)+(V592*Settings!$B$5)+(X592*Settings!$B$9)+(AA592*Settings!$B$6)+(W592*Settings!$B$8)+(AB592*Settings!$B$7)+(AC592*Settings!$B$14)+(AD592*Settings!$B$15)+(AE592*Settings!$B$16)+(AF592*Settings!$B$17)+(AG592*Settings!$B$18)+(Y592*Settings!$B$10)+(Z592*Settings!$B$11),VLOOKUP(B592,'Standard Deviations'!A$1:C$672,3,FALSE))</f>
        <v>-2.542348297564009</v>
      </c>
      <c r="J592" s="53" cm="1">
        <f t="array" ref="J592">IF(D592="G",I592/AJ592,I592/Q592)</f>
        <v>-3.7945496978567299E-2</v>
      </c>
      <c r="K592" s="52" cm="1">
        <f t="array" ref="K592">IF(Settings!$E$18="C/LW/RW",VLOOKUP(B592,LW!A1:F210,6,FALSE),VLOOKUP(B592,F!A1:F407,6,FALSE))</f>
        <v>-9.4367339419538183</v>
      </c>
      <c r="L592" s="54" cm="1">
        <f t="array" ref="L592">IFERROR(K592/H592,"N/A")</f>
        <v>-9.9334041494250727</v>
      </c>
      <c r="M592" s="84" t="s">
        <v>828</v>
      </c>
      <c r="N592" s="84" t="str" cm="1">
        <f t="array" ref="N592">IFERROR(M592-A592,"N/A")</f>
        <v>N/A</v>
      </c>
      <c r="O592" s="55"/>
      <c r="P592" s="56" cm="1">
        <f t="array" ref="P592">_xlfn.XLOOKUP($B592,ADP!A2:A671,ADP!G2:G671)</f>
        <v>0</v>
      </c>
      <c r="Q592" s="57" cm="1">
        <f t="array" ref="Q592">IF(Settings!$E$12="YES",VLOOKUP(B592,'Player Data'!A1:E673,5,FALSE),84)</f>
        <v>67</v>
      </c>
      <c r="R592" s="55" cm="1">
        <f t="array" ref="R592">VLOOKUP(B592,'Player Data'!$A1:$AE673,6,FALSE)</f>
        <v>12.2</v>
      </c>
      <c r="S592" s="57" cm="1">
        <f t="array" ref="S592">VLOOKUP(B592,'Player Data'!$A1:$AE673,7,FALSE)*$Q592*IFERROR((VLOOKUP(P592,Settings!$E$28:$F$33,2,FALSE)+1),1)</f>
        <v>13.4</v>
      </c>
      <c r="T592" s="57" cm="1">
        <f t="array" ref="T592">VLOOKUP(B592,'Player Data'!$A1:$AE673,8,FALSE)*$Q592*IFERROR((VLOOKUP(P592,Settings!$E$28:$F$33,2,FALSE)+1),1)</f>
        <v>14.07</v>
      </c>
      <c r="U592" s="57" cm="1">
        <f t="array" ref="U592">SUM(S592:T592)</f>
        <v>27.47</v>
      </c>
      <c r="V592" s="57" cm="1">
        <f t="array" ref="V592">VLOOKUP(B592,'Player Data'!$A1:$AE673,10,FALSE)*$Q592*IFERROR(((VLOOKUP(P592,Settings!$E$28:$F$33,2,FALSE)/2)+1),1)</f>
        <v>81.739999999999995</v>
      </c>
      <c r="W592" s="57" cm="1">
        <f t="array" ref="W592">VLOOKUP(B592,'Player Data'!$A1:$AE673,11,FALSE)*$Q592*IFERROR((VLOOKUP(P592,Settings!$E$28:$F$33,2,FALSE)+1),1)</f>
        <v>0</v>
      </c>
      <c r="X592" s="57" cm="1">
        <f t="array" ref="X592">VLOOKUP(B592,'Player Data'!$A1:$AE673,12,FALSE)*$Q592*IFERROR((VLOOKUP(P592,Settings!$E$28:$F$33,2,FALSE)+1),1)</f>
        <v>0.67</v>
      </c>
      <c r="Y592" s="57" cm="1">
        <f t="array" ref="Y592">VLOOKUP(B592,'Player Data'!$A1:$AE673,13,FALSE)*$Q592</f>
        <v>0</v>
      </c>
      <c r="Z592" s="57" cm="1">
        <f t="array" ref="Z592">VLOOKUP(B592,'Player Data'!$A1:$AE673,14,FALSE)*$Q592</f>
        <v>0</v>
      </c>
      <c r="AA592" s="57" cm="1">
        <f t="array" ref="AA592">VLOOKUP(B592,'Player Data'!$A1:$AE673,15,FALSE)*$Q592</f>
        <v>28.14</v>
      </c>
      <c r="AB592" s="57" cm="1">
        <f t="array" ref="AB592">VLOOKUP(B592,'Player Data'!$A1:$AE673,16,FALSE)*$Q592</f>
        <v>68.34</v>
      </c>
      <c r="AC592" s="57" cm="1">
        <f t="array" ref="AC592">VLOOKUP(B592,'Player Data'!$A1:$AE673,17,FALSE)*$Q592*IFERROR((VLOOKUP(P592,Settings!$E$28:$F$33,2,FALSE)+1),1)</f>
        <v>0.67</v>
      </c>
      <c r="AD592" s="57" cm="1">
        <f t="array" ref="AD592">VLOOKUP(B592,'Player Data'!$A1:$AE673,18,FALSE)*$Q592</f>
        <v>16.75</v>
      </c>
      <c r="AE592" s="57" cm="1">
        <f t="array" ref="AE592">VLOOKUP(B592,'Player Data'!$A1:$AE673,19,FALSE)*$Q592*IFERROR((VLOOKUP(P592,Settings!$E$28:$F$33,2,FALSE)+1),1)</f>
        <v>2.0099999999999998</v>
      </c>
      <c r="AF592" s="57" cm="1">
        <f t="array" ref="AF592">VLOOKUP(B592,'Player Data'!$A1:$AE673,20,FALSE)*$Q592</f>
        <v>0</v>
      </c>
      <c r="AG592" s="57" cm="1">
        <f t="array" ref="AG592">VLOOKUP(B592,'Player Data'!$A1:$AE673,21,FALSE)*$Q592</f>
        <v>7.37</v>
      </c>
      <c r="AH592" s="59" cm="1">
        <f t="array" ref="AH592">VLOOKUP(B592,'Player Data'!$A1:$AE673,22,FALSE)</f>
        <v>0</v>
      </c>
      <c r="AI592" s="55"/>
      <c r="AJ592" s="57"/>
      <c r="AK592" s="57"/>
      <c r="AL592" s="57"/>
      <c r="AM592" s="57"/>
      <c r="AN592" s="57"/>
      <c r="AO592" s="57"/>
      <c r="AP592" s="57"/>
      <c r="AQ592" s="60"/>
      <c r="AR592" s="61"/>
      <c r="AS592" s="55"/>
    </row>
    <row r="593" spans="1:45" ht="21.25" customHeight="1" x14ac:dyDescent="0.15">
      <c r="A593" s="62">
        <f>RANK(K593,K$2:K$671)</f>
        <v>590</v>
      </c>
      <c r="B593" s="10" t="s">
        <v>794</v>
      </c>
      <c r="C593" s="47" t="s">
        <v>145</v>
      </c>
      <c r="D593" s="48" t="str" cm="1">
        <f t="array" ref="D593">VLOOKUP(B593,'Player Data'!A1:D673,4,FALSE)</f>
        <v>LW,RW</v>
      </c>
      <c r="E593" s="74" cm="1">
        <f t="array" ref="E593">VLOOKUP(B593,RW!A1:F210,3,FALSE)</f>
        <v>170</v>
      </c>
      <c r="F593" s="56" t="str" cm="1">
        <f t="array" ref="F593">VLOOKUP(B593,'Player Data'!A1:B673,2,FALSE)</f>
        <v>UTA</v>
      </c>
      <c r="G593" s="66" cm="1">
        <f t="array" ref="G593">VLOOKUP(B593,'Player Data'!A1:D673,3,FALSE)</f>
        <v>32</v>
      </c>
      <c r="H593" s="67" cm="1">
        <f t="array" ref="H593">IFERROR(VLOOKUP(B593,ADP!A1:F671,6,FALSE)/1000000,VLOOKUP(B593,ADP!A1:F671,6,FALSE))</f>
        <v>1</v>
      </c>
      <c r="I593" s="52">
        <f>IF(Settings!$E$15="POINTS",((R593*Q593)*Settings!$B$12)+(S593*Settings!$B$2)+(T593*Settings!$B$3)+(U593*Settings!$B$4)+(V593*Settings!$B$5)+(X593*Settings!$B$9)+(AA593*Settings!$B$6)+(W593*Settings!$B$8)+(AB593*Settings!$B$7)+(AC593*Settings!$B$14)+(AD593*Settings!$B$15)+(AE593*Settings!$B$16)+(AF593*Settings!$B$17)+(AG593*Settings!$B$18)+(Y593*Settings!$B$10)+(Z593*Settings!$B$11),VLOOKUP(B593,'Standard Deviations'!A$1:C$672,3,FALSE))</f>
        <v>-2.5185366996230396</v>
      </c>
      <c r="J593" s="53" cm="1">
        <f t="array" ref="J593">IF(D593="G",I593/AJ593,I593/Q593)</f>
        <v>-3.7037304406221168E-2</v>
      </c>
      <c r="K593" s="52" cm="1">
        <f t="array" ref="K593">IF(Settings!$E$18="C/LW/RW",VLOOKUP(B593,RW!A1:F210,6,FALSE),VLOOKUP(B593,F!A1:F407,6,FALSE))</f>
        <v>-9.405771301432118</v>
      </c>
      <c r="L593" s="54" cm="1">
        <f t="array" ref="L593">IFERROR(K593/H593,"N/A")</f>
        <v>-9.405771301432118</v>
      </c>
      <c r="M593" s="84" t="s">
        <v>828</v>
      </c>
      <c r="N593" s="84" t="str" cm="1">
        <f t="array" ref="N593">IFERROR(M593-A593,"N/A")</f>
        <v>N/A</v>
      </c>
      <c r="O593" s="55"/>
      <c r="P593" s="56" cm="1">
        <f t="array" ref="P593">_xlfn.XLOOKUP($B593,ADP!A2:A671,ADP!G2:G671)</f>
        <v>0</v>
      </c>
      <c r="Q593" s="57" cm="1">
        <f t="array" ref="Q593">IF(Settings!$E$12="YES",VLOOKUP(B593,'Player Data'!A1:E673,5,FALSE),84)</f>
        <v>68</v>
      </c>
      <c r="R593" s="55" cm="1">
        <f t="array" ref="R593">VLOOKUP(B593,'Player Data'!$A1:$AE673,6,FALSE)</f>
        <v>9.1</v>
      </c>
      <c r="S593" s="57" cm="1">
        <f t="array" ref="S593">VLOOKUP(B593,'Player Data'!$A1:$AE673,7,FALSE)*$Q593*IFERROR((VLOOKUP(P593,Settings!$E$28:$F$33,2,FALSE)+1),1)</f>
        <v>3.4000000000000004</v>
      </c>
      <c r="T593" s="57" cm="1">
        <f t="array" ref="T593">VLOOKUP(B593,'Player Data'!$A1:$AE673,8,FALSE)*$Q593*IFERROR((VLOOKUP(P593,Settings!$E$28:$F$33,2,FALSE)+1),1)</f>
        <v>3.4000000000000004</v>
      </c>
      <c r="U593" s="57" cm="1">
        <f t="array" ref="U593">SUM(S593:T593)</f>
        <v>6.8000000000000007</v>
      </c>
      <c r="V593" s="57" cm="1">
        <f t="array" ref="V593">VLOOKUP(B593,'Player Data'!$A1:$AE673,10,FALSE)*$Q593*IFERROR(((VLOOKUP(P593,Settings!$E$28:$F$33,2,FALSE)/2)+1),1)</f>
        <v>59.84</v>
      </c>
      <c r="W593" s="57" cm="1">
        <f t="array" ref="W593">VLOOKUP(B593,'Player Data'!$A1:$AE673,11,FALSE)*$Q593*IFERROR((VLOOKUP(P593,Settings!$E$28:$F$33,2,FALSE)+1),1)</f>
        <v>0</v>
      </c>
      <c r="X593" s="57" cm="1">
        <f t="array" ref="X593">VLOOKUP(B593,'Player Data'!$A1:$AE673,12,FALSE)*$Q593*IFERROR((VLOOKUP(P593,Settings!$E$28:$F$33,2,FALSE)+1),1)</f>
        <v>0</v>
      </c>
      <c r="Y593" s="57" cm="1">
        <f t="array" ref="Y593">VLOOKUP(B593,'Player Data'!$A1:$AE673,13,FALSE)*$Q593</f>
        <v>0</v>
      </c>
      <c r="Z593" s="57" cm="1">
        <f t="array" ref="Z593">VLOOKUP(B593,'Player Data'!$A1:$AE673,14,FALSE)*$Q593</f>
        <v>0</v>
      </c>
      <c r="AA593" s="57" cm="1">
        <f t="array" ref="AA593">VLOOKUP(B593,'Player Data'!$A1:$AE673,15,FALSE)*$Q593</f>
        <v>26.52</v>
      </c>
      <c r="AB593" s="57" cm="1">
        <f t="array" ref="AB593">VLOOKUP(B593,'Player Data'!$A1:$AE673,16,FALSE)*$Q593</f>
        <v>183.60000000000002</v>
      </c>
      <c r="AC593" s="57" cm="1">
        <f t="array" ref="AC593">VLOOKUP(B593,'Player Data'!$A1:$AE673,17,FALSE)*$Q593*IFERROR((VLOOKUP(P593,Settings!$E$28:$F$33,2,FALSE)+1),1)</f>
        <v>0</v>
      </c>
      <c r="AD593" s="57" cm="1">
        <f t="array" ref="AD593">VLOOKUP(B593,'Player Data'!$A1:$AE673,18,FALSE)*$Q593</f>
        <v>45.56</v>
      </c>
      <c r="AE593" s="57" cm="1">
        <f t="array" ref="AE593">VLOOKUP(B593,'Player Data'!$A1:$AE673,19,FALSE)*$Q593*IFERROR((VLOOKUP(P593,Settings!$E$28:$F$33,2,FALSE)+1),1)</f>
        <v>0.68</v>
      </c>
      <c r="AF593" s="57" cm="1">
        <f t="array" ref="AF593">VLOOKUP(B593,'Player Data'!$A1:$AE673,20,FALSE)*$Q593</f>
        <v>6.8000000000000007</v>
      </c>
      <c r="AG593" s="57" cm="1">
        <f t="array" ref="AG593">VLOOKUP(B593,'Player Data'!$A1:$AE673,21,FALSE)*$Q593</f>
        <v>10.88</v>
      </c>
      <c r="AH593" s="59" cm="1">
        <f t="array" ref="AH593">VLOOKUP(B593,'Player Data'!$A1:$AE673,22,FALSE)</f>
        <v>0.38</v>
      </c>
      <c r="AI593" s="55"/>
      <c r="AJ593" s="57"/>
      <c r="AK593" s="57"/>
      <c r="AL593" s="57"/>
      <c r="AM593" s="57"/>
      <c r="AN593" s="57"/>
      <c r="AO593" s="57"/>
      <c r="AP593" s="57"/>
      <c r="AQ593" s="60"/>
      <c r="AR593" s="61"/>
      <c r="AS593" s="55"/>
    </row>
    <row r="594" spans="1:45" ht="21.25" customHeight="1" x14ac:dyDescent="0.15">
      <c r="A594" s="62">
        <f>RANK(K594,K$2:K$671)</f>
        <v>593</v>
      </c>
      <c r="B594" s="10" t="s">
        <v>773</v>
      </c>
      <c r="C594" s="47" t="s">
        <v>145</v>
      </c>
      <c r="D594" s="48" t="str" cm="1">
        <f t="array" ref="D594">VLOOKUP(B594,'Player Data'!A1:D673,4,FALSE)</f>
        <v>C</v>
      </c>
      <c r="E594" s="49" cm="1">
        <f t="array" ref="E594">VLOOKUP(B594,'C'!A1:C210,3,FALSE)</f>
        <v>179</v>
      </c>
      <c r="F594" s="56" t="str" cm="1">
        <f t="array" ref="F594">VLOOKUP(B594,'Player Data'!A1:B673,2,FALSE)</f>
        <v>NYR</v>
      </c>
      <c r="G594" s="11" cm="1">
        <f t="array" ref="G594">VLOOKUP(B594,'Player Data'!A1:D673,3,FALSE)</f>
        <v>26</v>
      </c>
      <c r="H594" s="67" cm="1">
        <f t="array" ref="H594">IFERROR(VLOOKUP(B594,ADP!A1:F671,6,FALSE)/1000000,VLOOKUP(B594,ADP!A1:F671,6,FALSE))</f>
        <v>1.2</v>
      </c>
      <c r="I594" s="52">
        <f>IF(Settings!$E$15="POINTS",((R594*Q594)*Settings!$B$12)+(S594*Settings!$B$2)+(T594*Settings!$B$3)+(U594*Settings!$B$4)+(V594*Settings!$B$5)+(X594*Settings!$B$9)+(AA594*Settings!$B$6)+(W594*Settings!$B$8)+(AB594*Settings!$B$7)+(AC594*Settings!$B$14)+(AD594*Settings!$B$15)+(AE594*Settings!$B$16)+(AF594*Settings!$B$17)+(AG594*Settings!$B$18)+(Y594*Settings!$B$10)+(Z594*Settings!$B$11),VLOOKUP(B594,'Standard Deviations'!A$1:C$672,3,FALSE))</f>
        <v>-3.1371640795047884</v>
      </c>
      <c r="J594" s="53" cm="1">
        <f t="array" ref="J594">IF(D594="G",I594/AJ594,I594/Q594)</f>
        <v>-3.9710937715250486E-2</v>
      </c>
      <c r="K594" s="52" cm="1">
        <f t="array" ref="K594">IF(Settings!$E$18="C/LW/RW",VLOOKUP(B594,'C'!A1:F210,6,FALSE),VLOOKUP(B594,F!A1:F407,6,FALSE))</f>
        <v>-9.4971736371198521</v>
      </c>
      <c r="L594" s="54" cm="1">
        <f t="array" ref="L594">IFERROR(K594/H594,"N/A")</f>
        <v>-7.9143113642665437</v>
      </c>
      <c r="M594" s="84" t="s">
        <v>828</v>
      </c>
      <c r="N594" s="84" t="str" cm="1">
        <f t="array" ref="N594">IFERROR(M594-A594,"N/A")</f>
        <v>N/A</v>
      </c>
      <c r="O594" s="55"/>
      <c r="P594" s="56" cm="1">
        <f t="array" ref="P594">_xlfn.XLOOKUP($B594,ADP!A2:A671,ADP!G2:G671)</f>
        <v>0</v>
      </c>
      <c r="Q594" s="57" cm="1">
        <f t="array" ref="Q594">IF(Settings!$E$12="YES",VLOOKUP(B594,'Player Data'!A1:E673,5,FALSE),84)</f>
        <v>79</v>
      </c>
      <c r="R594" s="83" cm="1">
        <f t="array" ref="R594">VLOOKUP(B594,'Player Data'!$A1:$AE673,6,FALSE)</f>
        <v>10.6</v>
      </c>
      <c r="S594" s="57" cm="1">
        <f t="array" ref="S594">VLOOKUP(B594,'Player Data'!$A1:$AE673,7,FALSE)*$Q594*IFERROR((VLOOKUP(P594,Settings!$E$28:$F$33,2,FALSE)+1),1)</f>
        <v>5.53</v>
      </c>
      <c r="T594" s="57" cm="1">
        <f t="array" ref="T594">VLOOKUP(B594,'Player Data'!$A1:$AE673,8,FALSE)*$Q594*IFERROR((VLOOKUP(P594,Settings!$E$28:$F$33,2,FALSE)+1),1)</f>
        <v>7.1099999999999994</v>
      </c>
      <c r="U594" s="57" cm="1">
        <f t="array" ref="U594">SUM(S594:T594)</f>
        <v>12.64</v>
      </c>
      <c r="V594" s="57" cm="1">
        <f t="array" ref="V594">VLOOKUP(B594,'Player Data'!$A1:$AE673,10,FALSE)*$Q594*IFERROR(((VLOOKUP(P594,Settings!$E$28:$F$33,2,FALSE)/2)+1),1)</f>
        <v>62.410000000000004</v>
      </c>
      <c r="W594" s="57" cm="1">
        <f t="array" ref="W594">VLOOKUP(B594,'Player Data'!$A1:$AE673,11,FALSE)*$Q594*IFERROR((VLOOKUP(P594,Settings!$E$28:$F$33,2,FALSE)+1),1)</f>
        <v>0</v>
      </c>
      <c r="X594" s="57" cm="1">
        <f t="array" ref="X594">VLOOKUP(B594,'Player Data'!$A1:$AE673,12,FALSE)*$Q594*IFERROR((VLOOKUP(P594,Settings!$E$28:$F$33,2,FALSE)+1),1)</f>
        <v>0</v>
      </c>
      <c r="Y594" s="57" cm="1">
        <f t="array" ref="Y594">VLOOKUP(B594,'Player Data'!$A1:$AE673,13,FALSE)*$Q594</f>
        <v>0</v>
      </c>
      <c r="Z594" s="57" cm="1">
        <f t="array" ref="Z594">VLOOKUP(B594,'Player Data'!$A1:$AE673,14,FALSE)*$Q594</f>
        <v>0</v>
      </c>
      <c r="AA594" s="57" cm="1">
        <f t="array" ref="AA594">VLOOKUP(B594,'Player Data'!$A1:$AE673,15,FALSE)*$Q594</f>
        <v>37.129999999999995</v>
      </c>
      <c r="AB594" s="57" cm="1">
        <f t="array" ref="AB594">VLOOKUP(B594,'Player Data'!$A1:$AE673,16,FALSE)*$Q594</f>
        <v>153.26</v>
      </c>
      <c r="AC594" s="57" cm="1">
        <f t="array" ref="AC594">VLOOKUP(B594,'Player Data'!$A1:$AE673,17,FALSE)*$Q594*IFERROR((VLOOKUP(P594,Settings!$E$28:$F$33,2,FALSE)+1),1)</f>
        <v>-2.37</v>
      </c>
      <c r="AD594" s="57" cm="1">
        <f t="array" ref="AD594">VLOOKUP(B594,'Player Data'!$A1:$AE673,18,FALSE)*$Q594</f>
        <v>18.96</v>
      </c>
      <c r="AE594" s="57" cm="1">
        <f t="array" ref="AE594">VLOOKUP(B594,'Player Data'!$A1:$AE673,19,FALSE)*$Q594*IFERROR((VLOOKUP(P594,Settings!$E$28:$F$33,2,FALSE)+1),1)</f>
        <v>0.79</v>
      </c>
      <c r="AF594" s="57" cm="1">
        <f t="array" ref="AF594">VLOOKUP(B594,'Player Data'!$A1:$AE673,20,FALSE)*$Q594</f>
        <v>189.6</v>
      </c>
      <c r="AG594" s="57" cm="1">
        <f t="array" ref="AG594">VLOOKUP(B594,'Player Data'!$A1:$AE673,21,FALSE)*$Q594</f>
        <v>195.92</v>
      </c>
      <c r="AH594" s="59" cm="1">
        <f t="array" ref="AH594">VLOOKUP(B594,'Player Data'!$A1:$AE673,22,FALSE)</f>
        <v>0.49</v>
      </c>
      <c r="AI594" s="55"/>
      <c r="AJ594" s="57"/>
      <c r="AK594" s="57"/>
      <c r="AL594" s="57"/>
      <c r="AM594" s="57"/>
      <c r="AN594" s="57"/>
      <c r="AO594" s="57"/>
      <c r="AP594" s="57"/>
      <c r="AQ594" s="60"/>
      <c r="AR594" s="61"/>
      <c r="AS594" s="55"/>
    </row>
    <row r="595" spans="1:45" ht="21.25" customHeight="1" x14ac:dyDescent="0.15">
      <c r="A595" s="62">
        <f>RANK(K595,K$2:K$671)</f>
        <v>594</v>
      </c>
      <c r="B595" s="10" t="s">
        <v>764</v>
      </c>
      <c r="C595" s="47" t="s">
        <v>145</v>
      </c>
      <c r="D595" s="48" t="str" cm="1">
        <f t="array" ref="D595">VLOOKUP(B595,'Player Data'!A1:D673,4,FALSE)</f>
        <v>C</v>
      </c>
      <c r="E595" s="49" cm="1">
        <f t="array" ref="E595">VLOOKUP(B595,'C'!A1:C210,3,FALSE)</f>
        <v>180</v>
      </c>
      <c r="F595" s="63" t="str" cm="1">
        <f t="array" ref="F595">VLOOKUP(B595,'Player Data'!A1:B673,2,FALSE)</f>
        <v>EDM</v>
      </c>
      <c r="G595" s="71" cm="1">
        <f t="array" ref="G595">VLOOKUP(B595,'Player Data'!A1:D673,3,FALSE)</f>
        <v>24</v>
      </c>
      <c r="H595" s="67" cm="1">
        <f t="array" ref="H595">IFERROR(VLOOKUP(B595,ADP!A1:F671,6,FALSE)/1000000,VLOOKUP(B595,ADP!A1:F671,6,FALSE))</f>
        <v>0.97499999999999998</v>
      </c>
      <c r="I595" s="52">
        <f>IF(Settings!$E$15="POINTS",((R595*Q595)*Settings!$B$12)+(S595*Settings!$B$2)+(T595*Settings!$B$3)+(U595*Settings!$B$4)+(V595*Settings!$B$5)+(X595*Settings!$B$9)+(AA595*Settings!$B$6)+(W595*Settings!$B$8)+(AB595*Settings!$B$7)+(AC595*Settings!$B$14)+(AD595*Settings!$B$15)+(AE595*Settings!$B$16)+(AF595*Settings!$B$17)+(AG595*Settings!$B$18)+(Y595*Settings!$B$10)+(Z595*Settings!$B$11),VLOOKUP(B595,'Standard Deviations'!A$1:C$672,3,FALSE))</f>
        <v>-3.1544924011314275</v>
      </c>
      <c r="J595" s="53" cm="1">
        <f t="array" ref="J595">IF(D595="G",I595/AJ595,I595/Q595)</f>
        <v>-5.2574873352190458E-2</v>
      </c>
      <c r="K595" s="52" cm="1">
        <f t="array" ref="K595">IF(Settings!$E$18="C/LW/RW",VLOOKUP(B595,'C'!A1:F210,6,FALSE),VLOOKUP(B595,F!A1:F407,6,FALSE))</f>
        <v>-9.5145019587464912</v>
      </c>
      <c r="L595" s="54" cm="1">
        <f t="array" ref="L595">IFERROR(K595/H595,"N/A")</f>
        <v>-9.7584635474322994</v>
      </c>
      <c r="M595" s="84" t="s">
        <v>828</v>
      </c>
      <c r="N595" s="84" t="str" cm="1">
        <f t="array" ref="N595">IFERROR(M595-A595,"N/A")</f>
        <v>N/A</v>
      </c>
      <c r="O595" s="55"/>
      <c r="P595" s="56" cm="1">
        <f t="array" ref="P595">_xlfn.XLOOKUP($B595,ADP!A2:A671,ADP!G2:G671)</f>
        <v>0</v>
      </c>
      <c r="Q595" s="57" cm="1">
        <f t="array" ref="Q595">IF(Settings!$E$12="YES",VLOOKUP(B595,'Player Data'!A1:E673,5,FALSE),84)</f>
        <v>60</v>
      </c>
      <c r="R595" s="81" cm="1">
        <f t="array" ref="R595">VLOOKUP(B595,'Player Data'!$A1:$AE673,6,FALSE)</f>
        <v>12.5</v>
      </c>
      <c r="S595" s="57" cm="1">
        <f t="array" ref="S595">VLOOKUP(B595,'Player Data'!$A1:$AE673,7,FALSE)*$Q595*IFERROR((VLOOKUP(P595,Settings!$E$28:$F$33,2,FALSE)+1),1)</f>
        <v>7.8000000000000007</v>
      </c>
      <c r="T595" s="57" cm="1">
        <f t="array" ref="T595">VLOOKUP(B595,'Player Data'!$A1:$AE673,8,FALSE)*$Q595*IFERROR((VLOOKUP(P595,Settings!$E$28:$F$33,2,FALSE)+1),1)</f>
        <v>9.6</v>
      </c>
      <c r="U595" s="57" cm="1">
        <f t="array" ref="U595">SUM(S595:T595)</f>
        <v>17.399999999999999</v>
      </c>
      <c r="V595" s="57" cm="1">
        <f t="array" ref="V595">VLOOKUP(B595,'Player Data'!$A1:$AE673,10,FALSE)*$Q595*IFERROR(((VLOOKUP(P595,Settings!$E$28:$F$33,2,FALSE)/2)+1),1)</f>
        <v>49.199999999999996</v>
      </c>
      <c r="W595" s="57" cm="1">
        <f t="array" ref="W595">VLOOKUP(B595,'Player Data'!$A1:$AE673,11,FALSE)*$Q595*IFERROR((VLOOKUP(P595,Settings!$E$28:$F$33,2,FALSE)+1),1)</f>
        <v>0</v>
      </c>
      <c r="X595" s="57" cm="1">
        <f t="array" ref="X595">VLOOKUP(B595,'Player Data'!$A1:$AE673,12,FALSE)*$Q595*IFERROR((VLOOKUP(P595,Settings!$E$28:$F$33,2,FALSE)+1),1)</f>
        <v>0</v>
      </c>
      <c r="Y595" s="57" cm="1">
        <f t="array" ref="Y595">VLOOKUP(B595,'Player Data'!$A1:$AE673,13,FALSE)*$Q595</f>
        <v>0</v>
      </c>
      <c r="Z595" s="57" cm="1">
        <f t="array" ref="Z595">VLOOKUP(B595,'Player Data'!$A1:$AE673,14,FALSE)*$Q595</f>
        <v>0</v>
      </c>
      <c r="AA595" s="57" cm="1">
        <f t="array" ref="AA595">VLOOKUP(B595,'Player Data'!$A1:$AE673,15,FALSE)*$Q595</f>
        <v>35.4</v>
      </c>
      <c r="AB595" s="57" cm="1">
        <f t="array" ref="AB595">VLOOKUP(B595,'Player Data'!$A1:$AE673,16,FALSE)*$Q595</f>
        <v>74.400000000000006</v>
      </c>
      <c r="AC595" s="57" cm="1">
        <f t="array" ref="AC595">VLOOKUP(B595,'Player Data'!$A1:$AE673,17,FALSE)*$Q595*IFERROR((VLOOKUP(P595,Settings!$E$28:$F$33,2,FALSE)+1),1)</f>
        <v>4.2</v>
      </c>
      <c r="AD595" s="57" cm="1">
        <f t="array" ref="AD595">VLOOKUP(B595,'Player Data'!$A1:$AE673,18,FALSE)*$Q595</f>
        <v>18.600000000000001</v>
      </c>
      <c r="AE595" s="57" cm="1">
        <f t="array" ref="AE595">VLOOKUP(B595,'Player Data'!$A1:$AE673,19,FALSE)*$Q595*IFERROR((VLOOKUP(P595,Settings!$E$28:$F$33,2,FALSE)+1),1)</f>
        <v>1.2</v>
      </c>
      <c r="AF595" s="57" cm="1">
        <f t="array" ref="AF595">VLOOKUP(B595,'Player Data'!$A1:$AE673,20,FALSE)*$Q595</f>
        <v>159.60000000000002</v>
      </c>
      <c r="AG595" s="57" cm="1">
        <f t="array" ref="AG595">VLOOKUP(B595,'Player Data'!$A1:$AE673,21,FALSE)*$Q595</f>
        <v>171.6</v>
      </c>
      <c r="AH595" s="59" cm="1">
        <f t="array" ref="AH595">VLOOKUP(B595,'Player Data'!$A1:$AE673,22,FALSE)</f>
        <v>0.48</v>
      </c>
      <c r="AI595" s="55"/>
      <c r="AJ595" s="57"/>
      <c r="AK595" s="57"/>
      <c r="AL595" s="57"/>
      <c r="AM595" s="57"/>
      <c r="AN595" s="57"/>
      <c r="AO595" s="57"/>
      <c r="AP595" s="57"/>
      <c r="AQ595" s="60"/>
      <c r="AR595" s="61"/>
      <c r="AS595" s="55"/>
    </row>
    <row r="596" spans="1:45" ht="21.25" customHeight="1" x14ac:dyDescent="0.15">
      <c r="A596" s="62">
        <f>RANK(K596,K$2:K$671)</f>
        <v>596</v>
      </c>
      <c r="B596" s="10" t="s">
        <v>706</v>
      </c>
      <c r="C596" s="47" t="s">
        <v>145</v>
      </c>
      <c r="D596" s="48" t="str" cm="1">
        <f t="array" ref="D596">VLOOKUP(B596,'Player Data'!A1:D673,4,FALSE)</f>
        <v>LW</v>
      </c>
      <c r="E596" s="75" cm="1">
        <f t="array" ref="E596">VLOOKUP(B596,LW!A1:C210,3,FALSE)</f>
        <v>171</v>
      </c>
      <c r="F596" s="65" t="str" cm="1">
        <f t="array" ref="F596">VLOOKUP(B596,'Player Data'!A1:B673,2,FALSE)</f>
        <v>NSH</v>
      </c>
      <c r="G596" s="11" cm="1">
        <f t="array" ref="G596">VLOOKUP(B596,'Player Data'!A1:D673,3,FALSE)</f>
        <v>25</v>
      </c>
      <c r="H596" s="51" cm="1">
        <f t="array" ref="H596">IFERROR(VLOOKUP(B596,ADP!A1:F671,6,FALSE)/1000000,VLOOKUP(B596,ADP!A1:F671,6,FALSE))</f>
        <v>3</v>
      </c>
      <c r="I596" s="52">
        <f>IF(Settings!$E$15="POINTS",((R596*Q596)*Settings!$B$12)+(S596*Settings!$B$2)+(T596*Settings!$B$3)+(U596*Settings!$B$4)+(V596*Settings!$B$5)+(X596*Settings!$B$9)+(AA596*Settings!$B$6)+(W596*Settings!$B$8)+(AB596*Settings!$B$7)+(AC596*Settings!$B$14)+(AD596*Settings!$B$15)+(AE596*Settings!$B$16)+(AF596*Settings!$B$17)+(AG596*Settings!$B$18)+(Y596*Settings!$B$10)+(Z596*Settings!$B$11),VLOOKUP(B596,'Standard Deviations'!A$1:C$672,3,FALSE))</f>
        <v>-2.6535354085982439</v>
      </c>
      <c r="J596" s="53" cm="1">
        <f t="array" ref="J596">IF(D596="G",I596/AJ596,I596/Q596)</f>
        <v>-3.5380472114643249E-2</v>
      </c>
      <c r="K596" s="52" cm="1">
        <f t="array" ref="K596">IF(Settings!$E$18="C/LW/RW",VLOOKUP(B596,LW!A1:F210,6,FALSE),VLOOKUP(B596,F!A1:F407,6,FALSE))</f>
        <v>-9.5479210529880536</v>
      </c>
      <c r="L596" s="54" cm="1">
        <f t="array" ref="L596">IFERROR(K596/H596,"N/A")</f>
        <v>-3.1826403509960177</v>
      </c>
      <c r="M596" s="84" t="s">
        <v>828</v>
      </c>
      <c r="N596" s="84" t="str" cm="1">
        <f t="array" ref="N596">IFERROR(M596-A596,"N/A")</f>
        <v>N/A</v>
      </c>
      <c r="O596" s="55"/>
      <c r="P596" s="56" cm="1">
        <f t="array" ref="P596">_xlfn.XLOOKUP($B596,ADP!A2:A671,ADP!G2:G671)</f>
        <v>0</v>
      </c>
      <c r="Q596" s="57" cm="1">
        <f t="array" ref="Q596">IF(Settings!$E$12="YES",VLOOKUP(B596,'Player Data'!A1:E673,5,FALSE),84)</f>
        <v>75</v>
      </c>
      <c r="R596" s="81" cm="1">
        <f t="array" ref="R596">VLOOKUP(B596,'Player Data'!$A1:$AE673,6,FALSE)</f>
        <v>12.6</v>
      </c>
      <c r="S596" s="57" cm="1">
        <f t="array" ref="S596">VLOOKUP(B596,'Player Data'!$A1:$AE673,7,FALSE)*$Q596*IFERROR((VLOOKUP(P596,Settings!$E$28:$F$33,2,FALSE)+1),1)</f>
        <v>10.500000000000002</v>
      </c>
      <c r="T596" s="57" cm="1">
        <f t="array" ref="T596">VLOOKUP(B596,'Player Data'!$A1:$AE673,8,FALSE)*$Q596*IFERROR((VLOOKUP(P596,Settings!$E$28:$F$33,2,FALSE)+1),1)</f>
        <v>12</v>
      </c>
      <c r="U596" s="57" cm="1">
        <f t="array" ref="U596">SUM(S596:T596)</f>
        <v>22.5</v>
      </c>
      <c r="V596" s="57" cm="1">
        <f t="array" ref="V596">VLOOKUP(B596,'Player Data'!$A1:$AE673,10,FALSE)*$Q596*IFERROR(((VLOOKUP(P596,Settings!$E$28:$F$33,2,FALSE)/2)+1),1)</f>
        <v>83.250000000000014</v>
      </c>
      <c r="W596" s="57" cm="1">
        <f t="array" ref="W596">VLOOKUP(B596,'Player Data'!$A1:$AE673,11,FALSE)*$Q596*IFERROR((VLOOKUP(P596,Settings!$E$28:$F$33,2,FALSE)+1),1)</f>
        <v>0</v>
      </c>
      <c r="X596" s="57" cm="1">
        <f t="array" ref="X596">VLOOKUP(B596,'Player Data'!$A1:$AE673,12,FALSE)*$Q596*IFERROR((VLOOKUP(P596,Settings!$E$28:$F$33,2,FALSE)+1),1)</f>
        <v>0.75</v>
      </c>
      <c r="Y596" s="57" cm="1">
        <f t="array" ref="Y596">VLOOKUP(B596,'Player Data'!$A1:$AE673,13,FALSE)*$Q596</f>
        <v>0</v>
      </c>
      <c r="Z596" s="57" cm="1">
        <f t="array" ref="Z596">VLOOKUP(B596,'Player Data'!$A1:$AE673,14,FALSE)*$Q596</f>
        <v>0</v>
      </c>
      <c r="AA596" s="57" cm="1">
        <f t="array" ref="AA596">VLOOKUP(B596,'Player Data'!$A1:$AE673,15,FALSE)*$Q596</f>
        <v>22.5</v>
      </c>
      <c r="AB596" s="57" cm="1">
        <f t="array" ref="AB596">VLOOKUP(B596,'Player Data'!$A1:$AE673,16,FALSE)*$Q596</f>
        <v>97.5</v>
      </c>
      <c r="AC596" s="57" cm="1">
        <f t="array" ref="AC596">VLOOKUP(B596,'Player Data'!$A1:$AE673,17,FALSE)*$Q596*IFERROR((VLOOKUP(P596,Settings!$E$28:$F$33,2,FALSE)+1),1)</f>
        <v>-0.75</v>
      </c>
      <c r="AD596" s="57" cm="1">
        <f t="array" ref="AD596">VLOOKUP(B596,'Player Data'!$A1:$AE673,18,FALSE)*$Q596</f>
        <v>28.5</v>
      </c>
      <c r="AE596" s="57" cm="1">
        <f t="array" ref="AE596">VLOOKUP(B596,'Player Data'!$A1:$AE673,19,FALSE)*$Q596*IFERROR((VLOOKUP(P596,Settings!$E$28:$F$33,2,FALSE)+1),1)</f>
        <v>1.5</v>
      </c>
      <c r="AF596" s="57" cm="1">
        <f t="array" ref="AF596">VLOOKUP(B596,'Player Data'!$A1:$AE673,20,FALSE)*$Q596</f>
        <v>0</v>
      </c>
      <c r="AG596" s="57" cm="1">
        <f t="array" ref="AG596">VLOOKUP(B596,'Player Data'!$A1:$AE673,21,FALSE)*$Q596</f>
        <v>0.75</v>
      </c>
      <c r="AH596" s="59" cm="1">
        <f t="array" ref="AH596">VLOOKUP(B596,'Player Data'!$A1:$AE673,22,FALSE)</f>
        <v>0.25</v>
      </c>
      <c r="AI596" s="55"/>
      <c r="AJ596" s="57"/>
      <c r="AK596" s="57"/>
      <c r="AL596" s="57"/>
      <c r="AM596" s="57"/>
      <c r="AN596" s="57"/>
      <c r="AO596" s="57"/>
      <c r="AP596" s="57"/>
      <c r="AQ596" s="60"/>
      <c r="AR596" s="61"/>
      <c r="AS596" s="55"/>
    </row>
    <row r="597" spans="1:45" ht="21.25" customHeight="1" x14ac:dyDescent="0.15">
      <c r="A597" s="62">
        <f>RANK(K597,K$2:K$671)</f>
        <v>595</v>
      </c>
      <c r="B597" s="10" t="s">
        <v>716</v>
      </c>
      <c r="C597" s="47" t="s">
        <v>145</v>
      </c>
      <c r="D597" s="48" t="str" cm="1">
        <f t="array" ref="D597">VLOOKUP(B597,'Player Data'!A1:D673,4,FALSE)</f>
        <v>C,RW</v>
      </c>
      <c r="E597" s="74" cm="1">
        <f t="array" ref="E597">VLOOKUP(B597,RW!A1:F210,3,FALSE)</f>
        <v>171</v>
      </c>
      <c r="F597" s="69" t="str" cm="1">
        <f t="array" ref="F597">VLOOKUP(B597,'Player Data'!A1:B673,2,FALSE)</f>
        <v>TOR</v>
      </c>
      <c r="G597" s="66" cm="1">
        <f t="array" ref="G597">VLOOKUP(B597,'Player Data'!A1:D673,3,FALSE)</f>
        <v>32</v>
      </c>
      <c r="H597" s="51" cm="1">
        <f t="array" ref="H597">IFERROR(VLOOKUP(B597,ADP!A1:F671,6,FALSE)/1000000,VLOOKUP(B597,ADP!A1:F671,6,FALSE))</f>
        <v>4.25</v>
      </c>
      <c r="I597" s="52">
        <f>IF(Settings!$E$15="POINTS",((R597*Q597)*Settings!$B$12)+(S597*Settings!$B$2)+(T597*Settings!$B$3)+(U597*Settings!$B$4)+(V597*Settings!$B$5)+(X597*Settings!$B$9)+(AA597*Settings!$B$6)+(W597*Settings!$B$8)+(AB597*Settings!$B$7)+(AC597*Settings!$B$14)+(AD597*Settings!$B$15)+(AE597*Settings!$B$16)+(AF597*Settings!$B$17)+(AG597*Settings!$B$18)+(Y597*Settings!$B$10)+(Z597*Settings!$B$11),VLOOKUP(B597,'Standard Deviations'!A$1:C$672,3,FALSE))</f>
        <v>-2.6295194922595329</v>
      </c>
      <c r="J597" s="53" cm="1">
        <f t="array" ref="J597">IF(D597="G",I597/AJ597,I597/Q597)</f>
        <v>-3.2868993653244159E-2</v>
      </c>
      <c r="K597" s="52" cm="1">
        <f t="array" ref="K597">IF(Settings!$E$18="C/LW/RW",VLOOKUP(B597,RW!A1:F210,6,FALSE),VLOOKUP(B597,F!A1:F407,6,FALSE))</f>
        <v>-9.5167540940686095</v>
      </c>
      <c r="L597" s="54" cm="1">
        <f t="array" ref="L597">IFERROR(K597/H597,"N/A")</f>
        <v>-2.2392362574279083</v>
      </c>
      <c r="M597" s="84" t="s">
        <v>828</v>
      </c>
      <c r="N597" s="84" t="str" cm="1">
        <f t="array" ref="N597">IFERROR(M597-A597,"N/A")</f>
        <v>N/A</v>
      </c>
      <c r="O597" s="55"/>
      <c r="P597" s="56" cm="1">
        <f t="array" ref="P597">_xlfn.XLOOKUP($B597,ADP!A2:A671,ADP!G2:G671)</f>
        <v>0</v>
      </c>
      <c r="Q597" s="57" cm="1">
        <f t="array" ref="Q597">IF(Settings!$E$12="YES",VLOOKUP(B597,'Player Data'!A1:E673,5,FALSE),84)</f>
        <v>80</v>
      </c>
      <c r="R597" s="55" cm="1">
        <f t="array" ref="R597">VLOOKUP(B597,'Player Data'!$A1:$AE673,6,FALSE)</f>
        <v>12.9</v>
      </c>
      <c r="S597" s="57" cm="1">
        <f t="array" ref="S597">VLOOKUP(B597,'Player Data'!$A1:$AE673,7,FALSE)*$Q597*IFERROR((VLOOKUP(P597,Settings!$E$28:$F$33,2,FALSE)+1),1)</f>
        <v>7.1999999999999993</v>
      </c>
      <c r="T597" s="57" cm="1">
        <f t="array" ref="T597">VLOOKUP(B597,'Player Data'!$A1:$AE673,8,FALSE)*$Q597*IFERROR((VLOOKUP(P597,Settings!$E$28:$F$33,2,FALSE)+1),1)</f>
        <v>9.6</v>
      </c>
      <c r="U597" s="57" cm="1">
        <f t="array" ref="U597">SUM(S597:T597)</f>
        <v>16.799999999999997</v>
      </c>
      <c r="V597" s="57" cm="1">
        <f t="array" ref="V597">VLOOKUP(B597,'Player Data'!$A1:$AE673,10,FALSE)*$Q597*IFERROR(((VLOOKUP(P597,Settings!$E$28:$F$33,2,FALSE)/2)+1),1)</f>
        <v>91.199999999999989</v>
      </c>
      <c r="W597" s="57" cm="1">
        <f t="array" ref="W597">VLOOKUP(B597,'Player Data'!$A1:$AE673,11,FALSE)*$Q597*IFERROR((VLOOKUP(P597,Settings!$E$28:$F$33,2,FALSE)+1),1)</f>
        <v>0</v>
      </c>
      <c r="X597" s="57" cm="1">
        <f t="array" ref="X597">VLOOKUP(B597,'Player Data'!$A1:$AE673,12,FALSE)*$Q597*IFERROR((VLOOKUP(P597,Settings!$E$28:$F$33,2,FALSE)+1),1)</f>
        <v>0</v>
      </c>
      <c r="Y597" s="57" cm="1">
        <f t="array" ref="Y597">VLOOKUP(B597,'Player Data'!$A1:$AE673,13,FALSE)*$Q597</f>
        <v>0.8</v>
      </c>
      <c r="Z597" s="57" cm="1">
        <f t="array" ref="Z597">VLOOKUP(B597,'Player Data'!$A1:$AE673,14,FALSE)*$Q597</f>
        <v>0.8</v>
      </c>
      <c r="AA597" s="57" cm="1">
        <f t="array" ref="AA597">VLOOKUP(B597,'Player Data'!$A1:$AE673,15,FALSE)*$Q597</f>
        <v>59.2</v>
      </c>
      <c r="AB597" s="57" cm="1">
        <f t="array" ref="AB597">VLOOKUP(B597,'Player Data'!$A1:$AE673,16,FALSE)*$Q597</f>
        <v>112</v>
      </c>
      <c r="AC597" s="57" cm="1">
        <f t="array" ref="AC597">VLOOKUP(B597,'Player Data'!$A1:$AE673,17,FALSE)*$Q597*IFERROR((VLOOKUP(P597,Settings!$E$28:$F$33,2,FALSE)+1),1)</f>
        <v>0</v>
      </c>
      <c r="AD597" s="57" cm="1">
        <f t="array" ref="AD597">VLOOKUP(B597,'Player Data'!$A1:$AE673,18,FALSE)*$Q597</f>
        <v>28</v>
      </c>
      <c r="AE597" s="57" cm="1">
        <f t="array" ref="AE597">VLOOKUP(B597,'Player Data'!$A1:$AE673,19,FALSE)*$Q597*IFERROR((VLOOKUP(P597,Settings!$E$28:$F$33,2,FALSE)+1),1)</f>
        <v>0.8</v>
      </c>
      <c r="AF597" s="57" cm="1">
        <f t="array" ref="AF597">VLOOKUP(B597,'Player Data'!$A1:$AE673,20,FALSE)*$Q597</f>
        <v>422.40000000000003</v>
      </c>
      <c r="AG597" s="57" cm="1">
        <f t="array" ref="AG597">VLOOKUP(B597,'Player Data'!$A1:$AE673,21,FALSE)*$Q597</f>
        <v>349.6</v>
      </c>
      <c r="AH597" s="59" cm="1">
        <f t="array" ref="AH597">VLOOKUP(B597,'Player Data'!$A1:$AE673,22,FALSE)</f>
        <v>0.55000000000000004</v>
      </c>
      <c r="AI597" s="55"/>
      <c r="AJ597" s="57"/>
      <c r="AK597" s="57"/>
      <c r="AL597" s="57"/>
      <c r="AM597" s="57"/>
      <c r="AN597" s="57"/>
      <c r="AO597" s="57"/>
      <c r="AP597" s="57"/>
      <c r="AQ597" s="60"/>
      <c r="AR597" s="61"/>
      <c r="AS597" s="55"/>
    </row>
    <row r="598" spans="1:45" ht="21.25" customHeight="1" x14ac:dyDescent="0.15">
      <c r="A598" s="62">
        <f>RANK(K598,K$2:K$671)</f>
        <v>597</v>
      </c>
      <c r="B598" s="10" t="s">
        <v>771</v>
      </c>
      <c r="C598" s="47" t="s">
        <v>145</v>
      </c>
      <c r="D598" s="48" t="str" cm="1">
        <f t="array" ref="D598">VLOOKUP(B598,'Player Data'!A1:D673,4,FALSE)</f>
        <v>C</v>
      </c>
      <c r="E598" s="49" cm="1">
        <f t="array" ref="E598">VLOOKUP(B598,'C'!A1:C210,3,FALSE)</f>
        <v>181</v>
      </c>
      <c r="F598" s="70" t="str" cm="1">
        <f t="array" ref="F598">VLOOKUP(B598,'Player Data'!A1:B673,2,FALSE)</f>
        <v>MIN</v>
      </c>
      <c r="G598" s="66" cm="1">
        <f t="array" ref="G598">VLOOKUP(B598,'Player Data'!A1:D673,3,FALSE)</f>
        <v>31</v>
      </c>
      <c r="H598" s="67" cm="1">
        <f t="array" ref="H598">IFERROR(VLOOKUP(B598,ADP!A1:F671,6,FALSE)/1000000,VLOOKUP(B598,ADP!A1:F671,6,FALSE))</f>
        <v>2</v>
      </c>
      <c r="I598" s="52">
        <f>IF(Settings!$E$15="POINTS",((R598*Q598)*Settings!$B$12)+(S598*Settings!$B$2)+(T598*Settings!$B$3)+(U598*Settings!$B$4)+(V598*Settings!$B$5)+(X598*Settings!$B$9)+(AA598*Settings!$B$6)+(W598*Settings!$B$8)+(AB598*Settings!$B$7)+(AC598*Settings!$B$14)+(AD598*Settings!$B$15)+(AE598*Settings!$B$16)+(AF598*Settings!$B$17)+(AG598*Settings!$B$18)+(Y598*Settings!$B$10)+(Z598*Settings!$B$11),VLOOKUP(B598,'Standard Deviations'!A$1:C$672,3,FALSE))</f>
        <v>-3.2074098836058398</v>
      </c>
      <c r="J598" s="53" cm="1">
        <f t="array" ref="J598">IF(D598="G",I598/AJ598,I598/Q598)</f>
        <v>-4.3343376805484321E-2</v>
      </c>
      <c r="K598" s="52" cm="1">
        <f t="array" ref="K598">IF(Settings!$E$18="C/LW/RW",VLOOKUP(B598,'C'!A1:F210,6,FALSE),VLOOKUP(B598,F!A1:F407,6,FALSE))</f>
        <v>-9.5674194412209044</v>
      </c>
      <c r="L598" s="54" cm="1">
        <f t="array" ref="L598">IFERROR(K598/H598,"N/A")</f>
        <v>-4.7837097206104522</v>
      </c>
      <c r="M598" s="84" t="s">
        <v>828</v>
      </c>
      <c r="N598" s="84" t="str" cm="1">
        <f t="array" ref="N598">IFERROR(M598-A598,"N/A")</f>
        <v>N/A</v>
      </c>
      <c r="O598" s="55"/>
      <c r="P598" s="56" cm="1">
        <f t="array" ref="P598">_xlfn.XLOOKUP($B598,ADP!A2:A671,ADP!G2:G671)</f>
        <v>0</v>
      </c>
      <c r="Q598" s="57" cm="1">
        <f t="array" ref="Q598">IF(Settings!$E$12="YES",VLOOKUP(B598,'Player Data'!A1:E673,5,FALSE),84)</f>
        <v>74</v>
      </c>
      <c r="R598" s="55" cm="1">
        <f t="array" ref="R598">VLOOKUP(B598,'Player Data'!$A1:$AE673,6,FALSE)</f>
        <v>10.5</v>
      </c>
      <c r="S598" s="57" cm="1">
        <f t="array" ref="S598">VLOOKUP(B598,'Player Data'!$A1:$AE673,7,FALSE)*$Q598*IFERROR((VLOOKUP(P598,Settings!$E$28:$F$33,2,FALSE)+1),1)</f>
        <v>6.66</v>
      </c>
      <c r="T598" s="57" cm="1">
        <f t="array" ref="T598">VLOOKUP(B598,'Player Data'!$A1:$AE673,8,FALSE)*$Q598*IFERROR((VLOOKUP(P598,Settings!$E$28:$F$33,2,FALSE)+1),1)</f>
        <v>8.14</v>
      </c>
      <c r="U598" s="57" cm="1">
        <f t="array" ref="U598">SUM(S598:T598)</f>
        <v>14.8</v>
      </c>
      <c r="V598" s="57" cm="1">
        <f t="array" ref="V598">VLOOKUP(B598,'Player Data'!$A1:$AE673,10,FALSE)*$Q598*IFERROR(((VLOOKUP(P598,Settings!$E$28:$F$33,2,FALSE)/2)+1),1)</f>
        <v>59.940000000000005</v>
      </c>
      <c r="W598" s="57" cm="1">
        <f t="array" ref="W598">VLOOKUP(B598,'Player Data'!$A1:$AE673,11,FALSE)*$Q598*IFERROR((VLOOKUP(P598,Settings!$E$28:$F$33,2,FALSE)+1),1)</f>
        <v>0</v>
      </c>
      <c r="X598" s="57" cm="1">
        <f t="array" ref="X598">VLOOKUP(B598,'Player Data'!$A1:$AE673,12,FALSE)*$Q598*IFERROR((VLOOKUP(P598,Settings!$E$28:$F$33,2,FALSE)+1),1)</f>
        <v>0</v>
      </c>
      <c r="Y598" s="57" cm="1">
        <f t="array" ref="Y598">VLOOKUP(B598,'Player Data'!$A1:$AE673,13,FALSE)*$Q598</f>
        <v>0.74</v>
      </c>
      <c r="Z598" s="57" cm="1">
        <f t="array" ref="Z598">VLOOKUP(B598,'Player Data'!$A1:$AE673,14,FALSE)*$Q598</f>
        <v>0.74</v>
      </c>
      <c r="AA598" s="57" cm="1">
        <f t="array" ref="AA598">VLOOKUP(B598,'Player Data'!$A1:$AE673,15,FALSE)*$Q598</f>
        <v>33.300000000000004</v>
      </c>
      <c r="AB598" s="57" cm="1">
        <f t="array" ref="AB598">VLOOKUP(B598,'Player Data'!$A1:$AE673,16,FALSE)*$Q598</f>
        <v>102.11999999999999</v>
      </c>
      <c r="AC598" s="57" cm="1">
        <f t="array" ref="AC598">VLOOKUP(B598,'Player Data'!$A1:$AE673,17,FALSE)*$Q598*IFERROR((VLOOKUP(P598,Settings!$E$28:$F$33,2,FALSE)+1),1)</f>
        <v>1.48</v>
      </c>
      <c r="AD598" s="57" cm="1">
        <f t="array" ref="AD598">VLOOKUP(B598,'Player Data'!$A1:$AE673,18,FALSE)*$Q598</f>
        <v>19.240000000000002</v>
      </c>
      <c r="AE598" s="57" cm="1">
        <f t="array" ref="AE598">VLOOKUP(B598,'Player Data'!$A1:$AE673,19,FALSE)*$Q598*IFERROR((VLOOKUP(P598,Settings!$E$28:$F$33,2,FALSE)+1),1)</f>
        <v>0.74</v>
      </c>
      <c r="AF598" s="57" cm="1">
        <f t="array" ref="AF598">VLOOKUP(B598,'Player Data'!$A1:$AE673,20,FALSE)*$Q598</f>
        <v>330.78</v>
      </c>
      <c r="AG598" s="57" cm="1">
        <f t="array" ref="AG598">VLOOKUP(B598,'Player Data'!$A1:$AE673,21,FALSE)*$Q598</f>
        <v>240.5</v>
      </c>
      <c r="AH598" s="59" cm="1">
        <f t="array" ref="AH598">VLOOKUP(B598,'Player Data'!$A1:$AE673,22,FALSE)</f>
        <v>0.57999999999999996</v>
      </c>
      <c r="AI598" s="55"/>
      <c r="AJ598" s="57"/>
      <c r="AK598" s="57"/>
      <c r="AL598" s="57"/>
      <c r="AM598" s="57"/>
      <c r="AN598" s="57"/>
      <c r="AO598" s="57"/>
      <c r="AP598" s="57"/>
      <c r="AQ598" s="60"/>
      <c r="AR598" s="61"/>
      <c r="AS598" s="55"/>
    </row>
    <row r="599" spans="1:45" ht="21.25" customHeight="1" x14ac:dyDescent="0.15">
      <c r="A599" s="62">
        <f>RANK(K599,K$2:K$671)</f>
        <v>599</v>
      </c>
      <c r="B599" s="10" t="s">
        <v>768</v>
      </c>
      <c r="C599" s="47" t="s">
        <v>145</v>
      </c>
      <c r="D599" s="48" t="str" cm="1">
        <f t="array" ref="D599">VLOOKUP(B599,'Player Data'!A1:D673,4,FALSE)</f>
        <v>LW</v>
      </c>
      <c r="E599" s="75" cm="1">
        <f t="array" ref="E599">VLOOKUP(B599,LW!A1:C210,3,FALSE)</f>
        <v>173</v>
      </c>
      <c r="F599" s="63" t="str" cm="1">
        <f t="array" ref="F599">VLOOKUP(B599,'Player Data'!A1:B673,2,FALSE)</f>
        <v>EDM</v>
      </c>
      <c r="G599" s="71" cm="1">
        <f t="array" ref="G599">VLOOKUP(B599,'Player Data'!A1:D673,3,FALSE)</f>
        <v>22</v>
      </c>
      <c r="H599" s="51" cm="1">
        <f t="array" ref="H599">IFERROR(VLOOKUP(B599,ADP!A1:F671,6,FALSE)/1000000,VLOOKUP(B599,ADP!A1:F671,6,FALSE))</f>
        <v>0.95</v>
      </c>
      <c r="I599" s="52">
        <f>IF(Settings!$E$15="POINTS",((R599*Q599)*Settings!$B$12)+(S599*Settings!$B$2)+(T599*Settings!$B$3)+(U599*Settings!$B$4)+(V599*Settings!$B$5)+(X599*Settings!$B$9)+(AA599*Settings!$B$6)+(W599*Settings!$B$8)+(AB599*Settings!$B$7)+(AC599*Settings!$B$14)+(AD599*Settings!$B$15)+(AE599*Settings!$B$16)+(AF599*Settings!$B$17)+(AG599*Settings!$B$18)+(Y599*Settings!$B$10)+(Z599*Settings!$B$11),VLOOKUP(B599,'Standard Deviations'!A$1:C$672,3,FALSE))</f>
        <v>-2.7384303578022071</v>
      </c>
      <c r="J599" s="53" cm="1">
        <f t="array" ref="J599">IF(D599="G",I599/AJ599,I599/Q599)</f>
        <v>-4.4168231577454954E-2</v>
      </c>
      <c r="K599" s="52" cm="1">
        <f t="array" ref="K599">IF(Settings!$E$18="C/LW/RW",VLOOKUP(B599,LW!A1:F210,6,FALSE),VLOOKUP(B599,F!A1:F407,6,FALSE))</f>
        <v>-9.6328160021920173</v>
      </c>
      <c r="L599" s="54" cm="1">
        <f t="array" ref="L599">IFERROR(K599/H599,"N/A")</f>
        <v>-10.139806318096861</v>
      </c>
      <c r="M599" s="84" t="s">
        <v>828</v>
      </c>
      <c r="N599" s="84" t="str" cm="1">
        <f t="array" ref="N599">IFERROR(M599-A599,"N/A")</f>
        <v>N/A</v>
      </c>
      <c r="O599" s="55"/>
      <c r="P599" s="56" cm="1">
        <f t="array" ref="P599">_xlfn.XLOOKUP($B599,ADP!A2:A671,ADP!G2:G671)</f>
        <v>0</v>
      </c>
      <c r="Q599" s="57" cm="1">
        <f t="array" ref="Q599">IF(Settings!$E$12="YES",VLOOKUP(B599,'Player Data'!A1:E673,5,FALSE),84)</f>
        <v>62</v>
      </c>
      <c r="R599" s="81" cm="1">
        <f t="array" ref="R599">VLOOKUP(B599,'Player Data'!$A1:$AE673,6,FALSE)</f>
        <v>11.9</v>
      </c>
      <c r="S599" s="57" cm="1">
        <f t="array" ref="S599">VLOOKUP(B599,'Player Data'!$A1:$AE673,7,FALSE)*$Q599*IFERROR((VLOOKUP(P599,Settings!$E$28:$F$33,2,FALSE)+1),1)</f>
        <v>9.2999999999999989</v>
      </c>
      <c r="T599" s="57" cm="1">
        <f t="array" ref="T599">VLOOKUP(B599,'Player Data'!$A1:$AE673,8,FALSE)*$Q599*IFERROR((VLOOKUP(P599,Settings!$E$28:$F$33,2,FALSE)+1),1)</f>
        <v>13.02</v>
      </c>
      <c r="U599" s="57" cm="1">
        <f t="array" ref="U599">SUM(S599:T599)</f>
        <v>22.32</v>
      </c>
      <c r="V599" s="57" cm="1">
        <f t="array" ref="V599">VLOOKUP(B599,'Player Data'!$A1:$AE673,10,FALSE)*$Q599*IFERROR(((VLOOKUP(P599,Settings!$E$28:$F$33,2,FALSE)/2)+1),1)</f>
        <v>102.92</v>
      </c>
      <c r="W599" s="57" cm="1">
        <f t="array" ref="W599">VLOOKUP(B599,'Player Data'!$A1:$AE673,11,FALSE)*$Q599*IFERROR((VLOOKUP(P599,Settings!$E$28:$F$33,2,FALSE)+1),1)</f>
        <v>0.62</v>
      </c>
      <c r="X599" s="57" cm="1">
        <f t="array" ref="X599">VLOOKUP(B599,'Player Data'!$A1:$AE673,12,FALSE)*$Q599*IFERROR((VLOOKUP(P599,Settings!$E$28:$F$33,2,FALSE)+1),1)</f>
        <v>1.24</v>
      </c>
      <c r="Y599" s="57" cm="1">
        <f t="array" ref="Y599">VLOOKUP(B599,'Player Data'!$A1:$AE673,13,FALSE)*$Q599</f>
        <v>0</v>
      </c>
      <c r="Z599" s="57" cm="1">
        <f t="array" ref="Z599">VLOOKUP(B599,'Player Data'!$A1:$AE673,14,FALSE)*$Q599</f>
        <v>0</v>
      </c>
      <c r="AA599" s="57" cm="1">
        <f t="array" ref="AA599">VLOOKUP(B599,'Player Data'!$A1:$AE673,15,FALSE)*$Q599</f>
        <v>19.84</v>
      </c>
      <c r="AB599" s="57" cm="1">
        <f t="array" ref="AB599">VLOOKUP(B599,'Player Data'!$A1:$AE673,16,FALSE)*$Q599</f>
        <v>35.96</v>
      </c>
      <c r="AC599" s="57" cm="1">
        <f t="array" ref="AC599">VLOOKUP(B599,'Player Data'!$A1:$AE673,17,FALSE)*$Q599*IFERROR((VLOOKUP(P599,Settings!$E$28:$F$33,2,FALSE)+1),1)</f>
        <v>3.1</v>
      </c>
      <c r="AD599" s="57" cm="1">
        <f t="array" ref="AD599">VLOOKUP(B599,'Player Data'!$A1:$AE673,18,FALSE)*$Q599</f>
        <v>21.080000000000002</v>
      </c>
      <c r="AE599" s="57" cm="1">
        <f t="array" ref="AE599">VLOOKUP(B599,'Player Data'!$A1:$AE673,19,FALSE)*$Q599*IFERROR((VLOOKUP(P599,Settings!$E$28:$F$33,2,FALSE)+1),1)</f>
        <v>1.8599999999999999</v>
      </c>
      <c r="AF599" s="57" cm="1">
        <f t="array" ref="AF599">VLOOKUP(B599,'Player Data'!$A1:$AE673,20,FALSE)*$Q599</f>
        <v>0</v>
      </c>
      <c r="AG599" s="57" cm="1">
        <f t="array" ref="AG599">VLOOKUP(B599,'Player Data'!$A1:$AE673,21,FALSE)*$Q599</f>
        <v>0</v>
      </c>
      <c r="AH599" s="59" cm="1">
        <f t="array" ref="AH599">VLOOKUP(B599,'Player Data'!$A1:$AE673,22,FALSE)</f>
        <v>0</v>
      </c>
      <c r="AI599" s="55"/>
      <c r="AJ599" s="57"/>
      <c r="AK599" s="57"/>
      <c r="AL599" s="57"/>
      <c r="AM599" s="57"/>
      <c r="AN599" s="57"/>
      <c r="AO599" s="57"/>
      <c r="AP599" s="57"/>
      <c r="AQ599" s="60"/>
      <c r="AR599" s="61"/>
      <c r="AS599" s="55"/>
    </row>
    <row r="600" spans="1:45" ht="21.25" customHeight="1" x14ac:dyDescent="0.15">
      <c r="A600" s="62">
        <f>RANK(K600,K$2:K$671)</f>
        <v>600</v>
      </c>
      <c r="B600" s="10" t="s">
        <v>695</v>
      </c>
      <c r="C600" s="47" t="s">
        <v>145</v>
      </c>
      <c r="D600" s="48" t="str" cm="1">
        <f t="array" ref="D600">VLOOKUP(B600,'Player Data'!A1:D673,4,FALSE)</f>
        <v>C,LW</v>
      </c>
      <c r="E600" s="74" cm="1">
        <f t="array" ref="E600">VLOOKUP(B600,LW!A1:C210,3,FALSE)</f>
        <v>174</v>
      </c>
      <c r="F600" s="63" t="str" cm="1">
        <f t="array" ref="F600">VLOOKUP(B600,'Player Data'!A1:B673,2,FALSE)</f>
        <v>WPG</v>
      </c>
      <c r="G600" s="66" cm="1">
        <f t="array" ref="G600">VLOOKUP(B600,'Player Data'!A1:D673,3,FALSE)</f>
        <v>33</v>
      </c>
      <c r="H600" s="67" cm="1">
        <f t="array" ref="H600">IFERROR(VLOOKUP(B600,ADP!A1:F671,6,FALSE)/1000000,VLOOKUP(B600,ADP!A1:F671,6,FALSE))</f>
        <v>3</v>
      </c>
      <c r="I600" s="52">
        <f>IF(Settings!$E$15="POINTS",((R600*Q600)*Settings!$B$12)+(S600*Settings!$B$2)+(T600*Settings!$B$3)+(U600*Settings!$B$4)+(V600*Settings!$B$5)+(X600*Settings!$B$9)+(AA600*Settings!$B$6)+(W600*Settings!$B$8)+(AB600*Settings!$B$7)+(AC600*Settings!$B$14)+(AD600*Settings!$B$15)+(AE600*Settings!$B$16)+(AF600*Settings!$B$17)+(AG600*Settings!$B$18)+(Y600*Settings!$B$10)+(Z600*Settings!$B$11),VLOOKUP(B600,'Standard Deviations'!A$1:C$672,3,FALSE))</f>
        <v>-2.7521995623433098</v>
      </c>
      <c r="J600" s="53" cm="1">
        <f t="array" ref="J600">IF(D600="G",I600/AJ600,I600/Q600)</f>
        <v>-3.4837969143586202E-2</v>
      </c>
      <c r="K600" s="52" cm="1">
        <f t="array" ref="K600">IF(Settings!$E$18="C/LW/RW",VLOOKUP(B600,LW!A1:F210,6,FALSE),VLOOKUP(B600,F!A1:F407,6,FALSE))</f>
        <v>-9.6465852067331195</v>
      </c>
      <c r="L600" s="54" cm="1">
        <f t="array" ref="L600">IFERROR(K600/H600,"N/A")</f>
        <v>-3.2155284022443733</v>
      </c>
      <c r="M600" s="84" t="s">
        <v>828</v>
      </c>
      <c r="N600" s="84" t="str" cm="1">
        <f t="array" ref="N600">IFERROR(M600-A600,"N/A")</f>
        <v>N/A</v>
      </c>
      <c r="O600" s="55"/>
      <c r="P600" s="56" cm="1">
        <f t="array" ref="P600">_xlfn.XLOOKUP($B600,ADP!A2:A671,ADP!G2:G671)</f>
        <v>0</v>
      </c>
      <c r="Q600" s="57" cm="1">
        <f t="array" ref="Q600">IF(Settings!$E$12="YES",VLOOKUP(B600,'Player Data'!A1:E673,5,FALSE),84)</f>
        <v>79</v>
      </c>
      <c r="R600" s="83" cm="1">
        <f t="array" ref="R600">VLOOKUP(B600,'Player Data'!$A1:$AE673,6,FALSE)</f>
        <v>12.3</v>
      </c>
      <c r="S600" s="57" cm="1">
        <f t="array" ref="S600">VLOOKUP(B600,'Player Data'!$A1:$AE673,7,FALSE)*$Q600*IFERROR((VLOOKUP(P600,Settings!$E$28:$F$33,2,FALSE)+1),1)</f>
        <v>7.9</v>
      </c>
      <c r="T600" s="57" cm="1">
        <f t="array" ref="T600">VLOOKUP(B600,'Player Data'!$A1:$AE673,8,FALSE)*$Q600*IFERROR((VLOOKUP(P600,Settings!$E$28:$F$33,2,FALSE)+1),1)</f>
        <v>12.64</v>
      </c>
      <c r="U600" s="57" cm="1">
        <f t="array" ref="U600">SUM(S600:T600)</f>
        <v>20.54</v>
      </c>
      <c r="V600" s="57" cm="1">
        <f t="array" ref="V600">VLOOKUP(B600,'Player Data'!$A1:$AE673,10,FALSE)*$Q600*IFERROR(((VLOOKUP(P600,Settings!$E$28:$F$33,2,FALSE)/2)+1),1)</f>
        <v>77.42</v>
      </c>
      <c r="W600" s="57" cm="1">
        <f t="array" ref="W600">VLOOKUP(B600,'Player Data'!$A1:$AE673,11,FALSE)*$Q600*IFERROR((VLOOKUP(P600,Settings!$E$28:$F$33,2,FALSE)+1),1)</f>
        <v>0.79</v>
      </c>
      <c r="X600" s="57" cm="1">
        <f t="array" ref="X600">VLOOKUP(B600,'Player Data'!$A1:$AE673,12,FALSE)*$Q600*IFERROR((VLOOKUP(P600,Settings!$E$28:$F$33,2,FALSE)+1),1)</f>
        <v>1.58</v>
      </c>
      <c r="Y600" s="57" cm="1">
        <f t="array" ref="Y600">VLOOKUP(B600,'Player Data'!$A1:$AE673,13,FALSE)*$Q600</f>
        <v>0</v>
      </c>
      <c r="Z600" s="57" cm="1">
        <f t="array" ref="Z600">VLOOKUP(B600,'Player Data'!$A1:$AE673,14,FALSE)*$Q600</f>
        <v>0</v>
      </c>
      <c r="AA600" s="57" cm="1">
        <f t="array" ref="AA600">VLOOKUP(B600,'Player Data'!$A1:$AE673,15,FALSE)*$Q600</f>
        <v>40.29</v>
      </c>
      <c r="AB600" s="57" cm="1">
        <f t="array" ref="AB600">VLOOKUP(B600,'Player Data'!$A1:$AE673,16,FALSE)*$Q600</f>
        <v>87.690000000000012</v>
      </c>
      <c r="AC600" s="57" cm="1">
        <f t="array" ref="AC600">VLOOKUP(B600,'Player Data'!$A1:$AE673,17,FALSE)*$Q600*IFERROR((VLOOKUP(P600,Settings!$E$28:$F$33,2,FALSE)+1),1)</f>
        <v>0.79</v>
      </c>
      <c r="AD600" s="57" cm="1">
        <f t="array" ref="AD600">VLOOKUP(B600,'Player Data'!$A1:$AE673,18,FALSE)*$Q600</f>
        <v>22.91</v>
      </c>
      <c r="AE600" s="57" cm="1">
        <f t="array" ref="AE600">VLOOKUP(B600,'Player Data'!$A1:$AE673,19,FALSE)*$Q600*IFERROR((VLOOKUP(P600,Settings!$E$28:$F$33,2,FALSE)+1),1)</f>
        <v>1.58</v>
      </c>
      <c r="AF600" s="57" cm="1">
        <f t="array" ref="AF600">VLOOKUP(B600,'Player Data'!$A1:$AE673,20,FALSE)*$Q600</f>
        <v>151.68</v>
      </c>
      <c r="AG600" s="57" cm="1">
        <f t="array" ref="AG600">VLOOKUP(B600,'Player Data'!$A1:$AE673,21,FALSE)*$Q600</f>
        <v>210.14000000000001</v>
      </c>
      <c r="AH600" s="59" cm="1">
        <f t="array" ref="AH600">VLOOKUP(B600,'Player Data'!$A1:$AE673,22,FALSE)</f>
        <v>0.42</v>
      </c>
      <c r="AI600" s="55"/>
      <c r="AJ600" s="57"/>
      <c r="AK600" s="57"/>
      <c r="AL600" s="57"/>
      <c r="AM600" s="57"/>
      <c r="AN600" s="57"/>
      <c r="AO600" s="57"/>
      <c r="AP600" s="57"/>
      <c r="AQ600" s="60"/>
      <c r="AR600" s="61"/>
      <c r="AS600" s="55"/>
    </row>
    <row r="601" spans="1:45" ht="21.25" customHeight="1" x14ac:dyDescent="0.15">
      <c r="A601" s="62">
        <f>RANK(K601,K$2:K$671)</f>
        <v>598</v>
      </c>
      <c r="B601" s="10" t="s">
        <v>759</v>
      </c>
      <c r="C601" s="47" t="s">
        <v>145</v>
      </c>
      <c r="D601" s="48" t="str" cm="1">
        <f t="array" ref="D601">VLOOKUP(B601,'Player Data'!A1:D673,4,FALSE)</f>
        <v>LW,RW</v>
      </c>
      <c r="E601" s="74" cm="1">
        <f t="array" ref="E601">VLOOKUP(B601,RW!A1:F210,3,FALSE)</f>
        <v>172</v>
      </c>
      <c r="F601" s="72" t="str" cm="1">
        <f t="array" ref="F601">VLOOKUP(B601,'Player Data'!A1:B673,2,FALSE)</f>
        <v>PIT</v>
      </c>
      <c r="G601" s="11" cm="1">
        <f t="array" ref="G601">VLOOKUP(B601,'Player Data'!A1:D673,3,FALSE)</f>
        <v>25</v>
      </c>
      <c r="H601" s="67" cm="1">
        <f t="array" ref="H601">IFERROR(VLOOKUP(B601,ADP!A1:F671,6,FALSE)/1000000,VLOOKUP(B601,ADP!A1:F671,6,FALSE))</f>
        <v>1.125</v>
      </c>
      <c r="I601" s="52">
        <f>IF(Settings!$E$15="POINTS",((R601*Q601)*Settings!$B$12)+(S601*Settings!$B$2)+(T601*Settings!$B$3)+(U601*Settings!$B$4)+(V601*Settings!$B$5)+(X601*Settings!$B$9)+(AA601*Settings!$B$6)+(W601*Settings!$B$8)+(AB601*Settings!$B$7)+(AC601*Settings!$B$14)+(AD601*Settings!$B$15)+(AE601*Settings!$B$16)+(AF601*Settings!$B$17)+(AG601*Settings!$B$18)+(Y601*Settings!$B$10)+(Z601*Settings!$B$11),VLOOKUP(B601,'Standard Deviations'!A$1:C$672,3,FALSE))</f>
        <v>-2.7186296687408822</v>
      </c>
      <c r="J601" s="53" cm="1">
        <f t="array" ref="J601">IF(D601="G",I601/AJ601,I601/Q601)</f>
        <v>-3.9979848069718854E-2</v>
      </c>
      <c r="K601" s="52" cm="1">
        <f t="array" ref="K601">IF(Settings!$E$18="C/LW/RW",VLOOKUP(B601,RW!A1:F210,6,FALSE),VLOOKUP(B601,F!A1:F407,6,FALSE))</f>
        <v>-9.6058642705499597</v>
      </c>
      <c r="L601" s="54" cm="1">
        <f t="array" ref="L601">IFERROR(K601/H601,"N/A")</f>
        <v>-8.5385460182666311</v>
      </c>
      <c r="M601" s="84" t="s">
        <v>828</v>
      </c>
      <c r="N601" s="84" t="str" cm="1">
        <f t="array" ref="N601">IFERROR(M601-A601,"N/A")</f>
        <v>N/A</v>
      </c>
      <c r="O601" s="55"/>
      <c r="P601" s="56" cm="1">
        <f t="array" ref="P601">_xlfn.XLOOKUP($B601,ADP!A2:A671,ADP!G2:G671)</f>
        <v>0</v>
      </c>
      <c r="Q601" s="57" cm="1">
        <f t="array" ref="Q601">IF(Settings!$E$12="YES",VLOOKUP(B601,'Player Data'!A1:E673,5,FALSE),84)</f>
        <v>68</v>
      </c>
      <c r="R601" s="55" cm="1">
        <f t="array" ref="R601">VLOOKUP(B601,'Player Data'!$A1:$AE673,6,FALSE)</f>
        <v>11</v>
      </c>
      <c r="S601" s="57" cm="1">
        <f t="array" ref="S601">VLOOKUP(B601,'Player Data'!$A1:$AE673,7,FALSE)*$Q601*IFERROR((VLOOKUP(P601,Settings!$E$28:$F$33,2,FALSE)+1),1)</f>
        <v>8.16</v>
      </c>
      <c r="T601" s="57" cm="1">
        <f t="array" ref="T601">VLOOKUP(B601,'Player Data'!$A1:$AE673,8,FALSE)*$Q601*IFERROR((VLOOKUP(P601,Settings!$E$28:$F$33,2,FALSE)+1),1)</f>
        <v>10.199999999999999</v>
      </c>
      <c r="U601" s="57" cm="1">
        <f t="array" ref="U601">SUM(S601:T601)</f>
        <v>18.36</v>
      </c>
      <c r="V601" s="57" cm="1">
        <f t="array" ref="V601">VLOOKUP(B601,'Player Data'!$A1:$AE673,10,FALSE)*$Q601*IFERROR(((VLOOKUP(P601,Settings!$E$28:$F$33,2,FALSE)/2)+1),1)</f>
        <v>80.239999999999995</v>
      </c>
      <c r="W601" s="57" cm="1">
        <f t="array" ref="W601">VLOOKUP(B601,'Player Data'!$A1:$AE673,11,FALSE)*$Q601*IFERROR((VLOOKUP(P601,Settings!$E$28:$F$33,2,FALSE)+1),1)</f>
        <v>0</v>
      </c>
      <c r="X601" s="57" cm="1">
        <f t="array" ref="X601">VLOOKUP(B601,'Player Data'!$A1:$AE673,12,FALSE)*$Q601*IFERROR((VLOOKUP(P601,Settings!$E$28:$F$33,2,FALSE)+1),1)</f>
        <v>0</v>
      </c>
      <c r="Y601" s="57" cm="1">
        <f t="array" ref="Y601">VLOOKUP(B601,'Player Data'!$A1:$AE673,13,FALSE)*$Q601</f>
        <v>0</v>
      </c>
      <c r="Z601" s="57" cm="1">
        <f t="array" ref="Z601">VLOOKUP(B601,'Player Data'!$A1:$AE673,14,FALSE)*$Q601</f>
        <v>0</v>
      </c>
      <c r="AA601" s="57" cm="1">
        <f t="array" ref="AA601">VLOOKUP(B601,'Player Data'!$A1:$AE673,15,FALSE)*$Q601</f>
        <v>23.799999999999997</v>
      </c>
      <c r="AB601" s="57" cm="1">
        <f t="array" ref="AB601">VLOOKUP(B601,'Player Data'!$A1:$AE673,16,FALSE)*$Q601</f>
        <v>110.16000000000001</v>
      </c>
      <c r="AC601" s="57" cm="1">
        <f t="array" ref="AC601">VLOOKUP(B601,'Player Data'!$A1:$AE673,17,FALSE)*$Q601*IFERROR((VLOOKUP(P601,Settings!$E$28:$F$33,2,FALSE)+1),1)</f>
        <v>0</v>
      </c>
      <c r="AD601" s="57" cm="1">
        <f t="array" ref="AD601">VLOOKUP(B601,'Player Data'!$A1:$AE673,18,FALSE)*$Q601</f>
        <v>20.399999999999999</v>
      </c>
      <c r="AE601" s="57" cm="1">
        <f t="array" ref="AE601">VLOOKUP(B601,'Player Data'!$A1:$AE673,19,FALSE)*$Q601*IFERROR((VLOOKUP(P601,Settings!$E$28:$F$33,2,FALSE)+1),1)</f>
        <v>1.36</v>
      </c>
      <c r="AF601" s="57" cm="1">
        <f t="array" ref="AF601">VLOOKUP(B601,'Player Data'!$A1:$AE673,20,FALSE)*$Q601</f>
        <v>4.08</v>
      </c>
      <c r="AG601" s="57" cm="1">
        <f t="array" ref="AG601">VLOOKUP(B601,'Player Data'!$A1:$AE673,21,FALSE)*$Q601</f>
        <v>7.48</v>
      </c>
      <c r="AH601" s="59" cm="1">
        <f t="array" ref="AH601">VLOOKUP(B601,'Player Data'!$A1:$AE673,22,FALSE)</f>
        <v>0.34</v>
      </c>
      <c r="AI601" s="55"/>
      <c r="AJ601" s="57"/>
      <c r="AK601" s="57"/>
      <c r="AL601" s="57"/>
      <c r="AM601" s="57"/>
      <c r="AN601" s="57"/>
      <c r="AO601" s="57"/>
      <c r="AP601" s="57"/>
      <c r="AQ601" s="60"/>
      <c r="AR601" s="61"/>
      <c r="AS601" s="55"/>
    </row>
    <row r="602" spans="1:45" ht="21.25" customHeight="1" x14ac:dyDescent="0.15">
      <c r="A602" s="62">
        <f>RANK(K602,K$2:K$671)</f>
        <v>604</v>
      </c>
      <c r="B602" s="10" t="s">
        <v>698</v>
      </c>
      <c r="C602" s="47" t="s">
        <v>145</v>
      </c>
      <c r="D602" s="48" t="str" cm="1">
        <f t="array" ref="D602">VLOOKUP(B602,'Player Data'!A1:D673,4,FALSE)</f>
        <v>LW</v>
      </c>
      <c r="E602" s="75" cm="1">
        <f t="array" ref="E602">VLOOKUP(B602,LW!A1:C210,3,FALSE)</f>
        <v>177</v>
      </c>
      <c r="F602" s="56" t="str" cm="1">
        <f t="array" ref="F602">VLOOKUP(B602,'Player Data'!A1:B673,2,FALSE)</f>
        <v>CHI</v>
      </c>
      <c r="G602" s="71" cm="1">
        <f t="array" ref="G602">VLOOKUP(B602,'Player Data'!A1:D673,3,FALSE)</f>
        <v>21</v>
      </c>
      <c r="H602" s="51" cm="1">
        <f t="array" ref="H602">IFERROR(VLOOKUP(B602,ADP!A1:F671,6,FALSE)/1000000,VLOOKUP(B602,ADP!A1:F671,6,FALSE))</f>
        <v>0.92500000000000004</v>
      </c>
      <c r="I602" s="52">
        <f>IF(Settings!$E$15="POINTS",((R602*Q602)*Settings!$B$12)+(S602*Settings!$B$2)+(T602*Settings!$B$3)+(U602*Settings!$B$4)+(V602*Settings!$B$5)+(X602*Settings!$B$9)+(AA602*Settings!$B$6)+(W602*Settings!$B$8)+(AB602*Settings!$B$7)+(AC602*Settings!$B$14)+(AD602*Settings!$B$15)+(AE602*Settings!$B$16)+(AF602*Settings!$B$17)+(AG602*Settings!$B$18)+(Y602*Settings!$B$10)+(Z602*Settings!$B$11),VLOOKUP(B602,'Standard Deviations'!A$1:C$672,3,FALSE))</f>
        <v>-2.8368711303940675</v>
      </c>
      <c r="J602" s="53" cm="1">
        <f t="array" ref="J602">IF(D602="G",I602/AJ602,I602/Q602)</f>
        <v>-4.2341360155135337E-2</v>
      </c>
      <c r="K602" s="52" cm="1">
        <f t="array" ref="K602">IF(Settings!$E$18="C/LW/RW",VLOOKUP(B602,LW!A1:F210,6,FALSE),VLOOKUP(B602,F!A1:F407,6,FALSE))</f>
        <v>-9.7312567747838763</v>
      </c>
      <c r="L602" s="54" cm="1">
        <f t="array" ref="L602">IFERROR(K602/H602,"N/A")</f>
        <v>-10.520277594360946</v>
      </c>
      <c r="M602" s="84" t="s">
        <v>828</v>
      </c>
      <c r="N602" s="84" t="str" cm="1">
        <f t="array" ref="N602">IFERROR(M602-A602,"N/A")</f>
        <v>N/A</v>
      </c>
      <c r="O602" s="55"/>
      <c r="P602" s="56" cm="1">
        <f t="array" ref="P602">_xlfn.XLOOKUP($B602,ADP!A2:A671,ADP!G2:G671)</f>
        <v>0</v>
      </c>
      <c r="Q602" s="57" cm="1">
        <f t="array" ref="Q602">IF(Settings!$E$12="YES",VLOOKUP(B602,'Player Data'!A1:E673,5,FALSE),84)</f>
        <v>67</v>
      </c>
      <c r="R602" s="55" cm="1">
        <f t="array" ref="R602">VLOOKUP(B602,'Player Data'!$A1:$AE673,6,FALSE)</f>
        <v>12.7</v>
      </c>
      <c r="S602" s="57" cm="1">
        <f t="array" ref="S602">VLOOKUP(B602,'Player Data'!$A1:$AE673,7,FALSE)*$Q602*IFERROR((VLOOKUP(P602,Settings!$E$28:$F$33,2,FALSE)+1),1)</f>
        <v>16.75</v>
      </c>
      <c r="T602" s="57" cm="1">
        <f t="array" ref="T602">VLOOKUP(B602,'Player Data'!$A1:$AE673,8,FALSE)*$Q602*IFERROR((VLOOKUP(P602,Settings!$E$28:$F$33,2,FALSE)+1),1)</f>
        <v>14.07</v>
      </c>
      <c r="U602" s="57" cm="1">
        <f t="array" ref="U602">SUM(S602:T602)</f>
        <v>30.82</v>
      </c>
      <c r="V602" s="57" cm="1">
        <f t="array" ref="V602">VLOOKUP(B602,'Player Data'!$A1:$AE673,10,FALSE)*$Q602*IFERROR(((VLOOKUP(P602,Settings!$E$28:$F$33,2,FALSE)/2)+1),1)</f>
        <v>105.86</v>
      </c>
      <c r="W602" s="57" cm="1">
        <f t="array" ref="W602">VLOOKUP(B602,'Player Data'!$A1:$AE673,11,FALSE)*$Q602*IFERROR((VLOOKUP(P602,Settings!$E$28:$F$33,2,FALSE)+1),1)</f>
        <v>2.0099999999999998</v>
      </c>
      <c r="X602" s="57" cm="1">
        <f t="array" ref="X602">VLOOKUP(B602,'Player Data'!$A1:$AE673,12,FALSE)*$Q602*IFERROR((VLOOKUP(P602,Settings!$E$28:$F$33,2,FALSE)+1),1)</f>
        <v>4.0199999999999996</v>
      </c>
      <c r="Y602" s="57" cm="1">
        <f t="array" ref="Y602">VLOOKUP(B602,'Player Data'!$A1:$AE673,13,FALSE)*$Q602</f>
        <v>0</v>
      </c>
      <c r="Z602" s="57" cm="1">
        <f t="array" ref="Z602">VLOOKUP(B602,'Player Data'!$A1:$AE673,14,FALSE)*$Q602</f>
        <v>0</v>
      </c>
      <c r="AA602" s="57" cm="1">
        <f t="array" ref="AA602">VLOOKUP(B602,'Player Data'!$A1:$AE673,15,FALSE)*$Q602</f>
        <v>26.130000000000003</v>
      </c>
      <c r="AB602" s="57" cm="1">
        <f t="array" ref="AB602">VLOOKUP(B602,'Player Data'!$A1:$AE673,16,FALSE)*$Q602</f>
        <v>93.13</v>
      </c>
      <c r="AC602" s="57" cm="1">
        <f t="array" ref="AC602">VLOOKUP(B602,'Player Data'!$A1:$AE673,17,FALSE)*$Q602*IFERROR((VLOOKUP(P602,Settings!$E$28:$F$33,2,FALSE)+1),1)</f>
        <v>-8.0399999999999991</v>
      </c>
      <c r="AD602" s="57" cm="1">
        <f t="array" ref="AD602">VLOOKUP(B602,'Player Data'!$A1:$AE673,18,FALSE)*$Q602</f>
        <v>18.760000000000002</v>
      </c>
      <c r="AE602" s="57" cm="1">
        <f t="array" ref="AE602">VLOOKUP(B602,'Player Data'!$A1:$AE673,19,FALSE)*$Q602*IFERROR((VLOOKUP(P602,Settings!$E$28:$F$33,2,FALSE)+1),1)</f>
        <v>2.0099999999999998</v>
      </c>
      <c r="AF602" s="57" cm="1">
        <f t="array" ref="AF602">VLOOKUP(B602,'Player Data'!$A1:$AE673,20,FALSE)*$Q602</f>
        <v>1.34</v>
      </c>
      <c r="AG602" s="57" cm="1">
        <f t="array" ref="AG602">VLOOKUP(B602,'Player Data'!$A1:$AE673,21,FALSE)*$Q602</f>
        <v>1.34</v>
      </c>
      <c r="AH602" s="59" cm="1">
        <f t="array" ref="AH602">VLOOKUP(B602,'Player Data'!$A1:$AE673,22,FALSE)</f>
        <v>0.5</v>
      </c>
      <c r="AI602" s="55"/>
      <c r="AJ602" s="57"/>
      <c r="AK602" s="57"/>
      <c r="AL602" s="57"/>
      <c r="AM602" s="57"/>
      <c r="AN602" s="57"/>
      <c r="AO602" s="57"/>
      <c r="AP602" s="57"/>
      <c r="AQ602" s="60"/>
      <c r="AR602" s="61"/>
      <c r="AS602" s="55"/>
    </row>
    <row r="603" spans="1:45" ht="21.25" customHeight="1" x14ac:dyDescent="0.15">
      <c r="A603" s="62">
        <f>RANK(K603,K$2:K$671)</f>
        <v>601</v>
      </c>
      <c r="B603" s="10" t="s">
        <v>675</v>
      </c>
      <c r="C603" s="47" t="s">
        <v>145</v>
      </c>
      <c r="D603" s="48" t="str" cm="1">
        <f t="array" ref="D603">VLOOKUP(B603,'Player Data'!A1:D673,4,FALSE)</f>
        <v>LW,RW</v>
      </c>
      <c r="E603" s="74" cm="1">
        <f t="array" ref="E603">VLOOKUP(B603,RW!A1:F210,3,FALSE)</f>
        <v>173</v>
      </c>
      <c r="F603" s="63" t="str" cm="1">
        <f t="array" ref="F603">VLOOKUP(B603,'Player Data'!A1:B673,2,FALSE)</f>
        <v>VGK</v>
      </c>
      <c r="G603" s="71" cm="1">
        <f t="array" ref="G603">VLOOKUP(B603,'Player Data'!A1:D673,3,FALSE)</f>
        <v>23</v>
      </c>
      <c r="H603" s="51" cm="1">
        <f t="array" ref="H603">IFERROR(VLOOKUP(B603,ADP!A1:F671,6,FALSE)/1000000,VLOOKUP(B603,ADP!A1:F671,6,FALSE))</f>
        <v>0.875</v>
      </c>
      <c r="I603" s="52">
        <f>IF(Settings!$E$15="POINTS",((R603*Q603)*Settings!$B$12)+(S603*Settings!$B$2)+(T603*Settings!$B$3)+(U603*Settings!$B$4)+(V603*Settings!$B$5)+(X603*Settings!$B$9)+(AA603*Settings!$B$6)+(W603*Settings!$B$8)+(AB603*Settings!$B$7)+(AC603*Settings!$B$14)+(AD603*Settings!$B$15)+(AE603*Settings!$B$16)+(AF603*Settings!$B$17)+(AG603*Settings!$B$18)+(Y603*Settings!$B$10)+(Z603*Settings!$B$11),VLOOKUP(B603,'Standard Deviations'!A$1:C$672,3,FALSE))</f>
        <v>-2.7957597946804449</v>
      </c>
      <c r="J603" s="53" cm="1">
        <f t="array" ref="J603">IF(D603="G",I603/AJ603,I603/Q603)</f>
        <v>-3.8829997148339512E-2</v>
      </c>
      <c r="K603" s="52" cm="1">
        <f t="array" ref="K603">IF(Settings!$E$18="C/LW/RW",VLOOKUP(B603,RW!A1:F210,6,FALSE),VLOOKUP(B603,F!A1:F407,6,FALSE))</f>
        <v>-9.6829943964895229</v>
      </c>
      <c r="L603" s="54" cm="1">
        <f t="array" ref="L603">IFERROR(K603/H603,"N/A")</f>
        <v>-11.066279310273741</v>
      </c>
      <c r="M603" s="84" t="s">
        <v>828</v>
      </c>
      <c r="N603" s="84" t="str" cm="1">
        <f t="array" ref="N603">IFERROR(M603-A603,"N/A")</f>
        <v>N/A</v>
      </c>
      <c r="O603" s="55"/>
      <c r="P603" s="56" cm="1">
        <f t="array" ref="P603">_xlfn.XLOOKUP($B603,ADP!A2:A671,ADP!G2:G671)</f>
        <v>0</v>
      </c>
      <c r="Q603" s="57" cm="1">
        <f t="array" ref="Q603">IF(Settings!$E$12="YES",VLOOKUP(B603,'Player Data'!A1:E673,5,FALSE),84)</f>
        <v>72</v>
      </c>
      <c r="R603" s="83" cm="1">
        <f t="array" ref="R603">VLOOKUP(B603,'Player Data'!$A1:$AE673,6,FALSE)</f>
        <v>12.3</v>
      </c>
      <c r="S603" s="57" cm="1">
        <f t="array" ref="S603">VLOOKUP(B603,'Player Data'!$A1:$AE673,7,FALSE)*$Q603*IFERROR((VLOOKUP(P603,Settings!$E$28:$F$33,2,FALSE)+1),1)</f>
        <v>9.36</v>
      </c>
      <c r="T603" s="57" cm="1">
        <f t="array" ref="T603">VLOOKUP(B603,'Player Data'!$A1:$AE673,8,FALSE)*$Q603*IFERROR((VLOOKUP(P603,Settings!$E$28:$F$33,2,FALSE)+1),1)</f>
        <v>18.72</v>
      </c>
      <c r="U603" s="57" cm="1">
        <f t="array" ref="U603">SUM(S603:T603)</f>
        <v>28.08</v>
      </c>
      <c r="V603" s="57" cm="1">
        <f t="array" ref="V603">VLOOKUP(B603,'Player Data'!$A1:$AE673,10,FALSE)*$Q603*IFERROR(((VLOOKUP(P603,Settings!$E$28:$F$33,2,FALSE)/2)+1),1)</f>
        <v>84.96</v>
      </c>
      <c r="W603" s="57" cm="1">
        <f t="array" ref="W603">VLOOKUP(B603,'Player Data'!$A1:$AE673,11,FALSE)*$Q603*IFERROR((VLOOKUP(P603,Settings!$E$28:$F$33,2,FALSE)+1),1)</f>
        <v>0.72</v>
      </c>
      <c r="X603" s="57" cm="1">
        <f t="array" ref="X603">VLOOKUP(B603,'Player Data'!$A1:$AE673,12,FALSE)*$Q603*IFERROR((VLOOKUP(P603,Settings!$E$28:$F$33,2,FALSE)+1),1)</f>
        <v>1.44</v>
      </c>
      <c r="Y603" s="57" cm="1">
        <f t="array" ref="Y603">VLOOKUP(B603,'Player Data'!$A1:$AE673,13,FALSE)*$Q603</f>
        <v>0</v>
      </c>
      <c r="Z603" s="57" cm="1">
        <f t="array" ref="Z603">VLOOKUP(B603,'Player Data'!$A1:$AE673,14,FALSE)*$Q603</f>
        <v>0</v>
      </c>
      <c r="AA603" s="57" cm="1">
        <f t="array" ref="AA603">VLOOKUP(B603,'Player Data'!$A1:$AE673,15,FALSE)*$Q603</f>
        <v>30.24</v>
      </c>
      <c r="AB603" s="57" cm="1">
        <f t="array" ref="AB603">VLOOKUP(B603,'Player Data'!$A1:$AE673,16,FALSE)*$Q603</f>
        <v>37.44</v>
      </c>
      <c r="AC603" s="57" cm="1">
        <f t="array" ref="AC603">VLOOKUP(B603,'Player Data'!$A1:$AE673,17,FALSE)*$Q603*IFERROR((VLOOKUP(P603,Settings!$E$28:$F$33,2,FALSE)+1),1)</f>
        <v>2.16</v>
      </c>
      <c r="AD603" s="57" cm="1">
        <f t="array" ref="AD603">VLOOKUP(B603,'Player Data'!$A1:$AE673,18,FALSE)*$Q603</f>
        <v>18</v>
      </c>
      <c r="AE603" s="57" cm="1">
        <f t="array" ref="AE603">VLOOKUP(B603,'Player Data'!$A1:$AE673,19,FALSE)*$Q603*IFERROR((VLOOKUP(P603,Settings!$E$28:$F$33,2,FALSE)+1),1)</f>
        <v>2.16</v>
      </c>
      <c r="AF603" s="57" cm="1">
        <f t="array" ref="AF603">VLOOKUP(B603,'Player Data'!$A1:$AE673,20,FALSE)*$Q603</f>
        <v>3.6</v>
      </c>
      <c r="AG603" s="57" cm="1">
        <f t="array" ref="AG603">VLOOKUP(B603,'Player Data'!$A1:$AE673,21,FALSE)*$Q603</f>
        <v>10.799999999999999</v>
      </c>
      <c r="AH603" s="59" cm="1">
        <f t="array" ref="AH603">VLOOKUP(B603,'Player Data'!$A1:$AE673,22,FALSE)</f>
        <v>0.25</v>
      </c>
      <c r="AI603" s="55"/>
      <c r="AJ603" s="57"/>
      <c r="AK603" s="57"/>
      <c r="AL603" s="57"/>
      <c r="AM603" s="57"/>
      <c r="AN603" s="57"/>
      <c r="AO603" s="57"/>
      <c r="AP603" s="57"/>
      <c r="AQ603" s="60"/>
      <c r="AR603" s="61"/>
      <c r="AS603" s="55"/>
    </row>
    <row r="604" spans="1:45" ht="21.25" customHeight="1" x14ac:dyDescent="0.15">
      <c r="A604" s="62">
        <f>RANK(K604,K$2:K$671)</f>
        <v>603</v>
      </c>
      <c r="B604" s="10" t="s">
        <v>694</v>
      </c>
      <c r="C604" s="47" t="s">
        <v>145</v>
      </c>
      <c r="D604" s="48" t="str" cm="1">
        <f t="array" ref="D604">VLOOKUP(B604,'Player Data'!A1:D673,4,FALSE)</f>
        <v>C</v>
      </c>
      <c r="E604" s="49" cm="1">
        <f t="array" ref="E604">VLOOKUP(B604,'C'!A1:C210,3,FALSE)</f>
        <v>183</v>
      </c>
      <c r="F604" s="72" t="str" cm="1">
        <f t="array" ref="F604">VLOOKUP(B604,'Player Data'!A1:B673,2,FALSE)</f>
        <v>PIT</v>
      </c>
      <c r="G604" s="11" cm="1">
        <f t="array" ref="G604">VLOOKUP(B604,'Player Data'!A1:D673,3,FALSE)</f>
        <v>28</v>
      </c>
      <c r="H604" s="51" cm="1">
        <f t="array" ref="H604">IFERROR(VLOOKUP(B604,ADP!A1:F671,6,FALSE)/1000000,VLOOKUP(B604,ADP!A1:F671,6,FALSE))</f>
        <v>2.25</v>
      </c>
      <c r="I604" s="52">
        <f>IF(Settings!$E$15="POINTS",((R604*Q604)*Settings!$B$12)+(S604*Settings!$B$2)+(T604*Settings!$B$3)+(U604*Settings!$B$4)+(V604*Settings!$B$5)+(X604*Settings!$B$9)+(AA604*Settings!$B$6)+(W604*Settings!$B$8)+(AB604*Settings!$B$7)+(AC604*Settings!$B$14)+(AD604*Settings!$B$15)+(AE604*Settings!$B$16)+(AF604*Settings!$B$17)+(AG604*Settings!$B$18)+(Y604*Settings!$B$10)+(Z604*Settings!$B$11),VLOOKUP(B604,'Standard Deviations'!A$1:C$672,3,FALSE))</f>
        <v>-3.3650554549362419</v>
      </c>
      <c r="J604" s="53" cm="1">
        <f t="array" ref="J604">IF(D604="G",I604/AJ604,I604/Q604)</f>
        <v>-4.5473722364003266E-2</v>
      </c>
      <c r="K604" s="52" cm="1">
        <f t="array" ref="K604">IF(Settings!$E$18="C/LW/RW",VLOOKUP(B604,'C'!A1:F210,6,FALSE),VLOOKUP(B604,F!A1:F407,6,FALSE))</f>
        <v>-9.7250650125513065</v>
      </c>
      <c r="L604" s="54" cm="1">
        <f t="array" ref="L604">IFERROR(K604/H604,"N/A")</f>
        <v>-4.3222511166894693</v>
      </c>
      <c r="M604" s="84" t="s">
        <v>828</v>
      </c>
      <c r="N604" s="84" t="str" cm="1">
        <f t="array" ref="N604">IFERROR(M604-A604,"N/A")</f>
        <v>N/A</v>
      </c>
      <c r="O604" s="55"/>
      <c r="P604" s="56" cm="1">
        <f t="array" ref="P604">_xlfn.XLOOKUP($B604,ADP!A2:A671,ADP!G2:G671)</f>
        <v>0</v>
      </c>
      <c r="Q604" s="57" cm="1">
        <f t="array" ref="Q604">IF(Settings!$E$12="YES",VLOOKUP(B604,'Player Data'!A1:E673,5,FALSE),84)</f>
        <v>74</v>
      </c>
      <c r="R604" s="55" cm="1">
        <f t="array" ref="R604">VLOOKUP(B604,'Player Data'!$A1:$AE673,6,FALSE)</f>
        <v>13.5</v>
      </c>
      <c r="S604" s="57" cm="1">
        <f t="array" ref="S604">VLOOKUP(B604,'Player Data'!$A1:$AE673,7,FALSE)*$Q604*IFERROR((VLOOKUP(P604,Settings!$E$28:$F$33,2,FALSE)+1),1)</f>
        <v>9.620000000000001</v>
      </c>
      <c r="T604" s="57" cm="1">
        <f t="array" ref="T604">VLOOKUP(B604,'Player Data'!$A1:$AE673,8,FALSE)*$Q604*IFERROR((VLOOKUP(P604,Settings!$E$28:$F$33,2,FALSE)+1),1)</f>
        <v>12.58</v>
      </c>
      <c r="U604" s="57" cm="1">
        <f t="array" ref="U604">SUM(S604:T604)</f>
        <v>22.200000000000003</v>
      </c>
      <c r="V604" s="57" cm="1">
        <f t="array" ref="V604">VLOOKUP(B604,'Player Data'!$A1:$AE673,10,FALSE)*$Q604*IFERROR(((VLOOKUP(P604,Settings!$E$28:$F$33,2,FALSE)/2)+1),1)</f>
        <v>72.52</v>
      </c>
      <c r="W604" s="57" cm="1">
        <f t="array" ref="W604">VLOOKUP(B604,'Player Data'!$A1:$AE673,11,FALSE)*$Q604*IFERROR((VLOOKUP(P604,Settings!$E$28:$F$33,2,FALSE)+1),1)</f>
        <v>0</v>
      </c>
      <c r="X604" s="57" cm="1">
        <f t="array" ref="X604">VLOOKUP(B604,'Player Data'!$A1:$AE673,12,FALSE)*$Q604*IFERROR((VLOOKUP(P604,Settings!$E$28:$F$33,2,FALSE)+1),1)</f>
        <v>0</v>
      </c>
      <c r="Y604" s="57" cm="1">
        <f t="array" ref="Y604">VLOOKUP(B604,'Player Data'!$A1:$AE673,13,FALSE)*$Q604</f>
        <v>0.74</v>
      </c>
      <c r="Z604" s="57" cm="1">
        <f t="array" ref="Z604">VLOOKUP(B604,'Player Data'!$A1:$AE673,14,FALSE)*$Q604</f>
        <v>0.74</v>
      </c>
      <c r="AA604" s="57" cm="1">
        <f t="array" ref="AA604">VLOOKUP(B604,'Player Data'!$A1:$AE673,15,FALSE)*$Q604</f>
        <v>45.88</v>
      </c>
      <c r="AB604" s="57" cm="1">
        <f t="array" ref="AB604">VLOOKUP(B604,'Player Data'!$A1:$AE673,16,FALSE)*$Q604</f>
        <v>77.7</v>
      </c>
      <c r="AC604" s="57" cm="1">
        <f t="array" ref="AC604">VLOOKUP(B604,'Player Data'!$A1:$AE673,17,FALSE)*$Q604*IFERROR((VLOOKUP(P604,Settings!$E$28:$F$33,2,FALSE)+1),1)</f>
        <v>-0.74</v>
      </c>
      <c r="AD604" s="57" cm="1">
        <f t="array" ref="AD604">VLOOKUP(B604,'Player Data'!$A1:$AE673,18,FALSE)*$Q604</f>
        <v>29.6</v>
      </c>
      <c r="AE604" s="57" cm="1">
        <f t="array" ref="AE604">VLOOKUP(B604,'Player Data'!$A1:$AE673,19,FALSE)*$Q604*IFERROR((VLOOKUP(P604,Settings!$E$28:$F$33,2,FALSE)+1),1)</f>
        <v>1.48</v>
      </c>
      <c r="AF604" s="57" cm="1">
        <f t="array" ref="AF604">VLOOKUP(B604,'Player Data'!$A1:$AE673,20,FALSE)*$Q604</f>
        <v>289.34000000000003</v>
      </c>
      <c r="AG604" s="57" cm="1">
        <f t="array" ref="AG604">VLOOKUP(B604,'Player Data'!$A1:$AE673,21,FALSE)*$Q604</f>
        <v>293.04000000000002</v>
      </c>
      <c r="AH604" s="59" cm="1">
        <f t="array" ref="AH604">VLOOKUP(B604,'Player Data'!$A1:$AE673,22,FALSE)</f>
        <v>0.5</v>
      </c>
      <c r="AI604" s="55"/>
      <c r="AJ604" s="57"/>
      <c r="AK604" s="57"/>
      <c r="AL604" s="57"/>
      <c r="AM604" s="57"/>
      <c r="AN604" s="57"/>
      <c r="AO604" s="57"/>
      <c r="AP604" s="57"/>
      <c r="AQ604" s="60"/>
      <c r="AR604" s="61"/>
      <c r="AS604" s="55"/>
    </row>
    <row r="605" spans="1:45" ht="21.25" customHeight="1" x14ac:dyDescent="0.15">
      <c r="A605" s="62">
        <f>RANK(K605,K$2:K$671)</f>
        <v>602</v>
      </c>
      <c r="B605" s="10" t="s">
        <v>606</v>
      </c>
      <c r="C605" s="47" t="s">
        <v>145</v>
      </c>
      <c r="D605" s="48" t="str" cm="1">
        <f t="array" ref="D605">VLOOKUP(B605,'Player Data'!A1:D673,4,FALSE)</f>
        <v>C,LW,RW</v>
      </c>
      <c r="E605" s="74" cm="1">
        <f t="array" ref="E605">VLOOKUP(B605,RW!A1:F210,3,FALSE)</f>
        <v>174</v>
      </c>
      <c r="F605" s="63" t="str" cm="1">
        <f t="array" ref="F605">VLOOKUP(B605,'Player Data'!A1:B673,2,FALSE)</f>
        <v>CGY</v>
      </c>
      <c r="G605" s="71" cm="1">
        <f t="array" ref="G605">VLOOKUP(B605,'Player Data'!A1:D673,3,FALSE)</f>
        <v>24</v>
      </c>
      <c r="H605" s="51" cm="1">
        <f t="array" ref="H605">IFERROR(VLOOKUP(B605,ADP!A1:F671,6,FALSE)/1000000,VLOOKUP(B605,ADP!A1:F671,6,FALSE))</f>
        <v>3.7749999999999999</v>
      </c>
      <c r="I605" s="52">
        <f>IF(Settings!$E$15="POINTS",((R605*Q605)*Settings!$B$12)+(S605*Settings!$B$2)+(T605*Settings!$B$3)+(U605*Settings!$B$4)+(V605*Settings!$B$5)+(X605*Settings!$B$9)+(AA605*Settings!$B$6)+(W605*Settings!$B$8)+(AB605*Settings!$B$7)+(AC605*Settings!$B$14)+(AD605*Settings!$B$15)+(AE605*Settings!$B$16)+(AF605*Settings!$B$17)+(AG605*Settings!$B$18)+(Y605*Settings!$B$10)+(Z605*Settings!$B$11),VLOOKUP(B605,'Standard Deviations'!A$1:C$672,3,FALSE))</f>
        <v>-2.8241249987362189</v>
      </c>
      <c r="J605" s="53" cm="1">
        <f t="array" ref="J605">IF(D605="G",I605/AJ605,I605/Q605)</f>
        <v>-3.6676948035535312E-2</v>
      </c>
      <c r="K605" s="52" cm="1">
        <f t="array" ref="K605">IF(Settings!$E$18="C/LW/RW",VLOOKUP(B605,RW!A1:F210,6,FALSE),VLOOKUP(B605,F!A1:F407,6,FALSE))</f>
        <v>-9.7113596005452969</v>
      </c>
      <c r="L605" s="54" cm="1">
        <f t="array" ref="L605">IFERROR(K605/H605,"N/A")</f>
        <v>-2.5725455895484233</v>
      </c>
      <c r="M605" s="84" t="s">
        <v>828</v>
      </c>
      <c r="N605" s="84" t="str" cm="1">
        <f t="array" ref="N605">IFERROR(M605-A605,"N/A")</f>
        <v>N/A</v>
      </c>
      <c r="O605" s="55"/>
      <c r="P605" s="56" cm="1">
        <f t="array" ref="P605">_xlfn.XLOOKUP($B605,ADP!A2:A671,ADP!G2:G671)</f>
        <v>0</v>
      </c>
      <c r="Q605" s="57" cm="1">
        <f t="array" ref="Q605">IF(Settings!$E$12="YES",VLOOKUP(B605,'Player Data'!A1:E673,5,FALSE),84)</f>
        <v>77</v>
      </c>
      <c r="R605" s="55" cm="1">
        <f t="array" ref="R605">VLOOKUP(B605,'Player Data'!$A1:$AE673,6,FALSE)</f>
        <v>15.3</v>
      </c>
      <c r="S605" s="57" cm="1">
        <f t="array" ref="S605">VLOOKUP(B605,'Player Data'!$A1:$AE673,7,FALSE)*$Q605*IFERROR((VLOOKUP(P605,Settings!$E$28:$F$33,2,FALSE)+1),1)</f>
        <v>15.4</v>
      </c>
      <c r="T605" s="57" cm="1">
        <f t="array" ref="T605">VLOOKUP(B605,'Player Data'!$A1:$AE673,8,FALSE)*$Q605*IFERROR((VLOOKUP(P605,Settings!$E$28:$F$33,2,FALSE)+1),1)</f>
        <v>17.71</v>
      </c>
      <c r="U605" s="57" cm="1">
        <f t="array" ref="U605">SUM(S605:T605)</f>
        <v>33.11</v>
      </c>
      <c r="V605" s="57" cm="1">
        <f t="array" ref="V605">VLOOKUP(B605,'Player Data'!$A1:$AE673,10,FALSE)*$Q605*IFERROR(((VLOOKUP(P605,Settings!$E$28:$F$33,2,FALSE)/2)+1),1)</f>
        <v>121.66000000000001</v>
      </c>
      <c r="W605" s="57" cm="1">
        <f t="array" ref="W605">VLOOKUP(B605,'Player Data'!$A1:$AE673,11,FALSE)*$Q605*IFERROR((VLOOKUP(P605,Settings!$E$28:$F$33,2,FALSE)+1),1)</f>
        <v>1.54</v>
      </c>
      <c r="X605" s="57" cm="1">
        <f t="array" ref="X605">VLOOKUP(B605,'Player Data'!$A1:$AE673,12,FALSE)*$Q605*IFERROR((VLOOKUP(P605,Settings!$E$28:$F$33,2,FALSE)+1),1)</f>
        <v>6.93</v>
      </c>
      <c r="Y605" s="57" cm="1">
        <f t="array" ref="Y605">VLOOKUP(B605,'Player Data'!$A1:$AE673,13,FALSE)*$Q605</f>
        <v>0</v>
      </c>
      <c r="Z605" s="57" cm="1">
        <f t="array" ref="Z605">VLOOKUP(B605,'Player Data'!$A1:$AE673,14,FALSE)*$Q605</f>
        <v>0</v>
      </c>
      <c r="AA605" s="57" cm="1">
        <f t="array" ref="AA605">VLOOKUP(B605,'Player Data'!$A1:$AE673,15,FALSE)*$Q605</f>
        <v>24.64</v>
      </c>
      <c r="AB605" s="57" cm="1">
        <f t="array" ref="AB605">VLOOKUP(B605,'Player Data'!$A1:$AE673,16,FALSE)*$Q605</f>
        <v>48.51</v>
      </c>
      <c r="AC605" s="57" cm="1">
        <f t="array" ref="AC605">VLOOKUP(B605,'Player Data'!$A1:$AE673,17,FALSE)*$Q605*IFERROR((VLOOKUP(P605,Settings!$E$28:$F$33,2,FALSE)+1),1)</f>
        <v>-6.93</v>
      </c>
      <c r="AD605" s="57" cm="1">
        <f t="array" ref="AD605">VLOOKUP(B605,'Player Data'!$A1:$AE673,18,FALSE)*$Q605</f>
        <v>25.41</v>
      </c>
      <c r="AE605" s="57" cm="1">
        <f t="array" ref="AE605">VLOOKUP(B605,'Player Data'!$A1:$AE673,19,FALSE)*$Q605*IFERROR((VLOOKUP(P605,Settings!$E$28:$F$33,2,FALSE)+1),1)</f>
        <v>2.31</v>
      </c>
      <c r="AF605" s="57" cm="1">
        <f t="array" ref="AF605">VLOOKUP(B605,'Player Data'!$A1:$AE673,20,FALSE)*$Q605</f>
        <v>83.160000000000011</v>
      </c>
      <c r="AG605" s="57" cm="1">
        <f t="array" ref="AG605">VLOOKUP(B605,'Player Data'!$A1:$AE673,21,FALSE)*$Q605</f>
        <v>110.88</v>
      </c>
      <c r="AH605" s="59" cm="1">
        <f t="array" ref="AH605">VLOOKUP(B605,'Player Data'!$A1:$AE673,22,FALSE)</f>
        <v>0.43</v>
      </c>
      <c r="AI605" s="55"/>
      <c r="AJ605" s="57"/>
      <c r="AK605" s="57"/>
      <c r="AL605" s="57"/>
      <c r="AM605" s="57"/>
      <c r="AN605" s="57"/>
      <c r="AO605" s="57"/>
      <c r="AP605" s="57"/>
      <c r="AQ605" s="60"/>
      <c r="AR605" s="61"/>
      <c r="AS605" s="55"/>
    </row>
    <row r="606" spans="1:45" ht="21.25" customHeight="1" x14ac:dyDescent="0.15">
      <c r="A606" s="62">
        <f>RANK(K606,K$2:K$671)</f>
        <v>605</v>
      </c>
      <c r="B606" s="10" t="s">
        <v>748</v>
      </c>
      <c r="C606" s="47" t="s">
        <v>145</v>
      </c>
      <c r="D606" s="48" t="str" cm="1">
        <f t="array" ref="D606">VLOOKUP(B606,'Player Data'!A1:D673,4,FALSE)</f>
        <v>LW</v>
      </c>
      <c r="E606" s="75" cm="1">
        <f t="array" ref="E606">VLOOKUP(B606,LW!A1:C210,3,FALSE)</f>
        <v>178</v>
      </c>
      <c r="F606" s="69" t="str" cm="1">
        <f t="array" ref="F606">VLOOKUP(B606,'Player Data'!A1:B673,2,FALSE)</f>
        <v>CBJ</v>
      </c>
      <c r="G606" s="11" cm="1">
        <f t="array" ref="G606">VLOOKUP(B606,'Player Data'!A1:D673,3,FALSE)</f>
        <v>31</v>
      </c>
      <c r="H606" s="51" cm="1">
        <f t="array" ref="H606">IFERROR(VLOOKUP(B606,ADP!A1:F671,6,FALSE)/1000000,VLOOKUP(B606,ADP!A1:F671,6,FALSE))</f>
        <v>2.5</v>
      </c>
      <c r="I606" s="52">
        <f>IF(Settings!$E$15="POINTS",((R606*Q606)*Settings!$B$12)+(S606*Settings!$B$2)+(T606*Settings!$B$3)+(U606*Settings!$B$4)+(V606*Settings!$B$5)+(X606*Settings!$B$9)+(AA606*Settings!$B$6)+(W606*Settings!$B$8)+(AB606*Settings!$B$7)+(AC606*Settings!$B$14)+(AD606*Settings!$B$15)+(AE606*Settings!$B$16)+(AF606*Settings!$B$17)+(AG606*Settings!$B$18)+(Y606*Settings!$B$10)+(Z606*Settings!$B$11),VLOOKUP(B606,'Standard Deviations'!A$1:C$672,3,FALSE))</f>
        <v>-2.8992825348890658</v>
      </c>
      <c r="J606" s="53" cm="1">
        <f t="array" ref="J606">IF(D606="G",I606/AJ606,I606/Q606)</f>
        <v>-4.0267812984570356E-2</v>
      </c>
      <c r="K606" s="52" cm="1">
        <f t="array" ref="K606">IF(Settings!$E$18="C/LW/RW",VLOOKUP(B606,LW!A1:F210,6,FALSE),VLOOKUP(B606,F!A1:F407,6,FALSE))</f>
        <v>-9.7936681792788747</v>
      </c>
      <c r="L606" s="54" cm="1">
        <f t="array" ref="L606">IFERROR(K606/H606,"N/A")</f>
        <v>-3.91746727171155</v>
      </c>
      <c r="M606" s="84" t="s">
        <v>828</v>
      </c>
      <c r="N606" s="84" t="str" cm="1">
        <f t="array" ref="N606">IFERROR(M606-A606,"N/A")</f>
        <v>N/A</v>
      </c>
      <c r="O606" s="55"/>
      <c r="P606" s="56" cm="1">
        <f t="array" ref="P606">_xlfn.XLOOKUP($B606,ADP!A2:A671,ADP!G2:G671)</f>
        <v>0</v>
      </c>
      <c r="Q606" s="57" cm="1">
        <f t="array" ref="Q606">IF(Settings!$E$12="YES",VLOOKUP(B606,'Player Data'!A1:E673,5,FALSE),84)</f>
        <v>72</v>
      </c>
      <c r="R606" s="55" cm="1">
        <f t="array" ref="R606">VLOOKUP(B606,'Player Data'!$A1:$AE673,6,FALSE)</f>
        <v>11.5</v>
      </c>
      <c r="S606" s="57" cm="1">
        <f t="array" ref="S606">VLOOKUP(B606,'Player Data'!$A1:$AE673,7,FALSE)*$Q606*IFERROR((VLOOKUP(P606,Settings!$E$28:$F$33,2,FALSE)+1),1)</f>
        <v>7.92</v>
      </c>
      <c r="T606" s="57" cm="1">
        <f t="array" ref="T606">VLOOKUP(B606,'Player Data'!$A1:$AE673,8,FALSE)*$Q606*IFERROR((VLOOKUP(P606,Settings!$E$28:$F$33,2,FALSE)+1),1)</f>
        <v>9.36</v>
      </c>
      <c r="U606" s="57" cm="1">
        <f t="array" ref="U606">SUM(S606:T606)</f>
        <v>17.28</v>
      </c>
      <c r="V606" s="57" cm="1">
        <f t="array" ref="V606">VLOOKUP(B606,'Player Data'!$A1:$AE673,10,FALSE)*$Q606*IFERROR(((VLOOKUP(P606,Settings!$E$28:$F$33,2,FALSE)/2)+1),1)</f>
        <v>99.359999999999985</v>
      </c>
      <c r="W606" s="57" cm="1">
        <f t="array" ref="W606">VLOOKUP(B606,'Player Data'!$A1:$AE673,11,FALSE)*$Q606*IFERROR((VLOOKUP(P606,Settings!$E$28:$F$33,2,FALSE)+1),1)</f>
        <v>0</v>
      </c>
      <c r="X606" s="57" cm="1">
        <f t="array" ref="X606">VLOOKUP(B606,'Player Data'!$A1:$AE673,12,FALSE)*$Q606*IFERROR((VLOOKUP(P606,Settings!$E$28:$F$33,2,FALSE)+1),1)</f>
        <v>0</v>
      </c>
      <c r="Y606" s="57" cm="1">
        <f t="array" ref="Y606">VLOOKUP(B606,'Player Data'!$A1:$AE673,13,FALSE)*$Q606</f>
        <v>0</v>
      </c>
      <c r="Z606" s="57" cm="1">
        <f t="array" ref="Z606">VLOOKUP(B606,'Player Data'!$A1:$AE673,14,FALSE)*$Q606</f>
        <v>0.72</v>
      </c>
      <c r="AA606" s="57" cm="1">
        <f t="array" ref="AA606">VLOOKUP(B606,'Player Data'!$A1:$AE673,15,FALSE)*$Q606</f>
        <v>27.36</v>
      </c>
      <c r="AB606" s="57" cm="1">
        <f t="array" ref="AB606">VLOOKUP(B606,'Player Data'!$A1:$AE673,16,FALSE)*$Q606</f>
        <v>89.28</v>
      </c>
      <c r="AC606" s="57" cm="1">
        <f t="array" ref="AC606">VLOOKUP(B606,'Player Data'!$A1:$AE673,17,FALSE)*$Q606*IFERROR((VLOOKUP(P606,Settings!$E$28:$F$33,2,FALSE)+1),1)</f>
        <v>0</v>
      </c>
      <c r="AD606" s="57" cm="1">
        <f t="array" ref="AD606">VLOOKUP(B606,'Player Data'!$A1:$AE673,18,FALSE)*$Q606</f>
        <v>38.160000000000004</v>
      </c>
      <c r="AE606" s="57" cm="1">
        <f t="array" ref="AE606">VLOOKUP(B606,'Player Data'!$A1:$AE673,19,FALSE)*$Q606*IFERROR((VLOOKUP(P606,Settings!$E$28:$F$33,2,FALSE)+1),1)</f>
        <v>1.44</v>
      </c>
      <c r="AF606" s="57" cm="1">
        <f t="array" ref="AF606">VLOOKUP(B606,'Player Data'!$A1:$AE673,20,FALSE)*$Q606</f>
        <v>6.4799999999999995</v>
      </c>
      <c r="AG606" s="57" cm="1">
        <f t="array" ref="AG606">VLOOKUP(B606,'Player Data'!$A1:$AE673,21,FALSE)*$Q606</f>
        <v>16.560000000000002</v>
      </c>
      <c r="AH606" s="59" cm="1">
        <f t="array" ref="AH606">VLOOKUP(B606,'Player Data'!$A1:$AE673,22,FALSE)</f>
        <v>0.28999999999999998</v>
      </c>
      <c r="AI606" s="55"/>
      <c r="AJ606" s="57"/>
      <c r="AK606" s="57"/>
      <c r="AL606" s="57"/>
      <c r="AM606" s="57"/>
      <c r="AN606" s="57"/>
      <c r="AO606" s="57"/>
      <c r="AP606" s="57"/>
      <c r="AQ606" s="60"/>
      <c r="AR606" s="61"/>
      <c r="AS606" s="55"/>
    </row>
    <row r="607" spans="1:45" ht="21.25" customHeight="1" x14ac:dyDescent="0.15">
      <c r="A607" s="62">
        <f>RANK(K607,K$2:K$671)</f>
        <v>607</v>
      </c>
      <c r="B607" s="10" t="s">
        <v>755</v>
      </c>
      <c r="C607" s="47" t="s">
        <v>145</v>
      </c>
      <c r="D607" s="48" t="str" cm="1">
        <f t="array" ref="D607">VLOOKUP(B607,'Player Data'!A1:D673,4,FALSE)</f>
        <v>C,LW</v>
      </c>
      <c r="E607" s="74" cm="1">
        <f t="array" ref="E607">VLOOKUP(B607,LW!A1:C210,3,FALSE)</f>
        <v>179</v>
      </c>
      <c r="F607" s="72" t="str" cm="1">
        <f t="array" ref="F607">VLOOKUP(B607,'Player Data'!A1:B673,2,FALSE)</f>
        <v>NYI</v>
      </c>
      <c r="G607" s="66" cm="1">
        <f t="array" ref="G607">VLOOKUP(B607,'Player Data'!A1:D673,3,FALSE)</f>
        <v>35</v>
      </c>
      <c r="H607" s="67" cm="1">
        <f t="array" ref="H607">IFERROR(VLOOKUP(B607,ADP!A1:F671,6,FALSE)/1000000,VLOOKUP(B607,ADP!A1:F671,6,FALSE))</f>
        <v>2.5</v>
      </c>
      <c r="I607" s="52">
        <f>IF(Settings!$E$15="POINTS",((R607*Q607)*Settings!$B$12)+(S607*Settings!$B$2)+(T607*Settings!$B$3)+(U607*Settings!$B$4)+(V607*Settings!$B$5)+(X607*Settings!$B$9)+(AA607*Settings!$B$6)+(W607*Settings!$B$8)+(AB607*Settings!$B$7)+(AC607*Settings!$B$14)+(AD607*Settings!$B$15)+(AE607*Settings!$B$16)+(AF607*Settings!$B$17)+(AG607*Settings!$B$18)+(Y607*Settings!$B$10)+(Z607*Settings!$B$11),VLOOKUP(B607,'Standard Deviations'!A$1:C$672,3,FALSE))</f>
        <v>-2.9348833950168505</v>
      </c>
      <c r="J607" s="53" cm="1">
        <f t="array" ref="J607">IF(D607="G",I607/AJ607,I607/Q607)</f>
        <v>-3.5360040903817475E-2</v>
      </c>
      <c r="K607" s="52" cm="1">
        <f t="array" ref="K607">IF(Settings!$E$18="C/LW/RW",VLOOKUP(B607,LW!A1:F210,6,FALSE),VLOOKUP(B607,F!A1:F407,6,FALSE))</f>
        <v>-9.8292690394066611</v>
      </c>
      <c r="L607" s="54" cm="1">
        <f t="array" ref="L607">IFERROR(K607/H607,"N/A")</f>
        <v>-3.9317076157626643</v>
      </c>
      <c r="M607" s="84" t="s">
        <v>828</v>
      </c>
      <c r="N607" s="84" t="str" cm="1">
        <f t="array" ref="N607">IFERROR(M607-A607,"N/A")</f>
        <v>N/A</v>
      </c>
      <c r="O607" s="55"/>
      <c r="P607" s="56" cm="1">
        <f t="array" ref="P607">_xlfn.XLOOKUP($B607,ADP!A2:A671,ADP!G2:G671)</f>
        <v>0</v>
      </c>
      <c r="Q607" s="57" cm="1">
        <f t="array" ref="Q607">IF(Settings!$E$12="YES",VLOOKUP(B607,'Player Data'!A1:E673,5,FALSE),84)</f>
        <v>83</v>
      </c>
      <c r="R607" s="55" cm="1">
        <f t="array" ref="R607">VLOOKUP(B607,'Player Data'!$A1:$AE673,6,FALSE)</f>
        <v>11.7</v>
      </c>
      <c r="S607" s="57" cm="1">
        <f t="array" ref="S607">VLOOKUP(B607,'Player Data'!$A1:$AE673,7,FALSE)*$Q607*IFERROR((VLOOKUP(P607,Settings!$E$28:$F$33,2,FALSE)+1),1)</f>
        <v>7.47</v>
      </c>
      <c r="T607" s="57" cm="1">
        <f t="array" ref="T607">VLOOKUP(B607,'Player Data'!$A1:$AE673,8,FALSE)*$Q607*IFERROR((VLOOKUP(P607,Settings!$E$28:$F$33,2,FALSE)+1),1)</f>
        <v>7.47</v>
      </c>
      <c r="U607" s="57" cm="1">
        <f t="array" ref="U607">SUM(S607:T607)</f>
        <v>14.94</v>
      </c>
      <c r="V607" s="57" cm="1">
        <f t="array" ref="V607">VLOOKUP(B607,'Player Data'!$A1:$AE673,10,FALSE)*$Q607*IFERROR(((VLOOKUP(P607,Settings!$E$28:$F$33,2,FALSE)/2)+1),1)</f>
        <v>80.509999999999991</v>
      </c>
      <c r="W607" s="57" cm="1">
        <f t="array" ref="W607">VLOOKUP(B607,'Player Data'!$A1:$AE673,11,FALSE)*$Q607*IFERROR((VLOOKUP(P607,Settings!$E$28:$F$33,2,FALSE)+1),1)</f>
        <v>0</v>
      </c>
      <c r="X607" s="57" cm="1">
        <f t="array" ref="X607">VLOOKUP(B607,'Player Data'!$A1:$AE673,12,FALSE)*$Q607*IFERROR((VLOOKUP(P607,Settings!$E$28:$F$33,2,FALSE)+1),1)</f>
        <v>0</v>
      </c>
      <c r="Y607" s="57" cm="1">
        <f t="array" ref="Y607">VLOOKUP(B607,'Player Data'!$A1:$AE673,13,FALSE)*$Q607</f>
        <v>0.83000000000000007</v>
      </c>
      <c r="Z607" s="57" cm="1">
        <f t="array" ref="Z607">VLOOKUP(B607,'Player Data'!$A1:$AE673,14,FALSE)*$Q607</f>
        <v>1.6600000000000001</v>
      </c>
      <c r="AA607" s="57" cm="1">
        <f t="array" ref="AA607">VLOOKUP(B607,'Player Data'!$A1:$AE673,15,FALSE)*$Q607</f>
        <v>57.269999999999996</v>
      </c>
      <c r="AB607" s="57" cm="1">
        <f t="array" ref="AB607">VLOOKUP(B607,'Player Data'!$A1:$AE673,16,FALSE)*$Q607</f>
        <v>156.04</v>
      </c>
      <c r="AC607" s="57" cm="1">
        <f t="array" ref="AC607">VLOOKUP(B607,'Player Data'!$A1:$AE673,17,FALSE)*$Q607*IFERROR((VLOOKUP(P607,Settings!$E$28:$F$33,2,FALSE)+1),1)</f>
        <v>-4.1500000000000004</v>
      </c>
      <c r="AD607" s="57" cm="1">
        <f t="array" ref="AD607">VLOOKUP(B607,'Player Data'!$A1:$AE673,18,FALSE)*$Q607</f>
        <v>25.73</v>
      </c>
      <c r="AE607" s="57" cm="1">
        <f t="array" ref="AE607">VLOOKUP(B607,'Player Data'!$A1:$AE673,19,FALSE)*$Q607*IFERROR((VLOOKUP(P607,Settings!$E$28:$F$33,2,FALSE)+1),1)</f>
        <v>0.83000000000000007</v>
      </c>
      <c r="AF607" s="57" cm="1">
        <f t="array" ref="AF607">VLOOKUP(B607,'Player Data'!$A1:$AE673,20,FALSE)*$Q607</f>
        <v>346.94</v>
      </c>
      <c r="AG607" s="57" cm="1">
        <f t="array" ref="AG607">VLOOKUP(B607,'Player Data'!$A1:$AE673,21,FALSE)*$Q607</f>
        <v>289.67</v>
      </c>
      <c r="AH607" s="59" cm="1">
        <f t="array" ref="AH607">VLOOKUP(B607,'Player Data'!$A1:$AE673,22,FALSE)</f>
        <v>0.55000000000000004</v>
      </c>
      <c r="AI607" s="55"/>
      <c r="AJ607" s="57"/>
      <c r="AK607" s="57"/>
      <c r="AL607" s="57"/>
      <c r="AM607" s="57"/>
      <c r="AN607" s="57"/>
      <c r="AO607" s="57"/>
      <c r="AP607" s="57"/>
      <c r="AQ607" s="60"/>
      <c r="AR607" s="61"/>
      <c r="AS607" s="55"/>
    </row>
    <row r="608" spans="1:45" ht="21.25" customHeight="1" x14ac:dyDescent="0.15">
      <c r="A608" s="62">
        <f>RANK(K608,K$2:K$671)</f>
        <v>606</v>
      </c>
      <c r="B608" s="10" t="s">
        <v>710</v>
      </c>
      <c r="C608" s="47" t="s">
        <v>145</v>
      </c>
      <c r="D608" s="48" t="str" cm="1">
        <f t="array" ref="D608">VLOOKUP(B608,'Player Data'!A1:D673,4,FALSE)</f>
        <v>C,RW</v>
      </c>
      <c r="E608" s="74" cm="1">
        <f t="array" ref="E608">VLOOKUP(B608,RW!A1:F210,3,FALSE)</f>
        <v>175</v>
      </c>
      <c r="F608" s="72" t="str" cm="1">
        <f t="array" ref="F608">VLOOKUP(B608,'Player Data'!A1:B673,2,FALSE)</f>
        <v>BOS</v>
      </c>
      <c r="G608" s="66" cm="1">
        <f t="array" ref="G608">VLOOKUP(B608,'Player Data'!A1:D673,3,FALSE)</f>
        <v>33</v>
      </c>
      <c r="H608" s="67" cm="1">
        <f t="array" ref="H608">IFERROR(VLOOKUP(B608,ADP!A1:F671,6,FALSE)/1000000,VLOOKUP(B608,ADP!A1:F671,6,FALSE))</f>
        <v>1.85</v>
      </c>
      <c r="I608" s="52">
        <f>IF(Settings!$E$15="POINTS",((R608*Q608)*Settings!$B$12)+(S608*Settings!$B$2)+(T608*Settings!$B$3)+(U608*Settings!$B$4)+(V608*Settings!$B$5)+(X608*Settings!$B$9)+(AA608*Settings!$B$6)+(W608*Settings!$B$8)+(AB608*Settings!$B$7)+(AC608*Settings!$B$14)+(AD608*Settings!$B$15)+(AE608*Settings!$B$16)+(AF608*Settings!$B$17)+(AG608*Settings!$B$18)+(Y608*Settings!$B$10)+(Z608*Settings!$B$11),VLOOKUP(B608,'Standard Deviations'!A$1:C$672,3,FALSE))</f>
        <v>-2.9092596885174622</v>
      </c>
      <c r="J608" s="53" cm="1">
        <f t="array" ref="J608">IF(D608="G",I608/AJ608,I608/Q608)</f>
        <v>-3.5478776689237344E-2</v>
      </c>
      <c r="K608" s="52" cm="1">
        <f t="array" ref="K608">IF(Settings!$E$18="C/LW/RW",VLOOKUP(B608,RW!A1:F210,6,FALSE),VLOOKUP(B608,F!A1:F407,6,FALSE))</f>
        <v>-9.7964942903265388</v>
      </c>
      <c r="L608" s="54" cm="1">
        <f t="array" ref="L608">IFERROR(K608/H608,"N/A")</f>
        <v>-5.2954023190954258</v>
      </c>
      <c r="M608" s="84" t="s">
        <v>828</v>
      </c>
      <c r="N608" s="84" t="str" cm="1">
        <f t="array" ref="N608">IFERROR(M608-A608,"N/A")</f>
        <v>N/A</v>
      </c>
      <c r="O608" s="55"/>
      <c r="P608" s="56" cm="1">
        <f t="array" ref="P608">_xlfn.XLOOKUP($B608,ADP!A2:A671,ADP!G2:G671)</f>
        <v>0</v>
      </c>
      <c r="Q608" s="57" cm="1">
        <f t="array" ref="Q608">IF(Settings!$E$12="YES",VLOOKUP(B608,'Player Data'!A1:E673,5,FALSE),84)</f>
        <v>82</v>
      </c>
      <c r="R608" s="55" cm="1">
        <f t="array" ref="R608">VLOOKUP(B608,'Player Data'!$A1:$AE673,6,FALSE)</f>
        <v>12.9</v>
      </c>
      <c r="S608" s="57" cm="1">
        <f t="array" ref="S608">VLOOKUP(B608,'Player Data'!$A1:$AE673,7,FALSE)*$Q608*IFERROR((VLOOKUP(P608,Settings!$E$28:$F$33,2,FALSE)+1),1)</f>
        <v>5.74</v>
      </c>
      <c r="T608" s="57" cm="1">
        <f t="array" ref="T608">VLOOKUP(B608,'Player Data'!$A1:$AE673,8,FALSE)*$Q608*IFERROR((VLOOKUP(P608,Settings!$E$28:$F$33,2,FALSE)+1),1)</f>
        <v>12.299999999999999</v>
      </c>
      <c r="U608" s="57" cm="1">
        <f t="array" ref="U608">SUM(S608:T608)</f>
        <v>18.04</v>
      </c>
      <c r="V608" s="57" cm="1">
        <f t="array" ref="V608">VLOOKUP(B608,'Player Data'!$A1:$AE673,10,FALSE)*$Q608*IFERROR(((VLOOKUP(P608,Settings!$E$28:$F$33,2,FALSE)/2)+1),1)</f>
        <v>100.03999999999999</v>
      </c>
      <c r="W608" s="57" cm="1">
        <f t="array" ref="W608">VLOOKUP(B608,'Player Data'!$A1:$AE673,11,FALSE)*$Q608*IFERROR((VLOOKUP(P608,Settings!$E$28:$F$33,2,FALSE)+1),1)</f>
        <v>0</v>
      </c>
      <c r="X608" s="57" cm="1">
        <f t="array" ref="X608">VLOOKUP(B608,'Player Data'!$A1:$AE673,12,FALSE)*$Q608*IFERROR((VLOOKUP(P608,Settings!$E$28:$F$33,2,FALSE)+1),1)</f>
        <v>0</v>
      </c>
      <c r="Y608" s="57" cm="1">
        <f t="array" ref="Y608">VLOOKUP(B608,'Player Data'!$A1:$AE673,13,FALSE)*$Q608</f>
        <v>0</v>
      </c>
      <c r="Z608" s="57" cm="1">
        <f t="array" ref="Z608">VLOOKUP(B608,'Player Data'!$A1:$AE673,14,FALSE)*$Q608</f>
        <v>0</v>
      </c>
      <c r="AA608" s="57" cm="1">
        <f t="array" ref="AA608">VLOOKUP(B608,'Player Data'!$A1:$AE673,15,FALSE)*$Q608</f>
        <v>46.739999999999995</v>
      </c>
      <c r="AB608" s="57" cm="1">
        <f t="array" ref="AB608">VLOOKUP(B608,'Player Data'!$A1:$AE673,16,FALSE)*$Q608</f>
        <v>114.8</v>
      </c>
      <c r="AC608" s="57" cm="1">
        <f t="array" ref="AC608">VLOOKUP(B608,'Player Data'!$A1:$AE673,17,FALSE)*$Q608*IFERROR((VLOOKUP(P608,Settings!$E$28:$F$33,2,FALSE)+1),1)</f>
        <v>-2.46</v>
      </c>
      <c r="AD608" s="57" cm="1">
        <f t="array" ref="AD608">VLOOKUP(B608,'Player Data'!$A1:$AE673,18,FALSE)*$Q608</f>
        <v>31.98</v>
      </c>
      <c r="AE608" s="57" cm="1">
        <f t="array" ref="AE608">VLOOKUP(B608,'Player Data'!$A1:$AE673,19,FALSE)*$Q608*IFERROR((VLOOKUP(P608,Settings!$E$28:$F$33,2,FALSE)+1),1)</f>
        <v>0.82000000000000006</v>
      </c>
      <c r="AF608" s="57" cm="1">
        <f t="array" ref="AF608">VLOOKUP(B608,'Player Data'!$A1:$AE673,20,FALSE)*$Q608</f>
        <v>333.74</v>
      </c>
      <c r="AG608" s="57" cm="1">
        <f t="array" ref="AG608">VLOOKUP(B608,'Player Data'!$A1:$AE673,21,FALSE)*$Q608</f>
        <v>313.24</v>
      </c>
      <c r="AH608" s="59" cm="1">
        <f t="array" ref="AH608">VLOOKUP(B608,'Player Data'!$A1:$AE673,22,FALSE)</f>
        <v>0.52</v>
      </c>
      <c r="AI608" s="55"/>
      <c r="AJ608" s="57"/>
      <c r="AK608" s="57"/>
      <c r="AL608" s="57"/>
      <c r="AM608" s="57"/>
      <c r="AN608" s="57"/>
      <c r="AO608" s="57"/>
      <c r="AP608" s="57"/>
      <c r="AQ608" s="60"/>
      <c r="AR608" s="61"/>
      <c r="AS608" s="55"/>
    </row>
    <row r="609" spans="1:45" ht="21.25" customHeight="1" x14ac:dyDescent="0.15">
      <c r="A609" s="62">
        <f>RANK(K609,K$2:K$671)</f>
        <v>608</v>
      </c>
      <c r="B609" s="10" t="s">
        <v>625</v>
      </c>
      <c r="C609" s="47" t="s">
        <v>145</v>
      </c>
      <c r="D609" s="48" t="str" cm="1">
        <f t="array" ref="D609">VLOOKUP(B609,'Player Data'!A1:D673,4,FALSE)</f>
        <v>C</v>
      </c>
      <c r="E609" s="49" cm="1">
        <f t="array" ref="E609">VLOOKUP(B609,'C'!A1:C210,3,FALSE)</f>
        <v>185</v>
      </c>
      <c r="F609" s="18" t="str" cm="1">
        <f t="array" ref="F609">VLOOKUP(B609,'Player Data'!A1:B673,2,FALSE)</f>
        <v>VAN</v>
      </c>
      <c r="G609" s="11" cm="1">
        <f t="array" ref="G609">VLOOKUP(B609,'Player Data'!A1:D673,3,FALSE)</f>
        <v>27</v>
      </c>
      <c r="H609" s="67" cm="1">
        <f t="array" ref="H609">IFERROR(VLOOKUP(B609,ADP!A1:F671,6,FALSE)/1000000,VLOOKUP(B609,ADP!A1:F671,6,FALSE))</f>
        <v>4.4375</v>
      </c>
      <c r="I609" s="52">
        <f>IF(Settings!$E$15="POINTS",((R609*Q609)*Settings!$B$12)+(S609*Settings!$B$2)+(T609*Settings!$B$3)+(U609*Settings!$B$4)+(V609*Settings!$B$5)+(X609*Settings!$B$9)+(AA609*Settings!$B$6)+(W609*Settings!$B$8)+(AB609*Settings!$B$7)+(AC609*Settings!$B$14)+(AD609*Settings!$B$15)+(AE609*Settings!$B$16)+(AF609*Settings!$B$17)+(AG609*Settings!$B$18)+(Y609*Settings!$B$10)+(Z609*Settings!$B$11),VLOOKUP(B609,'Standard Deviations'!A$1:C$672,3,FALSE))</f>
        <v>-3.4729374871748071</v>
      </c>
      <c r="J609" s="53" cm="1">
        <f t="array" ref="J609">IF(D609="G",I609/AJ609,I609/Q609)</f>
        <v>-5.6933401429095198E-2</v>
      </c>
      <c r="K609" s="52" cm="1">
        <f t="array" ref="K609">IF(Settings!$E$18="C/LW/RW",VLOOKUP(B609,'C'!A1:F210,6,FALSE),VLOOKUP(B609,F!A1:F407,6,FALSE))</f>
        <v>-9.8329470447898721</v>
      </c>
      <c r="L609" s="54" cm="1">
        <f t="array" ref="L609">IFERROR(K609/H609,"N/A")</f>
        <v>-2.2158753903751824</v>
      </c>
      <c r="M609" s="84" t="s">
        <v>828</v>
      </c>
      <c r="N609" s="84" t="str" cm="1">
        <f t="array" ref="N609">IFERROR(M609-A609,"N/A")</f>
        <v>N/A</v>
      </c>
      <c r="O609" s="55"/>
      <c r="P609" s="56" cm="1">
        <f t="array" ref="P609">_xlfn.XLOOKUP($B609,ADP!A2:A671,ADP!G2:G671)</f>
        <v>0</v>
      </c>
      <c r="Q609" s="57" cm="1">
        <f t="array" ref="Q609">IF(Settings!$E$12="YES",VLOOKUP(B609,'Player Data'!A1:E673,5,FALSE),84)</f>
        <v>61</v>
      </c>
      <c r="R609" s="55" cm="1">
        <f t="array" ref="R609">VLOOKUP(B609,'Player Data'!$A1:$AE673,6,FALSE)</f>
        <v>15.4</v>
      </c>
      <c r="S609" s="57" cm="1">
        <f t="array" ref="S609">VLOOKUP(B609,'Player Data'!$A1:$AE673,7,FALSE)*$Q609*IFERROR((VLOOKUP(P609,Settings!$E$28:$F$33,2,FALSE)+1),1)</f>
        <v>14.030000000000001</v>
      </c>
      <c r="T609" s="57" cm="1">
        <f t="array" ref="T609">VLOOKUP(B609,'Player Data'!$A1:$AE673,8,FALSE)*$Q609*IFERROR((VLOOKUP(P609,Settings!$E$28:$F$33,2,FALSE)+1),1)</f>
        <v>15.25</v>
      </c>
      <c r="U609" s="57" cm="1">
        <f t="array" ref="U609">SUM(S609:T609)</f>
        <v>29.28</v>
      </c>
      <c r="V609" s="57" cm="1">
        <f t="array" ref="V609">VLOOKUP(B609,'Player Data'!$A1:$AE673,10,FALSE)*$Q609*IFERROR(((VLOOKUP(P609,Settings!$E$28:$F$33,2,FALSE)/2)+1),1)</f>
        <v>131.76000000000002</v>
      </c>
      <c r="W609" s="57" cm="1">
        <f t="array" ref="W609">VLOOKUP(B609,'Player Data'!$A1:$AE673,11,FALSE)*$Q609*IFERROR((VLOOKUP(P609,Settings!$E$28:$F$33,2,FALSE)+1),1)</f>
        <v>1.22</v>
      </c>
      <c r="X609" s="57" cm="1">
        <f t="array" ref="X609">VLOOKUP(B609,'Player Data'!$A1:$AE673,12,FALSE)*$Q609*IFERROR((VLOOKUP(P609,Settings!$E$28:$F$33,2,FALSE)+1),1)</f>
        <v>4.2700000000000005</v>
      </c>
      <c r="Y609" s="57" cm="1">
        <f t="array" ref="Y609">VLOOKUP(B609,'Player Data'!$A1:$AE673,13,FALSE)*$Q609</f>
        <v>0</v>
      </c>
      <c r="Z609" s="57" cm="1">
        <f t="array" ref="Z609">VLOOKUP(B609,'Player Data'!$A1:$AE673,14,FALSE)*$Q609</f>
        <v>0</v>
      </c>
      <c r="AA609" s="57" cm="1">
        <f t="array" ref="AA609">VLOOKUP(B609,'Player Data'!$A1:$AE673,15,FALSE)*$Q609</f>
        <v>21.349999999999998</v>
      </c>
      <c r="AB609" s="57" cm="1">
        <f t="array" ref="AB609">VLOOKUP(B609,'Player Data'!$A1:$AE673,16,FALSE)*$Q609</f>
        <v>34.160000000000004</v>
      </c>
      <c r="AC609" s="57" cm="1">
        <f t="array" ref="AC609">VLOOKUP(B609,'Player Data'!$A1:$AE673,17,FALSE)*$Q609*IFERROR((VLOOKUP(P609,Settings!$E$28:$F$33,2,FALSE)+1),1)</f>
        <v>-6.71</v>
      </c>
      <c r="AD609" s="57" cm="1">
        <f t="array" ref="AD609">VLOOKUP(B609,'Player Data'!$A1:$AE673,18,FALSE)*$Q609</f>
        <v>22.57</v>
      </c>
      <c r="AE609" s="57" cm="1">
        <f t="array" ref="AE609">VLOOKUP(B609,'Player Data'!$A1:$AE673,19,FALSE)*$Q609*IFERROR((VLOOKUP(P609,Settings!$E$28:$F$33,2,FALSE)+1),1)</f>
        <v>1.8299999999999998</v>
      </c>
      <c r="AF609" s="57" cm="1">
        <f t="array" ref="AF609">VLOOKUP(B609,'Player Data'!$A1:$AE673,20,FALSE)*$Q609</f>
        <v>286.7</v>
      </c>
      <c r="AG609" s="57" cm="1">
        <f t="array" ref="AG609">VLOOKUP(B609,'Player Data'!$A1:$AE673,21,FALSE)*$Q609</f>
        <v>326.34999999999997</v>
      </c>
      <c r="AH609" s="59" cm="1">
        <f t="array" ref="AH609">VLOOKUP(B609,'Player Data'!$A1:$AE673,22,FALSE)</f>
        <v>0.47</v>
      </c>
      <c r="AI609" s="55"/>
      <c r="AJ609" s="57"/>
      <c r="AK609" s="57"/>
      <c r="AL609" s="57"/>
      <c r="AM609" s="57"/>
      <c r="AN609" s="57"/>
      <c r="AO609" s="57"/>
      <c r="AP609" s="57"/>
      <c r="AQ609" s="60"/>
      <c r="AR609" s="61"/>
      <c r="AS609" s="55"/>
    </row>
    <row r="610" spans="1:45" ht="21.25" customHeight="1" x14ac:dyDescent="0.15">
      <c r="A610" s="62">
        <f>RANK(K610,K$2:K$671)</f>
        <v>609</v>
      </c>
      <c r="B610" s="10" t="s">
        <v>782</v>
      </c>
      <c r="C610" s="47" t="s">
        <v>145</v>
      </c>
      <c r="D610" s="48" t="str" cm="1">
        <f t="array" ref="D610">VLOOKUP(B610,'Player Data'!A1:D673,4,FALSE)</f>
        <v>LW,RW</v>
      </c>
      <c r="E610" s="74" cm="1">
        <f t="array" ref="E610">VLOOKUP(B610,RW!A1:F210,3,FALSE)</f>
        <v>176</v>
      </c>
      <c r="F610" s="56" t="str" cm="1">
        <f t="array" ref="F610">VLOOKUP(B610,'Player Data'!A1:B673,2,FALSE)</f>
        <v>UTA</v>
      </c>
      <c r="G610" s="66" cm="1">
        <f t="array" ref="G610">VLOOKUP(B610,'Player Data'!A1:D673,3,FALSE)</f>
        <v>34</v>
      </c>
      <c r="H610" s="51" cm="1">
        <f t="array" ref="H610">IFERROR(VLOOKUP(B610,ADP!A1:F671,6,FALSE)/1000000,VLOOKUP(B610,ADP!A1:F671,6,FALSE))</f>
        <v>2.5</v>
      </c>
      <c r="I610" s="52">
        <f>IF(Settings!$E$15="POINTS",((R610*Q610)*Settings!$B$12)+(S610*Settings!$B$2)+(T610*Settings!$B$3)+(U610*Settings!$B$4)+(V610*Settings!$B$5)+(X610*Settings!$B$9)+(AA610*Settings!$B$6)+(W610*Settings!$B$8)+(AB610*Settings!$B$7)+(AC610*Settings!$B$14)+(AD610*Settings!$B$15)+(AE610*Settings!$B$16)+(AF610*Settings!$B$17)+(AG610*Settings!$B$18)+(Y610*Settings!$B$10)+(Z610*Settings!$B$11),VLOOKUP(B610,'Standard Deviations'!A$1:C$672,3,FALSE))</f>
        <v>-2.9801103622299596</v>
      </c>
      <c r="J610" s="53" cm="1">
        <f t="array" ref="J610">IF(D610="G",I610/AJ610,I610/Q610)</f>
        <v>-3.8702731977012461E-2</v>
      </c>
      <c r="K610" s="52" cm="1">
        <f t="array" ref="K610">IF(Settings!$E$18="C/LW/RW",VLOOKUP(B610,RW!A1:F210,6,FALSE),VLOOKUP(B610,F!A1:F407,6,FALSE))</f>
        <v>-9.867344964039038</v>
      </c>
      <c r="L610" s="54" cm="1">
        <f t="array" ref="L610">IFERROR(K610/H610,"N/A")</f>
        <v>-3.946937985615615</v>
      </c>
      <c r="M610" s="84" t="s">
        <v>828</v>
      </c>
      <c r="N610" s="84" t="str" cm="1">
        <f t="array" ref="N610">IFERROR(M610-A610,"N/A")</f>
        <v>N/A</v>
      </c>
      <c r="O610" s="55"/>
      <c r="P610" s="56" cm="1">
        <f t="array" ref="P610">_xlfn.XLOOKUP($B610,ADP!A2:A671,ADP!G2:G671)</f>
        <v>0</v>
      </c>
      <c r="Q610" s="57" cm="1">
        <f t="array" ref="Q610">IF(Settings!$E$12="YES",VLOOKUP(B610,'Player Data'!A1:E673,5,FALSE),84)</f>
        <v>77</v>
      </c>
      <c r="R610" s="55" cm="1">
        <f t="array" ref="R610">VLOOKUP(B610,'Player Data'!$A1:$AE673,6,FALSE)</f>
        <v>9.4</v>
      </c>
      <c r="S610" s="57" cm="1">
        <f t="array" ref="S610">VLOOKUP(B610,'Player Data'!$A1:$AE673,7,FALSE)*$Q610*IFERROR((VLOOKUP(P610,Settings!$E$28:$F$33,2,FALSE)+1),1)</f>
        <v>3.85</v>
      </c>
      <c r="T610" s="57" cm="1">
        <f t="array" ref="T610">VLOOKUP(B610,'Player Data'!$A1:$AE673,8,FALSE)*$Q610*IFERROR((VLOOKUP(P610,Settings!$E$28:$F$33,2,FALSE)+1),1)</f>
        <v>6.16</v>
      </c>
      <c r="U610" s="57" cm="1">
        <f t="array" ref="U610">SUM(S610:T610)</f>
        <v>10.01</v>
      </c>
      <c r="V610" s="57" cm="1">
        <f t="array" ref="V610">VLOOKUP(B610,'Player Data'!$A1:$AE673,10,FALSE)*$Q610*IFERROR(((VLOOKUP(P610,Settings!$E$28:$F$33,2,FALSE)/2)+1),1)</f>
        <v>60.06</v>
      </c>
      <c r="W610" s="57" cm="1">
        <f t="array" ref="W610">VLOOKUP(B610,'Player Data'!$A1:$AE673,11,FALSE)*$Q610*IFERROR((VLOOKUP(P610,Settings!$E$28:$F$33,2,FALSE)+1),1)</f>
        <v>0</v>
      </c>
      <c r="X610" s="57" cm="1">
        <f t="array" ref="X610">VLOOKUP(B610,'Player Data'!$A1:$AE673,12,FALSE)*$Q610*IFERROR((VLOOKUP(P610,Settings!$E$28:$F$33,2,FALSE)+1),1)</f>
        <v>0</v>
      </c>
      <c r="Y610" s="57" cm="1">
        <f t="array" ref="Y610">VLOOKUP(B610,'Player Data'!$A1:$AE673,13,FALSE)*$Q610</f>
        <v>0</v>
      </c>
      <c r="Z610" s="57" cm="1">
        <f t="array" ref="Z610">VLOOKUP(B610,'Player Data'!$A1:$AE673,14,FALSE)*$Q610</f>
        <v>0</v>
      </c>
      <c r="AA610" s="57" cm="1">
        <f t="array" ref="AA610">VLOOKUP(B610,'Player Data'!$A1:$AE673,15,FALSE)*$Q610</f>
        <v>50.82</v>
      </c>
      <c r="AB610" s="57" cm="1">
        <f t="array" ref="AB610">VLOOKUP(B610,'Player Data'!$A1:$AE673,16,FALSE)*$Q610</f>
        <v>165.54999999999998</v>
      </c>
      <c r="AC610" s="57" cm="1">
        <f t="array" ref="AC610">VLOOKUP(B610,'Player Data'!$A1:$AE673,17,FALSE)*$Q610*IFERROR((VLOOKUP(P610,Settings!$E$28:$F$33,2,FALSE)+1),1)</f>
        <v>-1.54</v>
      </c>
      <c r="AD610" s="57" cm="1">
        <f t="array" ref="AD610">VLOOKUP(B610,'Player Data'!$A1:$AE673,18,FALSE)*$Q610</f>
        <v>28.49</v>
      </c>
      <c r="AE610" s="57" cm="1">
        <f t="array" ref="AE610">VLOOKUP(B610,'Player Data'!$A1:$AE673,19,FALSE)*$Q610*IFERROR((VLOOKUP(P610,Settings!$E$28:$F$33,2,FALSE)+1),1)</f>
        <v>0.77</v>
      </c>
      <c r="AF610" s="57" cm="1">
        <f t="array" ref="AF610">VLOOKUP(B610,'Player Data'!$A1:$AE673,20,FALSE)*$Q610</f>
        <v>4.62</v>
      </c>
      <c r="AG610" s="57" cm="1">
        <f t="array" ref="AG610">VLOOKUP(B610,'Player Data'!$A1:$AE673,21,FALSE)*$Q610</f>
        <v>16.169999999999998</v>
      </c>
      <c r="AH610" s="59" cm="1">
        <f t="array" ref="AH610">VLOOKUP(B610,'Player Data'!$A1:$AE673,22,FALSE)</f>
        <v>0.23</v>
      </c>
      <c r="AI610" s="55"/>
      <c r="AJ610" s="57"/>
      <c r="AK610" s="57"/>
      <c r="AL610" s="57"/>
      <c r="AM610" s="57"/>
      <c r="AN610" s="57"/>
      <c r="AO610" s="57"/>
      <c r="AP610" s="57"/>
      <c r="AQ610" s="60"/>
      <c r="AR610" s="61"/>
      <c r="AS610" s="55"/>
    </row>
    <row r="611" spans="1:45" ht="21.25" customHeight="1" x14ac:dyDescent="0.15">
      <c r="A611" s="62">
        <f>RANK(K611,K$2:K$671)</f>
        <v>610</v>
      </c>
      <c r="B611" s="10" t="s">
        <v>730</v>
      </c>
      <c r="C611" s="47" t="s">
        <v>145</v>
      </c>
      <c r="D611" s="48" t="str" cm="1">
        <f t="array" ref="D611">VLOOKUP(B611,'Player Data'!A1:D673,4,FALSE)</f>
        <v>LW,RW</v>
      </c>
      <c r="E611" s="74" cm="1">
        <f t="array" ref="E611">VLOOKUP(B611,RW!A1:F210,3,FALSE)</f>
        <v>177</v>
      </c>
      <c r="F611" s="56" t="str" cm="1">
        <f t="array" ref="F611">VLOOKUP(B611,'Player Data'!A1:B673,2,FALSE)</f>
        <v>UTA</v>
      </c>
      <c r="G611" s="71" cm="1">
        <f t="array" ref="G611">VLOOKUP(B611,'Player Data'!A1:D673,3,FALSE)</f>
        <v>21</v>
      </c>
      <c r="H611" s="51" cm="1">
        <f t="array" ref="H611">IFERROR(VLOOKUP(B611,ADP!A1:F671,6,FALSE)/1000000,VLOOKUP(B611,ADP!A1:F671,6,FALSE))</f>
        <v>0.95</v>
      </c>
      <c r="I611" s="52">
        <f>IF(Settings!$E$15="POINTS",((R611*Q611)*Settings!$B$12)+(S611*Settings!$B$2)+(T611*Settings!$B$3)+(U611*Settings!$B$4)+(V611*Settings!$B$5)+(X611*Settings!$B$9)+(AA611*Settings!$B$6)+(W611*Settings!$B$8)+(AB611*Settings!$B$7)+(AC611*Settings!$B$14)+(AD611*Settings!$B$15)+(AE611*Settings!$B$16)+(AF611*Settings!$B$17)+(AG611*Settings!$B$18)+(Y611*Settings!$B$10)+(Z611*Settings!$B$11),VLOOKUP(B611,'Standard Deviations'!A$1:C$672,3,FALSE))</f>
        <v>-2.9853942071396324</v>
      </c>
      <c r="J611" s="53" cm="1">
        <f t="array" ref="J611">IF(D611="G",I611/AJ611,I611/Q611)</f>
        <v>-4.8151519469994068E-2</v>
      </c>
      <c r="K611" s="52" cm="1">
        <f t="array" ref="K611">IF(Settings!$E$18="C/LW/RW",VLOOKUP(B611,RW!A1:F210,6,FALSE),VLOOKUP(B611,F!A1:F407,6,FALSE))</f>
        <v>-9.8726288089487095</v>
      </c>
      <c r="L611" s="54" cm="1">
        <f t="array" ref="L611">IFERROR(K611/H611,"N/A")</f>
        <v>-10.392240851524958</v>
      </c>
      <c r="M611" s="84" t="s">
        <v>828</v>
      </c>
      <c r="N611" s="84" t="str" cm="1">
        <f t="array" ref="N611">IFERROR(M611-A611,"N/A")</f>
        <v>N/A</v>
      </c>
      <c r="O611" s="55"/>
      <c r="P611" s="56" cm="1">
        <f t="array" ref="P611">_xlfn.XLOOKUP($B611,ADP!A2:A671,ADP!G2:G671)</f>
        <v>0</v>
      </c>
      <c r="Q611" s="57" cm="1">
        <f t="array" ref="Q611">IF(Settings!$E$12="YES",VLOOKUP(B611,'Player Data'!A1:E673,5,FALSE),84)</f>
        <v>62</v>
      </c>
      <c r="R611" s="55" cm="1">
        <f t="array" ref="R611">VLOOKUP(B611,'Player Data'!$A1:$AE673,6,FALSE)</f>
        <v>12.5</v>
      </c>
      <c r="S611" s="57" cm="1">
        <f t="array" ref="S611">VLOOKUP(B611,'Player Data'!$A1:$AE673,7,FALSE)*$Q611*IFERROR((VLOOKUP(P611,Settings!$E$28:$F$33,2,FALSE)+1),1)</f>
        <v>8.6800000000000015</v>
      </c>
      <c r="T611" s="57" cm="1">
        <f t="array" ref="T611">VLOOKUP(B611,'Player Data'!$A1:$AE673,8,FALSE)*$Q611*IFERROR((VLOOKUP(P611,Settings!$E$28:$F$33,2,FALSE)+1),1)</f>
        <v>9.92</v>
      </c>
      <c r="U611" s="57" cm="1">
        <f t="array" ref="U611">SUM(S611:T611)</f>
        <v>18.600000000000001</v>
      </c>
      <c r="V611" s="57" cm="1">
        <f t="array" ref="V611">VLOOKUP(B611,'Player Data'!$A1:$AE673,10,FALSE)*$Q611*IFERROR(((VLOOKUP(P611,Settings!$E$28:$F$33,2,FALSE)/2)+1),1)</f>
        <v>90.52</v>
      </c>
      <c r="W611" s="57" cm="1">
        <f t="array" ref="W611">VLOOKUP(B611,'Player Data'!$A1:$AE673,11,FALSE)*$Q611*IFERROR((VLOOKUP(P611,Settings!$E$28:$F$33,2,FALSE)+1),1)</f>
        <v>1.24</v>
      </c>
      <c r="X611" s="57" cm="1">
        <f t="array" ref="X611">VLOOKUP(B611,'Player Data'!$A1:$AE673,12,FALSE)*$Q611*IFERROR((VLOOKUP(P611,Settings!$E$28:$F$33,2,FALSE)+1),1)</f>
        <v>3.7199999999999998</v>
      </c>
      <c r="Y611" s="57" cm="1">
        <f t="array" ref="Y611">VLOOKUP(B611,'Player Data'!$A1:$AE673,13,FALSE)*$Q611</f>
        <v>0</v>
      </c>
      <c r="Z611" s="57" cm="1">
        <f t="array" ref="Z611">VLOOKUP(B611,'Player Data'!$A1:$AE673,14,FALSE)*$Q611</f>
        <v>0.62</v>
      </c>
      <c r="AA611" s="57" cm="1">
        <f t="array" ref="AA611">VLOOKUP(B611,'Player Data'!$A1:$AE673,15,FALSE)*$Q611</f>
        <v>35.96</v>
      </c>
      <c r="AB611" s="57" cm="1">
        <f t="array" ref="AB611">VLOOKUP(B611,'Player Data'!$A1:$AE673,16,FALSE)*$Q611</f>
        <v>48.980000000000004</v>
      </c>
      <c r="AC611" s="57" cm="1">
        <f t="array" ref="AC611">VLOOKUP(B611,'Player Data'!$A1:$AE673,17,FALSE)*$Q611*IFERROR((VLOOKUP(P611,Settings!$E$28:$F$33,2,FALSE)+1),1)</f>
        <v>1.8599999999999999</v>
      </c>
      <c r="AD611" s="57" cm="1">
        <f t="array" ref="AD611">VLOOKUP(B611,'Player Data'!$A1:$AE673,18,FALSE)*$Q611</f>
        <v>18.599999999999998</v>
      </c>
      <c r="AE611" s="57" cm="1">
        <f t="array" ref="AE611">VLOOKUP(B611,'Player Data'!$A1:$AE673,19,FALSE)*$Q611*IFERROR((VLOOKUP(P611,Settings!$E$28:$F$33,2,FALSE)+1),1)</f>
        <v>1.24</v>
      </c>
      <c r="AF611" s="57" cm="1">
        <f t="array" ref="AF611">VLOOKUP(B611,'Player Data'!$A1:$AE673,20,FALSE)*$Q611</f>
        <v>14.879999999999999</v>
      </c>
      <c r="AG611" s="57" cm="1">
        <f t="array" ref="AG611">VLOOKUP(B611,'Player Data'!$A1:$AE673,21,FALSE)*$Q611</f>
        <v>30.38</v>
      </c>
      <c r="AH611" s="59" cm="1">
        <f t="array" ref="AH611">VLOOKUP(B611,'Player Data'!$A1:$AE673,22,FALSE)</f>
        <v>0.33</v>
      </c>
      <c r="AI611" s="55"/>
      <c r="AJ611" s="57"/>
      <c r="AK611" s="57"/>
      <c r="AL611" s="57"/>
      <c r="AM611" s="57"/>
      <c r="AN611" s="57"/>
      <c r="AO611" s="57"/>
      <c r="AP611" s="57"/>
      <c r="AQ611" s="60"/>
      <c r="AR611" s="61"/>
      <c r="AS611" s="55"/>
    </row>
    <row r="612" spans="1:45" ht="21.25" customHeight="1" x14ac:dyDescent="0.15">
      <c r="A612" s="62">
        <f>RANK(K612,K$2:K$671)</f>
        <v>614</v>
      </c>
      <c r="B612" s="10" t="s">
        <v>770</v>
      </c>
      <c r="C612" s="47" t="s">
        <v>145</v>
      </c>
      <c r="D612" s="48" t="str" cm="1">
        <f t="array" ref="D612">VLOOKUP(B612,'Player Data'!A1:D673,4,FALSE)</f>
        <v>LW</v>
      </c>
      <c r="E612" s="75" cm="1">
        <f t="array" ref="E612">VLOOKUP(B612,LW!A1:C210,3,FALSE)</f>
        <v>183</v>
      </c>
      <c r="F612" s="18" t="str" cm="1">
        <f t="array" ref="F612">VLOOKUP(B612,'Player Data'!A1:B673,2,FALSE)</f>
        <v>VAN</v>
      </c>
      <c r="G612" s="11" cm="1">
        <f t="array" ref="G612">VLOOKUP(B612,'Player Data'!A1:D673,3,FALSE)</f>
        <v>26</v>
      </c>
      <c r="H612" s="67" cm="1">
        <f t="array" ref="H612">IFERROR(VLOOKUP(B612,ADP!A1:F671,6,FALSE)/1000000,VLOOKUP(B612,ADP!A1:F671,6,FALSE))</f>
        <v>2.15</v>
      </c>
      <c r="I612" s="52">
        <f>IF(Settings!$E$15="POINTS",((R612*Q612)*Settings!$B$12)+(S612*Settings!$B$2)+(T612*Settings!$B$3)+(U612*Settings!$B$4)+(V612*Settings!$B$5)+(X612*Settings!$B$9)+(AA612*Settings!$B$6)+(W612*Settings!$B$8)+(AB612*Settings!$B$7)+(AC612*Settings!$B$14)+(AD612*Settings!$B$15)+(AE612*Settings!$B$16)+(AF612*Settings!$B$17)+(AG612*Settings!$B$18)+(Y612*Settings!$B$10)+(Z612*Settings!$B$11),VLOOKUP(B612,'Standard Deviations'!A$1:C$672,3,FALSE))</f>
        <v>-3.0727250031253059</v>
      </c>
      <c r="J612" s="53" cm="1">
        <f t="array" ref="J612">IF(D612="G",I612/AJ612,I612/Q612)</f>
        <v>-3.747225613567446E-2</v>
      </c>
      <c r="K612" s="52" cm="1">
        <f t="array" ref="K612">IF(Settings!$E$18="C/LW/RW",VLOOKUP(B612,LW!A1:F210,6,FALSE),VLOOKUP(B612,F!A1:F407,6,FALSE))</f>
        <v>-9.9671106475151152</v>
      </c>
      <c r="L612" s="54" cm="1">
        <f t="array" ref="L612">IFERROR(K612/H612,"N/A")</f>
        <v>-4.6358654174488914</v>
      </c>
      <c r="M612" s="84" t="s">
        <v>828</v>
      </c>
      <c r="N612" s="84" t="str" cm="1">
        <f t="array" ref="N612">IFERROR(M612-A612,"N/A")</f>
        <v>N/A</v>
      </c>
      <c r="O612" s="55"/>
      <c r="P612" s="56" cm="1">
        <f t="array" ref="P612">_xlfn.XLOOKUP($B612,ADP!A2:A671,ADP!G2:G671)</f>
        <v>0</v>
      </c>
      <c r="Q612" s="57" cm="1">
        <f t="array" ref="Q612">IF(Settings!$E$12="YES",VLOOKUP(B612,'Player Data'!A1:E673,5,FALSE),84)</f>
        <v>82</v>
      </c>
      <c r="R612" s="55" cm="1">
        <f t="array" ref="R612">VLOOKUP(B612,'Player Data'!$A1:$AE673,6,FALSE)</f>
        <v>10.6</v>
      </c>
      <c r="S612" s="57" cm="1">
        <f t="array" ref="S612">VLOOKUP(B612,'Player Data'!$A1:$AE673,7,FALSE)*$Q612*IFERROR((VLOOKUP(P612,Settings!$E$28:$F$33,2,FALSE)+1),1)</f>
        <v>10.66</v>
      </c>
      <c r="T612" s="57" cm="1">
        <f t="array" ref="T612">VLOOKUP(B612,'Player Data'!$A1:$AE673,8,FALSE)*$Q612*IFERROR((VLOOKUP(P612,Settings!$E$28:$F$33,2,FALSE)+1),1)</f>
        <v>9.02</v>
      </c>
      <c r="U612" s="57" cm="1">
        <f t="array" ref="U612">SUM(S612:T612)</f>
        <v>19.68</v>
      </c>
      <c r="V612" s="57" cm="1">
        <f t="array" ref="V612">VLOOKUP(B612,'Player Data'!$A1:$AE673,10,FALSE)*$Q612*IFERROR(((VLOOKUP(P612,Settings!$E$28:$F$33,2,FALSE)/2)+1),1)</f>
        <v>77.899999999999991</v>
      </c>
      <c r="W612" s="57" cm="1">
        <f t="array" ref="W612">VLOOKUP(B612,'Player Data'!$A1:$AE673,11,FALSE)*$Q612*IFERROR((VLOOKUP(P612,Settings!$E$28:$F$33,2,FALSE)+1),1)</f>
        <v>0</v>
      </c>
      <c r="X612" s="57" cm="1">
        <f t="array" ref="X612">VLOOKUP(B612,'Player Data'!$A1:$AE673,12,FALSE)*$Q612*IFERROR((VLOOKUP(P612,Settings!$E$28:$F$33,2,FALSE)+1),1)</f>
        <v>0</v>
      </c>
      <c r="Y612" s="57" cm="1">
        <f t="array" ref="Y612">VLOOKUP(B612,'Player Data'!$A1:$AE673,13,FALSE)*$Q612</f>
        <v>0</v>
      </c>
      <c r="Z612" s="57" cm="1">
        <f t="array" ref="Z612">VLOOKUP(B612,'Player Data'!$A1:$AE673,14,FALSE)*$Q612</f>
        <v>0</v>
      </c>
      <c r="AA612" s="57" cm="1">
        <f t="array" ref="AA612">VLOOKUP(B612,'Player Data'!$A1:$AE673,15,FALSE)*$Q612</f>
        <v>28.7</v>
      </c>
      <c r="AB612" s="57" cm="1">
        <f t="array" ref="AB612">VLOOKUP(B612,'Player Data'!$A1:$AE673,16,FALSE)*$Q612</f>
        <v>208.28</v>
      </c>
      <c r="AC612" s="57" cm="1">
        <f t="array" ref="AC612">VLOOKUP(B612,'Player Data'!$A1:$AE673,17,FALSE)*$Q612*IFERROR((VLOOKUP(P612,Settings!$E$28:$F$33,2,FALSE)+1),1)</f>
        <v>-11.48</v>
      </c>
      <c r="AD612" s="57" cm="1">
        <f t="array" ref="AD612">VLOOKUP(B612,'Player Data'!$A1:$AE673,18,FALSE)*$Q612</f>
        <v>27.880000000000003</v>
      </c>
      <c r="AE612" s="57" cm="1">
        <f t="array" ref="AE612">VLOOKUP(B612,'Player Data'!$A1:$AE673,19,FALSE)*$Q612*IFERROR((VLOOKUP(P612,Settings!$E$28:$F$33,2,FALSE)+1),1)</f>
        <v>1.6400000000000001</v>
      </c>
      <c r="AF612" s="57" cm="1">
        <f t="array" ref="AF612">VLOOKUP(B612,'Player Data'!$A1:$AE673,20,FALSE)*$Q612</f>
        <v>56.58</v>
      </c>
      <c r="AG612" s="57" cm="1">
        <f t="array" ref="AG612">VLOOKUP(B612,'Player Data'!$A1:$AE673,21,FALSE)*$Q612</f>
        <v>53.300000000000004</v>
      </c>
      <c r="AH612" s="59" cm="1">
        <f t="array" ref="AH612">VLOOKUP(B612,'Player Data'!$A1:$AE673,22,FALSE)</f>
        <v>0.51</v>
      </c>
      <c r="AI612" s="55"/>
      <c r="AJ612" s="57"/>
      <c r="AK612" s="57"/>
      <c r="AL612" s="57"/>
      <c r="AM612" s="57"/>
      <c r="AN612" s="57"/>
      <c r="AO612" s="57"/>
      <c r="AP612" s="57"/>
      <c r="AQ612" s="60"/>
      <c r="AR612" s="61"/>
      <c r="AS612" s="55"/>
    </row>
    <row r="613" spans="1:45" ht="21.25" customHeight="1" x14ac:dyDescent="0.15">
      <c r="A613" s="62">
        <f>RANK(K613,K$2:K$671)</f>
        <v>615</v>
      </c>
      <c r="B613" s="10" t="s">
        <v>785</v>
      </c>
      <c r="C613" s="47" t="s">
        <v>145</v>
      </c>
      <c r="D613" s="48" t="str" cm="1">
        <f t="array" ref="D613">VLOOKUP(B613,'Player Data'!A1:D673,4,FALSE)</f>
        <v>C,LW</v>
      </c>
      <c r="E613" s="74" cm="1">
        <f t="array" ref="E613">VLOOKUP(B613,LW!A1:C210,3,FALSE)</f>
        <v>184</v>
      </c>
      <c r="F613" s="69" t="str" cm="1">
        <f t="array" ref="F613">VLOOKUP(B613,'Player Data'!A1:B673,2,FALSE)</f>
        <v>N.J</v>
      </c>
      <c r="G613" s="11" cm="1">
        <f t="array" ref="G613">VLOOKUP(B613,'Player Data'!A1:D673,3,FALSE)</f>
        <v>27</v>
      </c>
      <c r="H613" s="67" cm="1">
        <f t="array" ref="H613">IFERROR(VLOOKUP(B613,ADP!A1:F671,6,FALSE)/1000000,VLOOKUP(B613,ADP!A1:F671,6,FALSE))</f>
        <v>1.5</v>
      </c>
      <c r="I613" s="52">
        <f>IF(Settings!$E$15="POINTS",((R613*Q613)*Settings!$B$12)+(S613*Settings!$B$2)+(T613*Settings!$B$3)+(U613*Settings!$B$4)+(V613*Settings!$B$5)+(X613*Settings!$B$9)+(AA613*Settings!$B$6)+(W613*Settings!$B$8)+(AB613*Settings!$B$7)+(AC613*Settings!$B$14)+(AD613*Settings!$B$15)+(AE613*Settings!$B$16)+(AF613*Settings!$B$17)+(AG613*Settings!$B$18)+(Y613*Settings!$B$10)+(Z613*Settings!$B$11),VLOOKUP(B613,'Standard Deviations'!A$1:C$672,3,FALSE))</f>
        <v>-3.0795150760567567</v>
      </c>
      <c r="J613" s="53" cm="1">
        <f t="array" ref="J613">IF(D613="G",I613/AJ613,I613/Q613)</f>
        <v>-3.9480962513548164E-2</v>
      </c>
      <c r="K613" s="52" cm="1">
        <f t="array" ref="K613">IF(Settings!$E$18="C/LW/RW",VLOOKUP(B613,LW!A1:F210,6,FALSE),VLOOKUP(B613,F!A1:F407,6,FALSE))</f>
        <v>-9.9739007204465668</v>
      </c>
      <c r="L613" s="54" cm="1">
        <f t="array" ref="L613">IFERROR(K613/H613,"N/A")</f>
        <v>-6.6492671469643776</v>
      </c>
      <c r="M613" s="84" t="s">
        <v>828</v>
      </c>
      <c r="N613" s="84" t="str" cm="1">
        <f t="array" ref="N613">IFERROR(M613-A613,"N/A")</f>
        <v>N/A</v>
      </c>
      <c r="O613" s="55"/>
      <c r="P613" s="56" cm="1">
        <f t="array" ref="P613">_xlfn.XLOOKUP($B613,ADP!A2:A671,ADP!G2:G671)</f>
        <v>0</v>
      </c>
      <c r="Q613" s="57" cm="1">
        <f t="array" ref="Q613">IF(Settings!$E$12="YES",VLOOKUP(B613,'Player Data'!A1:E673,5,FALSE),84)</f>
        <v>78</v>
      </c>
      <c r="R613" s="83" cm="1">
        <f t="array" ref="R613">VLOOKUP(B613,'Player Data'!$A1:$AE673,6,FALSE)</f>
        <v>9.6</v>
      </c>
      <c r="S613" s="57" cm="1">
        <f t="array" ref="S613">VLOOKUP(B613,'Player Data'!$A1:$AE673,7,FALSE)*$Q613*IFERROR((VLOOKUP(P613,Settings!$E$28:$F$33,2,FALSE)+1),1)</f>
        <v>6.24</v>
      </c>
      <c r="T613" s="57" cm="1">
        <f t="array" ref="T613">VLOOKUP(B613,'Player Data'!$A1:$AE673,8,FALSE)*$Q613*IFERROR((VLOOKUP(P613,Settings!$E$28:$F$33,2,FALSE)+1),1)</f>
        <v>8.58</v>
      </c>
      <c r="U613" s="57" cm="1">
        <f t="array" ref="U613">SUM(S613:T613)</f>
        <v>14.82</v>
      </c>
      <c r="V613" s="57" cm="1">
        <f t="array" ref="V613">VLOOKUP(B613,'Player Data'!$A1:$AE673,10,FALSE)*$Q613*IFERROR(((VLOOKUP(P613,Settings!$E$28:$F$33,2,FALSE)/2)+1),1)</f>
        <v>59.28</v>
      </c>
      <c r="W613" s="57" cm="1">
        <f t="array" ref="W613">VLOOKUP(B613,'Player Data'!$A1:$AE673,11,FALSE)*$Q613*IFERROR((VLOOKUP(P613,Settings!$E$28:$F$33,2,FALSE)+1),1)</f>
        <v>0</v>
      </c>
      <c r="X613" s="57" cm="1">
        <f t="array" ref="X613">VLOOKUP(B613,'Player Data'!$A1:$AE673,12,FALSE)*$Q613*IFERROR((VLOOKUP(P613,Settings!$E$28:$F$33,2,FALSE)+1),1)</f>
        <v>0</v>
      </c>
      <c r="Y613" s="57" cm="1">
        <f t="array" ref="Y613">VLOOKUP(B613,'Player Data'!$A1:$AE673,13,FALSE)*$Q613</f>
        <v>0</v>
      </c>
      <c r="Z613" s="57" cm="1">
        <f t="array" ref="Z613">VLOOKUP(B613,'Player Data'!$A1:$AE673,14,FALSE)*$Q613</f>
        <v>0</v>
      </c>
      <c r="AA613" s="57" cm="1">
        <f t="array" ref="AA613">VLOOKUP(B613,'Player Data'!$A1:$AE673,15,FALSE)*$Q613</f>
        <v>27.299999999999997</v>
      </c>
      <c r="AB613" s="57" cm="1">
        <f t="array" ref="AB613">VLOOKUP(B613,'Player Data'!$A1:$AE673,16,FALSE)*$Q613</f>
        <v>133.38</v>
      </c>
      <c r="AC613" s="57" cm="1">
        <f t="array" ref="AC613">VLOOKUP(B613,'Player Data'!$A1:$AE673,17,FALSE)*$Q613*IFERROR((VLOOKUP(P613,Settings!$E$28:$F$33,2,FALSE)+1),1)</f>
        <v>-0.78</v>
      </c>
      <c r="AD613" s="57" cm="1">
        <f t="array" ref="AD613">VLOOKUP(B613,'Player Data'!$A1:$AE673,18,FALSE)*$Q613</f>
        <v>14.04</v>
      </c>
      <c r="AE613" s="57" cm="1">
        <f t="array" ref="AE613">VLOOKUP(B613,'Player Data'!$A1:$AE673,19,FALSE)*$Q613*IFERROR((VLOOKUP(P613,Settings!$E$28:$F$33,2,FALSE)+1),1)</f>
        <v>0.78</v>
      </c>
      <c r="AF613" s="57" cm="1">
        <f t="array" ref="AF613">VLOOKUP(B613,'Player Data'!$A1:$AE673,20,FALSE)*$Q613</f>
        <v>42.900000000000006</v>
      </c>
      <c r="AG613" s="57" cm="1">
        <f t="array" ref="AG613">VLOOKUP(B613,'Player Data'!$A1:$AE673,21,FALSE)*$Q613</f>
        <v>74.099999999999994</v>
      </c>
      <c r="AH613" s="59" cm="1">
        <f t="array" ref="AH613">VLOOKUP(B613,'Player Data'!$A1:$AE673,22,FALSE)</f>
        <v>0.37</v>
      </c>
      <c r="AI613" s="55"/>
      <c r="AJ613" s="57"/>
      <c r="AK613" s="57"/>
      <c r="AL613" s="57"/>
      <c r="AM613" s="57"/>
      <c r="AN613" s="57"/>
      <c r="AO613" s="57"/>
      <c r="AP613" s="57"/>
      <c r="AQ613" s="60"/>
      <c r="AR613" s="61"/>
      <c r="AS613" s="55"/>
    </row>
    <row r="614" spans="1:45" ht="21.25" customHeight="1" x14ac:dyDescent="0.15">
      <c r="A614" s="62">
        <f>RANK(K614,K$2:K$671)</f>
        <v>611</v>
      </c>
      <c r="B614" s="10" t="s">
        <v>772</v>
      </c>
      <c r="C614" s="47" t="s">
        <v>145</v>
      </c>
      <c r="D614" s="48" t="str" cm="1">
        <f t="array" ref="D614">VLOOKUP(B614,'Player Data'!A1:D673,4,FALSE)</f>
        <v>RW</v>
      </c>
      <c r="E614" s="64" cm="1">
        <f t="array" ref="E614">VLOOKUP(B614,RW!A1:F210,3,FALSE)</f>
        <v>178</v>
      </c>
      <c r="F614" s="50" t="str" cm="1">
        <f t="array" ref="F614">VLOOKUP(B614,'Player Data'!A1:B673,2,FALSE)</f>
        <v>COL</v>
      </c>
      <c r="G614" s="11" cm="1">
        <f t="array" ref="G614">VLOOKUP(B614,'Player Data'!A1:D673,3,FALSE)</f>
        <v>30</v>
      </c>
      <c r="H614" s="51" cm="1">
        <f t="array" ref="H614">IFERROR(VLOOKUP(B614,ADP!A1:F671,6,FALSE)/1000000,VLOOKUP(B614,ADP!A1:F671,6,FALSE))</f>
        <v>2.5</v>
      </c>
      <c r="I614" s="52">
        <f>IF(Settings!$E$15="POINTS",((R614*Q614)*Settings!$B$12)+(S614*Settings!$B$2)+(T614*Settings!$B$3)+(U614*Settings!$B$4)+(V614*Settings!$B$5)+(X614*Settings!$B$9)+(AA614*Settings!$B$6)+(W614*Settings!$B$8)+(AB614*Settings!$B$7)+(AC614*Settings!$B$14)+(AD614*Settings!$B$15)+(AE614*Settings!$B$16)+(AF614*Settings!$B$17)+(AG614*Settings!$B$18)+(Y614*Settings!$B$10)+(Z614*Settings!$B$11),VLOOKUP(B614,'Standard Deviations'!A$1:C$672,3,FALSE))</f>
        <v>-3.0396598546849933</v>
      </c>
      <c r="J614" s="53" cm="1">
        <f t="array" ref="J614">IF(D614="G",I614/AJ614,I614/Q614)</f>
        <v>-4.4053041372246284E-2</v>
      </c>
      <c r="K614" s="52" cm="1">
        <f t="array" ref="K614">IF(Settings!$E$18="C/LW/RW",VLOOKUP(B614,RW!A1:F210,6,FALSE),VLOOKUP(B614,F!A1:F407,6,FALSE))</f>
        <v>-9.9268944564940718</v>
      </c>
      <c r="L614" s="54" cm="1">
        <f t="array" ref="L614">IFERROR(K614/H614,"N/A")</f>
        <v>-3.9707577825976288</v>
      </c>
      <c r="M614" s="84" t="s">
        <v>828</v>
      </c>
      <c r="N614" s="84" t="str" cm="1">
        <f t="array" ref="N614">IFERROR(M614-A614,"N/A")</f>
        <v>N/A</v>
      </c>
      <c r="O614" s="55"/>
      <c r="P614" s="56" cm="1">
        <f t="array" ref="P614">_xlfn.XLOOKUP($B614,ADP!A2:A671,ADP!G2:G671)</f>
        <v>0</v>
      </c>
      <c r="Q614" s="57" cm="1">
        <f t="array" ref="Q614">IF(Settings!$E$12="YES",VLOOKUP(B614,'Player Data'!A1:E673,5,FALSE),84)</f>
        <v>69</v>
      </c>
      <c r="R614" s="55" cm="1">
        <f t="array" ref="R614">VLOOKUP(B614,'Player Data'!$A1:$AE673,6,FALSE)</f>
        <v>11.5</v>
      </c>
      <c r="S614" s="57" cm="1">
        <f t="array" ref="S614">VLOOKUP(B614,'Player Data'!$A1:$AE673,7,FALSE)*$Q614*IFERROR((VLOOKUP(P614,Settings!$E$28:$F$33,2,FALSE)+1),1)</f>
        <v>6.9</v>
      </c>
      <c r="T614" s="57" cm="1">
        <f t="array" ref="T614">VLOOKUP(B614,'Player Data'!$A1:$AE673,8,FALSE)*$Q614*IFERROR((VLOOKUP(P614,Settings!$E$28:$F$33,2,FALSE)+1),1)</f>
        <v>8.2799999999999994</v>
      </c>
      <c r="U614" s="57" cm="1">
        <f t="array" ref="U614">SUM(S614:T614)</f>
        <v>15.18</v>
      </c>
      <c r="V614" s="57" cm="1">
        <f t="array" ref="V614">VLOOKUP(B614,'Player Data'!$A1:$AE673,10,FALSE)*$Q614*IFERROR(((VLOOKUP(P614,Settings!$E$28:$F$33,2,FALSE)/2)+1),1)</f>
        <v>69</v>
      </c>
      <c r="W614" s="57" cm="1">
        <f t="array" ref="W614">VLOOKUP(B614,'Player Data'!$A1:$AE673,11,FALSE)*$Q614*IFERROR((VLOOKUP(P614,Settings!$E$28:$F$33,2,FALSE)+1),1)</f>
        <v>0</v>
      </c>
      <c r="X614" s="57" cm="1">
        <f t="array" ref="X614">VLOOKUP(B614,'Player Data'!$A1:$AE673,12,FALSE)*$Q614*IFERROR((VLOOKUP(P614,Settings!$E$28:$F$33,2,FALSE)+1),1)</f>
        <v>0</v>
      </c>
      <c r="Y614" s="57" cm="1">
        <f t="array" ref="Y614">VLOOKUP(B614,'Player Data'!$A1:$AE673,13,FALSE)*$Q614</f>
        <v>0.69000000000000006</v>
      </c>
      <c r="Z614" s="57" cm="1">
        <f t="array" ref="Z614">VLOOKUP(B614,'Player Data'!$A1:$AE673,14,FALSE)*$Q614</f>
        <v>0.69000000000000006</v>
      </c>
      <c r="AA614" s="57" cm="1">
        <f t="array" ref="AA614">VLOOKUP(B614,'Player Data'!$A1:$AE673,15,FALSE)*$Q614</f>
        <v>31.740000000000002</v>
      </c>
      <c r="AB614" s="57" cm="1">
        <f t="array" ref="AB614">VLOOKUP(B614,'Player Data'!$A1:$AE673,16,FALSE)*$Q614</f>
        <v>65.55</v>
      </c>
      <c r="AC614" s="57" cm="1">
        <f t="array" ref="AC614">VLOOKUP(B614,'Player Data'!$A1:$AE673,17,FALSE)*$Q614*IFERROR((VLOOKUP(P614,Settings!$E$28:$F$33,2,FALSE)+1),1)</f>
        <v>4.83</v>
      </c>
      <c r="AD614" s="57" cm="1">
        <f t="array" ref="AD614">VLOOKUP(B614,'Player Data'!$A1:$AE673,18,FALSE)*$Q614</f>
        <v>22.080000000000002</v>
      </c>
      <c r="AE614" s="57" cm="1">
        <f t="array" ref="AE614">VLOOKUP(B614,'Player Data'!$A1:$AE673,19,FALSE)*$Q614*IFERROR((VLOOKUP(P614,Settings!$E$28:$F$33,2,FALSE)+1),1)</f>
        <v>1.3800000000000001</v>
      </c>
      <c r="AF614" s="57" cm="1">
        <f t="array" ref="AF614">VLOOKUP(B614,'Player Data'!$A1:$AE673,20,FALSE)*$Q614</f>
        <v>15.18</v>
      </c>
      <c r="AG614" s="57" cm="1">
        <f t="array" ref="AG614">VLOOKUP(B614,'Player Data'!$A1:$AE673,21,FALSE)*$Q614</f>
        <v>25.53</v>
      </c>
      <c r="AH614" s="59" cm="1">
        <f t="array" ref="AH614">VLOOKUP(B614,'Player Data'!$A1:$AE673,22,FALSE)</f>
        <v>0.37</v>
      </c>
      <c r="AI614" s="55"/>
      <c r="AJ614" s="57"/>
      <c r="AK614" s="57"/>
      <c r="AL614" s="57"/>
      <c r="AM614" s="57"/>
      <c r="AN614" s="57"/>
      <c r="AO614" s="57"/>
      <c r="AP614" s="57"/>
      <c r="AQ614" s="60"/>
      <c r="AR614" s="61"/>
      <c r="AS614" s="55"/>
    </row>
    <row r="615" spans="1:45" ht="21.25" customHeight="1" x14ac:dyDescent="0.15">
      <c r="A615" s="62">
        <f>RANK(K615,K$2:K$671)</f>
        <v>612</v>
      </c>
      <c r="B615" s="10" t="s">
        <v>521</v>
      </c>
      <c r="C615" s="47" t="s">
        <v>145</v>
      </c>
      <c r="D615" s="48" t="str" cm="1">
        <f t="array" ref="D615">VLOOKUP(B615,'Player Data'!A1:D673,4,FALSE)</f>
        <v>C,LW,RW</v>
      </c>
      <c r="E615" s="74" cm="1">
        <f t="array" ref="E615">VLOOKUP(B615,RW!A1:F210,3,FALSE)</f>
        <v>179</v>
      </c>
      <c r="F615" s="63" t="str" cm="1">
        <f t="array" ref="F615">VLOOKUP(B615,'Player Data'!A1:B673,2,FALSE)</f>
        <v>CGY</v>
      </c>
      <c r="G615" s="11" cm="1">
        <f t="array" ref="G615">VLOOKUP(B615,'Player Data'!A1:D673,3,FALSE)</f>
        <v>28</v>
      </c>
      <c r="H615" s="51" cm="1">
        <f t="array" ref="H615">IFERROR(VLOOKUP(B615,ADP!A1:F671,6,FALSE)/1000000,VLOOKUP(B615,ADP!A1:F671,6,FALSE))</f>
        <v>5.75</v>
      </c>
      <c r="I615" s="52">
        <f>IF(Settings!$E$15="POINTS",((R615*Q615)*Settings!$B$12)+(S615*Settings!$B$2)+(T615*Settings!$B$3)+(U615*Settings!$B$4)+(V615*Settings!$B$5)+(X615*Settings!$B$9)+(AA615*Settings!$B$6)+(W615*Settings!$B$8)+(AB615*Settings!$B$7)+(AC615*Settings!$B$14)+(AD615*Settings!$B$15)+(AE615*Settings!$B$16)+(AF615*Settings!$B$17)+(AG615*Settings!$B$18)+(Y615*Settings!$B$10)+(Z615*Settings!$B$11),VLOOKUP(B615,'Standard Deviations'!A$1:C$672,3,FALSE))</f>
        <v>-3.0471179319455439</v>
      </c>
      <c r="J615" s="53" cm="1">
        <f t="array" ref="J615">IF(D615="G",I615/AJ615,I615/Q615)</f>
        <v>-3.7159974779823704E-2</v>
      </c>
      <c r="K615" s="52" cm="1">
        <f t="array" ref="K615">IF(Settings!$E$18="C/LW/RW",VLOOKUP(B615,RW!A1:F210,6,FALSE),VLOOKUP(B615,F!A1:F407,6,FALSE))</f>
        <v>-9.9343525337546215</v>
      </c>
      <c r="L615" s="54" cm="1">
        <f t="array" ref="L615">IFERROR(K615/H615,"N/A")</f>
        <v>-1.7277134841312385</v>
      </c>
      <c r="M615" s="84" t="s">
        <v>828</v>
      </c>
      <c r="N615" s="84" t="str" cm="1">
        <f t="array" ref="N615">IFERROR(M615-A615,"N/A")</f>
        <v>N/A</v>
      </c>
      <c r="O615" s="55"/>
      <c r="P615" s="56" cm="1">
        <f t="array" ref="P615">_xlfn.XLOOKUP($B615,ADP!A2:A671,ADP!G2:G671)</f>
        <v>0</v>
      </c>
      <c r="Q615" s="57" cm="1">
        <f t="array" ref="Q615">IF(Settings!$E$12="YES",VLOOKUP(B615,'Player Data'!A1:E673,5,FALSE),84)</f>
        <v>82</v>
      </c>
      <c r="R615" s="55" cm="1">
        <f t="array" ref="R615">VLOOKUP(B615,'Player Data'!$A1:$AE673,6,FALSE)</f>
        <v>16.3</v>
      </c>
      <c r="S615" s="57" cm="1">
        <f t="array" ref="S615">VLOOKUP(B615,'Player Data'!$A1:$AE673,7,FALSE)*$Q615*IFERROR((VLOOKUP(P615,Settings!$E$28:$F$33,2,FALSE)+1),1)</f>
        <v>18.04</v>
      </c>
      <c r="T615" s="57" cm="1">
        <f t="array" ref="T615">VLOOKUP(B615,'Player Data'!$A1:$AE673,8,FALSE)*$Q615*IFERROR((VLOOKUP(P615,Settings!$E$28:$F$33,2,FALSE)+1),1)</f>
        <v>18.04</v>
      </c>
      <c r="U615" s="57" cm="1">
        <f t="array" ref="U615">SUM(S615:T615)</f>
        <v>36.08</v>
      </c>
      <c r="V615" s="57" cm="1">
        <f t="array" ref="V615">VLOOKUP(B615,'Player Data'!$A1:$AE673,10,FALSE)*$Q615*IFERROR(((VLOOKUP(P615,Settings!$E$28:$F$33,2,FALSE)/2)+1),1)</f>
        <v>146.78</v>
      </c>
      <c r="W615" s="57" cm="1">
        <f t="array" ref="W615">VLOOKUP(B615,'Player Data'!$A1:$AE673,11,FALSE)*$Q615*IFERROR((VLOOKUP(P615,Settings!$E$28:$F$33,2,FALSE)+1),1)</f>
        <v>4.1000000000000005</v>
      </c>
      <c r="X615" s="57" cm="1">
        <f t="array" ref="X615">VLOOKUP(B615,'Player Data'!$A1:$AE673,12,FALSE)*$Q615*IFERROR((VLOOKUP(P615,Settings!$E$28:$F$33,2,FALSE)+1),1)</f>
        <v>8.2000000000000011</v>
      </c>
      <c r="Y615" s="57" cm="1">
        <f t="array" ref="Y615">VLOOKUP(B615,'Player Data'!$A1:$AE673,13,FALSE)*$Q615</f>
        <v>1.6400000000000001</v>
      </c>
      <c r="Z615" s="57" cm="1">
        <f t="array" ref="Z615">VLOOKUP(B615,'Player Data'!$A1:$AE673,14,FALSE)*$Q615</f>
        <v>2.46</v>
      </c>
      <c r="AA615" s="57" cm="1">
        <f t="array" ref="AA615">VLOOKUP(B615,'Player Data'!$A1:$AE673,15,FALSE)*$Q615</f>
        <v>34.44</v>
      </c>
      <c r="AB615" s="57" cm="1">
        <f t="array" ref="AB615">VLOOKUP(B615,'Player Data'!$A1:$AE673,16,FALSE)*$Q615</f>
        <v>27.060000000000002</v>
      </c>
      <c r="AC615" s="57" cm="1">
        <f t="array" ref="AC615">VLOOKUP(B615,'Player Data'!$A1:$AE673,17,FALSE)*$Q615*IFERROR((VLOOKUP(P615,Settings!$E$28:$F$33,2,FALSE)+1),1)</f>
        <v>-9.84</v>
      </c>
      <c r="AD615" s="57" cm="1">
        <f t="array" ref="AD615">VLOOKUP(B615,'Player Data'!$A1:$AE673,18,FALSE)*$Q615</f>
        <v>14.76</v>
      </c>
      <c r="AE615" s="57" cm="1">
        <f t="array" ref="AE615">VLOOKUP(B615,'Player Data'!$A1:$AE673,19,FALSE)*$Q615*IFERROR((VLOOKUP(P615,Settings!$E$28:$F$33,2,FALSE)+1),1)</f>
        <v>2.46</v>
      </c>
      <c r="AF615" s="57" cm="1">
        <f t="array" ref="AF615">VLOOKUP(B615,'Player Data'!$A1:$AE673,20,FALSE)*$Q615</f>
        <v>70.52</v>
      </c>
      <c r="AG615" s="57" cm="1">
        <f t="array" ref="AG615">VLOOKUP(B615,'Player Data'!$A1:$AE673,21,FALSE)*$Q615</f>
        <v>104.96000000000001</v>
      </c>
      <c r="AH615" s="59" cm="1">
        <f t="array" ref="AH615">VLOOKUP(B615,'Player Data'!$A1:$AE673,22,FALSE)</f>
        <v>0.4</v>
      </c>
      <c r="AI615" s="55"/>
      <c r="AJ615" s="57"/>
      <c r="AK615" s="57"/>
      <c r="AL615" s="57"/>
      <c r="AM615" s="57"/>
      <c r="AN615" s="57"/>
      <c r="AO615" s="57"/>
      <c r="AP615" s="57"/>
      <c r="AQ615" s="60"/>
      <c r="AR615" s="61"/>
      <c r="AS615" s="55"/>
    </row>
    <row r="616" spans="1:45" ht="21.25" customHeight="1" x14ac:dyDescent="0.15">
      <c r="A616" s="62">
        <f>RANK(K616,K$2:K$671)</f>
        <v>613</v>
      </c>
      <c r="B616" s="10" t="s">
        <v>761</v>
      </c>
      <c r="C616" s="47" t="s">
        <v>145</v>
      </c>
      <c r="D616" s="48" t="str" cm="1">
        <f t="array" ref="D616">VLOOKUP(B616,'Player Data'!A1:D673,4,FALSE)</f>
        <v>RW</v>
      </c>
      <c r="E616" s="64" cm="1">
        <f t="array" ref="E616">VLOOKUP(B616,RW!A1:F210,3,FALSE)</f>
        <v>180</v>
      </c>
      <c r="F616" s="63" t="str" cm="1">
        <f t="array" ref="F616">VLOOKUP(B616,'Player Data'!A1:B673,2,FALSE)</f>
        <v>VGK</v>
      </c>
      <c r="G616" s="71" cm="1">
        <f t="array" ref="G616">VLOOKUP(B616,'Player Data'!A1:D673,3,FALSE)</f>
        <v>24</v>
      </c>
      <c r="H616" s="67" cm="1">
        <f t="array" ref="H616">IFERROR(VLOOKUP(B616,ADP!A1:F671,6,FALSE)/1000000,VLOOKUP(B616,ADP!A1:F671,6,FALSE))</f>
        <v>0.83750000000000002</v>
      </c>
      <c r="I616" s="52">
        <f>IF(Settings!$E$15="POINTS",((R616*Q616)*Settings!$B$12)+(S616*Settings!$B$2)+(T616*Settings!$B$3)+(U616*Settings!$B$4)+(V616*Settings!$B$5)+(X616*Settings!$B$9)+(AA616*Settings!$B$6)+(W616*Settings!$B$8)+(AB616*Settings!$B$7)+(AC616*Settings!$B$14)+(AD616*Settings!$B$15)+(AE616*Settings!$B$16)+(AF616*Settings!$B$17)+(AG616*Settings!$B$18)+(Y616*Settings!$B$10)+(Z616*Settings!$B$11),VLOOKUP(B616,'Standard Deviations'!A$1:C$672,3,FALSE))</f>
        <v>-3.0606294096661228</v>
      </c>
      <c r="J616" s="53" cm="1">
        <f t="array" ref="J616">IF(D616="G",I616/AJ616,I616/Q616)</f>
        <v>-4.3723277280944613E-2</v>
      </c>
      <c r="K616" s="52" cm="1">
        <f t="array" ref="K616">IF(Settings!$E$18="C/LW/RW",VLOOKUP(B616,RW!A1:F210,6,FALSE),VLOOKUP(B616,F!A1:F407,6,FALSE))</f>
        <v>-9.9478640114752004</v>
      </c>
      <c r="L616" s="54" cm="1">
        <f t="array" ref="L616">IFERROR(K616/H616,"N/A")</f>
        <v>-11.878046580865911</v>
      </c>
      <c r="M616" s="84" t="s">
        <v>828</v>
      </c>
      <c r="N616" s="84" t="str" cm="1">
        <f t="array" ref="N616">IFERROR(M616-A616,"N/A")</f>
        <v>N/A</v>
      </c>
      <c r="O616" s="55"/>
      <c r="P616" s="56" cm="1">
        <f t="array" ref="P616">_xlfn.XLOOKUP($B616,ADP!A2:A671,ADP!G2:G671)</f>
        <v>0</v>
      </c>
      <c r="Q616" s="57" cm="1">
        <f t="array" ref="Q616">IF(Settings!$E$12="YES",VLOOKUP(B616,'Player Data'!A1:E673,5,FALSE),84)</f>
        <v>70</v>
      </c>
      <c r="R616" s="55" cm="1">
        <f t="array" ref="R616">VLOOKUP(B616,'Player Data'!$A1:$AE673,6,FALSE)</f>
        <v>10.6</v>
      </c>
      <c r="S616" s="57" cm="1">
        <f t="array" ref="S616">VLOOKUP(B616,'Player Data'!$A1:$AE673,7,FALSE)*$Q616*IFERROR((VLOOKUP(P616,Settings!$E$28:$F$33,2,FALSE)+1),1)</f>
        <v>7</v>
      </c>
      <c r="T616" s="57" cm="1">
        <f t="array" ref="T616">VLOOKUP(B616,'Player Data'!$A1:$AE673,8,FALSE)*$Q616*IFERROR((VLOOKUP(P616,Settings!$E$28:$F$33,2,FALSE)+1),1)</f>
        <v>10.5</v>
      </c>
      <c r="U616" s="57" cm="1">
        <f t="array" ref="U616">SUM(S616:T616)</f>
        <v>17.5</v>
      </c>
      <c r="V616" s="57" cm="1">
        <f t="array" ref="V616">VLOOKUP(B616,'Player Data'!$A1:$AE673,10,FALSE)*$Q616*IFERROR(((VLOOKUP(P616,Settings!$E$28:$F$33,2,FALSE)/2)+1),1)</f>
        <v>78.400000000000006</v>
      </c>
      <c r="W616" s="57" cm="1">
        <f t="array" ref="W616">VLOOKUP(B616,'Player Data'!$A1:$AE673,11,FALSE)*$Q616*IFERROR((VLOOKUP(P616,Settings!$E$28:$F$33,2,FALSE)+1),1)</f>
        <v>0</v>
      </c>
      <c r="X616" s="57" cm="1">
        <f t="array" ref="X616">VLOOKUP(B616,'Player Data'!$A1:$AE673,12,FALSE)*$Q616*IFERROR((VLOOKUP(P616,Settings!$E$28:$F$33,2,FALSE)+1),1)</f>
        <v>0</v>
      </c>
      <c r="Y616" s="57" cm="1">
        <f t="array" ref="Y616">VLOOKUP(B616,'Player Data'!$A1:$AE673,13,FALSE)*$Q616</f>
        <v>0</v>
      </c>
      <c r="Z616" s="57" cm="1">
        <f t="array" ref="Z616">VLOOKUP(B616,'Player Data'!$A1:$AE673,14,FALSE)*$Q616</f>
        <v>0</v>
      </c>
      <c r="AA616" s="57" cm="1">
        <f t="array" ref="AA616">VLOOKUP(B616,'Player Data'!$A1:$AE673,15,FALSE)*$Q616</f>
        <v>24.5</v>
      </c>
      <c r="AB616" s="57" cm="1">
        <f t="array" ref="AB616">VLOOKUP(B616,'Player Data'!$A1:$AE673,16,FALSE)*$Q616</f>
        <v>70</v>
      </c>
      <c r="AC616" s="57" cm="1">
        <f t="array" ref="AC616">VLOOKUP(B616,'Player Data'!$A1:$AE673,17,FALSE)*$Q616*IFERROR((VLOOKUP(P616,Settings!$E$28:$F$33,2,FALSE)+1),1)</f>
        <v>2.8000000000000003</v>
      </c>
      <c r="AD616" s="57" cm="1">
        <f t="array" ref="AD616">VLOOKUP(B616,'Player Data'!$A1:$AE673,18,FALSE)*$Q616</f>
        <v>15.4</v>
      </c>
      <c r="AE616" s="57" cm="1">
        <f t="array" ref="AE616">VLOOKUP(B616,'Player Data'!$A1:$AE673,19,FALSE)*$Q616*IFERROR((VLOOKUP(P616,Settings!$E$28:$F$33,2,FALSE)+1),1)</f>
        <v>1.4000000000000001</v>
      </c>
      <c r="AF616" s="57" cm="1">
        <f t="array" ref="AF616">VLOOKUP(B616,'Player Data'!$A1:$AE673,20,FALSE)*$Q616</f>
        <v>6.3</v>
      </c>
      <c r="AG616" s="57" cm="1">
        <f t="array" ref="AG616">VLOOKUP(B616,'Player Data'!$A1:$AE673,21,FALSE)*$Q616</f>
        <v>18.900000000000002</v>
      </c>
      <c r="AH616" s="59" cm="1">
        <f t="array" ref="AH616">VLOOKUP(B616,'Player Data'!$A1:$AE673,22,FALSE)</f>
        <v>0.25</v>
      </c>
      <c r="AI616" s="55"/>
      <c r="AJ616" s="57"/>
      <c r="AK616" s="57"/>
      <c r="AL616" s="57"/>
      <c r="AM616" s="57"/>
      <c r="AN616" s="57"/>
      <c r="AO616" s="57"/>
      <c r="AP616" s="57"/>
      <c r="AQ616" s="60"/>
      <c r="AR616" s="61"/>
      <c r="AS616" s="55"/>
    </row>
    <row r="617" spans="1:45" ht="21.25" customHeight="1" x14ac:dyDescent="0.15">
      <c r="A617" s="62">
        <f>RANK(K617,K$2:K$671)</f>
        <v>617</v>
      </c>
      <c r="B617" s="10" t="s">
        <v>796</v>
      </c>
      <c r="C617" s="47" t="s">
        <v>145</v>
      </c>
      <c r="D617" s="48" t="str" cm="1">
        <f t="array" ref="D617">VLOOKUP(B617,'Player Data'!A1:D673,4,FALSE)</f>
        <v>LW</v>
      </c>
      <c r="E617" s="75" cm="1">
        <f t="array" ref="E617">VLOOKUP(B617,LW!A1:C210,3,FALSE)</f>
        <v>185</v>
      </c>
      <c r="F617" s="72" t="str" cm="1">
        <f t="array" ref="F617">VLOOKUP(B617,'Player Data'!A1:B673,2,FALSE)</f>
        <v>FLA</v>
      </c>
      <c r="G617" s="71" cm="1">
        <f t="array" ref="G617">VLOOKUP(B617,'Player Data'!A1:D673,3,FALSE)</f>
        <v>18</v>
      </c>
      <c r="H617" s="51" cm="1">
        <f t="array" ref="H617">IFERROR(VLOOKUP(B617,ADP!A1:F671,6,FALSE)/1000000,VLOOKUP(B617,ADP!A1:F671,6,FALSE))</f>
        <v>0.90500000000000003</v>
      </c>
      <c r="I617" s="52">
        <f>IF(Settings!$E$15="POINTS",((R617*Q617)*Settings!$B$12)+(S617*Settings!$B$2)+(T617*Settings!$B$3)+(U617*Settings!$B$4)+(V617*Settings!$B$5)+(X617*Settings!$B$9)+(AA617*Settings!$B$6)+(W617*Settings!$B$8)+(AB617*Settings!$B$7)+(AC617*Settings!$B$14)+(AD617*Settings!$B$15)+(AE617*Settings!$B$16)+(AF617*Settings!$B$17)+(AG617*Settings!$B$18)+(Y617*Settings!$B$10)+(Z617*Settings!$B$11),VLOOKUP(B617,'Standard Deviations'!A$1:C$672,3,FALSE))</f>
        <v>-3.1177692923723512</v>
      </c>
      <c r="J617" s="53" cm="1">
        <f t="array" ref="J617">IF(D617="G",I617/AJ617,I617/Q617)</f>
        <v>-5.1110972006104122E-2</v>
      </c>
      <c r="K617" s="52" cm="1">
        <f t="array" ref="K617">IF(Settings!$E$18="C/LW/RW",VLOOKUP(B617,LW!A1:F210,6,FALSE),VLOOKUP(B617,F!A1:F407,6,FALSE))</f>
        <v>-10.012154936762162</v>
      </c>
      <c r="L617" s="54" cm="1">
        <f t="array" ref="L617">IFERROR(K617/H617,"N/A")</f>
        <v>-11.063154626256532</v>
      </c>
      <c r="M617" s="84" t="s">
        <v>828</v>
      </c>
      <c r="N617" s="84" t="str" cm="1">
        <f t="array" ref="N617">IFERROR(M617-A617,"N/A")</f>
        <v>N/A</v>
      </c>
      <c r="O617" s="55"/>
      <c r="P617" s="56" cm="1">
        <f t="array" ref="P617">_xlfn.XLOOKUP($B617,ADP!A2:A671,ADP!G2:G671)</f>
        <v>0</v>
      </c>
      <c r="Q617" s="57" cm="1">
        <f t="array" ref="Q617">IF(Settings!$E$12="YES",VLOOKUP(B617,'Player Data'!A1:E673,5,FALSE),84)</f>
        <v>61</v>
      </c>
      <c r="R617" s="55" cm="1">
        <f t="array" ref="R617">VLOOKUP(B617,'Player Data'!$A1:$AE673,6,FALSE)</f>
        <v>7.9</v>
      </c>
      <c r="S617" s="57" cm="1">
        <f t="array" ref="S617">VLOOKUP(B617,'Player Data'!$A1:$AE673,7,FALSE)*$Q617*IFERROR((VLOOKUP(P617,Settings!$E$28:$F$33,2,FALSE)+1),1)</f>
        <v>3.6599999999999997</v>
      </c>
      <c r="T617" s="57" cm="1">
        <f t="array" ref="T617">VLOOKUP(B617,'Player Data'!$A1:$AE673,8,FALSE)*$Q617*IFERROR((VLOOKUP(P617,Settings!$E$28:$F$33,2,FALSE)+1),1)</f>
        <v>4.2700000000000005</v>
      </c>
      <c r="U617" s="57" cm="1">
        <f t="array" ref="U617">SUM(S617:T617)</f>
        <v>7.93</v>
      </c>
      <c r="V617" s="57" cm="1">
        <f t="array" ref="V617">VLOOKUP(B617,'Player Data'!$A1:$AE673,10,FALSE)*$Q617*IFERROR(((VLOOKUP(P617,Settings!$E$28:$F$33,2,FALSE)/2)+1),1)</f>
        <v>48.800000000000004</v>
      </c>
      <c r="W617" s="57" cm="1">
        <f t="array" ref="W617">VLOOKUP(B617,'Player Data'!$A1:$AE673,11,FALSE)*$Q617*IFERROR((VLOOKUP(P617,Settings!$E$28:$F$33,2,FALSE)+1),1)</f>
        <v>0</v>
      </c>
      <c r="X617" s="57" cm="1">
        <f t="array" ref="X617">VLOOKUP(B617,'Player Data'!$A1:$AE673,12,FALSE)*$Q617*IFERROR((VLOOKUP(P617,Settings!$E$28:$F$33,2,FALSE)+1),1)</f>
        <v>0</v>
      </c>
      <c r="Y617" s="57" cm="1">
        <f t="array" ref="Y617">VLOOKUP(B617,'Player Data'!$A1:$AE673,13,FALSE)*$Q617</f>
        <v>0</v>
      </c>
      <c r="Z617" s="57" cm="1">
        <f t="array" ref="Z617">VLOOKUP(B617,'Player Data'!$A1:$AE673,14,FALSE)*$Q617</f>
        <v>0</v>
      </c>
      <c r="AA617" s="57" cm="1">
        <f t="array" ref="AA617">VLOOKUP(B617,'Player Data'!$A1:$AE673,15,FALSE)*$Q617</f>
        <v>23.79</v>
      </c>
      <c r="AB617" s="57" cm="1">
        <f t="array" ref="AB617">VLOOKUP(B617,'Player Data'!$A1:$AE673,16,FALSE)*$Q617</f>
        <v>133.59</v>
      </c>
      <c r="AC617" s="57" cm="1">
        <f t="array" ref="AC617">VLOOKUP(B617,'Player Data'!$A1:$AE673,17,FALSE)*$Q617*IFERROR((VLOOKUP(P617,Settings!$E$28:$F$33,2,FALSE)+1),1)</f>
        <v>2.44</v>
      </c>
      <c r="AD617" s="57" cm="1">
        <f t="array" ref="AD617">VLOOKUP(B617,'Player Data'!$A1:$AE673,18,FALSE)*$Q617</f>
        <v>86.61999999999999</v>
      </c>
      <c r="AE617" s="57" cm="1">
        <f t="array" ref="AE617">VLOOKUP(B617,'Player Data'!$A1:$AE673,19,FALSE)*$Q617*IFERROR((VLOOKUP(P617,Settings!$E$28:$F$33,2,FALSE)+1),1)</f>
        <v>0.61</v>
      </c>
      <c r="AF617" s="57" cm="1">
        <f t="array" ref="AF617">VLOOKUP(B617,'Player Data'!$A1:$AE673,20,FALSE)*$Q617</f>
        <v>0.61</v>
      </c>
      <c r="AG617" s="57" cm="1">
        <f t="array" ref="AG617">VLOOKUP(B617,'Player Data'!$A1:$AE673,21,FALSE)*$Q617</f>
        <v>1.8299999999999998</v>
      </c>
      <c r="AH617" s="59" cm="1">
        <f t="array" ref="AH617">VLOOKUP(B617,'Player Data'!$A1:$AE673,22,FALSE)</f>
        <v>0.32</v>
      </c>
      <c r="AI617" s="55"/>
      <c r="AJ617" s="57"/>
      <c r="AK617" s="57"/>
      <c r="AL617" s="57"/>
      <c r="AM617" s="57"/>
      <c r="AN617" s="57"/>
      <c r="AO617" s="57"/>
      <c r="AP617" s="57"/>
      <c r="AQ617" s="60"/>
      <c r="AR617" s="61"/>
      <c r="AS617" s="55"/>
    </row>
    <row r="618" spans="1:45" ht="21.25" customHeight="1" x14ac:dyDescent="0.15">
      <c r="A618" s="62">
        <f>RANK(K618,K$2:K$671)</f>
        <v>616</v>
      </c>
      <c r="B618" s="10" t="s">
        <v>715</v>
      </c>
      <c r="C618" s="47" t="s">
        <v>145</v>
      </c>
      <c r="D618" s="48" t="str" cm="1">
        <f t="array" ref="D618">VLOOKUP(B618,'Player Data'!A1:D673,4,FALSE)</f>
        <v>RW</v>
      </c>
      <c r="E618" s="64" cm="1">
        <f t="array" ref="E618">VLOOKUP(B618,RW!A1:F210,3,FALSE)</f>
        <v>181</v>
      </c>
      <c r="F618" s="63" t="str" cm="1">
        <f t="array" ref="F618">VLOOKUP(B618,'Player Data'!A1:B673,2,FALSE)</f>
        <v>WPG</v>
      </c>
      <c r="G618" s="71" cm="1">
        <f t="array" ref="G618">VLOOKUP(B618,'Player Data'!A1:D673,3,FALSE)</f>
        <v>23</v>
      </c>
      <c r="H618" s="51" cm="1">
        <f t="array" ref="H618">IFERROR(VLOOKUP(B618,ADP!A1:F671,6,FALSE)/1000000,VLOOKUP(B618,ADP!A1:F671,6,FALSE))</f>
        <v>0.92500000000000004</v>
      </c>
      <c r="I618" s="52">
        <f>IF(Settings!$E$15="POINTS",((R618*Q618)*Settings!$B$12)+(S618*Settings!$B$2)+(T618*Settings!$B$3)+(U618*Settings!$B$4)+(V618*Settings!$B$5)+(X618*Settings!$B$9)+(AA618*Settings!$B$6)+(W618*Settings!$B$8)+(AB618*Settings!$B$7)+(AC618*Settings!$B$14)+(AD618*Settings!$B$15)+(AE618*Settings!$B$16)+(AF618*Settings!$B$17)+(AG618*Settings!$B$18)+(Y618*Settings!$B$10)+(Z618*Settings!$B$11),VLOOKUP(B618,'Standard Deviations'!A$1:C$672,3,FALSE))</f>
        <v>-3.0971480404689538</v>
      </c>
      <c r="J618" s="53" cm="1">
        <f t="array" ref="J618">IF(D618="G",I618/AJ618,I618/Q618)</f>
        <v>-5.3399104146016445E-2</v>
      </c>
      <c r="K618" s="52" cm="1">
        <f t="array" ref="K618">IF(Settings!$E$18="C/LW/RW",VLOOKUP(B618,RW!A1:F210,6,FALSE),VLOOKUP(B618,F!A1:F407,6,FALSE))</f>
        <v>-9.9843826422780317</v>
      </c>
      <c r="L618" s="54" cm="1">
        <f t="array" ref="L618">IFERROR(K618/H618,"N/A")</f>
        <v>-10.793927180841115</v>
      </c>
      <c r="M618" s="84" t="s">
        <v>828</v>
      </c>
      <c r="N618" s="84" t="str" cm="1">
        <f t="array" ref="N618">IFERROR(M618-A618,"N/A")</f>
        <v>N/A</v>
      </c>
      <c r="O618" s="55"/>
      <c r="P618" s="56" cm="1">
        <f t="array" ref="P618">_xlfn.XLOOKUP($B618,ADP!A2:A671,ADP!G2:G671)</f>
        <v>0</v>
      </c>
      <c r="Q618" s="57" cm="1">
        <f t="array" ref="Q618">IF(Settings!$E$12="YES",VLOOKUP(B618,'Player Data'!A1:E673,5,FALSE),84)</f>
        <v>58</v>
      </c>
      <c r="R618" s="81" cm="1">
        <f t="array" ref="R618">VLOOKUP(B618,'Player Data'!$A1:$AE673,6,FALSE)</f>
        <v>13.9</v>
      </c>
      <c r="S618" s="57" cm="1">
        <f t="array" ref="S618">VLOOKUP(B618,'Player Data'!$A1:$AE673,7,FALSE)*$Q618*IFERROR((VLOOKUP(P618,Settings!$E$28:$F$33,2,FALSE)+1),1)</f>
        <v>11.600000000000001</v>
      </c>
      <c r="T618" s="57" cm="1">
        <f t="array" ref="T618">VLOOKUP(B618,'Player Data'!$A1:$AE673,8,FALSE)*$Q618*IFERROR((VLOOKUP(P618,Settings!$E$28:$F$33,2,FALSE)+1),1)</f>
        <v>12.18</v>
      </c>
      <c r="U618" s="57" cm="1">
        <f t="array" ref="U618">SUM(S618:T618)</f>
        <v>23.78</v>
      </c>
      <c r="V618" s="57" cm="1">
        <f t="array" ref="V618">VLOOKUP(B618,'Player Data'!$A1:$AE673,10,FALSE)*$Q618*IFERROR(((VLOOKUP(P618,Settings!$E$28:$F$33,2,FALSE)/2)+1),1)</f>
        <v>81.199999999999989</v>
      </c>
      <c r="W618" s="57" cm="1">
        <f t="array" ref="W618">VLOOKUP(B618,'Player Data'!$A1:$AE673,11,FALSE)*$Q618*IFERROR((VLOOKUP(P618,Settings!$E$28:$F$33,2,FALSE)+1),1)</f>
        <v>1.74</v>
      </c>
      <c r="X618" s="57" cm="1">
        <f t="array" ref="X618">VLOOKUP(B618,'Player Data'!$A1:$AE673,12,FALSE)*$Q618*IFERROR((VLOOKUP(P618,Settings!$E$28:$F$33,2,FALSE)+1),1)</f>
        <v>5.22</v>
      </c>
      <c r="Y618" s="57" cm="1">
        <f t="array" ref="Y618">VLOOKUP(B618,'Player Data'!$A1:$AE673,13,FALSE)*$Q618</f>
        <v>0</v>
      </c>
      <c r="Z618" s="57" cm="1">
        <f t="array" ref="Z618">VLOOKUP(B618,'Player Data'!$A1:$AE673,14,FALSE)*$Q618</f>
        <v>0</v>
      </c>
      <c r="AA618" s="57" cm="1">
        <f t="array" ref="AA618">VLOOKUP(B618,'Player Data'!$A1:$AE673,15,FALSE)*$Q618</f>
        <v>35.380000000000003</v>
      </c>
      <c r="AB618" s="57" cm="1">
        <f t="array" ref="AB618">VLOOKUP(B618,'Player Data'!$A1:$AE673,16,FALSE)*$Q618</f>
        <v>41.76</v>
      </c>
      <c r="AC618" s="57" cm="1">
        <f t="array" ref="AC618">VLOOKUP(B618,'Player Data'!$A1:$AE673,17,FALSE)*$Q618*IFERROR((VLOOKUP(P618,Settings!$E$28:$F$33,2,FALSE)+1),1)</f>
        <v>0</v>
      </c>
      <c r="AD618" s="57" cm="1">
        <f t="array" ref="AD618">VLOOKUP(B618,'Player Data'!$A1:$AE673,18,FALSE)*$Q618</f>
        <v>11.600000000000001</v>
      </c>
      <c r="AE618" s="57" cm="1">
        <f t="array" ref="AE618">VLOOKUP(B618,'Player Data'!$A1:$AE673,19,FALSE)*$Q618*IFERROR((VLOOKUP(P618,Settings!$E$28:$F$33,2,FALSE)+1),1)</f>
        <v>1.74</v>
      </c>
      <c r="AF618" s="57" cm="1">
        <f t="array" ref="AF618">VLOOKUP(B618,'Player Data'!$A1:$AE673,20,FALSE)*$Q618</f>
        <v>2.3199999999999998</v>
      </c>
      <c r="AG618" s="57" cm="1">
        <f t="array" ref="AG618">VLOOKUP(B618,'Player Data'!$A1:$AE673,21,FALSE)*$Q618</f>
        <v>5.22</v>
      </c>
      <c r="AH618" s="59" cm="1">
        <f t="array" ref="AH618">VLOOKUP(B618,'Player Data'!$A1:$AE673,22,FALSE)</f>
        <v>0.28000000000000003</v>
      </c>
      <c r="AI618" s="55"/>
      <c r="AJ618" s="57"/>
      <c r="AK618" s="57"/>
      <c r="AL618" s="57"/>
      <c r="AM618" s="57"/>
      <c r="AN618" s="57"/>
      <c r="AO618" s="57"/>
      <c r="AP618" s="57"/>
      <c r="AQ618" s="60"/>
      <c r="AR618" s="61"/>
      <c r="AS618" s="55"/>
    </row>
    <row r="619" spans="1:45" ht="21.25" customHeight="1" x14ac:dyDescent="0.15">
      <c r="A619" s="62">
        <f>RANK(K619,K$2:K$671)</f>
        <v>619</v>
      </c>
      <c r="B619" s="10" t="s">
        <v>760</v>
      </c>
      <c r="C619" s="47" t="s">
        <v>145</v>
      </c>
      <c r="D619" s="48" t="str" cm="1">
        <f t="array" ref="D619">VLOOKUP(B619,'Player Data'!A1:D673,4,FALSE)</f>
        <v>C</v>
      </c>
      <c r="E619" s="49" cm="1">
        <f t="array" ref="E619">VLOOKUP(B619,'C'!A1:C210,3,FALSE)</f>
        <v>191</v>
      </c>
      <c r="F619" s="72" t="str" cm="1">
        <f t="array" ref="F619">VLOOKUP(B619,'Player Data'!A1:B673,2,FALSE)</f>
        <v>FLA</v>
      </c>
      <c r="G619" s="66" cm="1">
        <f t="array" ref="G619">VLOOKUP(B619,'Player Data'!A1:D673,3,FALSE)</f>
        <v>37</v>
      </c>
      <c r="H619" s="67" cm="1">
        <f t="array" ref="H619">IFERROR(VLOOKUP(B619,ADP!A1:F671,6,FALSE)/1000000,VLOOKUP(B619,ADP!A1:F671,6,FALSE))</f>
        <v>0.85</v>
      </c>
      <c r="I619" s="52">
        <f>IF(Settings!$E$15="POINTS",((R619*Q619)*Settings!$B$12)+(S619*Settings!$B$2)+(T619*Settings!$B$3)+(U619*Settings!$B$4)+(V619*Settings!$B$5)+(X619*Settings!$B$9)+(AA619*Settings!$B$6)+(W619*Settings!$B$8)+(AB619*Settings!$B$7)+(AC619*Settings!$B$14)+(AD619*Settings!$B$15)+(AE619*Settings!$B$16)+(AF619*Settings!$B$17)+(AG619*Settings!$B$18)+(Y619*Settings!$B$10)+(Z619*Settings!$B$11),VLOOKUP(B619,'Standard Deviations'!A$1:C$672,3,FALSE))</f>
        <v>-3.6710145341838385</v>
      </c>
      <c r="J619" s="53" cm="1">
        <f t="array" ref="J619">IF(D619="G",I619/AJ619,I619/Q619)</f>
        <v>-4.5321167088689364E-2</v>
      </c>
      <c r="K619" s="52" cm="1">
        <f t="array" ref="K619">IF(Settings!$E$18="C/LW/RW",VLOOKUP(B619,'C'!A1:F210,6,FALSE),VLOOKUP(B619,F!A1:F407,6,FALSE))</f>
        <v>-10.031024091798903</v>
      </c>
      <c r="L619" s="54" cm="1">
        <f t="array" ref="L619">IFERROR(K619/H619,"N/A")</f>
        <v>-11.801204813881062</v>
      </c>
      <c r="M619" s="84" t="s">
        <v>828</v>
      </c>
      <c r="N619" s="84" t="str" cm="1">
        <f t="array" ref="N619">IFERROR(M619-A619,"N/A")</f>
        <v>N/A</v>
      </c>
      <c r="O619" s="55"/>
      <c r="P619" s="56" cm="1">
        <f t="array" ref="P619">_xlfn.XLOOKUP($B619,ADP!A2:A671,ADP!G2:G671)</f>
        <v>0</v>
      </c>
      <c r="Q619" s="57" cm="1">
        <f t="array" ref="Q619">IF(Settings!$E$12="YES",VLOOKUP(B619,'Player Data'!A1:E673,5,FALSE),84)</f>
        <v>81</v>
      </c>
      <c r="R619" s="83" cm="1">
        <f t="array" ref="R619">VLOOKUP(B619,'Player Data'!$A1:$AE673,6,FALSE)</f>
        <v>10.4</v>
      </c>
      <c r="S619" s="57" cm="1">
        <f t="array" ref="S619">VLOOKUP(B619,'Player Data'!$A1:$AE673,7,FALSE)*$Q619*IFERROR((VLOOKUP(P619,Settings!$E$28:$F$33,2,FALSE)+1),1)</f>
        <v>5.6700000000000008</v>
      </c>
      <c r="T619" s="57" cm="1">
        <f t="array" ref="T619">VLOOKUP(B619,'Player Data'!$A1:$AE673,8,FALSE)*$Q619*IFERROR((VLOOKUP(P619,Settings!$E$28:$F$33,2,FALSE)+1),1)</f>
        <v>8.91</v>
      </c>
      <c r="U619" s="57" cm="1">
        <f t="array" ref="U619">SUM(S619:T619)</f>
        <v>14.580000000000002</v>
      </c>
      <c r="V619" s="57" cm="1">
        <f t="array" ref="V619">VLOOKUP(B619,'Player Data'!$A1:$AE673,10,FALSE)*$Q619*IFERROR(((VLOOKUP(P619,Settings!$E$28:$F$33,2,FALSE)/2)+1),1)</f>
        <v>75.33</v>
      </c>
      <c r="W619" s="57" cm="1">
        <f t="array" ref="W619">VLOOKUP(B619,'Player Data'!$A1:$AE673,11,FALSE)*$Q619*IFERROR((VLOOKUP(P619,Settings!$E$28:$F$33,2,FALSE)+1),1)</f>
        <v>0</v>
      </c>
      <c r="X619" s="57" cm="1">
        <f t="array" ref="X619">VLOOKUP(B619,'Player Data'!$A1:$AE673,12,FALSE)*$Q619*IFERROR((VLOOKUP(P619,Settings!$E$28:$F$33,2,FALSE)+1),1)</f>
        <v>0</v>
      </c>
      <c r="Y619" s="57" cm="1">
        <f t="array" ref="Y619">VLOOKUP(B619,'Player Data'!$A1:$AE673,13,FALSE)*$Q619</f>
        <v>0</v>
      </c>
      <c r="Z619" s="57" cm="1">
        <f t="array" ref="Z619">VLOOKUP(B619,'Player Data'!$A1:$AE673,14,FALSE)*$Q619</f>
        <v>0.81</v>
      </c>
      <c r="AA619" s="57" cm="1">
        <f t="array" ref="AA619">VLOOKUP(B619,'Player Data'!$A1:$AE673,15,FALSE)*$Q619</f>
        <v>34.83</v>
      </c>
      <c r="AB619" s="57" cm="1">
        <f t="array" ref="AB619">VLOOKUP(B619,'Player Data'!$A1:$AE673,16,FALSE)*$Q619</f>
        <v>67.22999999999999</v>
      </c>
      <c r="AC619" s="57" cm="1">
        <f t="array" ref="AC619">VLOOKUP(B619,'Player Data'!$A1:$AE673,17,FALSE)*$Q619*IFERROR((VLOOKUP(P619,Settings!$E$28:$F$33,2,FALSE)+1),1)</f>
        <v>1.62</v>
      </c>
      <c r="AD619" s="57" cm="1">
        <f t="array" ref="AD619">VLOOKUP(B619,'Player Data'!$A1:$AE673,18,FALSE)*$Q619</f>
        <v>21.060000000000002</v>
      </c>
      <c r="AE619" s="57" cm="1">
        <f t="array" ref="AE619">VLOOKUP(B619,'Player Data'!$A1:$AE673,19,FALSE)*$Q619*IFERROR((VLOOKUP(P619,Settings!$E$28:$F$33,2,FALSE)+1),1)</f>
        <v>0.81</v>
      </c>
      <c r="AF619" s="57" cm="1">
        <f t="array" ref="AF619">VLOOKUP(B619,'Player Data'!$A1:$AE673,20,FALSE)*$Q619</f>
        <v>336.96000000000004</v>
      </c>
      <c r="AG619" s="57" cm="1">
        <f t="array" ref="AG619">VLOOKUP(B619,'Player Data'!$A1:$AE673,21,FALSE)*$Q619</f>
        <v>300.51</v>
      </c>
      <c r="AH619" s="59" cm="1">
        <f t="array" ref="AH619">VLOOKUP(B619,'Player Data'!$A1:$AE673,22,FALSE)</f>
        <v>0.53</v>
      </c>
      <c r="AI619" s="55"/>
      <c r="AJ619" s="57"/>
      <c r="AK619" s="57"/>
      <c r="AL619" s="57"/>
      <c r="AM619" s="57"/>
      <c r="AN619" s="57"/>
      <c r="AO619" s="57"/>
      <c r="AP619" s="57"/>
      <c r="AQ619" s="60"/>
      <c r="AR619" s="61"/>
      <c r="AS619" s="55"/>
    </row>
    <row r="620" spans="1:45" ht="21.25" customHeight="1" x14ac:dyDescent="0.15">
      <c r="A620" s="62">
        <f>RANK(K620,K$2:K$671)</f>
        <v>618</v>
      </c>
      <c r="B620" s="10" t="s">
        <v>666</v>
      </c>
      <c r="C620" s="47" t="s">
        <v>145</v>
      </c>
      <c r="D620" s="48" t="str" cm="1">
        <f t="array" ref="D620">VLOOKUP(B620,'Player Data'!A1:D673,4,FALSE)</f>
        <v>C,RW</v>
      </c>
      <c r="E620" s="74" cm="1">
        <f t="array" ref="E620">VLOOKUP(B620,RW!A1:F210,3,FALSE)</f>
        <v>182</v>
      </c>
      <c r="F620" s="69" t="str" cm="1">
        <f t="array" ref="F620">VLOOKUP(B620,'Player Data'!A1:B673,2,FALSE)</f>
        <v>N.J</v>
      </c>
      <c r="G620" s="11" cm="1">
        <f t="array" ref="G620">VLOOKUP(B620,'Player Data'!A1:D673,3,FALSE)</f>
        <v>27</v>
      </c>
      <c r="H620" s="67" cm="1">
        <f t="array" ref="H620">IFERROR(VLOOKUP(B620,ADP!A1:F671,6,FALSE)/1000000,VLOOKUP(B620,ADP!A1:F671,6,FALSE))</f>
        <v>2.5</v>
      </c>
      <c r="I620" s="52">
        <f>IF(Settings!$E$15="POINTS",((R620*Q620)*Settings!$B$12)+(S620*Settings!$B$2)+(T620*Settings!$B$3)+(U620*Settings!$B$4)+(V620*Settings!$B$5)+(X620*Settings!$B$9)+(AA620*Settings!$B$6)+(W620*Settings!$B$8)+(AB620*Settings!$B$7)+(AC620*Settings!$B$14)+(AD620*Settings!$B$15)+(AE620*Settings!$B$16)+(AF620*Settings!$B$17)+(AG620*Settings!$B$18)+(Y620*Settings!$B$10)+(Z620*Settings!$B$11),VLOOKUP(B620,'Standard Deviations'!A$1:C$672,3,FALSE))</f>
        <v>-3.1341786946669719</v>
      </c>
      <c r="J620" s="53" cm="1">
        <f t="array" ref="J620">IF(D620="G",I620/AJ620,I620/Q620)</f>
        <v>-4.1789049262226291E-2</v>
      </c>
      <c r="K620" s="52" cm="1">
        <f t="array" ref="K620">IF(Settings!$E$18="C/LW/RW",VLOOKUP(B620,RW!A1:F210,6,FALSE),VLOOKUP(B620,F!A1:F407,6,FALSE))</f>
        <v>-10.02141329647605</v>
      </c>
      <c r="L620" s="54" cm="1">
        <f t="array" ref="L620">IFERROR(K620/H620,"N/A")</f>
        <v>-4.0085653185904198</v>
      </c>
      <c r="M620" s="84" t="s">
        <v>828</v>
      </c>
      <c r="N620" s="84" t="str" cm="1">
        <f t="array" ref="N620">IFERROR(M620-A620,"N/A")</f>
        <v>N/A</v>
      </c>
      <c r="O620" s="55"/>
      <c r="P620" s="56" cm="1">
        <f t="array" ref="P620">_xlfn.XLOOKUP($B620,ADP!A2:A671,ADP!G2:G671)</f>
        <v>0</v>
      </c>
      <c r="Q620" s="57" cm="1">
        <f t="array" ref="Q620">IF(Settings!$E$12="YES",VLOOKUP(B620,'Player Data'!A1:E673,5,FALSE),84)</f>
        <v>75</v>
      </c>
      <c r="R620" s="55" cm="1">
        <f t="array" ref="R620">VLOOKUP(B620,'Player Data'!$A1:$AE673,6,FALSE)</f>
        <v>13</v>
      </c>
      <c r="S620" s="57" cm="1">
        <f t="array" ref="S620">VLOOKUP(B620,'Player Data'!$A1:$AE673,7,FALSE)*$Q620*IFERROR((VLOOKUP(P620,Settings!$E$28:$F$33,2,FALSE)+1),1)</f>
        <v>12</v>
      </c>
      <c r="T620" s="57" cm="1">
        <f t="array" ref="T620">VLOOKUP(B620,'Player Data'!$A1:$AE673,8,FALSE)*$Q620*IFERROR((VLOOKUP(P620,Settings!$E$28:$F$33,2,FALSE)+1),1)</f>
        <v>10.500000000000002</v>
      </c>
      <c r="U620" s="57" cm="1">
        <f t="array" ref="U620">SUM(S620:T620)</f>
        <v>22.5</v>
      </c>
      <c r="V620" s="57" cm="1">
        <f t="array" ref="V620">VLOOKUP(B620,'Player Data'!$A1:$AE673,10,FALSE)*$Q620*IFERROR(((VLOOKUP(P620,Settings!$E$28:$F$33,2,FALSE)/2)+1),1)</f>
        <v>96.75</v>
      </c>
      <c r="W620" s="57" cm="1">
        <f t="array" ref="W620">VLOOKUP(B620,'Player Data'!$A1:$AE673,11,FALSE)*$Q620*IFERROR((VLOOKUP(P620,Settings!$E$28:$F$33,2,FALSE)+1),1)</f>
        <v>0</v>
      </c>
      <c r="X620" s="57" cm="1">
        <f t="array" ref="X620">VLOOKUP(B620,'Player Data'!$A1:$AE673,12,FALSE)*$Q620*IFERROR((VLOOKUP(P620,Settings!$E$28:$F$33,2,FALSE)+1),1)</f>
        <v>0</v>
      </c>
      <c r="Y620" s="57" cm="1">
        <f t="array" ref="Y620">VLOOKUP(B620,'Player Data'!$A1:$AE673,13,FALSE)*$Q620</f>
        <v>0</v>
      </c>
      <c r="Z620" s="57" cm="1">
        <f t="array" ref="Z620">VLOOKUP(B620,'Player Data'!$A1:$AE673,14,FALSE)*$Q620</f>
        <v>0</v>
      </c>
      <c r="AA620" s="57" cm="1">
        <f t="array" ref="AA620">VLOOKUP(B620,'Player Data'!$A1:$AE673,15,FALSE)*$Q620</f>
        <v>39</v>
      </c>
      <c r="AB620" s="57" cm="1">
        <f t="array" ref="AB620">VLOOKUP(B620,'Player Data'!$A1:$AE673,16,FALSE)*$Q620</f>
        <v>56.25</v>
      </c>
      <c r="AC620" s="57" cm="1">
        <f t="array" ref="AC620">VLOOKUP(B620,'Player Data'!$A1:$AE673,17,FALSE)*$Q620*IFERROR((VLOOKUP(P620,Settings!$E$28:$F$33,2,FALSE)+1),1)</f>
        <v>0</v>
      </c>
      <c r="AD620" s="57" cm="1">
        <f t="array" ref="AD620">VLOOKUP(B620,'Player Data'!$A1:$AE673,18,FALSE)*$Q620</f>
        <v>25.500000000000004</v>
      </c>
      <c r="AE620" s="57" cm="1">
        <f t="array" ref="AE620">VLOOKUP(B620,'Player Data'!$A1:$AE673,19,FALSE)*$Q620*IFERROR((VLOOKUP(P620,Settings!$E$28:$F$33,2,FALSE)+1),1)</f>
        <v>2.25</v>
      </c>
      <c r="AF620" s="57" cm="1">
        <f t="array" ref="AF620">VLOOKUP(B620,'Player Data'!$A1:$AE673,20,FALSE)*$Q620</f>
        <v>421.5</v>
      </c>
      <c r="AG620" s="57" cm="1">
        <f t="array" ref="AG620">VLOOKUP(B620,'Player Data'!$A1:$AE673,21,FALSE)*$Q620</f>
        <v>391.5</v>
      </c>
      <c r="AH620" s="59" cm="1">
        <f t="array" ref="AH620">VLOOKUP(B620,'Player Data'!$A1:$AE673,22,FALSE)</f>
        <v>0.52</v>
      </c>
      <c r="AI620" s="55"/>
      <c r="AJ620" s="57"/>
      <c r="AK620" s="57"/>
      <c r="AL620" s="57"/>
      <c r="AM620" s="57"/>
      <c r="AN620" s="57"/>
      <c r="AO620" s="57"/>
      <c r="AP620" s="57"/>
      <c r="AQ620" s="60"/>
      <c r="AR620" s="61"/>
      <c r="AS620" s="55"/>
    </row>
    <row r="621" spans="1:45" ht="21.25" customHeight="1" x14ac:dyDescent="0.15">
      <c r="A621" s="62">
        <f>RANK(K621,K$2:K$671)</f>
        <v>620</v>
      </c>
      <c r="B621" s="10" t="s">
        <v>795</v>
      </c>
      <c r="C621" s="47" t="s">
        <v>145</v>
      </c>
      <c r="D621" s="48" t="str" cm="1">
        <f t="array" ref="D621">VLOOKUP(B621,'Player Data'!A1:D673,4,FALSE)</f>
        <v>RW</v>
      </c>
      <c r="E621" s="64" cm="1">
        <f t="array" ref="E621">VLOOKUP(B621,RW!A1:F210,3,FALSE)</f>
        <v>183</v>
      </c>
      <c r="F621" s="56" t="str" cm="1">
        <f t="array" ref="F621">VLOOKUP(B621,'Player Data'!A1:B673,2,FALSE)</f>
        <v>NYR</v>
      </c>
      <c r="G621" s="71" cm="1">
        <f t="array" ref="G621">VLOOKUP(B621,'Player Data'!A1:D673,3,FALSE)</f>
        <v>24</v>
      </c>
      <c r="H621" s="67" cm="1">
        <f t="array" ref="H621">IFERROR(VLOOKUP(B621,ADP!A1:F671,6,FALSE)/1000000,VLOOKUP(B621,ADP!A1:F671,6,FALSE))</f>
        <v>0.97499999999999998</v>
      </c>
      <c r="I621" s="52">
        <f>IF(Settings!$E$15="POINTS",((R621*Q621)*Settings!$B$12)+(S621*Settings!$B$2)+(T621*Settings!$B$3)+(U621*Settings!$B$4)+(V621*Settings!$B$5)+(X621*Settings!$B$9)+(AA621*Settings!$B$6)+(W621*Settings!$B$8)+(AB621*Settings!$B$7)+(AC621*Settings!$B$14)+(AD621*Settings!$B$15)+(AE621*Settings!$B$16)+(AF621*Settings!$B$17)+(AG621*Settings!$B$18)+(Y621*Settings!$B$10)+(Z621*Settings!$B$11),VLOOKUP(B621,'Standard Deviations'!A$1:C$672,3,FALSE))</f>
        <v>-3.1488417995710858</v>
      </c>
      <c r="J621" s="53" cm="1">
        <f t="array" ref="J621">IF(D621="G",I621/AJ621,I621/Q621)</f>
        <v>-5.0787770960823965E-2</v>
      </c>
      <c r="K621" s="52" cm="1">
        <f t="array" ref="K621">IF(Settings!$E$18="C/LW/RW",VLOOKUP(B621,RW!A1:F210,6,FALSE),VLOOKUP(B621,F!A1:F407,6,FALSE))</f>
        <v>-10.036076401380164</v>
      </c>
      <c r="L621" s="54" cm="1">
        <f t="array" ref="L621">IFERROR(K621/H621,"N/A")</f>
        <v>-10.293411693723245</v>
      </c>
      <c r="M621" s="84" t="s">
        <v>828</v>
      </c>
      <c r="N621" s="84" t="str" cm="1">
        <f t="array" ref="N621">IFERROR(M621-A621,"N/A")</f>
        <v>N/A</v>
      </c>
      <c r="O621" s="55"/>
      <c r="P621" s="56" cm="1">
        <f t="array" ref="P621">_xlfn.XLOOKUP($B621,ADP!A2:A671,ADP!G2:G671)</f>
        <v>0</v>
      </c>
      <c r="Q621" s="57" cm="1">
        <f t="array" ref="Q621">IF(Settings!$E$12="YES",VLOOKUP(B621,'Player Data'!A1:E673,5,FALSE),84)</f>
        <v>62</v>
      </c>
      <c r="R621" s="55" cm="1">
        <f t="array" ref="R621">VLOOKUP(B621,'Player Data'!$A1:$AE673,6,FALSE)</f>
        <v>8.5</v>
      </c>
      <c r="S621" s="57" cm="1">
        <f t="array" ref="S621">VLOOKUP(B621,'Player Data'!$A1:$AE673,7,FALSE)*$Q621*IFERROR((VLOOKUP(P621,Settings!$E$28:$F$33,2,FALSE)+1),1)</f>
        <v>3.7199999999999998</v>
      </c>
      <c r="T621" s="57" cm="1">
        <f t="array" ref="T621">VLOOKUP(B621,'Player Data'!$A1:$AE673,8,FALSE)*$Q621*IFERROR((VLOOKUP(P621,Settings!$E$28:$F$33,2,FALSE)+1),1)</f>
        <v>4.96</v>
      </c>
      <c r="U621" s="57" cm="1">
        <f t="array" ref="U621">SUM(S621:T621)</f>
        <v>8.68</v>
      </c>
      <c r="V621" s="57" cm="1">
        <f t="array" ref="V621">VLOOKUP(B621,'Player Data'!$A1:$AE673,10,FALSE)*$Q621*IFERROR(((VLOOKUP(P621,Settings!$E$28:$F$33,2,FALSE)/2)+1),1)</f>
        <v>44.019999999999996</v>
      </c>
      <c r="W621" s="57" cm="1">
        <f t="array" ref="W621">VLOOKUP(B621,'Player Data'!$A1:$AE673,11,FALSE)*$Q621*IFERROR((VLOOKUP(P621,Settings!$E$28:$F$33,2,FALSE)+1),1)</f>
        <v>0</v>
      </c>
      <c r="X621" s="57" cm="1">
        <f t="array" ref="X621">VLOOKUP(B621,'Player Data'!$A1:$AE673,12,FALSE)*$Q621*IFERROR((VLOOKUP(P621,Settings!$E$28:$F$33,2,FALSE)+1),1)</f>
        <v>0.62</v>
      </c>
      <c r="Y621" s="57" cm="1">
        <f t="array" ref="Y621">VLOOKUP(B621,'Player Data'!$A1:$AE673,13,FALSE)*$Q621</f>
        <v>0</v>
      </c>
      <c r="Z621" s="57" cm="1">
        <f t="array" ref="Z621">VLOOKUP(B621,'Player Data'!$A1:$AE673,14,FALSE)*$Q621</f>
        <v>0</v>
      </c>
      <c r="AA621" s="57" cm="1">
        <f t="array" ref="AA621">VLOOKUP(B621,'Player Data'!$A1:$AE673,15,FALSE)*$Q621</f>
        <v>19.84</v>
      </c>
      <c r="AB621" s="57" cm="1">
        <f t="array" ref="AB621">VLOOKUP(B621,'Player Data'!$A1:$AE673,16,FALSE)*$Q621</f>
        <v>156.24</v>
      </c>
      <c r="AC621" s="57" cm="1">
        <f t="array" ref="AC621">VLOOKUP(B621,'Player Data'!$A1:$AE673,17,FALSE)*$Q621*IFERROR((VLOOKUP(P621,Settings!$E$28:$F$33,2,FALSE)+1),1)</f>
        <v>0</v>
      </c>
      <c r="AD621" s="57" cm="1">
        <f t="array" ref="AD621">VLOOKUP(B621,'Player Data'!$A1:$AE673,18,FALSE)*$Q621</f>
        <v>39.68</v>
      </c>
      <c r="AE621" s="57" cm="1">
        <f t="array" ref="AE621">VLOOKUP(B621,'Player Data'!$A1:$AE673,19,FALSE)*$Q621*IFERROR((VLOOKUP(P621,Settings!$E$28:$F$33,2,FALSE)+1),1)</f>
        <v>0.62</v>
      </c>
      <c r="AF621" s="57" cm="1">
        <f t="array" ref="AF621">VLOOKUP(B621,'Player Data'!$A1:$AE673,20,FALSE)*$Q621</f>
        <v>5.58</v>
      </c>
      <c r="AG621" s="57" cm="1">
        <f t="array" ref="AG621">VLOOKUP(B621,'Player Data'!$A1:$AE673,21,FALSE)*$Q621</f>
        <v>14.879999999999999</v>
      </c>
      <c r="AH621" s="59" cm="1">
        <f t="array" ref="AH621">VLOOKUP(B621,'Player Data'!$A1:$AE673,22,FALSE)</f>
        <v>0.27</v>
      </c>
      <c r="AI621" s="55"/>
      <c r="AJ621" s="57"/>
      <c r="AK621" s="57"/>
      <c r="AL621" s="57"/>
      <c r="AM621" s="57"/>
      <c r="AN621" s="57"/>
      <c r="AO621" s="57"/>
      <c r="AP621" s="57"/>
      <c r="AQ621" s="60"/>
      <c r="AR621" s="61"/>
      <c r="AS621" s="55"/>
    </row>
    <row r="622" spans="1:45" ht="21.25" customHeight="1" x14ac:dyDescent="0.15">
      <c r="A622" s="62">
        <f>RANK(K622,K$2:K$671)</f>
        <v>622</v>
      </c>
      <c r="B622" s="10" t="s">
        <v>747</v>
      </c>
      <c r="C622" s="47" t="s">
        <v>145</v>
      </c>
      <c r="D622" s="48" t="str" cm="1">
        <f t="array" ref="D622">VLOOKUP(B622,'Player Data'!A1:D673,4,FALSE)</f>
        <v>C</v>
      </c>
      <c r="E622" s="49" cm="1">
        <f t="array" ref="E622">VLOOKUP(B622,'C'!A1:C210,3,FALSE)</f>
        <v>193</v>
      </c>
      <c r="F622" s="18" t="str" cm="1">
        <f t="array" ref="F622">VLOOKUP(B622,'Player Data'!A1:B673,2,FALSE)</f>
        <v>VAN</v>
      </c>
      <c r="G622" s="71" cm="1">
        <f t="array" ref="G622">VLOOKUP(B622,'Player Data'!A1:D673,3,FALSE)</f>
        <v>23</v>
      </c>
      <c r="H622" s="67" cm="1">
        <f t="array" ref="H622">IFERROR(VLOOKUP(B622,ADP!A1:F671,6,FALSE)/1000000,VLOOKUP(B622,ADP!A1:F671,6,FALSE))</f>
        <v>0.8125</v>
      </c>
      <c r="I622" s="52">
        <f>IF(Settings!$E$15="POINTS",((R622*Q622)*Settings!$B$12)+(S622*Settings!$B$2)+(T622*Settings!$B$3)+(U622*Settings!$B$4)+(V622*Settings!$B$5)+(X622*Settings!$B$9)+(AA622*Settings!$B$6)+(W622*Settings!$B$8)+(AB622*Settings!$B$7)+(AC622*Settings!$B$14)+(AD622*Settings!$B$15)+(AE622*Settings!$B$16)+(AF622*Settings!$B$17)+(AG622*Settings!$B$18)+(Y622*Settings!$B$10)+(Z622*Settings!$B$11),VLOOKUP(B622,'Standard Deviations'!A$1:C$672,3,FALSE))</f>
        <v>-3.7310258894068888</v>
      </c>
      <c r="J622" s="53" cm="1">
        <f t="array" ref="J622">IF(D622="G",I622/AJ622,I622/Q622)</f>
        <v>-5.2549660414181534E-2</v>
      </c>
      <c r="K622" s="52" cm="1">
        <f t="array" ref="K622">IF(Settings!$E$18="C/LW/RW",VLOOKUP(B622,'C'!A1:F210,6,FALSE),VLOOKUP(B622,F!A1:F407,6,FALSE))</f>
        <v>-10.091035447021953</v>
      </c>
      <c r="L622" s="54" cm="1">
        <f t="array" ref="L622">IFERROR(K622/H622,"N/A")</f>
        <v>-12.41973593479625</v>
      </c>
      <c r="M622" s="84" t="s">
        <v>828</v>
      </c>
      <c r="N622" s="84" t="str" cm="1">
        <f t="array" ref="N622">IFERROR(M622-A622,"N/A")</f>
        <v>N/A</v>
      </c>
      <c r="O622" s="55"/>
      <c r="P622" s="56" cm="1">
        <f t="array" ref="P622">_xlfn.XLOOKUP($B622,ADP!A2:A671,ADP!G2:G671)</f>
        <v>0</v>
      </c>
      <c r="Q622" s="57" cm="1">
        <f t="array" ref="Q622">IF(Settings!$E$12="YES",VLOOKUP(B622,'Player Data'!A1:E673,5,FALSE),84)</f>
        <v>71</v>
      </c>
      <c r="R622" s="55" cm="1">
        <f t="array" ref="R622">VLOOKUP(B622,'Player Data'!$A1:$AE673,6,FALSE)</f>
        <v>12.4</v>
      </c>
      <c r="S622" s="57" cm="1">
        <f t="array" ref="S622">VLOOKUP(B622,'Player Data'!$A1:$AE673,7,FALSE)*$Q622*IFERROR((VLOOKUP(P622,Settings!$E$28:$F$33,2,FALSE)+1),1)</f>
        <v>7.81</v>
      </c>
      <c r="T622" s="57" cm="1">
        <f t="array" ref="T622">VLOOKUP(B622,'Player Data'!$A1:$AE673,8,FALSE)*$Q622*IFERROR((VLOOKUP(P622,Settings!$E$28:$F$33,2,FALSE)+1),1)</f>
        <v>10.65</v>
      </c>
      <c r="U622" s="57" cm="1">
        <f t="array" ref="U622">SUM(S622:T622)</f>
        <v>18.46</v>
      </c>
      <c r="V622" s="57" cm="1">
        <f t="array" ref="V622">VLOOKUP(B622,'Player Data'!$A1:$AE673,10,FALSE)*$Q622*IFERROR(((VLOOKUP(P622,Settings!$E$28:$F$33,2,FALSE)/2)+1),1)</f>
        <v>71.709999999999994</v>
      </c>
      <c r="W622" s="57" cm="1">
        <f t="array" ref="W622">VLOOKUP(B622,'Player Data'!$A1:$AE673,11,FALSE)*$Q622*IFERROR((VLOOKUP(P622,Settings!$E$28:$F$33,2,FALSE)+1),1)</f>
        <v>0</v>
      </c>
      <c r="X622" s="57" cm="1">
        <f t="array" ref="X622">VLOOKUP(B622,'Player Data'!$A1:$AE673,12,FALSE)*$Q622*IFERROR((VLOOKUP(P622,Settings!$E$28:$F$33,2,FALSE)+1),1)</f>
        <v>0</v>
      </c>
      <c r="Y622" s="57" cm="1">
        <f t="array" ref="Y622">VLOOKUP(B622,'Player Data'!$A1:$AE673,13,FALSE)*$Q622</f>
        <v>0</v>
      </c>
      <c r="Z622" s="57" cm="1">
        <f t="array" ref="Z622">VLOOKUP(B622,'Player Data'!$A1:$AE673,14,FALSE)*$Q622</f>
        <v>0.71</v>
      </c>
      <c r="AA622" s="57" cm="1">
        <f t="array" ref="AA622">VLOOKUP(B622,'Player Data'!$A1:$AE673,15,FALSE)*$Q622</f>
        <v>22.72</v>
      </c>
      <c r="AB622" s="57" cm="1">
        <f t="array" ref="AB622">VLOOKUP(B622,'Player Data'!$A1:$AE673,16,FALSE)*$Q622</f>
        <v>158.33000000000001</v>
      </c>
      <c r="AC622" s="57" cm="1">
        <f t="array" ref="AC622">VLOOKUP(B622,'Player Data'!$A1:$AE673,17,FALSE)*$Q622*IFERROR((VLOOKUP(P622,Settings!$E$28:$F$33,2,FALSE)+1),1)</f>
        <v>-8.52</v>
      </c>
      <c r="AD622" s="57" cm="1">
        <f t="array" ref="AD622">VLOOKUP(B622,'Player Data'!$A1:$AE673,18,FALSE)*$Q622</f>
        <v>24.14</v>
      </c>
      <c r="AE622" s="57" cm="1">
        <f t="array" ref="AE622">VLOOKUP(B622,'Player Data'!$A1:$AE673,19,FALSE)*$Q622*IFERROR((VLOOKUP(P622,Settings!$E$28:$F$33,2,FALSE)+1),1)</f>
        <v>0.71</v>
      </c>
      <c r="AF622" s="57" cm="1">
        <f t="array" ref="AF622">VLOOKUP(B622,'Player Data'!$A1:$AE673,20,FALSE)*$Q622</f>
        <v>510.49</v>
      </c>
      <c r="AG622" s="57" cm="1">
        <f t="array" ref="AG622">VLOOKUP(B622,'Player Data'!$A1:$AE673,21,FALSE)*$Q622</f>
        <v>347.19</v>
      </c>
      <c r="AH622" s="59" cm="1">
        <f t="array" ref="AH622">VLOOKUP(B622,'Player Data'!$A1:$AE673,22,FALSE)</f>
        <v>0.6</v>
      </c>
      <c r="AI622" s="55"/>
      <c r="AJ622" s="57"/>
      <c r="AK622" s="57"/>
      <c r="AL622" s="57"/>
      <c r="AM622" s="57"/>
      <c r="AN622" s="57"/>
      <c r="AO622" s="57"/>
      <c r="AP622" s="57"/>
      <c r="AQ622" s="60"/>
      <c r="AR622" s="61"/>
      <c r="AS622" s="55"/>
    </row>
    <row r="623" spans="1:45" ht="21.25" customHeight="1" x14ac:dyDescent="0.15">
      <c r="A623" s="62">
        <f>RANK(K623,K$2:K$671)</f>
        <v>621</v>
      </c>
      <c r="B623" s="10" t="s">
        <v>707</v>
      </c>
      <c r="C623" s="47" t="s">
        <v>145</v>
      </c>
      <c r="D623" s="48" t="str" cm="1">
        <f t="array" ref="D623">VLOOKUP(B623,'Player Data'!A1:D673,4,FALSE)</f>
        <v>RW</v>
      </c>
      <c r="E623" s="64" cm="1">
        <f t="array" ref="E623">VLOOKUP(B623,RW!A1:F210,3,FALSE)</f>
        <v>184</v>
      </c>
      <c r="F623" s="70" t="str" cm="1">
        <f t="array" ref="F623">VLOOKUP(B623,'Player Data'!A1:B673,2,FALSE)</f>
        <v>L.A</v>
      </c>
      <c r="G623" s="66" cm="1">
        <f t="array" ref="G623">VLOOKUP(B623,'Player Data'!A1:D673,3,FALSE)</f>
        <v>41</v>
      </c>
      <c r="H623" s="67" cm="1">
        <f t="array" ref="H623">IFERROR(VLOOKUP(B623,ADP!A1:F671,6,FALSE)/1000000,VLOOKUP(B623,ADP!A1:F671,6,FALSE))</f>
        <v>1</v>
      </c>
      <c r="I623" s="52">
        <f>IF(Settings!$E$15="POINTS",((R623*Q623)*Settings!$B$12)+(S623*Settings!$B$2)+(T623*Settings!$B$3)+(U623*Settings!$B$4)+(V623*Settings!$B$5)+(X623*Settings!$B$9)+(AA623*Settings!$B$6)+(W623*Settings!$B$8)+(AB623*Settings!$B$7)+(AC623*Settings!$B$14)+(AD623*Settings!$B$15)+(AE623*Settings!$B$16)+(AF623*Settings!$B$17)+(AG623*Settings!$B$18)+(Y623*Settings!$B$10)+(Z623*Settings!$B$11),VLOOKUP(B623,'Standard Deviations'!A$1:C$672,3,FALSE))</f>
        <v>-3.1771374448866836</v>
      </c>
      <c r="J623" s="53" cm="1">
        <f t="array" ref="J623">IF(D623="G",I623/AJ623,I623/Q623)</f>
        <v>-4.0216929682109916E-2</v>
      </c>
      <c r="K623" s="52" cm="1">
        <f t="array" ref="K623">IF(Settings!$E$18="C/LW/RW",VLOOKUP(B623,RW!A1:F210,6,FALSE),VLOOKUP(B623,F!A1:F407,6,FALSE))</f>
        <v>-10.064372046695761</v>
      </c>
      <c r="L623" s="54" cm="1">
        <f t="array" ref="L623">IFERROR(K623/H623,"N/A")</f>
        <v>-10.064372046695761</v>
      </c>
      <c r="M623" s="84" t="s">
        <v>828</v>
      </c>
      <c r="N623" s="84" t="str" cm="1">
        <f t="array" ref="N623">IFERROR(M623-A623,"N/A")</f>
        <v>N/A</v>
      </c>
      <c r="O623" s="55"/>
      <c r="P623" s="56" cm="1">
        <f t="array" ref="P623">_xlfn.XLOOKUP($B623,ADP!A2:A671,ADP!G2:G671)</f>
        <v>0</v>
      </c>
      <c r="Q623" s="57" cm="1">
        <f t="array" ref="Q623">IF(Settings!$E$12="YES",VLOOKUP(B623,'Player Data'!A1:E673,5,FALSE),84)</f>
        <v>79</v>
      </c>
      <c r="R623" s="83" cm="1">
        <f t="array" ref="R623">VLOOKUP(B623,'Player Data'!$A1:$AE673,6,FALSE)</f>
        <v>11.2</v>
      </c>
      <c r="S623" s="57" cm="1">
        <f t="array" ref="S623">VLOOKUP(B623,'Player Data'!$A1:$AE673,7,FALSE)*$Q623*IFERROR((VLOOKUP(P623,Settings!$E$28:$F$33,2,FALSE)+1),1)</f>
        <v>11.85</v>
      </c>
      <c r="T623" s="57" cm="1">
        <f t="array" ref="T623">VLOOKUP(B623,'Player Data'!$A1:$AE673,8,FALSE)*$Q623*IFERROR((VLOOKUP(P623,Settings!$E$28:$F$33,2,FALSE)+1),1)</f>
        <v>10.27</v>
      </c>
      <c r="U623" s="57" cm="1">
        <f t="array" ref="U623">SUM(S623:T623)</f>
        <v>22.119999999999997</v>
      </c>
      <c r="V623" s="57" cm="1">
        <f t="array" ref="V623">VLOOKUP(B623,'Player Data'!$A1:$AE673,10,FALSE)*$Q623*IFERROR(((VLOOKUP(P623,Settings!$E$28:$F$33,2,FALSE)/2)+1),1)</f>
        <v>90.059999999999988</v>
      </c>
      <c r="W623" s="57" cm="1">
        <f t="array" ref="W623">VLOOKUP(B623,'Player Data'!$A1:$AE673,11,FALSE)*$Q623*IFERROR((VLOOKUP(P623,Settings!$E$28:$F$33,2,FALSE)+1),1)</f>
        <v>1.58</v>
      </c>
      <c r="X623" s="57" cm="1">
        <f t="array" ref="X623">VLOOKUP(B623,'Player Data'!$A1:$AE673,12,FALSE)*$Q623*IFERROR((VLOOKUP(P623,Settings!$E$28:$F$33,2,FALSE)+1),1)</f>
        <v>3.16</v>
      </c>
      <c r="Y623" s="57" cm="1">
        <f t="array" ref="Y623">VLOOKUP(B623,'Player Data'!$A1:$AE673,13,FALSE)*$Q623</f>
        <v>0</v>
      </c>
      <c r="Z623" s="57" cm="1">
        <f t="array" ref="Z623">VLOOKUP(B623,'Player Data'!$A1:$AE673,14,FALSE)*$Q623</f>
        <v>0</v>
      </c>
      <c r="AA623" s="57" cm="1">
        <f t="array" ref="AA623">VLOOKUP(B623,'Player Data'!$A1:$AE673,15,FALSE)*$Q623</f>
        <v>23.7</v>
      </c>
      <c r="AB623" s="57" cm="1">
        <f t="array" ref="AB623">VLOOKUP(B623,'Player Data'!$A1:$AE673,16,FALSE)*$Q623</f>
        <v>45.82</v>
      </c>
      <c r="AC623" s="57" cm="1">
        <f t="array" ref="AC623">VLOOKUP(B623,'Player Data'!$A1:$AE673,17,FALSE)*$Q623*IFERROR((VLOOKUP(P623,Settings!$E$28:$F$33,2,FALSE)+1),1)</f>
        <v>0</v>
      </c>
      <c r="AD623" s="57" cm="1">
        <f t="array" ref="AD623">VLOOKUP(B623,'Player Data'!$A1:$AE673,18,FALSE)*$Q623</f>
        <v>43.45</v>
      </c>
      <c r="AE623" s="57" cm="1">
        <f t="array" ref="AE623">VLOOKUP(B623,'Player Data'!$A1:$AE673,19,FALSE)*$Q623*IFERROR((VLOOKUP(P623,Settings!$E$28:$F$33,2,FALSE)+1),1)</f>
        <v>1.58</v>
      </c>
      <c r="AF623" s="57" cm="1">
        <f t="array" ref="AF623">VLOOKUP(B623,'Player Data'!$A1:$AE673,20,FALSE)*$Q623</f>
        <v>7.1099999999999994</v>
      </c>
      <c r="AG623" s="57" cm="1">
        <f t="array" ref="AG623">VLOOKUP(B623,'Player Data'!$A1:$AE673,21,FALSE)*$Q623</f>
        <v>17.38</v>
      </c>
      <c r="AH623" s="59" cm="1">
        <f t="array" ref="AH623">VLOOKUP(B623,'Player Data'!$A1:$AE673,22,FALSE)</f>
        <v>0.28999999999999998</v>
      </c>
      <c r="AI623" s="55"/>
      <c r="AJ623" s="57"/>
      <c r="AK623" s="57"/>
      <c r="AL623" s="57"/>
      <c r="AM623" s="57"/>
      <c r="AN623" s="57"/>
      <c r="AO623" s="57"/>
      <c r="AP623" s="57"/>
      <c r="AQ623" s="60"/>
      <c r="AR623" s="61"/>
      <c r="AS623" s="55"/>
    </row>
    <row r="624" spans="1:45" ht="21.25" customHeight="1" x14ac:dyDescent="0.15">
      <c r="A624" s="62">
        <f>RANK(K624,K$2:K$671)</f>
        <v>623</v>
      </c>
      <c r="B624" s="10" t="s">
        <v>745</v>
      </c>
      <c r="C624" s="47" t="s">
        <v>145</v>
      </c>
      <c r="D624" s="48" t="str" cm="1">
        <f t="array" ref="D624">VLOOKUP(B624,'Player Data'!A1:D673,4,FALSE)</f>
        <v>RW</v>
      </c>
      <c r="E624" s="64" cm="1">
        <f t="array" ref="E624">VLOOKUP(B624,RW!A1:F210,3,FALSE)</f>
        <v>185</v>
      </c>
      <c r="F624" s="69" t="str" cm="1">
        <f t="array" ref="F624">VLOOKUP(B624,'Player Data'!A1:B673,2,FALSE)</f>
        <v>N.J</v>
      </c>
      <c r="G624" s="66" cm="1">
        <f t="array" ref="G624">VLOOKUP(B624,'Player Data'!A1:D673,3,FALSE)</f>
        <v>33</v>
      </c>
      <c r="H624" s="67" cm="1">
        <f t="array" ref="H624">IFERROR(VLOOKUP(B624,ADP!A1:F671,6,FALSE)/1000000,VLOOKUP(B624,ADP!A1:F671,6,FALSE))</f>
        <v>2.75</v>
      </c>
      <c r="I624" s="52">
        <f>IF(Settings!$E$15="POINTS",((R624*Q624)*Settings!$B$12)+(S624*Settings!$B$2)+(T624*Settings!$B$3)+(U624*Settings!$B$4)+(V624*Settings!$B$5)+(X624*Settings!$B$9)+(AA624*Settings!$B$6)+(W624*Settings!$B$8)+(AB624*Settings!$B$7)+(AC624*Settings!$B$14)+(AD624*Settings!$B$15)+(AE624*Settings!$B$16)+(AF624*Settings!$B$17)+(AG624*Settings!$B$18)+(Y624*Settings!$B$10)+(Z624*Settings!$B$11),VLOOKUP(B624,'Standard Deviations'!A$1:C$672,3,FALSE))</f>
        <v>-3.2310887533119801</v>
      </c>
      <c r="J624" s="53" cm="1">
        <f t="array" ref="J624">IF(D624="G",I624/AJ624,I624/Q624)</f>
        <v>-4.251432570147342E-2</v>
      </c>
      <c r="K624" s="52" cm="1">
        <f t="array" ref="K624">IF(Settings!$E$18="C/LW/RW",VLOOKUP(B624,RW!A1:F210,6,FALSE),VLOOKUP(B624,F!A1:F407,6,FALSE))</f>
        <v>-10.118323355121058</v>
      </c>
      <c r="L624" s="54" cm="1">
        <f t="array" ref="L624">IFERROR(K624/H624,"N/A")</f>
        <v>-3.6793903109531119</v>
      </c>
      <c r="M624" s="84" t="s">
        <v>828</v>
      </c>
      <c r="N624" s="84" t="str" cm="1">
        <f t="array" ref="N624">IFERROR(M624-A624,"N/A")</f>
        <v>N/A</v>
      </c>
      <c r="O624" s="55"/>
      <c r="P624" s="56" cm="1">
        <f t="array" ref="P624">_xlfn.XLOOKUP($B624,ADP!A2:A671,ADP!G2:G671)</f>
        <v>0</v>
      </c>
      <c r="Q624" s="57" cm="1">
        <f t="array" ref="Q624">IF(Settings!$E$12="YES",VLOOKUP(B624,'Player Data'!A1:E673,5,FALSE),84)</f>
        <v>76</v>
      </c>
      <c r="R624" s="83" cm="1">
        <f t="array" ref="R624">VLOOKUP(B624,'Player Data'!$A1:$AE673,6,FALSE)</f>
        <v>10.6</v>
      </c>
      <c r="S624" s="57" cm="1">
        <f t="array" ref="S624">VLOOKUP(B624,'Player Data'!$A1:$AE673,7,FALSE)*$Q624*IFERROR((VLOOKUP(P624,Settings!$E$28:$F$33,2,FALSE)+1),1)</f>
        <v>7.6000000000000005</v>
      </c>
      <c r="T624" s="57" cm="1">
        <f t="array" ref="T624">VLOOKUP(B624,'Player Data'!$A1:$AE673,8,FALSE)*$Q624*IFERROR((VLOOKUP(P624,Settings!$E$28:$F$33,2,FALSE)+1),1)</f>
        <v>9.1199999999999992</v>
      </c>
      <c r="U624" s="57" cm="1">
        <f t="array" ref="U624">SUM(S624:T624)</f>
        <v>16.72</v>
      </c>
      <c r="V624" s="57" cm="1">
        <f t="array" ref="V624">VLOOKUP(B624,'Player Data'!$A1:$AE673,10,FALSE)*$Q624*IFERROR(((VLOOKUP(P624,Settings!$E$28:$F$33,2,FALSE)/2)+1),1)</f>
        <v>79.8</v>
      </c>
      <c r="W624" s="57" cm="1">
        <f t="array" ref="W624">VLOOKUP(B624,'Player Data'!$A1:$AE673,11,FALSE)*$Q624*IFERROR((VLOOKUP(P624,Settings!$E$28:$F$33,2,FALSE)+1),1)</f>
        <v>0</v>
      </c>
      <c r="X624" s="57" cm="1">
        <f t="array" ref="X624">VLOOKUP(B624,'Player Data'!$A1:$AE673,12,FALSE)*$Q624*IFERROR((VLOOKUP(P624,Settings!$E$28:$F$33,2,FALSE)+1),1)</f>
        <v>0</v>
      </c>
      <c r="Y624" s="57" cm="1">
        <f t="array" ref="Y624">VLOOKUP(B624,'Player Data'!$A1:$AE673,13,FALSE)*$Q624</f>
        <v>0</v>
      </c>
      <c r="Z624" s="57" cm="1">
        <f t="array" ref="Z624">VLOOKUP(B624,'Player Data'!$A1:$AE673,14,FALSE)*$Q624</f>
        <v>0</v>
      </c>
      <c r="AA624" s="57" cm="1">
        <f t="array" ref="AA624">VLOOKUP(B624,'Player Data'!$A1:$AE673,15,FALSE)*$Q624</f>
        <v>24.32</v>
      </c>
      <c r="AB624" s="57" cm="1">
        <f t="array" ref="AB624">VLOOKUP(B624,'Player Data'!$A1:$AE673,16,FALSE)*$Q624</f>
        <v>91.96</v>
      </c>
      <c r="AC624" s="57" cm="1">
        <f t="array" ref="AC624">VLOOKUP(B624,'Player Data'!$A1:$AE673,17,FALSE)*$Q624*IFERROR((VLOOKUP(P624,Settings!$E$28:$F$33,2,FALSE)+1),1)</f>
        <v>0</v>
      </c>
      <c r="AD624" s="57" cm="1">
        <f t="array" ref="AD624">VLOOKUP(B624,'Player Data'!$A1:$AE673,18,FALSE)*$Q624</f>
        <v>31.159999999999997</v>
      </c>
      <c r="AE624" s="57" cm="1">
        <f t="array" ref="AE624">VLOOKUP(B624,'Player Data'!$A1:$AE673,19,FALSE)*$Q624*IFERROR((VLOOKUP(P624,Settings!$E$28:$F$33,2,FALSE)+1),1)</f>
        <v>1.52</v>
      </c>
      <c r="AF624" s="57" cm="1">
        <f t="array" ref="AF624">VLOOKUP(B624,'Player Data'!$A1:$AE673,20,FALSE)*$Q624</f>
        <v>31.159999999999997</v>
      </c>
      <c r="AG624" s="57" cm="1">
        <f t="array" ref="AG624">VLOOKUP(B624,'Player Data'!$A1:$AE673,21,FALSE)*$Q624</f>
        <v>34.200000000000003</v>
      </c>
      <c r="AH624" s="59" cm="1">
        <f t="array" ref="AH624">VLOOKUP(B624,'Player Data'!$A1:$AE673,22,FALSE)</f>
        <v>0.47</v>
      </c>
      <c r="AI624" s="55"/>
      <c r="AJ624" s="57"/>
      <c r="AK624" s="57"/>
      <c r="AL624" s="57"/>
      <c r="AM624" s="57"/>
      <c r="AN624" s="57"/>
      <c r="AO624" s="57"/>
      <c r="AP624" s="57"/>
      <c r="AQ624" s="60"/>
      <c r="AR624" s="61"/>
      <c r="AS624" s="55"/>
    </row>
    <row r="625" spans="1:45" ht="21.25" customHeight="1" x14ac:dyDescent="0.15">
      <c r="A625" s="62">
        <f>RANK(K625,K$2:K$671)</f>
        <v>626</v>
      </c>
      <c r="B625" s="10" t="s">
        <v>697</v>
      </c>
      <c r="C625" s="47" t="s">
        <v>145</v>
      </c>
      <c r="D625" s="48" t="str" cm="1">
        <f t="array" ref="D625">VLOOKUP(B625,'Player Data'!A1:D673,4,FALSE)</f>
        <v>C,LW</v>
      </c>
      <c r="E625" s="74" cm="1">
        <f t="array" ref="E625">VLOOKUP(B625,LW!A1:C210,3,FALSE)</f>
        <v>186</v>
      </c>
      <c r="F625" s="72" t="str" cm="1">
        <f t="array" ref="F625">VLOOKUP(B625,'Player Data'!A1:B673,2,FALSE)</f>
        <v>DET</v>
      </c>
      <c r="G625" s="11" cm="1">
        <f t="array" ref="G625">VLOOKUP(B625,'Player Data'!A1:D673,3,FALSE)</f>
        <v>27</v>
      </c>
      <c r="H625" s="51" cm="1">
        <f t="array" ref="H625">IFERROR(VLOOKUP(B625,ADP!A1:F671,6,FALSE)/1000000,VLOOKUP(B625,ADP!A1:F671,6,FALSE))</f>
        <v>3.2</v>
      </c>
      <c r="I625" s="52">
        <f>IF(Settings!$E$15="POINTS",((R625*Q625)*Settings!$B$12)+(S625*Settings!$B$2)+(T625*Settings!$B$3)+(U625*Settings!$B$4)+(V625*Settings!$B$5)+(X625*Settings!$B$9)+(AA625*Settings!$B$6)+(W625*Settings!$B$8)+(AB625*Settings!$B$7)+(AC625*Settings!$B$14)+(AD625*Settings!$B$15)+(AE625*Settings!$B$16)+(AF625*Settings!$B$17)+(AG625*Settings!$B$18)+(Y625*Settings!$B$10)+(Z625*Settings!$B$11),VLOOKUP(B625,'Standard Deviations'!A$1:C$672,3,FALSE))</f>
        <v>-3.2939768033201537</v>
      </c>
      <c r="J625" s="53" cm="1">
        <f t="array" ref="J625">IF(D625="G",I625/AJ625,I625/Q625)</f>
        <v>-4.1695908902786759E-2</v>
      </c>
      <c r="K625" s="52" cm="1">
        <f t="array" ref="K625">IF(Settings!$E$18="C/LW/RW",VLOOKUP(B625,LW!A1:F210,6,FALSE),VLOOKUP(B625,F!A1:F407,6,FALSE))</f>
        <v>-10.188362447709963</v>
      </c>
      <c r="L625" s="54" cm="1">
        <f t="array" ref="L625">IFERROR(K625/H625,"N/A")</f>
        <v>-3.1838632649093634</v>
      </c>
      <c r="M625" s="84" t="s">
        <v>828</v>
      </c>
      <c r="N625" s="84" t="str" cm="1">
        <f t="array" ref="N625">IFERROR(M625-A625,"N/A")</f>
        <v>N/A</v>
      </c>
      <c r="O625" s="55"/>
      <c r="P625" s="56" cm="1">
        <f t="array" ref="P625">_xlfn.XLOOKUP($B625,ADP!A2:A671,ADP!G2:G671)</f>
        <v>0</v>
      </c>
      <c r="Q625" s="57" cm="1">
        <f t="array" ref="Q625">IF(Settings!$E$12="YES",VLOOKUP(B625,'Player Data'!A1:E673,5,FALSE),84)</f>
        <v>79</v>
      </c>
      <c r="R625" s="55" cm="1">
        <f t="array" ref="R625">VLOOKUP(B625,'Player Data'!$A1:$AE673,6,FALSE)</f>
        <v>12.6</v>
      </c>
      <c r="S625" s="57" cm="1">
        <f t="array" ref="S625">VLOOKUP(B625,'Player Data'!$A1:$AE673,7,FALSE)*$Q625*IFERROR((VLOOKUP(P625,Settings!$E$28:$F$33,2,FALSE)+1),1)</f>
        <v>8.69</v>
      </c>
      <c r="T625" s="57" cm="1">
        <f t="array" ref="T625">VLOOKUP(B625,'Player Data'!$A1:$AE673,8,FALSE)*$Q625*IFERROR((VLOOKUP(P625,Settings!$E$28:$F$33,2,FALSE)+1),1)</f>
        <v>10.27</v>
      </c>
      <c r="U625" s="57" cm="1">
        <f t="array" ref="U625">SUM(S625:T625)</f>
        <v>18.96</v>
      </c>
      <c r="V625" s="57" cm="1">
        <f t="array" ref="V625">VLOOKUP(B625,'Player Data'!$A1:$AE673,10,FALSE)*$Q625*IFERROR(((VLOOKUP(P625,Settings!$E$28:$F$33,2,FALSE)/2)+1),1)</f>
        <v>81.37</v>
      </c>
      <c r="W625" s="57" cm="1">
        <f t="array" ref="W625">VLOOKUP(B625,'Player Data'!$A1:$AE673,11,FALSE)*$Q625*IFERROR((VLOOKUP(P625,Settings!$E$28:$F$33,2,FALSE)+1),1)</f>
        <v>0</v>
      </c>
      <c r="X625" s="57" cm="1">
        <f t="array" ref="X625">VLOOKUP(B625,'Player Data'!$A1:$AE673,12,FALSE)*$Q625*IFERROR((VLOOKUP(P625,Settings!$E$28:$F$33,2,FALSE)+1),1)</f>
        <v>0.79</v>
      </c>
      <c r="Y625" s="57" cm="1">
        <f t="array" ref="Y625">VLOOKUP(B625,'Player Data'!$A1:$AE673,13,FALSE)*$Q625</f>
        <v>0.79</v>
      </c>
      <c r="Z625" s="57" cm="1">
        <f t="array" ref="Z625">VLOOKUP(B625,'Player Data'!$A1:$AE673,14,FALSE)*$Q625</f>
        <v>0.79</v>
      </c>
      <c r="AA625" s="57" cm="1">
        <f t="array" ref="AA625">VLOOKUP(B625,'Player Data'!$A1:$AE673,15,FALSE)*$Q625</f>
        <v>64.78</v>
      </c>
      <c r="AB625" s="57" cm="1">
        <f t="array" ref="AB625">VLOOKUP(B625,'Player Data'!$A1:$AE673,16,FALSE)*$Q625</f>
        <v>99.54</v>
      </c>
      <c r="AC625" s="57" cm="1">
        <f t="array" ref="AC625">VLOOKUP(B625,'Player Data'!$A1:$AE673,17,FALSE)*$Q625*IFERROR((VLOOKUP(P625,Settings!$E$28:$F$33,2,FALSE)+1),1)</f>
        <v>-2.37</v>
      </c>
      <c r="AD625" s="57" cm="1">
        <f t="array" ref="AD625">VLOOKUP(B625,'Player Data'!$A1:$AE673,18,FALSE)*$Q625</f>
        <v>23.7</v>
      </c>
      <c r="AE625" s="57" cm="1">
        <f t="array" ref="AE625">VLOOKUP(B625,'Player Data'!$A1:$AE673,19,FALSE)*$Q625*IFERROR((VLOOKUP(P625,Settings!$E$28:$F$33,2,FALSE)+1),1)</f>
        <v>1.58</v>
      </c>
      <c r="AF625" s="57" cm="1">
        <f t="array" ref="AF625">VLOOKUP(B625,'Player Data'!$A1:$AE673,20,FALSE)*$Q625</f>
        <v>130.35</v>
      </c>
      <c r="AG625" s="57" cm="1">
        <f t="array" ref="AG625">VLOOKUP(B625,'Player Data'!$A1:$AE673,21,FALSE)*$Q625</f>
        <v>147.73000000000002</v>
      </c>
      <c r="AH625" s="59" cm="1">
        <f t="array" ref="AH625">VLOOKUP(B625,'Player Data'!$A1:$AE673,22,FALSE)</f>
        <v>0.47</v>
      </c>
      <c r="AI625" s="55"/>
      <c r="AJ625" s="57"/>
      <c r="AK625" s="57"/>
      <c r="AL625" s="57"/>
      <c r="AM625" s="57"/>
      <c r="AN625" s="57"/>
      <c r="AO625" s="57"/>
      <c r="AP625" s="57"/>
      <c r="AQ625" s="60"/>
      <c r="AR625" s="61"/>
      <c r="AS625" s="55"/>
    </row>
    <row r="626" spans="1:45" ht="21.25" customHeight="1" x14ac:dyDescent="0.15">
      <c r="A626" s="62">
        <f>RANK(K626,K$2:K$671)</f>
        <v>625</v>
      </c>
      <c r="B626" s="10" t="s">
        <v>742</v>
      </c>
      <c r="C626" s="47" t="s">
        <v>145</v>
      </c>
      <c r="D626" s="48" t="str" cm="1">
        <f t="array" ref="D626">VLOOKUP(B626,'Player Data'!A1:D673,4,FALSE)</f>
        <v>C</v>
      </c>
      <c r="E626" s="49" cm="1">
        <f t="array" ref="E626">VLOOKUP(B626,'C'!A1:C210,3,FALSE)</f>
        <v>194</v>
      </c>
      <c r="F626" s="65" t="str" cm="1">
        <f t="array" ref="F626">VLOOKUP(B626,'Player Data'!A1:B673,2,FALSE)</f>
        <v>STL</v>
      </c>
      <c r="G626" s="71" cm="1">
        <f t="array" ref="G626">VLOOKUP(B626,'Player Data'!A1:D673,3,FALSE)</f>
        <v>21</v>
      </c>
      <c r="H626" s="51" cm="1">
        <f t="array" ref="H626">IFERROR(VLOOKUP(B626,ADP!A1:F671,6,FALSE)/1000000,VLOOKUP(B626,ADP!A1:F671,6,FALSE))</f>
        <v>0.94083300000000003</v>
      </c>
      <c r="I626" s="52">
        <f>IF(Settings!$E$15="POINTS",((R626*Q626)*Settings!$B$12)+(S626*Settings!$B$2)+(T626*Settings!$B$3)+(U626*Settings!$B$4)+(V626*Settings!$B$5)+(X626*Settings!$B$9)+(AA626*Settings!$B$6)+(W626*Settings!$B$8)+(AB626*Settings!$B$7)+(AC626*Settings!$B$14)+(AD626*Settings!$B$15)+(AE626*Settings!$B$16)+(AF626*Settings!$B$17)+(AG626*Settings!$B$18)+(Y626*Settings!$B$10)+(Z626*Settings!$B$11),VLOOKUP(B626,'Standard Deviations'!A$1:C$672,3,FALSE))</f>
        <v>-3.8166862939821766</v>
      </c>
      <c r="J626" s="53" cm="1">
        <f t="array" ref="J626">IF(D626="G",I626/AJ626,I626/Q626)</f>
        <v>-6.0582322126701213E-2</v>
      </c>
      <c r="K626" s="52" cm="1">
        <f t="array" ref="K626">IF(Settings!$E$18="C/LW/RW",VLOOKUP(B626,'C'!A1:F210,6,FALSE),VLOOKUP(B626,F!A1:F407,6,FALSE))</f>
        <v>-10.176695851597241</v>
      </c>
      <c r="L626" s="54" cm="1">
        <f t="array" ref="L626">IFERROR(K626/H626,"N/A")</f>
        <v>-10.816686756945431</v>
      </c>
      <c r="M626" s="84" t="s">
        <v>828</v>
      </c>
      <c r="N626" s="84" t="str" cm="1">
        <f t="array" ref="N626">IFERROR(M626-A626,"N/A")</f>
        <v>N/A</v>
      </c>
      <c r="O626" s="55"/>
      <c r="P626" s="56" cm="1">
        <f t="array" ref="P626">_xlfn.XLOOKUP($B626,ADP!A2:A671,ADP!G2:G671)</f>
        <v>0</v>
      </c>
      <c r="Q626" s="57" cm="1">
        <f t="array" ref="Q626">IF(Settings!$E$12="YES",VLOOKUP(B626,'Player Data'!A1:E673,5,FALSE),84)</f>
        <v>63</v>
      </c>
      <c r="R626" s="83" cm="1">
        <f t="array" ref="R626">VLOOKUP(B626,'Player Data'!$A1:$AE673,6,FALSE)</f>
        <v>11.9</v>
      </c>
      <c r="S626" s="57" cm="1">
        <f t="array" ref="S626">VLOOKUP(B626,'Player Data'!$A1:$AE673,7,FALSE)*$Q626*IFERROR((VLOOKUP(P626,Settings!$E$28:$F$33,2,FALSE)+1),1)</f>
        <v>6.93</v>
      </c>
      <c r="T626" s="57" cm="1">
        <f t="array" ref="T626">VLOOKUP(B626,'Player Data'!$A1:$AE673,8,FALSE)*$Q626*IFERROR((VLOOKUP(P626,Settings!$E$28:$F$33,2,FALSE)+1),1)</f>
        <v>11.97</v>
      </c>
      <c r="U626" s="57" cm="1">
        <f t="array" ref="U626">SUM(S626:T626)</f>
        <v>18.899999999999999</v>
      </c>
      <c r="V626" s="57" cm="1">
        <f t="array" ref="V626">VLOOKUP(B626,'Player Data'!$A1:$AE673,10,FALSE)*$Q626*IFERROR(((VLOOKUP(P626,Settings!$E$28:$F$33,2,FALSE)/2)+1),1)</f>
        <v>60.48</v>
      </c>
      <c r="W626" s="57" cm="1">
        <f t="array" ref="W626">VLOOKUP(B626,'Player Data'!$A1:$AE673,11,FALSE)*$Q626*IFERROR((VLOOKUP(P626,Settings!$E$28:$F$33,2,FALSE)+1),1)</f>
        <v>0</v>
      </c>
      <c r="X626" s="57" cm="1">
        <f t="array" ref="X626">VLOOKUP(B626,'Player Data'!$A1:$AE673,12,FALSE)*$Q626*IFERROR((VLOOKUP(P626,Settings!$E$28:$F$33,2,FALSE)+1),1)</f>
        <v>0.63</v>
      </c>
      <c r="Y626" s="57" cm="1">
        <f t="array" ref="Y626">VLOOKUP(B626,'Player Data'!$A1:$AE673,13,FALSE)*$Q626</f>
        <v>0</v>
      </c>
      <c r="Z626" s="57" cm="1">
        <f t="array" ref="Z626">VLOOKUP(B626,'Player Data'!$A1:$AE673,14,FALSE)*$Q626</f>
        <v>1.26</v>
      </c>
      <c r="AA626" s="57" cm="1">
        <f t="array" ref="AA626">VLOOKUP(B626,'Player Data'!$A1:$AE673,15,FALSE)*$Q626</f>
        <v>27.72</v>
      </c>
      <c r="AB626" s="57" cm="1">
        <f t="array" ref="AB626">VLOOKUP(B626,'Player Data'!$A1:$AE673,16,FALSE)*$Q626</f>
        <v>90.089999999999989</v>
      </c>
      <c r="AC626" s="57" cm="1">
        <f t="array" ref="AC626">VLOOKUP(B626,'Player Data'!$A1:$AE673,17,FALSE)*$Q626*IFERROR((VLOOKUP(P626,Settings!$E$28:$F$33,2,FALSE)+1),1)</f>
        <v>-1.89</v>
      </c>
      <c r="AD626" s="57" cm="1">
        <f t="array" ref="AD626">VLOOKUP(B626,'Player Data'!$A1:$AE673,18,FALSE)*$Q626</f>
        <v>14.49</v>
      </c>
      <c r="AE626" s="57" cm="1">
        <f t="array" ref="AE626">VLOOKUP(B626,'Player Data'!$A1:$AE673,19,FALSE)*$Q626*IFERROR((VLOOKUP(P626,Settings!$E$28:$F$33,2,FALSE)+1),1)</f>
        <v>1.26</v>
      </c>
      <c r="AF626" s="57" cm="1">
        <f t="array" ref="AF626">VLOOKUP(B626,'Player Data'!$A1:$AE673,20,FALSE)*$Q626</f>
        <v>6.93</v>
      </c>
      <c r="AG626" s="57" cm="1">
        <f t="array" ref="AG626">VLOOKUP(B626,'Player Data'!$A1:$AE673,21,FALSE)*$Q626</f>
        <v>17.010000000000002</v>
      </c>
      <c r="AH626" s="59" cm="1">
        <f t="array" ref="AH626">VLOOKUP(B626,'Player Data'!$A1:$AE673,22,FALSE)</f>
        <v>0.28999999999999998</v>
      </c>
      <c r="AI626" s="55"/>
      <c r="AJ626" s="57"/>
      <c r="AK626" s="57"/>
      <c r="AL626" s="57"/>
      <c r="AM626" s="57"/>
      <c r="AN626" s="57"/>
      <c r="AO626" s="57"/>
      <c r="AP626" s="57"/>
      <c r="AQ626" s="60"/>
      <c r="AR626" s="61"/>
      <c r="AS626" s="55"/>
    </row>
    <row r="627" spans="1:45" ht="21.25" customHeight="1" x14ac:dyDescent="0.15">
      <c r="A627" s="62">
        <f>RANK(K627,K$2:K$671)</f>
        <v>627</v>
      </c>
      <c r="B627" s="10" t="s">
        <v>788</v>
      </c>
      <c r="C627" s="47" t="s">
        <v>145</v>
      </c>
      <c r="D627" s="48" t="str" cm="1">
        <f t="array" ref="D627">VLOOKUP(B627,'Player Data'!A1:D673,4,FALSE)</f>
        <v>C</v>
      </c>
      <c r="E627" s="49" cm="1">
        <f t="array" ref="E627">VLOOKUP(B627,'C'!A1:C210,3,FALSE)</f>
        <v>195</v>
      </c>
      <c r="F627" s="56" t="str" cm="1">
        <f t="array" ref="F627">VLOOKUP(B627,'Player Data'!A1:B673,2,FALSE)</f>
        <v>S.J</v>
      </c>
      <c r="G627" s="71" cm="1">
        <f t="array" ref="G627">VLOOKUP(B627,'Player Data'!A1:D673,3,FALSE)</f>
        <v>23</v>
      </c>
      <c r="H627" s="51" cm="1">
        <f t="array" ref="H627">IFERROR(VLOOKUP(B627,ADP!A1:F671,6,FALSE)/1000000,VLOOKUP(B627,ADP!A1:F671,6,FALSE))</f>
        <v>2.35</v>
      </c>
      <c r="I627" s="52">
        <f>IF(Settings!$E$15="POINTS",((R627*Q627)*Settings!$B$12)+(S627*Settings!$B$2)+(T627*Settings!$B$3)+(U627*Settings!$B$4)+(V627*Settings!$B$5)+(X627*Settings!$B$9)+(AA627*Settings!$B$6)+(W627*Settings!$B$8)+(AB627*Settings!$B$7)+(AC627*Settings!$B$14)+(AD627*Settings!$B$15)+(AE627*Settings!$B$16)+(AF627*Settings!$B$17)+(AG627*Settings!$B$18)+(Y627*Settings!$B$10)+(Z627*Settings!$B$11),VLOOKUP(B627,'Standard Deviations'!A$1:C$672,3,FALSE))</f>
        <v>-3.8457789091109822</v>
      </c>
      <c r="J627" s="53" cm="1">
        <f t="array" ref="J627">IF(D627="G",I627/AJ627,I627/Q627)</f>
        <v>-5.573592621899974E-2</v>
      </c>
      <c r="K627" s="52" cm="1">
        <f t="array" ref="K627">IF(Settings!$E$18="C/LW/RW",VLOOKUP(B627,'C'!A1:F210,6,FALSE),VLOOKUP(B627,F!A1:F407,6,FALSE))</f>
        <v>-10.205788466726046</v>
      </c>
      <c r="L627" s="54" cm="1">
        <f t="array" ref="L627">IFERROR(K627/H627,"N/A")</f>
        <v>-4.342888709245126</v>
      </c>
      <c r="M627" s="84" t="s">
        <v>828</v>
      </c>
      <c r="N627" s="84" t="str" cm="1">
        <f t="array" ref="N627">IFERROR(M627-A627,"N/A")</f>
        <v>N/A</v>
      </c>
      <c r="O627" s="55"/>
      <c r="P627" s="56" cm="1">
        <f t="array" ref="P627">_xlfn.XLOOKUP($B627,ADP!A2:A671,ADP!G2:G671)</f>
        <v>0</v>
      </c>
      <c r="Q627" s="57" cm="1">
        <f t="array" ref="Q627">IF(Settings!$E$12="YES",VLOOKUP(B627,'Player Data'!A1:E673,5,FALSE),84)</f>
        <v>69</v>
      </c>
      <c r="R627" s="55" cm="1">
        <f t="array" ref="R627">VLOOKUP(B627,'Player Data'!$A1:$AE673,6,FALSE)</f>
        <v>10.4</v>
      </c>
      <c r="S627" s="57" cm="1">
        <f t="array" ref="S627">VLOOKUP(B627,'Player Data'!$A1:$AE673,7,FALSE)*$Q627*IFERROR((VLOOKUP(P627,Settings!$E$28:$F$33,2,FALSE)+1),1)</f>
        <v>4.1399999999999997</v>
      </c>
      <c r="T627" s="57" cm="1">
        <f t="array" ref="T627">VLOOKUP(B627,'Player Data'!$A1:$AE673,8,FALSE)*$Q627*IFERROR((VLOOKUP(P627,Settings!$E$28:$F$33,2,FALSE)+1),1)</f>
        <v>4.83</v>
      </c>
      <c r="U627" s="57" cm="1">
        <f t="array" ref="U627">SUM(S627:T627)</f>
        <v>8.9699999999999989</v>
      </c>
      <c r="V627" s="57" cm="1">
        <f t="array" ref="V627">VLOOKUP(B627,'Player Data'!$A1:$AE673,10,FALSE)*$Q627*IFERROR(((VLOOKUP(P627,Settings!$E$28:$F$33,2,FALSE)/2)+1),1)</f>
        <v>51.06</v>
      </c>
      <c r="W627" s="57" cm="1">
        <f t="array" ref="W627">VLOOKUP(B627,'Player Data'!$A1:$AE673,11,FALSE)*$Q627*IFERROR((VLOOKUP(P627,Settings!$E$28:$F$33,2,FALSE)+1),1)</f>
        <v>0</v>
      </c>
      <c r="X627" s="57" cm="1">
        <f t="array" ref="X627">VLOOKUP(B627,'Player Data'!$A1:$AE673,12,FALSE)*$Q627*IFERROR((VLOOKUP(P627,Settings!$E$28:$F$33,2,FALSE)+1),1)</f>
        <v>0</v>
      </c>
      <c r="Y627" s="57" cm="1">
        <f t="array" ref="Y627">VLOOKUP(B627,'Player Data'!$A1:$AE673,13,FALSE)*$Q627</f>
        <v>0</v>
      </c>
      <c r="Z627" s="57" cm="1">
        <f t="array" ref="Z627">VLOOKUP(B627,'Player Data'!$A1:$AE673,14,FALSE)*$Q627</f>
        <v>0.69000000000000006</v>
      </c>
      <c r="AA627" s="57" cm="1">
        <f t="array" ref="AA627">VLOOKUP(B627,'Player Data'!$A1:$AE673,15,FALSE)*$Q627</f>
        <v>34.5</v>
      </c>
      <c r="AB627" s="57" cm="1">
        <f t="array" ref="AB627">VLOOKUP(B627,'Player Data'!$A1:$AE673,16,FALSE)*$Q627</f>
        <v>146.97</v>
      </c>
      <c r="AC627" s="57" cm="1">
        <f t="array" ref="AC627">VLOOKUP(B627,'Player Data'!$A1:$AE673,17,FALSE)*$Q627*IFERROR((VLOOKUP(P627,Settings!$E$28:$F$33,2,FALSE)+1),1)</f>
        <v>-2.7600000000000002</v>
      </c>
      <c r="AD627" s="57" cm="1">
        <f t="array" ref="AD627">VLOOKUP(B627,'Player Data'!$A1:$AE673,18,FALSE)*$Q627</f>
        <v>32.43</v>
      </c>
      <c r="AE627" s="57" cm="1">
        <f t="array" ref="AE627">VLOOKUP(B627,'Player Data'!$A1:$AE673,19,FALSE)*$Q627*IFERROR((VLOOKUP(P627,Settings!$E$28:$F$33,2,FALSE)+1),1)</f>
        <v>0.69000000000000006</v>
      </c>
      <c r="AF627" s="57" cm="1">
        <f t="array" ref="AF627">VLOOKUP(B627,'Player Data'!$A1:$AE673,20,FALSE)*$Q627</f>
        <v>257.37</v>
      </c>
      <c r="AG627" s="57" cm="1">
        <f t="array" ref="AG627">VLOOKUP(B627,'Player Data'!$A1:$AE673,21,FALSE)*$Q627</f>
        <v>263.58</v>
      </c>
      <c r="AH627" s="59" cm="1">
        <f t="array" ref="AH627">VLOOKUP(B627,'Player Data'!$A1:$AE673,22,FALSE)</f>
        <v>0.49</v>
      </c>
      <c r="AI627" s="55"/>
      <c r="AJ627" s="57"/>
      <c r="AK627" s="57"/>
      <c r="AL627" s="57"/>
      <c r="AM627" s="57"/>
      <c r="AN627" s="57"/>
      <c r="AO627" s="57"/>
      <c r="AP627" s="57"/>
      <c r="AQ627" s="60"/>
      <c r="AR627" s="61"/>
      <c r="AS627" s="55"/>
    </row>
    <row r="628" spans="1:45" ht="21.25" customHeight="1" x14ac:dyDescent="0.15">
      <c r="A628" s="62">
        <f>RANK(K628,K$2:K$671)</f>
        <v>624</v>
      </c>
      <c r="B628" s="10" t="s">
        <v>711</v>
      </c>
      <c r="C628" s="47" t="s">
        <v>145</v>
      </c>
      <c r="D628" s="48" t="str" cm="1">
        <f t="array" ref="D628">VLOOKUP(B628,'Player Data'!A1:D673,4,FALSE)</f>
        <v>RW</v>
      </c>
      <c r="E628" s="64" cm="1">
        <f t="array" ref="E628">VLOOKUP(B628,RW!A1:F210,3,FALSE)</f>
        <v>186</v>
      </c>
      <c r="F628" s="70" t="str" cm="1">
        <f t="array" ref="F628">VLOOKUP(B628,'Player Data'!A1:B673,2,FALSE)</f>
        <v>L.A</v>
      </c>
      <c r="G628" s="66" cm="1">
        <f t="array" ref="G628">VLOOKUP(B628,'Player Data'!A1:D673,3,FALSE)</f>
        <v>33</v>
      </c>
      <c r="H628" s="67" cm="1">
        <f t="array" ref="H628">IFERROR(VLOOKUP(B628,ADP!A1:F671,6,FALSE)/1000000,VLOOKUP(B628,ADP!A1:F671,6,FALSE))</f>
        <v>2.5</v>
      </c>
      <c r="I628" s="52">
        <f>IF(Settings!$E$15="POINTS",((R628*Q628)*Settings!$B$12)+(S628*Settings!$B$2)+(T628*Settings!$B$3)+(U628*Settings!$B$4)+(V628*Settings!$B$5)+(X628*Settings!$B$9)+(AA628*Settings!$B$6)+(W628*Settings!$B$8)+(AB628*Settings!$B$7)+(AC628*Settings!$B$14)+(AD628*Settings!$B$15)+(AE628*Settings!$B$16)+(AF628*Settings!$B$17)+(AG628*Settings!$B$18)+(Y628*Settings!$B$10)+(Z628*Settings!$B$11),VLOOKUP(B628,'Standard Deviations'!A$1:C$672,3,FALSE))</f>
        <v>-3.2894602419570238</v>
      </c>
      <c r="J628" s="53" cm="1">
        <f t="array" ref="J628">IF(D628="G",I628/AJ628,I628/Q628)</f>
        <v>-4.11182530244628E-2</v>
      </c>
      <c r="K628" s="52" cm="1">
        <f t="array" ref="K628">IF(Settings!$E$18="C/LW/RW",VLOOKUP(B628,RW!A1:F210,6,FALSE),VLOOKUP(B628,F!A1:F407,6,FALSE))</f>
        <v>-10.176694843766102</v>
      </c>
      <c r="L628" s="54" cm="1">
        <f t="array" ref="L628">IFERROR(K628/H628,"N/A")</f>
        <v>-4.0706779375064404</v>
      </c>
      <c r="M628" s="84" t="s">
        <v>828</v>
      </c>
      <c r="N628" s="84" t="str" cm="1">
        <f t="array" ref="N628">IFERROR(M628-A628,"N/A")</f>
        <v>N/A</v>
      </c>
      <c r="O628" s="55"/>
      <c r="P628" s="56" cm="1">
        <f t="array" ref="P628">_xlfn.XLOOKUP($B628,ADP!A2:A671,ADP!G2:G671)</f>
        <v>0</v>
      </c>
      <c r="Q628" s="57" cm="1">
        <f t="array" ref="Q628">IF(Settings!$E$12="YES",VLOOKUP(B628,'Player Data'!A1:E673,5,FALSE),84)</f>
        <v>80</v>
      </c>
      <c r="R628" s="83" cm="1">
        <f t="array" ref="R628">VLOOKUP(B628,'Player Data'!$A1:$AE673,6,FALSE)</f>
        <v>11.5</v>
      </c>
      <c r="S628" s="57" cm="1">
        <f t="array" ref="S628">VLOOKUP(B628,'Player Data'!$A1:$AE673,7,FALSE)*$Q628*IFERROR((VLOOKUP(P628,Settings!$E$28:$F$33,2,FALSE)+1),1)</f>
        <v>9.6</v>
      </c>
      <c r="T628" s="57" cm="1">
        <f t="array" ref="T628">VLOOKUP(B628,'Player Data'!$A1:$AE673,8,FALSE)*$Q628*IFERROR((VLOOKUP(P628,Settings!$E$28:$F$33,2,FALSE)+1),1)</f>
        <v>11.200000000000001</v>
      </c>
      <c r="U628" s="57" cm="1">
        <f t="array" ref="U628">SUM(S628:T628)</f>
        <v>20.8</v>
      </c>
      <c r="V628" s="57" cm="1">
        <f t="array" ref="V628">VLOOKUP(B628,'Player Data'!$A1:$AE673,10,FALSE)*$Q628*IFERROR(((VLOOKUP(P628,Settings!$E$28:$F$33,2,FALSE)/2)+1),1)</f>
        <v>88.800000000000011</v>
      </c>
      <c r="W628" s="57" cm="1">
        <f t="array" ref="W628">VLOOKUP(B628,'Player Data'!$A1:$AE673,11,FALSE)*$Q628*IFERROR((VLOOKUP(P628,Settings!$E$28:$F$33,2,FALSE)+1),1)</f>
        <v>0</v>
      </c>
      <c r="X628" s="57" cm="1">
        <f t="array" ref="X628">VLOOKUP(B628,'Player Data'!$A1:$AE673,12,FALSE)*$Q628*IFERROR((VLOOKUP(P628,Settings!$E$28:$F$33,2,FALSE)+1),1)</f>
        <v>0</v>
      </c>
      <c r="Y628" s="57" cm="1">
        <f t="array" ref="Y628">VLOOKUP(B628,'Player Data'!$A1:$AE673,13,FALSE)*$Q628</f>
        <v>0.8</v>
      </c>
      <c r="Z628" s="57" cm="1">
        <f t="array" ref="Z628">VLOOKUP(B628,'Player Data'!$A1:$AE673,14,FALSE)*$Q628</f>
        <v>1.6</v>
      </c>
      <c r="AA628" s="57" cm="1">
        <f t="array" ref="AA628">VLOOKUP(B628,'Player Data'!$A1:$AE673,15,FALSE)*$Q628</f>
        <v>37.599999999999994</v>
      </c>
      <c r="AB628" s="57" cm="1">
        <f t="array" ref="AB628">VLOOKUP(B628,'Player Data'!$A1:$AE673,16,FALSE)*$Q628</f>
        <v>81.599999999999994</v>
      </c>
      <c r="AC628" s="57" cm="1">
        <f t="array" ref="AC628">VLOOKUP(B628,'Player Data'!$A1:$AE673,17,FALSE)*$Q628*IFERROR((VLOOKUP(P628,Settings!$E$28:$F$33,2,FALSE)+1),1)</f>
        <v>-1.6</v>
      </c>
      <c r="AD628" s="57" cm="1">
        <f t="array" ref="AD628">VLOOKUP(B628,'Player Data'!$A1:$AE673,18,FALSE)*$Q628</f>
        <v>23.2</v>
      </c>
      <c r="AE628" s="57" cm="1">
        <f t="array" ref="AE628">VLOOKUP(B628,'Player Data'!$A1:$AE673,19,FALSE)*$Q628*IFERROR((VLOOKUP(P628,Settings!$E$28:$F$33,2,FALSE)+1),1)</f>
        <v>1.6</v>
      </c>
      <c r="AF628" s="57" cm="1">
        <f t="array" ref="AF628">VLOOKUP(B628,'Player Data'!$A1:$AE673,20,FALSE)*$Q628</f>
        <v>19.2</v>
      </c>
      <c r="AG628" s="57" cm="1">
        <f t="array" ref="AG628">VLOOKUP(B628,'Player Data'!$A1:$AE673,21,FALSE)*$Q628</f>
        <v>44.800000000000004</v>
      </c>
      <c r="AH628" s="59" cm="1">
        <f t="array" ref="AH628">VLOOKUP(B628,'Player Data'!$A1:$AE673,22,FALSE)</f>
        <v>0.3</v>
      </c>
      <c r="AI628" s="55"/>
      <c r="AJ628" s="57"/>
      <c r="AK628" s="57"/>
      <c r="AL628" s="57"/>
      <c r="AM628" s="57"/>
      <c r="AN628" s="57"/>
      <c r="AO628" s="57"/>
      <c r="AP628" s="57"/>
      <c r="AQ628" s="60"/>
      <c r="AR628" s="61"/>
      <c r="AS628" s="55"/>
    </row>
    <row r="629" spans="1:45" ht="21.25" customHeight="1" x14ac:dyDescent="0.15">
      <c r="A629" s="62">
        <f>RANK(K629,K$2:K$671)</f>
        <v>628</v>
      </c>
      <c r="B629" s="10" t="s">
        <v>676</v>
      </c>
      <c r="C629" s="47" t="s">
        <v>145</v>
      </c>
      <c r="D629" s="48" t="str" cm="1">
        <f t="array" ref="D629">VLOOKUP(B629,'Player Data'!A1:D673,4,FALSE)</f>
        <v>C,LW</v>
      </c>
      <c r="E629" s="74" cm="1">
        <f t="array" ref="E629">VLOOKUP(B629,LW!A1:C210,3,FALSE)</f>
        <v>187</v>
      </c>
      <c r="F629" s="72" t="str" cm="1">
        <f t="array" ref="F629">VLOOKUP(B629,'Player Data'!A1:B673,2,FALSE)</f>
        <v>BOS</v>
      </c>
      <c r="G629" s="71" cm="1">
        <f t="array" ref="G629">VLOOKUP(B629,'Player Data'!A1:D673,3,FALSE)</f>
        <v>24</v>
      </c>
      <c r="H629" s="67" cm="1">
        <f t="array" ref="H629">IFERROR(VLOOKUP(B629,ADP!A1:F671,6,FALSE)/1000000,VLOOKUP(B629,ADP!A1:F671,6,FALSE))</f>
        <v>0.92500000000000004</v>
      </c>
      <c r="I629" s="52">
        <f>IF(Settings!$E$15="POINTS",((R629*Q629)*Settings!$B$12)+(S629*Settings!$B$2)+(T629*Settings!$B$3)+(U629*Settings!$B$4)+(V629*Settings!$B$5)+(X629*Settings!$B$9)+(AA629*Settings!$B$6)+(W629*Settings!$B$8)+(AB629*Settings!$B$7)+(AC629*Settings!$B$14)+(AD629*Settings!$B$15)+(AE629*Settings!$B$16)+(AF629*Settings!$B$17)+(AG629*Settings!$B$18)+(Y629*Settings!$B$10)+(Z629*Settings!$B$11),VLOOKUP(B629,'Standard Deviations'!A$1:C$672,3,FALSE))</f>
        <v>-3.3694763946567914</v>
      </c>
      <c r="J629" s="53" cm="1">
        <f t="array" ref="J629">IF(D629="G",I629/AJ629,I629/Q629)</f>
        <v>-4.1598474008108538E-2</v>
      </c>
      <c r="K629" s="52" cm="1">
        <f t="array" ref="K629">IF(Settings!$E$18="C/LW/RW",VLOOKUP(B629,LW!A1:F210,6,FALSE),VLOOKUP(B629,F!A1:F407,6,FALSE))</f>
        <v>-10.2638620390466</v>
      </c>
      <c r="L629" s="54" cm="1">
        <f t="array" ref="L629">IFERROR(K629/H629,"N/A")</f>
        <v>-11.096067069239567</v>
      </c>
      <c r="M629" s="84" t="s">
        <v>828</v>
      </c>
      <c r="N629" s="84" t="str" cm="1">
        <f t="array" ref="N629">IFERROR(M629-A629,"N/A")</f>
        <v>N/A</v>
      </c>
      <c r="O629" s="55"/>
      <c r="P629" s="56" cm="1">
        <f t="array" ref="P629">_xlfn.XLOOKUP($B629,ADP!A2:A671,ADP!G2:G671)</f>
        <v>0</v>
      </c>
      <c r="Q629" s="57" cm="1">
        <f t="array" ref="Q629">IF(Settings!$E$12="YES",VLOOKUP(B629,'Player Data'!A1:E673,5,FALSE),84)</f>
        <v>81</v>
      </c>
      <c r="R629" s="55" cm="1">
        <f t="array" ref="R629">VLOOKUP(B629,'Player Data'!$A1:$AE673,6,FALSE)</f>
        <v>13.8</v>
      </c>
      <c r="S629" s="57" cm="1">
        <f t="array" ref="S629">VLOOKUP(B629,'Player Data'!$A1:$AE673,7,FALSE)*$Q629*IFERROR((VLOOKUP(P629,Settings!$E$28:$F$33,2,FALSE)+1),1)</f>
        <v>12.96</v>
      </c>
      <c r="T629" s="57" cm="1">
        <f t="array" ref="T629">VLOOKUP(B629,'Player Data'!$A1:$AE673,8,FALSE)*$Q629*IFERROR((VLOOKUP(P629,Settings!$E$28:$F$33,2,FALSE)+1),1)</f>
        <v>16.2</v>
      </c>
      <c r="U629" s="57" cm="1">
        <f t="array" ref="U629">SUM(S629:T629)</f>
        <v>29.16</v>
      </c>
      <c r="V629" s="57" cm="1">
        <f t="array" ref="V629">VLOOKUP(B629,'Player Data'!$A1:$AE673,10,FALSE)*$Q629*IFERROR(((VLOOKUP(P629,Settings!$E$28:$F$33,2,FALSE)/2)+1),1)</f>
        <v>77.759999999999991</v>
      </c>
      <c r="W629" s="57" cm="1">
        <f t="array" ref="W629">VLOOKUP(B629,'Player Data'!$A1:$AE673,11,FALSE)*$Q629*IFERROR((VLOOKUP(P629,Settings!$E$28:$F$33,2,FALSE)+1),1)</f>
        <v>0</v>
      </c>
      <c r="X629" s="57" cm="1">
        <f t="array" ref="X629">VLOOKUP(B629,'Player Data'!$A1:$AE673,12,FALSE)*$Q629*IFERROR((VLOOKUP(P629,Settings!$E$28:$F$33,2,FALSE)+1),1)</f>
        <v>0.81</v>
      </c>
      <c r="Y629" s="57" cm="1">
        <f t="array" ref="Y629">VLOOKUP(B629,'Player Data'!$A1:$AE673,13,FALSE)*$Q629</f>
        <v>0</v>
      </c>
      <c r="Z629" s="57" cm="1">
        <f t="array" ref="Z629">VLOOKUP(B629,'Player Data'!$A1:$AE673,14,FALSE)*$Q629</f>
        <v>0</v>
      </c>
      <c r="AA629" s="57" cm="1">
        <f t="array" ref="AA629">VLOOKUP(B629,'Player Data'!$A1:$AE673,15,FALSE)*$Q629</f>
        <v>44.550000000000004</v>
      </c>
      <c r="AB629" s="57" cm="1">
        <f t="array" ref="AB629">VLOOKUP(B629,'Player Data'!$A1:$AE673,16,FALSE)*$Q629</f>
        <v>58.32</v>
      </c>
      <c r="AC629" s="57" cm="1">
        <f t="array" ref="AC629">VLOOKUP(B629,'Player Data'!$A1:$AE673,17,FALSE)*$Q629*IFERROR((VLOOKUP(P629,Settings!$E$28:$F$33,2,FALSE)+1),1)</f>
        <v>-2.4299999999999997</v>
      </c>
      <c r="AD629" s="57" cm="1">
        <f t="array" ref="AD629">VLOOKUP(B629,'Player Data'!$A1:$AE673,18,FALSE)*$Q629</f>
        <v>21.87</v>
      </c>
      <c r="AE629" s="57" cm="1">
        <f t="array" ref="AE629">VLOOKUP(B629,'Player Data'!$A1:$AE673,19,FALSE)*$Q629*IFERROR((VLOOKUP(P629,Settings!$E$28:$F$33,2,FALSE)+1),1)</f>
        <v>1.62</v>
      </c>
      <c r="AF629" s="57" cm="1">
        <f t="array" ref="AF629">VLOOKUP(B629,'Player Data'!$A1:$AE673,20,FALSE)*$Q629</f>
        <v>88.29</v>
      </c>
      <c r="AG629" s="57" cm="1">
        <f t="array" ref="AG629">VLOOKUP(B629,'Player Data'!$A1:$AE673,21,FALSE)*$Q629</f>
        <v>103.68</v>
      </c>
      <c r="AH629" s="59" cm="1">
        <f t="array" ref="AH629">VLOOKUP(B629,'Player Data'!$A1:$AE673,22,FALSE)</f>
        <v>0.46</v>
      </c>
      <c r="AI629" s="55"/>
      <c r="AJ629" s="57"/>
      <c r="AK629" s="57"/>
      <c r="AL629" s="57"/>
      <c r="AM629" s="57"/>
      <c r="AN629" s="57"/>
      <c r="AO629" s="57"/>
      <c r="AP629" s="57"/>
      <c r="AQ629" s="60"/>
      <c r="AR629" s="61"/>
      <c r="AS629" s="55"/>
    </row>
    <row r="630" spans="1:45" ht="21.25" customHeight="1" x14ac:dyDescent="0.15">
      <c r="A630" s="62">
        <f>RANK(K630,K$2:K$671)</f>
        <v>629</v>
      </c>
      <c r="B630" s="10" t="s">
        <v>733</v>
      </c>
      <c r="C630" s="47" t="s">
        <v>145</v>
      </c>
      <c r="D630" s="48" t="str" cm="1">
        <f t="array" ref="D630">VLOOKUP(B630,'Player Data'!A1:D673,4,FALSE)</f>
        <v>RW</v>
      </c>
      <c r="E630" s="64" cm="1">
        <f t="array" ref="E630">VLOOKUP(B630,RW!A1:F210,3,FALSE)</f>
        <v>187</v>
      </c>
      <c r="F630" s="72" t="str" cm="1">
        <f t="array" ref="F630">VLOOKUP(B630,'Player Data'!A1:B673,2,FALSE)</f>
        <v>DET</v>
      </c>
      <c r="G630" s="11" cm="1">
        <f t="array" ref="G630">VLOOKUP(B630,'Player Data'!A1:D673,3,FALSE)</f>
        <v>30</v>
      </c>
      <c r="H630" s="67" cm="1">
        <f t="array" ref="H630">IFERROR(VLOOKUP(B630,ADP!A1:F671,6,FALSE)/1000000,VLOOKUP(B630,ADP!A1:F671,6,FALSE))</f>
        <v>2.9</v>
      </c>
      <c r="I630" s="52">
        <f>IF(Settings!$E$15="POINTS",((R630*Q630)*Settings!$B$12)+(S630*Settings!$B$2)+(T630*Settings!$B$3)+(U630*Settings!$B$4)+(V630*Settings!$B$5)+(X630*Settings!$B$9)+(AA630*Settings!$B$6)+(W630*Settings!$B$8)+(AB630*Settings!$B$7)+(AC630*Settings!$B$14)+(AD630*Settings!$B$15)+(AE630*Settings!$B$16)+(AF630*Settings!$B$17)+(AG630*Settings!$B$18)+(Y630*Settings!$B$10)+(Z630*Settings!$B$11),VLOOKUP(B630,'Standard Deviations'!A$1:C$672,3,FALSE))</f>
        <v>-3.4217523248872075</v>
      </c>
      <c r="J630" s="53" cm="1">
        <f t="array" ref="J630">IF(D630="G",I630/AJ630,I630/Q630)</f>
        <v>-4.2771904061090091E-2</v>
      </c>
      <c r="K630" s="52" cm="1">
        <f t="array" ref="K630">IF(Settings!$E$18="C/LW/RW",VLOOKUP(B630,RW!A1:F210,6,FALSE),VLOOKUP(B630,F!A1:F407,6,FALSE))</f>
        <v>-10.308986926696285</v>
      </c>
      <c r="L630" s="54" cm="1">
        <f t="array" ref="L630">IFERROR(K630/H630,"N/A")</f>
        <v>-3.554823078171133</v>
      </c>
      <c r="M630" s="84" t="s">
        <v>828</v>
      </c>
      <c r="N630" s="84" t="str" cm="1">
        <f t="array" ref="N630">IFERROR(M630-A630,"N/A")</f>
        <v>N/A</v>
      </c>
      <c r="O630" s="55"/>
      <c r="P630" s="56" cm="1">
        <f t="array" ref="P630">_xlfn.XLOOKUP($B630,ADP!A2:A671,ADP!G2:G671)</f>
        <v>0</v>
      </c>
      <c r="Q630" s="57" cm="1">
        <f t="array" ref="Q630">IF(Settings!$E$12="YES",VLOOKUP(B630,'Player Data'!A1:E673,5,FALSE),84)</f>
        <v>80</v>
      </c>
      <c r="R630" s="55" cm="1">
        <f t="array" ref="R630">VLOOKUP(B630,'Player Data'!$A1:$AE673,6,FALSE)</f>
        <v>12.6</v>
      </c>
      <c r="S630" s="57" cm="1">
        <f t="array" ref="S630">VLOOKUP(B630,'Player Data'!$A1:$AE673,7,FALSE)*$Q630*IFERROR((VLOOKUP(P630,Settings!$E$28:$F$33,2,FALSE)+1),1)</f>
        <v>8</v>
      </c>
      <c r="T630" s="57" cm="1">
        <f t="array" ref="T630">VLOOKUP(B630,'Player Data'!$A1:$AE673,8,FALSE)*$Q630*IFERROR((VLOOKUP(P630,Settings!$E$28:$F$33,2,FALSE)+1),1)</f>
        <v>11.200000000000001</v>
      </c>
      <c r="U630" s="57" cm="1">
        <f t="array" ref="U630">SUM(S630:T630)</f>
        <v>19.200000000000003</v>
      </c>
      <c r="V630" s="57" cm="1">
        <f t="array" ref="V630">VLOOKUP(B630,'Player Data'!$A1:$AE673,10,FALSE)*$Q630*IFERROR(((VLOOKUP(P630,Settings!$E$28:$F$33,2,FALSE)/2)+1),1)</f>
        <v>82.4</v>
      </c>
      <c r="W630" s="57" cm="1">
        <f t="array" ref="W630">VLOOKUP(B630,'Player Data'!$A1:$AE673,11,FALSE)*$Q630*IFERROR((VLOOKUP(P630,Settings!$E$28:$F$33,2,FALSE)+1),1)</f>
        <v>0</v>
      </c>
      <c r="X630" s="57" cm="1">
        <f t="array" ref="X630">VLOOKUP(B630,'Player Data'!$A1:$AE673,12,FALSE)*$Q630*IFERROR((VLOOKUP(P630,Settings!$E$28:$F$33,2,FALSE)+1),1)</f>
        <v>0</v>
      </c>
      <c r="Y630" s="57" cm="1">
        <f t="array" ref="Y630">VLOOKUP(B630,'Player Data'!$A1:$AE673,13,FALSE)*$Q630</f>
        <v>0</v>
      </c>
      <c r="Z630" s="57" cm="1">
        <f t="array" ref="Z630">VLOOKUP(B630,'Player Data'!$A1:$AE673,14,FALSE)*$Q630</f>
        <v>0.8</v>
      </c>
      <c r="AA630" s="57" cm="1">
        <f t="array" ref="AA630">VLOOKUP(B630,'Player Data'!$A1:$AE673,15,FALSE)*$Q630</f>
        <v>35.200000000000003</v>
      </c>
      <c r="AB630" s="57" cm="1">
        <f t="array" ref="AB630">VLOOKUP(B630,'Player Data'!$A1:$AE673,16,FALSE)*$Q630</f>
        <v>96.8</v>
      </c>
      <c r="AC630" s="57" cm="1">
        <f t="array" ref="AC630">VLOOKUP(B630,'Player Data'!$A1:$AE673,17,FALSE)*$Q630*IFERROR((VLOOKUP(P630,Settings!$E$28:$F$33,2,FALSE)+1),1)</f>
        <v>-2.4</v>
      </c>
      <c r="AD630" s="57" cm="1">
        <f t="array" ref="AD630">VLOOKUP(B630,'Player Data'!$A1:$AE673,18,FALSE)*$Q630</f>
        <v>23.2</v>
      </c>
      <c r="AE630" s="57" cm="1">
        <f t="array" ref="AE630">VLOOKUP(B630,'Player Data'!$A1:$AE673,19,FALSE)*$Q630*IFERROR((VLOOKUP(P630,Settings!$E$28:$F$33,2,FALSE)+1),1)</f>
        <v>1.6</v>
      </c>
      <c r="AF630" s="57" cm="1">
        <f t="array" ref="AF630">VLOOKUP(B630,'Player Data'!$A1:$AE673,20,FALSE)*$Q630</f>
        <v>9.6</v>
      </c>
      <c r="AG630" s="57" cm="1">
        <f t="array" ref="AG630">VLOOKUP(B630,'Player Data'!$A1:$AE673,21,FALSE)*$Q630</f>
        <v>12.8</v>
      </c>
      <c r="AH630" s="59" cm="1">
        <f t="array" ref="AH630">VLOOKUP(B630,'Player Data'!$A1:$AE673,22,FALSE)</f>
        <v>0.41</v>
      </c>
      <c r="AI630" s="55"/>
      <c r="AJ630" s="57"/>
      <c r="AK630" s="57"/>
      <c r="AL630" s="57"/>
      <c r="AM630" s="57"/>
      <c r="AN630" s="57"/>
      <c r="AO630" s="57"/>
      <c r="AP630" s="57"/>
      <c r="AQ630" s="60"/>
      <c r="AR630" s="61"/>
      <c r="AS630" s="55"/>
    </row>
    <row r="631" spans="1:45" ht="21.25" customHeight="1" x14ac:dyDescent="0.15">
      <c r="A631" s="62">
        <f>RANK(K631,K$2:K$671)</f>
        <v>631</v>
      </c>
      <c r="B631" s="10" t="s">
        <v>792</v>
      </c>
      <c r="C631" s="47" t="s">
        <v>145</v>
      </c>
      <c r="D631" s="48" t="str" cm="1">
        <f t="array" ref="D631">VLOOKUP(B631,'Player Data'!A1:D673,4,FALSE)</f>
        <v>LW</v>
      </c>
      <c r="E631" s="75" cm="1">
        <f t="array" ref="E631">VLOOKUP(B631,LW!A1:C210,3,FALSE)</f>
        <v>188</v>
      </c>
      <c r="F631" s="50" t="str" cm="1">
        <f t="array" ref="F631">VLOOKUP(B631,'Player Data'!A1:B673,2,FALSE)</f>
        <v>ANA</v>
      </c>
      <c r="G631" s="11" cm="1">
        <f t="array" ref="G631">VLOOKUP(B631,'Player Data'!A1:D673,3,FALSE)</f>
        <v>30</v>
      </c>
      <c r="H631" s="51" cm="1">
        <f t="array" ref="H631">IFERROR(VLOOKUP(B631,ADP!A1:F671,6,FALSE)/1000000,VLOOKUP(B631,ADP!A1:F671,6,FALSE))</f>
        <v>1.85</v>
      </c>
      <c r="I631" s="52">
        <f>IF(Settings!$E$15="POINTS",((R631*Q631)*Settings!$B$12)+(S631*Settings!$B$2)+(T631*Settings!$B$3)+(U631*Settings!$B$4)+(V631*Settings!$B$5)+(X631*Settings!$B$9)+(AA631*Settings!$B$6)+(W631*Settings!$B$8)+(AB631*Settings!$B$7)+(AC631*Settings!$B$14)+(AD631*Settings!$B$15)+(AE631*Settings!$B$16)+(AF631*Settings!$B$17)+(AG631*Settings!$B$18)+(Y631*Settings!$B$10)+(Z631*Settings!$B$11),VLOOKUP(B631,'Standard Deviations'!A$1:C$672,3,FALSE))</f>
        <v>-3.4858021253717495</v>
      </c>
      <c r="J631" s="53" cm="1">
        <f t="array" ref="J631">IF(D631="G",I631/AJ631,I631/Q631)</f>
        <v>-5.3627725005719225E-2</v>
      </c>
      <c r="K631" s="52" cm="1">
        <f t="array" ref="K631">IF(Settings!$E$18="C/LW/RW",VLOOKUP(B631,LW!A1:F210,6,FALSE),VLOOKUP(B631,F!A1:F407,6,FALSE))</f>
        <v>-10.380187769761559</v>
      </c>
      <c r="L631" s="54" cm="1">
        <f t="array" ref="L631">IFERROR(K631/H631,"N/A")</f>
        <v>-5.6109123079792207</v>
      </c>
      <c r="M631" s="84" t="s">
        <v>828</v>
      </c>
      <c r="N631" s="84" t="str" cm="1">
        <f t="array" ref="N631">IFERROR(M631-A631,"N/A")</f>
        <v>N/A</v>
      </c>
      <c r="O631" s="55"/>
      <c r="P631" s="56" cm="1">
        <f t="array" ref="P631">_xlfn.XLOOKUP($B631,ADP!A2:A671,ADP!G2:G671)</f>
        <v>0</v>
      </c>
      <c r="Q631" s="57" cm="1">
        <f t="array" ref="Q631">IF(Settings!$E$12="YES",VLOOKUP(B631,'Player Data'!A1:E673,5,FALSE),84)</f>
        <v>65</v>
      </c>
      <c r="R631" s="55" cm="1">
        <f t="array" ref="R631">VLOOKUP(B631,'Player Data'!$A1:$AE673,6,FALSE)</f>
        <v>8.8000000000000007</v>
      </c>
      <c r="S631" s="57" cm="1">
        <f t="array" ref="S631">VLOOKUP(B631,'Player Data'!$A1:$AE673,7,FALSE)*$Q631*IFERROR((VLOOKUP(P631,Settings!$E$28:$F$33,2,FALSE)+1),1)</f>
        <v>3.25</v>
      </c>
      <c r="T631" s="57" cm="1">
        <f t="array" ref="T631">VLOOKUP(B631,'Player Data'!$A1:$AE673,8,FALSE)*$Q631*IFERROR((VLOOKUP(P631,Settings!$E$28:$F$33,2,FALSE)+1),1)</f>
        <v>5.85</v>
      </c>
      <c r="U631" s="57" cm="1">
        <f t="array" ref="U631">SUM(S631:T631)</f>
        <v>9.1</v>
      </c>
      <c r="V631" s="57" cm="1">
        <f t="array" ref="V631">VLOOKUP(B631,'Player Data'!$A1:$AE673,10,FALSE)*$Q631*IFERROR(((VLOOKUP(P631,Settings!$E$28:$F$33,2,FALSE)/2)+1),1)</f>
        <v>57.85</v>
      </c>
      <c r="W631" s="57" cm="1">
        <f t="array" ref="W631">VLOOKUP(B631,'Player Data'!$A1:$AE673,11,FALSE)*$Q631*IFERROR((VLOOKUP(P631,Settings!$E$28:$F$33,2,FALSE)+1),1)</f>
        <v>0</v>
      </c>
      <c r="X631" s="57" cm="1">
        <f t="array" ref="X631">VLOOKUP(B631,'Player Data'!$A1:$AE673,12,FALSE)*$Q631*IFERROR((VLOOKUP(P631,Settings!$E$28:$F$33,2,FALSE)+1),1)</f>
        <v>0</v>
      </c>
      <c r="Y631" s="57" cm="1">
        <f t="array" ref="Y631">VLOOKUP(B631,'Player Data'!$A1:$AE673,13,FALSE)*$Q631</f>
        <v>0</v>
      </c>
      <c r="Z631" s="57" cm="1">
        <f t="array" ref="Z631">VLOOKUP(B631,'Player Data'!$A1:$AE673,14,FALSE)*$Q631</f>
        <v>0</v>
      </c>
      <c r="AA631" s="57" cm="1">
        <f t="array" ref="AA631">VLOOKUP(B631,'Player Data'!$A1:$AE673,15,FALSE)*$Q631</f>
        <v>29.900000000000002</v>
      </c>
      <c r="AB631" s="57" cm="1">
        <f t="array" ref="AB631">VLOOKUP(B631,'Player Data'!$A1:$AE673,16,FALSE)*$Q631</f>
        <v>157.95000000000002</v>
      </c>
      <c r="AC631" s="57" cm="1">
        <f t="array" ref="AC631">VLOOKUP(B631,'Player Data'!$A1:$AE673,17,FALSE)*$Q631*IFERROR((VLOOKUP(P631,Settings!$E$28:$F$33,2,FALSE)+1),1)</f>
        <v>-2.6</v>
      </c>
      <c r="AD631" s="57" cm="1">
        <f t="array" ref="AD631">VLOOKUP(B631,'Player Data'!$A1:$AE673,18,FALSE)*$Q631</f>
        <v>25.35</v>
      </c>
      <c r="AE631" s="57" cm="1">
        <f t="array" ref="AE631">VLOOKUP(B631,'Player Data'!$A1:$AE673,19,FALSE)*$Q631*IFERROR((VLOOKUP(P631,Settings!$E$28:$F$33,2,FALSE)+1),1)</f>
        <v>0.65</v>
      </c>
      <c r="AF631" s="57" cm="1">
        <f t="array" ref="AF631">VLOOKUP(B631,'Player Data'!$A1:$AE673,20,FALSE)*$Q631</f>
        <v>5.2</v>
      </c>
      <c r="AG631" s="57" cm="1">
        <f t="array" ref="AG631">VLOOKUP(B631,'Player Data'!$A1:$AE673,21,FALSE)*$Q631</f>
        <v>10.4</v>
      </c>
      <c r="AH631" s="59" cm="1">
        <f t="array" ref="AH631">VLOOKUP(B631,'Player Data'!$A1:$AE673,22,FALSE)</f>
        <v>0.32</v>
      </c>
      <c r="AI631" s="55"/>
      <c r="AJ631" s="57"/>
      <c r="AK631" s="57"/>
      <c r="AL631" s="57"/>
      <c r="AM631" s="57"/>
      <c r="AN631" s="57"/>
      <c r="AO631" s="57"/>
      <c r="AP631" s="57"/>
      <c r="AQ631" s="60"/>
      <c r="AR631" s="61"/>
      <c r="AS631" s="55"/>
    </row>
    <row r="632" spans="1:45" ht="21.25" customHeight="1" x14ac:dyDescent="0.15">
      <c r="A632" s="62">
        <f>RANK(K632,K$2:K$671)</f>
        <v>634</v>
      </c>
      <c r="B632" s="10" t="s">
        <v>774</v>
      </c>
      <c r="C632" s="47" t="s">
        <v>145</v>
      </c>
      <c r="D632" s="48" t="str" cm="1">
        <f t="array" ref="D632">VLOOKUP(B632,'Player Data'!A1:D673,4,FALSE)</f>
        <v>C,LW</v>
      </c>
      <c r="E632" s="74" cm="1">
        <f t="array" ref="E632">VLOOKUP(B632,LW!A1:C210,3,FALSE)</f>
        <v>190</v>
      </c>
      <c r="F632" s="65" t="str" cm="1">
        <f t="array" ref="F632">VLOOKUP(B632,'Player Data'!A1:B673,2,FALSE)</f>
        <v>NSH</v>
      </c>
      <c r="G632" s="11" cm="1">
        <f t="array" ref="G632">VLOOKUP(B632,'Player Data'!A1:D673,3,FALSE)</f>
        <v>25</v>
      </c>
      <c r="H632" s="67" cm="1">
        <f t="array" ref="H632">IFERROR(VLOOKUP(B632,ADP!A1:F671,6,FALSE)/1000000,VLOOKUP(B632,ADP!A1:F671,6,FALSE))</f>
        <v>0.97499999999999998</v>
      </c>
      <c r="I632" s="52">
        <f>IF(Settings!$E$15="POINTS",((R632*Q632)*Settings!$B$12)+(S632*Settings!$B$2)+(T632*Settings!$B$3)+(U632*Settings!$B$4)+(V632*Settings!$B$5)+(X632*Settings!$B$9)+(AA632*Settings!$B$6)+(W632*Settings!$B$8)+(AB632*Settings!$B$7)+(AC632*Settings!$B$14)+(AD632*Settings!$B$15)+(AE632*Settings!$B$16)+(AF632*Settings!$B$17)+(AG632*Settings!$B$18)+(Y632*Settings!$B$10)+(Z632*Settings!$B$11),VLOOKUP(B632,'Standard Deviations'!A$1:C$672,3,FALSE))</f>
        <v>-3.5213081359452563</v>
      </c>
      <c r="J632" s="53" cm="1">
        <f t="array" ref="J632">IF(D632="G",I632/AJ632,I632/Q632)</f>
        <v>-5.5020439624144629E-2</v>
      </c>
      <c r="K632" s="52" cm="1">
        <f t="array" ref="K632">IF(Settings!$E$18="C/LW/RW",VLOOKUP(B632,LW!A1:F210,6,FALSE),VLOOKUP(B632,F!A1:F407,6,FALSE))</f>
        <v>-10.415693780335065</v>
      </c>
      <c r="L632" s="54" cm="1">
        <f t="array" ref="L632">IFERROR(K632/H632,"N/A")</f>
        <v>-10.682762851625707</v>
      </c>
      <c r="M632" s="84" t="s">
        <v>828</v>
      </c>
      <c r="N632" s="84" t="str" cm="1">
        <f t="array" ref="N632">IFERROR(M632-A632,"N/A")</f>
        <v>N/A</v>
      </c>
      <c r="O632" s="55"/>
      <c r="P632" s="56" cm="1">
        <f t="array" ref="P632">_xlfn.XLOOKUP($B632,ADP!A2:A671,ADP!G2:G671)</f>
        <v>0</v>
      </c>
      <c r="Q632" s="57" cm="1">
        <f t="array" ref="Q632">IF(Settings!$E$12="YES",VLOOKUP(B632,'Player Data'!A1:E673,5,FALSE),84)</f>
        <v>64</v>
      </c>
      <c r="R632" s="81" cm="1">
        <f t="array" ref="R632">VLOOKUP(B632,'Player Data'!$A1:$AE673,6,FALSE)</f>
        <v>11.3</v>
      </c>
      <c r="S632" s="57" cm="1">
        <f t="array" ref="S632">VLOOKUP(B632,'Player Data'!$A1:$AE673,7,FALSE)*$Q632*IFERROR((VLOOKUP(P632,Settings!$E$28:$F$33,2,FALSE)+1),1)</f>
        <v>7.68</v>
      </c>
      <c r="T632" s="57" cm="1">
        <f t="array" ref="T632">VLOOKUP(B632,'Player Data'!$A1:$AE673,8,FALSE)*$Q632*IFERROR((VLOOKUP(P632,Settings!$E$28:$F$33,2,FALSE)+1),1)</f>
        <v>6.4</v>
      </c>
      <c r="U632" s="57" cm="1">
        <f t="array" ref="U632">SUM(S632:T632)</f>
        <v>14.08</v>
      </c>
      <c r="V632" s="57" cm="1">
        <f t="array" ref="V632">VLOOKUP(B632,'Player Data'!$A1:$AE673,10,FALSE)*$Q632*IFERROR(((VLOOKUP(P632,Settings!$E$28:$F$33,2,FALSE)/2)+1),1)</f>
        <v>65.28</v>
      </c>
      <c r="W632" s="57" cm="1">
        <f t="array" ref="W632">VLOOKUP(B632,'Player Data'!$A1:$AE673,11,FALSE)*$Q632*IFERROR((VLOOKUP(P632,Settings!$E$28:$F$33,2,FALSE)+1),1)</f>
        <v>0</v>
      </c>
      <c r="X632" s="57" cm="1">
        <f t="array" ref="X632">VLOOKUP(B632,'Player Data'!$A1:$AE673,12,FALSE)*$Q632*IFERROR((VLOOKUP(P632,Settings!$E$28:$F$33,2,FALSE)+1),1)</f>
        <v>0</v>
      </c>
      <c r="Y632" s="57" cm="1">
        <f t="array" ref="Y632">VLOOKUP(B632,'Player Data'!$A1:$AE673,13,FALSE)*$Q632</f>
        <v>0</v>
      </c>
      <c r="Z632" s="57" cm="1">
        <f t="array" ref="Z632">VLOOKUP(B632,'Player Data'!$A1:$AE673,14,FALSE)*$Q632</f>
        <v>0.64</v>
      </c>
      <c r="AA632" s="57" cm="1">
        <f t="array" ref="AA632">VLOOKUP(B632,'Player Data'!$A1:$AE673,15,FALSE)*$Q632</f>
        <v>42.88</v>
      </c>
      <c r="AB632" s="57" cm="1">
        <f t="array" ref="AB632">VLOOKUP(B632,'Player Data'!$A1:$AE673,16,FALSE)*$Q632</f>
        <v>126.08</v>
      </c>
      <c r="AC632" s="57" cm="1">
        <f t="array" ref="AC632">VLOOKUP(B632,'Player Data'!$A1:$AE673,17,FALSE)*$Q632*IFERROR((VLOOKUP(P632,Settings!$E$28:$F$33,2,FALSE)+1),1)</f>
        <v>-2.56</v>
      </c>
      <c r="AD632" s="57" cm="1">
        <f t="array" ref="AD632">VLOOKUP(B632,'Player Data'!$A1:$AE673,18,FALSE)*$Q632</f>
        <v>16</v>
      </c>
      <c r="AE632" s="57" cm="1">
        <f t="array" ref="AE632">VLOOKUP(B632,'Player Data'!$A1:$AE673,19,FALSE)*$Q632*IFERROR((VLOOKUP(P632,Settings!$E$28:$F$33,2,FALSE)+1),1)</f>
        <v>1.28</v>
      </c>
      <c r="AF632" s="57" cm="1">
        <f t="array" ref="AF632">VLOOKUP(B632,'Player Data'!$A1:$AE673,20,FALSE)*$Q632</f>
        <v>5.12</v>
      </c>
      <c r="AG632" s="57" cm="1">
        <f t="array" ref="AG632">VLOOKUP(B632,'Player Data'!$A1:$AE673,21,FALSE)*$Q632</f>
        <v>30.08</v>
      </c>
      <c r="AH632" s="59" cm="1">
        <f t="array" ref="AH632">VLOOKUP(B632,'Player Data'!$A1:$AE673,22,FALSE)</f>
        <v>0.14000000000000001</v>
      </c>
      <c r="AI632" s="55"/>
      <c r="AJ632" s="57"/>
      <c r="AK632" s="57"/>
      <c r="AL632" s="57"/>
      <c r="AM632" s="57"/>
      <c r="AN632" s="57"/>
      <c r="AO632" s="57"/>
      <c r="AP632" s="57"/>
      <c r="AQ632" s="60"/>
      <c r="AR632" s="61"/>
      <c r="AS632" s="55"/>
    </row>
    <row r="633" spans="1:45" ht="21.25" customHeight="1" x14ac:dyDescent="0.15">
      <c r="A633" s="62">
        <f>RANK(K633,K$2:K$671)</f>
        <v>635</v>
      </c>
      <c r="B633" s="10" t="s">
        <v>735</v>
      </c>
      <c r="C633" s="47" t="s">
        <v>145</v>
      </c>
      <c r="D633" s="48" t="str" cm="1">
        <f t="array" ref="D633">VLOOKUP(B633,'Player Data'!A1:D673,4,FALSE)</f>
        <v>LW</v>
      </c>
      <c r="E633" s="75" cm="1">
        <f t="array" ref="E633">VLOOKUP(B633,LW!A1:C210,3,FALSE)</f>
        <v>191</v>
      </c>
      <c r="F633" s="72" t="str" cm="1">
        <f t="array" ref="F633">VLOOKUP(B633,'Player Data'!A1:B673,2,FALSE)</f>
        <v>NYI</v>
      </c>
      <c r="G633" s="66" cm="1">
        <f t="array" ref="G633">VLOOKUP(B633,'Player Data'!A1:D673,3,FALSE)</f>
        <v>35</v>
      </c>
      <c r="H633" s="67" cm="1">
        <f t="array" ref="H633">IFERROR(VLOOKUP(B633,ADP!A1:F671,6,FALSE)/1000000,VLOOKUP(B633,ADP!A1:F671,6,FALSE))</f>
        <v>6</v>
      </c>
      <c r="I633" s="52">
        <f>IF(Settings!$E$15="POINTS",((R633*Q633)*Settings!$B$12)+(S633*Settings!$B$2)+(T633*Settings!$B$3)+(U633*Settings!$B$4)+(V633*Settings!$B$5)+(X633*Settings!$B$9)+(AA633*Settings!$B$6)+(W633*Settings!$B$8)+(AB633*Settings!$B$7)+(AC633*Settings!$B$14)+(AD633*Settings!$B$15)+(AE633*Settings!$B$16)+(AF633*Settings!$B$17)+(AG633*Settings!$B$18)+(Y633*Settings!$B$10)+(Z633*Settings!$B$11),VLOOKUP(B633,'Standard Deviations'!A$1:C$672,3,FALSE))</f>
        <v>-3.5240950743821609</v>
      </c>
      <c r="J633" s="53" cm="1">
        <f t="array" ref="J633">IF(D633="G",I633/AJ633,I633/Q633)</f>
        <v>-4.2976769199782452E-2</v>
      </c>
      <c r="K633" s="52" cm="1">
        <f t="array" ref="K633">IF(Settings!$E$18="C/LW/RW",VLOOKUP(B633,LW!A1:F210,6,FALSE),VLOOKUP(B633,F!A1:F407,6,FALSE))</f>
        <v>-10.418480718771971</v>
      </c>
      <c r="L633" s="54" cm="1">
        <f t="array" ref="L633">IFERROR(K633/H633,"N/A")</f>
        <v>-1.7364134531286617</v>
      </c>
      <c r="M633" s="84" t="s">
        <v>828</v>
      </c>
      <c r="N633" s="84" t="str" cm="1">
        <f t="array" ref="N633">IFERROR(M633-A633,"N/A")</f>
        <v>N/A</v>
      </c>
      <c r="O633" s="55"/>
      <c r="P633" s="56" cm="1">
        <f t="array" ref="P633">_xlfn.XLOOKUP($B633,ADP!A2:A671,ADP!G2:G671)</f>
        <v>0</v>
      </c>
      <c r="Q633" s="57" cm="1">
        <f t="array" ref="Q633">IF(Settings!$E$12="YES",VLOOKUP(B633,'Player Data'!A1:E673,5,FALSE),84)</f>
        <v>82</v>
      </c>
      <c r="R633" s="83" cm="1">
        <f t="array" ref="R633">VLOOKUP(B633,'Player Data'!$A1:$AE673,6,FALSE)</f>
        <v>11.1</v>
      </c>
      <c r="S633" s="57" cm="1">
        <f t="array" ref="S633">VLOOKUP(B633,'Player Data'!$A1:$AE673,7,FALSE)*$Q633*IFERROR((VLOOKUP(P633,Settings!$E$28:$F$33,2,FALSE)+1),1)</f>
        <v>7.38</v>
      </c>
      <c r="T633" s="57" cm="1">
        <f t="array" ref="T633">VLOOKUP(B633,'Player Data'!$A1:$AE673,8,FALSE)*$Q633*IFERROR((VLOOKUP(P633,Settings!$E$28:$F$33,2,FALSE)+1),1)</f>
        <v>9.84</v>
      </c>
      <c r="U633" s="57" cm="1">
        <f t="array" ref="U633">SUM(S633:T633)</f>
        <v>17.22</v>
      </c>
      <c r="V633" s="57" cm="1">
        <f t="array" ref="V633">VLOOKUP(B633,'Player Data'!$A1:$AE673,10,FALSE)*$Q633*IFERROR(((VLOOKUP(P633,Settings!$E$28:$F$33,2,FALSE)/2)+1),1)</f>
        <v>77.899999999999991</v>
      </c>
      <c r="W633" s="57" cm="1">
        <f t="array" ref="W633">VLOOKUP(B633,'Player Data'!$A1:$AE673,11,FALSE)*$Q633*IFERROR((VLOOKUP(P633,Settings!$E$28:$F$33,2,FALSE)+1),1)</f>
        <v>0</v>
      </c>
      <c r="X633" s="57" cm="1">
        <f t="array" ref="X633">VLOOKUP(B633,'Player Data'!$A1:$AE673,12,FALSE)*$Q633*IFERROR((VLOOKUP(P633,Settings!$E$28:$F$33,2,FALSE)+1),1)</f>
        <v>0.82000000000000006</v>
      </c>
      <c r="Y633" s="57" cm="1">
        <f t="array" ref="Y633">VLOOKUP(B633,'Player Data'!$A1:$AE673,13,FALSE)*$Q633</f>
        <v>0</v>
      </c>
      <c r="Z633" s="57" cm="1">
        <f t="array" ref="Z633">VLOOKUP(B633,'Player Data'!$A1:$AE673,14,FALSE)*$Q633</f>
        <v>0</v>
      </c>
      <c r="AA633" s="57" cm="1">
        <f t="array" ref="AA633">VLOOKUP(B633,'Player Data'!$A1:$AE673,15,FALSE)*$Q633</f>
        <v>54.940000000000005</v>
      </c>
      <c r="AB633" s="57" cm="1">
        <f t="array" ref="AB633">VLOOKUP(B633,'Player Data'!$A1:$AE673,16,FALSE)*$Q633</f>
        <v>117.25999999999999</v>
      </c>
      <c r="AC633" s="57" cm="1">
        <f t="array" ref="AC633">VLOOKUP(B633,'Player Data'!$A1:$AE673,17,FALSE)*$Q633*IFERROR((VLOOKUP(P633,Settings!$E$28:$F$33,2,FALSE)+1),1)</f>
        <v>-4.1000000000000005</v>
      </c>
      <c r="AD633" s="57" cm="1">
        <f t="array" ref="AD633">VLOOKUP(B633,'Player Data'!$A1:$AE673,18,FALSE)*$Q633</f>
        <v>16.400000000000002</v>
      </c>
      <c r="AE633" s="57" cm="1">
        <f t="array" ref="AE633">VLOOKUP(B633,'Player Data'!$A1:$AE673,19,FALSE)*$Q633*IFERROR((VLOOKUP(P633,Settings!$E$28:$F$33,2,FALSE)+1),1)</f>
        <v>0.82000000000000006</v>
      </c>
      <c r="AF633" s="57" cm="1">
        <f t="array" ref="AF633">VLOOKUP(B633,'Player Data'!$A1:$AE673,20,FALSE)*$Q633</f>
        <v>4.1000000000000005</v>
      </c>
      <c r="AG633" s="57" cm="1">
        <f t="array" ref="AG633">VLOOKUP(B633,'Player Data'!$A1:$AE673,21,FALSE)*$Q633</f>
        <v>9.84</v>
      </c>
      <c r="AH633" s="59" cm="1">
        <f t="array" ref="AH633">VLOOKUP(B633,'Player Data'!$A1:$AE673,22,FALSE)</f>
        <v>0.3</v>
      </c>
      <c r="AI633" s="55"/>
      <c r="AJ633" s="57"/>
      <c r="AK633" s="57"/>
      <c r="AL633" s="57"/>
      <c r="AM633" s="57"/>
      <c r="AN633" s="57"/>
      <c r="AO633" s="57"/>
      <c r="AP633" s="57"/>
      <c r="AQ633" s="60"/>
      <c r="AR633" s="61"/>
      <c r="AS633" s="55"/>
    </row>
    <row r="634" spans="1:45" ht="21.25" customHeight="1" x14ac:dyDescent="0.15">
      <c r="A634" s="62">
        <f>RANK(K634,K$2:K$671)</f>
        <v>636</v>
      </c>
      <c r="B634" s="10" t="s">
        <v>781</v>
      </c>
      <c r="C634" s="47" t="s">
        <v>145</v>
      </c>
      <c r="D634" s="48" t="str" cm="1">
        <f t="array" ref="D634">VLOOKUP(B634,'Player Data'!A1:D673,4,FALSE)</f>
        <v>LW</v>
      </c>
      <c r="E634" s="75" cm="1">
        <f t="array" ref="E634">VLOOKUP(B634,LW!A1:C210,3,FALSE)</f>
        <v>192</v>
      </c>
      <c r="F634" s="65" t="str" cm="1">
        <f t="array" ref="F634">VLOOKUP(B634,'Player Data'!A1:B673,2,FALSE)</f>
        <v>NSH</v>
      </c>
      <c r="G634" s="71" cm="1">
        <f t="array" ref="G634">VLOOKUP(B634,'Player Data'!A1:D673,3,FALSE)</f>
        <v>23</v>
      </c>
      <c r="H634" s="51" cm="1">
        <f t="array" ref="H634">IFERROR(VLOOKUP(B634,ADP!A1:F671,6,FALSE)/1000000,VLOOKUP(B634,ADP!A1:F671,6,FALSE))</f>
        <v>0.88666699999999998</v>
      </c>
      <c r="I634" s="52">
        <f>IF(Settings!$E$15="POINTS",((R634*Q634)*Settings!$B$12)+(S634*Settings!$B$2)+(T634*Settings!$B$3)+(U634*Settings!$B$4)+(V634*Settings!$B$5)+(X634*Settings!$B$9)+(AA634*Settings!$B$6)+(W634*Settings!$B$8)+(AB634*Settings!$B$7)+(AC634*Settings!$B$14)+(AD634*Settings!$B$15)+(AE634*Settings!$B$16)+(AF634*Settings!$B$17)+(AG634*Settings!$B$18)+(Y634*Settings!$B$10)+(Z634*Settings!$B$11),VLOOKUP(B634,'Standard Deviations'!A$1:C$672,3,FALSE))</f>
        <v>-3.5242294259694704</v>
      </c>
      <c r="J634" s="53" cm="1">
        <f t="array" ref="J634">IF(D634="G",I634/AJ634,I634/Q634)</f>
        <v>-5.1075788782166238E-2</v>
      </c>
      <c r="K634" s="52" cm="1">
        <f t="array" ref="K634">IF(Settings!$E$18="C/LW/RW",VLOOKUP(B634,LW!A1:F210,6,FALSE),VLOOKUP(B634,F!A1:F407,6,FALSE))</f>
        <v>-10.41861507035928</v>
      </c>
      <c r="L634" s="54" cm="1">
        <f t="array" ref="L634">IFERROR(K634/H634,"N/A")</f>
        <v>-11.750313331114478</v>
      </c>
      <c r="M634" s="84" t="s">
        <v>828</v>
      </c>
      <c r="N634" s="84" t="str" cm="1">
        <f t="array" ref="N634">IFERROR(M634-A634,"N/A")</f>
        <v>N/A</v>
      </c>
      <c r="O634" s="55"/>
      <c r="P634" s="56" cm="1">
        <f t="array" ref="P634">_xlfn.XLOOKUP($B634,ADP!A2:A671,ADP!G2:G671)</f>
        <v>0</v>
      </c>
      <c r="Q634" s="57" cm="1">
        <f t="array" ref="Q634">IF(Settings!$E$12="YES",VLOOKUP(B634,'Player Data'!A1:E673,5,FALSE),84)</f>
        <v>69</v>
      </c>
      <c r="R634" s="55" cm="1">
        <f t="array" ref="R634">VLOOKUP(B634,'Player Data'!$A1:$AE673,6,FALSE)</f>
        <v>10</v>
      </c>
      <c r="S634" s="57" cm="1">
        <f t="array" ref="S634">VLOOKUP(B634,'Player Data'!$A1:$AE673,7,FALSE)*$Q634*IFERROR((VLOOKUP(P634,Settings!$E$28:$F$33,2,FALSE)+1),1)</f>
        <v>8.2799999999999994</v>
      </c>
      <c r="T634" s="57" cm="1">
        <f t="array" ref="T634">VLOOKUP(B634,'Player Data'!$A1:$AE673,8,FALSE)*$Q634*IFERROR((VLOOKUP(P634,Settings!$E$28:$F$33,2,FALSE)+1),1)</f>
        <v>5.5200000000000005</v>
      </c>
      <c r="U634" s="57" cm="1">
        <f t="array" ref="U634">SUM(S634:T634)</f>
        <v>13.8</v>
      </c>
      <c r="V634" s="57" cm="1">
        <f t="array" ref="V634">VLOOKUP(B634,'Player Data'!$A1:$AE673,10,FALSE)*$Q634*IFERROR(((VLOOKUP(P634,Settings!$E$28:$F$33,2,FALSE)/2)+1),1)</f>
        <v>58.65</v>
      </c>
      <c r="W634" s="57" cm="1">
        <f t="array" ref="W634">VLOOKUP(B634,'Player Data'!$A1:$AE673,11,FALSE)*$Q634*IFERROR((VLOOKUP(P634,Settings!$E$28:$F$33,2,FALSE)+1),1)</f>
        <v>0</v>
      </c>
      <c r="X634" s="57" cm="1">
        <f t="array" ref="X634">VLOOKUP(B634,'Player Data'!$A1:$AE673,12,FALSE)*$Q634*IFERROR((VLOOKUP(P634,Settings!$E$28:$F$33,2,FALSE)+1),1)</f>
        <v>0</v>
      </c>
      <c r="Y634" s="57" cm="1">
        <f t="array" ref="Y634">VLOOKUP(B634,'Player Data'!$A1:$AE673,13,FALSE)*$Q634</f>
        <v>0</v>
      </c>
      <c r="Z634" s="57" cm="1">
        <f t="array" ref="Z634">VLOOKUP(B634,'Player Data'!$A1:$AE673,14,FALSE)*$Q634</f>
        <v>0.69000000000000006</v>
      </c>
      <c r="AA634" s="57" cm="1">
        <f t="array" ref="AA634">VLOOKUP(B634,'Player Data'!$A1:$AE673,15,FALSE)*$Q634</f>
        <v>41.4</v>
      </c>
      <c r="AB634" s="57" cm="1">
        <f t="array" ref="AB634">VLOOKUP(B634,'Player Data'!$A1:$AE673,16,FALSE)*$Q634</f>
        <v>148.35</v>
      </c>
      <c r="AC634" s="57" cm="1">
        <f t="array" ref="AC634">VLOOKUP(B634,'Player Data'!$A1:$AE673,17,FALSE)*$Q634*IFERROR((VLOOKUP(P634,Settings!$E$28:$F$33,2,FALSE)+1),1)</f>
        <v>-4.1399999999999997</v>
      </c>
      <c r="AD634" s="57" cm="1">
        <f t="array" ref="AD634">VLOOKUP(B634,'Player Data'!$A1:$AE673,18,FALSE)*$Q634</f>
        <v>20.009999999999998</v>
      </c>
      <c r="AE634" s="57" cm="1">
        <f t="array" ref="AE634">VLOOKUP(B634,'Player Data'!$A1:$AE673,19,FALSE)*$Q634*IFERROR((VLOOKUP(P634,Settings!$E$28:$F$33,2,FALSE)+1),1)</f>
        <v>1.3800000000000001</v>
      </c>
      <c r="AF634" s="57" cm="1">
        <f t="array" ref="AF634">VLOOKUP(B634,'Player Data'!$A1:$AE673,20,FALSE)*$Q634</f>
        <v>1.3800000000000001</v>
      </c>
      <c r="AG634" s="57" cm="1">
        <f t="array" ref="AG634">VLOOKUP(B634,'Player Data'!$A1:$AE673,21,FALSE)*$Q634</f>
        <v>10.35</v>
      </c>
      <c r="AH634" s="59" cm="1">
        <f t="array" ref="AH634">VLOOKUP(B634,'Player Data'!$A1:$AE673,22,FALSE)</f>
        <v>0.13</v>
      </c>
      <c r="AI634" s="55"/>
      <c r="AJ634" s="57"/>
      <c r="AK634" s="57"/>
      <c r="AL634" s="57"/>
      <c r="AM634" s="57"/>
      <c r="AN634" s="57"/>
      <c r="AO634" s="57"/>
      <c r="AP634" s="57"/>
      <c r="AQ634" s="60"/>
      <c r="AR634" s="61"/>
      <c r="AS634" s="55"/>
    </row>
    <row r="635" spans="1:45" ht="21.25" customHeight="1" x14ac:dyDescent="0.15">
      <c r="A635" s="62">
        <f>RANK(K635,K$2:K$671)</f>
        <v>630</v>
      </c>
      <c r="B635" s="10" t="s">
        <v>719</v>
      </c>
      <c r="C635" s="47" t="s">
        <v>145</v>
      </c>
      <c r="D635" s="48" t="str" cm="1">
        <f t="array" ref="D635">VLOOKUP(B635,'Player Data'!A1:D673,4,FALSE)</f>
        <v>C,RW</v>
      </c>
      <c r="E635" s="74" cm="1">
        <f t="array" ref="E635">VLOOKUP(B635,RW!A1:F210,3,FALSE)</f>
        <v>188</v>
      </c>
      <c r="F635" s="56" t="str" cm="1">
        <f t="array" ref="F635">VLOOKUP(B635,'Player Data'!A1:B673,2,FALSE)</f>
        <v>S.J</v>
      </c>
      <c r="G635" s="11" cm="1">
        <f t="array" ref="G635">VLOOKUP(B635,'Player Data'!A1:D673,3,FALSE)</f>
        <v>29</v>
      </c>
      <c r="H635" s="67" cm="1">
        <f t="array" ref="H635">IFERROR(VLOOKUP(B635,ADP!A1:F671,6,FALSE)/1000000,VLOOKUP(B635,ADP!A1:F671,6,FALSE))</f>
        <v>2</v>
      </c>
      <c r="I635" s="52">
        <f>IF(Settings!$E$15="POINTS",((R635*Q635)*Settings!$B$12)+(S635*Settings!$B$2)+(T635*Settings!$B$3)+(U635*Settings!$B$4)+(V635*Settings!$B$5)+(X635*Settings!$B$9)+(AA635*Settings!$B$6)+(W635*Settings!$B$8)+(AB635*Settings!$B$7)+(AC635*Settings!$B$14)+(AD635*Settings!$B$15)+(AE635*Settings!$B$16)+(AF635*Settings!$B$17)+(AG635*Settings!$B$18)+(Y635*Settings!$B$10)+(Z635*Settings!$B$11),VLOOKUP(B635,'Standard Deviations'!A$1:C$672,3,FALSE))</f>
        <v>-3.4730851234203177</v>
      </c>
      <c r="J635" s="53" cm="1">
        <f t="array" ref="J635">IF(D635="G",I635/AJ635,I635/Q635)</f>
        <v>-4.757650854000435E-2</v>
      </c>
      <c r="K635" s="52" cm="1">
        <f t="array" ref="K635">IF(Settings!$E$18="C/LW/RW",VLOOKUP(B635,RW!A1:F210,6,FALSE),VLOOKUP(B635,F!A1:F407,6,FALSE))</f>
        <v>-10.360319725229395</v>
      </c>
      <c r="L635" s="54" cm="1">
        <f t="array" ref="L635">IFERROR(K635/H635,"N/A")</f>
        <v>-5.1801598626146976</v>
      </c>
      <c r="M635" s="84" t="s">
        <v>828</v>
      </c>
      <c r="N635" s="84" t="str" cm="1">
        <f t="array" ref="N635">IFERROR(M635-A635,"N/A")</f>
        <v>N/A</v>
      </c>
      <c r="O635" s="55"/>
      <c r="P635" s="56" cm="1">
        <f t="array" ref="P635">_xlfn.XLOOKUP($B635,ADP!A2:A671,ADP!G2:G671)</f>
        <v>0</v>
      </c>
      <c r="Q635" s="57" cm="1">
        <f t="array" ref="Q635">IF(Settings!$E$12="YES",VLOOKUP(B635,'Player Data'!A1:E673,5,FALSE),84)</f>
        <v>73</v>
      </c>
      <c r="R635" s="55" cm="1">
        <f t="array" ref="R635">VLOOKUP(B635,'Player Data'!$A1:$AE673,6,FALSE)</f>
        <v>10.5</v>
      </c>
      <c r="S635" s="57" cm="1">
        <f t="array" ref="S635">VLOOKUP(B635,'Player Data'!$A1:$AE673,7,FALSE)*$Q635*IFERROR((VLOOKUP(P635,Settings!$E$28:$F$33,2,FALSE)+1),1)</f>
        <v>13.139999999999999</v>
      </c>
      <c r="T635" s="57" cm="1">
        <f t="array" ref="T635">VLOOKUP(B635,'Player Data'!$A1:$AE673,8,FALSE)*$Q635*IFERROR((VLOOKUP(P635,Settings!$E$28:$F$33,2,FALSE)+1),1)</f>
        <v>6.5699999999999994</v>
      </c>
      <c r="U635" s="57" cm="1">
        <f t="array" ref="U635">SUM(S635:T635)</f>
        <v>19.709999999999997</v>
      </c>
      <c r="V635" s="57" cm="1">
        <f t="array" ref="V635">VLOOKUP(B635,'Player Data'!$A1:$AE673,10,FALSE)*$Q635*IFERROR(((VLOOKUP(P635,Settings!$E$28:$F$33,2,FALSE)/2)+1),1)</f>
        <v>87.6</v>
      </c>
      <c r="W635" s="57" cm="1">
        <f t="array" ref="W635">VLOOKUP(B635,'Player Data'!$A1:$AE673,11,FALSE)*$Q635*IFERROR((VLOOKUP(P635,Settings!$E$28:$F$33,2,FALSE)+1),1)</f>
        <v>0</v>
      </c>
      <c r="X635" s="57" cm="1">
        <f t="array" ref="X635">VLOOKUP(B635,'Player Data'!$A1:$AE673,12,FALSE)*$Q635*IFERROR((VLOOKUP(P635,Settings!$E$28:$F$33,2,FALSE)+1),1)</f>
        <v>0</v>
      </c>
      <c r="Y635" s="57" cm="1">
        <f t="array" ref="Y635">VLOOKUP(B635,'Player Data'!$A1:$AE673,13,FALSE)*$Q635</f>
        <v>0</v>
      </c>
      <c r="Z635" s="57" cm="1">
        <f t="array" ref="Z635">VLOOKUP(B635,'Player Data'!$A1:$AE673,14,FALSE)*$Q635</f>
        <v>0</v>
      </c>
      <c r="AA635" s="57" cm="1">
        <f t="array" ref="AA635">VLOOKUP(B635,'Player Data'!$A1:$AE673,15,FALSE)*$Q635</f>
        <v>33.58</v>
      </c>
      <c r="AB635" s="57" cm="1">
        <f t="array" ref="AB635">VLOOKUP(B635,'Player Data'!$A1:$AE673,16,FALSE)*$Q635</f>
        <v>70.81</v>
      </c>
      <c r="AC635" s="57" cm="1">
        <f t="array" ref="AC635">VLOOKUP(B635,'Player Data'!$A1:$AE673,17,FALSE)*$Q635*IFERROR((VLOOKUP(P635,Settings!$E$28:$F$33,2,FALSE)+1),1)</f>
        <v>-1.46</v>
      </c>
      <c r="AD635" s="57" cm="1">
        <f t="array" ref="AD635">VLOOKUP(B635,'Player Data'!$A1:$AE673,18,FALSE)*$Q635</f>
        <v>18.25</v>
      </c>
      <c r="AE635" s="57" cm="1">
        <f t="array" ref="AE635">VLOOKUP(B635,'Player Data'!$A1:$AE673,19,FALSE)*$Q635*IFERROR((VLOOKUP(P635,Settings!$E$28:$F$33,2,FALSE)+1),1)</f>
        <v>2.19</v>
      </c>
      <c r="AF635" s="57" cm="1">
        <f t="array" ref="AF635">VLOOKUP(B635,'Player Data'!$A1:$AE673,20,FALSE)*$Q635</f>
        <v>0</v>
      </c>
      <c r="AG635" s="57" cm="1">
        <f t="array" ref="AG635">VLOOKUP(B635,'Player Data'!$A1:$AE673,21,FALSE)*$Q635</f>
        <v>0</v>
      </c>
      <c r="AH635" s="59" cm="1">
        <f t="array" ref="AH635">VLOOKUP(B635,'Player Data'!$A1:$AE673,22,FALSE)</f>
        <v>0.49</v>
      </c>
      <c r="AI635" s="55"/>
      <c r="AJ635" s="57"/>
      <c r="AK635" s="57"/>
      <c r="AL635" s="57"/>
      <c r="AM635" s="57"/>
      <c r="AN635" s="57"/>
      <c r="AO635" s="57"/>
      <c r="AP635" s="57"/>
      <c r="AQ635" s="60"/>
      <c r="AR635" s="61"/>
      <c r="AS635" s="55"/>
    </row>
    <row r="636" spans="1:45" ht="21.25" customHeight="1" x14ac:dyDescent="0.15">
      <c r="A636" s="62">
        <f>RANK(K636,K$2:K$671)</f>
        <v>638</v>
      </c>
      <c r="B636" s="10" t="s">
        <v>670</v>
      </c>
      <c r="C636" s="47" t="s">
        <v>145</v>
      </c>
      <c r="D636" s="48" t="str" cm="1">
        <f t="array" ref="D636">VLOOKUP(B636,'Player Data'!A1:D673,4,FALSE)</f>
        <v>C,LW</v>
      </c>
      <c r="E636" s="74" cm="1">
        <f t="array" ref="E636">VLOOKUP(B636,LW!A1:C210,3,FALSE)</f>
        <v>193</v>
      </c>
      <c r="F636" s="69" t="str" cm="1">
        <f t="array" ref="F636">VLOOKUP(B636,'Player Data'!A1:B673,2,FALSE)</f>
        <v>TOR</v>
      </c>
      <c r="G636" s="66" cm="1">
        <f t="array" ref="G636">VLOOKUP(B636,'Player Data'!A1:D673,3,FALSE)</f>
        <v>31</v>
      </c>
      <c r="H636" s="51" cm="1">
        <f t="array" ref="H636">IFERROR(VLOOKUP(B636,ADP!A1:F671,6,FALSE)/1000000,VLOOKUP(B636,ADP!A1:F671,6,FALSE))</f>
        <v>3.75</v>
      </c>
      <c r="I636" s="52">
        <f>IF(Settings!$E$15="POINTS",((R636*Q636)*Settings!$B$12)+(S636*Settings!$B$2)+(T636*Settings!$B$3)+(U636*Settings!$B$4)+(V636*Settings!$B$5)+(X636*Settings!$B$9)+(AA636*Settings!$B$6)+(W636*Settings!$B$8)+(AB636*Settings!$B$7)+(AC636*Settings!$B$14)+(AD636*Settings!$B$15)+(AE636*Settings!$B$16)+(AF636*Settings!$B$17)+(AG636*Settings!$B$18)+(Y636*Settings!$B$10)+(Z636*Settings!$B$11),VLOOKUP(B636,'Standard Deviations'!A$1:C$672,3,FALSE))</f>
        <v>-3.5421308083116156</v>
      </c>
      <c r="J636" s="53" cm="1">
        <f t="array" ref="J636">IF(D636="G",I636/AJ636,I636/Q636)</f>
        <v>-4.3196717174531898E-2</v>
      </c>
      <c r="K636" s="52" cm="1">
        <f t="array" ref="K636">IF(Settings!$E$18="C/LW/RW",VLOOKUP(B636,LW!A1:F210,6,FALSE),VLOOKUP(B636,F!A1:F407,6,FALSE))</f>
        <v>-10.436516452701426</v>
      </c>
      <c r="L636" s="54" cm="1">
        <f t="array" ref="L636">IFERROR(K636/H636,"N/A")</f>
        <v>-2.7830710540537136</v>
      </c>
      <c r="M636" s="84" t="s">
        <v>828</v>
      </c>
      <c r="N636" s="84" t="str" cm="1">
        <f t="array" ref="N636">IFERROR(M636-A636,"N/A")</f>
        <v>N/A</v>
      </c>
      <c r="O636" s="55"/>
      <c r="P636" s="56" cm="1">
        <f t="array" ref="P636">_xlfn.XLOOKUP($B636,ADP!A2:A671,ADP!G2:G671)</f>
        <v>0</v>
      </c>
      <c r="Q636" s="57" cm="1">
        <f t="array" ref="Q636">IF(Settings!$E$12="YES",VLOOKUP(B636,'Player Data'!A1:E673,5,FALSE),84)</f>
        <v>82</v>
      </c>
      <c r="R636" s="83" cm="1">
        <f t="array" ref="R636">VLOOKUP(B636,'Player Data'!$A1:$AE673,6,FALSE)</f>
        <v>12.6</v>
      </c>
      <c r="S636" s="57" cm="1">
        <f t="array" ref="S636">VLOOKUP(B636,'Player Data'!$A1:$AE673,7,FALSE)*$Q636*IFERROR((VLOOKUP(P636,Settings!$E$28:$F$33,2,FALSE)+1),1)</f>
        <v>8.2000000000000011</v>
      </c>
      <c r="T636" s="57" cm="1">
        <f t="array" ref="T636">VLOOKUP(B636,'Player Data'!$A1:$AE673,8,FALSE)*$Q636*IFERROR((VLOOKUP(P636,Settings!$E$28:$F$33,2,FALSE)+1),1)</f>
        <v>18.04</v>
      </c>
      <c r="U636" s="57" cm="1">
        <f t="array" ref="U636">SUM(S636:T636)</f>
        <v>26.240000000000002</v>
      </c>
      <c r="V636" s="57" cm="1">
        <f t="array" ref="V636">VLOOKUP(B636,'Player Data'!$A1:$AE673,10,FALSE)*$Q636*IFERROR(((VLOOKUP(P636,Settings!$E$28:$F$33,2,FALSE)/2)+1),1)</f>
        <v>91.84</v>
      </c>
      <c r="W636" s="57" cm="1">
        <f t="array" ref="W636">VLOOKUP(B636,'Player Data'!$A1:$AE673,11,FALSE)*$Q636*IFERROR((VLOOKUP(P636,Settings!$E$28:$F$33,2,FALSE)+1),1)</f>
        <v>0</v>
      </c>
      <c r="X636" s="57" cm="1">
        <f t="array" ref="X636">VLOOKUP(B636,'Player Data'!$A1:$AE673,12,FALSE)*$Q636*IFERROR((VLOOKUP(P636,Settings!$E$28:$F$33,2,FALSE)+1),1)</f>
        <v>0</v>
      </c>
      <c r="Y636" s="57" cm="1">
        <f t="array" ref="Y636">VLOOKUP(B636,'Player Data'!$A1:$AE673,13,FALSE)*$Q636</f>
        <v>0</v>
      </c>
      <c r="Z636" s="57" cm="1">
        <f t="array" ref="Z636">VLOOKUP(B636,'Player Data'!$A1:$AE673,14,FALSE)*$Q636</f>
        <v>0</v>
      </c>
      <c r="AA636" s="57" cm="1">
        <f t="array" ref="AA636">VLOOKUP(B636,'Player Data'!$A1:$AE673,15,FALSE)*$Q636</f>
        <v>31.16</v>
      </c>
      <c r="AB636" s="57" cm="1">
        <f t="array" ref="AB636">VLOOKUP(B636,'Player Data'!$A1:$AE673,16,FALSE)*$Q636</f>
        <v>41.82</v>
      </c>
      <c r="AC636" s="57" cm="1">
        <f t="array" ref="AC636">VLOOKUP(B636,'Player Data'!$A1:$AE673,17,FALSE)*$Q636*IFERROR((VLOOKUP(P636,Settings!$E$28:$F$33,2,FALSE)+1),1)</f>
        <v>-0.82000000000000006</v>
      </c>
      <c r="AD636" s="57" cm="1">
        <f t="array" ref="AD636">VLOOKUP(B636,'Player Data'!$A1:$AE673,18,FALSE)*$Q636</f>
        <v>53.300000000000004</v>
      </c>
      <c r="AE636" s="57" cm="1">
        <f t="array" ref="AE636">VLOOKUP(B636,'Player Data'!$A1:$AE673,19,FALSE)*$Q636*IFERROR((VLOOKUP(P636,Settings!$E$28:$F$33,2,FALSE)+1),1)</f>
        <v>0.82000000000000006</v>
      </c>
      <c r="AF636" s="57" cm="1">
        <f t="array" ref="AF636">VLOOKUP(B636,'Player Data'!$A1:$AE673,20,FALSE)*$Q636</f>
        <v>203.35999999999999</v>
      </c>
      <c r="AG636" s="57" cm="1">
        <f t="array" ref="AG636">VLOOKUP(B636,'Player Data'!$A1:$AE673,21,FALSE)*$Q636</f>
        <v>198.44</v>
      </c>
      <c r="AH636" s="59" cm="1">
        <f t="array" ref="AH636">VLOOKUP(B636,'Player Data'!$A1:$AE673,22,FALSE)</f>
        <v>0.51</v>
      </c>
      <c r="AI636" s="55"/>
      <c r="AJ636" s="57"/>
      <c r="AK636" s="57"/>
      <c r="AL636" s="57"/>
      <c r="AM636" s="57"/>
      <c r="AN636" s="57"/>
      <c r="AO636" s="57"/>
      <c r="AP636" s="57"/>
      <c r="AQ636" s="60"/>
      <c r="AR636" s="61"/>
      <c r="AS636" s="55"/>
    </row>
    <row r="637" spans="1:45" ht="21.25" customHeight="1" x14ac:dyDescent="0.15">
      <c r="A637" s="62">
        <f>RANK(K637,K$2:K$671)</f>
        <v>632</v>
      </c>
      <c r="B637" s="10" t="s">
        <v>777</v>
      </c>
      <c r="C637" s="47" t="s">
        <v>145</v>
      </c>
      <c r="D637" s="48" t="str" cm="1">
        <f t="array" ref="D637">VLOOKUP(B637,'Player Data'!A1:D673,4,FALSE)</f>
        <v>LW,RW</v>
      </c>
      <c r="E637" s="74" cm="1">
        <f t="array" ref="E637">VLOOKUP(B637,RW!A1:F210,3,FALSE)</f>
        <v>189</v>
      </c>
      <c r="F637" s="56" t="str" cm="1">
        <f t="array" ref="F637">VLOOKUP(B637,'Player Data'!A1:B673,2,FALSE)</f>
        <v>PHI</v>
      </c>
      <c r="G637" s="71" cm="1">
        <f t="array" ref="G637">VLOOKUP(B637,'Player Data'!A1:D673,3,FALSE)</f>
        <v>23</v>
      </c>
      <c r="H637" s="51" cm="1">
        <f t="array" ref="H637">IFERROR(VLOOKUP(B637,ADP!A1:F671,6,FALSE)/1000000,VLOOKUP(B637,ADP!A1:F671,6,FALSE))</f>
        <v>1.1000000000000001</v>
      </c>
      <c r="I637" s="52">
        <f>IF(Settings!$E$15="POINTS",((R637*Q637)*Settings!$B$12)+(S637*Settings!$B$2)+(T637*Settings!$B$3)+(U637*Settings!$B$4)+(V637*Settings!$B$5)+(X637*Settings!$B$9)+(AA637*Settings!$B$6)+(W637*Settings!$B$8)+(AB637*Settings!$B$7)+(AC637*Settings!$B$14)+(AD637*Settings!$B$15)+(AE637*Settings!$B$16)+(AF637*Settings!$B$17)+(AG637*Settings!$B$18)+(Y637*Settings!$B$10)+(Z637*Settings!$B$11),VLOOKUP(B637,'Standard Deviations'!A$1:C$672,3,FALSE))</f>
        <v>-3.5019036343420527</v>
      </c>
      <c r="J637" s="53" cm="1">
        <f t="array" ref="J637">IF(D637="G",I637/AJ637,I637/Q637)</f>
        <v>-4.7971282662219901E-2</v>
      </c>
      <c r="K637" s="52" cm="1">
        <f t="array" ref="K637">IF(Settings!$E$18="C/LW/RW",VLOOKUP(B637,RW!A1:F210,6,FALSE),VLOOKUP(B637,F!A1:F407,6,FALSE))</f>
        <v>-10.38913823615113</v>
      </c>
      <c r="L637" s="54" cm="1">
        <f t="array" ref="L637">IFERROR(K637/H637,"N/A")</f>
        <v>-9.4446711237737535</v>
      </c>
      <c r="M637" s="84" t="s">
        <v>828</v>
      </c>
      <c r="N637" s="84" t="str" cm="1">
        <f t="array" ref="N637">IFERROR(M637-A637,"N/A")</f>
        <v>N/A</v>
      </c>
      <c r="O637" s="55"/>
      <c r="P637" s="56" cm="1">
        <f t="array" ref="P637">_xlfn.XLOOKUP($B637,ADP!A2:A671,ADP!G2:G671)</f>
        <v>0</v>
      </c>
      <c r="Q637" s="57" cm="1">
        <f t="array" ref="Q637">IF(Settings!$E$12="YES",VLOOKUP(B637,'Player Data'!A1:E673,5,FALSE),84)</f>
        <v>73</v>
      </c>
      <c r="R637" s="55" cm="1">
        <f t="array" ref="R637">VLOOKUP(B637,'Player Data'!$A1:$AE673,6,FALSE)</f>
        <v>10.8</v>
      </c>
      <c r="S637" s="57" cm="1">
        <f t="array" ref="S637">VLOOKUP(B637,'Player Data'!$A1:$AE673,7,FALSE)*$Q637*IFERROR((VLOOKUP(P637,Settings!$E$28:$F$33,2,FALSE)+1),1)</f>
        <v>5.84</v>
      </c>
      <c r="T637" s="57" cm="1">
        <f t="array" ref="T637">VLOOKUP(B637,'Player Data'!$A1:$AE673,8,FALSE)*$Q637*IFERROR((VLOOKUP(P637,Settings!$E$28:$F$33,2,FALSE)+1),1)</f>
        <v>11.68</v>
      </c>
      <c r="U637" s="57" cm="1">
        <f t="array" ref="U637">SUM(S637:T637)</f>
        <v>17.52</v>
      </c>
      <c r="V637" s="57" cm="1">
        <f t="array" ref="V637">VLOOKUP(B637,'Player Data'!$A1:$AE673,10,FALSE)*$Q637*IFERROR(((VLOOKUP(P637,Settings!$E$28:$F$33,2,FALSE)/2)+1),1)</f>
        <v>49.64</v>
      </c>
      <c r="W637" s="57" cm="1">
        <f t="array" ref="W637">VLOOKUP(B637,'Player Data'!$A1:$AE673,11,FALSE)*$Q637*IFERROR((VLOOKUP(P637,Settings!$E$28:$F$33,2,FALSE)+1),1)</f>
        <v>0</v>
      </c>
      <c r="X637" s="57" cm="1">
        <f t="array" ref="X637">VLOOKUP(B637,'Player Data'!$A1:$AE673,12,FALSE)*$Q637*IFERROR((VLOOKUP(P637,Settings!$E$28:$F$33,2,FALSE)+1),1)</f>
        <v>0</v>
      </c>
      <c r="Y637" s="57" cm="1">
        <f t="array" ref="Y637">VLOOKUP(B637,'Player Data'!$A1:$AE673,13,FALSE)*$Q637</f>
        <v>0</v>
      </c>
      <c r="Z637" s="57" cm="1">
        <f t="array" ref="Z637">VLOOKUP(B637,'Player Data'!$A1:$AE673,14,FALSE)*$Q637</f>
        <v>0</v>
      </c>
      <c r="AA637" s="57" cm="1">
        <f t="array" ref="AA637">VLOOKUP(B637,'Player Data'!$A1:$AE673,15,FALSE)*$Q637</f>
        <v>24.09</v>
      </c>
      <c r="AB637" s="57" cm="1">
        <f t="array" ref="AB637">VLOOKUP(B637,'Player Data'!$A1:$AE673,16,FALSE)*$Q637</f>
        <v>111.69</v>
      </c>
      <c r="AC637" s="57" cm="1">
        <f t="array" ref="AC637">VLOOKUP(B637,'Player Data'!$A1:$AE673,17,FALSE)*$Q637*IFERROR((VLOOKUP(P637,Settings!$E$28:$F$33,2,FALSE)+1),1)</f>
        <v>-0.73</v>
      </c>
      <c r="AD637" s="57" cm="1">
        <f t="array" ref="AD637">VLOOKUP(B637,'Player Data'!$A1:$AE673,18,FALSE)*$Q637</f>
        <v>24.82</v>
      </c>
      <c r="AE637" s="57" cm="1">
        <f t="array" ref="AE637">VLOOKUP(B637,'Player Data'!$A1:$AE673,19,FALSE)*$Q637*IFERROR((VLOOKUP(P637,Settings!$E$28:$F$33,2,FALSE)+1),1)</f>
        <v>0.73</v>
      </c>
      <c r="AF637" s="57" cm="1">
        <f t="array" ref="AF637">VLOOKUP(B637,'Player Data'!$A1:$AE673,20,FALSE)*$Q637</f>
        <v>5.1100000000000003</v>
      </c>
      <c r="AG637" s="57" cm="1">
        <f t="array" ref="AG637">VLOOKUP(B637,'Player Data'!$A1:$AE673,21,FALSE)*$Q637</f>
        <v>2.19</v>
      </c>
      <c r="AH637" s="59" cm="1">
        <f t="array" ref="AH637">VLOOKUP(B637,'Player Data'!$A1:$AE673,22,FALSE)</f>
        <v>0.69</v>
      </c>
      <c r="AI637" s="55"/>
      <c r="AJ637" s="57"/>
      <c r="AK637" s="57"/>
      <c r="AL637" s="57"/>
      <c r="AM637" s="57"/>
      <c r="AN637" s="57"/>
      <c r="AO637" s="57"/>
      <c r="AP637" s="57"/>
      <c r="AQ637" s="60"/>
      <c r="AR637" s="61"/>
      <c r="AS637" s="55"/>
    </row>
    <row r="638" spans="1:45" ht="21.25" customHeight="1" x14ac:dyDescent="0.15">
      <c r="A638" s="62">
        <f>RANK(K638,K$2:K$671)</f>
        <v>633</v>
      </c>
      <c r="B638" s="10" t="s">
        <v>786</v>
      </c>
      <c r="C638" s="47" t="s">
        <v>145</v>
      </c>
      <c r="D638" s="48" t="str" cm="1">
        <f t="array" ref="D638">VLOOKUP(B638,'Player Data'!A1:D673,4,FALSE)</f>
        <v>RW</v>
      </c>
      <c r="E638" s="64" cm="1">
        <f t="array" ref="E638">VLOOKUP(B638,RW!A1:F210,3,FALSE)</f>
        <v>190</v>
      </c>
      <c r="F638" s="65" t="str" cm="1">
        <f t="array" ref="F638">VLOOKUP(B638,'Player Data'!A1:B673,2,FALSE)</f>
        <v>NSH</v>
      </c>
      <c r="G638" s="71" cm="1">
        <f t="array" ref="G638">VLOOKUP(B638,'Player Data'!A1:D673,3,FALSE)</f>
        <v>24</v>
      </c>
      <c r="H638" s="67" cm="1">
        <f t="array" ref="H638">IFERROR(VLOOKUP(B638,ADP!A1:F671,6,FALSE)/1000000,VLOOKUP(B638,ADP!A1:F671,6,FALSE))</f>
        <v>0.8125</v>
      </c>
      <c r="I638" s="52">
        <f>IF(Settings!$E$15="POINTS",((R638*Q638)*Settings!$B$12)+(S638*Settings!$B$2)+(T638*Settings!$B$3)+(U638*Settings!$B$4)+(V638*Settings!$B$5)+(X638*Settings!$B$9)+(AA638*Settings!$B$6)+(W638*Settings!$B$8)+(AB638*Settings!$B$7)+(AC638*Settings!$B$14)+(AD638*Settings!$B$15)+(AE638*Settings!$B$16)+(AF638*Settings!$B$17)+(AG638*Settings!$B$18)+(Y638*Settings!$B$10)+(Z638*Settings!$B$11),VLOOKUP(B638,'Standard Deviations'!A$1:C$672,3,FALSE))</f>
        <v>-3.515069715972825</v>
      </c>
      <c r="J638" s="53" cm="1">
        <f t="array" ref="J638">IF(D638="G",I638/AJ638,I638/Q638)</f>
        <v>-5.8584495266213753E-2</v>
      </c>
      <c r="K638" s="52" cm="1">
        <f t="array" ref="K638">IF(Settings!$E$18="C/LW/RW",VLOOKUP(B638,RW!A1:F210,6,FALSE),VLOOKUP(B638,F!A1:F407,6,FALSE))</f>
        <v>-10.402304317781903</v>
      </c>
      <c r="L638" s="54" cm="1">
        <f t="array" ref="L638">IFERROR(K638/H638,"N/A")</f>
        <v>-12.80283608342388</v>
      </c>
      <c r="M638" s="84" t="s">
        <v>828</v>
      </c>
      <c r="N638" s="84" t="str" cm="1">
        <f t="array" ref="N638">IFERROR(M638-A638,"N/A")</f>
        <v>N/A</v>
      </c>
      <c r="O638" s="55"/>
      <c r="P638" s="56" cm="1">
        <f t="array" ref="P638">_xlfn.XLOOKUP($B638,ADP!A2:A671,ADP!G2:G671)</f>
        <v>0</v>
      </c>
      <c r="Q638" s="57" cm="1">
        <f t="array" ref="Q638">IF(Settings!$E$12="YES",VLOOKUP(B638,'Player Data'!A1:E673,5,FALSE),84)</f>
        <v>60</v>
      </c>
      <c r="R638" s="81" cm="1">
        <f t="array" ref="R638">VLOOKUP(B638,'Player Data'!$A1:$AE673,6,FALSE)</f>
        <v>12.2</v>
      </c>
      <c r="S638" s="57" cm="1">
        <f t="array" ref="S638">VLOOKUP(B638,'Player Data'!$A1:$AE673,7,FALSE)*$Q638*IFERROR((VLOOKUP(P638,Settings!$E$28:$F$33,2,FALSE)+1),1)</f>
        <v>4.2</v>
      </c>
      <c r="T638" s="57" cm="1">
        <f t="array" ref="T638">VLOOKUP(B638,'Player Data'!$A1:$AE673,8,FALSE)*$Q638*IFERROR((VLOOKUP(P638,Settings!$E$28:$F$33,2,FALSE)+1),1)</f>
        <v>8.4</v>
      </c>
      <c r="U638" s="57" cm="1">
        <f t="array" ref="U638">SUM(S638:T638)</f>
        <v>12.600000000000001</v>
      </c>
      <c r="V638" s="57" cm="1">
        <f t="array" ref="V638">VLOOKUP(B638,'Player Data'!$A1:$AE673,10,FALSE)*$Q638*IFERROR(((VLOOKUP(P638,Settings!$E$28:$F$33,2,FALSE)/2)+1),1)</f>
        <v>52.2</v>
      </c>
      <c r="W638" s="57" cm="1">
        <f t="array" ref="W638">VLOOKUP(B638,'Player Data'!$A1:$AE673,11,FALSE)*$Q638*IFERROR((VLOOKUP(P638,Settings!$E$28:$F$33,2,FALSE)+1),1)</f>
        <v>0</v>
      </c>
      <c r="X638" s="57" cm="1">
        <f t="array" ref="X638">VLOOKUP(B638,'Player Data'!$A1:$AE673,12,FALSE)*$Q638*IFERROR((VLOOKUP(P638,Settings!$E$28:$F$33,2,FALSE)+1),1)</f>
        <v>0</v>
      </c>
      <c r="Y638" s="57" cm="1">
        <f t="array" ref="Y638">VLOOKUP(B638,'Player Data'!$A1:$AE673,13,FALSE)*$Q638</f>
        <v>0</v>
      </c>
      <c r="Z638" s="57" cm="1">
        <f t="array" ref="Z638">VLOOKUP(B638,'Player Data'!$A1:$AE673,14,FALSE)*$Q638</f>
        <v>0.6</v>
      </c>
      <c r="AA638" s="57" cm="1">
        <f t="array" ref="AA638">VLOOKUP(B638,'Player Data'!$A1:$AE673,15,FALSE)*$Q638</f>
        <v>32.400000000000006</v>
      </c>
      <c r="AB638" s="57" cm="1">
        <f t="array" ref="AB638">VLOOKUP(B638,'Player Data'!$A1:$AE673,16,FALSE)*$Q638</f>
        <v>145.80000000000001</v>
      </c>
      <c r="AC638" s="57" cm="1">
        <f t="array" ref="AC638">VLOOKUP(B638,'Player Data'!$A1:$AE673,17,FALSE)*$Q638*IFERROR((VLOOKUP(P638,Settings!$E$28:$F$33,2,FALSE)+1),1)</f>
        <v>-2.4</v>
      </c>
      <c r="AD638" s="57" cm="1">
        <f t="array" ref="AD638">VLOOKUP(B638,'Player Data'!$A1:$AE673,18,FALSE)*$Q638</f>
        <v>34.799999999999997</v>
      </c>
      <c r="AE638" s="57" cm="1">
        <f t="array" ref="AE638">VLOOKUP(B638,'Player Data'!$A1:$AE673,19,FALSE)*$Q638*IFERROR((VLOOKUP(P638,Settings!$E$28:$F$33,2,FALSE)+1),1)</f>
        <v>0.6</v>
      </c>
      <c r="AF638" s="57" cm="1">
        <f t="array" ref="AF638">VLOOKUP(B638,'Player Data'!$A1:$AE673,20,FALSE)*$Q638</f>
        <v>3</v>
      </c>
      <c r="AG638" s="57" cm="1">
        <f t="array" ref="AG638">VLOOKUP(B638,'Player Data'!$A1:$AE673,21,FALSE)*$Q638</f>
        <v>9</v>
      </c>
      <c r="AH638" s="59" cm="1">
        <f t="array" ref="AH638">VLOOKUP(B638,'Player Data'!$A1:$AE673,22,FALSE)</f>
        <v>0.26</v>
      </c>
      <c r="AI638" s="55"/>
      <c r="AJ638" s="57"/>
      <c r="AK638" s="57"/>
      <c r="AL638" s="57"/>
      <c r="AM638" s="57"/>
      <c r="AN638" s="57"/>
      <c r="AO638" s="57"/>
      <c r="AP638" s="57"/>
      <c r="AQ638" s="60"/>
      <c r="AR638" s="61"/>
      <c r="AS638" s="55"/>
    </row>
    <row r="639" spans="1:45" ht="21.25" customHeight="1" x14ac:dyDescent="0.15">
      <c r="A639" s="62">
        <f>RANK(K639,K$2:K$671)</f>
        <v>637</v>
      </c>
      <c r="B639" s="10" t="s">
        <v>791</v>
      </c>
      <c r="C639" s="47" t="s">
        <v>145</v>
      </c>
      <c r="D639" s="48" t="str" cm="1">
        <f t="array" ref="D639">VLOOKUP(B639,'Player Data'!A1:D673,4,FALSE)</f>
        <v>C</v>
      </c>
      <c r="E639" s="49" cm="1">
        <f t="array" ref="E639">VLOOKUP(B639,'C'!A1:C210,3,FALSE)</f>
        <v>196</v>
      </c>
      <c r="F639" s="69" t="str" cm="1">
        <f t="array" ref="F639">VLOOKUP(B639,'Player Data'!A1:B673,2,FALSE)</f>
        <v>TOR</v>
      </c>
      <c r="G639" s="71" cm="1">
        <f t="array" ref="G639">VLOOKUP(B639,'Player Data'!A1:D673,3,FALSE)</f>
        <v>24</v>
      </c>
      <c r="H639" s="51" cm="1">
        <f t="array" ref="H639">IFERROR(VLOOKUP(B639,ADP!A1:F671,6,FALSE)/1000000,VLOOKUP(B639,ADP!A1:F671,6,FALSE))</f>
        <v>0.85</v>
      </c>
      <c r="I639" s="52">
        <f>IF(Settings!$E$15="POINTS",((R639*Q639)*Settings!$B$12)+(S639*Settings!$B$2)+(T639*Settings!$B$3)+(U639*Settings!$B$4)+(V639*Settings!$B$5)+(X639*Settings!$B$9)+(AA639*Settings!$B$6)+(W639*Settings!$B$8)+(AB639*Settings!$B$7)+(AC639*Settings!$B$14)+(AD639*Settings!$B$15)+(AE639*Settings!$B$16)+(AF639*Settings!$B$17)+(AG639*Settings!$B$18)+(Y639*Settings!$B$10)+(Z639*Settings!$B$11),VLOOKUP(B639,'Standard Deviations'!A$1:C$672,3,FALSE))</f>
        <v>-4.0738569847346957</v>
      </c>
      <c r="J639" s="53" cm="1">
        <f t="array" ref="J639">IF(D639="G",I639/AJ639,I639/Q639)</f>
        <v>-6.7897616412244927E-2</v>
      </c>
      <c r="K639" s="52" cm="1">
        <f t="array" ref="K639">IF(Settings!$E$18="C/LW/RW",VLOOKUP(B639,'C'!A1:F210,6,FALSE),VLOOKUP(B639,F!A1:F407,6,FALSE))</f>
        <v>-10.43386654234976</v>
      </c>
      <c r="L639" s="54" cm="1">
        <f t="array" ref="L639">IFERROR(K639/H639,"N/A")</f>
        <v>-12.275137108646776</v>
      </c>
      <c r="M639" s="84" t="s">
        <v>828</v>
      </c>
      <c r="N639" s="84" t="str" cm="1">
        <f t="array" ref="N639">IFERROR(M639-A639,"N/A")</f>
        <v>N/A</v>
      </c>
      <c r="O639" s="55"/>
      <c r="P639" s="56" cm="1">
        <f t="array" ref="P639">_xlfn.XLOOKUP($B639,ADP!A2:A671,ADP!G2:G671)</f>
        <v>0</v>
      </c>
      <c r="Q639" s="57" cm="1">
        <f t="array" ref="Q639">IF(Settings!$E$12="YES",VLOOKUP(B639,'Player Data'!A1:E673,5,FALSE),84)</f>
        <v>60</v>
      </c>
      <c r="R639" s="55" cm="1">
        <f t="array" ref="R639">VLOOKUP(B639,'Player Data'!$A1:$AE673,6,FALSE)</f>
        <v>10</v>
      </c>
      <c r="S639" s="57" cm="1">
        <f t="array" ref="S639">VLOOKUP(B639,'Player Data'!$A1:$AE673,7,FALSE)*$Q639*IFERROR((VLOOKUP(P639,Settings!$E$28:$F$33,2,FALSE)+1),1)</f>
        <v>4.2</v>
      </c>
      <c r="T639" s="57" cm="1">
        <f t="array" ref="T639">VLOOKUP(B639,'Player Data'!$A1:$AE673,8,FALSE)*$Q639*IFERROR((VLOOKUP(P639,Settings!$E$28:$F$33,2,FALSE)+1),1)</f>
        <v>5.3999999999999995</v>
      </c>
      <c r="U639" s="57" cm="1">
        <f t="array" ref="U639">SUM(S639:T639)</f>
        <v>9.6</v>
      </c>
      <c r="V639" s="57" cm="1">
        <f t="array" ref="V639">VLOOKUP(B639,'Player Data'!$A1:$AE673,10,FALSE)*$Q639*IFERROR(((VLOOKUP(P639,Settings!$E$28:$F$33,2,FALSE)/2)+1),1)</f>
        <v>43.199999999999996</v>
      </c>
      <c r="W639" s="57" cm="1">
        <f t="array" ref="W639">VLOOKUP(B639,'Player Data'!$A1:$AE673,11,FALSE)*$Q639*IFERROR((VLOOKUP(P639,Settings!$E$28:$F$33,2,FALSE)+1),1)</f>
        <v>0</v>
      </c>
      <c r="X639" s="57" cm="1">
        <f t="array" ref="X639">VLOOKUP(B639,'Player Data'!$A1:$AE673,12,FALSE)*$Q639*IFERROR((VLOOKUP(P639,Settings!$E$28:$F$33,2,FALSE)+1),1)</f>
        <v>0</v>
      </c>
      <c r="Y639" s="57" cm="1">
        <f t="array" ref="Y639">VLOOKUP(B639,'Player Data'!$A1:$AE673,13,FALSE)*$Q639</f>
        <v>0</v>
      </c>
      <c r="Z639" s="57" cm="1">
        <f t="array" ref="Z639">VLOOKUP(B639,'Player Data'!$A1:$AE673,14,FALSE)*$Q639</f>
        <v>0.6</v>
      </c>
      <c r="AA639" s="57" cm="1">
        <f t="array" ref="AA639">VLOOKUP(B639,'Player Data'!$A1:$AE673,15,FALSE)*$Q639</f>
        <v>31.200000000000003</v>
      </c>
      <c r="AB639" s="57" cm="1">
        <f t="array" ref="AB639">VLOOKUP(B639,'Player Data'!$A1:$AE673,16,FALSE)*$Q639</f>
        <v>111</v>
      </c>
      <c r="AC639" s="57" cm="1">
        <f t="array" ref="AC639">VLOOKUP(B639,'Player Data'!$A1:$AE673,17,FALSE)*$Q639*IFERROR((VLOOKUP(P639,Settings!$E$28:$F$33,2,FALSE)+1),1)</f>
        <v>0</v>
      </c>
      <c r="AD639" s="57" cm="1">
        <f t="array" ref="AD639">VLOOKUP(B639,'Player Data'!$A1:$AE673,18,FALSE)*$Q639</f>
        <v>12.6</v>
      </c>
      <c r="AE639" s="57" cm="1">
        <f t="array" ref="AE639">VLOOKUP(B639,'Player Data'!$A1:$AE673,19,FALSE)*$Q639*IFERROR((VLOOKUP(P639,Settings!$E$28:$F$33,2,FALSE)+1),1)</f>
        <v>0.6</v>
      </c>
      <c r="AF639" s="57" cm="1">
        <f t="array" ref="AF639">VLOOKUP(B639,'Player Data'!$A1:$AE673,20,FALSE)*$Q639</f>
        <v>169.2</v>
      </c>
      <c r="AG639" s="57" cm="1">
        <f t="array" ref="AG639">VLOOKUP(B639,'Player Data'!$A1:$AE673,21,FALSE)*$Q639</f>
        <v>241.2</v>
      </c>
      <c r="AH639" s="59" cm="1">
        <f t="array" ref="AH639">VLOOKUP(B639,'Player Data'!$A1:$AE673,22,FALSE)</f>
        <v>0.41</v>
      </c>
      <c r="AI639" s="55"/>
      <c r="AJ639" s="57"/>
      <c r="AK639" s="57"/>
      <c r="AL639" s="57"/>
      <c r="AM639" s="57"/>
      <c r="AN639" s="57"/>
      <c r="AO639" s="57"/>
      <c r="AP639" s="57"/>
      <c r="AQ639" s="60"/>
      <c r="AR639" s="61"/>
      <c r="AS639" s="55"/>
    </row>
    <row r="640" spans="1:45" ht="21.25" customHeight="1" x14ac:dyDescent="0.15">
      <c r="A640" s="62">
        <f>RANK(K640,K$2:K$671)</f>
        <v>639</v>
      </c>
      <c r="B640" s="10" t="s">
        <v>639</v>
      </c>
      <c r="C640" s="47" t="s">
        <v>145</v>
      </c>
      <c r="D640" s="48" t="str" cm="1">
        <f t="array" ref="D640">VLOOKUP(B640,'Player Data'!A1:D673,4,FALSE)</f>
        <v>C</v>
      </c>
      <c r="E640" s="49" cm="1">
        <f t="array" ref="E640">VLOOKUP(B640,'C'!A1:C210,3,FALSE)</f>
        <v>197</v>
      </c>
      <c r="F640" s="72" t="str" cm="1">
        <f t="array" ref="F640">VLOOKUP(B640,'Player Data'!A1:B673,2,FALSE)</f>
        <v>DET</v>
      </c>
      <c r="G640" s="66" cm="1">
        <f t="array" ref="G640">VLOOKUP(B640,'Player Data'!A1:D673,3,FALSE)</f>
        <v>31</v>
      </c>
      <c r="H640" s="51" cm="1">
        <f t="array" ref="H640">IFERROR(VLOOKUP(B640,ADP!A1:F671,6,FALSE)/1000000,VLOOKUP(B640,ADP!A1:F671,6,FALSE))</f>
        <v>5.0999999999999996</v>
      </c>
      <c r="I640" s="52">
        <f>IF(Settings!$E$15="POINTS",((R640*Q640)*Settings!$B$12)+(S640*Settings!$B$2)+(T640*Settings!$B$3)+(U640*Settings!$B$4)+(V640*Settings!$B$5)+(X640*Settings!$B$9)+(AA640*Settings!$B$6)+(W640*Settings!$B$8)+(AB640*Settings!$B$7)+(AC640*Settings!$B$14)+(AD640*Settings!$B$15)+(AE640*Settings!$B$16)+(AF640*Settings!$B$17)+(AG640*Settings!$B$18)+(Y640*Settings!$B$10)+(Z640*Settings!$B$11),VLOOKUP(B640,'Standard Deviations'!A$1:C$672,3,FALSE))</f>
        <v>-4.0797476339348249</v>
      </c>
      <c r="J640" s="53" cm="1">
        <f t="array" ref="J640">IF(D640="G",I640/AJ640,I640/Q640)</f>
        <v>-4.9153585951021983E-2</v>
      </c>
      <c r="K640" s="52" cm="1">
        <f t="array" ref="K640">IF(Settings!$E$18="C/LW/RW",VLOOKUP(B640,'C'!A1:F210,6,FALSE),VLOOKUP(B640,F!A1:F407,6,FALSE))</f>
        <v>-10.439757191549889</v>
      </c>
      <c r="L640" s="54" cm="1">
        <f t="array" ref="L640">IFERROR(K640/H640,"N/A")</f>
        <v>-2.0470112140293901</v>
      </c>
      <c r="M640" s="84" t="s">
        <v>828</v>
      </c>
      <c r="N640" s="84" t="str" cm="1">
        <f t="array" ref="N640">IFERROR(M640-A640,"N/A")</f>
        <v>N/A</v>
      </c>
      <c r="O640" s="55"/>
      <c r="P640" s="56" cm="1">
        <f t="array" ref="P640">_xlfn.XLOOKUP($B640,ADP!A2:A671,ADP!G2:G671)</f>
        <v>0</v>
      </c>
      <c r="Q640" s="57" cm="1">
        <f t="array" ref="Q640">IF(Settings!$E$12="YES",VLOOKUP(B640,'Player Data'!A1:E673,5,FALSE),84)</f>
        <v>83</v>
      </c>
      <c r="R640" s="83" cm="1">
        <f t="array" ref="R640">VLOOKUP(B640,'Player Data'!$A1:$AE673,6,FALSE)</f>
        <v>14.4</v>
      </c>
      <c r="S640" s="57" cm="1">
        <f t="array" ref="S640">VLOOKUP(B640,'Player Data'!$A1:$AE673,7,FALSE)*$Q640*IFERROR((VLOOKUP(P640,Settings!$E$28:$F$33,2,FALSE)+1),1)</f>
        <v>9.9599999999999991</v>
      </c>
      <c r="T640" s="57" cm="1">
        <f t="array" ref="T640">VLOOKUP(B640,'Player Data'!$A1:$AE673,8,FALSE)*$Q640*IFERROR((VLOOKUP(P640,Settings!$E$28:$F$33,2,FALSE)+1),1)</f>
        <v>15.77</v>
      </c>
      <c r="U640" s="57" cm="1">
        <f t="array" ref="U640">SUM(S640:T640)</f>
        <v>25.729999999999997</v>
      </c>
      <c r="V640" s="57" cm="1">
        <f t="array" ref="V640">VLOOKUP(B640,'Player Data'!$A1:$AE673,10,FALSE)*$Q640*IFERROR(((VLOOKUP(P640,Settings!$E$28:$F$33,2,FALSE)/2)+1),1)</f>
        <v>83</v>
      </c>
      <c r="W640" s="57" cm="1">
        <f t="array" ref="W640">VLOOKUP(B640,'Player Data'!$A1:$AE673,11,FALSE)*$Q640*IFERROR((VLOOKUP(P640,Settings!$E$28:$F$33,2,FALSE)+1),1)</f>
        <v>1.6600000000000001</v>
      </c>
      <c r="X640" s="57" cm="1">
        <f t="array" ref="X640">VLOOKUP(B640,'Player Data'!$A1:$AE673,12,FALSE)*$Q640*IFERROR((VLOOKUP(P640,Settings!$E$28:$F$33,2,FALSE)+1),1)</f>
        <v>2.4899999999999998</v>
      </c>
      <c r="Y640" s="57" cm="1">
        <f t="array" ref="Y640">VLOOKUP(B640,'Player Data'!$A1:$AE673,13,FALSE)*$Q640</f>
        <v>0</v>
      </c>
      <c r="Z640" s="57" cm="1">
        <f t="array" ref="Z640">VLOOKUP(B640,'Player Data'!$A1:$AE673,14,FALSE)*$Q640</f>
        <v>0.83000000000000007</v>
      </c>
      <c r="AA640" s="57" cm="1">
        <f t="array" ref="AA640">VLOOKUP(B640,'Player Data'!$A1:$AE673,15,FALSE)*$Q640</f>
        <v>49.8</v>
      </c>
      <c r="AB640" s="57" cm="1">
        <f t="array" ref="AB640">VLOOKUP(B640,'Player Data'!$A1:$AE673,16,FALSE)*$Q640</f>
        <v>36.520000000000003</v>
      </c>
      <c r="AC640" s="57" cm="1">
        <f t="array" ref="AC640">VLOOKUP(B640,'Player Data'!$A1:$AE673,17,FALSE)*$Q640*IFERROR((VLOOKUP(P640,Settings!$E$28:$F$33,2,FALSE)+1),1)</f>
        <v>-3.3200000000000003</v>
      </c>
      <c r="AD640" s="57" cm="1">
        <f t="array" ref="AD640">VLOOKUP(B640,'Player Data'!$A1:$AE673,18,FALSE)*$Q640</f>
        <v>21.580000000000002</v>
      </c>
      <c r="AE640" s="57" cm="1">
        <f t="array" ref="AE640">VLOOKUP(B640,'Player Data'!$A1:$AE673,19,FALSE)*$Q640*IFERROR((VLOOKUP(P640,Settings!$E$28:$F$33,2,FALSE)+1),1)</f>
        <v>1.6600000000000001</v>
      </c>
      <c r="AF640" s="57" cm="1">
        <f t="array" ref="AF640">VLOOKUP(B640,'Player Data'!$A1:$AE673,20,FALSE)*$Q640</f>
        <v>441.56</v>
      </c>
      <c r="AG640" s="57" cm="1">
        <f t="array" ref="AG640">VLOOKUP(B640,'Player Data'!$A1:$AE673,21,FALSE)*$Q640</f>
        <v>491.36</v>
      </c>
      <c r="AH640" s="59" cm="1">
        <f t="array" ref="AH640">VLOOKUP(B640,'Player Data'!$A1:$AE673,22,FALSE)</f>
        <v>0.47</v>
      </c>
      <c r="AI640" s="55"/>
      <c r="AJ640" s="57"/>
      <c r="AK640" s="57"/>
      <c r="AL640" s="57"/>
      <c r="AM640" s="57"/>
      <c r="AN640" s="57"/>
      <c r="AO640" s="57"/>
      <c r="AP640" s="57"/>
      <c r="AQ640" s="60"/>
      <c r="AR640" s="61"/>
      <c r="AS640" s="55"/>
    </row>
    <row r="641" spans="1:45" ht="21.25" customHeight="1" x14ac:dyDescent="0.15">
      <c r="A641" s="62">
        <f>RANK(K641,K$2:K$671)</f>
        <v>642</v>
      </c>
      <c r="B641" s="10" t="s">
        <v>744</v>
      </c>
      <c r="C641" s="47" t="s">
        <v>145</v>
      </c>
      <c r="D641" s="48" t="str" cm="1">
        <f t="array" ref="D641">VLOOKUP(B641,'Player Data'!A1:D673,4,FALSE)</f>
        <v>C,LW</v>
      </c>
      <c r="E641" s="74" cm="1">
        <f t="array" ref="E641">VLOOKUP(B641,LW!A1:C210,3,FALSE)</f>
        <v>194</v>
      </c>
      <c r="F641" s="70" t="str" cm="1">
        <f t="array" ref="F641">VLOOKUP(B641,'Player Data'!A1:B673,2,FALSE)</f>
        <v>L.A</v>
      </c>
      <c r="G641" s="11" cm="1">
        <f t="array" ref="G641">VLOOKUP(B641,'Player Data'!A1:D673,3,FALSE)</f>
        <v>25</v>
      </c>
      <c r="H641" s="67" cm="1">
        <f t="array" ref="H641">IFERROR(VLOOKUP(B641,ADP!A1:F671,6,FALSE)/1000000,VLOOKUP(B641,ADP!A1:F671,6,FALSE))</f>
        <v>0.8</v>
      </c>
      <c r="I641" s="52">
        <f>IF(Settings!$E$15="POINTS",((R641*Q641)*Settings!$B$12)+(S641*Settings!$B$2)+(T641*Settings!$B$3)+(U641*Settings!$B$4)+(V641*Settings!$B$5)+(X641*Settings!$B$9)+(AA641*Settings!$B$6)+(W641*Settings!$B$8)+(AB641*Settings!$B$7)+(AC641*Settings!$B$14)+(AD641*Settings!$B$15)+(AE641*Settings!$B$16)+(AF641*Settings!$B$17)+(AG641*Settings!$B$18)+(Y641*Settings!$B$10)+(Z641*Settings!$B$11),VLOOKUP(B641,'Standard Deviations'!A$1:C$672,3,FALSE))</f>
        <v>-3.5793658419889987</v>
      </c>
      <c r="J641" s="53" cm="1">
        <f t="array" ref="J641">IF(D641="G",I641/AJ641,I641/Q641)</f>
        <v>-4.9713414472069423E-2</v>
      </c>
      <c r="K641" s="52" cm="1">
        <f t="array" ref="K641">IF(Settings!$E$18="C/LW/RW",VLOOKUP(B641,LW!A1:F210,6,FALSE),VLOOKUP(B641,F!A1:F407,6,FALSE))</f>
        <v>-10.473751486378809</v>
      </c>
      <c r="L641" s="54" cm="1">
        <f t="array" ref="L641">IFERROR(K641/H641,"N/A")</f>
        <v>-13.092189357973512</v>
      </c>
      <c r="M641" s="84" t="s">
        <v>828</v>
      </c>
      <c r="N641" s="84" t="str" cm="1">
        <f t="array" ref="N641">IFERROR(M641-A641,"N/A")</f>
        <v>N/A</v>
      </c>
      <c r="O641" s="55"/>
      <c r="P641" s="56" cm="1">
        <f t="array" ref="P641">_xlfn.XLOOKUP($B641,ADP!A2:A671,ADP!G2:G671)</f>
        <v>0</v>
      </c>
      <c r="Q641" s="57" cm="1">
        <f t="array" ref="Q641">IF(Settings!$E$12="YES",VLOOKUP(B641,'Player Data'!A1:E673,5,FALSE),84)</f>
        <v>72</v>
      </c>
      <c r="R641" s="55" cm="1">
        <f t="array" ref="R641">VLOOKUP(B641,'Player Data'!$A1:$AE673,6,FALSE)</f>
        <v>10.8</v>
      </c>
      <c r="S641" s="57" cm="1">
        <f t="array" ref="S641">VLOOKUP(B641,'Player Data'!$A1:$AE673,7,FALSE)*$Q641*IFERROR((VLOOKUP(P641,Settings!$E$28:$F$33,2,FALSE)+1),1)</f>
        <v>6.4799999999999995</v>
      </c>
      <c r="T641" s="57" cm="1">
        <f t="array" ref="T641">VLOOKUP(B641,'Player Data'!$A1:$AE673,8,FALSE)*$Q641*IFERROR((VLOOKUP(P641,Settings!$E$28:$F$33,2,FALSE)+1),1)</f>
        <v>13.68</v>
      </c>
      <c r="U641" s="57" cm="1">
        <f t="array" ref="U641">SUM(S641:T641)</f>
        <v>20.16</v>
      </c>
      <c r="V641" s="57" cm="1">
        <f t="array" ref="V641">VLOOKUP(B641,'Player Data'!$A1:$AE673,10,FALSE)*$Q641*IFERROR(((VLOOKUP(P641,Settings!$E$28:$F$33,2,FALSE)/2)+1),1)</f>
        <v>75.600000000000009</v>
      </c>
      <c r="W641" s="57" cm="1">
        <f t="array" ref="W641">VLOOKUP(B641,'Player Data'!$A1:$AE673,11,FALSE)*$Q641*IFERROR((VLOOKUP(P641,Settings!$E$28:$F$33,2,FALSE)+1),1)</f>
        <v>0</v>
      </c>
      <c r="X641" s="57" cm="1">
        <f t="array" ref="X641">VLOOKUP(B641,'Player Data'!$A1:$AE673,12,FALSE)*$Q641*IFERROR((VLOOKUP(P641,Settings!$E$28:$F$33,2,FALSE)+1),1)</f>
        <v>0.72</v>
      </c>
      <c r="Y641" s="57" cm="1">
        <f t="array" ref="Y641">VLOOKUP(B641,'Player Data'!$A1:$AE673,13,FALSE)*$Q641</f>
        <v>0</v>
      </c>
      <c r="Z641" s="57" cm="1">
        <f t="array" ref="Z641">VLOOKUP(B641,'Player Data'!$A1:$AE673,14,FALSE)*$Q641</f>
        <v>0</v>
      </c>
      <c r="AA641" s="57" cm="1">
        <f t="array" ref="AA641">VLOOKUP(B641,'Player Data'!$A1:$AE673,15,FALSE)*$Q641</f>
        <v>36</v>
      </c>
      <c r="AB641" s="57" cm="1">
        <f t="array" ref="AB641">VLOOKUP(B641,'Player Data'!$A1:$AE673,16,FALSE)*$Q641</f>
        <v>64.8</v>
      </c>
      <c r="AC641" s="57" cm="1">
        <f t="array" ref="AC641">VLOOKUP(B641,'Player Data'!$A1:$AE673,17,FALSE)*$Q641*IFERROR((VLOOKUP(P641,Settings!$E$28:$F$33,2,FALSE)+1),1)</f>
        <v>0</v>
      </c>
      <c r="AD641" s="57" cm="1">
        <f t="array" ref="AD641">VLOOKUP(B641,'Player Data'!$A1:$AE673,18,FALSE)*$Q641</f>
        <v>20.88</v>
      </c>
      <c r="AE641" s="57" cm="1">
        <f t="array" ref="AE641">VLOOKUP(B641,'Player Data'!$A1:$AE673,19,FALSE)*$Q641*IFERROR((VLOOKUP(P641,Settings!$E$28:$F$33,2,FALSE)+1),1)</f>
        <v>0.72</v>
      </c>
      <c r="AF641" s="57" cm="1">
        <f t="array" ref="AF641">VLOOKUP(B641,'Player Data'!$A1:$AE673,20,FALSE)*$Q641</f>
        <v>223.20000000000002</v>
      </c>
      <c r="AG641" s="57" cm="1">
        <f t="array" ref="AG641">VLOOKUP(B641,'Player Data'!$A1:$AE673,21,FALSE)*$Q641</f>
        <v>227.52</v>
      </c>
      <c r="AH641" s="59" cm="1">
        <f t="array" ref="AH641">VLOOKUP(B641,'Player Data'!$A1:$AE673,22,FALSE)</f>
        <v>0.5</v>
      </c>
      <c r="AI641" s="55"/>
      <c r="AJ641" s="57"/>
      <c r="AK641" s="57"/>
      <c r="AL641" s="57"/>
      <c r="AM641" s="57"/>
      <c r="AN641" s="57"/>
      <c r="AO641" s="57"/>
      <c r="AP641" s="57"/>
      <c r="AQ641" s="60"/>
      <c r="AR641" s="61"/>
      <c r="AS641" s="55"/>
    </row>
    <row r="642" spans="1:45" ht="21.25" customHeight="1" x14ac:dyDescent="0.15">
      <c r="A642" s="62">
        <f>RANK(K642,K$2:K$671)</f>
        <v>641</v>
      </c>
      <c r="B642" s="10" t="s">
        <v>778</v>
      </c>
      <c r="C642" s="47" t="s">
        <v>145</v>
      </c>
      <c r="D642" s="48" t="str" cm="1">
        <f t="array" ref="D642">VLOOKUP(B642,'Player Data'!A1:D673,4,FALSE)</f>
        <v>C</v>
      </c>
      <c r="E642" s="49" cm="1">
        <f t="array" ref="E642">VLOOKUP(B642,'C'!A1:C210,3,FALSE)</f>
        <v>198</v>
      </c>
      <c r="F642" s="50" t="str" cm="1">
        <f t="array" ref="F642">VLOOKUP(B642,'Player Data'!A1:B673,2,FALSE)</f>
        <v>ANA</v>
      </c>
      <c r="G642" s="11" cm="1">
        <f t="array" ref="G642">VLOOKUP(B642,'Player Data'!A1:D673,3,FALSE)</f>
        <v>25</v>
      </c>
      <c r="H642" s="67" cm="1">
        <f t="array" ref="H642">IFERROR(VLOOKUP(B642,ADP!A1:F671,6,FALSE)/1000000,VLOOKUP(B642,ADP!A1:F671,6,FALSE))</f>
        <v>0.8125</v>
      </c>
      <c r="I642" s="52">
        <f>IF(Settings!$E$15="POINTS",((R642*Q642)*Settings!$B$12)+(S642*Settings!$B$2)+(T642*Settings!$B$3)+(U642*Settings!$B$4)+(V642*Settings!$B$5)+(X642*Settings!$B$9)+(AA642*Settings!$B$6)+(W642*Settings!$B$8)+(AB642*Settings!$B$7)+(AC642*Settings!$B$14)+(AD642*Settings!$B$15)+(AE642*Settings!$B$16)+(AF642*Settings!$B$17)+(AG642*Settings!$B$18)+(Y642*Settings!$B$10)+(Z642*Settings!$B$11),VLOOKUP(B642,'Standard Deviations'!A$1:C$672,3,FALSE))</f>
        <v>-4.1055687671862326</v>
      </c>
      <c r="J642" s="53" cm="1">
        <f t="array" ref="J642">IF(D642="G",I642/AJ642,I642/Q642)</f>
        <v>-6.7304406019446442E-2</v>
      </c>
      <c r="K642" s="52" cm="1">
        <f t="array" ref="K642">IF(Settings!$E$18="C/LW/RW",VLOOKUP(B642,'C'!A1:F210,6,FALSE),VLOOKUP(B642,F!A1:F407,6,FALSE))</f>
        <v>-10.465578324801296</v>
      </c>
      <c r="L642" s="54" cm="1">
        <f t="array" ref="L642">IFERROR(K642/H642,"N/A")</f>
        <v>-12.880711784370826</v>
      </c>
      <c r="M642" s="84" t="s">
        <v>828</v>
      </c>
      <c r="N642" s="84" t="str" cm="1">
        <f t="array" ref="N642">IFERROR(M642-A642,"N/A")</f>
        <v>N/A</v>
      </c>
      <c r="O642" s="80"/>
      <c r="P642" s="56" cm="1">
        <f t="array" ref="P642">_xlfn.XLOOKUP($B642,ADP!A2:A671,ADP!G2:G671)</f>
        <v>0</v>
      </c>
      <c r="Q642" s="57" cm="1">
        <f t="array" ref="Q642">IF(Settings!$E$12="YES",VLOOKUP(B642,'Player Data'!A1:E673,5,FALSE),84)</f>
        <v>61</v>
      </c>
      <c r="R642" s="55" cm="1">
        <f t="array" ref="R642">VLOOKUP(B642,'Player Data'!$A1:$AE673,6,FALSE)</f>
        <v>12.2</v>
      </c>
      <c r="S642" s="57" cm="1">
        <f t="array" ref="S642">VLOOKUP(B642,'Player Data'!$A1:$AE673,7,FALSE)*$Q642*IFERROR((VLOOKUP(P642,Settings!$E$28:$F$33,2,FALSE)+1),1)</f>
        <v>4.88</v>
      </c>
      <c r="T642" s="57" cm="1">
        <f t="array" ref="T642">VLOOKUP(B642,'Player Data'!$A1:$AE673,8,FALSE)*$Q642*IFERROR((VLOOKUP(P642,Settings!$E$28:$F$33,2,FALSE)+1),1)</f>
        <v>6.1000000000000005</v>
      </c>
      <c r="U642" s="57" cm="1">
        <f t="array" ref="U642">SUM(S642:T642)</f>
        <v>10.98</v>
      </c>
      <c r="V642" s="57" cm="1">
        <f t="array" ref="V642">VLOOKUP(B642,'Player Data'!$A1:$AE673,10,FALSE)*$Q642*IFERROR(((VLOOKUP(P642,Settings!$E$28:$F$33,2,FALSE)/2)+1),1)</f>
        <v>55.510000000000005</v>
      </c>
      <c r="W642" s="57" cm="1">
        <f t="array" ref="W642">VLOOKUP(B642,'Player Data'!$A1:$AE673,11,FALSE)*$Q642*IFERROR((VLOOKUP(P642,Settings!$E$28:$F$33,2,FALSE)+1),1)</f>
        <v>0</v>
      </c>
      <c r="X642" s="57" cm="1">
        <f t="array" ref="X642">VLOOKUP(B642,'Player Data'!$A1:$AE673,12,FALSE)*$Q642*IFERROR((VLOOKUP(P642,Settings!$E$28:$F$33,2,FALSE)+1),1)</f>
        <v>0</v>
      </c>
      <c r="Y642" s="57" cm="1">
        <f t="array" ref="Y642">VLOOKUP(B642,'Player Data'!$A1:$AE673,13,FALSE)*$Q642</f>
        <v>0</v>
      </c>
      <c r="Z642" s="57" cm="1">
        <f t="array" ref="Z642">VLOOKUP(B642,'Player Data'!$A1:$AE673,14,FALSE)*$Q642</f>
        <v>0.61</v>
      </c>
      <c r="AA642" s="57" cm="1">
        <f t="array" ref="AA642">VLOOKUP(B642,'Player Data'!$A1:$AE673,15,FALSE)*$Q642</f>
        <v>37.21</v>
      </c>
      <c r="AB642" s="57" cm="1">
        <f t="array" ref="AB642">VLOOKUP(B642,'Player Data'!$A1:$AE673,16,FALSE)*$Q642</f>
        <v>125.66</v>
      </c>
      <c r="AC642" s="57" cm="1">
        <f t="array" ref="AC642">VLOOKUP(B642,'Player Data'!$A1:$AE673,17,FALSE)*$Q642*IFERROR((VLOOKUP(P642,Settings!$E$28:$F$33,2,FALSE)+1),1)</f>
        <v>-3.0500000000000003</v>
      </c>
      <c r="AD642" s="57" cm="1">
        <f t="array" ref="AD642">VLOOKUP(B642,'Player Data'!$A1:$AE673,18,FALSE)*$Q642</f>
        <v>19.52</v>
      </c>
      <c r="AE642" s="57" cm="1">
        <f t="array" ref="AE642">VLOOKUP(B642,'Player Data'!$A1:$AE673,19,FALSE)*$Q642*IFERROR((VLOOKUP(P642,Settings!$E$28:$F$33,2,FALSE)+1),1)</f>
        <v>0.61</v>
      </c>
      <c r="AF642" s="57" cm="1">
        <f t="array" ref="AF642">VLOOKUP(B642,'Player Data'!$A1:$AE673,20,FALSE)*$Q642</f>
        <v>350.75</v>
      </c>
      <c r="AG642" s="57" cm="1">
        <f t="array" ref="AG642">VLOOKUP(B642,'Player Data'!$A1:$AE673,21,FALSE)*$Q642</f>
        <v>258.64</v>
      </c>
      <c r="AH642" s="59" cm="1">
        <f t="array" ref="AH642">VLOOKUP(B642,'Player Data'!$A1:$AE673,22,FALSE)</f>
        <v>0.57999999999999996</v>
      </c>
      <c r="AI642" s="55"/>
      <c r="AJ642" s="57"/>
      <c r="AK642" s="57"/>
      <c r="AL642" s="57"/>
      <c r="AM642" s="57"/>
      <c r="AN642" s="57"/>
      <c r="AO642" s="57"/>
      <c r="AP642" s="57"/>
      <c r="AQ642" s="60"/>
      <c r="AR642" s="61"/>
      <c r="AS642" s="55"/>
    </row>
    <row r="643" spans="1:45" ht="21.25" customHeight="1" x14ac:dyDescent="0.15">
      <c r="A643" s="62">
        <f>RANK(K643,K$2:K$671)</f>
        <v>640</v>
      </c>
      <c r="B643" s="10" t="s">
        <v>597</v>
      </c>
      <c r="C643" s="47" t="s">
        <v>145</v>
      </c>
      <c r="D643" s="48" t="str" cm="1">
        <f t="array" ref="D643">VLOOKUP(B643,'Player Data'!A1:D673,4,FALSE)</f>
        <v>RW</v>
      </c>
      <c r="E643" s="64" cm="1">
        <f t="array" ref="E643">VLOOKUP(B643,RW!A1:F210,3,FALSE)</f>
        <v>191</v>
      </c>
      <c r="F643" s="69" t="str" cm="1">
        <f t="array" ref="F643">VLOOKUP(B643,'Player Data'!A1:B673,2,FALSE)</f>
        <v>N.J</v>
      </c>
      <c r="G643" s="66" cm="1">
        <f t="array" ref="G643">VLOOKUP(B643,'Player Data'!A1:D673,3,FALSE)</f>
        <v>32</v>
      </c>
      <c r="H643" s="51" cm="1">
        <f t="array" ref="H643">IFERROR(VLOOKUP(B643,ADP!A1:F671,6,FALSE)/1000000,VLOOKUP(B643,ADP!A1:F671,6,FALSE))</f>
        <v>3</v>
      </c>
      <c r="I643" s="52">
        <f>IF(Settings!$E$15="POINTS",((R643*Q643)*Settings!$B$12)+(S643*Settings!$B$2)+(T643*Settings!$B$3)+(U643*Settings!$B$4)+(V643*Settings!$B$5)+(X643*Settings!$B$9)+(AA643*Settings!$B$6)+(W643*Settings!$B$8)+(AB643*Settings!$B$7)+(AC643*Settings!$B$14)+(AD643*Settings!$B$15)+(AE643*Settings!$B$16)+(AF643*Settings!$B$17)+(AG643*Settings!$B$18)+(Y643*Settings!$B$10)+(Z643*Settings!$B$11),VLOOKUP(B643,'Standard Deviations'!A$1:C$672,3,FALSE))</f>
        <v>-3.5555764349588568</v>
      </c>
      <c r="J643" s="53" cm="1">
        <f t="array" ref="J643">IF(D643="G",I643/AJ643,I643/Q643)</f>
        <v>-4.336068823120557E-2</v>
      </c>
      <c r="K643" s="52" cm="1">
        <f t="array" ref="K643">IF(Settings!$E$18="C/LW/RW",VLOOKUP(B643,RW!A1:F210,6,FALSE),VLOOKUP(B643,F!A1:F407,6,FALSE))</f>
        <v>-10.442811036767935</v>
      </c>
      <c r="L643" s="54" cm="1">
        <f t="array" ref="L643">IFERROR(K643/H643,"N/A")</f>
        <v>-3.4809370122559784</v>
      </c>
      <c r="M643" s="84" t="s">
        <v>828</v>
      </c>
      <c r="N643" s="84" t="str" cm="1">
        <f t="array" ref="N643">IFERROR(M643-A643,"N/A")</f>
        <v>N/A</v>
      </c>
      <c r="O643" s="82"/>
      <c r="P643" s="56" cm="1">
        <f t="array" ref="P643">_xlfn.XLOOKUP($B643,ADP!A2:A671,ADP!G2:G671)</f>
        <v>0</v>
      </c>
      <c r="Q643" s="57" cm="1">
        <f t="array" ref="Q643">IF(Settings!$E$12="YES",VLOOKUP(B643,'Player Data'!A1:E673,5,FALSE),84)</f>
        <v>82</v>
      </c>
      <c r="R643" s="83" cm="1">
        <f t="array" ref="R643">VLOOKUP(B643,'Player Data'!$A1:$AE673,6,FALSE)</f>
        <v>15.5</v>
      </c>
      <c r="S643" s="57" cm="1">
        <f t="array" ref="S643">VLOOKUP(B643,'Player Data'!$A1:$AE673,7,FALSE)*$Q643*IFERROR((VLOOKUP(P643,Settings!$E$28:$F$33,2,FALSE)+1),1)</f>
        <v>9.84</v>
      </c>
      <c r="T643" s="57" cm="1">
        <f t="array" ref="T643">VLOOKUP(B643,'Player Data'!$A1:$AE673,8,FALSE)*$Q643*IFERROR((VLOOKUP(P643,Settings!$E$28:$F$33,2,FALSE)+1),1)</f>
        <v>14.76</v>
      </c>
      <c r="U643" s="57" cm="1">
        <f t="array" ref="U643">SUM(S643:T643)</f>
        <v>24.6</v>
      </c>
      <c r="V643" s="57" cm="1">
        <f t="array" ref="V643">VLOOKUP(B643,'Player Data'!$A1:$AE673,10,FALSE)*$Q643*IFERROR(((VLOOKUP(P643,Settings!$E$28:$F$33,2,FALSE)/2)+1),1)</f>
        <v>95.11999999999999</v>
      </c>
      <c r="W643" s="57" cm="1">
        <f t="array" ref="W643">VLOOKUP(B643,'Player Data'!$A1:$AE673,11,FALSE)*$Q643*IFERROR((VLOOKUP(P643,Settings!$E$28:$F$33,2,FALSE)+1),1)</f>
        <v>0.82000000000000006</v>
      </c>
      <c r="X643" s="57" cm="1">
        <f t="array" ref="X643">VLOOKUP(B643,'Player Data'!$A1:$AE673,12,FALSE)*$Q643*IFERROR((VLOOKUP(P643,Settings!$E$28:$F$33,2,FALSE)+1),1)</f>
        <v>1.6400000000000001</v>
      </c>
      <c r="Y643" s="57" cm="1">
        <f t="array" ref="Y643">VLOOKUP(B643,'Player Data'!$A1:$AE673,13,FALSE)*$Q643</f>
        <v>1.6400000000000001</v>
      </c>
      <c r="Z643" s="57" cm="1">
        <f t="array" ref="Z643">VLOOKUP(B643,'Player Data'!$A1:$AE673,14,FALSE)*$Q643</f>
        <v>1.6400000000000001</v>
      </c>
      <c r="AA643" s="57" cm="1">
        <f t="array" ref="AA643">VLOOKUP(B643,'Player Data'!$A1:$AE673,15,FALSE)*$Q643</f>
        <v>35.26</v>
      </c>
      <c r="AB643" s="57" cm="1">
        <f t="array" ref="AB643">VLOOKUP(B643,'Player Data'!$A1:$AE673,16,FALSE)*$Q643</f>
        <v>33.619999999999997</v>
      </c>
      <c r="AC643" s="57" cm="1">
        <f t="array" ref="AC643">VLOOKUP(B643,'Player Data'!$A1:$AE673,17,FALSE)*$Q643*IFERROR((VLOOKUP(P643,Settings!$E$28:$F$33,2,FALSE)+1),1)</f>
        <v>-0.82000000000000006</v>
      </c>
      <c r="AD643" s="57" cm="1">
        <f t="array" ref="AD643">VLOOKUP(B643,'Player Data'!$A1:$AE673,18,FALSE)*$Q643</f>
        <v>16.400000000000002</v>
      </c>
      <c r="AE643" s="57" cm="1">
        <f t="array" ref="AE643">VLOOKUP(B643,'Player Data'!$A1:$AE673,19,FALSE)*$Q643*IFERROR((VLOOKUP(P643,Settings!$E$28:$F$33,2,FALSE)+1),1)</f>
        <v>1.6400000000000001</v>
      </c>
      <c r="AF643" s="57" cm="1">
        <f t="array" ref="AF643">VLOOKUP(B643,'Player Data'!$A1:$AE673,20,FALSE)*$Q643</f>
        <v>10.66</v>
      </c>
      <c r="AG643" s="57" cm="1">
        <f t="array" ref="AG643">VLOOKUP(B643,'Player Data'!$A1:$AE673,21,FALSE)*$Q643</f>
        <v>20.5</v>
      </c>
      <c r="AH643" s="59" cm="1">
        <f t="array" ref="AH643">VLOOKUP(B643,'Player Data'!$A1:$AE673,22,FALSE)</f>
        <v>0.35</v>
      </c>
      <c r="AI643" s="55"/>
      <c r="AJ643" s="57"/>
      <c r="AK643" s="57"/>
      <c r="AL643" s="57"/>
      <c r="AM643" s="57"/>
      <c r="AN643" s="57"/>
      <c r="AO643" s="57"/>
      <c r="AP643" s="57"/>
      <c r="AQ643" s="60"/>
      <c r="AR643" s="61"/>
      <c r="AS643" s="55"/>
    </row>
    <row r="644" spans="1:45" ht="21.25" customHeight="1" x14ac:dyDescent="0.15">
      <c r="A644" s="62">
        <f>RANK(K644,K$2:K$671)</f>
        <v>643</v>
      </c>
      <c r="B644" s="10" t="s">
        <v>739</v>
      </c>
      <c r="C644" s="47" t="s">
        <v>145</v>
      </c>
      <c r="D644" s="48" t="str" cm="1">
        <f t="array" ref="D644">VLOOKUP(B644,'Player Data'!A1:D673,4,FALSE)</f>
        <v>C</v>
      </c>
      <c r="E644" s="49" cm="1">
        <f t="array" ref="E644">VLOOKUP(B644,'C'!A1:C210,3,FALSE)</f>
        <v>200</v>
      </c>
      <c r="F644" s="72" t="str" cm="1">
        <f t="array" ref="F644">VLOOKUP(B644,'Player Data'!A1:B673,2,FALSE)</f>
        <v>PIT</v>
      </c>
      <c r="G644" s="71" cm="1">
        <f t="array" ref="G644">VLOOKUP(B644,'Player Data'!A1:D673,3,FALSE)</f>
        <v>24</v>
      </c>
      <c r="H644" s="51" cm="1">
        <f t="array" ref="H644">IFERROR(VLOOKUP(B644,ADP!A1:F671,6,FALSE)/1000000,VLOOKUP(B644,ADP!A1:F671,6,FALSE))</f>
        <v>1.3</v>
      </c>
      <c r="I644" s="52">
        <f>IF(Settings!$E$15="POINTS",((R644*Q644)*Settings!$B$12)+(S644*Settings!$B$2)+(T644*Settings!$B$3)+(U644*Settings!$B$4)+(V644*Settings!$B$5)+(X644*Settings!$B$9)+(AA644*Settings!$B$6)+(W644*Settings!$B$8)+(AB644*Settings!$B$7)+(AC644*Settings!$B$14)+(AD644*Settings!$B$15)+(AE644*Settings!$B$16)+(AF644*Settings!$B$17)+(AG644*Settings!$B$18)+(Y644*Settings!$B$10)+(Z644*Settings!$B$11),VLOOKUP(B644,'Standard Deviations'!A$1:C$672,3,FALSE))</f>
        <v>-4.1669641457534263</v>
      </c>
      <c r="J644" s="53" cm="1">
        <f t="array" ref="J644">IF(D644="G",I644/AJ644,I644/Q644)</f>
        <v>-5.7874502024353146E-2</v>
      </c>
      <c r="K644" s="52" cm="1">
        <f t="array" ref="K644">IF(Settings!$E$18="C/LW/RW",VLOOKUP(B644,'C'!A1:F210,6,FALSE),VLOOKUP(B644,F!A1:F407,6,FALSE))</f>
        <v>-10.52697370336849</v>
      </c>
      <c r="L644" s="54" cm="1">
        <f t="array" ref="L644">IFERROR(K644/H644,"N/A")</f>
        <v>-8.0976720795142239</v>
      </c>
      <c r="M644" s="84" t="s">
        <v>828</v>
      </c>
      <c r="N644" s="84" t="str" cm="1">
        <f t="array" ref="N644">IFERROR(M644-A644,"N/A")</f>
        <v>N/A</v>
      </c>
      <c r="O644" s="80"/>
      <c r="P644" s="56" cm="1">
        <f t="array" ref="P644">_xlfn.XLOOKUP($B644,ADP!A2:A671,ADP!G2:G671)</f>
        <v>0</v>
      </c>
      <c r="Q644" s="57" cm="1">
        <f t="array" ref="Q644">IF(Settings!$E$12="YES",VLOOKUP(B644,'Player Data'!A1:E673,5,FALSE),84)</f>
        <v>72</v>
      </c>
      <c r="R644" s="81" cm="1">
        <f t="array" ref="R644">VLOOKUP(B644,'Player Data'!$A1:$AE673,6,FALSE)</f>
        <v>10.199999999999999</v>
      </c>
      <c r="S644" s="57" cm="1">
        <f t="array" ref="S644">VLOOKUP(B644,'Player Data'!$A1:$AE673,7,FALSE)*$Q644*IFERROR((VLOOKUP(P644,Settings!$E$28:$F$33,2,FALSE)+1),1)</f>
        <v>5.0400000000000009</v>
      </c>
      <c r="T644" s="57" cm="1">
        <f t="array" ref="T644">VLOOKUP(B644,'Player Data'!$A1:$AE673,8,FALSE)*$Q644*IFERROR((VLOOKUP(P644,Settings!$E$28:$F$33,2,FALSE)+1),1)</f>
        <v>14.4</v>
      </c>
      <c r="U644" s="57" cm="1">
        <f t="array" ref="U644">SUM(S644:T644)</f>
        <v>19.440000000000001</v>
      </c>
      <c r="V644" s="57" cm="1">
        <f t="array" ref="V644">VLOOKUP(B644,'Player Data'!$A1:$AE673,10,FALSE)*$Q644*IFERROR(((VLOOKUP(P644,Settings!$E$28:$F$33,2,FALSE)/2)+1),1)</f>
        <v>61.92</v>
      </c>
      <c r="W644" s="57" cm="1">
        <f t="array" ref="W644">VLOOKUP(B644,'Player Data'!$A1:$AE673,11,FALSE)*$Q644*IFERROR((VLOOKUP(P644,Settings!$E$28:$F$33,2,FALSE)+1),1)</f>
        <v>0</v>
      </c>
      <c r="X644" s="57" cm="1">
        <f t="array" ref="X644">VLOOKUP(B644,'Player Data'!$A1:$AE673,12,FALSE)*$Q644*IFERROR((VLOOKUP(P644,Settings!$E$28:$F$33,2,FALSE)+1),1)</f>
        <v>0</v>
      </c>
      <c r="Y644" s="57" cm="1">
        <f t="array" ref="Y644">VLOOKUP(B644,'Player Data'!$A1:$AE673,13,FALSE)*$Q644</f>
        <v>0</v>
      </c>
      <c r="Z644" s="57" cm="1">
        <f t="array" ref="Z644">VLOOKUP(B644,'Player Data'!$A1:$AE673,14,FALSE)*$Q644</f>
        <v>0</v>
      </c>
      <c r="AA644" s="57" cm="1">
        <f t="array" ref="AA644">VLOOKUP(B644,'Player Data'!$A1:$AE673,15,FALSE)*$Q644</f>
        <v>28.080000000000002</v>
      </c>
      <c r="AB644" s="57" cm="1">
        <f t="array" ref="AB644">VLOOKUP(B644,'Player Data'!$A1:$AE673,16,FALSE)*$Q644</f>
        <v>63.36</v>
      </c>
      <c r="AC644" s="57" cm="1">
        <f t="array" ref="AC644">VLOOKUP(B644,'Player Data'!$A1:$AE673,17,FALSE)*$Q644*IFERROR((VLOOKUP(P644,Settings!$E$28:$F$33,2,FALSE)+1),1)</f>
        <v>-0.72</v>
      </c>
      <c r="AD644" s="57" cm="1">
        <f t="array" ref="AD644">VLOOKUP(B644,'Player Data'!$A1:$AE673,18,FALSE)*$Q644</f>
        <v>17.28</v>
      </c>
      <c r="AE644" s="57" cm="1">
        <f t="array" ref="AE644">VLOOKUP(B644,'Player Data'!$A1:$AE673,19,FALSE)*$Q644*IFERROR((VLOOKUP(P644,Settings!$E$28:$F$33,2,FALSE)+1),1)</f>
        <v>0.72</v>
      </c>
      <c r="AF644" s="57" cm="1">
        <f t="array" ref="AF644">VLOOKUP(B644,'Player Data'!$A1:$AE673,20,FALSE)*$Q644</f>
        <v>131.04</v>
      </c>
      <c r="AG644" s="57" cm="1">
        <f t="array" ref="AG644">VLOOKUP(B644,'Player Data'!$A1:$AE673,21,FALSE)*$Q644</f>
        <v>203.76</v>
      </c>
      <c r="AH644" s="59" cm="1">
        <f t="array" ref="AH644">VLOOKUP(B644,'Player Data'!$A1:$AE673,22,FALSE)</f>
        <v>0.39</v>
      </c>
      <c r="AI644" s="55"/>
      <c r="AJ644" s="57"/>
      <c r="AK644" s="57"/>
      <c r="AL644" s="57"/>
      <c r="AM644" s="57"/>
      <c r="AN644" s="57"/>
      <c r="AO644" s="57"/>
      <c r="AP644" s="57"/>
      <c r="AQ644" s="60"/>
      <c r="AR644" s="61"/>
      <c r="AS644" s="55"/>
    </row>
    <row r="645" spans="1:45" ht="21.25" customHeight="1" x14ac:dyDescent="0.15">
      <c r="A645" s="62">
        <f>RANK(K645,K$2:K$671)</f>
        <v>646</v>
      </c>
      <c r="B645" s="10" t="s">
        <v>776</v>
      </c>
      <c r="C645" s="47" t="s">
        <v>145</v>
      </c>
      <c r="D645" s="48" t="str" cm="1">
        <f t="array" ref="D645">VLOOKUP(B645,'Player Data'!A1:D673,4,FALSE)</f>
        <v>C,LW</v>
      </c>
      <c r="E645" s="74" cm="1">
        <f t="array" ref="E645">VLOOKUP(B645,LW!A1:C210,3,FALSE)</f>
        <v>195</v>
      </c>
      <c r="F645" s="63" t="str" cm="1">
        <f t="array" ref="F645">VLOOKUP(B645,'Player Data'!A1:B673,2,FALSE)</f>
        <v>DAL</v>
      </c>
      <c r="G645" s="11" cm="1">
        <f t="array" ref="G645">VLOOKUP(B645,'Player Data'!A1:D673,3,FALSE)</f>
        <v>26</v>
      </c>
      <c r="H645" s="67" cm="1">
        <f t="array" ref="H645">IFERROR(VLOOKUP(B645,ADP!A1:F671,6,FALSE)/1000000,VLOOKUP(B645,ADP!A1:F671,6,FALSE))</f>
        <v>0.82499999999999996</v>
      </c>
      <c r="I645" s="52">
        <f>IF(Settings!$E$15="POINTS",((R645*Q645)*Settings!$B$12)+(S645*Settings!$B$2)+(T645*Settings!$B$3)+(U645*Settings!$B$4)+(V645*Settings!$B$5)+(X645*Settings!$B$9)+(AA645*Settings!$B$6)+(W645*Settings!$B$8)+(AB645*Settings!$B$7)+(AC645*Settings!$B$14)+(AD645*Settings!$B$15)+(AE645*Settings!$B$16)+(AF645*Settings!$B$17)+(AG645*Settings!$B$18)+(Y645*Settings!$B$10)+(Z645*Settings!$B$11),VLOOKUP(B645,'Standard Deviations'!A$1:C$672,3,FALSE))</f>
        <v>-3.6829667851601449</v>
      </c>
      <c r="J645" s="53" cm="1">
        <f t="array" ref="J645">IF(D645="G",I645/AJ645,I645/Q645)</f>
        <v>-4.6037084814501812E-2</v>
      </c>
      <c r="K645" s="52" cm="1">
        <f t="array" ref="K645">IF(Settings!$E$18="C/LW/RW",VLOOKUP(B645,LW!A1:F210,6,FALSE),VLOOKUP(B645,F!A1:F407,6,FALSE))</f>
        <v>-10.577352429549954</v>
      </c>
      <c r="L645" s="54" cm="1">
        <f t="array" ref="L645">IFERROR(K645/H645,"N/A")</f>
        <v>-12.821033247939338</v>
      </c>
      <c r="M645" s="84" t="s">
        <v>828</v>
      </c>
      <c r="N645" s="84" t="str" cm="1">
        <f t="array" ref="N645">IFERROR(M645-A645,"N/A")</f>
        <v>N/A</v>
      </c>
      <c r="O645" s="82"/>
      <c r="P645" s="56" cm="1">
        <f t="array" ref="P645">_xlfn.XLOOKUP($B645,ADP!A2:A671,ADP!G2:G671)</f>
        <v>0</v>
      </c>
      <c r="Q645" s="57" cm="1">
        <f t="array" ref="Q645">IF(Settings!$E$12="YES",VLOOKUP(B645,'Player Data'!A1:E673,5,FALSE),84)</f>
        <v>80</v>
      </c>
      <c r="R645" s="55" cm="1">
        <f t="array" ref="R645">VLOOKUP(B645,'Player Data'!$A1:$AE673,6,FALSE)</f>
        <v>12</v>
      </c>
      <c r="S645" s="57" cm="1">
        <f t="array" ref="S645">VLOOKUP(B645,'Player Data'!$A1:$AE673,7,FALSE)*$Q645*IFERROR((VLOOKUP(P645,Settings!$E$28:$F$33,2,FALSE)+1),1)</f>
        <v>5.6000000000000005</v>
      </c>
      <c r="T645" s="57" cm="1">
        <f t="array" ref="T645">VLOOKUP(B645,'Player Data'!$A1:$AE673,8,FALSE)*$Q645*IFERROR((VLOOKUP(P645,Settings!$E$28:$F$33,2,FALSE)+1),1)</f>
        <v>10.4</v>
      </c>
      <c r="U645" s="57" cm="1">
        <f t="array" ref="U645">SUM(S645:T645)</f>
        <v>16</v>
      </c>
      <c r="V645" s="57" cm="1">
        <f t="array" ref="V645">VLOOKUP(B645,'Player Data'!$A1:$AE673,10,FALSE)*$Q645*IFERROR(((VLOOKUP(P645,Settings!$E$28:$F$33,2,FALSE)/2)+1),1)</f>
        <v>52.800000000000004</v>
      </c>
      <c r="W645" s="57" cm="1">
        <f t="array" ref="W645">VLOOKUP(B645,'Player Data'!$A1:$AE673,11,FALSE)*$Q645*IFERROR((VLOOKUP(P645,Settings!$E$28:$F$33,2,FALSE)+1),1)</f>
        <v>0</v>
      </c>
      <c r="X645" s="57" cm="1">
        <f t="array" ref="X645">VLOOKUP(B645,'Player Data'!$A1:$AE673,12,FALSE)*$Q645*IFERROR((VLOOKUP(P645,Settings!$E$28:$F$33,2,FALSE)+1),1)</f>
        <v>0</v>
      </c>
      <c r="Y645" s="57" cm="1">
        <f t="array" ref="Y645">VLOOKUP(B645,'Player Data'!$A1:$AE673,13,FALSE)*$Q645</f>
        <v>0.8</v>
      </c>
      <c r="Z645" s="57" cm="1">
        <f t="array" ref="Z645">VLOOKUP(B645,'Player Data'!$A1:$AE673,14,FALSE)*$Q645</f>
        <v>0.8</v>
      </c>
      <c r="AA645" s="57" cm="1">
        <f t="array" ref="AA645">VLOOKUP(B645,'Player Data'!$A1:$AE673,15,FALSE)*$Q645</f>
        <v>40</v>
      </c>
      <c r="AB645" s="57" cm="1">
        <f t="array" ref="AB645">VLOOKUP(B645,'Player Data'!$A1:$AE673,16,FALSE)*$Q645</f>
        <v>47.199999999999996</v>
      </c>
      <c r="AC645" s="57" cm="1">
        <f t="array" ref="AC645">VLOOKUP(B645,'Player Data'!$A1:$AE673,17,FALSE)*$Q645*IFERROR((VLOOKUP(P645,Settings!$E$28:$F$33,2,FALSE)+1),1)</f>
        <v>4.8</v>
      </c>
      <c r="AD645" s="57" cm="1">
        <f t="array" ref="AD645">VLOOKUP(B645,'Player Data'!$A1:$AE673,18,FALSE)*$Q645</f>
        <v>15.2</v>
      </c>
      <c r="AE645" s="57" cm="1">
        <f t="array" ref="AE645">VLOOKUP(B645,'Player Data'!$A1:$AE673,19,FALSE)*$Q645*IFERROR((VLOOKUP(P645,Settings!$E$28:$F$33,2,FALSE)+1),1)</f>
        <v>0.8</v>
      </c>
      <c r="AF645" s="57" cm="1">
        <f t="array" ref="AF645">VLOOKUP(B645,'Player Data'!$A1:$AE673,20,FALSE)*$Q645</f>
        <v>44.800000000000004</v>
      </c>
      <c r="AG645" s="57" cm="1">
        <f t="array" ref="AG645">VLOOKUP(B645,'Player Data'!$A1:$AE673,21,FALSE)*$Q645</f>
        <v>50.4</v>
      </c>
      <c r="AH645" s="59" cm="1">
        <f t="array" ref="AH645">VLOOKUP(B645,'Player Data'!$A1:$AE673,22,FALSE)</f>
        <v>0.47</v>
      </c>
      <c r="AI645" s="55"/>
      <c r="AJ645" s="57"/>
      <c r="AK645" s="57"/>
      <c r="AL645" s="57"/>
      <c r="AM645" s="57"/>
      <c r="AN645" s="57"/>
      <c r="AO645" s="57"/>
      <c r="AP645" s="57"/>
      <c r="AQ645" s="60"/>
      <c r="AR645" s="61"/>
      <c r="AS645" s="55"/>
    </row>
    <row r="646" spans="1:45" ht="21.25" customHeight="1" x14ac:dyDescent="0.15">
      <c r="A646" s="62">
        <f>RANK(K646,K$2:K$671)</f>
        <v>645</v>
      </c>
      <c r="B646" s="10" t="s">
        <v>658</v>
      </c>
      <c r="C646" s="47" t="s">
        <v>145</v>
      </c>
      <c r="D646" s="48" t="str" cm="1">
        <f t="array" ref="D646">VLOOKUP(B646,'Player Data'!A1:D673,4,FALSE)</f>
        <v>C</v>
      </c>
      <c r="E646" s="49" cm="1">
        <f t="array" ref="E646">VLOOKUP(B646,'C'!A1:C210,3,FALSE)</f>
        <v>201</v>
      </c>
      <c r="F646" s="63" t="str" cm="1">
        <f t="array" ref="F646">VLOOKUP(B646,'Player Data'!A1:B673,2,FALSE)</f>
        <v>CGY</v>
      </c>
      <c r="G646" s="66" cm="1">
        <f t="array" ref="G646">VLOOKUP(B646,'Player Data'!A1:D673,3,FALSE)</f>
        <v>33</v>
      </c>
      <c r="H646" s="67" cm="1">
        <f t="array" ref="H646">IFERROR(VLOOKUP(B646,ADP!A1:F671,6,FALSE)/1000000,VLOOKUP(B646,ADP!A1:F671,6,FALSE))</f>
        <v>5</v>
      </c>
      <c r="I646" s="52">
        <f>IF(Settings!$E$15="POINTS",((R646*Q646)*Settings!$B$12)+(S646*Settings!$B$2)+(T646*Settings!$B$3)+(U646*Settings!$B$4)+(V646*Settings!$B$5)+(X646*Settings!$B$9)+(AA646*Settings!$B$6)+(W646*Settings!$B$8)+(AB646*Settings!$B$7)+(AC646*Settings!$B$14)+(AD646*Settings!$B$15)+(AE646*Settings!$B$16)+(AF646*Settings!$B$17)+(AG646*Settings!$B$18)+(Y646*Settings!$B$10)+(Z646*Settings!$B$11),VLOOKUP(B646,'Standard Deviations'!A$1:C$672,3,FALSE))</f>
        <v>-4.2059547490298357</v>
      </c>
      <c r="J646" s="53" cm="1">
        <f t="array" ref="J646">IF(D646="G",I646/AJ646,I646/Q646)</f>
        <v>-5.3922496782433792E-2</v>
      </c>
      <c r="K646" s="52" cm="1">
        <f t="array" ref="K646">IF(Settings!$E$18="C/LW/RW",VLOOKUP(B646,'C'!A1:F210,6,FALSE),VLOOKUP(B646,F!A1:F407,6,FALSE))</f>
        <v>-10.565964306644901</v>
      </c>
      <c r="L646" s="54" cm="1">
        <f t="array" ref="L646">IFERROR(K646/H646,"N/A")</f>
        <v>-2.1131928613289803</v>
      </c>
      <c r="M646" s="84" t="s">
        <v>828</v>
      </c>
      <c r="N646" s="84" t="str" cm="1">
        <f t="array" ref="N646">IFERROR(M646-A646,"N/A")</f>
        <v>N/A</v>
      </c>
      <c r="O646" s="55"/>
      <c r="P646" s="56" cm="1">
        <f t="array" ref="P646">_xlfn.XLOOKUP($B646,ADP!A2:A671,ADP!G2:G671)</f>
        <v>0</v>
      </c>
      <c r="Q646" s="57" cm="1">
        <f t="array" ref="Q646">IF(Settings!$E$12="YES",VLOOKUP(B646,'Player Data'!A1:E673,5,FALSE),84)</f>
        <v>78</v>
      </c>
      <c r="R646" s="55" cm="1">
        <f t="array" ref="R646">VLOOKUP(B646,'Player Data'!$A1:$AE673,6,FALSE)</f>
        <v>13</v>
      </c>
      <c r="S646" s="57" cm="1">
        <f t="array" ref="S646">VLOOKUP(B646,'Player Data'!$A1:$AE673,7,FALSE)*$Q646*IFERROR((VLOOKUP(P646,Settings!$E$28:$F$33,2,FALSE)+1),1)</f>
        <v>8.58</v>
      </c>
      <c r="T646" s="57" cm="1">
        <f t="array" ref="T646">VLOOKUP(B646,'Player Data'!$A1:$AE673,8,FALSE)*$Q646*IFERROR((VLOOKUP(P646,Settings!$E$28:$F$33,2,FALSE)+1),1)</f>
        <v>20.28</v>
      </c>
      <c r="U646" s="57" cm="1">
        <f t="array" ref="U646">SUM(S646:T646)</f>
        <v>28.86</v>
      </c>
      <c r="V646" s="57" cm="1">
        <f t="array" ref="V646">VLOOKUP(B646,'Player Data'!$A1:$AE673,10,FALSE)*$Q646*IFERROR(((VLOOKUP(P646,Settings!$E$28:$F$33,2,FALSE)/2)+1),1)</f>
        <v>95.94</v>
      </c>
      <c r="W646" s="57" cm="1">
        <f t="array" ref="W646">VLOOKUP(B646,'Player Data'!$A1:$AE673,11,FALSE)*$Q646*IFERROR((VLOOKUP(P646,Settings!$E$28:$F$33,2,FALSE)+1),1)</f>
        <v>0.78</v>
      </c>
      <c r="X646" s="57" cm="1">
        <f t="array" ref="X646">VLOOKUP(B646,'Player Data'!$A1:$AE673,12,FALSE)*$Q646*IFERROR((VLOOKUP(P646,Settings!$E$28:$F$33,2,FALSE)+1),1)</f>
        <v>3.12</v>
      </c>
      <c r="Y646" s="57" cm="1">
        <f t="array" ref="Y646">VLOOKUP(B646,'Player Data'!$A1:$AE673,13,FALSE)*$Q646</f>
        <v>0</v>
      </c>
      <c r="Z646" s="57" cm="1">
        <f t="array" ref="Z646">VLOOKUP(B646,'Player Data'!$A1:$AE673,14,FALSE)*$Q646</f>
        <v>0</v>
      </c>
      <c r="AA646" s="57" cm="1">
        <f t="array" ref="AA646">VLOOKUP(B646,'Player Data'!$A1:$AE673,15,FALSE)*$Q646</f>
        <v>26.520000000000003</v>
      </c>
      <c r="AB646" s="57" cm="1">
        <f t="array" ref="AB646">VLOOKUP(B646,'Player Data'!$A1:$AE673,16,FALSE)*$Q646</f>
        <v>46.8</v>
      </c>
      <c r="AC646" s="57" cm="1">
        <f t="array" ref="AC646">VLOOKUP(B646,'Player Data'!$A1:$AE673,17,FALSE)*$Q646*IFERROR((VLOOKUP(P646,Settings!$E$28:$F$33,2,FALSE)+1),1)</f>
        <v>-7.02</v>
      </c>
      <c r="AD646" s="57" cm="1">
        <f t="array" ref="AD646">VLOOKUP(B646,'Player Data'!$A1:$AE673,18,FALSE)*$Q646</f>
        <v>44.459999999999994</v>
      </c>
      <c r="AE646" s="57" cm="1">
        <f t="array" ref="AE646">VLOOKUP(B646,'Player Data'!$A1:$AE673,19,FALSE)*$Q646*IFERROR((VLOOKUP(P646,Settings!$E$28:$F$33,2,FALSE)+1),1)</f>
        <v>1.56</v>
      </c>
      <c r="AF646" s="57" cm="1">
        <f t="array" ref="AF646">VLOOKUP(B646,'Player Data'!$A1:$AE673,20,FALSE)*$Q646</f>
        <v>273.77999999999997</v>
      </c>
      <c r="AG646" s="57" cm="1">
        <f t="array" ref="AG646">VLOOKUP(B646,'Player Data'!$A1:$AE673,21,FALSE)*$Q646</f>
        <v>349.44000000000005</v>
      </c>
      <c r="AH646" s="59" cm="1">
        <f t="array" ref="AH646">VLOOKUP(B646,'Player Data'!$A1:$AE673,22,FALSE)</f>
        <v>0.44</v>
      </c>
      <c r="AI646" s="55"/>
      <c r="AJ646" s="57"/>
      <c r="AK646" s="57"/>
      <c r="AL646" s="57"/>
      <c r="AM646" s="57"/>
      <c r="AN646" s="57"/>
      <c r="AO646" s="57"/>
      <c r="AP646" s="57"/>
      <c r="AQ646" s="60"/>
      <c r="AR646" s="61"/>
      <c r="AS646" s="55"/>
    </row>
    <row r="647" spans="1:45" ht="21.25" customHeight="1" x14ac:dyDescent="0.15">
      <c r="A647" s="62">
        <f>RANK(K647,K$2:K$671)</f>
        <v>644</v>
      </c>
      <c r="B647" s="10" t="s">
        <v>703</v>
      </c>
      <c r="C647" s="47" t="s">
        <v>145</v>
      </c>
      <c r="D647" s="48" t="str" cm="1">
        <f t="array" ref="D647">VLOOKUP(B647,'Player Data'!A1:D673,4,FALSE)</f>
        <v>C,RW</v>
      </c>
      <c r="E647" s="74" cm="1">
        <f t="array" ref="E647">VLOOKUP(B647,RW!A1:F210,3,FALSE)</f>
        <v>192</v>
      </c>
      <c r="F647" s="56" t="str" cm="1">
        <f t="array" ref="F647">VLOOKUP(B647,'Player Data'!A1:B673,2,FALSE)</f>
        <v>CHI</v>
      </c>
      <c r="G647" s="71" cm="1">
        <f t="array" ref="G647">VLOOKUP(B647,'Player Data'!A1:D673,3,FALSE)</f>
        <v>21</v>
      </c>
      <c r="H647" s="51" cm="1">
        <f t="array" ref="H647">IFERROR(VLOOKUP(B647,ADP!A1:F671,6,FALSE)/1000000,VLOOKUP(B647,ADP!A1:F671,6,FALSE))</f>
        <v>0.94166700000000003</v>
      </c>
      <c r="I647" s="52">
        <f>IF(Settings!$E$15="POINTS",((R647*Q647)*Settings!$B$12)+(S647*Settings!$B$2)+(T647*Settings!$B$3)+(U647*Settings!$B$4)+(V647*Settings!$B$5)+(X647*Settings!$B$9)+(AA647*Settings!$B$6)+(W647*Settings!$B$8)+(AB647*Settings!$B$7)+(AC647*Settings!$B$14)+(AD647*Settings!$B$15)+(AE647*Settings!$B$16)+(AF647*Settings!$B$17)+(AG647*Settings!$B$18)+(Y647*Settings!$B$10)+(Z647*Settings!$B$11),VLOOKUP(B647,'Standard Deviations'!A$1:C$672,3,FALSE))</f>
        <v>-3.6620152094877709</v>
      </c>
      <c r="J647" s="53" cm="1">
        <f t="array" ref="J647">IF(D647="G",I647/AJ647,I647/Q647)</f>
        <v>-5.1577679006870013E-2</v>
      </c>
      <c r="K647" s="52" cm="1">
        <f t="array" ref="K647">IF(Settings!$E$18="C/LW/RW",VLOOKUP(B647,RW!A1:F210,6,FALSE),VLOOKUP(B647,F!A1:F407,6,FALSE))</f>
        <v>-10.549249811296848</v>
      </c>
      <c r="L647" s="54" cm="1">
        <f t="array" ref="L647">IFERROR(K647/H647,"N/A")</f>
        <v>-11.202739196867734</v>
      </c>
      <c r="M647" s="84" t="s">
        <v>828</v>
      </c>
      <c r="N647" s="84" t="str" cm="1">
        <f t="array" ref="N647">IFERROR(M647-A647,"N/A")</f>
        <v>N/A</v>
      </c>
      <c r="O647" s="55"/>
      <c r="P647" s="56" cm="1">
        <f t="array" ref="P647">_xlfn.XLOOKUP($B647,ADP!A2:A671,ADP!G2:G671)</f>
        <v>0</v>
      </c>
      <c r="Q647" s="57" cm="1">
        <f t="array" ref="Q647">IF(Settings!$E$12="YES",VLOOKUP(B647,'Player Data'!A1:E673,5,FALSE),84)</f>
        <v>71</v>
      </c>
      <c r="R647" s="55" cm="1">
        <f t="array" ref="R647">VLOOKUP(B647,'Player Data'!$A1:$AE673,6,FALSE)</f>
        <v>12.7</v>
      </c>
      <c r="S647" s="57" cm="1">
        <f t="array" ref="S647">VLOOKUP(B647,'Player Data'!$A1:$AE673,7,FALSE)*$Q647*IFERROR((VLOOKUP(P647,Settings!$E$28:$F$33,2,FALSE)+1),1)</f>
        <v>9.23</v>
      </c>
      <c r="T647" s="57" cm="1">
        <f t="array" ref="T647">VLOOKUP(B647,'Player Data'!$A1:$AE673,8,FALSE)*$Q647*IFERROR((VLOOKUP(P647,Settings!$E$28:$F$33,2,FALSE)+1),1)</f>
        <v>21.3</v>
      </c>
      <c r="U647" s="57" cm="1">
        <f t="array" ref="U647">SUM(S647:T647)</f>
        <v>30.53</v>
      </c>
      <c r="V647" s="57" cm="1">
        <f t="array" ref="V647">VLOOKUP(B647,'Player Data'!$A1:$AE673,10,FALSE)*$Q647*IFERROR(((VLOOKUP(P647,Settings!$E$28:$F$33,2,FALSE)/2)+1),1)</f>
        <v>91.59</v>
      </c>
      <c r="W647" s="57" cm="1">
        <f t="array" ref="W647">VLOOKUP(B647,'Player Data'!$A1:$AE673,11,FALSE)*$Q647*IFERROR((VLOOKUP(P647,Settings!$E$28:$F$33,2,FALSE)+1),1)</f>
        <v>2.13</v>
      </c>
      <c r="X647" s="57" cm="1">
        <f t="array" ref="X647">VLOOKUP(B647,'Player Data'!$A1:$AE673,12,FALSE)*$Q647*IFERROR((VLOOKUP(P647,Settings!$E$28:$F$33,2,FALSE)+1),1)</f>
        <v>5.68</v>
      </c>
      <c r="Y647" s="57" cm="1">
        <f t="array" ref="Y647">VLOOKUP(B647,'Player Data'!$A1:$AE673,13,FALSE)*$Q647</f>
        <v>0</v>
      </c>
      <c r="Z647" s="57" cm="1">
        <f t="array" ref="Z647">VLOOKUP(B647,'Player Data'!$A1:$AE673,14,FALSE)*$Q647</f>
        <v>0</v>
      </c>
      <c r="AA647" s="57" cm="1">
        <f t="array" ref="AA647">VLOOKUP(B647,'Player Data'!$A1:$AE673,15,FALSE)*$Q647</f>
        <v>24.14</v>
      </c>
      <c r="AB647" s="57" cm="1">
        <f t="array" ref="AB647">VLOOKUP(B647,'Player Data'!$A1:$AE673,16,FALSE)*$Q647</f>
        <v>51.12</v>
      </c>
      <c r="AC647" s="57" cm="1">
        <f t="array" ref="AC647">VLOOKUP(B647,'Player Data'!$A1:$AE673,17,FALSE)*$Q647*IFERROR((VLOOKUP(P647,Settings!$E$28:$F$33,2,FALSE)+1),1)</f>
        <v>-6.39</v>
      </c>
      <c r="AD647" s="57" cm="1">
        <f t="array" ref="AD647">VLOOKUP(B647,'Player Data'!$A1:$AE673,18,FALSE)*$Q647</f>
        <v>24.14</v>
      </c>
      <c r="AE647" s="57" cm="1">
        <f t="array" ref="AE647">VLOOKUP(B647,'Player Data'!$A1:$AE673,19,FALSE)*$Q647*IFERROR((VLOOKUP(P647,Settings!$E$28:$F$33,2,FALSE)+1),1)</f>
        <v>1.42</v>
      </c>
      <c r="AF647" s="57" cm="1">
        <f t="array" ref="AF647">VLOOKUP(B647,'Player Data'!$A1:$AE673,20,FALSE)*$Q647</f>
        <v>132.06</v>
      </c>
      <c r="AG647" s="57" cm="1">
        <f t="array" ref="AG647">VLOOKUP(B647,'Player Data'!$A1:$AE673,21,FALSE)*$Q647</f>
        <v>146.97</v>
      </c>
      <c r="AH647" s="59" cm="1">
        <f t="array" ref="AH647">VLOOKUP(B647,'Player Data'!$A1:$AE673,22,FALSE)</f>
        <v>0.47</v>
      </c>
      <c r="AI647" s="55"/>
      <c r="AJ647" s="57"/>
      <c r="AK647" s="57"/>
      <c r="AL647" s="57"/>
      <c r="AM647" s="57"/>
      <c r="AN647" s="57"/>
      <c r="AO647" s="57"/>
      <c r="AP647" s="57"/>
      <c r="AQ647" s="60"/>
      <c r="AR647" s="61"/>
      <c r="AS647" s="55"/>
    </row>
    <row r="648" spans="1:45" ht="21.25" customHeight="1" x14ac:dyDescent="0.15">
      <c r="A648" s="62">
        <f>RANK(K648,K$2:K$671)</f>
        <v>647</v>
      </c>
      <c r="B648" s="10" t="s">
        <v>729</v>
      </c>
      <c r="C648" s="47" t="s">
        <v>145</v>
      </c>
      <c r="D648" s="48" t="str" cm="1">
        <f t="array" ref="D648">VLOOKUP(B648,'Player Data'!A1:D673,4,FALSE)</f>
        <v>RW</v>
      </c>
      <c r="E648" s="64" cm="1">
        <f t="array" ref="E648">VLOOKUP(B648,RW!A1:F210,3,FALSE)</f>
        <v>193</v>
      </c>
      <c r="F648" s="56" t="str" cm="1">
        <f t="array" ref="F648">VLOOKUP(B648,'Player Data'!A1:B673,2,FALSE)</f>
        <v>NYR</v>
      </c>
      <c r="G648" s="11" cm="1">
        <f t="array" ref="G648">VLOOKUP(B648,'Player Data'!A1:D673,3,FALSE)</f>
        <v>28</v>
      </c>
      <c r="H648" s="67" cm="1">
        <f t="array" ref="H648">IFERROR(VLOOKUP(B648,ADP!A1:F671,6,FALSE)/1000000,VLOOKUP(B648,ADP!A1:F671,6,FALSE))</f>
        <v>1.5</v>
      </c>
      <c r="I648" s="52">
        <f>IF(Settings!$E$15="POINTS",((R648*Q648)*Settings!$B$12)+(S648*Settings!$B$2)+(T648*Settings!$B$3)+(U648*Settings!$B$4)+(V648*Settings!$B$5)+(X648*Settings!$B$9)+(AA648*Settings!$B$6)+(W648*Settings!$B$8)+(AB648*Settings!$B$7)+(AC648*Settings!$B$14)+(AD648*Settings!$B$15)+(AE648*Settings!$B$16)+(AF648*Settings!$B$17)+(AG648*Settings!$B$18)+(Y648*Settings!$B$10)+(Z648*Settings!$B$11),VLOOKUP(B648,'Standard Deviations'!A$1:C$672,3,FALSE))</f>
        <v>-3.6941076043270926</v>
      </c>
      <c r="J648" s="53" cm="1">
        <f t="array" ref="J648">IF(D648="G",I648/AJ648,I648/Q648)</f>
        <v>-4.6176345054088658E-2</v>
      </c>
      <c r="K648" s="52" cm="1">
        <f t="array" ref="K648">IF(Settings!$E$18="C/LW/RW",VLOOKUP(B648,RW!A1:F210,6,FALSE),VLOOKUP(B648,F!A1:F407,6,FALSE))</f>
        <v>-10.581342206136171</v>
      </c>
      <c r="L648" s="54" cm="1">
        <f t="array" ref="L648">IFERROR(K648/H648,"N/A")</f>
        <v>-7.054228137424114</v>
      </c>
      <c r="M648" s="84" t="s">
        <v>828</v>
      </c>
      <c r="N648" s="84" t="str" cm="1">
        <f t="array" ref="N648">IFERROR(M648-A648,"N/A")</f>
        <v>N/A</v>
      </c>
      <c r="O648" s="80"/>
      <c r="P648" s="56" cm="1">
        <f t="array" ref="P648">_xlfn.XLOOKUP($B648,ADP!A2:A671,ADP!G2:G671)</f>
        <v>0</v>
      </c>
      <c r="Q648" s="57" cm="1">
        <f t="array" ref="Q648">IF(Settings!$E$12="YES",VLOOKUP(B648,'Player Data'!A1:E673,5,FALSE),84)</f>
        <v>80</v>
      </c>
      <c r="R648" s="55" cm="1">
        <f t="array" ref="R648">VLOOKUP(B648,'Player Data'!$A1:$AE673,6,FALSE)</f>
        <v>11.4</v>
      </c>
      <c r="S648" s="57" cm="1">
        <f t="array" ref="S648">VLOOKUP(B648,'Player Data'!$A1:$AE673,7,FALSE)*$Q648*IFERROR((VLOOKUP(P648,Settings!$E$28:$F$33,2,FALSE)+1),1)</f>
        <v>8</v>
      </c>
      <c r="T648" s="57" cm="1">
        <f t="array" ref="T648">VLOOKUP(B648,'Player Data'!$A1:$AE673,8,FALSE)*$Q648*IFERROR((VLOOKUP(P648,Settings!$E$28:$F$33,2,FALSE)+1),1)</f>
        <v>12</v>
      </c>
      <c r="U648" s="57" cm="1">
        <f t="array" ref="U648">SUM(S648:T648)</f>
        <v>20</v>
      </c>
      <c r="V648" s="57" cm="1">
        <f t="array" ref="V648">VLOOKUP(B648,'Player Data'!$A1:$AE673,10,FALSE)*$Q648*IFERROR(((VLOOKUP(P648,Settings!$E$28:$F$33,2,FALSE)/2)+1),1)</f>
        <v>72.8</v>
      </c>
      <c r="W648" s="57" cm="1">
        <f t="array" ref="W648">VLOOKUP(B648,'Player Data'!$A1:$AE673,11,FALSE)*$Q648*IFERROR((VLOOKUP(P648,Settings!$E$28:$F$33,2,FALSE)+1),1)</f>
        <v>0</v>
      </c>
      <c r="X648" s="57" cm="1">
        <f t="array" ref="X648">VLOOKUP(B648,'Player Data'!$A1:$AE673,12,FALSE)*$Q648*IFERROR((VLOOKUP(P648,Settings!$E$28:$F$33,2,FALSE)+1),1)</f>
        <v>0.8</v>
      </c>
      <c r="Y648" s="57" cm="1">
        <f t="array" ref="Y648">VLOOKUP(B648,'Player Data'!$A1:$AE673,13,FALSE)*$Q648</f>
        <v>0</v>
      </c>
      <c r="Z648" s="57" cm="1">
        <f t="array" ref="Z648">VLOOKUP(B648,'Player Data'!$A1:$AE673,14,FALSE)*$Q648</f>
        <v>0.8</v>
      </c>
      <c r="AA648" s="57" cm="1">
        <f t="array" ref="AA648">VLOOKUP(B648,'Player Data'!$A1:$AE673,15,FALSE)*$Q648</f>
        <v>37.599999999999994</v>
      </c>
      <c r="AB648" s="57" cm="1">
        <f t="array" ref="AB648">VLOOKUP(B648,'Player Data'!$A1:$AE673,16,FALSE)*$Q648</f>
        <v>68</v>
      </c>
      <c r="AC648" s="57" cm="1">
        <f t="array" ref="AC648">VLOOKUP(B648,'Player Data'!$A1:$AE673,17,FALSE)*$Q648*IFERROR((VLOOKUP(P648,Settings!$E$28:$F$33,2,FALSE)+1),1)</f>
        <v>-0.8</v>
      </c>
      <c r="AD648" s="57" cm="1">
        <f t="array" ref="AD648">VLOOKUP(B648,'Player Data'!$A1:$AE673,18,FALSE)*$Q648</f>
        <v>17.600000000000001</v>
      </c>
      <c r="AE648" s="57" cm="1">
        <f t="array" ref="AE648">VLOOKUP(B648,'Player Data'!$A1:$AE673,19,FALSE)*$Q648*IFERROR((VLOOKUP(P648,Settings!$E$28:$F$33,2,FALSE)+1),1)</f>
        <v>1.6</v>
      </c>
      <c r="AF648" s="57" cm="1">
        <f t="array" ref="AF648">VLOOKUP(B648,'Player Data'!$A1:$AE673,20,FALSE)*$Q648</f>
        <v>6.4</v>
      </c>
      <c r="AG648" s="57" cm="1">
        <f t="array" ref="AG648">VLOOKUP(B648,'Player Data'!$A1:$AE673,21,FALSE)*$Q648</f>
        <v>17.600000000000001</v>
      </c>
      <c r="AH648" s="59" cm="1">
        <f t="array" ref="AH648">VLOOKUP(B648,'Player Data'!$A1:$AE673,22,FALSE)</f>
        <v>0.28000000000000003</v>
      </c>
      <c r="AI648" s="55"/>
      <c r="AJ648" s="57"/>
      <c r="AK648" s="57"/>
      <c r="AL648" s="57"/>
      <c r="AM648" s="57"/>
      <c r="AN648" s="57"/>
      <c r="AO648" s="57"/>
      <c r="AP648" s="57"/>
      <c r="AQ648" s="60"/>
      <c r="AR648" s="61"/>
      <c r="AS648" s="55"/>
    </row>
    <row r="649" spans="1:45" ht="21.25" customHeight="1" x14ac:dyDescent="0.15">
      <c r="A649" s="62">
        <f>RANK(K649,K$2:K$671)</f>
        <v>648</v>
      </c>
      <c r="B649" s="10" t="s">
        <v>789</v>
      </c>
      <c r="C649" s="47" t="s">
        <v>145</v>
      </c>
      <c r="D649" s="48" t="str" cm="1">
        <f t="array" ref="D649">VLOOKUP(B649,'Player Data'!A1:D673,4,FALSE)</f>
        <v>RW</v>
      </c>
      <c r="E649" s="64" cm="1">
        <f t="array" ref="E649">VLOOKUP(B649,RW!A1:F210,3,FALSE)</f>
        <v>194</v>
      </c>
      <c r="F649" s="56" t="str" cm="1">
        <f t="array" ref="F649">VLOOKUP(B649,'Player Data'!A1:B673,2,FALSE)</f>
        <v>NYR</v>
      </c>
      <c r="G649" s="71" cm="1">
        <f t="array" ref="G649">VLOOKUP(B649,'Player Data'!A1:D673,3,FALSE)</f>
        <v>23</v>
      </c>
      <c r="H649" s="51" cm="1">
        <f t="array" ref="H649">IFERROR(VLOOKUP(B649,ADP!A1:F671,6,FALSE)/1000000,VLOOKUP(B649,ADP!A1:F671,6,FALSE))</f>
        <v>0.89249999999999996</v>
      </c>
      <c r="I649" s="52">
        <f>IF(Settings!$E$15="POINTS",((R649*Q649)*Settings!$B$12)+(S649*Settings!$B$2)+(T649*Settings!$B$3)+(U649*Settings!$B$4)+(V649*Settings!$B$5)+(X649*Settings!$B$9)+(AA649*Settings!$B$6)+(W649*Settings!$B$8)+(AB649*Settings!$B$7)+(AC649*Settings!$B$14)+(AD649*Settings!$B$15)+(AE649*Settings!$B$16)+(AF649*Settings!$B$17)+(AG649*Settings!$B$18)+(Y649*Settings!$B$10)+(Z649*Settings!$B$11),VLOOKUP(B649,'Standard Deviations'!A$1:C$672,3,FALSE))</f>
        <v>-3.70261586159394</v>
      </c>
      <c r="J649" s="53" cm="1">
        <f t="array" ref="J649">IF(D649="G",I649/AJ649,I649/Q649)</f>
        <v>-5.9719610670869998E-2</v>
      </c>
      <c r="K649" s="52" cm="1">
        <f t="array" ref="K649">IF(Settings!$E$18="C/LW/RW",VLOOKUP(B649,RW!A1:F210,6,FALSE),VLOOKUP(B649,F!A1:F407,6,FALSE))</f>
        <v>-10.589850463403017</v>
      </c>
      <c r="L649" s="54" cm="1">
        <f t="array" ref="L649">IFERROR(K649/H649,"N/A")</f>
        <v>-11.865378670479572</v>
      </c>
      <c r="M649" s="84" t="s">
        <v>828</v>
      </c>
      <c r="N649" s="84" t="str" cm="1">
        <f t="array" ref="N649">IFERROR(M649-A649,"N/A")</f>
        <v>N/A</v>
      </c>
      <c r="O649" s="82"/>
      <c r="P649" s="56" cm="1">
        <f t="array" ref="P649">_xlfn.XLOOKUP($B649,ADP!A2:A671,ADP!G2:G671)</f>
        <v>0</v>
      </c>
      <c r="Q649" s="57" cm="1">
        <f t="array" ref="Q649">IF(Settings!$E$12="YES",VLOOKUP(B649,'Player Data'!A1:E673,5,FALSE),84)</f>
        <v>62</v>
      </c>
      <c r="R649" s="55" cm="1">
        <f t="array" ref="R649">VLOOKUP(B649,'Player Data'!$A1:$AE673,6,FALSE)</f>
        <v>9.1999999999999993</v>
      </c>
      <c r="S649" s="57" cm="1">
        <f t="array" ref="S649">VLOOKUP(B649,'Player Data'!$A1:$AE673,7,FALSE)*$Q649*IFERROR((VLOOKUP(P649,Settings!$E$28:$F$33,2,FALSE)+1),1)</f>
        <v>6.2</v>
      </c>
      <c r="T649" s="57" cm="1">
        <f t="array" ref="T649">VLOOKUP(B649,'Player Data'!$A1:$AE673,8,FALSE)*$Q649*IFERROR((VLOOKUP(P649,Settings!$E$28:$F$33,2,FALSE)+1),1)</f>
        <v>5.58</v>
      </c>
      <c r="U649" s="57" cm="1">
        <f t="array" ref="U649">SUM(S649:T649)</f>
        <v>11.780000000000001</v>
      </c>
      <c r="V649" s="57" cm="1">
        <f t="array" ref="V649">VLOOKUP(B649,'Player Data'!$A1:$AE673,10,FALSE)*$Q649*IFERROR(((VLOOKUP(P649,Settings!$E$28:$F$33,2,FALSE)/2)+1),1)</f>
        <v>50.220000000000006</v>
      </c>
      <c r="W649" s="57" cm="1">
        <f t="array" ref="W649">VLOOKUP(B649,'Player Data'!$A1:$AE673,11,FALSE)*$Q649*IFERROR((VLOOKUP(P649,Settings!$E$28:$F$33,2,FALSE)+1),1)</f>
        <v>0</v>
      </c>
      <c r="X649" s="57" cm="1">
        <f t="array" ref="X649">VLOOKUP(B649,'Player Data'!$A1:$AE673,12,FALSE)*$Q649*IFERROR((VLOOKUP(P649,Settings!$E$28:$F$33,2,FALSE)+1),1)</f>
        <v>0</v>
      </c>
      <c r="Y649" s="57" cm="1">
        <f t="array" ref="Y649">VLOOKUP(B649,'Player Data'!$A1:$AE673,13,FALSE)*$Q649</f>
        <v>0</v>
      </c>
      <c r="Z649" s="57" cm="1">
        <f t="array" ref="Z649">VLOOKUP(B649,'Player Data'!$A1:$AE673,14,FALSE)*$Q649</f>
        <v>0</v>
      </c>
      <c r="AA649" s="57" cm="1">
        <f t="array" ref="AA649">VLOOKUP(B649,'Player Data'!$A1:$AE673,15,FALSE)*$Q649</f>
        <v>31</v>
      </c>
      <c r="AB649" s="57" cm="1">
        <f t="array" ref="AB649">VLOOKUP(B649,'Player Data'!$A1:$AE673,16,FALSE)*$Q649</f>
        <v>112.84</v>
      </c>
      <c r="AC649" s="57" cm="1">
        <f t="array" ref="AC649">VLOOKUP(B649,'Player Data'!$A1:$AE673,17,FALSE)*$Q649*IFERROR((VLOOKUP(P649,Settings!$E$28:$F$33,2,FALSE)+1),1)</f>
        <v>0</v>
      </c>
      <c r="AD649" s="57" cm="1">
        <f t="array" ref="AD649">VLOOKUP(B649,'Player Data'!$A1:$AE673,18,FALSE)*$Q649</f>
        <v>16.740000000000002</v>
      </c>
      <c r="AE649" s="57" cm="1">
        <f t="array" ref="AE649">VLOOKUP(B649,'Player Data'!$A1:$AE673,19,FALSE)*$Q649*IFERROR((VLOOKUP(P649,Settings!$E$28:$F$33,2,FALSE)+1),1)</f>
        <v>1.24</v>
      </c>
      <c r="AF649" s="57" cm="1">
        <f t="array" ref="AF649">VLOOKUP(B649,'Player Data'!$A1:$AE673,20,FALSE)*$Q649</f>
        <v>0</v>
      </c>
      <c r="AG649" s="57" cm="1">
        <f t="array" ref="AG649">VLOOKUP(B649,'Player Data'!$A1:$AE673,21,FALSE)*$Q649</f>
        <v>8.6800000000000015</v>
      </c>
      <c r="AH649" s="59" cm="1">
        <f t="array" ref="AH649">VLOOKUP(B649,'Player Data'!$A1:$AE673,22,FALSE)</f>
        <v>0</v>
      </c>
      <c r="AI649" s="55"/>
      <c r="AJ649" s="57"/>
      <c r="AK649" s="57"/>
      <c r="AL649" s="57"/>
      <c r="AM649" s="57"/>
      <c r="AN649" s="57"/>
      <c r="AO649" s="57"/>
      <c r="AP649" s="57"/>
      <c r="AQ649" s="60"/>
      <c r="AR649" s="61"/>
      <c r="AS649" s="55"/>
    </row>
    <row r="650" spans="1:45" ht="21.25" customHeight="1" x14ac:dyDescent="0.15">
      <c r="A650" s="62">
        <f>RANK(K650,K$2:K$671)</f>
        <v>649</v>
      </c>
      <c r="B650" s="10" t="s">
        <v>756</v>
      </c>
      <c r="C650" s="47" t="s">
        <v>145</v>
      </c>
      <c r="D650" s="48" t="str" cm="1">
        <f t="array" ref="D650">VLOOKUP(B650,'Player Data'!A1:D673,4,FALSE)</f>
        <v>RW</v>
      </c>
      <c r="E650" s="64" cm="1">
        <f t="array" ref="E650">VLOOKUP(B650,RW!A1:F210,3,FALSE)</f>
        <v>195</v>
      </c>
      <c r="F650" s="69" t="str" cm="1">
        <f t="array" ref="F650">VLOOKUP(B650,'Player Data'!A1:B673,2,FALSE)</f>
        <v>N.J</v>
      </c>
      <c r="G650" s="71" cm="1">
        <f t="array" ref="G650">VLOOKUP(B650,'Player Data'!A1:D673,3,FALSE)</f>
        <v>21</v>
      </c>
      <c r="H650" s="51" cm="1">
        <f t="array" ref="H650">IFERROR(VLOOKUP(B650,ADP!A1:F671,6,FALSE)/1000000,VLOOKUP(B650,ADP!A1:F671,6,FALSE))</f>
        <v>0.95</v>
      </c>
      <c r="I650" s="52">
        <f>IF(Settings!$E$15="POINTS",((R650*Q650)*Settings!$B$12)+(S650*Settings!$B$2)+(T650*Settings!$B$3)+(U650*Settings!$B$4)+(V650*Settings!$B$5)+(X650*Settings!$B$9)+(AA650*Settings!$B$6)+(W650*Settings!$B$8)+(AB650*Settings!$B$7)+(AC650*Settings!$B$14)+(AD650*Settings!$B$15)+(AE650*Settings!$B$16)+(AF650*Settings!$B$17)+(AG650*Settings!$B$18)+(Y650*Settings!$B$10)+(Z650*Settings!$B$11),VLOOKUP(B650,'Standard Deviations'!A$1:C$672,3,FALSE))</f>
        <v>-3.7842982068751092</v>
      </c>
      <c r="J650" s="53" cm="1">
        <f t="array" ref="J650">IF(D650="G",I650/AJ650,I650/Q650)</f>
        <v>-5.9129659482423581E-2</v>
      </c>
      <c r="K650" s="52" cm="1">
        <f t="array" ref="K650">IF(Settings!$E$18="C/LW/RW",VLOOKUP(B650,RW!A1:F210,6,FALSE),VLOOKUP(B650,F!A1:F407,6,FALSE))</f>
        <v>-10.671532808684187</v>
      </c>
      <c r="L650" s="54" cm="1">
        <f t="array" ref="L650">IFERROR(K650/H650,"N/A")</f>
        <v>-11.233192430193881</v>
      </c>
      <c r="M650" s="84" t="s">
        <v>828</v>
      </c>
      <c r="N650" s="84" t="str" cm="1">
        <f t="array" ref="N650">IFERROR(M650-A650,"N/A")</f>
        <v>N/A</v>
      </c>
      <c r="O650" s="80"/>
      <c r="P650" s="56" cm="1">
        <f t="array" ref="P650">_xlfn.XLOOKUP($B650,ADP!A2:A671,ADP!G2:G671)</f>
        <v>0</v>
      </c>
      <c r="Q650" s="57" cm="1">
        <f t="array" ref="Q650">IF(Settings!$E$12="YES",VLOOKUP(B650,'Player Data'!A1:E673,5,FALSE),84)</f>
        <v>64</v>
      </c>
      <c r="R650" s="55" cm="1">
        <f t="array" ref="R650">VLOOKUP(B650,'Player Data'!$A1:$AE673,6,FALSE)</f>
        <v>11.3</v>
      </c>
      <c r="S650" s="57" cm="1">
        <f t="array" ref="S650">VLOOKUP(B650,'Player Data'!$A1:$AE673,7,FALSE)*$Q650*IFERROR((VLOOKUP(P650,Settings!$E$28:$F$33,2,FALSE)+1),1)</f>
        <v>6.4</v>
      </c>
      <c r="T650" s="57" cm="1">
        <f t="array" ref="T650">VLOOKUP(B650,'Player Data'!$A1:$AE673,8,FALSE)*$Q650*IFERROR((VLOOKUP(P650,Settings!$E$28:$F$33,2,FALSE)+1),1)</f>
        <v>11.52</v>
      </c>
      <c r="U650" s="57" cm="1">
        <f t="array" ref="U650">SUM(S650:T650)</f>
        <v>17.920000000000002</v>
      </c>
      <c r="V650" s="57" cm="1">
        <f t="array" ref="V650">VLOOKUP(B650,'Player Data'!$A1:$AE673,10,FALSE)*$Q650*IFERROR(((VLOOKUP(P650,Settings!$E$28:$F$33,2,FALSE)/2)+1),1)</f>
        <v>81.92</v>
      </c>
      <c r="W650" s="57" cm="1">
        <f t="array" ref="W650">VLOOKUP(B650,'Player Data'!$A1:$AE673,11,FALSE)*$Q650*IFERROR((VLOOKUP(P650,Settings!$E$28:$F$33,2,FALSE)+1),1)</f>
        <v>0</v>
      </c>
      <c r="X650" s="57" cm="1">
        <f t="array" ref="X650">VLOOKUP(B650,'Player Data'!$A1:$AE673,12,FALSE)*$Q650*IFERROR((VLOOKUP(P650,Settings!$E$28:$F$33,2,FALSE)+1),1)</f>
        <v>0</v>
      </c>
      <c r="Y650" s="57" cm="1">
        <f t="array" ref="Y650">VLOOKUP(B650,'Player Data'!$A1:$AE673,13,FALSE)*$Q650</f>
        <v>0</v>
      </c>
      <c r="Z650" s="57" cm="1">
        <f t="array" ref="Z650">VLOOKUP(B650,'Player Data'!$A1:$AE673,14,FALSE)*$Q650</f>
        <v>0</v>
      </c>
      <c r="AA650" s="57" cm="1">
        <f t="array" ref="AA650">VLOOKUP(B650,'Player Data'!$A1:$AE673,15,FALSE)*$Q650</f>
        <v>29.44</v>
      </c>
      <c r="AB650" s="57" cm="1">
        <f t="array" ref="AB650">VLOOKUP(B650,'Player Data'!$A1:$AE673,16,FALSE)*$Q650</f>
        <v>60.8</v>
      </c>
      <c r="AC650" s="57" cm="1">
        <f t="array" ref="AC650">VLOOKUP(B650,'Player Data'!$A1:$AE673,17,FALSE)*$Q650*IFERROR((VLOOKUP(P650,Settings!$E$28:$F$33,2,FALSE)+1),1)</f>
        <v>0</v>
      </c>
      <c r="AD650" s="57" cm="1">
        <f t="array" ref="AD650">VLOOKUP(B650,'Player Data'!$A1:$AE673,18,FALSE)*$Q650</f>
        <v>19.84</v>
      </c>
      <c r="AE650" s="57" cm="1">
        <f t="array" ref="AE650">VLOOKUP(B650,'Player Data'!$A1:$AE673,19,FALSE)*$Q650*IFERROR((VLOOKUP(P650,Settings!$E$28:$F$33,2,FALSE)+1),1)</f>
        <v>1.28</v>
      </c>
      <c r="AF650" s="57" cm="1">
        <f t="array" ref="AF650">VLOOKUP(B650,'Player Data'!$A1:$AE673,20,FALSE)*$Q650</f>
        <v>0</v>
      </c>
      <c r="AG650" s="57" cm="1">
        <f t="array" ref="AG650">VLOOKUP(B650,'Player Data'!$A1:$AE673,21,FALSE)*$Q650</f>
        <v>8.9600000000000009</v>
      </c>
      <c r="AH650" s="59" cm="1">
        <f t="array" ref="AH650">VLOOKUP(B650,'Player Data'!$A1:$AE673,22,FALSE)</f>
        <v>0</v>
      </c>
      <c r="AI650" s="55"/>
      <c r="AJ650" s="57"/>
      <c r="AK650" s="57"/>
      <c r="AL650" s="57"/>
      <c r="AM650" s="57"/>
      <c r="AN650" s="57"/>
      <c r="AO650" s="57"/>
      <c r="AP650" s="57"/>
      <c r="AQ650" s="60"/>
      <c r="AR650" s="61"/>
      <c r="AS650" s="55"/>
    </row>
    <row r="651" spans="1:45" ht="21.25" customHeight="1" x14ac:dyDescent="0.15">
      <c r="A651" s="62">
        <f>RANK(K651,K$2:K$671)</f>
        <v>650</v>
      </c>
      <c r="B651" s="10" t="s">
        <v>793</v>
      </c>
      <c r="C651" s="47" t="s">
        <v>145</v>
      </c>
      <c r="D651" s="48" t="str" cm="1">
        <f t="array" ref="D651">VLOOKUP(B651,'Player Data'!A1:D673,4,FALSE)</f>
        <v>C</v>
      </c>
      <c r="E651" s="49" cm="1">
        <f t="array" ref="E651">VLOOKUP(B651,'C'!A1:C210,3,FALSE)</f>
        <v>203</v>
      </c>
      <c r="F651" s="70" t="str" cm="1">
        <f t="array" ref="F651">VLOOKUP(B651,'Player Data'!A1:B673,2,FALSE)</f>
        <v>MIN</v>
      </c>
      <c r="G651" s="11" cm="1">
        <f t="array" ref="G651">VLOOKUP(B651,'Player Data'!A1:D673,3,FALSE)</f>
        <v>30</v>
      </c>
      <c r="H651" s="51" cm="1">
        <f t="array" ref="H651">IFERROR(VLOOKUP(B651,ADP!A1:F671,6,FALSE)/1000000,VLOOKUP(B651,ADP!A1:F671,6,FALSE))</f>
        <v>0.85</v>
      </c>
      <c r="I651" s="52">
        <f>IF(Settings!$E$15="POINTS",((R651*Q651)*Settings!$B$12)+(S651*Settings!$B$2)+(T651*Settings!$B$3)+(U651*Settings!$B$4)+(V651*Settings!$B$5)+(X651*Settings!$B$9)+(AA651*Settings!$B$6)+(W651*Settings!$B$8)+(AB651*Settings!$B$7)+(AC651*Settings!$B$14)+(AD651*Settings!$B$15)+(AE651*Settings!$B$16)+(AF651*Settings!$B$17)+(AG651*Settings!$B$18)+(Y651*Settings!$B$10)+(Z651*Settings!$B$11),VLOOKUP(B651,'Standard Deviations'!A$1:C$672,3,FALSE))</f>
        <v>-4.3540708711477585</v>
      </c>
      <c r="J651" s="53" cm="1">
        <f t="array" ref="J651">IF(D651="G",I651/AJ651,I651/Q651)</f>
        <v>-7.6387208265750142E-2</v>
      </c>
      <c r="K651" s="52" cm="1">
        <f t="array" ref="K651">IF(Settings!$E$18="C/LW/RW",VLOOKUP(B651,'C'!A1:F210,6,FALSE),VLOOKUP(B651,F!A1:F407,6,FALSE))</f>
        <v>-10.714080428762824</v>
      </c>
      <c r="L651" s="54" cm="1">
        <f t="array" ref="L651">IFERROR(K651/H651,"N/A")</f>
        <v>-12.604800504426851</v>
      </c>
      <c r="M651" s="84" t="s">
        <v>828</v>
      </c>
      <c r="N651" s="84" t="str" cm="1">
        <f t="array" ref="N651">IFERROR(M651-A651,"N/A")</f>
        <v>N/A</v>
      </c>
      <c r="O651" s="82"/>
      <c r="P651" s="56" cm="1">
        <f t="array" ref="P651">_xlfn.XLOOKUP($B651,ADP!A2:A671,ADP!G2:G671)</f>
        <v>0</v>
      </c>
      <c r="Q651" s="57" cm="1">
        <f t="array" ref="Q651">IF(Settings!$E$12="YES",VLOOKUP(B651,'Player Data'!A1:E673,5,FALSE),84)</f>
        <v>57</v>
      </c>
      <c r="R651" s="83" cm="1">
        <f t="array" ref="R651">VLOOKUP(B651,'Player Data'!$A1:$AE673,6,FALSE)</f>
        <v>8.6999999999999993</v>
      </c>
      <c r="S651" s="57" cm="1">
        <f t="array" ref="S651">VLOOKUP(B651,'Player Data'!$A1:$AE673,7,FALSE)*$Q651*IFERROR((VLOOKUP(P651,Settings!$E$28:$F$33,2,FALSE)+1),1)</f>
        <v>3.42</v>
      </c>
      <c r="T651" s="57" cm="1">
        <f t="array" ref="T651">VLOOKUP(B651,'Player Data'!$A1:$AE673,8,FALSE)*$Q651*IFERROR((VLOOKUP(P651,Settings!$E$28:$F$33,2,FALSE)+1),1)</f>
        <v>5.7</v>
      </c>
      <c r="U651" s="57" cm="1">
        <f t="array" ref="U651">SUM(S651:T651)</f>
        <v>9.120000000000001</v>
      </c>
      <c r="V651" s="57" cm="1">
        <f t="array" ref="V651">VLOOKUP(B651,'Player Data'!$A1:$AE673,10,FALSE)*$Q651*IFERROR(((VLOOKUP(P651,Settings!$E$28:$F$33,2,FALSE)/2)+1),1)</f>
        <v>33.629999999999995</v>
      </c>
      <c r="W651" s="57" cm="1">
        <f t="array" ref="W651">VLOOKUP(B651,'Player Data'!$A1:$AE673,11,FALSE)*$Q651*IFERROR((VLOOKUP(P651,Settings!$E$28:$F$33,2,FALSE)+1),1)</f>
        <v>0</v>
      </c>
      <c r="X651" s="57" cm="1">
        <f t="array" ref="X651">VLOOKUP(B651,'Player Data'!$A1:$AE673,12,FALSE)*$Q651*IFERROR((VLOOKUP(P651,Settings!$E$28:$F$33,2,FALSE)+1),1)</f>
        <v>0</v>
      </c>
      <c r="Y651" s="57" cm="1">
        <f t="array" ref="Y651">VLOOKUP(B651,'Player Data'!$A1:$AE673,13,FALSE)*$Q651</f>
        <v>0</v>
      </c>
      <c r="Z651" s="57" cm="1">
        <f t="array" ref="Z651">VLOOKUP(B651,'Player Data'!$A1:$AE673,14,FALSE)*$Q651</f>
        <v>0</v>
      </c>
      <c r="AA651" s="57" cm="1">
        <f t="array" ref="AA651">VLOOKUP(B651,'Player Data'!$A1:$AE673,15,FALSE)*$Q651</f>
        <v>27.36</v>
      </c>
      <c r="AB651" s="57" cm="1">
        <f t="array" ref="AB651">VLOOKUP(B651,'Player Data'!$A1:$AE673,16,FALSE)*$Q651</f>
        <v>90.06</v>
      </c>
      <c r="AC651" s="57" cm="1">
        <f t="array" ref="AC651">VLOOKUP(B651,'Player Data'!$A1:$AE673,17,FALSE)*$Q651*IFERROR((VLOOKUP(P651,Settings!$E$28:$F$33,2,FALSE)+1),1)</f>
        <v>1.71</v>
      </c>
      <c r="AD651" s="57" cm="1">
        <f t="array" ref="AD651">VLOOKUP(B651,'Player Data'!$A1:$AE673,18,FALSE)*$Q651</f>
        <v>13.110000000000001</v>
      </c>
      <c r="AE651" s="57" cm="1">
        <f t="array" ref="AE651">VLOOKUP(B651,'Player Data'!$A1:$AE673,19,FALSE)*$Q651*IFERROR((VLOOKUP(P651,Settings!$E$28:$F$33,2,FALSE)+1),1)</f>
        <v>0.57000000000000006</v>
      </c>
      <c r="AF651" s="57" cm="1">
        <f t="array" ref="AF651">VLOOKUP(B651,'Player Data'!$A1:$AE673,20,FALSE)*$Q651</f>
        <v>148.20000000000002</v>
      </c>
      <c r="AG651" s="57" cm="1">
        <f t="array" ref="AG651">VLOOKUP(B651,'Player Data'!$A1:$AE673,21,FALSE)*$Q651</f>
        <v>168.15</v>
      </c>
      <c r="AH651" s="59" cm="1">
        <f t="array" ref="AH651">VLOOKUP(B651,'Player Data'!$A1:$AE673,22,FALSE)</f>
        <v>0.47</v>
      </c>
      <c r="AI651" s="55"/>
      <c r="AJ651" s="57"/>
      <c r="AK651" s="57"/>
      <c r="AL651" s="57"/>
      <c r="AM651" s="57"/>
      <c r="AN651" s="57"/>
      <c r="AO651" s="57"/>
      <c r="AP651" s="57"/>
      <c r="AQ651" s="60"/>
      <c r="AR651" s="61"/>
      <c r="AS651" s="55"/>
    </row>
    <row r="652" spans="1:45" ht="21.25" customHeight="1" x14ac:dyDescent="0.15">
      <c r="A652" s="62">
        <f>RANK(K652,K$2:K$671)</f>
        <v>651</v>
      </c>
      <c r="B652" s="10" t="s">
        <v>598</v>
      </c>
      <c r="C652" s="47" t="s">
        <v>145</v>
      </c>
      <c r="D652" s="48" t="str" cm="1">
        <f t="array" ref="D652">VLOOKUP(B652,'Player Data'!A1:D673,4,FALSE)</f>
        <v>LW,RW</v>
      </c>
      <c r="E652" s="74" cm="1">
        <f t="array" ref="E652">VLOOKUP(B652,RW!A1:F210,3,FALSE)</f>
        <v>196</v>
      </c>
      <c r="F652" s="18" t="str" cm="1">
        <f t="array" ref="F652">VLOOKUP(B652,'Player Data'!A1:B673,2,FALSE)</f>
        <v>VAN</v>
      </c>
      <c r="G652" s="11" cm="1">
        <f t="array" ref="G652">VLOOKUP(B652,'Player Data'!A1:D673,3,FALSE)</f>
        <v>28</v>
      </c>
      <c r="H652" s="67" cm="1">
        <f t="array" ref="H652">IFERROR(VLOOKUP(B652,ADP!A1:F671,6,FALSE)/1000000,VLOOKUP(B652,ADP!A1:F671,6,FALSE))</f>
        <v>2.5</v>
      </c>
      <c r="I652" s="52">
        <f>IF(Settings!$E$15="POINTS",((R652*Q652)*Settings!$B$12)+(S652*Settings!$B$2)+(T652*Settings!$B$3)+(U652*Settings!$B$4)+(V652*Settings!$B$5)+(X652*Settings!$B$9)+(AA652*Settings!$B$6)+(W652*Settings!$B$8)+(AB652*Settings!$B$7)+(AC652*Settings!$B$14)+(AD652*Settings!$B$15)+(AE652*Settings!$B$16)+(AF652*Settings!$B$17)+(AG652*Settings!$B$18)+(Y652*Settings!$B$10)+(Z652*Settings!$B$11),VLOOKUP(B652,'Standard Deviations'!A$1:C$672,3,FALSE))</f>
        <v>-3.8514497783843922</v>
      </c>
      <c r="J652" s="53" cm="1">
        <f t="array" ref="J652">IF(D652="G",I652/AJ652,I652/Q652)</f>
        <v>-4.5850592599814194E-2</v>
      </c>
      <c r="K652" s="52" cm="1">
        <f t="array" ref="K652">IF(Settings!$E$18="C/LW/RW",VLOOKUP(B652,RW!A1:F210,6,FALSE),VLOOKUP(B652,F!A1:F407,6,FALSE))</f>
        <v>-10.738684380193469</v>
      </c>
      <c r="L652" s="54" cm="1">
        <f t="array" ref="L652">IFERROR(K652/H652,"N/A")</f>
        <v>-4.2954737520773874</v>
      </c>
      <c r="M652" s="84" t="s">
        <v>828</v>
      </c>
      <c r="N652" s="84" t="str" cm="1">
        <f t="array" ref="N652">IFERROR(M652-A652,"N/A")</f>
        <v>N/A</v>
      </c>
      <c r="O652" s="55"/>
      <c r="P652" s="56" cm="1">
        <f t="array" ref="P652">_xlfn.XLOOKUP($B652,ADP!A2:A671,ADP!G2:G671)</f>
        <v>0</v>
      </c>
      <c r="Q652" s="57" cm="1">
        <f t="array" ref="Q652">IF(Settings!$E$12="YES",VLOOKUP(B652,'Player Data'!A1:E673,5,FALSE),84)</f>
        <v>84</v>
      </c>
      <c r="R652" s="55" cm="1">
        <f t="array" ref="R652">VLOOKUP(B652,'Player Data'!$A1:$AE673,6,FALSE)</f>
        <v>15</v>
      </c>
      <c r="S652" s="57" cm="1">
        <f t="array" ref="S652">VLOOKUP(B652,'Player Data'!$A1:$AE673,7,FALSE)*$Q652*IFERROR((VLOOKUP(P652,Settings!$E$28:$F$33,2,FALSE)+1),1)</f>
        <v>14.280000000000001</v>
      </c>
      <c r="T652" s="57" cm="1">
        <f t="array" ref="T652">VLOOKUP(B652,'Player Data'!$A1:$AE673,8,FALSE)*$Q652*IFERROR((VLOOKUP(P652,Settings!$E$28:$F$33,2,FALSE)+1),1)</f>
        <v>14.280000000000001</v>
      </c>
      <c r="U652" s="57" cm="1">
        <f t="array" ref="U652">SUM(S652:T652)</f>
        <v>28.560000000000002</v>
      </c>
      <c r="V652" s="57" cm="1">
        <f t="array" ref="V652">VLOOKUP(B652,'Player Data'!$A1:$AE673,10,FALSE)*$Q652*IFERROR(((VLOOKUP(P652,Settings!$E$28:$F$33,2,FALSE)/2)+1),1)</f>
        <v>129.36000000000001</v>
      </c>
      <c r="W652" s="57" cm="1">
        <f t="array" ref="W652">VLOOKUP(B652,'Player Data'!$A1:$AE673,11,FALSE)*$Q652*IFERROR((VLOOKUP(P652,Settings!$E$28:$F$33,2,FALSE)+1),1)</f>
        <v>0</v>
      </c>
      <c r="X652" s="57" cm="1">
        <f t="array" ref="X652">VLOOKUP(B652,'Player Data'!$A1:$AE673,12,FALSE)*$Q652*IFERROR((VLOOKUP(P652,Settings!$E$28:$F$33,2,FALSE)+1),1)</f>
        <v>0</v>
      </c>
      <c r="Y652" s="57" cm="1">
        <f t="array" ref="Y652">VLOOKUP(B652,'Player Data'!$A1:$AE673,13,FALSE)*$Q652</f>
        <v>1.68</v>
      </c>
      <c r="Z652" s="57" cm="1">
        <f t="array" ref="Z652">VLOOKUP(B652,'Player Data'!$A1:$AE673,14,FALSE)*$Q652</f>
        <v>3.36</v>
      </c>
      <c r="AA652" s="57" cm="1">
        <f t="array" ref="AA652">VLOOKUP(B652,'Player Data'!$A1:$AE673,15,FALSE)*$Q652</f>
        <v>39.479999999999997</v>
      </c>
      <c r="AB652" s="57" cm="1">
        <f t="array" ref="AB652">VLOOKUP(B652,'Player Data'!$A1:$AE673,16,FALSE)*$Q652</f>
        <v>76.44</v>
      </c>
      <c r="AC652" s="57" cm="1">
        <f t="array" ref="AC652">VLOOKUP(B652,'Player Data'!$A1:$AE673,17,FALSE)*$Q652*IFERROR((VLOOKUP(P652,Settings!$E$28:$F$33,2,FALSE)+1),1)</f>
        <v>-10.08</v>
      </c>
      <c r="AD652" s="57" cm="1">
        <f t="array" ref="AD652">VLOOKUP(B652,'Player Data'!$A1:$AE673,18,FALSE)*$Q652</f>
        <v>32.76</v>
      </c>
      <c r="AE652" s="57" cm="1">
        <f t="array" ref="AE652">VLOOKUP(B652,'Player Data'!$A1:$AE673,19,FALSE)*$Q652*IFERROR((VLOOKUP(P652,Settings!$E$28:$F$33,2,FALSE)+1),1)</f>
        <v>1.68</v>
      </c>
      <c r="AF652" s="57" cm="1">
        <f t="array" ref="AF652">VLOOKUP(B652,'Player Data'!$A1:$AE673,20,FALSE)*$Q652</f>
        <v>48.72</v>
      </c>
      <c r="AG652" s="57" cm="1">
        <f t="array" ref="AG652">VLOOKUP(B652,'Player Data'!$A1:$AE673,21,FALSE)*$Q652</f>
        <v>57.959999999999994</v>
      </c>
      <c r="AH652" s="59" cm="1">
        <f t="array" ref="AH652">VLOOKUP(B652,'Player Data'!$A1:$AE673,22,FALSE)</f>
        <v>0.46</v>
      </c>
      <c r="AI652" s="55"/>
      <c r="AJ652" s="57"/>
      <c r="AK652" s="57"/>
      <c r="AL652" s="57"/>
      <c r="AM652" s="57"/>
      <c r="AN652" s="57"/>
      <c r="AO652" s="57"/>
      <c r="AP652" s="57"/>
      <c r="AQ652" s="60"/>
      <c r="AR652" s="61"/>
      <c r="AS652" s="55"/>
    </row>
    <row r="653" spans="1:45" ht="21.25" customHeight="1" x14ac:dyDescent="0.15">
      <c r="A653" s="62">
        <f>RANK(K653,K$2:K$671)</f>
        <v>653</v>
      </c>
      <c r="B653" s="10" t="s">
        <v>757</v>
      </c>
      <c r="C653" s="47" t="s">
        <v>145</v>
      </c>
      <c r="D653" s="48" t="str" cm="1">
        <f t="array" ref="D653">VLOOKUP(B653,'Player Data'!A1:D673,4,FALSE)</f>
        <v>C</v>
      </c>
      <c r="E653" s="49" cm="1">
        <f t="array" ref="E653">VLOOKUP(B653,'C'!A1:C210,3,FALSE)</f>
        <v>204</v>
      </c>
      <c r="F653" s="69" t="str" cm="1">
        <f t="array" ref="F653">VLOOKUP(B653,'Player Data'!A1:B673,2,FALSE)</f>
        <v>CBJ</v>
      </c>
      <c r="G653" s="11" cm="1">
        <f t="array" ref="G653">VLOOKUP(B653,'Player Data'!A1:D673,3,FALSE)</f>
        <v>26</v>
      </c>
      <c r="H653" s="67" cm="1">
        <f t="array" ref="H653">IFERROR(VLOOKUP(B653,ADP!A1:F671,6,FALSE)/1000000,VLOOKUP(B653,ADP!A1:F671,6,FALSE))</f>
        <v>1.3</v>
      </c>
      <c r="I653" s="52">
        <f>IF(Settings!$E$15="POINTS",((R653*Q653)*Settings!$B$12)+(S653*Settings!$B$2)+(T653*Settings!$B$3)+(U653*Settings!$B$4)+(V653*Settings!$B$5)+(X653*Settings!$B$9)+(AA653*Settings!$B$6)+(W653*Settings!$B$8)+(AB653*Settings!$B$7)+(AC653*Settings!$B$14)+(AD653*Settings!$B$15)+(AE653*Settings!$B$16)+(AF653*Settings!$B$17)+(AG653*Settings!$B$18)+(Y653*Settings!$B$10)+(Z653*Settings!$B$11),VLOOKUP(B653,'Standard Deviations'!A$1:C$672,3,FALSE))</f>
        <v>-4.4184116384583918</v>
      </c>
      <c r="J653" s="53" cm="1">
        <f t="array" ref="J653">IF(D653="G",I653/AJ653,I653/Q653)</f>
        <v>-5.664630305715887E-2</v>
      </c>
      <c r="K653" s="52" cm="1">
        <f t="array" ref="K653">IF(Settings!$E$18="C/LW/RW",VLOOKUP(B653,'C'!A1:F210,6,FALSE),VLOOKUP(B653,F!A1:F407,6,FALSE))</f>
        <v>-10.778421196073456</v>
      </c>
      <c r="L653" s="54" cm="1">
        <f t="array" ref="L653">IFERROR(K653/H653,"N/A")</f>
        <v>-8.2910932277488119</v>
      </c>
      <c r="M653" s="84" t="s">
        <v>828</v>
      </c>
      <c r="N653" s="84" t="str" cm="1">
        <f t="array" ref="N653">IFERROR(M653-A653,"N/A")</f>
        <v>N/A</v>
      </c>
      <c r="O653" s="55"/>
      <c r="P653" s="56" cm="1">
        <f t="array" ref="P653">_xlfn.XLOOKUP($B653,ADP!A2:A671,ADP!G2:G671)</f>
        <v>0</v>
      </c>
      <c r="Q653" s="57" cm="1">
        <f t="array" ref="Q653">IF(Settings!$E$12="YES",VLOOKUP(B653,'Player Data'!A1:E673,5,FALSE),84)</f>
        <v>78</v>
      </c>
      <c r="R653" s="55" cm="1">
        <f t="array" ref="R653">VLOOKUP(B653,'Player Data'!$A1:$AE673,6,FALSE)</f>
        <v>12.4</v>
      </c>
      <c r="S653" s="57" cm="1">
        <f t="array" ref="S653">VLOOKUP(B653,'Player Data'!$A1:$AE673,7,FALSE)*$Q653*IFERROR((VLOOKUP(P653,Settings!$E$28:$F$33,2,FALSE)+1),1)</f>
        <v>5.4600000000000009</v>
      </c>
      <c r="T653" s="57" cm="1">
        <f t="array" ref="T653">VLOOKUP(B653,'Player Data'!$A1:$AE673,8,FALSE)*$Q653*IFERROR((VLOOKUP(P653,Settings!$E$28:$F$33,2,FALSE)+1),1)</f>
        <v>10.14</v>
      </c>
      <c r="U653" s="57" cm="1">
        <f t="array" ref="U653">SUM(S653:T653)</f>
        <v>15.600000000000001</v>
      </c>
      <c r="V653" s="57" cm="1">
        <f t="array" ref="V653">VLOOKUP(B653,'Player Data'!$A1:$AE673,10,FALSE)*$Q653*IFERROR(((VLOOKUP(P653,Settings!$E$28:$F$33,2,FALSE)/2)+1),1)</f>
        <v>60.84</v>
      </c>
      <c r="W653" s="57" cm="1">
        <f t="array" ref="W653">VLOOKUP(B653,'Player Data'!$A1:$AE673,11,FALSE)*$Q653*IFERROR((VLOOKUP(P653,Settings!$E$28:$F$33,2,FALSE)+1),1)</f>
        <v>0</v>
      </c>
      <c r="X653" s="57" cm="1">
        <f t="array" ref="X653">VLOOKUP(B653,'Player Data'!$A1:$AE673,12,FALSE)*$Q653*IFERROR((VLOOKUP(P653,Settings!$E$28:$F$33,2,FALSE)+1),1)</f>
        <v>0</v>
      </c>
      <c r="Y653" s="57" cm="1">
        <f t="array" ref="Y653">VLOOKUP(B653,'Player Data'!$A1:$AE673,13,FALSE)*$Q653</f>
        <v>0</v>
      </c>
      <c r="Z653" s="57" cm="1">
        <f t="array" ref="Z653">VLOOKUP(B653,'Player Data'!$A1:$AE673,14,FALSE)*$Q653</f>
        <v>0</v>
      </c>
      <c r="AA653" s="57" cm="1">
        <f t="array" ref="AA653">VLOOKUP(B653,'Player Data'!$A1:$AE673,15,FALSE)*$Q653</f>
        <v>45.239999999999995</v>
      </c>
      <c r="AB653" s="57" cm="1">
        <f t="array" ref="AB653">VLOOKUP(B653,'Player Data'!$A1:$AE673,16,FALSE)*$Q653</f>
        <v>56.94</v>
      </c>
      <c r="AC653" s="57" cm="1">
        <f t="array" ref="AC653">VLOOKUP(B653,'Player Data'!$A1:$AE673,17,FALSE)*$Q653*IFERROR((VLOOKUP(P653,Settings!$E$28:$F$33,2,FALSE)+1),1)</f>
        <v>0</v>
      </c>
      <c r="AD653" s="57" cm="1">
        <f t="array" ref="AD653">VLOOKUP(B653,'Player Data'!$A1:$AE673,18,FALSE)*$Q653</f>
        <v>10.920000000000002</v>
      </c>
      <c r="AE653" s="57" cm="1">
        <f t="array" ref="AE653">VLOOKUP(B653,'Player Data'!$A1:$AE673,19,FALSE)*$Q653*IFERROR((VLOOKUP(P653,Settings!$E$28:$F$33,2,FALSE)+1),1)</f>
        <v>0.78</v>
      </c>
      <c r="AF653" s="57" cm="1">
        <f t="array" ref="AF653">VLOOKUP(B653,'Player Data'!$A1:$AE673,20,FALSE)*$Q653</f>
        <v>205.92000000000002</v>
      </c>
      <c r="AG653" s="57" cm="1">
        <f t="array" ref="AG653">VLOOKUP(B653,'Player Data'!$A1:$AE673,21,FALSE)*$Q653</f>
        <v>219.95999999999998</v>
      </c>
      <c r="AH653" s="59" cm="1">
        <f t="array" ref="AH653">VLOOKUP(B653,'Player Data'!$A1:$AE673,22,FALSE)</f>
        <v>0.48</v>
      </c>
      <c r="AI653" s="55"/>
      <c r="AJ653" s="57"/>
      <c r="AK653" s="57"/>
      <c r="AL653" s="57"/>
      <c r="AM653" s="57"/>
      <c r="AN653" s="57"/>
      <c r="AO653" s="57"/>
      <c r="AP653" s="57"/>
      <c r="AQ653" s="60"/>
      <c r="AR653" s="61"/>
      <c r="AS653" s="55"/>
    </row>
    <row r="654" spans="1:45" ht="21.25" customHeight="1" x14ac:dyDescent="0.15">
      <c r="A654" s="62">
        <f>RANK(K654,K$2:K$671)</f>
        <v>652</v>
      </c>
      <c r="B654" s="10" t="s">
        <v>753</v>
      </c>
      <c r="C654" s="47" t="s">
        <v>145</v>
      </c>
      <c r="D654" s="48" t="str" cm="1">
        <f t="array" ref="D654">VLOOKUP(B654,'Player Data'!A1:D673,4,FALSE)</f>
        <v>RW</v>
      </c>
      <c r="E654" s="64" cm="1">
        <f t="array" ref="E654">VLOOKUP(B654,RW!A1:F210,3,FALSE)</f>
        <v>197</v>
      </c>
      <c r="F654" s="65" t="str" cm="1">
        <f t="array" ref="F654">VLOOKUP(B654,'Player Data'!A1:B673,2,FALSE)</f>
        <v>STL</v>
      </c>
      <c r="G654" s="11" cm="1">
        <f t="array" ref="G654">VLOOKUP(B654,'Player Data'!A1:D673,3,FALSE)</f>
        <v>26</v>
      </c>
      <c r="H654" s="67" cm="1">
        <f t="array" ref="H654">IFERROR(VLOOKUP(B654,ADP!A1:F671,6,FALSE)/1000000,VLOOKUP(B654,ADP!A1:F671,6,FALSE))</f>
        <v>2</v>
      </c>
      <c r="I654" s="52">
        <f>IF(Settings!$E$15="POINTS",((R654*Q654)*Settings!$B$12)+(S654*Settings!$B$2)+(T654*Settings!$B$3)+(U654*Settings!$B$4)+(V654*Settings!$B$5)+(X654*Settings!$B$9)+(AA654*Settings!$B$6)+(W654*Settings!$B$8)+(AB654*Settings!$B$7)+(AC654*Settings!$B$14)+(AD654*Settings!$B$15)+(AE654*Settings!$B$16)+(AF654*Settings!$B$17)+(AG654*Settings!$B$18)+(Y654*Settings!$B$10)+(Z654*Settings!$B$11),VLOOKUP(B654,'Standard Deviations'!A$1:C$672,3,FALSE))</f>
        <v>-3.8707791597885675</v>
      </c>
      <c r="J654" s="53" cm="1">
        <f t="array" ref="J654">IF(D654="G",I654/AJ654,I654/Q654)</f>
        <v>-5.4518016335050247E-2</v>
      </c>
      <c r="K654" s="52" cm="1">
        <f t="array" ref="K654">IF(Settings!$E$18="C/LW/RW",VLOOKUP(B654,RW!A1:F210,6,FALSE),VLOOKUP(B654,F!A1:F407,6,FALSE))</f>
        <v>-10.758013761597645</v>
      </c>
      <c r="L654" s="54" cm="1">
        <f t="array" ref="L654">IFERROR(K654/H654,"N/A")</f>
        <v>-5.3790068807988227</v>
      </c>
      <c r="M654" s="84" t="s">
        <v>828</v>
      </c>
      <c r="N654" s="84" t="str" cm="1">
        <f t="array" ref="N654">IFERROR(M654-A654,"N/A")</f>
        <v>N/A</v>
      </c>
      <c r="O654" s="55"/>
      <c r="P654" s="56" cm="1">
        <f t="array" ref="P654">_xlfn.XLOOKUP($B654,ADP!A2:A671,ADP!G2:G671)</f>
        <v>0</v>
      </c>
      <c r="Q654" s="57" cm="1">
        <f t="array" ref="Q654">IF(Settings!$E$12="YES",VLOOKUP(B654,'Player Data'!A1:E673,5,FALSE),84)</f>
        <v>71</v>
      </c>
      <c r="R654" s="83" cm="1">
        <f t="array" ref="R654">VLOOKUP(B654,'Player Data'!$A1:$AE673,6,FALSE)</f>
        <v>11.5</v>
      </c>
      <c r="S654" s="57" cm="1">
        <f t="array" ref="S654">VLOOKUP(B654,'Player Data'!$A1:$AE673,7,FALSE)*$Q654*IFERROR((VLOOKUP(P654,Settings!$E$28:$F$33,2,FALSE)+1),1)</f>
        <v>9.23</v>
      </c>
      <c r="T654" s="57" cm="1">
        <f t="array" ref="T654">VLOOKUP(B654,'Player Data'!$A1:$AE673,8,FALSE)*$Q654*IFERROR((VLOOKUP(P654,Settings!$E$28:$F$33,2,FALSE)+1),1)</f>
        <v>14.91</v>
      </c>
      <c r="U654" s="57" cm="1">
        <f t="array" ref="U654">SUM(S654:T654)</f>
        <v>24.14</v>
      </c>
      <c r="V654" s="57" cm="1">
        <f t="array" ref="V654">VLOOKUP(B654,'Player Data'!$A1:$AE673,10,FALSE)*$Q654*IFERROR(((VLOOKUP(P654,Settings!$E$28:$F$33,2,FALSE)/2)+1),1)</f>
        <v>76.680000000000007</v>
      </c>
      <c r="W654" s="57" cm="1">
        <f t="array" ref="W654">VLOOKUP(B654,'Player Data'!$A1:$AE673,11,FALSE)*$Q654*IFERROR((VLOOKUP(P654,Settings!$E$28:$F$33,2,FALSE)+1),1)</f>
        <v>0.71</v>
      </c>
      <c r="X654" s="57" cm="1">
        <f t="array" ref="X654">VLOOKUP(B654,'Player Data'!$A1:$AE673,12,FALSE)*$Q654*IFERROR((VLOOKUP(P654,Settings!$E$28:$F$33,2,FALSE)+1),1)</f>
        <v>0.71</v>
      </c>
      <c r="Y654" s="57" cm="1">
        <f t="array" ref="Y654">VLOOKUP(B654,'Player Data'!$A1:$AE673,13,FALSE)*$Q654</f>
        <v>0</v>
      </c>
      <c r="Z654" s="57" cm="1">
        <f t="array" ref="Z654">VLOOKUP(B654,'Player Data'!$A1:$AE673,14,FALSE)*$Q654</f>
        <v>0</v>
      </c>
      <c r="AA654" s="57" cm="1">
        <f t="array" ref="AA654">VLOOKUP(B654,'Player Data'!$A1:$AE673,15,FALSE)*$Q654</f>
        <v>20.59</v>
      </c>
      <c r="AB654" s="57" cm="1">
        <f t="array" ref="AB654">VLOOKUP(B654,'Player Data'!$A1:$AE673,16,FALSE)*$Q654</f>
        <v>54.67</v>
      </c>
      <c r="AC654" s="57" cm="1">
        <f t="array" ref="AC654">VLOOKUP(B654,'Player Data'!$A1:$AE673,17,FALSE)*$Q654*IFERROR((VLOOKUP(P654,Settings!$E$28:$F$33,2,FALSE)+1),1)</f>
        <v>-2.13</v>
      </c>
      <c r="AD654" s="57" cm="1">
        <f t="array" ref="AD654">VLOOKUP(B654,'Player Data'!$A1:$AE673,18,FALSE)*$Q654</f>
        <v>14.91</v>
      </c>
      <c r="AE654" s="57" cm="1">
        <f t="array" ref="AE654">VLOOKUP(B654,'Player Data'!$A1:$AE673,19,FALSE)*$Q654*IFERROR((VLOOKUP(P654,Settings!$E$28:$F$33,2,FALSE)+1),1)</f>
        <v>1.42</v>
      </c>
      <c r="AF654" s="57" cm="1">
        <f t="array" ref="AF654">VLOOKUP(B654,'Player Data'!$A1:$AE673,20,FALSE)*$Q654</f>
        <v>2.84</v>
      </c>
      <c r="AG654" s="57" cm="1">
        <f t="array" ref="AG654">VLOOKUP(B654,'Player Data'!$A1:$AE673,21,FALSE)*$Q654</f>
        <v>4.26</v>
      </c>
      <c r="AH654" s="59" cm="1">
        <f t="array" ref="AH654">VLOOKUP(B654,'Player Data'!$A1:$AE673,22,FALSE)</f>
        <v>0.42</v>
      </c>
      <c r="AI654" s="55"/>
      <c r="AJ654" s="57"/>
      <c r="AK654" s="57"/>
      <c r="AL654" s="57"/>
      <c r="AM654" s="57"/>
      <c r="AN654" s="57"/>
      <c r="AO654" s="57"/>
      <c r="AP654" s="57"/>
      <c r="AQ654" s="60"/>
      <c r="AR654" s="61"/>
      <c r="AS654" s="55"/>
    </row>
    <row r="655" spans="1:45" ht="21.25" customHeight="1" x14ac:dyDescent="0.15">
      <c r="A655" s="62">
        <f>RANK(K655,K$2:K$671)</f>
        <v>654</v>
      </c>
      <c r="B655" s="10" t="s">
        <v>765</v>
      </c>
      <c r="C655" s="47" t="s">
        <v>145</v>
      </c>
      <c r="D655" s="48" t="str" cm="1">
        <f t="array" ref="D655">VLOOKUP(B655,'Player Data'!A1:D673,4,FALSE)</f>
        <v>LW</v>
      </c>
      <c r="E655" s="75" cm="1">
        <f t="array" ref="E655">VLOOKUP(B655,LW!A1:C210,3,FALSE)</f>
        <v>197</v>
      </c>
      <c r="F655" s="72" t="str" cm="1">
        <f t="array" ref="F655">VLOOKUP(B655,'Player Data'!A1:B673,2,FALSE)</f>
        <v>PIT</v>
      </c>
      <c r="G655" s="11" cm="1">
        <f t="array" ref="G655">VLOOKUP(B655,'Player Data'!A1:D673,3,FALSE)</f>
        <v>26</v>
      </c>
      <c r="H655" s="67" cm="1">
        <f t="array" ref="H655">IFERROR(VLOOKUP(B655,ADP!A1:F671,6,FALSE)/1000000,VLOOKUP(B655,ADP!A1:F671,6,FALSE))</f>
        <v>0.8125</v>
      </c>
      <c r="I655" s="52">
        <f>IF(Settings!$E$15="POINTS",((R655*Q655)*Settings!$B$12)+(S655*Settings!$B$2)+(T655*Settings!$B$3)+(U655*Settings!$B$4)+(V655*Settings!$B$5)+(X655*Settings!$B$9)+(AA655*Settings!$B$6)+(W655*Settings!$B$8)+(AB655*Settings!$B$7)+(AC655*Settings!$B$14)+(AD655*Settings!$B$15)+(AE655*Settings!$B$16)+(AF655*Settings!$B$17)+(AG655*Settings!$B$18)+(Y655*Settings!$B$10)+(Z655*Settings!$B$11),VLOOKUP(B655,'Standard Deviations'!A$1:C$672,3,FALSE))</f>
        <v>-3.9799700446689483</v>
      </c>
      <c r="J655" s="53" cm="1">
        <f t="array" ref="J655">IF(D655="G",I655/AJ655,I655/Q655)</f>
        <v>-7.2363091721253603E-2</v>
      </c>
      <c r="K655" s="52" cm="1">
        <f t="array" ref="K655">IF(Settings!$E$18="C/LW/RW",VLOOKUP(B655,LW!A1:F210,6,FALSE),VLOOKUP(B655,F!A1:F407,6,FALSE))</f>
        <v>-10.874355689058758</v>
      </c>
      <c r="L655" s="54" cm="1">
        <f t="array" ref="L655">IFERROR(K655/H655,"N/A")</f>
        <v>-13.383822386533856</v>
      </c>
      <c r="M655" s="84" t="s">
        <v>828</v>
      </c>
      <c r="N655" s="84" t="str" cm="1">
        <f t="array" ref="N655">IFERROR(M655-A655,"N/A")</f>
        <v>N/A</v>
      </c>
      <c r="O655" s="55"/>
      <c r="P655" s="56" cm="1">
        <f t="array" ref="P655">_xlfn.XLOOKUP($B655,ADP!A2:A671,ADP!G2:G671)</f>
        <v>0</v>
      </c>
      <c r="Q655" s="57" cm="1">
        <f t="array" ref="Q655">IF(Settings!$E$12="YES",VLOOKUP(B655,'Player Data'!A1:E673,5,FALSE),84)</f>
        <v>55</v>
      </c>
      <c r="R655" s="55" cm="1">
        <f t="array" ref="R655">VLOOKUP(B655,'Player Data'!$A1:$AE673,6,FALSE)</f>
        <v>12.8</v>
      </c>
      <c r="S655" s="57" cm="1">
        <f t="array" ref="S655">VLOOKUP(B655,'Player Data'!$A1:$AE673,7,FALSE)*$Q655*IFERROR((VLOOKUP(P655,Settings!$E$28:$F$33,2,FALSE)+1),1)</f>
        <v>6.6</v>
      </c>
      <c r="T655" s="57" cm="1">
        <f t="array" ref="T655">VLOOKUP(B655,'Player Data'!$A1:$AE673,8,FALSE)*$Q655*IFERROR((VLOOKUP(P655,Settings!$E$28:$F$33,2,FALSE)+1),1)</f>
        <v>10.45</v>
      </c>
      <c r="U655" s="57" cm="1">
        <f t="array" ref="U655">SUM(S655:T655)</f>
        <v>17.049999999999997</v>
      </c>
      <c r="V655" s="57" cm="1">
        <f t="array" ref="V655">VLOOKUP(B655,'Player Data'!$A1:$AE673,10,FALSE)*$Q655*IFERROR(((VLOOKUP(P655,Settings!$E$28:$F$33,2,FALSE)/2)+1),1)</f>
        <v>74.800000000000011</v>
      </c>
      <c r="W655" s="57" cm="1">
        <f t="array" ref="W655">VLOOKUP(B655,'Player Data'!$A1:$AE673,11,FALSE)*$Q655*IFERROR((VLOOKUP(P655,Settings!$E$28:$F$33,2,FALSE)+1),1)</f>
        <v>0</v>
      </c>
      <c r="X655" s="57" cm="1">
        <f t="array" ref="X655">VLOOKUP(B655,'Player Data'!$A1:$AE673,12,FALSE)*$Q655*IFERROR((VLOOKUP(P655,Settings!$E$28:$F$33,2,FALSE)+1),1)</f>
        <v>0</v>
      </c>
      <c r="Y655" s="57" cm="1">
        <f t="array" ref="Y655">VLOOKUP(B655,'Player Data'!$A1:$AE673,13,FALSE)*$Q655</f>
        <v>1.65</v>
      </c>
      <c r="Z655" s="57" cm="1">
        <f t="array" ref="Z655">VLOOKUP(B655,'Player Data'!$A1:$AE673,14,FALSE)*$Q655</f>
        <v>2.2000000000000002</v>
      </c>
      <c r="AA655" s="57" cm="1">
        <f t="array" ref="AA655">VLOOKUP(B655,'Player Data'!$A1:$AE673,15,FALSE)*$Q655</f>
        <v>25.849999999999998</v>
      </c>
      <c r="AB655" s="57" cm="1">
        <f t="array" ref="AB655">VLOOKUP(B655,'Player Data'!$A1:$AE673,16,FALSE)*$Q655</f>
        <v>59.95</v>
      </c>
      <c r="AC655" s="57" cm="1">
        <f t="array" ref="AC655">VLOOKUP(B655,'Player Data'!$A1:$AE673,17,FALSE)*$Q655*IFERROR((VLOOKUP(P655,Settings!$E$28:$F$33,2,FALSE)+1),1)</f>
        <v>0</v>
      </c>
      <c r="AD655" s="57" cm="1">
        <f t="array" ref="AD655">VLOOKUP(B655,'Player Data'!$A1:$AE673,18,FALSE)*$Q655</f>
        <v>15.400000000000002</v>
      </c>
      <c r="AE655" s="57" cm="1">
        <f t="array" ref="AE655">VLOOKUP(B655,'Player Data'!$A1:$AE673,19,FALSE)*$Q655*IFERROR((VLOOKUP(P655,Settings!$E$28:$F$33,2,FALSE)+1),1)</f>
        <v>1.1000000000000001</v>
      </c>
      <c r="AF655" s="57" cm="1">
        <f t="array" ref="AF655">VLOOKUP(B655,'Player Data'!$A1:$AE673,20,FALSE)*$Q655</f>
        <v>0</v>
      </c>
      <c r="AG655" s="57" cm="1">
        <f t="array" ref="AG655">VLOOKUP(B655,'Player Data'!$A1:$AE673,21,FALSE)*$Q655</f>
        <v>8.25</v>
      </c>
      <c r="AH655" s="59" cm="1">
        <f t="array" ref="AH655">VLOOKUP(B655,'Player Data'!$A1:$AE673,22,FALSE)</f>
        <v>0</v>
      </c>
      <c r="AI655" s="55"/>
      <c r="AJ655" s="57"/>
      <c r="AK655" s="57"/>
      <c r="AL655" s="57"/>
      <c r="AM655" s="57"/>
      <c r="AN655" s="57"/>
      <c r="AO655" s="57"/>
      <c r="AP655" s="57"/>
      <c r="AQ655" s="60"/>
      <c r="AR655" s="61"/>
      <c r="AS655" s="55"/>
    </row>
    <row r="656" spans="1:45" ht="21.25" customHeight="1" x14ac:dyDescent="0.15">
      <c r="A656" s="62">
        <f>RANK(K656,K$2:K$671)</f>
        <v>655</v>
      </c>
      <c r="B656" s="10" t="s">
        <v>763</v>
      </c>
      <c r="C656" s="47" t="s">
        <v>145</v>
      </c>
      <c r="D656" s="48" t="str" cm="1">
        <f t="array" ref="D656">VLOOKUP(B656,'Player Data'!A1:D673,4,FALSE)</f>
        <v>LW,RW</v>
      </c>
      <c r="E656" s="74" cm="1">
        <f t="array" ref="E656">VLOOKUP(B656,RW!A1:F210,3,FALSE)</f>
        <v>198</v>
      </c>
      <c r="F656" s="63" t="str" cm="1">
        <f t="array" ref="F656">VLOOKUP(B656,'Player Data'!A1:B673,2,FALSE)</f>
        <v>CGY</v>
      </c>
      <c r="G656" s="11" cm="1">
        <f t="array" ref="G656">VLOOKUP(B656,'Player Data'!A1:D673,3,FALSE)</f>
        <v>28</v>
      </c>
      <c r="H656" s="67" cm="1">
        <f t="array" ref="H656">IFERROR(VLOOKUP(B656,ADP!A1:F671,6,FALSE)/1000000,VLOOKUP(B656,ADP!A1:F671,6,FALSE))</f>
        <v>2.2000000000000002</v>
      </c>
      <c r="I656" s="52">
        <f>IF(Settings!$E$15="POINTS",((R656*Q656)*Settings!$B$12)+(S656*Settings!$B$2)+(T656*Settings!$B$3)+(U656*Settings!$B$4)+(V656*Settings!$B$5)+(X656*Settings!$B$9)+(AA656*Settings!$B$6)+(W656*Settings!$B$8)+(AB656*Settings!$B$7)+(AC656*Settings!$B$14)+(AD656*Settings!$B$15)+(AE656*Settings!$B$16)+(AF656*Settings!$B$17)+(AG656*Settings!$B$18)+(Y656*Settings!$B$10)+(Z656*Settings!$B$11),VLOOKUP(B656,'Standard Deviations'!A$1:C$672,3,FALSE))</f>
        <v>-4.0634360510744019</v>
      </c>
      <c r="J656" s="53" cm="1">
        <f t="array" ref="J656">IF(D656="G",I656/AJ656,I656/Q656)</f>
        <v>-5.3466263829926343E-2</v>
      </c>
      <c r="K656" s="52" cm="1">
        <f t="array" ref="K656">IF(Settings!$E$18="C/LW/RW",VLOOKUP(B656,RW!A1:F210,6,FALSE),VLOOKUP(B656,F!A1:F407,6,FALSE))</f>
        <v>-10.950670652883479</v>
      </c>
      <c r="L656" s="54" cm="1">
        <f t="array" ref="L656">IFERROR(K656/H656,"N/A")</f>
        <v>-4.9775775694924906</v>
      </c>
      <c r="M656" s="84" t="s">
        <v>828</v>
      </c>
      <c r="N656" s="84" t="str" cm="1">
        <f t="array" ref="N656">IFERROR(M656-A656,"N/A")</f>
        <v>N/A</v>
      </c>
      <c r="O656" s="80"/>
      <c r="P656" s="56" cm="1">
        <f t="array" ref="P656">_xlfn.XLOOKUP($B656,ADP!A2:A671,ADP!G2:G671)</f>
        <v>0</v>
      </c>
      <c r="Q656" s="57" cm="1">
        <f t="array" ref="Q656">IF(Settings!$E$12="YES",VLOOKUP(B656,'Player Data'!A1:E673,5,FALSE),84)</f>
        <v>76</v>
      </c>
      <c r="R656" s="81" cm="1">
        <f t="array" ref="R656">VLOOKUP(B656,'Player Data'!$A1:$AE673,6,FALSE)</f>
        <v>10.5</v>
      </c>
      <c r="S656" s="57" cm="1">
        <f t="array" ref="S656">VLOOKUP(B656,'Player Data'!$A1:$AE673,7,FALSE)*$Q656*IFERROR((VLOOKUP(P656,Settings!$E$28:$F$33,2,FALSE)+1),1)</f>
        <v>6.08</v>
      </c>
      <c r="T656" s="57" cm="1">
        <f t="array" ref="T656">VLOOKUP(B656,'Player Data'!$A1:$AE673,8,FALSE)*$Q656*IFERROR((VLOOKUP(P656,Settings!$E$28:$F$33,2,FALSE)+1),1)</f>
        <v>11.4</v>
      </c>
      <c r="U656" s="57" cm="1">
        <f t="array" ref="U656">SUM(S656:T656)</f>
        <v>17.48</v>
      </c>
      <c r="V656" s="57" cm="1">
        <f t="array" ref="V656">VLOOKUP(B656,'Player Data'!$A1:$AE673,10,FALSE)*$Q656*IFERROR(((VLOOKUP(P656,Settings!$E$28:$F$33,2,FALSE)/2)+1),1)</f>
        <v>78.28</v>
      </c>
      <c r="W656" s="57" cm="1">
        <f t="array" ref="W656">VLOOKUP(B656,'Player Data'!$A1:$AE673,11,FALSE)*$Q656*IFERROR((VLOOKUP(P656,Settings!$E$28:$F$33,2,FALSE)+1),1)</f>
        <v>0</v>
      </c>
      <c r="X656" s="57" cm="1">
        <f t="array" ref="X656">VLOOKUP(B656,'Player Data'!$A1:$AE673,12,FALSE)*$Q656*IFERROR((VLOOKUP(P656,Settings!$E$28:$F$33,2,FALSE)+1),1)</f>
        <v>0</v>
      </c>
      <c r="Y656" s="57" cm="1">
        <f t="array" ref="Y656">VLOOKUP(B656,'Player Data'!$A1:$AE673,13,FALSE)*$Q656</f>
        <v>0</v>
      </c>
      <c r="Z656" s="57" cm="1">
        <f t="array" ref="Z656">VLOOKUP(B656,'Player Data'!$A1:$AE673,14,FALSE)*$Q656</f>
        <v>0</v>
      </c>
      <c r="AA656" s="57" cm="1">
        <f t="array" ref="AA656">VLOOKUP(B656,'Player Data'!$A1:$AE673,15,FALSE)*$Q656</f>
        <v>24.32</v>
      </c>
      <c r="AB656" s="57" cm="1">
        <f t="array" ref="AB656">VLOOKUP(B656,'Player Data'!$A1:$AE673,16,FALSE)*$Q656</f>
        <v>124.63999999999999</v>
      </c>
      <c r="AC656" s="57" cm="1">
        <f t="array" ref="AC656">VLOOKUP(B656,'Player Data'!$A1:$AE673,17,FALSE)*$Q656*IFERROR((VLOOKUP(P656,Settings!$E$28:$F$33,2,FALSE)+1),1)</f>
        <v>-6.84</v>
      </c>
      <c r="AD656" s="57" cm="1">
        <f t="array" ref="AD656">VLOOKUP(B656,'Player Data'!$A1:$AE673,18,FALSE)*$Q656</f>
        <v>20.520000000000003</v>
      </c>
      <c r="AE656" s="57" cm="1">
        <f t="array" ref="AE656">VLOOKUP(B656,'Player Data'!$A1:$AE673,19,FALSE)*$Q656*IFERROR((VLOOKUP(P656,Settings!$E$28:$F$33,2,FALSE)+1),1)</f>
        <v>0.76</v>
      </c>
      <c r="AF656" s="57" cm="1">
        <f t="array" ref="AF656">VLOOKUP(B656,'Player Data'!$A1:$AE673,20,FALSE)*$Q656</f>
        <v>12.920000000000002</v>
      </c>
      <c r="AG656" s="57" cm="1">
        <f t="array" ref="AG656">VLOOKUP(B656,'Player Data'!$A1:$AE673,21,FALSE)*$Q656</f>
        <v>15.959999999999999</v>
      </c>
      <c r="AH656" s="59" cm="1">
        <f t="array" ref="AH656">VLOOKUP(B656,'Player Data'!$A1:$AE673,22,FALSE)</f>
        <v>0.44</v>
      </c>
      <c r="AI656" s="55"/>
      <c r="AJ656" s="57"/>
      <c r="AK656" s="57"/>
      <c r="AL656" s="57"/>
      <c r="AM656" s="57"/>
      <c r="AN656" s="57"/>
      <c r="AO656" s="57"/>
      <c r="AP656" s="57"/>
      <c r="AQ656" s="60"/>
      <c r="AR656" s="61"/>
      <c r="AS656" s="55"/>
    </row>
    <row r="657" spans="1:45" ht="21.25" customHeight="1" x14ac:dyDescent="0.15">
      <c r="A657" s="62">
        <f>RANK(K657,K$2:K$671)</f>
        <v>656</v>
      </c>
      <c r="B657" s="10" t="s">
        <v>693</v>
      </c>
      <c r="C657" s="47" t="s">
        <v>145</v>
      </c>
      <c r="D657" s="48" t="str" cm="1">
        <f t="array" ref="D657">VLOOKUP(B657,'Player Data'!A1:D673,4,FALSE)</f>
        <v>C,LW,RW</v>
      </c>
      <c r="E657" s="74" cm="1">
        <f t="array" ref="E657">VLOOKUP(B657,RW!A1:F210,3,FALSE)</f>
        <v>199</v>
      </c>
      <c r="F657" s="65" t="str" cm="1">
        <f t="array" ref="F657">VLOOKUP(B657,'Player Data'!A1:B673,2,FALSE)</f>
        <v>NSH</v>
      </c>
      <c r="G657" s="66" cm="1">
        <f t="array" ref="G657">VLOOKUP(B657,'Player Data'!A1:D673,3,FALSE)</f>
        <v>32</v>
      </c>
      <c r="H657" s="51" cm="1">
        <f t="array" ref="H657">IFERROR(VLOOKUP(B657,ADP!A1:F671,6,FALSE)/1000000,VLOOKUP(B657,ADP!A1:F671,6,FALSE))</f>
        <v>3.5</v>
      </c>
      <c r="I657" s="52">
        <f>IF(Settings!$E$15="POINTS",((R657*Q657)*Settings!$B$12)+(S657*Settings!$B$2)+(T657*Settings!$B$3)+(U657*Settings!$B$4)+(V657*Settings!$B$5)+(X657*Settings!$B$9)+(AA657*Settings!$B$6)+(W657*Settings!$B$8)+(AB657*Settings!$B$7)+(AC657*Settings!$B$14)+(AD657*Settings!$B$15)+(AE657*Settings!$B$16)+(AF657*Settings!$B$17)+(AG657*Settings!$B$18)+(Y657*Settings!$B$10)+(Z657*Settings!$B$11),VLOOKUP(B657,'Standard Deviations'!A$1:C$672,3,FALSE))</f>
        <v>-4.1446360347583466</v>
      </c>
      <c r="J657" s="53" cm="1">
        <f t="array" ref="J657">IF(D657="G",I657/AJ657,I657/Q657)</f>
        <v>-5.5261813796777956E-2</v>
      </c>
      <c r="K657" s="52" cm="1">
        <f t="array" ref="K657">IF(Settings!$E$18="C/LW/RW",VLOOKUP(B657,RW!A1:F210,6,FALSE),VLOOKUP(B657,F!A1:F407,6,FALSE))</f>
        <v>-11.031870636567424</v>
      </c>
      <c r="L657" s="54" cm="1">
        <f t="array" ref="L657">IFERROR(K657/H657,"N/A")</f>
        <v>-3.1519630390192641</v>
      </c>
      <c r="M657" s="84" t="s">
        <v>828</v>
      </c>
      <c r="N657" s="84" t="str" cm="1">
        <f t="array" ref="N657">IFERROR(M657-A657,"N/A")</f>
        <v>N/A</v>
      </c>
      <c r="O657" s="82"/>
      <c r="P657" s="56" cm="1">
        <f t="array" ref="P657">_xlfn.XLOOKUP($B657,ADP!A2:A671,ADP!G2:G671)</f>
        <v>0</v>
      </c>
      <c r="Q657" s="57" cm="1">
        <f t="array" ref="Q657">IF(Settings!$E$12="YES",VLOOKUP(B657,'Player Data'!A1:E673,5,FALSE),84)</f>
        <v>75</v>
      </c>
      <c r="R657" s="55" cm="1">
        <f t="array" ref="R657">VLOOKUP(B657,'Player Data'!$A1:$AE673,6,FALSE)</f>
        <v>13.2</v>
      </c>
      <c r="S657" s="57" cm="1">
        <f t="array" ref="S657">VLOOKUP(B657,'Player Data'!$A1:$AE673,7,FALSE)*$Q657*IFERROR((VLOOKUP(P657,Settings!$E$28:$F$33,2,FALSE)+1),1)</f>
        <v>9</v>
      </c>
      <c r="T657" s="57" cm="1">
        <f t="array" ref="T657">VLOOKUP(B657,'Player Data'!$A1:$AE673,8,FALSE)*$Q657*IFERROR((VLOOKUP(P657,Settings!$E$28:$F$33,2,FALSE)+1),1)</f>
        <v>12.750000000000002</v>
      </c>
      <c r="U657" s="57" cm="1">
        <f t="array" ref="U657">SUM(S657:T657)</f>
        <v>21.75</v>
      </c>
      <c r="V657" s="57" cm="1">
        <f t="array" ref="V657">VLOOKUP(B657,'Player Data'!$A1:$AE673,10,FALSE)*$Q657*IFERROR(((VLOOKUP(P657,Settings!$E$28:$F$33,2,FALSE)/2)+1),1)</f>
        <v>69</v>
      </c>
      <c r="W657" s="57" cm="1">
        <f t="array" ref="W657">VLOOKUP(B657,'Player Data'!$A1:$AE673,11,FALSE)*$Q657*IFERROR((VLOOKUP(P657,Settings!$E$28:$F$33,2,FALSE)+1),1)</f>
        <v>0</v>
      </c>
      <c r="X657" s="57" cm="1">
        <f t="array" ref="X657">VLOOKUP(B657,'Player Data'!$A1:$AE673,12,FALSE)*$Q657*IFERROR((VLOOKUP(P657,Settings!$E$28:$F$33,2,FALSE)+1),1)</f>
        <v>0</v>
      </c>
      <c r="Y657" s="57" cm="1">
        <f t="array" ref="Y657">VLOOKUP(B657,'Player Data'!$A1:$AE673,13,FALSE)*$Q657</f>
        <v>0.75</v>
      </c>
      <c r="Z657" s="57" cm="1">
        <f t="array" ref="Z657">VLOOKUP(B657,'Player Data'!$A1:$AE673,14,FALSE)*$Q657</f>
        <v>1.5</v>
      </c>
      <c r="AA657" s="57" cm="1">
        <f t="array" ref="AA657">VLOOKUP(B657,'Player Data'!$A1:$AE673,15,FALSE)*$Q657</f>
        <v>54</v>
      </c>
      <c r="AB657" s="57" cm="1">
        <f t="array" ref="AB657">VLOOKUP(B657,'Player Data'!$A1:$AE673,16,FALSE)*$Q657</f>
        <v>69</v>
      </c>
      <c r="AC657" s="57" cm="1">
        <f t="array" ref="AC657">VLOOKUP(B657,'Player Data'!$A1:$AE673,17,FALSE)*$Q657*IFERROR((VLOOKUP(P657,Settings!$E$28:$F$33,2,FALSE)+1),1)</f>
        <v>-3</v>
      </c>
      <c r="AD657" s="57" cm="1">
        <f t="array" ref="AD657">VLOOKUP(B657,'Player Data'!$A1:$AE673,18,FALSE)*$Q657</f>
        <v>22.5</v>
      </c>
      <c r="AE657" s="57" cm="1">
        <f t="array" ref="AE657">VLOOKUP(B657,'Player Data'!$A1:$AE673,19,FALSE)*$Q657*IFERROR((VLOOKUP(P657,Settings!$E$28:$F$33,2,FALSE)+1),1)</f>
        <v>1.5</v>
      </c>
      <c r="AF657" s="57" cm="1">
        <f t="array" ref="AF657">VLOOKUP(B657,'Player Data'!$A1:$AE673,20,FALSE)*$Q657</f>
        <v>256.5</v>
      </c>
      <c r="AG657" s="57" cm="1">
        <f t="array" ref="AG657">VLOOKUP(B657,'Player Data'!$A1:$AE673,21,FALSE)*$Q657</f>
        <v>251.25</v>
      </c>
      <c r="AH657" s="59" cm="1">
        <f t="array" ref="AH657">VLOOKUP(B657,'Player Data'!$A1:$AE673,22,FALSE)</f>
        <v>0.51</v>
      </c>
      <c r="AI657" s="55"/>
      <c r="AJ657" s="57"/>
      <c r="AK657" s="57"/>
      <c r="AL657" s="57"/>
      <c r="AM657" s="57"/>
      <c r="AN657" s="57"/>
      <c r="AO657" s="57"/>
      <c r="AP657" s="57"/>
      <c r="AQ657" s="60"/>
      <c r="AR657" s="61"/>
      <c r="AS657" s="55"/>
    </row>
    <row r="658" spans="1:45" ht="21.25" customHeight="1" x14ac:dyDescent="0.15">
      <c r="A658" s="62">
        <f>RANK(K658,K$2:K$671)</f>
        <v>657</v>
      </c>
      <c r="B658" s="10" t="s">
        <v>647</v>
      </c>
      <c r="C658" s="47" t="s">
        <v>145</v>
      </c>
      <c r="D658" s="48" t="str" cm="1">
        <f t="array" ref="D658">VLOOKUP(B658,'Player Data'!A1:D673,4,FALSE)</f>
        <v>C,LW</v>
      </c>
      <c r="E658" s="74" cm="1">
        <f t="array" ref="E658">VLOOKUP(B658,LW!A1:C210,3,FALSE)</f>
        <v>200</v>
      </c>
      <c r="F658" s="63" t="str" cm="1">
        <f t="array" ref="F658">VLOOKUP(B658,'Player Data'!A1:B673,2,FALSE)</f>
        <v>SEA</v>
      </c>
      <c r="G658" s="71" cm="1">
        <f t="array" ref="G658">VLOOKUP(B658,'Player Data'!A1:D673,3,FALSE)</f>
        <v>20</v>
      </c>
      <c r="H658" s="51" cm="1">
        <f t="array" ref="H658">IFERROR(VLOOKUP(B658,ADP!A1:F671,6,FALSE)/1000000,VLOOKUP(B658,ADP!A1:F671,6,FALSE))</f>
        <v>0.95374999999999999</v>
      </c>
      <c r="I658" s="52">
        <f>IF(Settings!$E$15="POINTS",((R658*Q658)*Settings!$B$12)+(S658*Settings!$B$2)+(T658*Settings!$B$3)+(U658*Settings!$B$4)+(V658*Settings!$B$5)+(X658*Settings!$B$9)+(AA658*Settings!$B$6)+(W658*Settings!$B$8)+(AB658*Settings!$B$7)+(AC658*Settings!$B$14)+(AD658*Settings!$B$15)+(AE658*Settings!$B$16)+(AF658*Settings!$B$17)+(AG658*Settings!$B$18)+(Y658*Settings!$B$10)+(Z658*Settings!$B$11),VLOOKUP(B658,'Standard Deviations'!A$1:C$672,3,FALSE))</f>
        <v>-4.228311474752303</v>
      </c>
      <c r="J658" s="53" cm="1">
        <f t="array" ref="J658">IF(D658="G",I658/AJ658,I658/Q658)</f>
        <v>-5.4913136035744194E-2</v>
      </c>
      <c r="K658" s="52" cm="1">
        <f t="array" ref="K658">IF(Settings!$E$18="C/LW/RW",VLOOKUP(B658,LW!A1:F210,6,FALSE),VLOOKUP(B658,F!A1:F407,6,FALSE))</f>
        <v>-11.122697119142114</v>
      </c>
      <c r="L658" s="54" cm="1">
        <f t="array" ref="L658">IFERROR(K658/H658,"N/A")</f>
        <v>-11.662067752704706</v>
      </c>
      <c r="M658" s="84" t="s">
        <v>828</v>
      </c>
      <c r="N658" s="84" t="str" cm="1">
        <f t="array" ref="N658">IFERROR(M658-A658,"N/A")</f>
        <v>N/A</v>
      </c>
      <c r="O658" s="55"/>
      <c r="P658" s="56" cm="1">
        <f t="array" ref="P658">_xlfn.XLOOKUP($B658,ADP!A2:A671,ADP!G2:G671)</f>
        <v>0</v>
      </c>
      <c r="Q658" s="57" cm="1">
        <f t="array" ref="Q658">IF(Settings!$E$12="YES",VLOOKUP(B658,'Player Data'!A1:E673,5,FALSE),84)</f>
        <v>77</v>
      </c>
      <c r="R658" s="81" cm="1">
        <f t="array" ref="R658">VLOOKUP(B658,'Player Data'!$A1:$AE673,6,FALSE)</f>
        <v>14.4</v>
      </c>
      <c r="S658" s="57" cm="1">
        <f t="array" ref="S658">VLOOKUP(B658,'Player Data'!$A1:$AE673,7,FALSE)*$Q658*IFERROR((VLOOKUP(P658,Settings!$E$28:$F$33,2,FALSE)+1),1)</f>
        <v>11.549999999999999</v>
      </c>
      <c r="T658" s="57" cm="1">
        <f t="array" ref="T658">VLOOKUP(B658,'Player Data'!$A1:$AE673,8,FALSE)*$Q658*IFERROR((VLOOKUP(P658,Settings!$E$28:$F$33,2,FALSE)+1),1)</f>
        <v>16.940000000000001</v>
      </c>
      <c r="U658" s="57" cm="1">
        <f t="array" ref="U658">SUM(S658:T658)</f>
        <v>28.490000000000002</v>
      </c>
      <c r="V658" s="57" cm="1">
        <f t="array" ref="V658">VLOOKUP(B658,'Player Data'!$A1:$AE673,10,FALSE)*$Q658*IFERROR(((VLOOKUP(P658,Settings!$E$28:$F$33,2,FALSE)/2)+1),1)</f>
        <v>109.33999999999999</v>
      </c>
      <c r="W658" s="57" cm="1">
        <f t="array" ref="W658">VLOOKUP(B658,'Player Data'!$A1:$AE673,11,FALSE)*$Q658*IFERROR((VLOOKUP(P658,Settings!$E$28:$F$33,2,FALSE)+1),1)</f>
        <v>2.31</v>
      </c>
      <c r="X658" s="57" cm="1">
        <f t="array" ref="X658">VLOOKUP(B658,'Player Data'!$A1:$AE673,12,FALSE)*$Q658*IFERROR((VLOOKUP(P658,Settings!$E$28:$F$33,2,FALSE)+1),1)</f>
        <v>4.62</v>
      </c>
      <c r="Y658" s="57" cm="1">
        <f t="array" ref="Y658">VLOOKUP(B658,'Player Data'!$A1:$AE673,13,FALSE)*$Q658</f>
        <v>0</v>
      </c>
      <c r="Z658" s="57" cm="1">
        <f t="array" ref="Z658">VLOOKUP(B658,'Player Data'!$A1:$AE673,14,FALSE)*$Q658</f>
        <v>0</v>
      </c>
      <c r="AA658" s="57" cm="1">
        <f t="array" ref="AA658">VLOOKUP(B658,'Player Data'!$A1:$AE673,15,FALSE)*$Q658</f>
        <v>36.96</v>
      </c>
      <c r="AB658" s="57" cm="1">
        <f t="array" ref="AB658">VLOOKUP(B658,'Player Data'!$A1:$AE673,16,FALSE)*$Q658</f>
        <v>23.099999999999998</v>
      </c>
      <c r="AC658" s="57" cm="1">
        <f t="array" ref="AC658">VLOOKUP(B658,'Player Data'!$A1:$AE673,17,FALSE)*$Q658*IFERROR((VLOOKUP(P658,Settings!$E$28:$F$33,2,FALSE)+1),1)</f>
        <v>-6.93</v>
      </c>
      <c r="AD658" s="57" cm="1">
        <f t="array" ref="AD658">VLOOKUP(B658,'Player Data'!$A1:$AE673,18,FALSE)*$Q658</f>
        <v>34.65</v>
      </c>
      <c r="AE658" s="57" cm="1">
        <f t="array" ref="AE658">VLOOKUP(B658,'Player Data'!$A1:$AE673,19,FALSE)*$Q658*IFERROR((VLOOKUP(P658,Settings!$E$28:$F$33,2,FALSE)+1),1)</f>
        <v>1.54</v>
      </c>
      <c r="AF658" s="57" cm="1">
        <f t="array" ref="AF658">VLOOKUP(B658,'Player Data'!$A1:$AE673,20,FALSE)*$Q658</f>
        <v>90.86</v>
      </c>
      <c r="AG658" s="57" cm="1">
        <f t="array" ref="AG658">VLOOKUP(B658,'Player Data'!$A1:$AE673,21,FALSE)*$Q658</f>
        <v>114.73</v>
      </c>
      <c r="AH658" s="59" cm="1">
        <f t="array" ref="AH658">VLOOKUP(B658,'Player Data'!$A1:$AE673,22,FALSE)</f>
        <v>0.44</v>
      </c>
      <c r="AI658" s="55"/>
      <c r="AJ658" s="57"/>
      <c r="AK658" s="57"/>
      <c r="AL658" s="57"/>
      <c r="AM658" s="57"/>
      <c r="AN658" s="57"/>
      <c r="AO658" s="57"/>
      <c r="AP658" s="57"/>
      <c r="AQ658" s="60"/>
      <c r="AR658" s="61"/>
      <c r="AS658" s="55"/>
    </row>
    <row r="659" spans="1:45" ht="21.25" customHeight="1" x14ac:dyDescent="0.15">
      <c r="A659" s="62">
        <f>RANK(K659,K$2:K$671)</f>
        <v>658</v>
      </c>
      <c r="B659" s="10" t="s">
        <v>790</v>
      </c>
      <c r="C659" s="47" t="s">
        <v>145</v>
      </c>
      <c r="D659" s="48" t="str" cm="1">
        <f t="array" ref="D659">VLOOKUP(B659,'Player Data'!A1:D673,4,FALSE)</f>
        <v>RW</v>
      </c>
      <c r="E659" s="64" cm="1">
        <f t="array" ref="E659">VLOOKUP(B659,RW!A1:F210,3,FALSE)</f>
        <v>200</v>
      </c>
      <c r="F659" s="63" t="str" cm="1">
        <f t="array" ref="F659">VLOOKUP(B659,'Player Data'!A1:B673,2,FALSE)</f>
        <v>VGK</v>
      </c>
      <c r="G659" s="11" cm="1">
        <f t="array" ref="G659">VLOOKUP(B659,'Player Data'!A1:D673,3,FALSE)</f>
        <v>27</v>
      </c>
      <c r="H659" s="51" cm="1">
        <f t="array" ref="H659">IFERROR(VLOOKUP(B659,ADP!A1:F671,6,FALSE)/1000000,VLOOKUP(B659,ADP!A1:F671,6,FALSE))</f>
        <v>0.85</v>
      </c>
      <c r="I659" s="52">
        <f>IF(Settings!$E$15="POINTS",((R659*Q659)*Settings!$B$12)+(S659*Settings!$B$2)+(T659*Settings!$B$3)+(U659*Settings!$B$4)+(V659*Settings!$B$5)+(X659*Settings!$B$9)+(AA659*Settings!$B$6)+(W659*Settings!$B$8)+(AB659*Settings!$B$7)+(AC659*Settings!$B$14)+(AD659*Settings!$B$15)+(AE659*Settings!$B$16)+(AF659*Settings!$B$17)+(AG659*Settings!$B$18)+(Y659*Settings!$B$10)+(Z659*Settings!$B$11),VLOOKUP(B659,'Standard Deviations'!A$1:C$672,3,FALSE))</f>
        <v>-4.2781138537097068</v>
      </c>
      <c r="J659" s="53" cm="1">
        <f t="array" ref="J659">IF(D659="G",I659/AJ659,I659/Q659)</f>
        <v>-7.9224330624253825E-2</v>
      </c>
      <c r="K659" s="52" cm="1">
        <f t="array" ref="K659">IF(Settings!$E$18="C/LW/RW",VLOOKUP(B659,RW!A1:F210,6,FALSE),VLOOKUP(B659,F!A1:F407,6,FALSE))</f>
        <v>-11.165348455518785</v>
      </c>
      <c r="L659" s="54" cm="1">
        <f t="array" ref="L659">IFERROR(K659/H659,"N/A")</f>
        <v>-13.135704065316219</v>
      </c>
      <c r="M659" s="84" t="s">
        <v>828</v>
      </c>
      <c r="N659" s="84" t="str" cm="1">
        <f t="array" ref="N659">IFERROR(M659-A659,"N/A")</f>
        <v>N/A</v>
      </c>
      <c r="O659" s="55"/>
      <c r="P659" s="56" cm="1">
        <f t="array" ref="P659">_xlfn.XLOOKUP($B659,ADP!A2:A671,ADP!G2:G671)</f>
        <v>0</v>
      </c>
      <c r="Q659" s="57" cm="1">
        <f t="array" ref="Q659">IF(Settings!$E$12="YES",VLOOKUP(B659,'Player Data'!A1:E673,5,FALSE),84)</f>
        <v>54</v>
      </c>
      <c r="R659" s="55" cm="1">
        <f t="array" ref="R659">VLOOKUP(B659,'Player Data'!$A1:$AE673,6,FALSE)</f>
        <v>11.3</v>
      </c>
      <c r="S659" s="57" cm="1">
        <f t="array" ref="S659">VLOOKUP(B659,'Player Data'!$A1:$AE673,7,FALSE)*$Q659*IFERROR((VLOOKUP(P659,Settings!$E$28:$F$33,2,FALSE)+1),1)</f>
        <v>4.32</v>
      </c>
      <c r="T659" s="57" cm="1">
        <f t="array" ref="T659">VLOOKUP(B659,'Player Data'!$A1:$AE673,8,FALSE)*$Q659*IFERROR((VLOOKUP(P659,Settings!$E$28:$F$33,2,FALSE)+1),1)</f>
        <v>6.4799999999999995</v>
      </c>
      <c r="U659" s="57" cm="1">
        <f t="array" ref="U659">SUM(S659:T659)</f>
        <v>10.8</v>
      </c>
      <c r="V659" s="57" cm="1">
        <f t="array" ref="V659">VLOOKUP(B659,'Player Data'!$A1:$AE673,10,FALSE)*$Q659*IFERROR(((VLOOKUP(P659,Settings!$E$28:$F$33,2,FALSE)/2)+1),1)</f>
        <v>61.019999999999996</v>
      </c>
      <c r="W659" s="57" cm="1">
        <f t="array" ref="W659">VLOOKUP(B659,'Player Data'!$A1:$AE673,11,FALSE)*$Q659*IFERROR((VLOOKUP(P659,Settings!$E$28:$F$33,2,FALSE)+1),1)</f>
        <v>0</v>
      </c>
      <c r="X659" s="57" cm="1">
        <f t="array" ref="X659">VLOOKUP(B659,'Player Data'!$A1:$AE673,12,FALSE)*$Q659*IFERROR((VLOOKUP(P659,Settings!$E$28:$F$33,2,FALSE)+1),1)</f>
        <v>0</v>
      </c>
      <c r="Y659" s="57" cm="1">
        <f t="array" ref="Y659">VLOOKUP(B659,'Player Data'!$A1:$AE673,13,FALSE)*$Q659</f>
        <v>0</v>
      </c>
      <c r="Z659" s="57" cm="1">
        <f t="array" ref="Z659">VLOOKUP(B659,'Player Data'!$A1:$AE673,14,FALSE)*$Q659</f>
        <v>0.54</v>
      </c>
      <c r="AA659" s="57" cm="1">
        <f t="array" ref="AA659">VLOOKUP(B659,'Player Data'!$A1:$AE673,15,FALSE)*$Q659</f>
        <v>21.6</v>
      </c>
      <c r="AB659" s="57" cm="1">
        <f t="array" ref="AB659">VLOOKUP(B659,'Player Data'!$A1:$AE673,16,FALSE)*$Q659</f>
        <v>58.860000000000007</v>
      </c>
      <c r="AC659" s="57" cm="1">
        <f t="array" ref="AC659">VLOOKUP(B659,'Player Data'!$A1:$AE673,17,FALSE)*$Q659*IFERROR((VLOOKUP(P659,Settings!$E$28:$F$33,2,FALSE)+1),1)</f>
        <v>2.16</v>
      </c>
      <c r="AD659" s="57" cm="1">
        <f t="array" ref="AD659">VLOOKUP(B659,'Player Data'!$A1:$AE673,18,FALSE)*$Q659</f>
        <v>11.34</v>
      </c>
      <c r="AE659" s="57" cm="1">
        <f t="array" ref="AE659">VLOOKUP(B659,'Player Data'!$A1:$AE673,19,FALSE)*$Q659*IFERROR((VLOOKUP(P659,Settings!$E$28:$F$33,2,FALSE)+1),1)</f>
        <v>0.54</v>
      </c>
      <c r="AF659" s="57" cm="1">
        <f t="array" ref="AF659">VLOOKUP(B659,'Player Data'!$A1:$AE673,20,FALSE)*$Q659</f>
        <v>0.54</v>
      </c>
      <c r="AG659" s="57" cm="1">
        <f t="array" ref="AG659">VLOOKUP(B659,'Player Data'!$A1:$AE673,21,FALSE)*$Q659</f>
        <v>5.94</v>
      </c>
      <c r="AH659" s="59" cm="1">
        <f t="array" ref="AH659">VLOOKUP(B659,'Player Data'!$A1:$AE673,22,FALSE)</f>
        <v>7.0000000000000007E-2</v>
      </c>
      <c r="AI659" s="55"/>
      <c r="AJ659" s="57"/>
      <c r="AK659" s="57"/>
      <c r="AL659" s="57"/>
      <c r="AM659" s="57"/>
      <c r="AN659" s="57"/>
      <c r="AO659" s="57"/>
      <c r="AP659" s="57"/>
      <c r="AQ659" s="60"/>
      <c r="AR659" s="61"/>
      <c r="AS659" s="55"/>
    </row>
    <row r="660" spans="1:45" ht="21.25" customHeight="1" x14ac:dyDescent="0.15">
      <c r="A660" s="62">
        <f>RANK(K660,K$2:K$671)</f>
        <v>659</v>
      </c>
      <c r="B660" s="10" t="s">
        <v>746</v>
      </c>
      <c r="C660" s="47" t="s">
        <v>145</v>
      </c>
      <c r="D660" s="48" t="str" cm="1">
        <f t="array" ref="D660">VLOOKUP(B660,'Player Data'!A1:D673,4,FALSE)</f>
        <v>RW</v>
      </c>
      <c r="E660" s="64" cm="1">
        <f t="array" ref="E660">VLOOKUP(B660,RW!A1:F210,3,FALSE)</f>
        <v>201</v>
      </c>
      <c r="F660" s="18" t="str" cm="1">
        <f t="array" ref="F660">VLOOKUP(B660,'Player Data'!A1:B673,2,FALSE)</f>
        <v>VAN</v>
      </c>
      <c r="G660" s="71" cm="1">
        <f t="array" ref="G660">VLOOKUP(B660,'Player Data'!A1:D673,3,FALSE)</f>
        <v>22</v>
      </c>
      <c r="H660" s="51" cm="1">
        <f t="array" ref="H660">IFERROR(VLOOKUP(B660,ADP!A1:F671,6,FALSE)/1000000,VLOOKUP(B660,ADP!A1:F671,6,FALSE))</f>
        <v>0.91833299999999995</v>
      </c>
      <c r="I660" s="52">
        <f>IF(Settings!$E$15="POINTS",((R660*Q660)*Settings!$B$12)+(S660*Settings!$B$2)+(T660*Settings!$B$3)+(U660*Settings!$B$4)+(V660*Settings!$B$5)+(X660*Settings!$B$9)+(AA660*Settings!$B$6)+(W660*Settings!$B$8)+(AB660*Settings!$B$7)+(AC660*Settings!$B$14)+(AD660*Settings!$B$15)+(AE660*Settings!$B$16)+(AF660*Settings!$B$17)+(AG660*Settings!$B$18)+(Y660*Settings!$B$10)+(Z660*Settings!$B$11),VLOOKUP(B660,'Standard Deviations'!A$1:C$672,3,FALSE))</f>
        <v>-4.4066524949900705</v>
      </c>
      <c r="J660" s="53" cm="1">
        <f t="array" ref="J660">IF(D660="G",I660/AJ660,I660/Q660)</f>
        <v>-7.468902533881476E-2</v>
      </c>
      <c r="K660" s="52" cm="1">
        <f t="array" ref="K660">IF(Settings!$E$18="C/LW/RW",VLOOKUP(B660,RW!A1:F210,6,FALSE),VLOOKUP(B660,F!A1:F407,6,FALSE))</f>
        <v>-11.293887096799148</v>
      </c>
      <c r="L660" s="54" cm="1">
        <f t="array" ref="L660">IFERROR(K660/H660,"N/A")</f>
        <v>-12.298248126550117</v>
      </c>
      <c r="M660" s="84" t="s">
        <v>828</v>
      </c>
      <c r="N660" s="84" t="str" cm="1">
        <f t="array" ref="N660">IFERROR(M660-A660,"N/A")</f>
        <v>N/A</v>
      </c>
      <c r="O660" s="55"/>
      <c r="P660" s="56" cm="1">
        <f t="array" ref="P660">_xlfn.XLOOKUP($B660,ADP!A2:A671,ADP!G2:G671)</f>
        <v>0</v>
      </c>
      <c r="Q660" s="57" cm="1">
        <f t="array" ref="Q660">IF(Settings!$E$12="YES",VLOOKUP(B660,'Player Data'!A1:E673,5,FALSE),84)</f>
        <v>59</v>
      </c>
      <c r="R660" s="81" cm="1">
        <f t="array" ref="R660">VLOOKUP(B660,'Player Data'!$A1:$AE673,6,FALSE)</f>
        <v>12.8</v>
      </c>
      <c r="S660" s="57" cm="1">
        <f t="array" ref="S660">VLOOKUP(B660,'Player Data'!$A1:$AE673,7,FALSE)*$Q660*IFERROR((VLOOKUP(P660,Settings!$E$28:$F$33,2,FALSE)+1),1)</f>
        <v>10.030000000000001</v>
      </c>
      <c r="T660" s="57" cm="1">
        <f t="array" ref="T660">VLOOKUP(B660,'Player Data'!$A1:$AE673,8,FALSE)*$Q660*IFERROR((VLOOKUP(P660,Settings!$E$28:$F$33,2,FALSE)+1),1)</f>
        <v>10.62</v>
      </c>
      <c r="U660" s="57" cm="1">
        <f t="array" ref="U660">SUM(S660:T660)</f>
        <v>20.65</v>
      </c>
      <c r="V660" s="57" cm="1">
        <f t="array" ref="V660">VLOOKUP(B660,'Player Data'!$A1:$AE673,10,FALSE)*$Q660*IFERROR(((VLOOKUP(P660,Settings!$E$28:$F$33,2,FALSE)/2)+1),1)</f>
        <v>71.98</v>
      </c>
      <c r="W660" s="57" cm="1">
        <f t="array" ref="W660">VLOOKUP(B660,'Player Data'!$A1:$AE673,11,FALSE)*$Q660*IFERROR((VLOOKUP(P660,Settings!$E$28:$F$33,2,FALSE)+1),1)</f>
        <v>1.77</v>
      </c>
      <c r="X660" s="57" cm="1">
        <f t="array" ref="X660">VLOOKUP(B660,'Player Data'!$A1:$AE673,12,FALSE)*$Q660*IFERROR((VLOOKUP(P660,Settings!$E$28:$F$33,2,FALSE)+1),1)</f>
        <v>5.31</v>
      </c>
      <c r="Y660" s="57" cm="1">
        <f t="array" ref="Y660">VLOOKUP(B660,'Player Data'!$A1:$AE673,13,FALSE)*$Q660</f>
        <v>0</v>
      </c>
      <c r="Z660" s="57" cm="1">
        <f t="array" ref="Z660">VLOOKUP(B660,'Player Data'!$A1:$AE673,14,FALSE)*$Q660</f>
        <v>0</v>
      </c>
      <c r="AA660" s="57" cm="1">
        <f t="array" ref="AA660">VLOOKUP(B660,'Player Data'!$A1:$AE673,15,FALSE)*$Q660</f>
        <v>24.779999999999998</v>
      </c>
      <c r="AB660" s="57" cm="1">
        <f t="array" ref="AB660">VLOOKUP(B660,'Player Data'!$A1:$AE673,16,FALSE)*$Q660</f>
        <v>73.16</v>
      </c>
      <c r="AC660" s="57" cm="1">
        <f t="array" ref="AC660">VLOOKUP(B660,'Player Data'!$A1:$AE673,17,FALSE)*$Q660*IFERROR((VLOOKUP(P660,Settings!$E$28:$F$33,2,FALSE)+1),1)</f>
        <v>-7.08</v>
      </c>
      <c r="AD660" s="57" cm="1">
        <f t="array" ref="AD660">VLOOKUP(B660,'Player Data'!$A1:$AE673,18,FALSE)*$Q660</f>
        <v>13.57</v>
      </c>
      <c r="AE660" s="57" cm="1">
        <f t="array" ref="AE660">VLOOKUP(B660,'Player Data'!$A1:$AE673,19,FALSE)*$Q660*IFERROR((VLOOKUP(P660,Settings!$E$28:$F$33,2,FALSE)+1),1)</f>
        <v>1.18</v>
      </c>
      <c r="AF660" s="57" cm="1">
        <f t="array" ref="AF660">VLOOKUP(B660,'Player Data'!$A1:$AE673,20,FALSE)*$Q660</f>
        <v>0</v>
      </c>
      <c r="AG660" s="57" cm="1">
        <f t="array" ref="AG660">VLOOKUP(B660,'Player Data'!$A1:$AE673,21,FALSE)*$Q660</f>
        <v>0.59</v>
      </c>
      <c r="AH660" s="59" cm="1">
        <f t="array" ref="AH660">VLOOKUP(B660,'Player Data'!$A1:$AE673,22,FALSE)</f>
        <v>0</v>
      </c>
      <c r="AI660" s="55"/>
      <c r="AJ660" s="57"/>
      <c r="AK660" s="57"/>
      <c r="AL660" s="57"/>
      <c r="AM660" s="57"/>
      <c r="AN660" s="57"/>
      <c r="AO660" s="57"/>
      <c r="AP660" s="57"/>
      <c r="AQ660" s="60"/>
      <c r="AR660" s="61"/>
      <c r="AS660" s="55"/>
    </row>
    <row r="661" spans="1:45" ht="21.25" customHeight="1" x14ac:dyDescent="0.15">
      <c r="A661" s="62">
        <f>RANK(K661,K$2:K$671)</f>
        <v>660</v>
      </c>
      <c r="B661" s="10" t="s">
        <v>617</v>
      </c>
      <c r="C661" s="47" t="s">
        <v>145</v>
      </c>
      <c r="D661" s="48" t="str" cm="1">
        <f t="array" ref="D661">VLOOKUP(B661,'Player Data'!A1:D673,4,FALSE)</f>
        <v>C,RW</v>
      </c>
      <c r="E661" s="74" cm="1">
        <f t="array" ref="E661">VLOOKUP(B661,RW!A1:F210,3,FALSE)</f>
        <v>202</v>
      </c>
      <c r="F661" s="56" t="str" cm="1">
        <f t="array" ref="F661">VLOOKUP(B661,'Player Data'!A1:B673,2,FALSE)</f>
        <v>CHI</v>
      </c>
      <c r="G661" s="71" cm="1">
        <f t="array" ref="G661">VLOOKUP(B661,'Player Data'!A1:D673,3,FALSE)</f>
        <v>22</v>
      </c>
      <c r="H661" s="51" cm="1">
        <f t="array" ref="H661">IFERROR(VLOOKUP(B661,ADP!A1:F671,6,FALSE)/1000000,VLOOKUP(B661,ADP!A1:F671,6,FALSE))</f>
        <v>0.95</v>
      </c>
      <c r="I661" s="52">
        <f>IF(Settings!$E$15="POINTS",((R661*Q661)*Settings!$B$12)+(S661*Settings!$B$2)+(T661*Settings!$B$3)+(U661*Settings!$B$4)+(V661*Settings!$B$5)+(X661*Settings!$B$9)+(AA661*Settings!$B$6)+(W661*Settings!$B$8)+(AB661*Settings!$B$7)+(AC661*Settings!$B$14)+(AD661*Settings!$B$15)+(AE661*Settings!$B$16)+(AF661*Settings!$B$17)+(AG661*Settings!$B$18)+(Y661*Settings!$B$10)+(Z661*Settings!$B$11),VLOOKUP(B661,'Standard Deviations'!A$1:C$672,3,FALSE))</f>
        <v>-4.5172099715601881</v>
      </c>
      <c r="J661" s="53" cm="1">
        <f t="array" ref="J661">IF(D661="G",I661/AJ661,I661/Q661)</f>
        <v>-5.4424216524821545E-2</v>
      </c>
      <c r="K661" s="52" cm="1">
        <f t="array" ref="K661">IF(Settings!$E$18="C/LW/RW",VLOOKUP(B661,RW!A1:F210,6,FALSE),VLOOKUP(B661,F!A1:F407,6,FALSE))</f>
        <v>-11.404444573369265</v>
      </c>
      <c r="L661" s="54" cm="1">
        <f t="array" ref="L661">IFERROR(K661/H661,"N/A")</f>
        <v>-12.004678498283438</v>
      </c>
      <c r="M661" s="84" t="s">
        <v>828</v>
      </c>
      <c r="N661" s="84" t="str" cm="1">
        <f t="array" ref="N661">IFERROR(M661-A661,"N/A")</f>
        <v>N/A</v>
      </c>
      <c r="O661" s="55"/>
      <c r="P661" s="56" cm="1">
        <f t="array" ref="P661">_xlfn.XLOOKUP($B661,ADP!A2:A671,ADP!G2:G671)</f>
        <v>0</v>
      </c>
      <c r="Q661" s="57" cm="1">
        <f t="array" ref="Q661">IF(Settings!$E$12="YES",VLOOKUP(B661,'Player Data'!A1:E673,5,FALSE),84)</f>
        <v>83</v>
      </c>
      <c r="R661" s="55" cm="1">
        <f t="array" ref="R661">VLOOKUP(B661,'Player Data'!$A1:$AE673,6,FALSE)</f>
        <v>16.2</v>
      </c>
      <c r="S661" s="57" cm="1">
        <f t="array" ref="S661">VLOOKUP(B661,'Player Data'!$A1:$AE673,7,FALSE)*$Q661*IFERROR((VLOOKUP(P661,Settings!$E$28:$F$33,2,FALSE)+1),1)</f>
        <v>12.45</v>
      </c>
      <c r="T661" s="57" cm="1">
        <f t="array" ref="T661">VLOOKUP(B661,'Player Data'!$A1:$AE673,8,FALSE)*$Q661*IFERROR((VLOOKUP(P661,Settings!$E$28:$F$33,2,FALSE)+1),1)</f>
        <v>15.77</v>
      </c>
      <c r="U661" s="57" cm="1">
        <f t="array" ref="U661">SUM(S661:T661)</f>
        <v>28.22</v>
      </c>
      <c r="V661" s="57" cm="1">
        <f t="array" ref="V661">VLOOKUP(B661,'Player Data'!$A1:$AE673,10,FALSE)*$Q661*IFERROR(((VLOOKUP(P661,Settings!$E$28:$F$33,2,FALSE)/2)+1),1)</f>
        <v>100.42999999999999</v>
      </c>
      <c r="W661" s="57" cm="1">
        <f t="array" ref="W661">VLOOKUP(B661,'Player Data'!$A1:$AE673,11,FALSE)*$Q661*IFERROR((VLOOKUP(P661,Settings!$E$28:$F$33,2,FALSE)+1),1)</f>
        <v>0.83000000000000007</v>
      </c>
      <c r="X661" s="57" cm="1">
        <f t="array" ref="X661">VLOOKUP(B661,'Player Data'!$A1:$AE673,12,FALSE)*$Q661*IFERROR((VLOOKUP(P661,Settings!$E$28:$F$33,2,FALSE)+1),1)</f>
        <v>1.6600000000000001</v>
      </c>
      <c r="Y661" s="57" cm="1">
        <f t="array" ref="Y661">VLOOKUP(B661,'Player Data'!$A1:$AE673,13,FALSE)*$Q661</f>
        <v>0.83000000000000007</v>
      </c>
      <c r="Z661" s="57" cm="1">
        <f t="array" ref="Z661">VLOOKUP(B661,'Player Data'!$A1:$AE673,14,FALSE)*$Q661</f>
        <v>1.6600000000000001</v>
      </c>
      <c r="AA661" s="57" cm="1">
        <f t="array" ref="AA661">VLOOKUP(B661,'Player Data'!$A1:$AE673,15,FALSE)*$Q661</f>
        <v>37.35</v>
      </c>
      <c r="AB661" s="57" cm="1">
        <f t="array" ref="AB661">VLOOKUP(B661,'Player Data'!$A1:$AE673,16,FALSE)*$Q661</f>
        <v>53.95</v>
      </c>
      <c r="AC661" s="57" cm="1">
        <f t="array" ref="AC661">VLOOKUP(B661,'Player Data'!$A1:$AE673,17,FALSE)*$Q661*IFERROR((VLOOKUP(P661,Settings!$E$28:$F$33,2,FALSE)+1),1)</f>
        <v>-9.1300000000000008</v>
      </c>
      <c r="AD661" s="57" cm="1">
        <f t="array" ref="AD661">VLOOKUP(B661,'Player Data'!$A1:$AE673,18,FALSE)*$Q661</f>
        <v>20.75</v>
      </c>
      <c r="AE661" s="57" cm="1">
        <f t="array" ref="AE661">VLOOKUP(B661,'Player Data'!$A1:$AE673,19,FALSE)*$Q661*IFERROR((VLOOKUP(P661,Settings!$E$28:$F$33,2,FALSE)+1),1)</f>
        <v>1.6600000000000001</v>
      </c>
      <c r="AF661" s="57" cm="1">
        <f t="array" ref="AF661">VLOOKUP(B661,'Player Data'!$A1:$AE673,20,FALSE)*$Q661</f>
        <v>336.97999999999996</v>
      </c>
      <c r="AG661" s="57" cm="1">
        <f t="array" ref="AG661">VLOOKUP(B661,'Player Data'!$A1:$AE673,21,FALSE)*$Q661</f>
        <v>453.18</v>
      </c>
      <c r="AH661" s="59" cm="1">
        <f t="array" ref="AH661">VLOOKUP(B661,'Player Data'!$A1:$AE673,22,FALSE)</f>
        <v>0.43</v>
      </c>
      <c r="AI661" s="55"/>
      <c r="AJ661" s="57"/>
      <c r="AK661" s="57"/>
      <c r="AL661" s="57"/>
      <c r="AM661" s="57"/>
      <c r="AN661" s="57"/>
      <c r="AO661" s="57"/>
      <c r="AP661" s="57"/>
      <c r="AQ661" s="60"/>
      <c r="AR661" s="61"/>
      <c r="AS661" s="55"/>
    </row>
    <row r="662" spans="1:45" ht="21.25" customHeight="1" x14ac:dyDescent="0.15">
      <c r="A662" s="62">
        <f>RANK(K662,K$2:K$671)</f>
        <v>661</v>
      </c>
      <c r="B662" s="10" t="s">
        <v>679</v>
      </c>
      <c r="C662" s="47" t="s">
        <v>145</v>
      </c>
      <c r="D662" s="48" t="str" cm="1">
        <f t="array" ref="D662">VLOOKUP(B662,'Player Data'!A1:D673,4,FALSE)</f>
        <v>LW,RW</v>
      </c>
      <c r="E662" s="74" cm="1">
        <f t="array" ref="E662">VLOOKUP(B662,RW!A1:F210,3,FALSE)</f>
        <v>203</v>
      </c>
      <c r="F662" s="65" t="str" cm="1">
        <f t="array" ref="F662">VLOOKUP(B662,'Player Data'!A1:B673,2,FALSE)</f>
        <v>STL</v>
      </c>
      <c r="G662" s="66" cm="1">
        <f t="array" ref="G662">VLOOKUP(B662,'Player Data'!A1:D673,3,FALSE)</f>
        <v>31</v>
      </c>
      <c r="H662" s="51" cm="1">
        <f t="array" ref="H662">IFERROR(VLOOKUP(B662,ADP!A1:F671,6,FALSE)/1000000,VLOOKUP(B662,ADP!A1:F671,6,FALSE))</f>
        <v>0</v>
      </c>
      <c r="I662" s="52">
        <f>IF(Settings!$E$15="POINTS",((R662*Q662)*Settings!$B$12)+(S662*Settings!$B$2)+(T662*Settings!$B$3)+(U662*Settings!$B$4)+(V662*Settings!$B$5)+(X662*Settings!$B$9)+(AA662*Settings!$B$6)+(W662*Settings!$B$8)+(AB662*Settings!$B$7)+(AC662*Settings!$B$14)+(AD662*Settings!$B$15)+(AE662*Settings!$B$16)+(AF662*Settings!$B$17)+(AG662*Settings!$B$18)+(Y662*Settings!$B$10)+(Z662*Settings!$B$11),VLOOKUP(B662,'Standard Deviations'!A$1:C$672,3,FALSE))</f>
        <v>-4.5401849625870749</v>
      </c>
      <c r="J662" s="53" cm="1">
        <f t="array" ref="J662">IF(D662="G",I662/AJ662,I662/Q662)</f>
        <v>-6.0535799501160996E-2</v>
      </c>
      <c r="K662" s="52" cm="1">
        <f t="array" ref="K662">IF(Settings!$E$18="C/LW/RW",VLOOKUP(B662,RW!A1:F210,6,FALSE),VLOOKUP(B662,F!A1:F407,6,FALSE))</f>
        <v>-11.427419564396153</v>
      </c>
      <c r="L662" s="79" t="str" cm="1">
        <f t="array" ref="L662">IFERROR(K662/H662,"N/A")</f>
        <v>N/A</v>
      </c>
      <c r="M662" s="84" t="s">
        <v>828</v>
      </c>
      <c r="N662" s="84" t="str" cm="1">
        <f t="array" ref="N662">IFERROR(M662-A662,"N/A")</f>
        <v>N/A</v>
      </c>
      <c r="O662" s="80"/>
      <c r="P662" s="56" cm="1">
        <f t="array" ref="P662">_xlfn.XLOOKUP($B662,ADP!A2:A671,ADP!G2:G671)</f>
        <v>0</v>
      </c>
      <c r="Q662" s="57" cm="1">
        <f t="array" ref="Q662">IF(Settings!$E$12="YES",VLOOKUP(B662,'Player Data'!A1:E673,5,FALSE),84)</f>
        <v>75</v>
      </c>
      <c r="R662" s="83" cm="1">
        <f t="array" ref="R662">VLOOKUP(B662,'Player Data'!$A1:$AE673,6,FALSE)</f>
        <v>13.4</v>
      </c>
      <c r="S662" s="57" cm="1">
        <f t="array" ref="S662">VLOOKUP(B662,'Player Data'!$A1:$AE673,7,FALSE)*$Q662*IFERROR((VLOOKUP(P662,Settings!$E$28:$F$33,2,FALSE)+1),1)</f>
        <v>6</v>
      </c>
      <c r="T662" s="57" cm="1">
        <f t="array" ref="T662">VLOOKUP(B662,'Player Data'!$A1:$AE673,8,FALSE)*$Q662*IFERROR((VLOOKUP(P662,Settings!$E$28:$F$33,2,FALSE)+1),1)</f>
        <v>16.5</v>
      </c>
      <c r="U662" s="57" cm="1">
        <f t="array" ref="U662">SUM(S662:T662)</f>
        <v>22.5</v>
      </c>
      <c r="V662" s="57" cm="1">
        <f t="array" ref="V662">VLOOKUP(B662,'Player Data'!$A1:$AE673,10,FALSE)*$Q662*IFERROR(((VLOOKUP(P662,Settings!$E$28:$F$33,2,FALSE)/2)+1),1)</f>
        <v>76.5</v>
      </c>
      <c r="W662" s="57" cm="1">
        <f t="array" ref="W662">VLOOKUP(B662,'Player Data'!$A1:$AE673,11,FALSE)*$Q662*IFERROR((VLOOKUP(P662,Settings!$E$28:$F$33,2,FALSE)+1),1)</f>
        <v>0</v>
      </c>
      <c r="X662" s="57" cm="1">
        <f t="array" ref="X662">VLOOKUP(B662,'Player Data'!$A1:$AE673,12,FALSE)*$Q662*IFERROR((VLOOKUP(P662,Settings!$E$28:$F$33,2,FALSE)+1),1)</f>
        <v>0</v>
      </c>
      <c r="Y662" s="57" cm="1">
        <f t="array" ref="Y662">VLOOKUP(B662,'Player Data'!$A1:$AE673,13,FALSE)*$Q662</f>
        <v>0</v>
      </c>
      <c r="Z662" s="57" cm="1">
        <f t="array" ref="Z662">VLOOKUP(B662,'Player Data'!$A1:$AE673,14,FALSE)*$Q662</f>
        <v>0</v>
      </c>
      <c r="AA662" s="57" cm="1">
        <f t="array" ref="AA662">VLOOKUP(B662,'Player Data'!$A1:$AE673,15,FALSE)*$Q662</f>
        <v>27.75</v>
      </c>
      <c r="AB662" s="57" cm="1">
        <f t="array" ref="AB662">VLOOKUP(B662,'Player Data'!$A1:$AE673,16,FALSE)*$Q662</f>
        <v>29.25</v>
      </c>
      <c r="AC662" s="57" cm="1">
        <f t="array" ref="AC662">VLOOKUP(B662,'Player Data'!$A1:$AE673,17,FALSE)*$Q662*IFERROR((VLOOKUP(P662,Settings!$E$28:$F$33,2,FALSE)+1),1)</f>
        <v>-1.5</v>
      </c>
      <c r="AD662" s="57" cm="1">
        <f t="array" ref="AD662">VLOOKUP(B662,'Player Data'!$A1:$AE673,18,FALSE)*$Q662</f>
        <v>15</v>
      </c>
      <c r="AE662" s="57" cm="1">
        <f t="array" ref="AE662">VLOOKUP(B662,'Player Data'!$A1:$AE673,19,FALSE)*$Q662*IFERROR((VLOOKUP(P662,Settings!$E$28:$F$33,2,FALSE)+1),1)</f>
        <v>0.75</v>
      </c>
      <c r="AF662" s="57" cm="1">
        <f t="array" ref="AF662">VLOOKUP(B662,'Player Data'!$A1:$AE673,20,FALSE)*$Q662</f>
        <v>79.5</v>
      </c>
      <c r="AG662" s="57" cm="1">
        <f t="array" ref="AG662">VLOOKUP(B662,'Player Data'!$A1:$AE673,21,FALSE)*$Q662</f>
        <v>85.499999999999986</v>
      </c>
      <c r="AH662" s="59" cm="1">
        <f t="array" ref="AH662">VLOOKUP(B662,'Player Data'!$A1:$AE673,22,FALSE)</f>
        <v>0.48</v>
      </c>
      <c r="AI662" s="55"/>
      <c r="AJ662" s="57"/>
      <c r="AK662" s="57"/>
      <c r="AL662" s="57"/>
      <c r="AM662" s="57"/>
      <c r="AN662" s="57"/>
      <c r="AO662" s="57"/>
      <c r="AP662" s="57"/>
      <c r="AQ662" s="60"/>
      <c r="AR662" s="61"/>
      <c r="AS662" s="55"/>
    </row>
    <row r="663" spans="1:45" ht="21.25" customHeight="1" x14ac:dyDescent="0.15">
      <c r="A663" s="62">
        <f>RANK(K663,K$2:K$671)</f>
        <v>662</v>
      </c>
      <c r="B663" s="10" t="s">
        <v>585</v>
      </c>
      <c r="C663" s="47" t="s">
        <v>145</v>
      </c>
      <c r="D663" s="48" t="str" cm="1">
        <f t="array" ref="D663">VLOOKUP(B663,'Player Data'!A1:D673,4,FALSE)</f>
        <v>LW,RW</v>
      </c>
      <c r="E663" s="74" cm="1">
        <f t="array" ref="E663">VLOOKUP(B663,RW!A1:F210,3,FALSE)</f>
        <v>204</v>
      </c>
      <c r="F663" s="56" t="str" cm="1">
        <f t="array" ref="F663">VLOOKUP(B663,'Player Data'!A1:B673,2,FALSE)</f>
        <v>CHI</v>
      </c>
      <c r="G663" s="66" cm="1">
        <f t="array" ref="G663">VLOOKUP(B663,'Player Data'!A1:D673,3,FALSE)</f>
        <v>32</v>
      </c>
      <c r="H663" s="67" cm="1">
        <f t="array" ref="H663">IFERROR(VLOOKUP(B663,ADP!A1:F671,6,FALSE)/1000000,VLOOKUP(B663,ADP!A1:F671,6,FALSE))</f>
        <v>5.4</v>
      </c>
      <c r="I663" s="52">
        <f>IF(Settings!$E$15="POINTS",((R663*Q663)*Settings!$B$12)+(S663*Settings!$B$2)+(T663*Settings!$B$3)+(U663*Settings!$B$4)+(V663*Settings!$B$5)+(X663*Settings!$B$9)+(AA663*Settings!$B$6)+(W663*Settings!$B$8)+(AB663*Settings!$B$7)+(AC663*Settings!$B$14)+(AD663*Settings!$B$15)+(AE663*Settings!$B$16)+(AF663*Settings!$B$17)+(AG663*Settings!$B$18)+(Y663*Settings!$B$10)+(Z663*Settings!$B$11),VLOOKUP(B663,'Standard Deviations'!A$1:C$672,3,FALSE))</f>
        <v>-4.7590727663433832</v>
      </c>
      <c r="J663" s="53" cm="1">
        <f t="array" ref="J663">IF(D663="G",I663/AJ663,I663/Q663)</f>
        <v>-5.8037472760285161E-2</v>
      </c>
      <c r="K663" s="52" cm="1">
        <f t="array" ref="K663">IF(Settings!$E$18="C/LW/RW",VLOOKUP(B663,RW!A1:F210,6,FALSE),VLOOKUP(B663,F!A1:F407,6,FALSE))</f>
        <v>-11.64630736815246</v>
      </c>
      <c r="L663" s="54" cm="1">
        <f t="array" ref="L663">IFERROR(K663/H663,"N/A")</f>
        <v>-2.1567235866948997</v>
      </c>
      <c r="M663" s="84" t="s">
        <v>828</v>
      </c>
      <c r="N663" s="84" t="str" cm="1">
        <f t="array" ref="N663">IFERROR(M663-A663,"N/A")</f>
        <v>N/A</v>
      </c>
      <c r="O663" s="82"/>
      <c r="P663" s="56" cm="1">
        <f t="array" ref="P663">_xlfn.XLOOKUP($B663,ADP!A2:A671,ADP!G2:G671)</f>
        <v>0</v>
      </c>
      <c r="Q663" s="57" cm="1">
        <f t="array" ref="Q663">IF(Settings!$E$12="YES",VLOOKUP(B663,'Player Data'!A1:E673,5,FALSE),84)</f>
        <v>82</v>
      </c>
      <c r="R663" s="83" cm="1">
        <f t="array" ref="R663">VLOOKUP(B663,'Player Data'!$A1:$AE673,6,FALSE)</f>
        <v>16.399999999999999</v>
      </c>
      <c r="S663" s="57" cm="1">
        <f t="array" ref="S663">VLOOKUP(B663,'Player Data'!$A1:$AE673,7,FALSE)*$Q663*IFERROR((VLOOKUP(P663,Settings!$E$28:$F$33,2,FALSE)+1),1)</f>
        <v>9.84</v>
      </c>
      <c r="T663" s="57" cm="1">
        <f t="array" ref="T663">VLOOKUP(B663,'Player Data'!$A1:$AE673,8,FALSE)*$Q663*IFERROR((VLOOKUP(P663,Settings!$E$28:$F$33,2,FALSE)+1),1)</f>
        <v>19.68</v>
      </c>
      <c r="U663" s="57" cm="1">
        <f t="array" ref="U663">SUM(S663:T663)</f>
        <v>29.52</v>
      </c>
      <c r="V663" s="57" cm="1">
        <f t="array" ref="V663">VLOOKUP(B663,'Player Data'!$A1:$AE673,10,FALSE)*$Q663*IFERROR(((VLOOKUP(P663,Settings!$E$28:$F$33,2,FALSE)/2)+1),1)</f>
        <v>89.38000000000001</v>
      </c>
      <c r="W663" s="57" cm="1">
        <f t="array" ref="W663">VLOOKUP(B663,'Player Data'!$A1:$AE673,11,FALSE)*$Q663*IFERROR((VLOOKUP(P663,Settings!$E$28:$F$33,2,FALSE)+1),1)</f>
        <v>1.6400000000000001</v>
      </c>
      <c r="X663" s="57" cm="1">
        <f t="array" ref="X663">VLOOKUP(B663,'Player Data'!$A1:$AE673,12,FALSE)*$Q663*IFERROR((VLOOKUP(P663,Settings!$E$28:$F$33,2,FALSE)+1),1)</f>
        <v>4.92</v>
      </c>
      <c r="Y663" s="57" cm="1">
        <f t="array" ref="Y663">VLOOKUP(B663,'Player Data'!$A1:$AE673,13,FALSE)*$Q663</f>
        <v>0.82000000000000006</v>
      </c>
      <c r="Z663" s="57" cm="1">
        <f t="array" ref="Z663">VLOOKUP(B663,'Player Data'!$A1:$AE673,14,FALSE)*$Q663</f>
        <v>2.46</v>
      </c>
      <c r="AA663" s="57" cm="1">
        <f t="array" ref="AA663">VLOOKUP(B663,'Player Data'!$A1:$AE673,15,FALSE)*$Q663</f>
        <v>42.64</v>
      </c>
      <c r="AB663" s="57" cm="1">
        <f t="array" ref="AB663">VLOOKUP(B663,'Player Data'!$A1:$AE673,16,FALSE)*$Q663</f>
        <v>33.619999999999997</v>
      </c>
      <c r="AC663" s="57" cm="1">
        <f t="array" ref="AC663">VLOOKUP(B663,'Player Data'!$A1:$AE673,17,FALSE)*$Q663*IFERROR((VLOOKUP(P663,Settings!$E$28:$F$33,2,FALSE)+1),1)</f>
        <v>-9.02</v>
      </c>
      <c r="AD663" s="57" cm="1">
        <f t="array" ref="AD663">VLOOKUP(B663,'Player Data'!$A1:$AE673,18,FALSE)*$Q663</f>
        <v>13.940000000000001</v>
      </c>
      <c r="AE663" s="57" cm="1">
        <f t="array" ref="AE663">VLOOKUP(B663,'Player Data'!$A1:$AE673,19,FALSE)*$Q663*IFERROR((VLOOKUP(P663,Settings!$E$28:$F$33,2,FALSE)+1),1)</f>
        <v>1.6400000000000001</v>
      </c>
      <c r="AF663" s="57" cm="1">
        <f t="array" ref="AF663">VLOOKUP(B663,'Player Data'!$A1:$AE673,20,FALSE)*$Q663</f>
        <v>53.300000000000004</v>
      </c>
      <c r="AG663" s="57" cm="1">
        <f t="array" ref="AG663">VLOOKUP(B663,'Player Data'!$A1:$AE673,21,FALSE)*$Q663</f>
        <v>76.260000000000005</v>
      </c>
      <c r="AH663" s="59" cm="1">
        <f t="array" ref="AH663">VLOOKUP(B663,'Player Data'!$A1:$AE673,22,FALSE)</f>
        <v>0.41</v>
      </c>
      <c r="AI663" s="55"/>
      <c r="AJ663" s="57"/>
      <c r="AK663" s="57"/>
      <c r="AL663" s="57"/>
      <c r="AM663" s="57"/>
      <c r="AN663" s="57"/>
      <c r="AO663" s="57"/>
      <c r="AP663" s="57"/>
      <c r="AQ663" s="60"/>
      <c r="AR663" s="61"/>
      <c r="AS663" s="55"/>
    </row>
    <row r="664" spans="1:45" ht="21.25" customHeight="1" x14ac:dyDescent="0.15">
      <c r="A664" s="62">
        <f>RANK(K664,K$2:K$671)</f>
        <v>664</v>
      </c>
      <c r="B664" s="10" t="s">
        <v>741</v>
      </c>
      <c r="C664" s="47" t="s">
        <v>145</v>
      </c>
      <c r="D664" s="48" t="str" cm="1">
        <f t="array" ref="D664">VLOOKUP(B664,'Player Data'!A1:D673,4,FALSE)</f>
        <v>LW</v>
      </c>
      <c r="E664" s="75" cm="1">
        <f t="array" ref="E664">VLOOKUP(B664,LW!A1:C210,3,FALSE)</f>
        <v>204</v>
      </c>
      <c r="F664" s="72" t="str" cm="1">
        <f t="array" ref="F664">VLOOKUP(B664,'Player Data'!A1:B673,2,FALSE)</f>
        <v>NYI</v>
      </c>
      <c r="G664" s="66" cm="1">
        <f t="array" ref="G664">VLOOKUP(B664,'Player Data'!A1:D673,3,FALSE)</f>
        <v>31</v>
      </c>
      <c r="H664" s="51" cm="1">
        <f t="array" ref="H664">IFERROR(VLOOKUP(B664,ADP!A1:F671,6,FALSE)/1000000,VLOOKUP(B664,ADP!A1:F671,6,FALSE))</f>
        <v>3.5</v>
      </c>
      <c r="I664" s="52">
        <f>IF(Settings!$E$15="POINTS",((R664*Q664)*Settings!$B$12)+(S664*Settings!$B$2)+(T664*Settings!$B$3)+(U664*Settings!$B$4)+(V664*Settings!$B$5)+(X664*Settings!$B$9)+(AA664*Settings!$B$6)+(W664*Settings!$B$8)+(AB664*Settings!$B$7)+(AC664*Settings!$B$14)+(AD664*Settings!$B$15)+(AE664*Settings!$B$16)+(AF664*Settings!$B$17)+(AG664*Settings!$B$18)+(Y664*Settings!$B$10)+(Z664*Settings!$B$11),VLOOKUP(B664,'Standard Deviations'!A$1:C$672,3,FALSE))</f>
        <v>-4.8481514882743637</v>
      </c>
      <c r="J664" s="53" cm="1">
        <f t="array" ref="J664">IF(D664="G",I664/AJ664,I664/Q664)</f>
        <v>-6.5515560652356267E-2</v>
      </c>
      <c r="K664" s="52" cm="1">
        <f t="array" ref="K664">IF(Settings!$E$18="C/LW/RW",VLOOKUP(B664,LW!A1:F210,6,FALSE),VLOOKUP(B664,F!A1:F407,6,FALSE))</f>
        <v>-11.742537132664173</v>
      </c>
      <c r="L664" s="54" cm="1">
        <f t="array" ref="L664">IFERROR(K664/H664,"N/A")</f>
        <v>-3.3550106093326209</v>
      </c>
      <c r="M664" s="84" t="s">
        <v>828</v>
      </c>
      <c r="N664" s="84" t="str" cm="1">
        <f t="array" ref="N664">IFERROR(M664-A664,"N/A")</f>
        <v>N/A</v>
      </c>
      <c r="O664" s="55"/>
      <c r="P664" s="56" cm="1">
        <f t="array" ref="P664">_xlfn.XLOOKUP($B664,ADP!A2:A671,ADP!G2:G671)</f>
        <v>0</v>
      </c>
      <c r="Q664" s="57" cm="1">
        <f t="array" ref="Q664">IF(Settings!$E$12="YES",VLOOKUP(B664,'Player Data'!A1:E673,5,FALSE),84)</f>
        <v>74</v>
      </c>
      <c r="R664" s="83" cm="1">
        <f t="array" ref="R664">VLOOKUP(B664,'Player Data'!$A1:$AE673,6,FALSE)</f>
        <v>11</v>
      </c>
      <c r="S664" s="57" cm="1">
        <f t="array" ref="S664">VLOOKUP(B664,'Player Data'!$A1:$AE673,7,FALSE)*$Q664*IFERROR((VLOOKUP(P664,Settings!$E$28:$F$33,2,FALSE)+1),1)</f>
        <v>9.620000000000001</v>
      </c>
      <c r="T664" s="57" cm="1">
        <f t="array" ref="T664">VLOOKUP(B664,'Player Data'!$A1:$AE673,8,FALSE)*$Q664*IFERROR((VLOOKUP(P664,Settings!$E$28:$F$33,2,FALSE)+1),1)</f>
        <v>10.360000000000001</v>
      </c>
      <c r="U664" s="57" cm="1">
        <f t="array" ref="U664">SUM(S664:T664)</f>
        <v>19.980000000000004</v>
      </c>
      <c r="V664" s="57" cm="1">
        <f t="array" ref="V664">VLOOKUP(B664,'Player Data'!$A1:$AE673,10,FALSE)*$Q664*IFERROR(((VLOOKUP(P664,Settings!$E$28:$F$33,2,FALSE)/2)+1),1)</f>
        <v>71.78</v>
      </c>
      <c r="W664" s="57" cm="1">
        <f t="array" ref="W664">VLOOKUP(B664,'Player Data'!$A1:$AE673,11,FALSE)*$Q664*IFERROR((VLOOKUP(P664,Settings!$E$28:$F$33,2,FALSE)+1),1)</f>
        <v>1.48</v>
      </c>
      <c r="X664" s="57" cm="1">
        <f t="array" ref="X664">VLOOKUP(B664,'Player Data'!$A1:$AE673,12,FALSE)*$Q664*IFERROR((VLOOKUP(P664,Settings!$E$28:$F$33,2,FALSE)+1),1)</f>
        <v>2.2199999999999998</v>
      </c>
      <c r="Y664" s="57" cm="1">
        <f t="array" ref="Y664">VLOOKUP(B664,'Player Data'!$A1:$AE673,13,FALSE)*$Q664</f>
        <v>0</v>
      </c>
      <c r="Z664" s="57" cm="1">
        <f t="array" ref="Z664">VLOOKUP(B664,'Player Data'!$A1:$AE673,14,FALSE)*$Q664</f>
        <v>0</v>
      </c>
      <c r="AA664" s="57" cm="1">
        <f t="array" ref="AA664">VLOOKUP(B664,'Player Data'!$A1:$AE673,15,FALSE)*$Q664</f>
        <v>37</v>
      </c>
      <c r="AB664" s="57" cm="1">
        <f t="array" ref="AB664">VLOOKUP(B664,'Player Data'!$A1:$AE673,16,FALSE)*$Q664</f>
        <v>34.04</v>
      </c>
      <c r="AC664" s="57" cm="1">
        <f t="array" ref="AC664">VLOOKUP(B664,'Player Data'!$A1:$AE673,17,FALSE)*$Q664*IFERROR((VLOOKUP(P664,Settings!$E$28:$F$33,2,FALSE)+1),1)</f>
        <v>-3.7</v>
      </c>
      <c r="AD664" s="57" cm="1">
        <f t="array" ref="AD664">VLOOKUP(B664,'Player Data'!$A1:$AE673,18,FALSE)*$Q664</f>
        <v>15.54</v>
      </c>
      <c r="AE664" s="57" cm="1">
        <f t="array" ref="AE664">VLOOKUP(B664,'Player Data'!$A1:$AE673,19,FALSE)*$Q664*IFERROR((VLOOKUP(P664,Settings!$E$28:$F$33,2,FALSE)+1),1)</f>
        <v>1.48</v>
      </c>
      <c r="AF664" s="57" cm="1">
        <f t="array" ref="AF664">VLOOKUP(B664,'Player Data'!$A1:$AE673,20,FALSE)*$Q664</f>
        <v>3.7</v>
      </c>
      <c r="AG664" s="57" cm="1">
        <f t="array" ref="AG664">VLOOKUP(B664,'Player Data'!$A1:$AE673,21,FALSE)*$Q664</f>
        <v>9.620000000000001</v>
      </c>
      <c r="AH664" s="59" cm="1">
        <f t="array" ref="AH664">VLOOKUP(B664,'Player Data'!$A1:$AE673,22,FALSE)</f>
        <v>0.28000000000000003</v>
      </c>
      <c r="AI664" s="55"/>
      <c r="AJ664" s="57"/>
      <c r="AK664" s="57"/>
      <c r="AL664" s="57"/>
      <c r="AM664" s="57"/>
      <c r="AN664" s="57"/>
      <c r="AO664" s="57"/>
      <c r="AP664" s="57"/>
      <c r="AQ664" s="60"/>
      <c r="AR664" s="61"/>
      <c r="AS664" s="55"/>
    </row>
    <row r="665" spans="1:45" ht="21.25" customHeight="1" x14ac:dyDescent="0.15">
      <c r="A665" s="62">
        <f>RANK(K665,K$2:K$671)</f>
        <v>663</v>
      </c>
      <c r="B665" s="10" t="s">
        <v>726</v>
      </c>
      <c r="C665" s="47" t="s">
        <v>145</v>
      </c>
      <c r="D665" s="48" t="str" cm="1">
        <f t="array" ref="D665">VLOOKUP(B665,'Player Data'!A1:D673,4,FALSE)</f>
        <v>LW,RW</v>
      </c>
      <c r="E665" s="74" cm="1">
        <f t="array" ref="E665">VLOOKUP(B665,RW!A1:F210,3,FALSE)</f>
        <v>205</v>
      </c>
      <c r="F665" s="56" t="str" cm="1">
        <f t="array" ref="F665">VLOOKUP(B665,'Player Data'!A1:B673,2,FALSE)</f>
        <v>CHI</v>
      </c>
      <c r="G665" s="11" cm="1">
        <f t="array" ref="G665">VLOOKUP(B665,'Player Data'!A1:D673,3,FALSE)</f>
        <v>30</v>
      </c>
      <c r="H665" s="67" cm="1">
        <f t="array" ref="H665">IFERROR(VLOOKUP(B665,ADP!A1:F671,6,FALSE)/1000000,VLOOKUP(B665,ADP!A1:F671,6,FALSE))</f>
        <v>3.6</v>
      </c>
      <c r="I665" s="52">
        <f>IF(Settings!$E$15="POINTS",((R665*Q665)*Settings!$B$12)+(S665*Settings!$B$2)+(T665*Settings!$B$3)+(U665*Settings!$B$4)+(V665*Settings!$B$5)+(X665*Settings!$B$9)+(AA665*Settings!$B$6)+(W665*Settings!$B$8)+(AB665*Settings!$B$7)+(AC665*Settings!$B$14)+(AD665*Settings!$B$15)+(AE665*Settings!$B$16)+(AF665*Settings!$B$17)+(AG665*Settings!$B$18)+(Y665*Settings!$B$10)+(Z665*Settings!$B$11),VLOOKUP(B665,'Standard Deviations'!A$1:C$672,3,FALSE))</f>
        <v>-4.8028475090220795</v>
      </c>
      <c r="J665" s="53" cm="1">
        <f t="array" ref="J665">IF(D665="G",I665/AJ665,I665/Q665)</f>
        <v>-6.0035593862775995E-2</v>
      </c>
      <c r="K665" s="52" cm="1">
        <f t="array" ref="K665">IF(Settings!$E$18="C/LW/RW",VLOOKUP(B665,RW!A1:F210,6,FALSE),VLOOKUP(B665,F!A1:F407,6,FALSE))</f>
        <v>-11.690082110831156</v>
      </c>
      <c r="L665" s="54" cm="1">
        <f t="array" ref="L665">IFERROR(K665/H665,"N/A")</f>
        <v>-3.247245030786432</v>
      </c>
      <c r="M665" s="84" t="s">
        <v>828</v>
      </c>
      <c r="N665" s="84" t="str" cm="1">
        <f t="array" ref="N665">IFERROR(M665-A665,"N/A")</f>
        <v>N/A</v>
      </c>
      <c r="O665" s="55"/>
      <c r="P665" s="56" cm="1">
        <f t="array" ref="P665">_xlfn.XLOOKUP($B665,ADP!A2:A671,ADP!G2:G671)</f>
        <v>0</v>
      </c>
      <c r="Q665" s="57" cm="1">
        <f t="array" ref="Q665">IF(Settings!$E$12="YES",VLOOKUP(B665,'Player Data'!A1:E673,5,FALSE),84)</f>
        <v>80</v>
      </c>
      <c r="R665" s="55" cm="1">
        <f t="array" ref="R665">VLOOKUP(B665,'Player Data'!$A1:$AE673,6,FALSE)</f>
        <v>11.5</v>
      </c>
      <c r="S665" s="57" cm="1">
        <f t="array" ref="S665">VLOOKUP(B665,'Player Data'!$A1:$AE673,7,FALSE)*$Q665*IFERROR((VLOOKUP(P665,Settings!$E$28:$F$33,2,FALSE)+1),1)</f>
        <v>9.6</v>
      </c>
      <c r="T665" s="57" cm="1">
        <f t="array" ref="T665">VLOOKUP(B665,'Player Data'!$A1:$AE673,8,FALSE)*$Q665*IFERROR((VLOOKUP(P665,Settings!$E$28:$F$33,2,FALSE)+1),1)</f>
        <v>11.200000000000001</v>
      </c>
      <c r="U665" s="57" cm="1">
        <f t="array" ref="U665">SUM(S665:T665)</f>
        <v>20.8</v>
      </c>
      <c r="V665" s="57" cm="1">
        <f t="array" ref="V665">VLOOKUP(B665,'Player Data'!$A1:$AE673,10,FALSE)*$Q665*IFERROR(((VLOOKUP(P665,Settings!$E$28:$F$33,2,FALSE)/2)+1),1)</f>
        <v>74.400000000000006</v>
      </c>
      <c r="W665" s="57" cm="1">
        <f t="array" ref="W665">VLOOKUP(B665,'Player Data'!$A1:$AE673,11,FALSE)*$Q665*IFERROR((VLOOKUP(P665,Settings!$E$28:$F$33,2,FALSE)+1),1)</f>
        <v>0</v>
      </c>
      <c r="X665" s="57" cm="1">
        <f t="array" ref="X665">VLOOKUP(B665,'Player Data'!$A1:$AE673,12,FALSE)*$Q665*IFERROR((VLOOKUP(P665,Settings!$E$28:$F$33,2,FALSE)+1),1)</f>
        <v>0</v>
      </c>
      <c r="Y665" s="57" cm="1">
        <f t="array" ref="Y665">VLOOKUP(B665,'Player Data'!$A1:$AE673,13,FALSE)*$Q665</f>
        <v>0.8</v>
      </c>
      <c r="Z665" s="57" cm="1">
        <f t="array" ref="Z665">VLOOKUP(B665,'Player Data'!$A1:$AE673,14,FALSE)*$Q665</f>
        <v>1.6</v>
      </c>
      <c r="AA665" s="57" cm="1">
        <f t="array" ref="AA665">VLOOKUP(B665,'Player Data'!$A1:$AE673,15,FALSE)*$Q665</f>
        <v>33.6</v>
      </c>
      <c r="AB665" s="57" cm="1">
        <f t="array" ref="AB665">VLOOKUP(B665,'Player Data'!$A1:$AE673,16,FALSE)*$Q665</f>
        <v>79.2</v>
      </c>
      <c r="AC665" s="57" cm="1">
        <f t="array" ref="AC665">VLOOKUP(B665,'Player Data'!$A1:$AE673,17,FALSE)*$Q665*IFERROR((VLOOKUP(P665,Settings!$E$28:$F$33,2,FALSE)+1),1)</f>
        <v>-7.1999999999999993</v>
      </c>
      <c r="AD665" s="57" cm="1">
        <f t="array" ref="AD665">VLOOKUP(B665,'Player Data'!$A1:$AE673,18,FALSE)*$Q665</f>
        <v>24</v>
      </c>
      <c r="AE665" s="57" cm="1">
        <f t="array" ref="AE665">VLOOKUP(B665,'Player Data'!$A1:$AE673,19,FALSE)*$Q665*IFERROR((VLOOKUP(P665,Settings!$E$28:$F$33,2,FALSE)+1),1)</f>
        <v>1.6</v>
      </c>
      <c r="AF665" s="57" cm="1">
        <f t="array" ref="AF665">VLOOKUP(B665,'Player Data'!$A1:$AE673,20,FALSE)*$Q665</f>
        <v>4</v>
      </c>
      <c r="AG665" s="57" cm="1">
        <f t="array" ref="AG665">VLOOKUP(B665,'Player Data'!$A1:$AE673,21,FALSE)*$Q665</f>
        <v>5.6000000000000005</v>
      </c>
      <c r="AH665" s="59" cm="1">
        <f t="array" ref="AH665">VLOOKUP(B665,'Player Data'!$A1:$AE673,22,FALSE)</f>
        <v>0.43</v>
      </c>
      <c r="AI665" s="55"/>
      <c r="AJ665" s="57"/>
      <c r="AK665" s="57"/>
      <c r="AL665" s="57"/>
      <c r="AM665" s="57"/>
      <c r="AN665" s="57"/>
      <c r="AO665" s="57"/>
      <c r="AP665" s="57"/>
      <c r="AQ665" s="60"/>
      <c r="AR665" s="61"/>
      <c r="AS665" s="55"/>
    </row>
    <row r="666" spans="1:45" ht="21.25" customHeight="1" x14ac:dyDescent="0.15">
      <c r="A666" s="62">
        <f>RANK(K666,K$2:K$671)</f>
        <v>665</v>
      </c>
      <c r="B666" s="10" t="s">
        <v>779</v>
      </c>
      <c r="C666" s="47" t="s">
        <v>145</v>
      </c>
      <c r="D666" s="48" t="str" cm="1">
        <f t="array" ref="D666">VLOOKUP(B666,'Player Data'!A1:D673,4,FALSE)</f>
        <v>C,LW</v>
      </c>
      <c r="E666" s="74" cm="1">
        <f t="array" ref="E666">VLOOKUP(B666,LW!A1:C210,3,FALSE)</f>
        <v>205</v>
      </c>
      <c r="F666" s="63" t="str" cm="1">
        <f t="array" ref="F666">VLOOKUP(B666,'Player Data'!A1:B673,2,FALSE)</f>
        <v>SEA</v>
      </c>
      <c r="G666" s="11" cm="1">
        <f t="array" ref="G666">VLOOKUP(B666,'Player Data'!A1:D673,3,FALSE)</f>
        <v>27</v>
      </c>
      <c r="H666" s="51" cm="1">
        <f t="array" ref="H666">IFERROR(VLOOKUP(B666,ADP!A1:F671,6,FALSE)/1000000,VLOOKUP(B666,ADP!A1:F671,6,FALSE))</f>
        <v>1</v>
      </c>
      <c r="I666" s="52">
        <f>IF(Settings!$E$15="POINTS",((R666*Q666)*Settings!$B$12)+(S666*Settings!$B$2)+(T666*Settings!$B$3)+(U666*Settings!$B$4)+(V666*Settings!$B$5)+(X666*Settings!$B$9)+(AA666*Settings!$B$6)+(W666*Settings!$B$8)+(AB666*Settings!$B$7)+(AC666*Settings!$B$14)+(AD666*Settings!$B$15)+(AE666*Settings!$B$16)+(AF666*Settings!$B$17)+(AG666*Settings!$B$18)+(Y666*Settings!$B$10)+(Z666*Settings!$B$11),VLOOKUP(B666,'Standard Deviations'!A$1:C$672,3,FALSE))</f>
        <v>-4.861795825206344</v>
      </c>
      <c r="J666" s="53" cm="1">
        <f t="array" ref="J666">IF(D666="G",I666/AJ666,I666/Q666)</f>
        <v>-7.7171362304862601E-2</v>
      </c>
      <c r="K666" s="52" cm="1">
        <f t="array" ref="K666">IF(Settings!$E$18="C/LW/RW",VLOOKUP(B666,LW!A1:F210,6,FALSE),VLOOKUP(B666,F!A1:F407,6,FALSE))</f>
        <v>-11.756181469596154</v>
      </c>
      <c r="L666" s="54" cm="1">
        <f t="array" ref="L666">IFERROR(K666/H666,"N/A")</f>
        <v>-11.756181469596154</v>
      </c>
      <c r="M666" s="84" t="s">
        <v>828</v>
      </c>
      <c r="N666" s="84" t="str" cm="1">
        <f t="array" ref="N666">IFERROR(M666-A666,"N/A")</f>
        <v>N/A</v>
      </c>
      <c r="O666" s="55"/>
      <c r="P666" s="56" cm="1">
        <f t="array" ref="P666">_xlfn.XLOOKUP($B666,ADP!A2:A671,ADP!G2:G671)</f>
        <v>0</v>
      </c>
      <c r="Q666" s="57" cm="1">
        <f t="array" ref="Q666">IF(Settings!$E$12="YES",VLOOKUP(B666,'Player Data'!A1:E673,5,FALSE),84)</f>
        <v>63</v>
      </c>
      <c r="R666" s="55" cm="1">
        <f t="array" ref="R666">VLOOKUP(B666,'Player Data'!$A1:$AE673,6,FALSE)</f>
        <v>12.1</v>
      </c>
      <c r="S666" s="57" cm="1">
        <f t="array" ref="S666">VLOOKUP(B666,'Player Data'!$A1:$AE673,7,FALSE)*$Q666*IFERROR((VLOOKUP(P666,Settings!$E$28:$F$33,2,FALSE)+1),1)</f>
        <v>6.93</v>
      </c>
      <c r="T666" s="57" cm="1">
        <f t="array" ref="T666">VLOOKUP(B666,'Player Data'!$A1:$AE673,8,FALSE)*$Q666*IFERROR((VLOOKUP(P666,Settings!$E$28:$F$33,2,FALSE)+1),1)</f>
        <v>8.82</v>
      </c>
      <c r="U666" s="57" cm="1">
        <f t="array" ref="U666">SUM(S666:T666)</f>
        <v>15.75</v>
      </c>
      <c r="V666" s="57" cm="1">
        <f t="array" ref="V666">VLOOKUP(B666,'Player Data'!$A1:$AE673,10,FALSE)*$Q666*IFERROR(((VLOOKUP(P666,Settings!$E$28:$F$33,2,FALSE)/2)+1),1)</f>
        <v>69.930000000000007</v>
      </c>
      <c r="W666" s="57" cm="1">
        <f t="array" ref="W666">VLOOKUP(B666,'Player Data'!$A1:$AE673,11,FALSE)*$Q666*IFERROR((VLOOKUP(P666,Settings!$E$28:$F$33,2,FALSE)+1),1)</f>
        <v>0</v>
      </c>
      <c r="X666" s="57" cm="1">
        <f t="array" ref="X666">VLOOKUP(B666,'Player Data'!$A1:$AE673,12,FALSE)*$Q666*IFERROR((VLOOKUP(P666,Settings!$E$28:$F$33,2,FALSE)+1),1)</f>
        <v>0</v>
      </c>
      <c r="Y666" s="57" cm="1">
        <f t="array" ref="Y666">VLOOKUP(B666,'Player Data'!$A1:$AE673,13,FALSE)*$Q666</f>
        <v>0</v>
      </c>
      <c r="Z666" s="57" cm="1">
        <f t="array" ref="Z666">VLOOKUP(B666,'Player Data'!$A1:$AE673,14,FALSE)*$Q666</f>
        <v>0.63</v>
      </c>
      <c r="AA666" s="57" cm="1">
        <f t="array" ref="AA666">VLOOKUP(B666,'Player Data'!$A1:$AE673,15,FALSE)*$Q666</f>
        <v>20.790000000000003</v>
      </c>
      <c r="AB666" s="57" cm="1">
        <f t="array" ref="AB666">VLOOKUP(B666,'Player Data'!$A1:$AE673,16,FALSE)*$Q666</f>
        <v>85.050000000000011</v>
      </c>
      <c r="AC666" s="57" cm="1">
        <f t="array" ref="AC666">VLOOKUP(B666,'Player Data'!$A1:$AE673,17,FALSE)*$Q666*IFERROR((VLOOKUP(P666,Settings!$E$28:$F$33,2,FALSE)+1),1)</f>
        <v>-5.67</v>
      </c>
      <c r="AD666" s="57" cm="1">
        <f t="array" ref="AD666">VLOOKUP(B666,'Player Data'!$A1:$AE673,18,FALSE)*$Q666</f>
        <v>19.53</v>
      </c>
      <c r="AE666" s="57" cm="1">
        <f t="array" ref="AE666">VLOOKUP(B666,'Player Data'!$A1:$AE673,19,FALSE)*$Q666*IFERROR((VLOOKUP(P666,Settings!$E$28:$F$33,2,FALSE)+1),1)</f>
        <v>1.26</v>
      </c>
      <c r="AF666" s="57" cm="1">
        <f t="array" ref="AF666">VLOOKUP(B666,'Player Data'!$A1:$AE673,20,FALSE)*$Q666</f>
        <v>216.09</v>
      </c>
      <c r="AG666" s="57" cm="1">
        <f t="array" ref="AG666">VLOOKUP(B666,'Player Data'!$A1:$AE673,21,FALSE)*$Q666</f>
        <v>192.14999999999998</v>
      </c>
      <c r="AH666" s="59" cm="1">
        <f t="array" ref="AH666">VLOOKUP(B666,'Player Data'!$A1:$AE673,22,FALSE)</f>
        <v>0.53</v>
      </c>
      <c r="AI666" s="55"/>
      <c r="AJ666" s="57"/>
      <c r="AK666" s="57"/>
      <c r="AL666" s="57"/>
      <c r="AM666" s="57"/>
      <c r="AN666" s="57"/>
      <c r="AO666" s="57"/>
      <c r="AP666" s="57"/>
      <c r="AQ666" s="60"/>
      <c r="AR666" s="61"/>
      <c r="AS666" s="55"/>
    </row>
    <row r="667" spans="1:45" ht="21.25" customHeight="1" x14ac:dyDescent="0.15">
      <c r="A667" s="62">
        <f>RANK(K667,K$2:K$671)</f>
        <v>666</v>
      </c>
      <c r="B667" s="10" t="s">
        <v>685</v>
      </c>
      <c r="C667" s="47" t="s">
        <v>145</v>
      </c>
      <c r="D667" s="48" t="str" cm="1">
        <f t="array" ref="D667">VLOOKUP(B667,'Player Data'!A1:D673,4,FALSE)</f>
        <v>LW</v>
      </c>
      <c r="E667" s="75" cm="1">
        <f t="array" ref="E667">VLOOKUP(B667,LW!A1:C210,3,FALSE)</f>
        <v>206</v>
      </c>
      <c r="F667" s="18" t="str" cm="1">
        <f t="array" ref="F667">VLOOKUP(B667,'Player Data'!A1:B673,2,FALSE)</f>
        <v>VAN</v>
      </c>
      <c r="G667" s="71" cm="1">
        <f t="array" ref="G667">VLOOKUP(B667,'Player Data'!A1:D673,3,FALSE)</f>
        <v>22</v>
      </c>
      <c r="H667" s="51" cm="1">
        <f t="array" ref="H667">IFERROR(VLOOKUP(B667,ADP!A1:F671,6,FALSE)/1000000,VLOOKUP(B667,ADP!A1:F671,6,FALSE))</f>
        <v>0.88666699999999998</v>
      </c>
      <c r="I667" s="52">
        <f>IF(Settings!$E$15="POINTS",((R667*Q667)*Settings!$B$12)+(S667*Settings!$B$2)+(T667*Settings!$B$3)+(U667*Settings!$B$4)+(V667*Settings!$B$5)+(X667*Settings!$B$9)+(AA667*Settings!$B$6)+(W667*Settings!$B$8)+(AB667*Settings!$B$7)+(AC667*Settings!$B$14)+(AD667*Settings!$B$15)+(AE667*Settings!$B$16)+(AF667*Settings!$B$17)+(AG667*Settings!$B$18)+(Y667*Settings!$B$10)+(Z667*Settings!$B$11),VLOOKUP(B667,'Standard Deviations'!A$1:C$672,3,FALSE))</f>
        <v>-5.1296216368504419</v>
      </c>
      <c r="J667" s="53" cm="1">
        <f t="array" ref="J667">IF(D667="G",I667/AJ667,I667/Q667)</f>
        <v>-7.7721539952279428E-2</v>
      </c>
      <c r="K667" s="52" cm="1">
        <f t="array" ref="K667">IF(Settings!$E$18="C/LW/RW",VLOOKUP(B667,LW!A1:F210,6,FALSE),VLOOKUP(B667,F!A1:F407,6,FALSE))</f>
        <v>-12.024007281240252</v>
      </c>
      <c r="L667" s="54" cm="1">
        <f t="array" ref="L667">IFERROR(K667/H667,"N/A")</f>
        <v>-13.560905369479469</v>
      </c>
      <c r="M667" s="84" t="s">
        <v>828</v>
      </c>
      <c r="N667" s="84" t="str" cm="1">
        <f t="array" ref="N667">IFERROR(M667-A667,"N/A")</f>
        <v>N/A</v>
      </c>
      <c r="O667" s="55"/>
      <c r="P667" s="56" cm="1">
        <f t="array" ref="P667">_xlfn.XLOOKUP($B667,ADP!A2:A671,ADP!G2:G671)</f>
        <v>0</v>
      </c>
      <c r="Q667" s="57" cm="1">
        <f t="array" ref="Q667">IF(Settings!$E$12="YES",VLOOKUP(B667,'Player Data'!A1:E673,5,FALSE),84)</f>
        <v>66</v>
      </c>
      <c r="R667" s="81" cm="1">
        <f t="array" ref="R667">VLOOKUP(B667,'Player Data'!$A1:$AE673,6,FALSE)</f>
        <v>14.6</v>
      </c>
      <c r="S667" s="57" cm="1">
        <f t="array" ref="S667">VLOOKUP(B667,'Player Data'!$A1:$AE673,7,FALSE)*$Q667*IFERROR((VLOOKUP(P667,Settings!$E$28:$F$33,2,FALSE)+1),1)</f>
        <v>9.9</v>
      </c>
      <c r="T667" s="57" cm="1">
        <f t="array" ref="T667">VLOOKUP(B667,'Player Data'!$A1:$AE673,8,FALSE)*$Q667*IFERROR((VLOOKUP(P667,Settings!$E$28:$F$33,2,FALSE)+1),1)</f>
        <v>12.540000000000001</v>
      </c>
      <c r="U667" s="57" cm="1">
        <f t="array" ref="U667">SUM(S667:T667)</f>
        <v>22.44</v>
      </c>
      <c r="V667" s="57" cm="1">
        <f t="array" ref="V667">VLOOKUP(B667,'Player Data'!$A1:$AE673,10,FALSE)*$Q667*IFERROR(((VLOOKUP(P667,Settings!$E$28:$F$33,2,FALSE)/2)+1),1)</f>
        <v>93.72</v>
      </c>
      <c r="W667" s="57" cm="1">
        <f t="array" ref="W667">VLOOKUP(B667,'Player Data'!$A1:$AE673,11,FALSE)*$Q667*IFERROR((VLOOKUP(P667,Settings!$E$28:$F$33,2,FALSE)+1),1)</f>
        <v>0</v>
      </c>
      <c r="X667" s="57" cm="1">
        <f t="array" ref="X667">VLOOKUP(B667,'Player Data'!$A1:$AE673,12,FALSE)*$Q667*IFERROR((VLOOKUP(P667,Settings!$E$28:$F$33,2,FALSE)+1),1)</f>
        <v>0.66</v>
      </c>
      <c r="Y667" s="57" cm="1">
        <f t="array" ref="Y667">VLOOKUP(B667,'Player Data'!$A1:$AE673,13,FALSE)*$Q667</f>
        <v>0</v>
      </c>
      <c r="Z667" s="57" cm="1">
        <f t="array" ref="Z667">VLOOKUP(B667,'Player Data'!$A1:$AE673,14,FALSE)*$Q667</f>
        <v>1.32</v>
      </c>
      <c r="AA667" s="57" cm="1">
        <f t="array" ref="AA667">VLOOKUP(B667,'Player Data'!$A1:$AE673,15,FALSE)*$Q667</f>
        <v>40.92</v>
      </c>
      <c r="AB667" s="57" cm="1">
        <f t="array" ref="AB667">VLOOKUP(B667,'Player Data'!$A1:$AE673,16,FALSE)*$Q667</f>
        <v>73.260000000000005</v>
      </c>
      <c r="AC667" s="57" cm="1">
        <f t="array" ref="AC667">VLOOKUP(B667,'Player Data'!$A1:$AE673,17,FALSE)*$Q667*IFERROR((VLOOKUP(P667,Settings!$E$28:$F$33,2,FALSE)+1),1)</f>
        <v>-10.56</v>
      </c>
      <c r="AD667" s="57" cm="1">
        <f t="array" ref="AD667">VLOOKUP(B667,'Player Data'!$A1:$AE673,18,FALSE)*$Q667</f>
        <v>11.22</v>
      </c>
      <c r="AE667" s="57" cm="1">
        <f t="array" ref="AE667">VLOOKUP(B667,'Player Data'!$A1:$AE673,19,FALSE)*$Q667*IFERROR((VLOOKUP(P667,Settings!$E$28:$F$33,2,FALSE)+1),1)</f>
        <v>1.32</v>
      </c>
      <c r="AF667" s="57" cm="1">
        <f t="array" ref="AF667">VLOOKUP(B667,'Player Data'!$A1:$AE673,20,FALSE)*$Q667</f>
        <v>7.26</v>
      </c>
      <c r="AG667" s="57" cm="1">
        <f t="array" ref="AG667">VLOOKUP(B667,'Player Data'!$A1:$AE673,21,FALSE)*$Q667</f>
        <v>13.200000000000001</v>
      </c>
      <c r="AH667" s="59" cm="1">
        <f t="array" ref="AH667">VLOOKUP(B667,'Player Data'!$A1:$AE673,22,FALSE)</f>
        <v>0.35</v>
      </c>
      <c r="AI667" s="55"/>
      <c r="AJ667" s="57"/>
      <c r="AK667" s="57"/>
      <c r="AL667" s="57"/>
      <c r="AM667" s="57"/>
      <c r="AN667" s="57"/>
      <c r="AO667" s="57"/>
      <c r="AP667" s="57"/>
      <c r="AQ667" s="60"/>
      <c r="AR667" s="61"/>
      <c r="AS667" s="55"/>
    </row>
    <row r="668" spans="1:45" ht="21.25" customHeight="1" x14ac:dyDescent="0.15">
      <c r="A668" s="62">
        <f>RANK(K668,K$2:K$671)</f>
        <v>667</v>
      </c>
      <c r="B668" s="10" t="s">
        <v>787</v>
      </c>
      <c r="C668" s="47" t="s">
        <v>145</v>
      </c>
      <c r="D668" s="48" t="str" cm="1">
        <f t="array" ref="D668">VLOOKUP(B668,'Player Data'!A1:D673,4,FALSE)</f>
        <v>LW,RW</v>
      </c>
      <c r="E668" s="74" cm="1">
        <f t="array" ref="E668">VLOOKUP(B668,RW!A1:F210,3,FALSE)</f>
        <v>206</v>
      </c>
      <c r="F668" s="56" t="str" cm="1">
        <f t="array" ref="F668">VLOOKUP(B668,'Player Data'!A1:B673,2,FALSE)</f>
        <v>CHI</v>
      </c>
      <c r="G668" s="71" cm="1">
        <f t="array" ref="G668">VLOOKUP(B668,'Player Data'!A1:D673,3,FALSE)</f>
        <v>24</v>
      </c>
      <c r="H668" s="67" cm="1">
        <f t="array" ref="H668">IFERROR(VLOOKUP(B668,ADP!A1:F671,6,FALSE)/1000000,VLOOKUP(B668,ADP!A1:F671,6,FALSE))</f>
        <v>0.9</v>
      </c>
      <c r="I668" s="52">
        <f>IF(Settings!$E$15="POINTS",((R668*Q668)*Settings!$B$12)+(S668*Settings!$B$2)+(T668*Settings!$B$3)+(U668*Settings!$B$4)+(V668*Settings!$B$5)+(X668*Settings!$B$9)+(AA668*Settings!$B$6)+(W668*Settings!$B$8)+(AB668*Settings!$B$7)+(AC668*Settings!$B$14)+(AD668*Settings!$B$15)+(AE668*Settings!$B$16)+(AF668*Settings!$B$17)+(AG668*Settings!$B$18)+(Y668*Settings!$B$10)+(Z668*Settings!$B$11),VLOOKUP(B668,'Standard Deviations'!A$1:C$672,3,FALSE))</f>
        <v>-5.3817048702612533</v>
      </c>
      <c r="J668" s="53" cm="1">
        <f t="array" ref="J668">IF(D668="G",I668/AJ668,I668/Q668)</f>
        <v>-8.1540982882746263E-2</v>
      </c>
      <c r="K668" s="52" cm="1">
        <f t="array" ref="K668">IF(Settings!$E$18="C/LW/RW",VLOOKUP(B668,RW!A1:F210,6,FALSE),VLOOKUP(B668,F!A1:F407,6,FALSE))</f>
        <v>-12.268939472070331</v>
      </c>
      <c r="L668" s="54" cm="1">
        <f t="array" ref="L668">IFERROR(K668/H668,"N/A")</f>
        <v>-13.632154968967034</v>
      </c>
      <c r="M668" s="84" t="s">
        <v>828</v>
      </c>
      <c r="N668" s="84" t="str" cm="1">
        <f t="array" ref="N668">IFERROR(M668-A668,"N/A")</f>
        <v>N/A</v>
      </c>
      <c r="O668" s="55"/>
      <c r="P668" s="56" cm="1">
        <f t="array" ref="P668">_xlfn.XLOOKUP($B668,ADP!A2:A671,ADP!G2:G671)</f>
        <v>0</v>
      </c>
      <c r="Q668" s="57" cm="1">
        <f t="array" ref="Q668">IF(Settings!$E$12="YES",VLOOKUP(B668,'Player Data'!A1:E673,5,FALSE),84)</f>
        <v>66</v>
      </c>
      <c r="R668" s="55" cm="1">
        <f t="array" ref="R668">VLOOKUP(B668,'Player Data'!$A1:$AE673,6,FALSE)</f>
        <v>11.2</v>
      </c>
      <c r="S668" s="57" cm="1">
        <f t="array" ref="S668">VLOOKUP(B668,'Player Data'!$A1:$AE673,7,FALSE)*$Q668*IFERROR((VLOOKUP(P668,Settings!$E$28:$F$33,2,FALSE)+1),1)</f>
        <v>4.62</v>
      </c>
      <c r="T668" s="57" cm="1">
        <f t="array" ref="T668">VLOOKUP(B668,'Player Data'!$A1:$AE673,8,FALSE)*$Q668*IFERROR((VLOOKUP(P668,Settings!$E$28:$F$33,2,FALSE)+1),1)</f>
        <v>6.6000000000000005</v>
      </c>
      <c r="U668" s="57" cm="1">
        <f t="array" ref="U668">SUM(S668:T668)</f>
        <v>11.22</v>
      </c>
      <c r="V668" s="57" cm="1">
        <f t="array" ref="V668">VLOOKUP(B668,'Player Data'!$A1:$AE673,10,FALSE)*$Q668*IFERROR(((VLOOKUP(P668,Settings!$E$28:$F$33,2,FALSE)/2)+1),1)</f>
        <v>62.04</v>
      </c>
      <c r="W668" s="57" cm="1">
        <f t="array" ref="W668">VLOOKUP(B668,'Player Data'!$A1:$AE673,11,FALSE)*$Q668*IFERROR((VLOOKUP(P668,Settings!$E$28:$F$33,2,FALSE)+1),1)</f>
        <v>0</v>
      </c>
      <c r="X668" s="57" cm="1">
        <f t="array" ref="X668">VLOOKUP(B668,'Player Data'!$A1:$AE673,12,FALSE)*$Q668*IFERROR((VLOOKUP(P668,Settings!$E$28:$F$33,2,FALSE)+1),1)</f>
        <v>0</v>
      </c>
      <c r="Y668" s="57" cm="1">
        <f t="array" ref="Y668">VLOOKUP(B668,'Player Data'!$A1:$AE673,13,FALSE)*$Q668</f>
        <v>0</v>
      </c>
      <c r="Z668" s="57" cm="1">
        <f t="array" ref="Z668">VLOOKUP(B668,'Player Data'!$A1:$AE673,14,FALSE)*$Q668</f>
        <v>0.66</v>
      </c>
      <c r="AA668" s="57" cm="1">
        <f t="array" ref="AA668">VLOOKUP(B668,'Player Data'!$A1:$AE673,15,FALSE)*$Q668</f>
        <v>31.02</v>
      </c>
      <c r="AB668" s="57" cm="1">
        <f t="array" ref="AB668">VLOOKUP(B668,'Player Data'!$A1:$AE673,16,FALSE)*$Q668</f>
        <v>95.039999999999992</v>
      </c>
      <c r="AC668" s="57" cm="1">
        <f t="array" ref="AC668">VLOOKUP(B668,'Player Data'!$A1:$AE673,17,FALSE)*$Q668*IFERROR((VLOOKUP(P668,Settings!$E$28:$F$33,2,FALSE)+1),1)</f>
        <v>-6.6000000000000005</v>
      </c>
      <c r="AD668" s="57" cm="1">
        <f t="array" ref="AD668">VLOOKUP(B668,'Player Data'!$A1:$AE673,18,FALSE)*$Q668</f>
        <v>19.139999999999997</v>
      </c>
      <c r="AE668" s="57" cm="1">
        <f t="array" ref="AE668">VLOOKUP(B668,'Player Data'!$A1:$AE673,19,FALSE)*$Q668*IFERROR((VLOOKUP(P668,Settings!$E$28:$F$33,2,FALSE)+1),1)</f>
        <v>0.66</v>
      </c>
      <c r="AF668" s="57" cm="1">
        <f t="array" ref="AF668">VLOOKUP(B668,'Player Data'!$A1:$AE673,20,FALSE)*$Q668</f>
        <v>0.66</v>
      </c>
      <c r="AG668" s="57" cm="1">
        <f t="array" ref="AG668">VLOOKUP(B668,'Player Data'!$A1:$AE673,21,FALSE)*$Q668</f>
        <v>3.96</v>
      </c>
      <c r="AH668" s="59" cm="1">
        <f t="array" ref="AH668">VLOOKUP(B668,'Player Data'!$A1:$AE673,22,FALSE)</f>
        <v>0.19</v>
      </c>
      <c r="AI668" s="55"/>
      <c r="AJ668" s="57"/>
      <c r="AK668" s="57"/>
      <c r="AL668" s="57"/>
      <c r="AM668" s="57"/>
      <c r="AN668" s="57"/>
      <c r="AO668" s="57"/>
      <c r="AP668" s="57"/>
      <c r="AQ668" s="60"/>
      <c r="AR668" s="61"/>
      <c r="AS668" s="55"/>
    </row>
    <row r="669" spans="1:45" ht="21.25" customHeight="1" x14ac:dyDescent="0.15">
      <c r="A669" s="62">
        <f>RANK(K669,K$2:K$671)</f>
        <v>668</v>
      </c>
      <c r="B669" s="10" t="s">
        <v>780</v>
      </c>
      <c r="C669" s="47" t="s">
        <v>145</v>
      </c>
      <c r="D669" s="48" t="str" cm="1">
        <f t="array" ref="D669">VLOOKUP(B669,'Player Data'!A1:D673,4,FALSE)</f>
        <v>RW</v>
      </c>
      <c r="E669" s="64" cm="1">
        <f t="array" ref="E669">VLOOKUP(B669,RW!A1:F210,3,FALSE)</f>
        <v>207</v>
      </c>
      <c r="F669" s="63" t="str" cm="1">
        <f t="array" ref="F669">VLOOKUP(B669,'Player Data'!A1:B673,2,FALSE)</f>
        <v>SEA</v>
      </c>
      <c r="G669" s="71" cm="1">
        <f t="array" ref="G669">VLOOKUP(B669,'Player Data'!A1:D673,3,FALSE)</f>
        <v>23</v>
      </c>
      <c r="H669" s="51" cm="1">
        <f t="array" ref="H669">IFERROR(VLOOKUP(B669,ADP!A1:F671,6,FALSE)/1000000,VLOOKUP(B669,ADP!A1:F671,6,FALSE))</f>
        <v>1.125</v>
      </c>
      <c r="I669" s="52">
        <f>IF(Settings!$E$15="POINTS",((R669*Q669)*Settings!$B$12)+(S669*Settings!$B$2)+(T669*Settings!$B$3)+(U669*Settings!$B$4)+(V669*Settings!$B$5)+(X669*Settings!$B$9)+(AA669*Settings!$B$6)+(W669*Settings!$B$8)+(AB669*Settings!$B$7)+(AC669*Settings!$B$14)+(AD669*Settings!$B$15)+(AE669*Settings!$B$16)+(AF669*Settings!$B$17)+(AG669*Settings!$B$18)+(Y669*Settings!$B$10)+(Z669*Settings!$B$11),VLOOKUP(B669,'Standard Deviations'!A$1:C$672,3,FALSE))</f>
        <v>-5.4349542901548968</v>
      </c>
      <c r="J669" s="53" cm="1">
        <f t="array" ref="J669">IF(D669="G",I669/AJ669,I669/Q669)</f>
        <v>-8.3614681386998416E-2</v>
      </c>
      <c r="K669" s="52" cm="1">
        <f t="array" ref="K669">IF(Settings!$E$18="C/LW/RW",VLOOKUP(B669,RW!A1:F210,6,FALSE),VLOOKUP(B669,F!A1:F407,6,FALSE))</f>
        <v>-12.322188891963975</v>
      </c>
      <c r="L669" s="54" cm="1">
        <f t="array" ref="L669">IFERROR(K669/H669,"N/A")</f>
        <v>-10.953056792856867</v>
      </c>
      <c r="M669" s="84" t="s">
        <v>828</v>
      </c>
      <c r="N669" s="84" t="str" cm="1">
        <f t="array" ref="N669">IFERROR(M669-A669,"N/A")</f>
        <v>N/A</v>
      </c>
      <c r="O669" s="55"/>
      <c r="P669" s="56" cm="1">
        <f t="array" ref="P669">_xlfn.XLOOKUP($B669,ADP!A2:A671,ADP!G2:G671)</f>
        <v>0</v>
      </c>
      <c r="Q669" s="57" cm="1">
        <f t="array" ref="Q669">IF(Settings!$E$12="YES",VLOOKUP(B669,'Player Data'!A1:E673,5,FALSE),84)</f>
        <v>65</v>
      </c>
      <c r="R669" s="83" cm="1">
        <f t="array" ref="R669">VLOOKUP(B669,'Player Data'!$A1:$AE673,6,FALSE)</f>
        <v>10.4</v>
      </c>
      <c r="S669" s="57" cm="1">
        <f t="array" ref="S669">VLOOKUP(B669,'Player Data'!$A1:$AE673,7,FALSE)*$Q669*IFERROR((VLOOKUP(P669,Settings!$E$28:$F$33,2,FALSE)+1),1)</f>
        <v>3.9</v>
      </c>
      <c r="T669" s="57" cm="1">
        <f t="array" ref="T669">VLOOKUP(B669,'Player Data'!$A1:$AE673,8,FALSE)*$Q669*IFERROR((VLOOKUP(P669,Settings!$E$28:$F$33,2,FALSE)+1),1)</f>
        <v>9.1000000000000014</v>
      </c>
      <c r="U669" s="57" cm="1">
        <f t="array" ref="U669">SUM(S669:T669)</f>
        <v>13.000000000000002</v>
      </c>
      <c r="V669" s="57" cm="1">
        <f t="array" ref="V669">VLOOKUP(B669,'Player Data'!$A1:$AE673,10,FALSE)*$Q669*IFERROR(((VLOOKUP(P669,Settings!$E$28:$F$33,2,FALSE)/2)+1),1)</f>
        <v>67.600000000000009</v>
      </c>
      <c r="W669" s="57" cm="1">
        <f t="array" ref="W669">VLOOKUP(B669,'Player Data'!$A1:$AE673,11,FALSE)*$Q669*IFERROR((VLOOKUP(P669,Settings!$E$28:$F$33,2,FALSE)+1),1)</f>
        <v>0</v>
      </c>
      <c r="X669" s="57" cm="1">
        <f t="array" ref="X669">VLOOKUP(B669,'Player Data'!$A1:$AE673,12,FALSE)*$Q669*IFERROR((VLOOKUP(P669,Settings!$E$28:$F$33,2,FALSE)+1),1)</f>
        <v>0</v>
      </c>
      <c r="Y669" s="57" cm="1">
        <f t="array" ref="Y669">VLOOKUP(B669,'Player Data'!$A1:$AE673,13,FALSE)*$Q669</f>
        <v>0</v>
      </c>
      <c r="Z669" s="57" cm="1">
        <f t="array" ref="Z669">VLOOKUP(B669,'Player Data'!$A1:$AE673,14,FALSE)*$Q669</f>
        <v>0.65</v>
      </c>
      <c r="AA669" s="57" cm="1">
        <f t="array" ref="AA669">VLOOKUP(B669,'Player Data'!$A1:$AE673,15,FALSE)*$Q669</f>
        <v>29.25</v>
      </c>
      <c r="AB669" s="57" cm="1">
        <f t="array" ref="AB669">VLOOKUP(B669,'Player Data'!$A1:$AE673,16,FALSE)*$Q669</f>
        <v>74.75</v>
      </c>
      <c r="AC669" s="57" cm="1">
        <f t="array" ref="AC669">VLOOKUP(B669,'Player Data'!$A1:$AE673,17,FALSE)*$Q669*IFERROR((VLOOKUP(P669,Settings!$E$28:$F$33,2,FALSE)+1),1)</f>
        <v>-5.85</v>
      </c>
      <c r="AD669" s="57" cm="1">
        <f t="array" ref="AD669">VLOOKUP(B669,'Player Data'!$A1:$AE673,18,FALSE)*$Q669</f>
        <v>13.65</v>
      </c>
      <c r="AE669" s="57" cm="1">
        <f t="array" ref="AE669">VLOOKUP(B669,'Player Data'!$A1:$AE673,19,FALSE)*$Q669*IFERROR((VLOOKUP(P669,Settings!$E$28:$F$33,2,FALSE)+1),1)</f>
        <v>0.65</v>
      </c>
      <c r="AF669" s="57" cm="1">
        <f t="array" ref="AF669">VLOOKUP(B669,'Player Data'!$A1:$AE673,20,FALSE)*$Q669</f>
        <v>0</v>
      </c>
      <c r="AG669" s="57" cm="1">
        <f t="array" ref="AG669">VLOOKUP(B669,'Player Data'!$A1:$AE673,21,FALSE)*$Q669</f>
        <v>5.2</v>
      </c>
      <c r="AH669" s="59" cm="1">
        <f t="array" ref="AH669">VLOOKUP(B669,'Player Data'!$A1:$AE673,22,FALSE)</f>
        <v>0.06</v>
      </c>
      <c r="AI669" s="55"/>
      <c r="AJ669" s="57"/>
      <c r="AK669" s="57"/>
      <c r="AL669" s="57"/>
      <c r="AM669" s="57"/>
      <c r="AN669" s="57"/>
      <c r="AO669" s="57"/>
      <c r="AP669" s="57"/>
      <c r="AQ669" s="60"/>
      <c r="AR669" s="61"/>
      <c r="AS669" s="55"/>
    </row>
    <row r="670" spans="1:45" ht="21.25" customHeight="1" x14ac:dyDescent="0.15">
      <c r="A670" s="62">
        <f>RANK(K670,K$2:K$671)</f>
        <v>669</v>
      </c>
      <c r="B670" s="10" t="s">
        <v>678</v>
      </c>
      <c r="C670" s="47" t="s">
        <v>145</v>
      </c>
      <c r="D670" s="48" t="str" cm="1">
        <f t="array" ref="D670">VLOOKUP(B670,'Player Data'!A1:D673,4,FALSE)</f>
        <v>C,RW</v>
      </c>
      <c r="E670" s="74" cm="1">
        <f t="array" ref="E670">VLOOKUP(B670,RW!A1:F210,3,FALSE)</f>
        <v>208</v>
      </c>
      <c r="F670" s="63" t="str" cm="1">
        <f t="array" ref="F670">VLOOKUP(B670,'Player Data'!A1:B673,2,FALSE)</f>
        <v>SEA</v>
      </c>
      <c r="G670" s="66" cm="1">
        <f t="array" ref="G670">VLOOKUP(B670,'Player Data'!A1:D673,3,FALSE)</f>
        <v>33</v>
      </c>
      <c r="H670" s="51" cm="1">
        <f t="array" ref="H670">IFERROR(VLOOKUP(B670,ADP!A1:F671,6,FALSE)/1000000,VLOOKUP(B670,ADP!A1:F671,6,FALSE))</f>
        <v>2.1</v>
      </c>
      <c r="I670" s="52">
        <f>IF(Settings!$E$15="POINTS",((R670*Q670)*Settings!$B$12)+(S670*Settings!$B$2)+(T670*Settings!$B$3)+(U670*Settings!$B$4)+(V670*Settings!$B$5)+(X670*Settings!$B$9)+(AA670*Settings!$B$6)+(W670*Settings!$B$8)+(AB670*Settings!$B$7)+(AC670*Settings!$B$14)+(AD670*Settings!$B$15)+(AE670*Settings!$B$16)+(AF670*Settings!$B$17)+(AG670*Settings!$B$18)+(Y670*Settings!$B$10)+(Z670*Settings!$B$11),VLOOKUP(B670,'Standard Deviations'!A$1:C$672,3,FALSE))</f>
        <v>-5.6293011214189415</v>
      </c>
      <c r="J670" s="53" cm="1">
        <f t="array" ref="J670">IF(D670="G",I670/AJ670,I670/Q670)</f>
        <v>-7.0366264017736768E-2</v>
      </c>
      <c r="K670" s="52" cm="1">
        <f t="array" ref="K670">IF(Settings!$E$18="C/LW/RW",VLOOKUP(B670,RW!A1:F210,6,FALSE),VLOOKUP(B670,F!A1:F407,6,FALSE))</f>
        <v>-12.516535723228019</v>
      </c>
      <c r="L670" s="54" cm="1">
        <f t="array" ref="L670">IFERROR(K670/H670,"N/A")</f>
        <v>-5.9602551062990567</v>
      </c>
      <c r="M670" s="84" t="s">
        <v>828</v>
      </c>
      <c r="N670" s="84" t="str" cm="1">
        <f t="array" ref="N670">IFERROR(M670-A670,"N/A")</f>
        <v>N/A</v>
      </c>
      <c r="O670" s="55"/>
      <c r="P670" s="56" cm="1">
        <f t="array" ref="P670">_xlfn.XLOOKUP($B670,ADP!A2:A671,ADP!G2:G671)</f>
        <v>0</v>
      </c>
      <c r="Q670" s="57" cm="1">
        <f t="array" ref="Q670">IF(Settings!$E$12="YES",VLOOKUP(B670,'Player Data'!A1:E673,5,FALSE),84)</f>
        <v>80</v>
      </c>
      <c r="R670" s="83" cm="1">
        <f t="array" ref="R670">VLOOKUP(B670,'Player Data'!$A1:$AE673,6,FALSE)</f>
        <v>15</v>
      </c>
      <c r="S670" s="57" cm="1">
        <f t="array" ref="S670">VLOOKUP(B670,'Player Data'!$A1:$AE673,7,FALSE)*$Q670*IFERROR((VLOOKUP(P670,Settings!$E$28:$F$33,2,FALSE)+1),1)</f>
        <v>8</v>
      </c>
      <c r="T670" s="57" cm="1">
        <f t="array" ref="T670">VLOOKUP(B670,'Player Data'!$A1:$AE673,8,FALSE)*$Q670*IFERROR((VLOOKUP(P670,Settings!$E$28:$F$33,2,FALSE)+1),1)</f>
        <v>14.399999999999999</v>
      </c>
      <c r="U670" s="57" cm="1">
        <f t="array" ref="U670">SUM(S670:T670)</f>
        <v>22.4</v>
      </c>
      <c r="V670" s="57" cm="1">
        <f t="array" ref="V670">VLOOKUP(B670,'Player Data'!$A1:$AE673,10,FALSE)*$Q670*IFERROR(((VLOOKUP(P670,Settings!$E$28:$F$33,2,FALSE)/2)+1),1)</f>
        <v>81.599999999999994</v>
      </c>
      <c r="W670" s="57" cm="1">
        <f t="array" ref="W670">VLOOKUP(B670,'Player Data'!$A1:$AE673,11,FALSE)*$Q670*IFERROR((VLOOKUP(P670,Settings!$E$28:$F$33,2,FALSE)+1),1)</f>
        <v>0.8</v>
      </c>
      <c r="X670" s="57" cm="1">
        <f t="array" ref="X670">VLOOKUP(B670,'Player Data'!$A1:$AE673,12,FALSE)*$Q670*IFERROR((VLOOKUP(P670,Settings!$E$28:$F$33,2,FALSE)+1),1)</f>
        <v>1.6</v>
      </c>
      <c r="Y670" s="57" cm="1">
        <f t="array" ref="Y670">VLOOKUP(B670,'Player Data'!$A1:$AE673,13,FALSE)*$Q670</f>
        <v>0</v>
      </c>
      <c r="Z670" s="57" cm="1">
        <f t="array" ref="Z670">VLOOKUP(B670,'Player Data'!$A1:$AE673,14,FALSE)*$Q670</f>
        <v>0</v>
      </c>
      <c r="AA670" s="57" cm="1">
        <f t="array" ref="AA670">VLOOKUP(B670,'Player Data'!$A1:$AE673,15,FALSE)*$Q670</f>
        <v>55.199999999999996</v>
      </c>
      <c r="AB670" s="57" cm="1">
        <f t="array" ref="AB670">VLOOKUP(B670,'Player Data'!$A1:$AE673,16,FALSE)*$Q670</f>
        <v>47.199999999999996</v>
      </c>
      <c r="AC670" s="57" cm="1">
        <f t="array" ref="AC670">VLOOKUP(B670,'Player Data'!$A1:$AE673,17,FALSE)*$Q670*IFERROR((VLOOKUP(P670,Settings!$E$28:$F$33,2,FALSE)+1),1)</f>
        <v>-9.6</v>
      </c>
      <c r="AD670" s="57" cm="1">
        <f t="array" ref="AD670">VLOOKUP(B670,'Player Data'!$A1:$AE673,18,FALSE)*$Q670</f>
        <v>15.2</v>
      </c>
      <c r="AE670" s="57" cm="1">
        <f t="array" ref="AE670">VLOOKUP(B670,'Player Data'!$A1:$AE673,19,FALSE)*$Q670*IFERROR((VLOOKUP(P670,Settings!$E$28:$F$33,2,FALSE)+1),1)</f>
        <v>0.8</v>
      </c>
      <c r="AF670" s="57" cm="1">
        <f t="array" ref="AF670">VLOOKUP(B670,'Player Data'!$A1:$AE673,20,FALSE)*$Q670</f>
        <v>366.4</v>
      </c>
      <c r="AG670" s="57" cm="1">
        <f t="array" ref="AG670">VLOOKUP(B670,'Player Data'!$A1:$AE673,21,FALSE)*$Q670</f>
        <v>421.59999999999997</v>
      </c>
      <c r="AH670" s="59" cm="1">
        <f t="array" ref="AH670">VLOOKUP(B670,'Player Data'!$A1:$AE673,22,FALSE)</f>
        <v>0.46</v>
      </c>
      <c r="AI670" s="55"/>
      <c r="AJ670" s="57"/>
      <c r="AK670" s="57"/>
      <c r="AL670" s="57"/>
      <c r="AM670" s="57"/>
      <c r="AN670" s="57"/>
      <c r="AO670" s="57"/>
      <c r="AP670" s="57"/>
      <c r="AQ670" s="60"/>
      <c r="AR670" s="61"/>
      <c r="AS670" s="55"/>
    </row>
    <row r="671" spans="1:45" ht="21.25" customHeight="1" x14ac:dyDescent="0.15">
      <c r="A671" s="62">
        <f>RANK(K671,K$2:K$671)</f>
        <v>670</v>
      </c>
      <c r="B671" s="10" t="s">
        <v>738</v>
      </c>
      <c r="C671" s="47" t="s">
        <v>145</v>
      </c>
      <c r="D671" s="48" t="str" cm="1">
        <f t="array" ref="D671">VLOOKUP(B671,'Player Data'!A1:D673,4,FALSE)</f>
        <v>C,LW</v>
      </c>
      <c r="E671" s="74" cm="1">
        <f t="array" ref="E671">VLOOKUP(B671,LW!A1:C210,3,FALSE)</f>
        <v>208</v>
      </c>
      <c r="F671" s="18" t="str" cm="1">
        <f t="array" ref="F671">VLOOKUP(B671,'Player Data'!A1:B673,2,FALSE)</f>
        <v>VAN</v>
      </c>
      <c r="G671" s="11" cm="1">
        <f t="array" ref="G671">VLOOKUP(B671,'Player Data'!A1:D673,3,FALSE)</f>
        <v>26</v>
      </c>
      <c r="H671" s="51" cm="1">
        <f t="array" ref="H671">IFERROR(VLOOKUP(B671,ADP!A1:F671,6,FALSE)/1000000,VLOOKUP(B671,ADP!A1:F671,6,FALSE))</f>
        <v>1</v>
      </c>
      <c r="I671" s="52">
        <f>IF(Settings!$E$15="POINTS",((R671*Q671)*Settings!$B$12)+(S671*Settings!$B$2)+(T671*Settings!$B$3)+(U671*Settings!$B$4)+(V671*Settings!$B$5)+(X671*Settings!$B$9)+(AA671*Settings!$B$6)+(W671*Settings!$B$8)+(AB671*Settings!$B$7)+(AC671*Settings!$B$14)+(AD671*Settings!$B$15)+(AE671*Settings!$B$16)+(AF671*Settings!$B$17)+(AG671*Settings!$B$18)+(Y671*Settings!$B$10)+(Z671*Settings!$B$11),VLOOKUP(B671,'Standard Deviations'!A$1:C$672,3,FALSE))</f>
        <v>-5.7337138951162325</v>
      </c>
      <c r="J671" s="53" cm="1">
        <f t="array" ref="J671">IF(D671="G",I671/AJ671,I671/Q671)</f>
        <v>-8.0756533734031438E-2</v>
      </c>
      <c r="K671" s="52" cm="1">
        <f t="array" ref="K671">IF(Settings!$E$18="C/LW/RW",VLOOKUP(B671,LW!A1:F210,6,FALSE),VLOOKUP(B671,F!A1:F407,6,FALSE))</f>
        <v>-12.628099539506042</v>
      </c>
      <c r="L671" s="54" cm="1">
        <f t="array" ref="L671">IFERROR(K671/H671,"N/A")</f>
        <v>-12.628099539506042</v>
      </c>
      <c r="M671" s="84" t="s">
        <v>828</v>
      </c>
      <c r="N671" s="84" t="str" cm="1">
        <f t="array" ref="N671">IFERROR(M671-A671,"N/A")</f>
        <v>N/A</v>
      </c>
      <c r="O671" s="55"/>
      <c r="P671" s="56" cm="1">
        <f t="array" ref="P671">_xlfn.XLOOKUP($B671,ADP!A2:A671,ADP!G2:G671)</f>
        <v>0</v>
      </c>
      <c r="Q671" s="57" cm="1">
        <f t="array" ref="Q671">IF(Settings!$E$12="YES",VLOOKUP(B671,'Player Data'!A1:E673,5,FALSE),84)</f>
        <v>71</v>
      </c>
      <c r="R671" s="55" cm="1">
        <f t="array" ref="R671">VLOOKUP(B671,'Player Data'!$A1:$AE673,6,FALSE)</f>
        <v>12.1</v>
      </c>
      <c r="S671" s="57" cm="1">
        <f t="array" ref="S671">VLOOKUP(B671,'Player Data'!$A1:$AE673,7,FALSE)*$Q671*IFERROR((VLOOKUP(P671,Settings!$E$28:$F$33,2,FALSE)+1),1)</f>
        <v>12.07</v>
      </c>
      <c r="T671" s="57" cm="1">
        <f t="array" ref="T671">VLOOKUP(B671,'Player Data'!$A1:$AE673,8,FALSE)*$Q671*IFERROR((VLOOKUP(P671,Settings!$E$28:$F$33,2,FALSE)+1),1)</f>
        <v>8.52</v>
      </c>
      <c r="U671" s="57" cm="1">
        <f t="array" ref="U671">SUM(S671:T671)</f>
        <v>20.59</v>
      </c>
      <c r="V671" s="57" cm="1">
        <f t="array" ref="V671">VLOOKUP(B671,'Player Data'!$A1:$AE673,10,FALSE)*$Q671*IFERROR(((VLOOKUP(P671,Settings!$E$28:$F$33,2,FALSE)/2)+1),1)</f>
        <v>71</v>
      </c>
      <c r="W671" s="57" cm="1">
        <f t="array" ref="W671">VLOOKUP(B671,'Player Data'!$A1:$AE673,11,FALSE)*$Q671*IFERROR((VLOOKUP(P671,Settings!$E$28:$F$33,2,FALSE)+1),1)</f>
        <v>0</v>
      </c>
      <c r="X671" s="57" cm="1">
        <f t="array" ref="X671">VLOOKUP(B671,'Player Data'!$A1:$AE673,12,FALSE)*$Q671*IFERROR((VLOOKUP(P671,Settings!$E$28:$F$33,2,FALSE)+1),1)</f>
        <v>0.71</v>
      </c>
      <c r="Y671" s="57" cm="1">
        <f t="array" ref="Y671">VLOOKUP(B671,'Player Data'!$A1:$AE673,13,FALSE)*$Q671</f>
        <v>0</v>
      </c>
      <c r="Z671" s="57" cm="1">
        <f t="array" ref="Z671">VLOOKUP(B671,'Player Data'!$A1:$AE673,14,FALSE)*$Q671</f>
        <v>0.71</v>
      </c>
      <c r="AA671" s="57" cm="1">
        <f t="array" ref="AA671">VLOOKUP(B671,'Player Data'!$A1:$AE673,15,FALSE)*$Q671</f>
        <v>39.050000000000004</v>
      </c>
      <c r="AB671" s="57" cm="1">
        <f t="array" ref="AB671">VLOOKUP(B671,'Player Data'!$A1:$AE673,16,FALSE)*$Q671</f>
        <v>51.83</v>
      </c>
      <c r="AC671" s="57" cm="1">
        <f t="array" ref="AC671">VLOOKUP(B671,'Player Data'!$A1:$AE673,17,FALSE)*$Q671*IFERROR((VLOOKUP(P671,Settings!$E$28:$F$33,2,FALSE)+1),1)</f>
        <v>-9.23</v>
      </c>
      <c r="AD671" s="57" cm="1">
        <f t="array" ref="AD671">VLOOKUP(B671,'Player Data'!$A1:$AE673,18,FALSE)*$Q671</f>
        <v>21.3</v>
      </c>
      <c r="AE671" s="57" cm="1">
        <f t="array" ref="AE671">VLOOKUP(B671,'Player Data'!$A1:$AE673,19,FALSE)*$Q671*IFERROR((VLOOKUP(P671,Settings!$E$28:$F$33,2,FALSE)+1),1)</f>
        <v>1.42</v>
      </c>
      <c r="AF671" s="57" cm="1">
        <f t="array" ref="AF671">VLOOKUP(B671,'Player Data'!$A1:$AE673,20,FALSE)*$Q671</f>
        <v>135.60999999999999</v>
      </c>
      <c r="AG671" s="57" cm="1">
        <f t="array" ref="AG671">VLOOKUP(B671,'Player Data'!$A1:$AE673,21,FALSE)*$Q671</f>
        <v>185.31</v>
      </c>
      <c r="AH671" s="59" cm="1">
        <f t="array" ref="AH671">VLOOKUP(B671,'Player Data'!$A1:$AE673,22,FALSE)</f>
        <v>0.42</v>
      </c>
      <c r="AI671" s="55"/>
      <c r="AJ671" s="57"/>
      <c r="AK671" s="57"/>
      <c r="AL671" s="57"/>
      <c r="AM671" s="57"/>
      <c r="AN671" s="57"/>
      <c r="AO671" s="57"/>
      <c r="AP671" s="57"/>
      <c r="AQ671" s="60"/>
      <c r="AR671" s="61"/>
      <c r="AS671" s="55"/>
    </row>
  </sheetData>
  <autoFilter ref="A1:AR671" xr:uid="{00000000-0001-0000-0100-000000000000}">
    <filterColumn colId="3" showButton="0"/>
    <sortState xmlns:xlrd2="http://schemas.microsoft.com/office/spreadsheetml/2017/richdata2" ref="A2:AR671">
      <sortCondition descending="1" ref="K1:K671"/>
    </sortState>
  </autoFilter>
  <mergeCells count="1">
    <mergeCell ref="D1:E1"/>
  </mergeCells>
  <conditionalFormatting sqref="D2:D671">
    <cfRule type="containsText" dxfId="58" priority="1" stopIfTrue="1" operator="containsText" text=",">
      <formula>NOT(ISERROR(FIND(UPPER(","),UPPER(D2))))</formula>
      <formula>","</formula>
    </cfRule>
    <cfRule type="containsText" dxfId="57" priority="2" stopIfTrue="1" operator="containsText" text="C">
      <formula>NOT(ISERROR(FIND(UPPER("C"),UPPER(D2))))</formula>
      <formula>"C"</formula>
    </cfRule>
    <cfRule type="containsText" dxfId="56" priority="3" stopIfTrue="1" operator="containsText" text="D">
      <formula>NOT(ISERROR(FIND(UPPER("D"),UPPER(D2))))</formula>
      <formula>"D"</formula>
    </cfRule>
    <cfRule type="containsText" dxfId="55" priority="4" stopIfTrue="1" operator="containsText" text="LW">
      <formula>NOT(ISERROR(FIND(UPPER("LW"),UPPER(D2))))</formula>
      <formula>"LW"</formula>
    </cfRule>
    <cfRule type="containsText" dxfId="54" priority="5" stopIfTrue="1" operator="containsText" text="RW">
      <formula>NOT(ISERROR(FIND(UPPER("RW"),UPPER(D2))))</formula>
      <formula>"RW"</formula>
    </cfRule>
    <cfRule type="containsText" dxfId="53" priority="6" stopIfTrue="1" operator="containsText" text="G">
      <formula>NOT(ISERROR(FIND(UPPER("G"),UPPER(D2))))</formula>
      <formula>"G"</formula>
    </cfRule>
  </conditionalFormatting>
  <conditionalFormatting sqref="E2:E671">
    <cfRule type="containsText" dxfId="52" priority="7" stopIfTrue="1" operator="containsText" text="/">
      <formula>NOT(ISERROR(FIND(UPPER("/"),UPPER(E2))))</formula>
      <formula>"/"</formula>
    </cfRule>
    <cfRule type="containsText" dxfId="51" priority="7" stopIfTrue="1" operator="containsText" text="C">
      <formula>NOT(ISERROR(FIND(UPPER("C"),UPPER(E2))))</formula>
      <formula>"C"</formula>
    </cfRule>
    <cfRule type="containsText" dxfId="50" priority="7" stopIfTrue="1" operator="containsText" text="D">
      <formula>NOT(ISERROR(FIND(UPPER("D"),UPPER(E2))))</formula>
      <formula>"D"</formula>
    </cfRule>
    <cfRule type="containsText" dxfId="49" priority="7" stopIfTrue="1" operator="containsText" text="LW">
      <formula>NOT(ISERROR(FIND(UPPER("LW"),UPPER(E2))))</formula>
      <formula>"LW"</formula>
    </cfRule>
    <cfRule type="containsText" dxfId="48" priority="7" stopIfTrue="1" operator="containsText" text="RW">
      <formula>NOT(ISERROR(FIND(UPPER("RW"),UPPER(E2))))</formula>
      <formula>"RW"</formula>
    </cfRule>
    <cfRule type="containsText" dxfId="47" priority="7" stopIfTrue="1" operator="containsText" text="G">
      <formula>NOT(ISERROR(FIND(UPPER("G"),UPPER(E2))))</formula>
      <formula>"G"</formula>
    </cfRule>
  </conditionalFormatting>
  <conditionalFormatting sqref="N2:N671">
    <cfRule type="cellIs" dxfId="46" priority="8" stopIfTrue="1" operator="between">
      <formula>10</formula>
      <formula>23</formula>
    </cfRule>
    <cfRule type="cellIs" dxfId="45" priority="8" stopIfTrue="1" operator="between">
      <formula>-10</formula>
      <formula>-23</formula>
    </cfRule>
    <cfRule type="cellIs" dxfId="44" priority="8" stopIfTrue="1" operator="greaterThanOrEqual">
      <formula>24</formula>
    </cfRule>
    <cfRule type="cellIs" dxfId="43" priority="8" stopIfTrue="1" operator="lessThanOrEqual">
      <formula>-23</formula>
    </cfRule>
    <cfRule type="cellIs" dxfId="42" priority="8" stopIfTrue="1" operator="between">
      <formula>-9</formula>
      <formula>9</formula>
    </cfRule>
  </conditionalFormatting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F464"/>
  <sheetViews>
    <sheetView showGridLines="0" workbookViewId="0">
      <pane ySplit="1" topLeftCell="A2" activePane="bottomLeft" state="frozen"/>
      <selection pane="bottomLeft"/>
    </sheetView>
  </sheetViews>
  <sheetFormatPr baseColWidth="10" defaultColWidth="8" defaultRowHeight="16.25" customHeight="1" x14ac:dyDescent="0.15"/>
  <cols>
    <col min="1" max="1" width="28.33203125" style="1" customWidth="1"/>
    <col min="2" max="2" width="7.1640625" style="1" customWidth="1"/>
    <col min="3" max="3" width="6" style="1" customWidth="1"/>
    <col min="4" max="7" width="8.33203125" style="1" customWidth="1"/>
    <col min="8" max="8" width="3.5" style="1" customWidth="1"/>
    <col min="9" max="29" width="7.1640625" style="1" customWidth="1"/>
    <col min="30" max="30" width="18.83203125" style="1" customWidth="1"/>
    <col min="31" max="32" width="11.83203125" style="1" customWidth="1"/>
    <col min="33" max="33" width="8" style="1" customWidth="1"/>
    <col min="34" max="16384" width="8" style="1"/>
  </cols>
  <sheetData>
    <row r="1" spans="1:32" ht="21.25" customHeight="1" x14ac:dyDescent="0.15">
      <c r="A1" s="41" t="s">
        <v>797</v>
      </c>
      <c r="B1" s="203" t="s">
        <v>92</v>
      </c>
      <c r="C1" s="200"/>
      <c r="D1" s="42" t="s">
        <v>93</v>
      </c>
      <c r="E1" s="42" t="s">
        <v>94</v>
      </c>
      <c r="F1" s="43" t="s">
        <v>96</v>
      </c>
      <c r="G1" s="43" t="s">
        <v>98</v>
      </c>
      <c r="H1" s="44"/>
      <c r="I1" s="46" t="s">
        <v>103</v>
      </c>
      <c r="J1" s="46" t="s">
        <v>56</v>
      </c>
      <c r="K1" s="46" t="s">
        <v>104</v>
      </c>
      <c r="L1" s="46" t="s">
        <v>105</v>
      </c>
      <c r="M1" s="46" t="s">
        <v>106</v>
      </c>
      <c r="N1" s="46" t="s">
        <v>107</v>
      </c>
      <c r="O1" s="46" t="s">
        <v>64</v>
      </c>
      <c r="P1" s="46" t="s">
        <v>67</v>
      </c>
      <c r="Q1" s="46" t="s">
        <v>108</v>
      </c>
      <c r="R1" s="46" t="s">
        <v>109</v>
      </c>
      <c r="S1" s="46" t="s">
        <v>110</v>
      </c>
      <c r="T1" s="46" t="s">
        <v>111</v>
      </c>
      <c r="U1" s="46" t="s">
        <v>112</v>
      </c>
      <c r="V1" s="46" t="s">
        <v>113</v>
      </c>
      <c r="W1" s="46" t="s">
        <v>114</v>
      </c>
      <c r="X1" s="46" t="s">
        <v>115</v>
      </c>
      <c r="Y1" s="46" t="s">
        <v>116</v>
      </c>
      <c r="Z1" s="46" t="s">
        <v>117</v>
      </c>
      <c r="AA1" s="85"/>
      <c r="AB1" s="86"/>
      <c r="AC1" s="86"/>
      <c r="AD1" s="41" t="s">
        <v>798</v>
      </c>
      <c r="AE1" s="43" t="s">
        <v>96</v>
      </c>
      <c r="AF1" s="43" t="s">
        <v>98</v>
      </c>
    </row>
    <row r="2" spans="1:32" ht="21.25" customHeight="1" x14ac:dyDescent="0.15">
      <c r="A2" s="10" t="s">
        <v>127</v>
      </c>
      <c r="B2" s="87" t="str" cm="1">
        <f t="array" ref="B2">IFERROR(VLOOKUP($A2,'The List'!$B1:$AS671,3,FALSE)," ")</f>
        <v>C</v>
      </c>
      <c r="C2" s="88" cm="1">
        <f t="array" ref="C2">IFERROR(VLOOKUP($A2,'The List'!$B1:$AS671,4,FALSE)," ")</f>
        <v>2</v>
      </c>
      <c r="D2" s="18" t="str" cm="1">
        <f t="array" ref="D2">IFERROR(VLOOKUP($A2,'The List'!$B1:$AS671,5,FALSE)," ")</f>
        <v>EDM</v>
      </c>
      <c r="E2" s="89" cm="1">
        <f t="array" ref="E2">IFERROR(VLOOKUP($A2,'The List'!$B1:$AS671,6,FALSE)," ")</f>
        <v>29</v>
      </c>
      <c r="F2" s="52" cm="1">
        <f t="array" ref="F2">IFERROR(VLOOKUP($A2,'The List'!$B1:$AS671,8,FALSE)," ")</f>
        <v>15.623746502828114</v>
      </c>
      <c r="G2" s="52" cm="1">
        <f t="array" ref="G2">IFERROR(VLOOKUP($A2,'The List'!$B1:$AS671,10,FALSE)," ")</f>
        <v>9.2637369452130507</v>
      </c>
      <c r="H2" s="55"/>
      <c r="I2" s="57" cm="1">
        <f t="array" ref="I2">IFERROR(VLOOKUP($A2,'The List'!$B1:$AS671,16,FALSE)," ")</f>
        <v>81</v>
      </c>
      <c r="J2" s="57" cm="1">
        <f t="array" ref="J2">IFERROR(VLOOKUP($A2,'The List'!$B1:$AS671,17,FALSE)," ")</f>
        <v>22</v>
      </c>
      <c r="K2" s="57" cm="1">
        <f t="array" ref="K2">IFERROR(VLOOKUP($A2,'The List'!$B1:$AS671,18,FALSE)," ")</f>
        <v>39.69</v>
      </c>
      <c r="L2" s="57" cm="1">
        <f t="array" ref="L2">IFERROR(VLOOKUP($A2,'The List'!$B1:$AS671,19,FALSE)," ")</f>
        <v>90.720000000000013</v>
      </c>
      <c r="M2" s="57" cm="1">
        <f t="array" ref="M2">IFERROR(VLOOKUP($A2,'The List'!$B1:$AS671,20,FALSE)," ")</f>
        <v>130.41000000000003</v>
      </c>
      <c r="N2" s="57" cm="1">
        <f t="array" ref="N2">IFERROR(VLOOKUP($A2,'The List'!$B1:$AS671,21,FALSE)," ")</f>
        <v>281.88</v>
      </c>
      <c r="O2" s="57" cm="1">
        <f t="array" ref="O2">IFERROR(VLOOKUP($A2,'The List'!$B1:$AS671,22,FALSE)," ")</f>
        <v>12.15</v>
      </c>
      <c r="P2" s="57" cm="1">
        <f t="array" ref="P2">IFERROR(VLOOKUP($A2,'The List'!$B1:$AS671,23,FALSE)," ")</f>
        <v>50.22</v>
      </c>
      <c r="Q2" s="57" cm="1">
        <f t="array" ref="Q2">IFERROR(VLOOKUP($A2,'The List'!$B1:$AS671,24,FALSE)," ")</f>
        <v>0</v>
      </c>
      <c r="R2" s="57" cm="1">
        <f t="array" ref="R2">IFERROR(VLOOKUP($A2,'The List'!$B1:$AS671,25,FALSE)," ")</f>
        <v>0</v>
      </c>
      <c r="S2" s="57" cm="1">
        <f t="array" ref="S2">IFERROR(VLOOKUP($A2,'The List'!$B1:$AS671,26,FALSE)," ")</f>
        <v>29.16</v>
      </c>
      <c r="T2" s="57" cm="1">
        <f t="array" ref="T2">IFERROR(VLOOKUP($A2,'The List'!$B1:$AS671,27,FALSE)," ")</f>
        <v>47.79</v>
      </c>
      <c r="U2" s="57" cm="1">
        <f t="array" ref="U2">IFERROR(VLOOKUP($A2,'The List'!$B1:$AS671,28,FALSE)," ")</f>
        <v>10.530000000000001</v>
      </c>
      <c r="V2" s="57" cm="1">
        <f t="array" ref="V2">IFERROR(VLOOKUP($A2,'The List'!$B1:$AS671,29,FALSE)," ")</f>
        <v>38.07</v>
      </c>
      <c r="W2" s="57" cm="1">
        <f t="array" ref="W2">IFERROR(VLOOKUP($A2,'The List'!$B1:$AS671,30,FALSE)," ")</f>
        <v>6.48</v>
      </c>
      <c r="X2" s="57" cm="1">
        <f t="array" ref="X2">IFERROR(VLOOKUP($A2,'The List'!$B1:$AS671,31,FALSE)," ")</f>
        <v>437.40000000000003</v>
      </c>
      <c r="Y2" s="57" cm="1">
        <f t="array" ref="Y2">IFERROR(VLOOKUP($A2,'The List'!$B1:$AS671,32,FALSE)," ")</f>
        <v>450.35999999999996</v>
      </c>
      <c r="Z2" s="59" cm="1">
        <f t="array" ref="Z2">IFERROR(VLOOKUP($A2,'The List'!$B1:$AS671,33,FALSE)," ")</f>
        <v>0.49</v>
      </c>
      <c r="AA2" s="85"/>
      <c r="AB2" s="90"/>
      <c r="AC2" s="90"/>
      <c r="AD2" s="10" t="s">
        <v>797</v>
      </c>
      <c r="AE2" s="52" cm="1">
        <f t="array" ref="AE2">VLOOKUP(AD2,T1:Y464,2,FALSE)</f>
        <v>57.718801283280023</v>
      </c>
      <c r="AF2" s="52" cm="1">
        <f t="array" ref="AF2">VLOOKUP(AD2,T1:AA464,5,FALSE)</f>
        <v>34.979286348405566</v>
      </c>
    </row>
    <row r="3" spans="1:32" ht="21.25" customHeight="1" x14ac:dyDescent="0.15">
      <c r="A3" s="24"/>
      <c r="B3" s="87" t="str" cm="1">
        <f t="array" ref="B3">IFERROR(VLOOKUP($A3,'The List'!$B1:$AS671,3,FALSE)," ")</f>
        <v xml:space="preserve"> </v>
      </c>
      <c r="C3" s="91" t="str" cm="1">
        <f t="array" ref="C3">IFERROR(VLOOKUP($A3,'The List'!$B1:$AS671,4,FALSE)," ")</f>
        <v xml:space="preserve"> </v>
      </c>
      <c r="D3" s="18" t="str" cm="1">
        <f t="array" ref="D3">IFERROR(VLOOKUP($A3,'The List'!$B1:$AS671,5,FALSE)," ")</f>
        <v xml:space="preserve"> </v>
      </c>
      <c r="E3" s="18" t="str" cm="1">
        <f t="array" ref="E3">IFERROR(VLOOKUP($A3,'The List'!$B1:$AS671,6,FALSE)," ")</f>
        <v xml:space="preserve"> </v>
      </c>
      <c r="F3" s="92" t="str" cm="1">
        <f t="array" ref="F3">IFERROR(VLOOKUP($A3,'The List'!$B1:$AS671,8,FALSE)," ")</f>
        <v xml:space="preserve"> </v>
      </c>
      <c r="G3" s="92" t="str" cm="1">
        <f t="array" ref="G3">IFERROR(VLOOKUP($A3,'The List'!$B1:$AS671,10,FALSE)," ")</f>
        <v xml:space="preserve"> </v>
      </c>
      <c r="H3" s="55"/>
      <c r="I3" s="84" t="str" cm="1">
        <f t="array" ref="I3">IFERROR(VLOOKUP($A3,'The List'!$B1:$AS671,16,FALSE)," ")</f>
        <v xml:space="preserve"> </v>
      </c>
      <c r="J3" s="84" t="str" cm="1">
        <f t="array" ref="J3">IFERROR(VLOOKUP($A3,'The List'!$B1:$AS671,17,FALSE)," ")</f>
        <v xml:space="preserve"> </v>
      </c>
      <c r="K3" s="84" t="str" cm="1">
        <f t="array" ref="K3">IFERROR(VLOOKUP($A3,'The List'!$B1:$AS671,18,FALSE)," ")</f>
        <v xml:space="preserve"> </v>
      </c>
      <c r="L3" s="84" t="str" cm="1">
        <f t="array" ref="L3">IFERROR(VLOOKUP($A3,'The List'!$B1:$AS671,19,FALSE)," ")</f>
        <v xml:space="preserve"> </v>
      </c>
      <c r="M3" s="84" t="str" cm="1">
        <f t="array" ref="M3">IFERROR(VLOOKUP($A3,'The List'!$B1:$AS671,20,FALSE)," ")</f>
        <v xml:space="preserve"> </v>
      </c>
      <c r="N3" s="84" t="str" cm="1">
        <f t="array" ref="N3">IFERROR(VLOOKUP($A3,'The List'!$B1:$AS671,21,FALSE)," ")</f>
        <v xml:space="preserve"> </v>
      </c>
      <c r="O3" s="84" t="str" cm="1">
        <f t="array" ref="O3">IFERROR(VLOOKUP($A3,'The List'!$B1:$AS671,22,FALSE)," ")</f>
        <v xml:space="preserve"> </v>
      </c>
      <c r="P3" s="84" t="str" cm="1">
        <f t="array" ref="P3">IFERROR(VLOOKUP($A3,'The List'!$B1:$AS671,23,FALSE)," ")</f>
        <v xml:space="preserve"> </v>
      </c>
      <c r="Q3" s="84" t="str" cm="1">
        <f t="array" ref="Q3">IFERROR(VLOOKUP($A3,'The List'!$B1:$AS671,24,FALSE)," ")</f>
        <v xml:space="preserve"> </v>
      </c>
      <c r="R3" s="84" t="str" cm="1">
        <f t="array" ref="R3">IFERROR(VLOOKUP($A3,'The List'!$B1:$AS671,25,FALSE)," ")</f>
        <v xml:space="preserve"> </v>
      </c>
      <c r="S3" s="84" t="str" cm="1">
        <f t="array" ref="S3">IFERROR(VLOOKUP($A3,'The List'!$B1:$AS671,26,FALSE)," ")</f>
        <v xml:space="preserve"> </v>
      </c>
      <c r="T3" s="84" t="str" cm="1">
        <f t="array" ref="T3">IFERROR(VLOOKUP($A3,'The List'!$B1:$AS671,27,FALSE)," ")</f>
        <v xml:space="preserve"> </v>
      </c>
      <c r="U3" s="84" t="str" cm="1">
        <f t="array" ref="U3">IFERROR(VLOOKUP($A3,'The List'!$B1:$AS671,28,FALSE)," ")</f>
        <v xml:space="preserve"> </v>
      </c>
      <c r="V3" s="84" t="str" cm="1">
        <f t="array" ref="V3">IFERROR(VLOOKUP($A3,'The List'!$B1:$AS671,29,FALSE)," ")</f>
        <v xml:space="preserve"> </v>
      </c>
      <c r="W3" s="84" t="str" cm="1">
        <f t="array" ref="W3">IFERROR(VLOOKUP($A3,'The List'!$B1:$AS671,30,FALSE)," ")</f>
        <v xml:space="preserve"> </v>
      </c>
      <c r="X3" s="84" t="str" cm="1">
        <f t="array" ref="X3">IFERROR(VLOOKUP($A3,'The List'!$B1:$AS671,31,FALSE)," ")</f>
        <v xml:space="preserve"> </v>
      </c>
      <c r="Y3" s="84" t="str" cm="1">
        <f t="array" ref="Y3">IFERROR(VLOOKUP($A3,'The List'!$B1:$AS671,32,FALSE)," ")</f>
        <v xml:space="preserve"> </v>
      </c>
      <c r="Z3" s="84" t="str" cm="1">
        <f t="array" ref="Z3">IFERROR(VLOOKUP($A3,'The List'!$B1:$AS671,33,FALSE)," ")</f>
        <v xml:space="preserve"> </v>
      </c>
      <c r="AA3" s="85"/>
      <c r="AB3" s="90"/>
      <c r="AC3" s="90"/>
      <c r="AD3" s="10" t="s">
        <v>799</v>
      </c>
      <c r="AE3" s="52" cm="1">
        <f t="array" ref="AE3">VLOOKUP(AD3,T1:Y464,2,FALSE)</f>
        <v>0</v>
      </c>
      <c r="AF3" s="52" cm="1">
        <f t="array" ref="AF3">VLOOKUP(AD3,T1:AA464,5,FALSE)</f>
        <v>0</v>
      </c>
    </row>
    <row r="4" spans="1:32" ht="21.25" customHeight="1" x14ac:dyDescent="0.15">
      <c r="A4" s="24"/>
      <c r="B4" s="87" t="str" cm="1">
        <f t="array" ref="B4">IFERROR(VLOOKUP($A4,'The List'!$B1:$AS671,3,FALSE)," ")</f>
        <v xml:space="preserve"> </v>
      </c>
      <c r="C4" s="91" t="str" cm="1">
        <f t="array" ref="C4">IFERROR(VLOOKUP($A4,'The List'!$B1:$AS671,4,FALSE)," ")</f>
        <v xml:space="preserve"> </v>
      </c>
      <c r="D4" s="18" t="str" cm="1">
        <f t="array" ref="D4">IFERROR(VLOOKUP($A4,'The List'!$B1:$AS671,5,FALSE)," ")</f>
        <v xml:space="preserve"> </v>
      </c>
      <c r="E4" s="18" t="str" cm="1">
        <f t="array" ref="E4">IFERROR(VLOOKUP($A4,'The List'!$B1:$AS671,6,FALSE)," ")</f>
        <v xml:space="preserve"> </v>
      </c>
      <c r="F4" s="92" t="str" cm="1">
        <f t="array" ref="F4">IFERROR(VLOOKUP($A4,'The List'!$B1:$AS671,8,FALSE)," ")</f>
        <v xml:space="preserve"> </v>
      </c>
      <c r="G4" s="92" t="str" cm="1">
        <f t="array" ref="G4">IFERROR(VLOOKUP($A4,'The List'!$B1:$AS671,10,FALSE)," ")</f>
        <v xml:space="preserve"> </v>
      </c>
      <c r="H4" s="55"/>
      <c r="I4" s="84" t="str" cm="1">
        <f t="array" ref="I4">IFERROR(VLOOKUP($A4,'The List'!$B1:$AS671,16,FALSE)," ")</f>
        <v xml:space="preserve"> </v>
      </c>
      <c r="J4" s="84" t="str" cm="1">
        <f t="array" ref="J4">IFERROR(VLOOKUP($A4,'The List'!$B1:$AS671,17,FALSE)," ")</f>
        <v xml:space="preserve"> </v>
      </c>
      <c r="K4" s="84" t="str" cm="1">
        <f t="array" ref="K4">IFERROR(VLOOKUP($A4,'The List'!$B1:$AS671,18,FALSE)," ")</f>
        <v xml:space="preserve"> </v>
      </c>
      <c r="L4" s="84" t="str" cm="1">
        <f t="array" ref="L4">IFERROR(VLOOKUP($A4,'The List'!$B1:$AS671,19,FALSE)," ")</f>
        <v xml:space="preserve"> </v>
      </c>
      <c r="M4" s="84" t="str" cm="1">
        <f t="array" ref="M4">IFERROR(VLOOKUP($A4,'The List'!$B1:$AS671,20,FALSE)," ")</f>
        <v xml:space="preserve"> </v>
      </c>
      <c r="N4" s="84" t="str" cm="1">
        <f t="array" ref="N4">IFERROR(VLOOKUP($A4,'The List'!$B1:$AS671,21,FALSE)," ")</f>
        <v xml:space="preserve"> </v>
      </c>
      <c r="O4" s="84" t="str" cm="1">
        <f t="array" ref="O4">IFERROR(VLOOKUP($A4,'The List'!$B1:$AS671,22,FALSE)," ")</f>
        <v xml:space="preserve"> </v>
      </c>
      <c r="P4" s="84" t="str" cm="1">
        <f t="array" ref="P4">IFERROR(VLOOKUP($A4,'The List'!$B1:$AS671,23,FALSE)," ")</f>
        <v xml:space="preserve"> </v>
      </c>
      <c r="Q4" s="84" t="str" cm="1">
        <f t="array" ref="Q4">IFERROR(VLOOKUP($A4,'The List'!$B1:$AS671,24,FALSE)," ")</f>
        <v xml:space="preserve"> </v>
      </c>
      <c r="R4" s="84" t="str" cm="1">
        <f t="array" ref="R4">IFERROR(VLOOKUP($A4,'The List'!$B1:$AS671,25,FALSE)," ")</f>
        <v xml:space="preserve"> </v>
      </c>
      <c r="S4" s="84" t="str" cm="1">
        <f t="array" ref="S4">IFERROR(VLOOKUP($A4,'The List'!$B1:$AS671,26,FALSE)," ")</f>
        <v xml:space="preserve"> </v>
      </c>
      <c r="T4" s="84" t="str" cm="1">
        <f t="array" ref="T4">IFERROR(VLOOKUP($A4,'The List'!$B1:$AS671,27,FALSE)," ")</f>
        <v xml:space="preserve"> </v>
      </c>
      <c r="U4" s="84" t="str" cm="1">
        <f t="array" ref="U4">IFERROR(VLOOKUP($A4,'The List'!$B1:$AS671,28,FALSE)," ")</f>
        <v xml:space="preserve"> </v>
      </c>
      <c r="V4" s="84" t="str" cm="1">
        <f t="array" ref="V4">IFERROR(VLOOKUP($A4,'The List'!$B1:$AS671,29,FALSE)," ")</f>
        <v xml:space="preserve"> </v>
      </c>
      <c r="W4" s="84" t="str" cm="1">
        <f t="array" ref="W4">IFERROR(VLOOKUP($A4,'The List'!$B1:$AS671,30,FALSE)," ")</f>
        <v xml:space="preserve"> </v>
      </c>
      <c r="X4" s="84" t="str" cm="1">
        <f t="array" ref="X4">IFERROR(VLOOKUP($A4,'The List'!$B1:$AS671,31,FALSE)," ")</f>
        <v xml:space="preserve"> </v>
      </c>
      <c r="Y4" s="84" t="str" cm="1">
        <f t="array" ref="Y4">IFERROR(VLOOKUP($A4,'The List'!$B1:$AS671,32,FALSE)," ")</f>
        <v xml:space="preserve"> </v>
      </c>
      <c r="Z4" s="84" t="str" cm="1">
        <f t="array" ref="Z4">IFERROR(VLOOKUP($A4,'The List'!$B1:$AS671,33,FALSE)," ")</f>
        <v xml:space="preserve"> </v>
      </c>
      <c r="AA4" s="85"/>
      <c r="AB4" s="90"/>
      <c r="AC4" s="90"/>
      <c r="AD4" s="10" t="s">
        <v>800</v>
      </c>
      <c r="AE4" s="52" cm="1">
        <f t="array" ref="AE4">VLOOKUP(AD4,T1:Y464,2,FALSE)</f>
        <v>0</v>
      </c>
      <c r="AF4" s="52" cm="1">
        <f t="array" ref="AF4">VLOOKUP(AD4,T1:AA464,5,FALSE)</f>
        <v>0</v>
      </c>
    </row>
    <row r="5" spans="1:32" ht="21.25" customHeight="1" x14ac:dyDescent="0.15">
      <c r="A5" s="24"/>
      <c r="B5" s="87" t="str" cm="1">
        <f t="array" ref="B5">IFERROR(VLOOKUP($A5,'The List'!$B1:$AS671,3,FALSE)," ")</f>
        <v xml:space="preserve"> </v>
      </c>
      <c r="C5" s="91" t="str" cm="1">
        <f t="array" ref="C5">IFERROR(VLOOKUP($A5,'The List'!$B1:$AS671,4,FALSE)," ")</f>
        <v xml:space="preserve"> </v>
      </c>
      <c r="D5" s="18" t="str" cm="1">
        <f t="array" ref="D5">IFERROR(VLOOKUP($A5,'The List'!$B1:$AS671,5,FALSE)," ")</f>
        <v xml:space="preserve"> </v>
      </c>
      <c r="E5" s="18" t="str" cm="1">
        <f t="array" ref="E5">IFERROR(VLOOKUP($A5,'The List'!$B1:$AS671,6,FALSE)," ")</f>
        <v xml:space="preserve"> </v>
      </c>
      <c r="F5" s="92" t="str" cm="1">
        <f t="array" ref="F5">IFERROR(VLOOKUP($A5,'The List'!$B1:$AS671,8,FALSE)," ")</f>
        <v xml:space="preserve"> </v>
      </c>
      <c r="G5" s="92" t="str" cm="1">
        <f t="array" ref="G5">IFERROR(VLOOKUP($A5,'The List'!$B1:$AS671,10,FALSE)," ")</f>
        <v xml:space="preserve"> </v>
      </c>
      <c r="H5" s="55"/>
      <c r="I5" s="84" t="str" cm="1">
        <f t="array" ref="I5">IFERROR(VLOOKUP($A5,'The List'!$B1:$AS671,16,FALSE)," ")</f>
        <v xml:space="preserve"> </v>
      </c>
      <c r="J5" s="84" t="str" cm="1">
        <f t="array" ref="J5">IFERROR(VLOOKUP($A5,'The List'!$B1:$AS671,17,FALSE)," ")</f>
        <v xml:space="preserve"> </v>
      </c>
      <c r="K5" s="84" t="str" cm="1">
        <f t="array" ref="K5">IFERROR(VLOOKUP($A5,'The List'!$B1:$AS671,18,FALSE)," ")</f>
        <v xml:space="preserve"> </v>
      </c>
      <c r="L5" s="84" t="str" cm="1">
        <f t="array" ref="L5">IFERROR(VLOOKUP($A5,'The List'!$B1:$AS671,19,FALSE)," ")</f>
        <v xml:space="preserve"> </v>
      </c>
      <c r="M5" s="84" t="str" cm="1">
        <f t="array" ref="M5">IFERROR(VLOOKUP($A5,'The List'!$B1:$AS671,20,FALSE)," ")</f>
        <v xml:space="preserve"> </v>
      </c>
      <c r="N5" s="84" t="str" cm="1">
        <f t="array" ref="N5">IFERROR(VLOOKUP($A5,'The List'!$B1:$AS671,21,FALSE)," ")</f>
        <v xml:space="preserve"> </v>
      </c>
      <c r="O5" s="84" t="str" cm="1">
        <f t="array" ref="O5">IFERROR(VLOOKUP($A5,'The List'!$B1:$AS671,22,FALSE)," ")</f>
        <v xml:space="preserve"> </v>
      </c>
      <c r="P5" s="84" t="str" cm="1">
        <f t="array" ref="P5">IFERROR(VLOOKUP($A5,'The List'!$B1:$AS671,23,FALSE)," ")</f>
        <v xml:space="preserve"> </v>
      </c>
      <c r="Q5" s="84" t="str" cm="1">
        <f t="array" ref="Q5">IFERROR(VLOOKUP($A5,'The List'!$B1:$AS671,24,FALSE)," ")</f>
        <v xml:space="preserve"> </v>
      </c>
      <c r="R5" s="84" t="str" cm="1">
        <f t="array" ref="R5">IFERROR(VLOOKUP($A5,'The List'!$B1:$AS671,25,FALSE)," ")</f>
        <v xml:space="preserve"> </v>
      </c>
      <c r="S5" s="84" t="str" cm="1">
        <f t="array" ref="S5">IFERROR(VLOOKUP($A5,'The List'!$B1:$AS671,26,FALSE)," ")</f>
        <v xml:space="preserve"> </v>
      </c>
      <c r="T5" s="84" t="str" cm="1">
        <f t="array" ref="T5">IFERROR(VLOOKUP($A5,'The List'!$B1:$AS671,27,FALSE)," ")</f>
        <v xml:space="preserve"> </v>
      </c>
      <c r="U5" s="84" t="str" cm="1">
        <f t="array" ref="U5">IFERROR(VLOOKUP($A5,'The List'!$B1:$AS671,28,FALSE)," ")</f>
        <v xml:space="preserve"> </v>
      </c>
      <c r="V5" s="84" t="str" cm="1">
        <f t="array" ref="V5">IFERROR(VLOOKUP($A5,'The List'!$B1:$AS671,29,FALSE)," ")</f>
        <v xml:space="preserve"> </v>
      </c>
      <c r="W5" s="84" t="str" cm="1">
        <f t="array" ref="W5">IFERROR(VLOOKUP($A5,'The List'!$B1:$AS671,30,FALSE)," ")</f>
        <v xml:space="preserve"> </v>
      </c>
      <c r="X5" s="84" t="str" cm="1">
        <f t="array" ref="X5">IFERROR(VLOOKUP($A5,'The List'!$B1:$AS671,31,FALSE)," ")</f>
        <v xml:space="preserve"> </v>
      </c>
      <c r="Y5" s="84" t="str" cm="1">
        <f t="array" ref="Y5">IFERROR(VLOOKUP($A5,'The List'!$B1:$AS671,32,FALSE)," ")</f>
        <v xml:space="preserve"> </v>
      </c>
      <c r="Z5" s="84" t="str" cm="1">
        <f t="array" ref="Z5">IFERROR(VLOOKUP($A5,'The List'!$B1:$AS671,33,FALSE)," ")</f>
        <v xml:space="preserve"> </v>
      </c>
      <c r="AA5" s="85"/>
      <c r="AB5" s="90"/>
      <c r="AC5" s="90"/>
      <c r="AD5" s="10" t="s">
        <v>801</v>
      </c>
      <c r="AE5" s="52" cm="1">
        <f t="array" ref="AE5">VLOOKUP(AD5,T1:Y464,2,FALSE)</f>
        <v>0</v>
      </c>
      <c r="AF5" s="52" cm="1">
        <f t="array" ref="AF5">VLOOKUP(AD5,T1:AA464,5,FALSE)</f>
        <v>0</v>
      </c>
    </row>
    <row r="6" spans="1:32" ht="21.25" customHeight="1" x14ac:dyDescent="0.15">
      <c r="A6" s="10" t="s">
        <v>142</v>
      </c>
      <c r="B6" s="93" t="str" cm="1">
        <f t="array" ref="B6">IFERROR(VLOOKUP($A6,'The List'!$B1:$AS671,3,FALSE)," ")</f>
        <v>LW,RW</v>
      </c>
      <c r="C6" s="94" cm="1">
        <f t="array" ref="C6">IFERROR(VLOOKUP($A6,'The List'!$B1:$AS671,4,FALSE)," ")</f>
        <v>2</v>
      </c>
      <c r="D6" s="18" t="str" cm="1">
        <f t="array" ref="D6">IFERROR(VLOOKUP($A6,'The List'!$B1:$AS671,5,FALSE)," ")</f>
        <v>DAL</v>
      </c>
      <c r="E6" s="89" cm="1">
        <f t="array" ref="E6">IFERROR(VLOOKUP($A6,'The List'!$B1:$AS671,6,FALSE)," ")</f>
        <v>27</v>
      </c>
      <c r="F6" s="52" cm="1">
        <f t="array" ref="F6">IFERROR(VLOOKUP($A6,'The List'!$B1:$AS671,8,FALSE)," ")</f>
        <v>11.586552088191054</v>
      </c>
      <c r="G6" s="52" cm="1">
        <f t="array" ref="G6">IFERROR(VLOOKUP($A6,'The List'!$B1:$AS671,10,FALSE)," ")</f>
        <v>4.6993174863819762</v>
      </c>
      <c r="H6" s="55"/>
      <c r="I6" s="57" cm="1">
        <f t="array" ref="I6">IFERROR(VLOOKUP($A6,'The List'!$B1:$AS671,16,FALSE)," ")</f>
        <v>84</v>
      </c>
      <c r="J6" s="57" cm="1">
        <f t="array" ref="J6">IFERROR(VLOOKUP($A6,'The List'!$B1:$AS671,17,FALSE)," ")</f>
        <v>20.2</v>
      </c>
      <c r="K6" s="57" cm="1">
        <f t="array" ref="K6">IFERROR(VLOOKUP($A6,'The List'!$B1:$AS671,18,FALSE)," ")</f>
        <v>41.16</v>
      </c>
      <c r="L6" s="57" cm="1">
        <f t="array" ref="L6">IFERROR(VLOOKUP($A6,'The List'!$B1:$AS671,19,FALSE)," ")</f>
        <v>53.76</v>
      </c>
      <c r="M6" s="57" cm="1">
        <f t="array" ref="M6">IFERROR(VLOOKUP($A6,'The List'!$B1:$AS671,20,FALSE)," ")</f>
        <v>94.919999999999987</v>
      </c>
      <c r="N6" s="57" cm="1">
        <f t="array" ref="N6">IFERROR(VLOOKUP($A6,'The List'!$B1:$AS671,21,FALSE)," ")</f>
        <v>283.08</v>
      </c>
      <c r="O6" s="57" cm="1">
        <f t="array" ref="O6">IFERROR(VLOOKUP($A6,'The List'!$B1:$AS671,22,FALSE)," ")</f>
        <v>13.44</v>
      </c>
      <c r="P6" s="57" cm="1">
        <f t="array" ref="P6">IFERROR(VLOOKUP($A6,'The List'!$B1:$AS671,23,FALSE)," ")</f>
        <v>35.28</v>
      </c>
      <c r="Q6" s="57" cm="1">
        <f t="array" ref="Q6">IFERROR(VLOOKUP($A6,'The List'!$B1:$AS671,24,FALSE)," ")</f>
        <v>0</v>
      </c>
      <c r="R6" s="57" cm="1">
        <f t="array" ref="R6">IFERROR(VLOOKUP($A6,'The List'!$B1:$AS671,25,FALSE)," ")</f>
        <v>0</v>
      </c>
      <c r="S6" s="57" cm="1">
        <f t="array" ref="S6">IFERROR(VLOOKUP($A6,'The List'!$B1:$AS671,26,FALSE)," ")</f>
        <v>39.479999999999997</v>
      </c>
      <c r="T6" s="57" cm="1">
        <f t="array" ref="T6">IFERROR(VLOOKUP($A6,'The List'!$B1:$AS671,27,FALSE)," ")</f>
        <v>56.28</v>
      </c>
      <c r="U6" s="57" cm="1">
        <f t="array" ref="U6">IFERROR(VLOOKUP($A6,'The List'!$B1:$AS671,28,FALSE)," ")</f>
        <v>9.24</v>
      </c>
      <c r="V6" s="57" cm="1">
        <f t="array" ref="V6">IFERROR(VLOOKUP($A6,'The List'!$B1:$AS671,29,FALSE)," ")</f>
        <v>29.4</v>
      </c>
      <c r="W6" s="57" cm="1">
        <f t="array" ref="W6">IFERROR(VLOOKUP($A6,'The List'!$B1:$AS671,30,FALSE)," ")</f>
        <v>6.72</v>
      </c>
      <c r="X6" s="57" cm="1">
        <f t="array" ref="X6">IFERROR(VLOOKUP($A6,'The List'!$B1:$AS671,31,FALSE)," ")</f>
        <v>1.68</v>
      </c>
      <c r="Y6" s="57" cm="1">
        <f t="array" ref="Y6">IFERROR(VLOOKUP($A6,'The List'!$B1:$AS671,32,FALSE)," ")</f>
        <v>4.2</v>
      </c>
      <c r="Z6" s="59" cm="1">
        <f t="array" ref="Z6">IFERROR(VLOOKUP($A6,'The List'!$B1:$AS671,33,FALSE)," ")</f>
        <v>0.27</v>
      </c>
      <c r="AA6" s="85"/>
      <c r="AB6" s="90"/>
      <c r="AC6" s="90"/>
      <c r="AD6" s="10" t="s">
        <v>802</v>
      </c>
      <c r="AE6" s="52" cm="1">
        <f t="array" ref="AE6">VLOOKUP(AD6,T1:Y464,2,FALSE)</f>
        <v>0</v>
      </c>
      <c r="AF6" s="52" cm="1">
        <f t="array" ref="AF6">VLOOKUP(AD6,T1:AA464,5,FALSE)</f>
        <v>0</v>
      </c>
    </row>
    <row r="7" spans="1:32" ht="21.25" customHeight="1" x14ac:dyDescent="0.15">
      <c r="A7" s="24"/>
      <c r="B7" s="93" t="str" cm="1">
        <f t="array" ref="B7">IFERROR(VLOOKUP($A7,'The List'!$B1:$AS671,3,FALSE)," ")</f>
        <v xml:space="preserve"> </v>
      </c>
      <c r="C7" s="95" t="str" cm="1">
        <f t="array" ref="C7">IFERROR(VLOOKUP($A7,'The List'!$B1:$AS671,4,FALSE)," ")</f>
        <v xml:space="preserve"> </v>
      </c>
      <c r="D7" s="18" t="str" cm="1">
        <f t="array" ref="D7">IFERROR(VLOOKUP($A7,'The List'!$B1:$AS671,5,FALSE)," ")</f>
        <v xml:space="preserve"> </v>
      </c>
      <c r="E7" s="18" t="str" cm="1">
        <f t="array" ref="E7">IFERROR(VLOOKUP($A7,'The List'!$B1:$AS671,6,FALSE)," ")</f>
        <v xml:space="preserve"> </v>
      </c>
      <c r="F7" s="92" t="str" cm="1">
        <f t="array" ref="F7">IFERROR(VLOOKUP($A7,'The List'!$B1:$AS671,8,FALSE)," ")</f>
        <v xml:space="preserve"> </v>
      </c>
      <c r="G7" s="92" t="str" cm="1">
        <f t="array" ref="G7">IFERROR(VLOOKUP($A7,'The List'!$B1:$AS671,10,FALSE)," ")</f>
        <v xml:space="preserve"> </v>
      </c>
      <c r="H7" s="55"/>
      <c r="I7" s="84" t="str" cm="1">
        <f t="array" ref="I7">IFERROR(VLOOKUP($A7,'The List'!$B1:$AS671,16,FALSE)," ")</f>
        <v xml:space="preserve"> </v>
      </c>
      <c r="J7" s="84" t="str" cm="1">
        <f t="array" ref="J7">IFERROR(VLOOKUP($A7,'The List'!$B1:$AS671,17,FALSE)," ")</f>
        <v xml:space="preserve"> </v>
      </c>
      <c r="K7" s="84" t="str" cm="1">
        <f t="array" ref="K7">IFERROR(VLOOKUP($A7,'The List'!$B1:$AS671,18,FALSE)," ")</f>
        <v xml:space="preserve"> </v>
      </c>
      <c r="L7" s="84" t="str" cm="1">
        <f t="array" ref="L7">IFERROR(VLOOKUP($A7,'The List'!$B1:$AS671,19,FALSE)," ")</f>
        <v xml:space="preserve"> </v>
      </c>
      <c r="M7" s="84" t="str" cm="1">
        <f t="array" ref="M7">IFERROR(VLOOKUP($A7,'The List'!$B1:$AS671,20,FALSE)," ")</f>
        <v xml:space="preserve"> </v>
      </c>
      <c r="N7" s="84" t="str" cm="1">
        <f t="array" ref="N7">IFERROR(VLOOKUP($A7,'The List'!$B1:$AS671,21,FALSE)," ")</f>
        <v xml:space="preserve"> </v>
      </c>
      <c r="O7" s="84" t="str" cm="1">
        <f t="array" ref="O7">IFERROR(VLOOKUP($A7,'The List'!$B1:$AS671,22,FALSE)," ")</f>
        <v xml:space="preserve"> </v>
      </c>
      <c r="P7" s="84" t="str" cm="1">
        <f t="array" ref="P7">IFERROR(VLOOKUP($A7,'The List'!$B1:$AS671,23,FALSE)," ")</f>
        <v xml:space="preserve"> </v>
      </c>
      <c r="Q7" s="84" t="str" cm="1">
        <f t="array" ref="Q7">IFERROR(VLOOKUP($A7,'The List'!$B1:$AS671,24,FALSE)," ")</f>
        <v xml:space="preserve"> </v>
      </c>
      <c r="R7" s="84" t="str" cm="1">
        <f t="array" ref="R7">IFERROR(VLOOKUP($A7,'The List'!$B1:$AS671,25,FALSE)," ")</f>
        <v xml:space="preserve"> </v>
      </c>
      <c r="S7" s="84" t="str" cm="1">
        <f t="array" ref="S7">IFERROR(VLOOKUP($A7,'The List'!$B1:$AS671,26,FALSE)," ")</f>
        <v xml:space="preserve"> </v>
      </c>
      <c r="T7" s="84" t="str" cm="1">
        <f t="array" ref="T7">IFERROR(VLOOKUP($A7,'The List'!$B1:$AS671,27,FALSE)," ")</f>
        <v xml:space="preserve"> </v>
      </c>
      <c r="U7" s="84" t="str" cm="1">
        <f t="array" ref="U7">IFERROR(VLOOKUP($A7,'The List'!$B1:$AS671,28,FALSE)," ")</f>
        <v xml:space="preserve"> </v>
      </c>
      <c r="V7" s="84" t="str" cm="1">
        <f t="array" ref="V7">IFERROR(VLOOKUP($A7,'The List'!$B1:$AS671,29,FALSE)," ")</f>
        <v xml:space="preserve"> </v>
      </c>
      <c r="W7" s="84" t="str" cm="1">
        <f t="array" ref="W7">IFERROR(VLOOKUP($A7,'The List'!$B1:$AS671,30,FALSE)," ")</f>
        <v xml:space="preserve"> </v>
      </c>
      <c r="X7" s="84" t="str" cm="1">
        <f t="array" ref="X7">IFERROR(VLOOKUP($A7,'The List'!$B1:$AS671,31,FALSE)," ")</f>
        <v xml:space="preserve"> </v>
      </c>
      <c r="Y7" s="84" t="str" cm="1">
        <f t="array" ref="Y7">IFERROR(VLOOKUP($A7,'The List'!$B1:$AS671,32,FALSE)," ")</f>
        <v xml:space="preserve"> </v>
      </c>
      <c r="Z7" s="84" t="str" cm="1">
        <f t="array" ref="Z7">IFERROR(VLOOKUP($A7,'The List'!$B1:$AS671,33,FALSE)," ")</f>
        <v xml:space="preserve"> </v>
      </c>
      <c r="AA7" s="85"/>
      <c r="AB7" s="90"/>
      <c r="AC7" s="90"/>
      <c r="AD7" s="10" t="s">
        <v>803</v>
      </c>
      <c r="AE7" s="52" cm="1">
        <f t="array" ref="AE7">VLOOKUP(AD7,T1:Y464,2,FALSE)</f>
        <v>0</v>
      </c>
      <c r="AF7" s="52" cm="1">
        <f t="array" ref="AF7">VLOOKUP(AD7,T1:AA464,5,FALSE)</f>
        <v>0</v>
      </c>
    </row>
    <row r="8" spans="1:32" ht="21.25" customHeight="1" x14ac:dyDescent="0.15">
      <c r="A8" s="24"/>
      <c r="B8" s="93" t="str" cm="1">
        <f t="array" ref="B8">IFERROR(VLOOKUP($A8,'The List'!$B1:$AS671,3,FALSE)," ")</f>
        <v xml:space="preserve"> </v>
      </c>
      <c r="C8" s="95" t="str" cm="1">
        <f t="array" ref="C8">IFERROR(VLOOKUP($A8,'The List'!$B1:$AS671,4,FALSE)," ")</f>
        <v xml:space="preserve"> </v>
      </c>
      <c r="D8" s="18" t="str" cm="1">
        <f t="array" ref="D8">IFERROR(VLOOKUP($A8,'The List'!$B1:$AS671,5,FALSE)," ")</f>
        <v xml:space="preserve"> </v>
      </c>
      <c r="E8" s="18" t="str" cm="1">
        <f t="array" ref="E8">IFERROR(VLOOKUP($A8,'The List'!$B1:$AS671,6,FALSE)," ")</f>
        <v xml:space="preserve"> </v>
      </c>
      <c r="F8" s="92" t="str" cm="1">
        <f t="array" ref="F8">IFERROR(VLOOKUP($A8,'The List'!$B1:$AS671,8,FALSE)," ")</f>
        <v xml:space="preserve"> </v>
      </c>
      <c r="G8" s="92" t="str" cm="1">
        <f t="array" ref="G8">IFERROR(VLOOKUP($A8,'The List'!$B1:$AS671,10,FALSE)," ")</f>
        <v xml:space="preserve"> </v>
      </c>
      <c r="H8" s="55"/>
      <c r="I8" s="84" t="str" cm="1">
        <f t="array" ref="I8">IFERROR(VLOOKUP($A8,'The List'!$B1:$AS671,16,FALSE)," ")</f>
        <v xml:space="preserve"> </v>
      </c>
      <c r="J8" s="84" t="str" cm="1">
        <f t="array" ref="J8">IFERROR(VLOOKUP($A8,'The List'!$B1:$AS671,17,FALSE)," ")</f>
        <v xml:space="preserve"> </v>
      </c>
      <c r="K8" s="84" t="str" cm="1">
        <f t="array" ref="K8">IFERROR(VLOOKUP($A8,'The List'!$B1:$AS671,18,FALSE)," ")</f>
        <v xml:space="preserve"> </v>
      </c>
      <c r="L8" s="84" t="str" cm="1">
        <f t="array" ref="L8">IFERROR(VLOOKUP($A8,'The List'!$B1:$AS671,19,FALSE)," ")</f>
        <v xml:space="preserve"> </v>
      </c>
      <c r="M8" s="84" t="str" cm="1">
        <f t="array" ref="M8">IFERROR(VLOOKUP($A8,'The List'!$B1:$AS671,20,FALSE)," ")</f>
        <v xml:space="preserve"> </v>
      </c>
      <c r="N8" s="84" t="str" cm="1">
        <f t="array" ref="N8">IFERROR(VLOOKUP($A8,'The List'!$B1:$AS671,21,FALSE)," ")</f>
        <v xml:space="preserve"> </v>
      </c>
      <c r="O8" s="84" t="str" cm="1">
        <f t="array" ref="O8">IFERROR(VLOOKUP($A8,'The List'!$B1:$AS671,22,FALSE)," ")</f>
        <v xml:space="preserve"> </v>
      </c>
      <c r="P8" s="84" t="str" cm="1">
        <f t="array" ref="P8">IFERROR(VLOOKUP($A8,'The List'!$B1:$AS671,23,FALSE)," ")</f>
        <v xml:space="preserve"> </v>
      </c>
      <c r="Q8" s="84" t="str" cm="1">
        <f t="array" ref="Q8">IFERROR(VLOOKUP($A8,'The List'!$B1:$AS671,24,FALSE)," ")</f>
        <v xml:space="preserve"> </v>
      </c>
      <c r="R8" s="84" t="str" cm="1">
        <f t="array" ref="R8">IFERROR(VLOOKUP($A8,'The List'!$B1:$AS671,25,FALSE)," ")</f>
        <v xml:space="preserve"> </v>
      </c>
      <c r="S8" s="84" t="str" cm="1">
        <f t="array" ref="S8">IFERROR(VLOOKUP($A8,'The List'!$B1:$AS671,26,FALSE)," ")</f>
        <v xml:space="preserve"> </v>
      </c>
      <c r="T8" s="84" t="str" cm="1">
        <f t="array" ref="T8">IFERROR(VLOOKUP($A8,'The List'!$B1:$AS671,27,FALSE)," ")</f>
        <v xml:space="preserve"> </v>
      </c>
      <c r="U8" s="84" t="str" cm="1">
        <f t="array" ref="U8">IFERROR(VLOOKUP($A8,'The List'!$B1:$AS671,28,FALSE)," ")</f>
        <v xml:space="preserve"> </v>
      </c>
      <c r="V8" s="84" t="str" cm="1">
        <f t="array" ref="V8">IFERROR(VLOOKUP($A8,'The List'!$B1:$AS671,29,FALSE)," ")</f>
        <v xml:space="preserve"> </v>
      </c>
      <c r="W8" s="84" t="str" cm="1">
        <f t="array" ref="W8">IFERROR(VLOOKUP($A8,'The List'!$B1:$AS671,30,FALSE)," ")</f>
        <v xml:space="preserve"> </v>
      </c>
      <c r="X8" s="84" t="str" cm="1">
        <f t="array" ref="X8">IFERROR(VLOOKUP($A8,'The List'!$B1:$AS671,31,FALSE)," ")</f>
        <v xml:space="preserve"> </v>
      </c>
      <c r="Y8" s="84" t="str" cm="1">
        <f t="array" ref="Y8">IFERROR(VLOOKUP($A8,'The List'!$B1:$AS671,32,FALSE)," ")</f>
        <v xml:space="preserve"> </v>
      </c>
      <c r="Z8" s="84" t="str" cm="1">
        <f t="array" ref="Z8">IFERROR(VLOOKUP($A8,'The List'!$B1:$AS671,33,FALSE)," ")</f>
        <v xml:space="preserve"> </v>
      </c>
      <c r="AA8" s="85"/>
      <c r="AB8" s="90"/>
      <c r="AC8" s="90"/>
      <c r="AD8" s="10" t="s">
        <v>804</v>
      </c>
      <c r="AE8" s="52" cm="1">
        <f t="array" ref="AE8">VLOOKUP(AD8,T1:Y464,2,FALSE)</f>
        <v>0</v>
      </c>
      <c r="AF8" s="52" cm="1">
        <f t="array" ref="AF8">VLOOKUP(AD8,T1:AA464,5,FALSE)</f>
        <v>0</v>
      </c>
    </row>
    <row r="9" spans="1:32" ht="21.25" customHeight="1" x14ac:dyDescent="0.15">
      <c r="A9" s="24"/>
      <c r="B9" s="93" t="str" cm="1">
        <f t="array" ref="B9">IFERROR(VLOOKUP($A9,'The List'!$B1:$AS671,3,FALSE)," ")</f>
        <v xml:space="preserve"> </v>
      </c>
      <c r="C9" s="95" t="str" cm="1">
        <f t="array" ref="C9">IFERROR(VLOOKUP($A9,'The List'!$B1:$AS671,4,FALSE)," ")</f>
        <v xml:space="preserve"> </v>
      </c>
      <c r="D9" s="18" t="str" cm="1">
        <f t="array" ref="D9">IFERROR(VLOOKUP($A9,'The List'!$B1:$AS671,5,FALSE)," ")</f>
        <v xml:space="preserve"> </v>
      </c>
      <c r="E9" s="18" t="str" cm="1">
        <f t="array" ref="E9">IFERROR(VLOOKUP($A9,'The List'!$B1:$AS671,6,FALSE)," ")</f>
        <v xml:space="preserve"> </v>
      </c>
      <c r="F9" s="92" t="str" cm="1">
        <f t="array" ref="F9">IFERROR(VLOOKUP($A9,'The List'!$B1:$AS671,8,FALSE)," ")</f>
        <v xml:space="preserve"> </v>
      </c>
      <c r="G9" s="92" t="str" cm="1">
        <f t="array" ref="G9">IFERROR(VLOOKUP($A9,'The List'!$B1:$AS671,10,FALSE)," ")</f>
        <v xml:space="preserve"> </v>
      </c>
      <c r="H9" s="55"/>
      <c r="I9" s="84" t="str" cm="1">
        <f t="array" ref="I9">IFERROR(VLOOKUP($A9,'The List'!$B1:$AS671,16,FALSE)," ")</f>
        <v xml:space="preserve"> </v>
      </c>
      <c r="J9" s="84" t="str" cm="1">
        <f t="array" ref="J9">IFERROR(VLOOKUP($A9,'The List'!$B1:$AS671,17,FALSE)," ")</f>
        <v xml:space="preserve"> </v>
      </c>
      <c r="K9" s="84" t="str" cm="1">
        <f t="array" ref="K9">IFERROR(VLOOKUP($A9,'The List'!$B1:$AS671,18,FALSE)," ")</f>
        <v xml:space="preserve"> </v>
      </c>
      <c r="L9" s="84" t="str" cm="1">
        <f t="array" ref="L9">IFERROR(VLOOKUP($A9,'The List'!$B1:$AS671,19,FALSE)," ")</f>
        <v xml:space="preserve"> </v>
      </c>
      <c r="M9" s="84" t="str" cm="1">
        <f t="array" ref="M9">IFERROR(VLOOKUP($A9,'The List'!$B1:$AS671,20,FALSE)," ")</f>
        <v xml:space="preserve"> </v>
      </c>
      <c r="N9" s="84" t="str" cm="1">
        <f t="array" ref="N9">IFERROR(VLOOKUP($A9,'The List'!$B1:$AS671,21,FALSE)," ")</f>
        <v xml:space="preserve"> </v>
      </c>
      <c r="O9" s="84" t="str" cm="1">
        <f t="array" ref="O9">IFERROR(VLOOKUP($A9,'The List'!$B1:$AS671,22,FALSE)," ")</f>
        <v xml:space="preserve"> </v>
      </c>
      <c r="P9" s="84" t="str" cm="1">
        <f t="array" ref="P9">IFERROR(VLOOKUP($A9,'The List'!$B1:$AS671,23,FALSE)," ")</f>
        <v xml:space="preserve"> </v>
      </c>
      <c r="Q9" s="84" t="str" cm="1">
        <f t="array" ref="Q9">IFERROR(VLOOKUP($A9,'The List'!$B1:$AS671,24,FALSE)," ")</f>
        <v xml:space="preserve"> </v>
      </c>
      <c r="R9" s="84" t="str" cm="1">
        <f t="array" ref="R9">IFERROR(VLOOKUP($A9,'The List'!$B1:$AS671,25,FALSE)," ")</f>
        <v xml:space="preserve"> </v>
      </c>
      <c r="S9" s="84" t="str" cm="1">
        <f t="array" ref="S9">IFERROR(VLOOKUP($A9,'The List'!$B1:$AS671,26,FALSE)," ")</f>
        <v xml:space="preserve"> </v>
      </c>
      <c r="T9" s="84" t="str" cm="1">
        <f t="array" ref="T9">IFERROR(VLOOKUP($A9,'The List'!$B1:$AS671,27,FALSE)," ")</f>
        <v xml:space="preserve"> </v>
      </c>
      <c r="U9" s="84" t="str" cm="1">
        <f t="array" ref="U9">IFERROR(VLOOKUP($A9,'The List'!$B1:$AS671,28,FALSE)," ")</f>
        <v xml:space="preserve"> </v>
      </c>
      <c r="V9" s="84" t="str" cm="1">
        <f t="array" ref="V9">IFERROR(VLOOKUP($A9,'The List'!$B1:$AS671,29,FALSE)," ")</f>
        <v xml:space="preserve"> </v>
      </c>
      <c r="W9" s="84" t="str" cm="1">
        <f t="array" ref="W9">IFERROR(VLOOKUP($A9,'The List'!$B1:$AS671,30,FALSE)," ")</f>
        <v xml:space="preserve"> </v>
      </c>
      <c r="X9" s="84" t="str" cm="1">
        <f t="array" ref="X9">IFERROR(VLOOKUP($A9,'The List'!$B1:$AS671,31,FALSE)," ")</f>
        <v xml:space="preserve"> </v>
      </c>
      <c r="Y9" s="84" t="str" cm="1">
        <f t="array" ref="Y9">IFERROR(VLOOKUP($A9,'The List'!$B1:$AS671,32,FALSE)," ")</f>
        <v xml:space="preserve"> </v>
      </c>
      <c r="Z9" s="84" t="str" cm="1">
        <f t="array" ref="Z9">IFERROR(VLOOKUP($A9,'The List'!$B1:$AS671,33,FALSE)," ")</f>
        <v xml:space="preserve"> </v>
      </c>
      <c r="AA9" s="85"/>
      <c r="AB9" s="90"/>
      <c r="AC9" s="90"/>
      <c r="AD9" s="10" t="s">
        <v>805</v>
      </c>
      <c r="AE9" s="52" cm="1">
        <f t="array" ref="AE9">VLOOKUP(AD9,T1:Y464,2,FALSE)</f>
        <v>0</v>
      </c>
      <c r="AF9" s="52" cm="1">
        <f t="array" ref="AF9">VLOOKUP(AD9,T1:AA464,5,FALSE)</f>
        <v>0</v>
      </c>
    </row>
    <row r="10" spans="1:32" ht="21.25" customHeight="1" x14ac:dyDescent="0.15">
      <c r="A10" s="10" t="s">
        <v>128</v>
      </c>
      <c r="B10" s="96" t="str" cm="1">
        <f t="array" ref="B10">IFERROR(VLOOKUP($A10,'The List'!$B1:$AS671,3,FALSE)," ")</f>
        <v>RW</v>
      </c>
      <c r="C10" s="97" cm="1">
        <f t="array" ref="C10">IFERROR(VLOOKUP($A10,'The List'!$B1:$AS671,4,FALSE)," ")</f>
        <v>1</v>
      </c>
      <c r="D10" s="18" t="str" cm="1">
        <f t="array" ref="D10">IFERROR(VLOOKUP($A10,'The List'!$B1:$AS671,5,FALSE)," ")</f>
        <v>T.B</v>
      </c>
      <c r="E10" s="89" cm="1">
        <f t="array" ref="E10">IFERROR(VLOOKUP($A10,'The List'!$B1:$AS671,6,FALSE)," ")</f>
        <v>33</v>
      </c>
      <c r="F10" s="52" cm="1">
        <f t="array" ref="F10">IFERROR(VLOOKUP($A10,'The List'!$B1:$AS671,8,FALSE)," ")</f>
        <v>14.596009367605971</v>
      </c>
      <c r="G10" s="52" cm="1">
        <f t="array" ref="G10">IFERROR(VLOOKUP($A10,'The List'!$B1:$AS671,10,FALSE)," ")</f>
        <v>7.7087747657968935</v>
      </c>
      <c r="H10" s="55"/>
      <c r="I10" s="57" cm="1">
        <f t="array" ref="I10">IFERROR(VLOOKUP($A10,'The List'!$B1:$AS671,16,FALSE)," ")</f>
        <v>82</v>
      </c>
      <c r="J10" s="57" cm="1">
        <f t="array" ref="J10">IFERROR(VLOOKUP($A10,'The List'!$B1:$AS671,17,FALSE)," ")</f>
        <v>20.3</v>
      </c>
      <c r="K10" s="57" cm="1">
        <f t="array" ref="K10">IFERROR(VLOOKUP($A10,'The List'!$B1:$AS671,18,FALSE)," ")</f>
        <v>41</v>
      </c>
      <c r="L10" s="57" cm="1">
        <f t="array" ref="L10">IFERROR(VLOOKUP($A10,'The List'!$B1:$AS671,19,FALSE)," ")</f>
        <v>85.28</v>
      </c>
      <c r="M10" s="57" cm="1">
        <f t="array" ref="M10">IFERROR(VLOOKUP($A10,'The List'!$B1:$AS671,20,FALSE)," ")</f>
        <v>126.28</v>
      </c>
      <c r="N10" s="57" cm="1">
        <f t="array" ref="N10">IFERROR(VLOOKUP($A10,'The List'!$B1:$AS671,21,FALSE)," ")</f>
        <v>256.65999999999997</v>
      </c>
      <c r="O10" s="57" cm="1">
        <f t="array" ref="O10">IFERROR(VLOOKUP($A10,'The List'!$B1:$AS671,22,FALSE)," ")</f>
        <v>9.02</v>
      </c>
      <c r="P10" s="57" cm="1">
        <f t="array" ref="P10">IFERROR(VLOOKUP($A10,'The List'!$B1:$AS671,23,FALSE)," ")</f>
        <v>43.46</v>
      </c>
      <c r="Q10" s="57" cm="1">
        <f t="array" ref="Q10">IFERROR(VLOOKUP($A10,'The List'!$B1:$AS671,24,FALSE)," ")</f>
        <v>0</v>
      </c>
      <c r="R10" s="57" cm="1">
        <f t="array" ref="R10">IFERROR(VLOOKUP($A10,'The List'!$B1:$AS671,25,FALSE)," ")</f>
        <v>0</v>
      </c>
      <c r="S10" s="57" cm="1">
        <f t="array" ref="S10">IFERROR(VLOOKUP($A10,'The List'!$B1:$AS671,26,FALSE)," ")</f>
        <v>33.619999999999997</v>
      </c>
      <c r="T10" s="57" cm="1">
        <f t="array" ref="T10">IFERROR(VLOOKUP($A10,'The List'!$B1:$AS671,27,FALSE)," ")</f>
        <v>36.9</v>
      </c>
      <c r="U10" s="57" cm="1">
        <f t="array" ref="U10">IFERROR(VLOOKUP($A10,'The List'!$B1:$AS671,28,FALSE)," ")</f>
        <v>13.120000000000001</v>
      </c>
      <c r="V10" s="57" cm="1">
        <f t="array" ref="V10">IFERROR(VLOOKUP($A10,'The List'!$B1:$AS671,29,FALSE)," ")</f>
        <v>35.26</v>
      </c>
      <c r="W10" s="57" cm="1">
        <f t="array" ref="W10">IFERROR(VLOOKUP($A10,'The List'!$B1:$AS671,30,FALSE)," ")</f>
        <v>7.38</v>
      </c>
      <c r="X10" s="57" cm="1">
        <f t="array" ref="X10">IFERROR(VLOOKUP($A10,'The List'!$B1:$AS671,31,FALSE)," ")</f>
        <v>0.82000000000000006</v>
      </c>
      <c r="Y10" s="57" cm="1">
        <f t="array" ref="Y10">IFERROR(VLOOKUP($A10,'The List'!$B1:$AS671,32,FALSE)," ")</f>
        <v>1.6400000000000001</v>
      </c>
      <c r="Z10" s="59" cm="1">
        <f t="array" ref="Z10">IFERROR(VLOOKUP($A10,'The List'!$B1:$AS671,33,FALSE)," ")</f>
        <v>0.3</v>
      </c>
      <c r="AA10" s="85"/>
      <c r="AB10" s="90"/>
      <c r="AC10" s="90"/>
      <c r="AD10" s="10" t="s">
        <v>806</v>
      </c>
      <c r="AE10" s="52" cm="1">
        <f t="array" ref="AE10">VLOOKUP(AD10,T1:Y464,2,FALSE)</f>
        <v>0</v>
      </c>
      <c r="AF10" s="52" cm="1">
        <f t="array" ref="AF10">VLOOKUP(AD10,T1:AA464,5,FALSE)</f>
        <v>0</v>
      </c>
    </row>
    <row r="11" spans="1:32" ht="21.25" customHeight="1" x14ac:dyDescent="0.15">
      <c r="A11" s="24"/>
      <c r="B11" s="96" t="str" cm="1">
        <f t="array" ref="B11">IFERROR(VLOOKUP($A11,'The List'!$B1:$AS671,3,FALSE)," ")</f>
        <v xml:space="preserve"> </v>
      </c>
      <c r="C11" s="98" t="str" cm="1">
        <f t="array" ref="C11">IFERROR(VLOOKUP($A11,'The List'!$B1:$AS671,4,FALSE)," ")</f>
        <v xml:space="preserve"> </v>
      </c>
      <c r="D11" s="18" t="str" cm="1">
        <f t="array" ref="D11">IFERROR(VLOOKUP($A11,'The List'!$B1:$AS671,5,FALSE)," ")</f>
        <v xml:space="preserve"> </v>
      </c>
      <c r="E11" s="18" t="str" cm="1">
        <f t="array" ref="E11">IFERROR(VLOOKUP($A11,'The List'!$B1:$AS671,6,FALSE)," ")</f>
        <v xml:space="preserve"> </v>
      </c>
      <c r="F11" s="92" t="str" cm="1">
        <f t="array" ref="F11">IFERROR(VLOOKUP($A11,'The List'!$B1:$AS671,8,FALSE)," ")</f>
        <v xml:space="preserve"> </v>
      </c>
      <c r="G11" s="92" t="str" cm="1">
        <f t="array" ref="G11">IFERROR(VLOOKUP($A11,'The List'!$B1:$AS671,10,FALSE)," ")</f>
        <v xml:space="preserve"> </v>
      </c>
      <c r="H11" s="55"/>
      <c r="I11" s="84" t="str" cm="1">
        <f t="array" ref="I11">IFERROR(VLOOKUP($A11,'The List'!$B1:$AS671,16,FALSE)," ")</f>
        <v xml:space="preserve"> </v>
      </c>
      <c r="J11" s="84" t="str" cm="1">
        <f t="array" ref="J11">IFERROR(VLOOKUP($A11,'The List'!$B1:$AS671,17,FALSE)," ")</f>
        <v xml:space="preserve"> </v>
      </c>
      <c r="K11" s="84" t="str" cm="1">
        <f t="array" ref="K11">IFERROR(VLOOKUP($A11,'The List'!$B1:$AS671,18,FALSE)," ")</f>
        <v xml:space="preserve"> </v>
      </c>
      <c r="L11" s="84" t="str" cm="1">
        <f t="array" ref="L11">IFERROR(VLOOKUP($A11,'The List'!$B1:$AS671,19,FALSE)," ")</f>
        <v xml:space="preserve"> </v>
      </c>
      <c r="M11" s="84" t="str" cm="1">
        <f t="array" ref="M11">IFERROR(VLOOKUP($A11,'The List'!$B1:$AS671,20,FALSE)," ")</f>
        <v xml:space="preserve"> </v>
      </c>
      <c r="N11" s="84" t="str" cm="1">
        <f t="array" ref="N11">IFERROR(VLOOKUP($A11,'The List'!$B1:$AS671,21,FALSE)," ")</f>
        <v xml:space="preserve"> </v>
      </c>
      <c r="O11" s="84" t="str" cm="1">
        <f t="array" ref="O11">IFERROR(VLOOKUP($A11,'The List'!$B1:$AS671,22,FALSE)," ")</f>
        <v xml:space="preserve"> </v>
      </c>
      <c r="P11" s="84" t="str" cm="1">
        <f t="array" ref="P11">IFERROR(VLOOKUP($A11,'The List'!$B1:$AS671,23,FALSE)," ")</f>
        <v xml:space="preserve"> </v>
      </c>
      <c r="Q11" s="84" t="str" cm="1">
        <f t="array" ref="Q11">IFERROR(VLOOKUP($A11,'The List'!$B1:$AS671,24,FALSE)," ")</f>
        <v xml:space="preserve"> </v>
      </c>
      <c r="R11" s="84" t="str" cm="1">
        <f t="array" ref="R11">IFERROR(VLOOKUP($A11,'The List'!$B1:$AS671,25,FALSE)," ")</f>
        <v xml:space="preserve"> </v>
      </c>
      <c r="S11" s="84" t="str" cm="1">
        <f t="array" ref="S11">IFERROR(VLOOKUP($A11,'The List'!$B1:$AS671,26,FALSE)," ")</f>
        <v xml:space="preserve"> </v>
      </c>
      <c r="T11" s="84" t="str" cm="1">
        <f t="array" ref="T11">IFERROR(VLOOKUP($A11,'The List'!$B1:$AS671,27,FALSE)," ")</f>
        <v xml:space="preserve"> </v>
      </c>
      <c r="U11" s="84" t="str" cm="1">
        <f t="array" ref="U11">IFERROR(VLOOKUP($A11,'The List'!$B1:$AS671,28,FALSE)," ")</f>
        <v xml:space="preserve"> </v>
      </c>
      <c r="V11" s="84" t="str" cm="1">
        <f t="array" ref="V11">IFERROR(VLOOKUP($A11,'The List'!$B1:$AS671,29,FALSE)," ")</f>
        <v xml:space="preserve"> </v>
      </c>
      <c r="W11" s="84" t="str" cm="1">
        <f t="array" ref="W11">IFERROR(VLOOKUP($A11,'The List'!$B1:$AS671,30,FALSE)," ")</f>
        <v xml:space="preserve"> </v>
      </c>
      <c r="X11" s="84" t="str" cm="1">
        <f t="array" ref="X11">IFERROR(VLOOKUP($A11,'The List'!$B1:$AS671,31,FALSE)," ")</f>
        <v xml:space="preserve"> </v>
      </c>
      <c r="Y11" s="84" t="str" cm="1">
        <f t="array" ref="Y11">IFERROR(VLOOKUP($A11,'The List'!$B1:$AS671,32,FALSE)," ")</f>
        <v xml:space="preserve"> </v>
      </c>
      <c r="Z11" s="84" t="str" cm="1">
        <f t="array" ref="Z11">IFERROR(VLOOKUP($A11,'The List'!$B1:$AS671,33,FALSE)," ")</f>
        <v xml:space="preserve"> </v>
      </c>
      <c r="AA11" s="85"/>
      <c r="AB11" s="90"/>
      <c r="AC11" s="90"/>
      <c r="AD11" s="10" t="s">
        <v>807</v>
      </c>
      <c r="AE11" s="52" cm="1">
        <f t="array" ref="AE11">VLOOKUP(AD11,T1:Y464,2,FALSE)</f>
        <v>0</v>
      </c>
      <c r="AF11" s="52" cm="1">
        <f t="array" ref="AF11">VLOOKUP(AD11,T1:AA464,5,FALSE)</f>
        <v>0</v>
      </c>
    </row>
    <row r="12" spans="1:32" ht="21.25" customHeight="1" x14ac:dyDescent="0.15">
      <c r="A12" s="24"/>
      <c r="B12" s="96" t="str" cm="1">
        <f t="array" ref="B12">IFERROR(VLOOKUP($A12,'The List'!$B1:$AS671,3,FALSE)," ")</f>
        <v xml:space="preserve"> </v>
      </c>
      <c r="C12" s="98" t="str" cm="1">
        <f t="array" ref="C12">IFERROR(VLOOKUP($A12,'The List'!$B1:$AS671,4,FALSE)," ")</f>
        <v xml:space="preserve"> </v>
      </c>
      <c r="D12" s="18" t="str" cm="1">
        <f t="array" ref="D12">IFERROR(VLOOKUP($A12,'The List'!$B1:$AS671,5,FALSE)," ")</f>
        <v xml:space="preserve"> </v>
      </c>
      <c r="E12" s="18" t="str" cm="1">
        <f t="array" ref="E12">IFERROR(VLOOKUP($A12,'The List'!$B1:$AS671,6,FALSE)," ")</f>
        <v xml:space="preserve"> </v>
      </c>
      <c r="F12" s="92" t="str" cm="1">
        <f t="array" ref="F12">IFERROR(VLOOKUP($A12,'The List'!$B1:$AS671,8,FALSE)," ")</f>
        <v xml:space="preserve"> </v>
      </c>
      <c r="G12" s="92" t="str" cm="1">
        <f t="array" ref="G12">IFERROR(VLOOKUP($A12,'The List'!$B1:$AS671,10,FALSE)," ")</f>
        <v xml:space="preserve"> </v>
      </c>
      <c r="H12" s="55"/>
      <c r="I12" s="84" t="str" cm="1">
        <f t="array" ref="I12">IFERROR(VLOOKUP($A12,'The List'!$B1:$AS671,16,FALSE)," ")</f>
        <v xml:space="preserve"> </v>
      </c>
      <c r="J12" s="84" t="str" cm="1">
        <f t="array" ref="J12">IFERROR(VLOOKUP($A12,'The List'!$B1:$AS671,17,FALSE)," ")</f>
        <v xml:space="preserve"> </v>
      </c>
      <c r="K12" s="84" t="str" cm="1">
        <f t="array" ref="K12">IFERROR(VLOOKUP($A12,'The List'!$B1:$AS671,18,FALSE)," ")</f>
        <v xml:space="preserve"> </v>
      </c>
      <c r="L12" s="84" t="str" cm="1">
        <f t="array" ref="L12">IFERROR(VLOOKUP($A12,'The List'!$B1:$AS671,19,FALSE)," ")</f>
        <v xml:space="preserve"> </v>
      </c>
      <c r="M12" s="84" t="str" cm="1">
        <f t="array" ref="M12">IFERROR(VLOOKUP($A12,'The List'!$B1:$AS671,20,FALSE)," ")</f>
        <v xml:space="preserve"> </v>
      </c>
      <c r="N12" s="84" t="str" cm="1">
        <f t="array" ref="N12">IFERROR(VLOOKUP($A12,'The List'!$B1:$AS671,21,FALSE)," ")</f>
        <v xml:space="preserve"> </v>
      </c>
      <c r="O12" s="84" t="str" cm="1">
        <f t="array" ref="O12">IFERROR(VLOOKUP($A12,'The List'!$B1:$AS671,22,FALSE)," ")</f>
        <v xml:space="preserve"> </v>
      </c>
      <c r="P12" s="84" t="str" cm="1">
        <f t="array" ref="P12">IFERROR(VLOOKUP($A12,'The List'!$B1:$AS671,23,FALSE)," ")</f>
        <v xml:space="preserve"> </v>
      </c>
      <c r="Q12" s="84" t="str" cm="1">
        <f t="array" ref="Q12">IFERROR(VLOOKUP($A12,'The List'!$B1:$AS671,24,FALSE)," ")</f>
        <v xml:space="preserve"> </v>
      </c>
      <c r="R12" s="84" t="str" cm="1">
        <f t="array" ref="R12">IFERROR(VLOOKUP($A12,'The List'!$B1:$AS671,25,FALSE)," ")</f>
        <v xml:space="preserve"> </v>
      </c>
      <c r="S12" s="84" t="str" cm="1">
        <f t="array" ref="S12">IFERROR(VLOOKUP($A12,'The List'!$B1:$AS671,26,FALSE)," ")</f>
        <v xml:space="preserve"> </v>
      </c>
      <c r="T12" s="84" t="str" cm="1">
        <f t="array" ref="T12">IFERROR(VLOOKUP($A12,'The List'!$B1:$AS671,27,FALSE)," ")</f>
        <v xml:space="preserve"> </v>
      </c>
      <c r="U12" s="84" t="str" cm="1">
        <f t="array" ref="U12">IFERROR(VLOOKUP($A12,'The List'!$B1:$AS671,28,FALSE)," ")</f>
        <v xml:space="preserve"> </v>
      </c>
      <c r="V12" s="84" t="str" cm="1">
        <f t="array" ref="V12">IFERROR(VLOOKUP($A12,'The List'!$B1:$AS671,29,FALSE)," ")</f>
        <v xml:space="preserve"> </v>
      </c>
      <c r="W12" s="84" t="str" cm="1">
        <f t="array" ref="W12">IFERROR(VLOOKUP($A12,'The List'!$B1:$AS671,30,FALSE)," ")</f>
        <v xml:space="preserve"> </v>
      </c>
      <c r="X12" s="84" t="str" cm="1">
        <f t="array" ref="X12">IFERROR(VLOOKUP($A12,'The List'!$B1:$AS671,31,FALSE)," ")</f>
        <v xml:space="preserve"> </v>
      </c>
      <c r="Y12" s="84" t="str" cm="1">
        <f t="array" ref="Y12">IFERROR(VLOOKUP($A12,'The List'!$B1:$AS671,32,FALSE)," ")</f>
        <v xml:space="preserve"> </v>
      </c>
      <c r="Z12" s="84" t="str" cm="1">
        <f t="array" ref="Z12">IFERROR(VLOOKUP($A12,'The List'!$B1:$AS671,33,FALSE)," ")</f>
        <v xml:space="preserve"> </v>
      </c>
      <c r="AA12" s="85"/>
      <c r="AB12" s="90"/>
      <c r="AC12" s="90"/>
      <c r="AD12" s="10" t="s">
        <v>808</v>
      </c>
      <c r="AE12" s="52" cm="1">
        <f t="array" ref="AE12">VLOOKUP(AD12,T1:Y464,2,FALSE)</f>
        <v>0</v>
      </c>
      <c r="AF12" s="52" cm="1">
        <f t="array" ref="AF12">VLOOKUP(AD12,T1:AA464,5,FALSE)</f>
        <v>0</v>
      </c>
    </row>
    <row r="13" spans="1:32" ht="21.25" customHeight="1" x14ac:dyDescent="0.15">
      <c r="A13" s="24"/>
      <c r="B13" s="96" t="str" cm="1">
        <f t="array" ref="B13">IFERROR(VLOOKUP($A13,'The List'!$B1:$AS671,3,FALSE)," ")</f>
        <v xml:space="preserve"> </v>
      </c>
      <c r="C13" s="98" t="str" cm="1">
        <f t="array" ref="C13">IFERROR(VLOOKUP($A13,'The List'!$B1:$AS671,4,FALSE)," ")</f>
        <v xml:space="preserve"> </v>
      </c>
      <c r="D13" s="18" t="str" cm="1">
        <f t="array" ref="D13">IFERROR(VLOOKUP($A13,'The List'!$B1:$AS671,5,FALSE)," ")</f>
        <v xml:space="preserve"> </v>
      </c>
      <c r="E13" s="18" t="str" cm="1">
        <f t="array" ref="E13">IFERROR(VLOOKUP($A13,'The List'!$B1:$AS671,6,FALSE)," ")</f>
        <v xml:space="preserve"> </v>
      </c>
      <c r="F13" s="92" t="str" cm="1">
        <f t="array" ref="F13">IFERROR(VLOOKUP($A13,'The List'!$B1:$AS671,8,FALSE)," ")</f>
        <v xml:space="preserve"> </v>
      </c>
      <c r="G13" s="92" t="str" cm="1">
        <f t="array" ref="G13">IFERROR(VLOOKUP($A13,'The List'!$B1:$AS671,10,FALSE)," ")</f>
        <v xml:space="preserve"> </v>
      </c>
      <c r="H13" s="55"/>
      <c r="I13" s="84" t="str" cm="1">
        <f t="array" ref="I13">IFERROR(VLOOKUP($A13,'The List'!$B1:$AS671,16,FALSE)," ")</f>
        <v xml:space="preserve"> </v>
      </c>
      <c r="J13" s="84" t="str" cm="1">
        <f t="array" ref="J13">IFERROR(VLOOKUP($A13,'The List'!$B1:$AS671,17,FALSE)," ")</f>
        <v xml:space="preserve"> </v>
      </c>
      <c r="K13" s="84" t="str" cm="1">
        <f t="array" ref="K13">IFERROR(VLOOKUP($A13,'The List'!$B1:$AS671,18,FALSE)," ")</f>
        <v xml:space="preserve"> </v>
      </c>
      <c r="L13" s="84" t="str" cm="1">
        <f t="array" ref="L13">IFERROR(VLOOKUP($A13,'The List'!$B1:$AS671,19,FALSE)," ")</f>
        <v xml:space="preserve"> </v>
      </c>
      <c r="M13" s="84" t="str" cm="1">
        <f t="array" ref="M13">IFERROR(VLOOKUP($A13,'The List'!$B1:$AS671,20,FALSE)," ")</f>
        <v xml:space="preserve"> </v>
      </c>
      <c r="N13" s="84" t="str" cm="1">
        <f t="array" ref="N13">IFERROR(VLOOKUP($A13,'The List'!$B1:$AS671,21,FALSE)," ")</f>
        <v xml:space="preserve"> </v>
      </c>
      <c r="O13" s="84" t="str" cm="1">
        <f t="array" ref="O13">IFERROR(VLOOKUP($A13,'The List'!$B1:$AS671,22,FALSE)," ")</f>
        <v xml:space="preserve"> </v>
      </c>
      <c r="P13" s="84" t="str" cm="1">
        <f t="array" ref="P13">IFERROR(VLOOKUP($A13,'The List'!$B1:$AS671,23,FALSE)," ")</f>
        <v xml:space="preserve"> </v>
      </c>
      <c r="Q13" s="84" t="str" cm="1">
        <f t="array" ref="Q13">IFERROR(VLOOKUP($A13,'The List'!$B1:$AS671,24,FALSE)," ")</f>
        <v xml:space="preserve"> </v>
      </c>
      <c r="R13" s="84" t="str" cm="1">
        <f t="array" ref="R13">IFERROR(VLOOKUP($A13,'The List'!$B1:$AS671,25,FALSE)," ")</f>
        <v xml:space="preserve"> </v>
      </c>
      <c r="S13" s="84" t="str" cm="1">
        <f t="array" ref="S13">IFERROR(VLOOKUP($A13,'The List'!$B1:$AS671,26,FALSE)," ")</f>
        <v xml:space="preserve"> </v>
      </c>
      <c r="T13" s="84" t="str" cm="1">
        <f t="array" ref="T13">IFERROR(VLOOKUP($A13,'The List'!$B1:$AS671,27,FALSE)," ")</f>
        <v xml:space="preserve"> </v>
      </c>
      <c r="U13" s="84" t="str" cm="1">
        <f t="array" ref="U13">IFERROR(VLOOKUP($A13,'The List'!$B1:$AS671,28,FALSE)," ")</f>
        <v xml:space="preserve"> </v>
      </c>
      <c r="V13" s="84" t="str" cm="1">
        <f t="array" ref="V13">IFERROR(VLOOKUP($A13,'The List'!$B1:$AS671,29,FALSE)," ")</f>
        <v xml:space="preserve"> </v>
      </c>
      <c r="W13" s="84" t="str" cm="1">
        <f t="array" ref="W13">IFERROR(VLOOKUP($A13,'The List'!$B1:$AS671,30,FALSE)," ")</f>
        <v xml:space="preserve"> </v>
      </c>
      <c r="X13" s="84" t="str" cm="1">
        <f t="array" ref="X13">IFERROR(VLOOKUP($A13,'The List'!$B1:$AS671,31,FALSE)," ")</f>
        <v xml:space="preserve"> </v>
      </c>
      <c r="Y13" s="84" t="str" cm="1">
        <f t="array" ref="Y13">IFERROR(VLOOKUP($A13,'The List'!$B1:$AS671,32,FALSE)," ")</f>
        <v xml:space="preserve"> </v>
      </c>
      <c r="Z13" s="84" t="str" cm="1">
        <f t="array" ref="Z13">IFERROR(VLOOKUP($A13,'The List'!$B1:$AS671,33,FALSE)," ")</f>
        <v xml:space="preserve"> </v>
      </c>
      <c r="AA13" s="85"/>
      <c r="AB13" s="90"/>
      <c r="AC13" s="90"/>
      <c r="AD13" s="10" t="s">
        <v>809</v>
      </c>
      <c r="AE13" s="52" cm="1">
        <f t="array" ref="AE13">VLOOKUP(AD13,T1:Y464,2,FALSE)</f>
        <v>0</v>
      </c>
      <c r="AF13" s="52" cm="1">
        <f t="array" ref="AF13">VLOOKUP(AD13,T1:AA464,5,FALSE)</f>
        <v>0</v>
      </c>
    </row>
    <row r="14" spans="1:32" ht="21.25" customHeight="1" x14ac:dyDescent="0.15">
      <c r="A14" s="10" t="s">
        <v>130</v>
      </c>
      <c r="B14" s="99" t="str" cm="1">
        <f t="array" ref="B14">IFERROR(VLOOKUP($A14,'The List'!$B1:$AS671,3,FALSE)," ")</f>
        <v>D</v>
      </c>
      <c r="C14" s="100" cm="1">
        <f t="array" ref="C14">IFERROR(VLOOKUP($A14,'The List'!$B1:$AS671,4,FALSE)," ")</f>
        <v>1</v>
      </c>
      <c r="D14" s="18" t="str" cm="1">
        <f t="array" ref="D14">IFERROR(VLOOKUP($A14,'The List'!$B1:$AS671,5,FALSE)," ")</f>
        <v>COL</v>
      </c>
      <c r="E14" s="89" cm="1">
        <f t="array" ref="E14">IFERROR(VLOOKUP($A14,'The List'!$B1:$AS671,6,FALSE)," ")</f>
        <v>27</v>
      </c>
      <c r="F14" s="52" cm="1">
        <f t="array" ref="F14">IFERROR(VLOOKUP($A14,'The List'!$B1:$AS671,8,FALSE)," ")</f>
        <v>9.2791339731796594</v>
      </c>
      <c r="G14" s="52" cm="1">
        <f t="array" ref="G14">IFERROR(VLOOKUP($A14,'The List'!$B1:$AS671,10,FALSE)," ")</f>
        <v>8.7122830586621056</v>
      </c>
      <c r="H14" s="55"/>
      <c r="I14" s="57" cm="1">
        <f t="array" ref="I14">IFERROR(VLOOKUP($A14,'The List'!$B1:$AS671,16,FALSE)," ")</f>
        <v>82</v>
      </c>
      <c r="J14" s="57" cm="1">
        <f t="array" ref="J14">IFERROR(VLOOKUP($A14,'The List'!$B1:$AS671,17,FALSE)," ")</f>
        <v>25.3</v>
      </c>
      <c r="K14" s="57" cm="1">
        <f t="array" ref="K14">IFERROR(VLOOKUP($A14,'The List'!$B1:$AS671,18,FALSE)," ")</f>
        <v>22.14</v>
      </c>
      <c r="L14" s="57" cm="1">
        <f t="array" ref="L14">IFERROR(VLOOKUP($A14,'The List'!$B1:$AS671,19,FALSE)," ")</f>
        <v>63.96</v>
      </c>
      <c r="M14" s="57" cm="1">
        <f t="array" ref="M14">IFERROR(VLOOKUP($A14,'The List'!$B1:$AS671,20,FALSE)," ")</f>
        <v>86.1</v>
      </c>
      <c r="N14" s="57" cm="1">
        <f t="array" ref="N14">IFERROR(VLOOKUP($A14,'The List'!$B1:$AS671,21,FALSE)," ")</f>
        <v>225.5</v>
      </c>
      <c r="O14" s="57" cm="1">
        <f t="array" ref="O14">IFERROR(VLOOKUP($A14,'The List'!$B1:$AS671,22,FALSE)," ")</f>
        <v>6.5600000000000005</v>
      </c>
      <c r="P14" s="57" cm="1">
        <f t="array" ref="P14">IFERROR(VLOOKUP($A14,'The List'!$B1:$AS671,23,FALSE)," ")</f>
        <v>33.619999999999997</v>
      </c>
      <c r="Q14" s="57" cm="1">
        <f t="array" ref="Q14">IFERROR(VLOOKUP($A14,'The List'!$B1:$AS671,24,FALSE)," ")</f>
        <v>0.82000000000000006</v>
      </c>
      <c r="R14" s="57" cm="1">
        <f t="array" ref="R14">IFERROR(VLOOKUP($A14,'The List'!$B1:$AS671,25,FALSE)," ")</f>
        <v>1.6400000000000001</v>
      </c>
      <c r="S14" s="57" cm="1">
        <f t="array" ref="S14">IFERROR(VLOOKUP($A14,'The List'!$B1:$AS671,26,FALSE)," ")</f>
        <v>132.84</v>
      </c>
      <c r="T14" s="57" cm="1">
        <f t="array" ref="T14">IFERROR(VLOOKUP($A14,'The List'!$B1:$AS671,27,FALSE)," ")</f>
        <v>51.660000000000004</v>
      </c>
      <c r="U14" s="57" cm="1">
        <f t="array" ref="U14">IFERROR(VLOOKUP($A14,'The List'!$B1:$AS671,28,FALSE)," ")</f>
        <v>9.84</v>
      </c>
      <c r="V14" s="57" cm="1">
        <f t="array" ref="V14">IFERROR(VLOOKUP($A14,'The List'!$B1:$AS671,29,FALSE)," ")</f>
        <v>24.599999999999998</v>
      </c>
      <c r="W14" s="57" cm="1">
        <f t="array" ref="W14">IFERROR(VLOOKUP($A14,'The List'!$B1:$AS671,30,FALSE)," ")</f>
        <v>4.1000000000000005</v>
      </c>
      <c r="X14" s="57" cm="1">
        <f t="array" ref="X14">IFERROR(VLOOKUP($A14,'The List'!$B1:$AS671,31,FALSE)," ")</f>
        <v>0</v>
      </c>
      <c r="Y14" s="57" cm="1">
        <f t="array" ref="Y14">IFERROR(VLOOKUP($A14,'The List'!$B1:$AS671,32,FALSE)," ")</f>
        <v>0</v>
      </c>
      <c r="Z14" s="59" cm="1">
        <f t="array" ref="Z14">IFERROR(VLOOKUP($A14,'The List'!$B1:$AS671,33,FALSE)," ")</f>
        <v>0</v>
      </c>
      <c r="AA14" s="85"/>
      <c r="AB14" s="90"/>
      <c r="AC14" s="90"/>
      <c r="AD14" s="10" t="s">
        <v>810</v>
      </c>
      <c r="AE14" s="52" cm="1">
        <f t="array" ref="AE14">VLOOKUP(AD14,T1:Y464,2,FALSE)</f>
        <v>0</v>
      </c>
      <c r="AF14" s="52" cm="1">
        <f t="array" ref="AF14">VLOOKUP(AD14,T1:AA464,5,FALSE)</f>
        <v>0</v>
      </c>
    </row>
    <row r="15" spans="1:32" ht="21.25" customHeight="1" x14ac:dyDescent="0.15">
      <c r="A15" s="24"/>
      <c r="B15" s="99" t="str" cm="1">
        <f t="array" ref="B15">IFERROR(VLOOKUP($A15,'The List'!$B1:$AS671,3,FALSE)," ")</f>
        <v xml:space="preserve"> </v>
      </c>
      <c r="C15" s="101" t="str" cm="1">
        <f t="array" ref="C15">IFERROR(VLOOKUP($A15,'The List'!$B1:$AS671,4,FALSE)," ")</f>
        <v xml:space="preserve"> </v>
      </c>
      <c r="D15" s="18" t="str" cm="1">
        <f t="array" ref="D15">IFERROR(VLOOKUP($A15,'The List'!$B1:$AS671,5,FALSE)," ")</f>
        <v xml:space="preserve"> </v>
      </c>
      <c r="E15" s="18" t="str" cm="1">
        <f t="array" ref="E15">IFERROR(VLOOKUP($A15,'The List'!$B1:$AS671,6,FALSE)," ")</f>
        <v xml:space="preserve"> </v>
      </c>
      <c r="F15" s="92" t="str" cm="1">
        <f t="array" ref="F15">IFERROR(VLOOKUP($A15,'The List'!$B1:$AS671,8,FALSE)," ")</f>
        <v xml:space="preserve"> </v>
      </c>
      <c r="G15" s="92" t="str" cm="1">
        <f t="array" ref="G15">IFERROR(VLOOKUP($A15,'The List'!$B1:$AS671,10,FALSE)," ")</f>
        <v xml:space="preserve"> </v>
      </c>
      <c r="H15" s="55"/>
      <c r="I15" s="84" t="str" cm="1">
        <f t="array" ref="I15">IFERROR(VLOOKUP($A15,'The List'!$B1:$AS671,16,FALSE)," ")</f>
        <v xml:space="preserve"> </v>
      </c>
      <c r="J15" s="84" t="str" cm="1">
        <f t="array" ref="J15">IFERROR(VLOOKUP($A15,'The List'!$B1:$AS671,17,FALSE)," ")</f>
        <v xml:space="preserve"> </v>
      </c>
      <c r="K15" s="84" t="str" cm="1">
        <f t="array" ref="K15">IFERROR(VLOOKUP($A15,'The List'!$B1:$AS671,18,FALSE)," ")</f>
        <v xml:space="preserve"> </v>
      </c>
      <c r="L15" s="84" t="str" cm="1">
        <f t="array" ref="L15">IFERROR(VLOOKUP($A15,'The List'!$B1:$AS671,19,FALSE)," ")</f>
        <v xml:space="preserve"> </v>
      </c>
      <c r="M15" s="84" t="str" cm="1">
        <f t="array" ref="M15">IFERROR(VLOOKUP($A15,'The List'!$B1:$AS671,20,FALSE)," ")</f>
        <v xml:space="preserve"> </v>
      </c>
      <c r="N15" s="84" t="str" cm="1">
        <f t="array" ref="N15">IFERROR(VLOOKUP($A15,'The List'!$B1:$AS671,21,FALSE)," ")</f>
        <v xml:space="preserve"> </v>
      </c>
      <c r="O15" s="84" t="str" cm="1">
        <f t="array" ref="O15">IFERROR(VLOOKUP($A15,'The List'!$B1:$AS671,22,FALSE)," ")</f>
        <v xml:space="preserve"> </v>
      </c>
      <c r="P15" s="84" t="str" cm="1">
        <f t="array" ref="P15">IFERROR(VLOOKUP($A15,'The List'!$B1:$AS671,23,FALSE)," ")</f>
        <v xml:space="preserve"> </v>
      </c>
      <c r="Q15" s="84" t="str" cm="1">
        <f t="array" ref="Q15">IFERROR(VLOOKUP($A15,'The List'!$B1:$AS671,24,FALSE)," ")</f>
        <v xml:space="preserve"> </v>
      </c>
      <c r="R15" s="84" t="str" cm="1">
        <f t="array" ref="R15">IFERROR(VLOOKUP($A15,'The List'!$B1:$AS671,25,FALSE)," ")</f>
        <v xml:space="preserve"> </v>
      </c>
      <c r="S15" s="84" t="str" cm="1">
        <f t="array" ref="S15">IFERROR(VLOOKUP($A15,'The List'!$B1:$AS671,26,FALSE)," ")</f>
        <v xml:space="preserve"> </v>
      </c>
      <c r="T15" s="84" t="str" cm="1">
        <f t="array" ref="T15">IFERROR(VLOOKUP($A15,'The List'!$B1:$AS671,27,FALSE)," ")</f>
        <v xml:space="preserve"> </v>
      </c>
      <c r="U15" s="84" t="str" cm="1">
        <f t="array" ref="U15">IFERROR(VLOOKUP($A15,'The List'!$B1:$AS671,28,FALSE)," ")</f>
        <v xml:space="preserve"> </v>
      </c>
      <c r="V15" s="84" t="str" cm="1">
        <f t="array" ref="V15">IFERROR(VLOOKUP($A15,'The List'!$B1:$AS671,29,FALSE)," ")</f>
        <v xml:space="preserve"> </v>
      </c>
      <c r="W15" s="84" t="str" cm="1">
        <f t="array" ref="W15">IFERROR(VLOOKUP($A15,'The List'!$B1:$AS671,30,FALSE)," ")</f>
        <v xml:space="preserve"> </v>
      </c>
      <c r="X15" s="84" t="str" cm="1">
        <f t="array" ref="X15">IFERROR(VLOOKUP($A15,'The List'!$B1:$AS671,31,FALSE)," ")</f>
        <v xml:space="preserve"> </v>
      </c>
      <c r="Y15" s="84" t="str" cm="1">
        <f t="array" ref="Y15">IFERROR(VLOOKUP($A15,'The List'!$B1:$AS671,32,FALSE)," ")</f>
        <v xml:space="preserve"> </v>
      </c>
      <c r="Z15" s="84" t="str" cm="1">
        <f t="array" ref="Z15">IFERROR(VLOOKUP($A15,'The List'!$B1:$AS671,33,FALSE)," ")</f>
        <v xml:space="preserve"> </v>
      </c>
      <c r="AA15" s="85"/>
      <c r="AB15" s="90"/>
      <c r="AC15" s="90"/>
      <c r="AD15" s="10" t="s">
        <v>811</v>
      </c>
      <c r="AE15" s="52" cm="1">
        <f t="array" ref="AE15">VLOOKUP(AD15,T1:Y464,2,FALSE)</f>
        <v>0</v>
      </c>
      <c r="AF15" s="52" cm="1">
        <f t="array" ref="AF15">VLOOKUP(AD15,T1:AA464,5,FALSE)</f>
        <v>0</v>
      </c>
    </row>
    <row r="16" spans="1:32" ht="21.25" customHeight="1" x14ac:dyDescent="0.15">
      <c r="A16" s="24"/>
      <c r="B16" s="99" t="str" cm="1">
        <f t="array" ref="B16">IFERROR(VLOOKUP($A16,'The List'!$B1:$AS671,3,FALSE)," ")</f>
        <v xml:space="preserve"> </v>
      </c>
      <c r="C16" s="101" t="str" cm="1">
        <f t="array" ref="C16">IFERROR(VLOOKUP($A16,'The List'!$B1:$AS671,4,FALSE)," ")</f>
        <v xml:space="preserve"> </v>
      </c>
      <c r="D16" s="18" t="str" cm="1">
        <f t="array" ref="D16">IFERROR(VLOOKUP($A16,'The List'!$B1:$AS671,5,FALSE)," ")</f>
        <v xml:space="preserve"> </v>
      </c>
      <c r="E16" s="18" t="str" cm="1">
        <f t="array" ref="E16">IFERROR(VLOOKUP($A16,'The List'!$B1:$AS671,6,FALSE)," ")</f>
        <v xml:space="preserve"> </v>
      </c>
      <c r="F16" s="92" t="str" cm="1">
        <f t="array" ref="F16">IFERROR(VLOOKUP($A16,'The List'!$B1:$AS671,8,FALSE)," ")</f>
        <v xml:space="preserve"> </v>
      </c>
      <c r="G16" s="92" t="str" cm="1">
        <f t="array" ref="G16">IFERROR(VLOOKUP($A16,'The List'!$B1:$AS671,10,FALSE)," ")</f>
        <v xml:space="preserve"> </v>
      </c>
      <c r="H16" s="55"/>
      <c r="I16" s="84" t="str" cm="1">
        <f t="array" ref="I16">IFERROR(VLOOKUP($A16,'The List'!$B1:$AS671,16,FALSE)," ")</f>
        <v xml:space="preserve"> </v>
      </c>
      <c r="J16" s="84" t="str" cm="1">
        <f t="array" ref="J16">IFERROR(VLOOKUP($A16,'The List'!$B1:$AS671,17,FALSE)," ")</f>
        <v xml:space="preserve"> </v>
      </c>
      <c r="K16" s="84" t="str" cm="1">
        <f t="array" ref="K16">IFERROR(VLOOKUP($A16,'The List'!$B1:$AS671,18,FALSE)," ")</f>
        <v xml:space="preserve"> </v>
      </c>
      <c r="L16" s="84" t="str" cm="1">
        <f t="array" ref="L16">IFERROR(VLOOKUP($A16,'The List'!$B1:$AS671,19,FALSE)," ")</f>
        <v xml:space="preserve"> </v>
      </c>
      <c r="M16" s="84" t="str" cm="1">
        <f t="array" ref="M16">IFERROR(VLOOKUP($A16,'The List'!$B1:$AS671,20,FALSE)," ")</f>
        <v xml:space="preserve"> </v>
      </c>
      <c r="N16" s="84" t="str" cm="1">
        <f t="array" ref="N16">IFERROR(VLOOKUP($A16,'The List'!$B1:$AS671,21,FALSE)," ")</f>
        <v xml:space="preserve"> </v>
      </c>
      <c r="O16" s="84" t="str" cm="1">
        <f t="array" ref="O16">IFERROR(VLOOKUP($A16,'The List'!$B1:$AS671,22,FALSE)," ")</f>
        <v xml:space="preserve"> </v>
      </c>
      <c r="P16" s="84" t="str" cm="1">
        <f t="array" ref="P16">IFERROR(VLOOKUP($A16,'The List'!$B1:$AS671,23,FALSE)," ")</f>
        <v xml:space="preserve"> </v>
      </c>
      <c r="Q16" s="84" t="str" cm="1">
        <f t="array" ref="Q16">IFERROR(VLOOKUP($A16,'The List'!$B1:$AS671,24,FALSE)," ")</f>
        <v xml:space="preserve"> </v>
      </c>
      <c r="R16" s="84" t="str" cm="1">
        <f t="array" ref="R16">IFERROR(VLOOKUP($A16,'The List'!$B1:$AS671,25,FALSE)," ")</f>
        <v xml:space="preserve"> </v>
      </c>
      <c r="S16" s="84" t="str" cm="1">
        <f t="array" ref="S16">IFERROR(VLOOKUP($A16,'The List'!$B1:$AS671,26,FALSE)," ")</f>
        <v xml:space="preserve"> </v>
      </c>
      <c r="T16" s="84" t="str" cm="1">
        <f t="array" ref="T16">IFERROR(VLOOKUP($A16,'The List'!$B1:$AS671,27,FALSE)," ")</f>
        <v xml:space="preserve"> </v>
      </c>
      <c r="U16" s="84" t="str" cm="1">
        <f t="array" ref="U16">IFERROR(VLOOKUP($A16,'The List'!$B1:$AS671,28,FALSE)," ")</f>
        <v xml:space="preserve"> </v>
      </c>
      <c r="V16" s="84" t="str" cm="1">
        <f t="array" ref="V16">IFERROR(VLOOKUP($A16,'The List'!$B1:$AS671,29,FALSE)," ")</f>
        <v xml:space="preserve"> </v>
      </c>
      <c r="W16" s="84" t="str" cm="1">
        <f t="array" ref="W16">IFERROR(VLOOKUP($A16,'The List'!$B1:$AS671,30,FALSE)," ")</f>
        <v xml:space="preserve"> </v>
      </c>
      <c r="X16" s="84" t="str" cm="1">
        <f t="array" ref="X16">IFERROR(VLOOKUP($A16,'The List'!$B1:$AS671,31,FALSE)," ")</f>
        <v xml:space="preserve"> </v>
      </c>
      <c r="Y16" s="84" t="str" cm="1">
        <f t="array" ref="Y16">IFERROR(VLOOKUP($A16,'The List'!$B1:$AS671,32,FALSE)," ")</f>
        <v xml:space="preserve"> </v>
      </c>
      <c r="Z16" s="84" t="str" cm="1">
        <f t="array" ref="Z16">IFERROR(VLOOKUP($A16,'The List'!$B1:$AS671,33,FALSE)," ")</f>
        <v xml:space="preserve"> </v>
      </c>
      <c r="AA16" s="85"/>
      <c r="AB16" s="90"/>
      <c r="AC16" s="90"/>
      <c r="AD16" s="10" t="s">
        <v>812</v>
      </c>
      <c r="AE16" s="52" cm="1">
        <f t="array" ref="AE16">VLOOKUP(AD16,T1:Y464,2,FALSE)</f>
        <v>0</v>
      </c>
      <c r="AF16" s="52" cm="1">
        <f t="array" ref="AF16">VLOOKUP(AD16,T1:AA464,5,FALSE)</f>
        <v>0</v>
      </c>
    </row>
    <row r="17" spans="1:32" ht="21.25" customHeight="1" x14ac:dyDescent="0.15">
      <c r="A17" s="24"/>
      <c r="B17" s="99" t="str" cm="1">
        <f t="array" ref="B17">IFERROR(VLOOKUP($A17,'The List'!$B1:$AS671,3,FALSE)," ")</f>
        <v xml:space="preserve"> </v>
      </c>
      <c r="C17" s="101" t="str" cm="1">
        <f t="array" ref="C17">IFERROR(VLOOKUP($A17,'The List'!$B1:$AS671,4,FALSE)," ")</f>
        <v xml:space="preserve"> </v>
      </c>
      <c r="D17" s="18" t="str" cm="1">
        <f t="array" ref="D17">IFERROR(VLOOKUP($A17,'The List'!$B1:$AS671,5,FALSE)," ")</f>
        <v xml:space="preserve"> </v>
      </c>
      <c r="E17" s="18" t="str" cm="1">
        <f t="array" ref="E17">IFERROR(VLOOKUP($A17,'The List'!$B1:$AS671,6,FALSE)," ")</f>
        <v xml:space="preserve"> </v>
      </c>
      <c r="F17" s="92" t="str" cm="1">
        <f t="array" ref="F17">IFERROR(VLOOKUP($A17,'The List'!$B1:$AS671,8,FALSE)," ")</f>
        <v xml:space="preserve"> </v>
      </c>
      <c r="G17" s="92" t="str" cm="1">
        <f t="array" ref="G17">IFERROR(VLOOKUP($A17,'The List'!$B1:$AS671,10,FALSE)," ")</f>
        <v xml:space="preserve"> </v>
      </c>
      <c r="H17" s="55"/>
      <c r="I17" s="84" t="str" cm="1">
        <f t="array" ref="I17">IFERROR(VLOOKUP($A17,'The List'!$B1:$AS671,16,FALSE)," ")</f>
        <v xml:space="preserve"> </v>
      </c>
      <c r="J17" s="84" t="str" cm="1">
        <f t="array" ref="J17">IFERROR(VLOOKUP($A17,'The List'!$B1:$AS671,17,FALSE)," ")</f>
        <v xml:space="preserve"> </v>
      </c>
      <c r="K17" s="84" t="str" cm="1">
        <f t="array" ref="K17">IFERROR(VLOOKUP($A17,'The List'!$B1:$AS671,18,FALSE)," ")</f>
        <v xml:space="preserve"> </v>
      </c>
      <c r="L17" s="84" t="str" cm="1">
        <f t="array" ref="L17">IFERROR(VLOOKUP($A17,'The List'!$B1:$AS671,19,FALSE)," ")</f>
        <v xml:space="preserve"> </v>
      </c>
      <c r="M17" s="84" t="str" cm="1">
        <f t="array" ref="M17">IFERROR(VLOOKUP($A17,'The List'!$B1:$AS671,20,FALSE)," ")</f>
        <v xml:space="preserve"> </v>
      </c>
      <c r="N17" s="84" t="str" cm="1">
        <f t="array" ref="N17">IFERROR(VLOOKUP($A17,'The List'!$B1:$AS671,21,FALSE)," ")</f>
        <v xml:space="preserve"> </v>
      </c>
      <c r="O17" s="84" t="str" cm="1">
        <f t="array" ref="O17">IFERROR(VLOOKUP($A17,'The List'!$B1:$AS671,22,FALSE)," ")</f>
        <v xml:space="preserve"> </v>
      </c>
      <c r="P17" s="84" t="str" cm="1">
        <f t="array" ref="P17">IFERROR(VLOOKUP($A17,'The List'!$B1:$AS671,23,FALSE)," ")</f>
        <v xml:space="preserve"> </v>
      </c>
      <c r="Q17" s="84" t="str" cm="1">
        <f t="array" ref="Q17">IFERROR(VLOOKUP($A17,'The List'!$B1:$AS671,24,FALSE)," ")</f>
        <v xml:space="preserve"> </v>
      </c>
      <c r="R17" s="84" t="str" cm="1">
        <f t="array" ref="R17">IFERROR(VLOOKUP($A17,'The List'!$B1:$AS671,25,FALSE)," ")</f>
        <v xml:space="preserve"> </v>
      </c>
      <c r="S17" s="84" t="str" cm="1">
        <f t="array" ref="S17">IFERROR(VLOOKUP($A17,'The List'!$B1:$AS671,26,FALSE)," ")</f>
        <v xml:space="preserve"> </v>
      </c>
      <c r="T17" s="84" t="str" cm="1">
        <f t="array" ref="T17">IFERROR(VLOOKUP($A17,'The List'!$B1:$AS671,27,FALSE)," ")</f>
        <v xml:space="preserve"> </v>
      </c>
      <c r="U17" s="84" t="str" cm="1">
        <f t="array" ref="U17">IFERROR(VLOOKUP($A17,'The List'!$B1:$AS671,28,FALSE)," ")</f>
        <v xml:space="preserve"> </v>
      </c>
      <c r="V17" s="84" t="str" cm="1">
        <f t="array" ref="V17">IFERROR(VLOOKUP($A17,'The List'!$B1:$AS671,29,FALSE)," ")</f>
        <v xml:space="preserve"> </v>
      </c>
      <c r="W17" s="84" t="str" cm="1">
        <f t="array" ref="W17">IFERROR(VLOOKUP($A17,'The List'!$B1:$AS671,30,FALSE)," ")</f>
        <v xml:space="preserve"> </v>
      </c>
      <c r="X17" s="84" t="str" cm="1">
        <f t="array" ref="X17">IFERROR(VLOOKUP($A17,'The List'!$B1:$AS671,31,FALSE)," ")</f>
        <v xml:space="preserve"> </v>
      </c>
      <c r="Y17" s="84" t="str" cm="1">
        <f t="array" ref="Y17">IFERROR(VLOOKUP($A17,'The List'!$B1:$AS671,32,FALSE)," ")</f>
        <v xml:space="preserve"> </v>
      </c>
      <c r="Z17" s="84" t="str" cm="1">
        <f t="array" ref="Z17">IFERROR(VLOOKUP($A17,'The List'!$B1:$AS671,33,FALSE)," ")</f>
        <v xml:space="preserve"> </v>
      </c>
      <c r="AA17" s="85"/>
      <c r="AB17" s="90"/>
      <c r="AC17" s="90"/>
      <c r="AD17" s="10" t="s">
        <v>813</v>
      </c>
      <c r="AE17" s="52" cm="1">
        <f t="array" ref="AE17">VLOOKUP(AD17,T1:Y464,2,FALSE)</f>
        <v>0</v>
      </c>
      <c r="AF17" s="52" cm="1">
        <f t="array" ref="AF17">VLOOKUP(AD17,T1:AA464,5,FALSE)</f>
        <v>0</v>
      </c>
    </row>
    <row r="18" spans="1:32" ht="21.25" customHeight="1" x14ac:dyDescent="0.15">
      <c r="A18" s="24"/>
      <c r="B18" s="99" t="str" cm="1">
        <f t="array" ref="B18">IFERROR(VLOOKUP($A18,'The List'!$B1:$AS671,3,FALSE)," ")</f>
        <v xml:space="preserve"> </v>
      </c>
      <c r="C18" s="101" t="str" cm="1">
        <f t="array" ref="C18">IFERROR(VLOOKUP($A18,'The List'!$B1:$AS671,4,FALSE)," ")</f>
        <v xml:space="preserve"> </v>
      </c>
      <c r="D18" s="18" t="str" cm="1">
        <f t="array" ref="D18">IFERROR(VLOOKUP($A18,'The List'!$B1:$AS671,5,FALSE)," ")</f>
        <v xml:space="preserve"> </v>
      </c>
      <c r="E18" s="18" t="str" cm="1">
        <f t="array" ref="E18">IFERROR(VLOOKUP($A18,'The List'!$B1:$AS671,6,FALSE)," ")</f>
        <v xml:space="preserve"> </v>
      </c>
      <c r="F18" s="92" t="str" cm="1">
        <f t="array" ref="F18">IFERROR(VLOOKUP($A18,'The List'!$B1:$AS671,8,FALSE)," ")</f>
        <v xml:space="preserve"> </v>
      </c>
      <c r="G18" s="92" t="str" cm="1">
        <f t="array" ref="G18">IFERROR(VLOOKUP($A18,'The List'!$B1:$AS671,10,FALSE)," ")</f>
        <v xml:space="preserve"> </v>
      </c>
      <c r="H18" s="55"/>
      <c r="I18" s="84" t="str" cm="1">
        <f t="array" ref="I18">IFERROR(VLOOKUP($A18,'The List'!$B1:$AS671,16,FALSE)," ")</f>
        <v xml:space="preserve"> </v>
      </c>
      <c r="J18" s="84" t="str" cm="1">
        <f t="array" ref="J18">IFERROR(VLOOKUP($A18,'The List'!$B1:$AS671,17,FALSE)," ")</f>
        <v xml:space="preserve"> </v>
      </c>
      <c r="K18" s="84" t="str" cm="1">
        <f t="array" ref="K18">IFERROR(VLOOKUP($A18,'The List'!$B1:$AS671,18,FALSE)," ")</f>
        <v xml:space="preserve"> </v>
      </c>
      <c r="L18" s="84" t="str" cm="1">
        <f t="array" ref="L18">IFERROR(VLOOKUP($A18,'The List'!$B1:$AS671,19,FALSE)," ")</f>
        <v xml:space="preserve"> </v>
      </c>
      <c r="M18" s="84" t="str" cm="1">
        <f t="array" ref="M18">IFERROR(VLOOKUP($A18,'The List'!$B1:$AS671,20,FALSE)," ")</f>
        <v xml:space="preserve"> </v>
      </c>
      <c r="N18" s="84" t="str" cm="1">
        <f t="array" ref="N18">IFERROR(VLOOKUP($A18,'The List'!$B1:$AS671,21,FALSE)," ")</f>
        <v xml:space="preserve"> </v>
      </c>
      <c r="O18" s="84" t="str" cm="1">
        <f t="array" ref="O18">IFERROR(VLOOKUP($A18,'The List'!$B1:$AS671,22,FALSE)," ")</f>
        <v xml:space="preserve"> </v>
      </c>
      <c r="P18" s="84" t="str" cm="1">
        <f t="array" ref="P18">IFERROR(VLOOKUP($A18,'The List'!$B1:$AS671,23,FALSE)," ")</f>
        <v xml:space="preserve"> </v>
      </c>
      <c r="Q18" s="84" t="str" cm="1">
        <f t="array" ref="Q18">IFERROR(VLOOKUP($A18,'The List'!$B1:$AS671,24,FALSE)," ")</f>
        <v xml:space="preserve"> </v>
      </c>
      <c r="R18" s="84" t="str" cm="1">
        <f t="array" ref="R18">IFERROR(VLOOKUP($A18,'The List'!$B1:$AS671,25,FALSE)," ")</f>
        <v xml:space="preserve"> </v>
      </c>
      <c r="S18" s="84" t="str" cm="1">
        <f t="array" ref="S18">IFERROR(VLOOKUP($A18,'The List'!$B1:$AS671,26,FALSE)," ")</f>
        <v xml:space="preserve"> </v>
      </c>
      <c r="T18" s="84" t="str" cm="1">
        <f t="array" ref="T18">IFERROR(VLOOKUP($A18,'The List'!$B1:$AS671,27,FALSE)," ")</f>
        <v xml:space="preserve"> </v>
      </c>
      <c r="U18" s="84" t="str" cm="1">
        <f t="array" ref="U18">IFERROR(VLOOKUP($A18,'The List'!$B1:$AS671,28,FALSE)," ")</f>
        <v xml:space="preserve"> </v>
      </c>
      <c r="V18" s="84" t="str" cm="1">
        <f t="array" ref="V18">IFERROR(VLOOKUP($A18,'The List'!$B1:$AS671,29,FALSE)," ")</f>
        <v xml:space="preserve"> </v>
      </c>
      <c r="W18" s="84" t="str" cm="1">
        <f t="array" ref="W18">IFERROR(VLOOKUP($A18,'The List'!$B1:$AS671,30,FALSE)," ")</f>
        <v xml:space="preserve"> </v>
      </c>
      <c r="X18" s="84" t="str" cm="1">
        <f t="array" ref="X18">IFERROR(VLOOKUP($A18,'The List'!$B1:$AS671,31,FALSE)," ")</f>
        <v xml:space="preserve"> </v>
      </c>
      <c r="Y18" s="84" t="str" cm="1">
        <f t="array" ref="Y18">IFERROR(VLOOKUP($A18,'The List'!$B1:$AS671,32,FALSE)," ")</f>
        <v xml:space="preserve"> </v>
      </c>
      <c r="Z18" s="84" t="str" cm="1">
        <f t="array" ref="Z18">IFERROR(VLOOKUP($A18,'The List'!$B1:$AS671,33,FALSE)," ")</f>
        <v xml:space="preserve"> </v>
      </c>
      <c r="AA18" s="85"/>
      <c r="AB18" s="90"/>
      <c r="AC18" s="90"/>
      <c r="AD18" s="24"/>
      <c r="AE18" s="52" cm="1">
        <f t="array" ref="AE18">VLOOKUP(AD18,T1:Y464,2,FALSE)</f>
        <v>0</v>
      </c>
      <c r="AF18" s="52" cm="1">
        <f t="array" ref="AF18">VLOOKUP(AD18,T1:AA464,5,FALSE)</f>
        <v>0</v>
      </c>
    </row>
    <row r="19" spans="1:32" ht="21.25" customHeight="1" x14ac:dyDescent="0.15">
      <c r="A19" s="24"/>
      <c r="B19" s="99" t="str" cm="1">
        <f t="array" ref="B19">IFERROR(VLOOKUP($A19,'The List'!$B1:$AS671,3,FALSE)," ")</f>
        <v xml:space="preserve"> </v>
      </c>
      <c r="C19" s="101" t="str" cm="1">
        <f t="array" ref="C19">IFERROR(VLOOKUP($A19,'The List'!$B1:$AS671,4,FALSE)," ")</f>
        <v xml:space="preserve"> </v>
      </c>
      <c r="D19" s="18" t="str" cm="1">
        <f t="array" ref="D19">IFERROR(VLOOKUP($A19,'The List'!$B1:$AS671,5,FALSE)," ")</f>
        <v xml:space="preserve"> </v>
      </c>
      <c r="E19" s="18" t="str" cm="1">
        <f t="array" ref="E19">IFERROR(VLOOKUP($A19,'The List'!$B1:$AS671,6,FALSE)," ")</f>
        <v xml:space="preserve"> </v>
      </c>
      <c r="F19" s="92" t="str" cm="1">
        <f t="array" ref="F19">IFERROR(VLOOKUP($A19,'The List'!$B1:$AS671,8,FALSE)," ")</f>
        <v xml:space="preserve"> </v>
      </c>
      <c r="G19" s="92" t="str" cm="1">
        <f t="array" ref="G19">IFERROR(VLOOKUP($A19,'The List'!$B1:$AS671,10,FALSE)," ")</f>
        <v xml:space="preserve"> </v>
      </c>
      <c r="H19" s="55"/>
      <c r="I19" s="84" t="str" cm="1">
        <f t="array" ref="I19">IFERROR(VLOOKUP($A19,'The List'!$B1:$AS671,16,FALSE)," ")</f>
        <v xml:space="preserve"> </v>
      </c>
      <c r="J19" s="84" t="str" cm="1">
        <f t="array" ref="J19">IFERROR(VLOOKUP($A19,'The List'!$B1:$AS671,17,FALSE)," ")</f>
        <v xml:space="preserve"> </v>
      </c>
      <c r="K19" s="84" t="str" cm="1">
        <f t="array" ref="K19">IFERROR(VLOOKUP($A19,'The List'!$B1:$AS671,18,FALSE)," ")</f>
        <v xml:space="preserve"> </v>
      </c>
      <c r="L19" s="84" t="str" cm="1">
        <f t="array" ref="L19">IFERROR(VLOOKUP($A19,'The List'!$B1:$AS671,19,FALSE)," ")</f>
        <v xml:space="preserve"> </v>
      </c>
      <c r="M19" s="84" t="str" cm="1">
        <f t="array" ref="M19">IFERROR(VLOOKUP($A19,'The List'!$B1:$AS671,20,FALSE)," ")</f>
        <v xml:space="preserve"> </v>
      </c>
      <c r="N19" s="84" t="str" cm="1">
        <f t="array" ref="N19">IFERROR(VLOOKUP($A19,'The List'!$B1:$AS671,21,FALSE)," ")</f>
        <v xml:space="preserve"> </v>
      </c>
      <c r="O19" s="84" t="str" cm="1">
        <f t="array" ref="O19">IFERROR(VLOOKUP($A19,'The List'!$B1:$AS671,22,FALSE)," ")</f>
        <v xml:space="preserve"> </v>
      </c>
      <c r="P19" s="84" t="str" cm="1">
        <f t="array" ref="P19">IFERROR(VLOOKUP($A19,'The List'!$B1:$AS671,23,FALSE)," ")</f>
        <v xml:space="preserve"> </v>
      </c>
      <c r="Q19" s="84" t="str" cm="1">
        <f t="array" ref="Q19">IFERROR(VLOOKUP($A19,'The List'!$B1:$AS671,24,FALSE)," ")</f>
        <v xml:space="preserve"> </v>
      </c>
      <c r="R19" s="84" t="str" cm="1">
        <f t="array" ref="R19">IFERROR(VLOOKUP($A19,'The List'!$B1:$AS671,25,FALSE)," ")</f>
        <v xml:space="preserve"> </v>
      </c>
      <c r="S19" s="84" t="str" cm="1">
        <f t="array" ref="S19">IFERROR(VLOOKUP($A19,'The List'!$B1:$AS671,26,FALSE)," ")</f>
        <v xml:space="preserve"> </v>
      </c>
      <c r="T19" s="84" t="str" cm="1">
        <f t="array" ref="T19">IFERROR(VLOOKUP($A19,'The List'!$B1:$AS671,27,FALSE)," ")</f>
        <v xml:space="preserve"> </v>
      </c>
      <c r="U19" s="84" t="str" cm="1">
        <f t="array" ref="U19">IFERROR(VLOOKUP($A19,'The List'!$B1:$AS671,28,FALSE)," ")</f>
        <v xml:space="preserve"> </v>
      </c>
      <c r="V19" s="84" t="str" cm="1">
        <f t="array" ref="V19">IFERROR(VLOOKUP($A19,'The List'!$B1:$AS671,29,FALSE)," ")</f>
        <v xml:space="preserve"> </v>
      </c>
      <c r="W19" s="84" t="str" cm="1">
        <f t="array" ref="W19">IFERROR(VLOOKUP($A19,'The List'!$B1:$AS671,30,FALSE)," ")</f>
        <v xml:space="preserve"> </v>
      </c>
      <c r="X19" s="84" t="str" cm="1">
        <f t="array" ref="X19">IFERROR(VLOOKUP($A19,'The List'!$B1:$AS671,31,FALSE)," ")</f>
        <v xml:space="preserve"> </v>
      </c>
      <c r="Y19" s="84" t="str" cm="1">
        <f t="array" ref="Y19">IFERROR(VLOOKUP($A19,'The List'!$B1:$AS671,32,FALSE)," ")</f>
        <v xml:space="preserve"> </v>
      </c>
      <c r="Z19" s="84" t="str" cm="1">
        <f t="array" ref="Z19">IFERROR(VLOOKUP($A19,'The List'!$B1:$AS671,33,FALSE)," ")</f>
        <v xml:space="preserve"> </v>
      </c>
      <c r="AA19" s="85"/>
      <c r="AB19" s="90"/>
      <c r="AC19" s="90"/>
      <c r="AD19" s="24"/>
      <c r="AE19" s="52" cm="1">
        <f t="array" ref="AE19">VLOOKUP(AD19,T1:Y464,2,FALSE)</f>
        <v>0</v>
      </c>
      <c r="AF19" s="52" cm="1">
        <f t="array" ref="AF19">VLOOKUP(AD19,T1:AA464,5,FALSE)</f>
        <v>0</v>
      </c>
    </row>
    <row r="20" spans="1:32" ht="21.25" customHeight="1" x14ac:dyDescent="0.15">
      <c r="A20" s="24"/>
      <c r="B20" s="99" t="str" cm="1">
        <f t="array" ref="B20">IFERROR(VLOOKUP($A20,'The List'!$B1:$AS671,3,FALSE)," ")</f>
        <v xml:space="preserve"> </v>
      </c>
      <c r="C20" s="101" t="str" cm="1">
        <f t="array" ref="C20">IFERROR(VLOOKUP($A20,'The List'!$B1:$AS671,4,FALSE)," ")</f>
        <v xml:space="preserve"> </v>
      </c>
      <c r="D20" s="18" t="str" cm="1">
        <f t="array" ref="D20">IFERROR(VLOOKUP($A20,'The List'!$B1:$AS671,5,FALSE)," ")</f>
        <v xml:space="preserve"> </v>
      </c>
      <c r="E20" s="18" t="str" cm="1">
        <f t="array" ref="E20">IFERROR(VLOOKUP($A20,'The List'!$B1:$AS671,6,FALSE)," ")</f>
        <v xml:space="preserve"> </v>
      </c>
      <c r="F20" s="92" t="str" cm="1">
        <f t="array" ref="F20">IFERROR(VLOOKUP($A20,'The List'!$B1:$AS671,8,FALSE)," ")</f>
        <v xml:space="preserve"> </v>
      </c>
      <c r="G20" s="92" t="str" cm="1">
        <f t="array" ref="G20">IFERROR(VLOOKUP($A20,'The List'!$B1:$AS671,10,FALSE)," ")</f>
        <v xml:space="preserve"> </v>
      </c>
      <c r="H20" s="55"/>
      <c r="I20" s="84" t="str" cm="1">
        <f t="array" ref="I20">IFERROR(VLOOKUP($A20,'The List'!$B1:$AS671,16,FALSE)," ")</f>
        <v xml:space="preserve"> </v>
      </c>
      <c r="J20" s="84" t="str" cm="1">
        <f t="array" ref="J20">IFERROR(VLOOKUP($A20,'The List'!$B1:$AS671,17,FALSE)," ")</f>
        <v xml:space="preserve"> </v>
      </c>
      <c r="K20" s="84" t="str" cm="1">
        <f t="array" ref="K20">IFERROR(VLOOKUP($A20,'The List'!$B1:$AS671,18,FALSE)," ")</f>
        <v xml:space="preserve"> </v>
      </c>
      <c r="L20" s="84" t="str" cm="1">
        <f t="array" ref="L20">IFERROR(VLOOKUP($A20,'The List'!$B1:$AS671,19,FALSE)," ")</f>
        <v xml:space="preserve"> </v>
      </c>
      <c r="M20" s="84" t="str" cm="1">
        <f t="array" ref="M20">IFERROR(VLOOKUP($A20,'The List'!$B1:$AS671,20,FALSE)," ")</f>
        <v xml:space="preserve"> </v>
      </c>
      <c r="N20" s="84" t="str" cm="1">
        <f t="array" ref="N20">IFERROR(VLOOKUP($A20,'The List'!$B1:$AS671,21,FALSE)," ")</f>
        <v xml:space="preserve"> </v>
      </c>
      <c r="O20" s="84" t="str" cm="1">
        <f t="array" ref="O20">IFERROR(VLOOKUP($A20,'The List'!$B1:$AS671,22,FALSE)," ")</f>
        <v xml:space="preserve"> </v>
      </c>
      <c r="P20" s="84" t="str" cm="1">
        <f t="array" ref="P20">IFERROR(VLOOKUP($A20,'The List'!$B1:$AS671,23,FALSE)," ")</f>
        <v xml:space="preserve"> </v>
      </c>
      <c r="Q20" s="84" t="str" cm="1">
        <f t="array" ref="Q20">IFERROR(VLOOKUP($A20,'The List'!$B1:$AS671,24,FALSE)," ")</f>
        <v xml:space="preserve"> </v>
      </c>
      <c r="R20" s="84" t="str" cm="1">
        <f t="array" ref="R20">IFERROR(VLOOKUP($A20,'The List'!$B1:$AS671,25,FALSE)," ")</f>
        <v xml:space="preserve"> </v>
      </c>
      <c r="S20" s="84" t="str" cm="1">
        <f t="array" ref="S20">IFERROR(VLOOKUP($A20,'The List'!$B1:$AS671,26,FALSE)," ")</f>
        <v xml:space="preserve"> </v>
      </c>
      <c r="T20" s="84" t="str" cm="1">
        <f t="array" ref="T20">IFERROR(VLOOKUP($A20,'The List'!$B1:$AS671,27,FALSE)," ")</f>
        <v xml:space="preserve"> </v>
      </c>
      <c r="U20" s="84" t="str" cm="1">
        <f t="array" ref="U20">IFERROR(VLOOKUP($A20,'The List'!$B1:$AS671,28,FALSE)," ")</f>
        <v xml:space="preserve"> </v>
      </c>
      <c r="V20" s="84" t="str" cm="1">
        <f t="array" ref="V20">IFERROR(VLOOKUP($A20,'The List'!$B1:$AS671,29,FALSE)," ")</f>
        <v xml:space="preserve"> </v>
      </c>
      <c r="W20" s="84" t="str" cm="1">
        <f t="array" ref="W20">IFERROR(VLOOKUP($A20,'The List'!$B1:$AS671,30,FALSE)," ")</f>
        <v xml:space="preserve"> </v>
      </c>
      <c r="X20" s="84" t="str" cm="1">
        <f t="array" ref="X20">IFERROR(VLOOKUP($A20,'The List'!$B1:$AS671,31,FALSE)," ")</f>
        <v xml:space="preserve"> </v>
      </c>
      <c r="Y20" s="84" t="str" cm="1">
        <f t="array" ref="Y20">IFERROR(VLOOKUP($A20,'The List'!$B1:$AS671,32,FALSE)," ")</f>
        <v xml:space="preserve"> </v>
      </c>
      <c r="Z20" s="84" t="str" cm="1">
        <f t="array" ref="Z20">IFERROR(VLOOKUP($A20,'The List'!$B1:$AS671,33,FALSE)," ")</f>
        <v xml:space="preserve"> </v>
      </c>
      <c r="AA20" s="85"/>
      <c r="AB20" s="90"/>
      <c r="AC20" s="90"/>
      <c r="AD20" s="102"/>
      <c r="AE20" s="102"/>
      <c r="AF20" s="102"/>
    </row>
    <row r="21" spans="1:32" ht="21.25" customHeight="1" x14ac:dyDescent="0.15">
      <c r="A21" s="103"/>
      <c r="B21" s="104" t="str" cm="1">
        <f t="array" ref="B21">IFERROR(VLOOKUP($A21,'The List'!$B1:$AS671,3,FALSE)," ")</f>
        <v xml:space="preserve"> </v>
      </c>
      <c r="C21" s="105" t="str" cm="1">
        <f t="array" ref="C21">IFERROR(VLOOKUP($A21,'The List'!$B1:$AS671,4,FALSE)," ")</f>
        <v xml:space="preserve"> </v>
      </c>
      <c r="D21" s="106" t="str" cm="1">
        <f t="array" ref="D21">IFERROR(VLOOKUP($A21,'The List'!$B1:$AS671,5,FALSE)," ")</f>
        <v xml:space="preserve"> </v>
      </c>
      <c r="E21" s="106" t="str" cm="1">
        <f t="array" ref="E21">IFERROR(VLOOKUP($A21,'The List'!$B1:$AS671,6,FALSE)," ")</f>
        <v xml:space="preserve"> </v>
      </c>
      <c r="F21" s="107" t="str" cm="1">
        <f t="array" ref="F21">IFERROR(VLOOKUP($A21,'The List'!$B1:$AS671,8,FALSE)," ")</f>
        <v xml:space="preserve"> </v>
      </c>
      <c r="G21" s="107" t="str" cm="1">
        <f t="array" ref="G21">IFERROR(VLOOKUP($A21,'The List'!$B1:$AS671,10,FALSE)," ")</f>
        <v xml:space="preserve"> </v>
      </c>
      <c r="H21" s="108"/>
      <c r="I21" s="109" t="str" cm="1">
        <f t="array" ref="I21">IFERROR(VLOOKUP($A21,'The List'!$B1:$AS671,16,FALSE)," ")</f>
        <v xml:space="preserve"> </v>
      </c>
      <c r="J21" s="109" t="str" cm="1">
        <f t="array" ref="J21">IFERROR(VLOOKUP($A21,'The List'!$B1:$AS671,17,FALSE)," ")</f>
        <v xml:space="preserve"> </v>
      </c>
      <c r="K21" s="109" t="str" cm="1">
        <f t="array" ref="K21">IFERROR(VLOOKUP($A21,'The List'!$B1:$AS671,18,FALSE)," ")</f>
        <v xml:space="preserve"> </v>
      </c>
      <c r="L21" s="109" t="str" cm="1">
        <f t="array" ref="L21">IFERROR(VLOOKUP($A21,'The List'!$B1:$AS671,19,FALSE)," ")</f>
        <v xml:space="preserve"> </v>
      </c>
      <c r="M21" s="109" t="str" cm="1">
        <f t="array" ref="M21">IFERROR(VLOOKUP($A21,'The List'!$B1:$AS671,20,FALSE)," ")</f>
        <v xml:space="preserve"> </v>
      </c>
      <c r="N21" s="109" t="str" cm="1">
        <f t="array" ref="N21">IFERROR(VLOOKUP($A21,'The List'!$B1:$AS671,21,FALSE)," ")</f>
        <v xml:space="preserve"> </v>
      </c>
      <c r="O21" s="109" t="str" cm="1">
        <f t="array" ref="O21">IFERROR(VLOOKUP($A21,'The List'!$B1:$AS671,22,FALSE)," ")</f>
        <v xml:space="preserve"> </v>
      </c>
      <c r="P21" s="109" t="str" cm="1">
        <f t="array" ref="P21">IFERROR(VLOOKUP($A21,'The List'!$B1:$AS671,23,FALSE)," ")</f>
        <v xml:space="preserve"> </v>
      </c>
      <c r="Q21" s="109" t="str" cm="1">
        <f t="array" ref="Q21">IFERROR(VLOOKUP($A21,'The List'!$B1:$AS671,24,FALSE)," ")</f>
        <v xml:space="preserve"> </v>
      </c>
      <c r="R21" s="109" t="str" cm="1">
        <f t="array" ref="R21">IFERROR(VLOOKUP($A21,'The List'!$B1:$AS671,25,FALSE)," ")</f>
        <v xml:space="preserve"> </v>
      </c>
      <c r="S21" s="109" t="str" cm="1">
        <f t="array" ref="S21">IFERROR(VLOOKUP($A21,'The List'!$B1:$AS671,26,FALSE)," ")</f>
        <v xml:space="preserve"> </v>
      </c>
      <c r="T21" s="109" t="str" cm="1">
        <f t="array" ref="T21">IFERROR(VLOOKUP($A21,'The List'!$B1:$AS671,27,FALSE)," ")</f>
        <v xml:space="preserve"> </v>
      </c>
      <c r="U21" s="109" t="str" cm="1">
        <f t="array" ref="U21">IFERROR(VLOOKUP($A21,'The List'!$B1:$AS671,28,FALSE)," ")</f>
        <v xml:space="preserve"> </v>
      </c>
      <c r="V21" s="109" t="str" cm="1">
        <f t="array" ref="V21">IFERROR(VLOOKUP($A21,'The List'!$B1:$AS671,29,FALSE)," ")</f>
        <v xml:space="preserve"> </v>
      </c>
      <c r="W21" s="109" t="str" cm="1">
        <f t="array" ref="W21">IFERROR(VLOOKUP($A21,'The List'!$B1:$AS671,30,FALSE)," ")</f>
        <v xml:space="preserve"> </v>
      </c>
      <c r="X21" s="109" t="str" cm="1">
        <f t="array" ref="X21">IFERROR(VLOOKUP($A21,'The List'!$B1:$AS671,31,FALSE)," ")</f>
        <v xml:space="preserve"> </v>
      </c>
      <c r="Y21" s="109" t="str" cm="1">
        <f t="array" ref="Y21">IFERROR(VLOOKUP($A21,'The List'!$B1:$AS671,32,FALSE)," ")</f>
        <v xml:space="preserve"> </v>
      </c>
      <c r="Z21" s="109" t="str" cm="1">
        <f t="array" ref="Z21">IFERROR(VLOOKUP($A21,'The List'!$B1:$AS671,33,FALSE)," ")</f>
        <v xml:space="preserve"> </v>
      </c>
      <c r="AA21" s="85"/>
      <c r="AB21" s="90"/>
      <c r="AC21" s="90"/>
      <c r="AD21" s="90"/>
      <c r="AE21" s="90"/>
      <c r="AF21" s="90"/>
    </row>
    <row r="22" spans="1:32" ht="21.25" customHeight="1" x14ac:dyDescent="0.15">
      <c r="A22" s="110"/>
      <c r="B22" s="111"/>
      <c r="C22" s="112"/>
      <c r="D22" s="113"/>
      <c r="E22" s="114" cm="1">
        <f t="array" ref="E22">IFERROR(AVERAGE(E2:E21)," ")</f>
        <v>29</v>
      </c>
      <c r="F22" s="115" cm="1">
        <f t="array" ref="F22">SUM(F2:F21)</f>
        <v>51.085441931804802</v>
      </c>
      <c r="G22" s="115" cm="1">
        <f t="array" ref="G22">SUM(G2:G21)</f>
        <v>30.384112256054024</v>
      </c>
      <c r="H22" s="116"/>
      <c r="I22" s="117" cm="1">
        <f t="array" ref="I22">SUM(I2:I21)</f>
        <v>329</v>
      </c>
      <c r="J22" s="116" cm="1">
        <f t="array" ref="J22">AVERAGE(J2:J21)</f>
        <v>21.95</v>
      </c>
      <c r="K22" s="117" cm="1">
        <f t="array" ref="K22">SUM(K2:K21)</f>
        <v>143.99</v>
      </c>
      <c r="L22" s="117" cm="1">
        <f t="array" ref="L22">SUM(L2:L21)</f>
        <v>293.72000000000003</v>
      </c>
      <c r="M22" s="117" cm="1">
        <f t="array" ref="M22">SUM(M2:M21)</f>
        <v>437.71000000000004</v>
      </c>
      <c r="N22" s="117" cm="1">
        <f t="array" ref="N22">SUM(N2:N21)</f>
        <v>1047.1199999999999</v>
      </c>
      <c r="O22" s="117" cm="1">
        <f t="array" ref="O22">SUM(O2:O21)</f>
        <v>41.17</v>
      </c>
      <c r="P22" s="117" cm="1">
        <f t="array" ref="P22">SUM(P2:P21)</f>
        <v>162.58000000000001</v>
      </c>
      <c r="Q22" s="117" cm="1">
        <f t="array" ref="Q22">SUM(Q2:Q21)</f>
        <v>0.82000000000000006</v>
      </c>
      <c r="R22" s="117" cm="1">
        <f t="array" ref="R22">SUM(R2:R21)</f>
        <v>1.6400000000000001</v>
      </c>
      <c r="S22" s="117" cm="1">
        <f t="array" ref="S22">SUM(S2:S21)</f>
        <v>235.1</v>
      </c>
      <c r="T22" s="117" cm="1">
        <f t="array" ref="T22">SUM(T2:T21)</f>
        <v>192.63</v>
      </c>
      <c r="U22" s="117" cm="1">
        <f t="array" ref="U22">SUM(U2:U21)</f>
        <v>42.730000000000004</v>
      </c>
      <c r="V22" s="117" cm="1">
        <f t="array" ref="V22">SUM(V2:V21)</f>
        <v>127.32999999999998</v>
      </c>
      <c r="W22" s="117" cm="1">
        <f t="array" ref="W22">SUM(W2:W21)</f>
        <v>24.68</v>
      </c>
      <c r="X22" s="117" cm="1">
        <f t="array" ref="X22">SUM(X2:X21)</f>
        <v>439.90000000000003</v>
      </c>
      <c r="Y22" s="117" cm="1">
        <f t="array" ref="Y22">SUM(Y2:Y21)</f>
        <v>456.19999999999993</v>
      </c>
      <c r="Z22" s="118" cm="1">
        <f t="array" ref="Z22">IFERROR(X22/(X22+Y22),0)</f>
        <v>0.49090503292043308</v>
      </c>
      <c r="AA22" s="85"/>
      <c r="AB22" s="119"/>
      <c r="AC22" s="119"/>
      <c r="AD22" s="119"/>
      <c r="AE22" s="119"/>
      <c r="AF22" s="119"/>
    </row>
    <row r="23" spans="1:32" ht="21.25" customHeight="1" x14ac:dyDescent="0.15">
      <c r="A23" s="37"/>
      <c r="B23" s="120"/>
      <c r="C23" s="121"/>
      <c r="D23" s="13"/>
      <c r="E23" s="13"/>
      <c r="F23" s="122"/>
      <c r="G23" s="123"/>
      <c r="H23" s="124"/>
      <c r="I23" s="12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90"/>
      <c r="AC23" s="90"/>
      <c r="AD23" s="90"/>
      <c r="AE23" s="90"/>
      <c r="AF23" s="90"/>
    </row>
    <row r="24" spans="1:32" ht="21.25" customHeight="1" x14ac:dyDescent="0.15">
      <c r="A24" s="40" t="s">
        <v>90</v>
      </c>
      <c r="B24" s="204" t="s">
        <v>92</v>
      </c>
      <c r="C24" s="194"/>
      <c r="D24" s="126" t="s">
        <v>93</v>
      </c>
      <c r="E24" s="126" t="s">
        <v>94</v>
      </c>
      <c r="F24" s="127" t="s">
        <v>96</v>
      </c>
      <c r="G24" s="127" t="s">
        <v>98</v>
      </c>
      <c r="H24" s="128"/>
      <c r="I24" s="129" t="s">
        <v>103</v>
      </c>
      <c r="J24" s="129" t="s">
        <v>118</v>
      </c>
      <c r="K24" s="129" t="s">
        <v>119</v>
      </c>
      <c r="L24" s="129" t="s">
        <v>120</v>
      </c>
      <c r="M24" s="129" t="s">
        <v>121</v>
      </c>
      <c r="N24" s="129" t="s">
        <v>122</v>
      </c>
      <c r="O24" s="129" t="s">
        <v>123</v>
      </c>
      <c r="P24" s="129" t="s">
        <v>124</v>
      </c>
      <c r="Q24" s="129" t="s">
        <v>125</v>
      </c>
      <c r="R24" s="85"/>
      <c r="S24" s="85"/>
      <c r="T24" s="85"/>
      <c r="U24" s="204" t="s">
        <v>814</v>
      </c>
      <c r="V24" s="205"/>
      <c r="W24" s="205"/>
      <c r="X24" s="204" t="s">
        <v>815</v>
      </c>
      <c r="Y24" s="205"/>
      <c r="Z24" s="205"/>
      <c r="AA24" s="85"/>
      <c r="AB24" s="85"/>
      <c r="AC24" s="85"/>
      <c r="AD24" s="85"/>
      <c r="AE24" s="85"/>
      <c r="AF24" s="85"/>
    </row>
    <row r="25" spans="1:32" ht="21.25" customHeight="1" x14ac:dyDescent="0.15">
      <c r="A25" s="130" t="s">
        <v>149</v>
      </c>
      <c r="B25" s="131" t="str" cm="1">
        <f t="array" ref="B25">IFERROR(VLOOKUP($A25,'The List'!$B1:$AS671,3,FALSE)," ")</f>
        <v>G</v>
      </c>
      <c r="C25" s="132" cm="1">
        <f t="array" ref="C25">IFERROR(VLOOKUP($A25,'The List'!$B1:$AS671,4,FALSE)," ")</f>
        <v>2</v>
      </c>
      <c r="D25" s="133" t="str" cm="1">
        <f t="array" ref="D25">IFERROR(VLOOKUP($A25,'The List'!$B1:$AS671,5,FALSE)," ")</f>
        <v>WPG</v>
      </c>
      <c r="E25" s="134" cm="1">
        <f t="array" ref="E25">IFERROR(VLOOKUP($A25,'The List'!$B1:$AS671,6,FALSE)," ")</f>
        <v>33</v>
      </c>
      <c r="F25" s="135" cm="1">
        <f t="array" ref="F25">IFERROR(VLOOKUP($A25,'The List'!$B1:$AS671,8,FALSE)," ")</f>
        <v>6.6333593514752183</v>
      </c>
      <c r="G25" s="135" cm="1">
        <f t="array" ref="G25">IFERROR(VLOOKUP($A25,'The List'!$B1:$AS671,10,FALSE)," ")</f>
        <v>4.5951740923515434</v>
      </c>
      <c r="H25" s="82"/>
      <c r="I25" s="136" cm="1">
        <f t="array" ref="I25">IFERROR(VLOOKUP($A25,'The List'!$B1:$AS671,35,FALSE)," ")</f>
        <v>55</v>
      </c>
      <c r="J25" s="136" cm="1">
        <f t="array" ref="J25">IFERROR(VLOOKUP($A25,'The List'!$B1:$AS671,36,FALSE)," ")</f>
        <v>29.150000000000002</v>
      </c>
      <c r="K25" s="136" cm="1">
        <f t="array" ref="K25">IFERROR(VLOOKUP($A25,'The List'!$B1:$AS671,37,FALSE)," ")</f>
        <v>19.25</v>
      </c>
      <c r="L25" s="136" cm="1">
        <f t="array" ref="L25">IFERROR(VLOOKUP($A25,'The List'!$B1:$AS671,38,FALSE)," ")</f>
        <v>6.6</v>
      </c>
      <c r="M25" s="136" cm="1">
        <f t="array" ref="M25">IFERROR(VLOOKUP($A25,'The List'!$B1:$AS671,39,FALSE)," ")</f>
        <v>3.8500000000000005</v>
      </c>
      <c r="N25" s="136" cm="1">
        <f t="array" ref="N25">IFERROR(VLOOKUP($A25,'The List'!$B1:$AS671,40,FALSE)," ")</f>
        <v>1446.5</v>
      </c>
      <c r="O25" s="136" cm="1">
        <f t="array" ref="O25">IFERROR(VLOOKUP($A25,'The List'!$B1:$AS671,41,FALSE)," ")</f>
        <v>143.54999999999998</v>
      </c>
      <c r="P25" s="137" cm="1">
        <f t="array" ref="P25">IFERROR(VLOOKUP($A25,'The List'!$B1:$AS671,42,FALSE)," ")</f>
        <v>0.90971982013144237</v>
      </c>
      <c r="Q25" s="138" cm="1">
        <f t="array" ref="Q25">IFERROR(VLOOKUP($A25,'The List'!$B1:$AS671,43,FALSE)," ")</f>
        <v>2.61</v>
      </c>
      <c r="R25" s="85"/>
      <c r="S25" s="85"/>
      <c r="T25" s="139" t="str" cm="1">
        <f t="array" ref="T25">A$1</f>
        <v>TEAM 1</v>
      </c>
      <c r="U25" s="206" cm="1">
        <f t="array" ref="U25">F22+F28</f>
        <v>57.718801283280023</v>
      </c>
      <c r="V25" s="194"/>
      <c r="W25" s="194"/>
      <c r="X25" s="206" cm="1">
        <f t="array" ref="X25">G28+G22</f>
        <v>34.979286348405566</v>
      </c>
      <c r="Y25" s="194"/>
      <c r="Z25" s="194"/>
      <c r="AA25" s="85"/>
      <c r="AB25" s="85"/>
      <c r="AC25" s="85"/>
      <c r="AD25" s="85"/>
      <c r="AE25" s="85"/>
      <c r="AF25" s="85"/>
    </row>
    <row r="26" spans="1:32" ht="21.25" customHeight="1" x14ac:dyDescent="0.15">
      <c r="A26" s="24"/>
      <c r="B26" s="140" t="str" cm="1">
        <f t="array" ref="B26">IFERROR(VLOOKUP($A26,'The List'!$B1:$AS671,3,FALSE)," ")</f>
        <v xml:space="preserve"> </v>
      </c>
      <c r="C26" s="141" t="str" cm="1">
        <f t="array" ref="C26">IFERROR(VLOOKUP($A26,'The List'!$B1:$AS671,4,FALSE)," ")</f>
        <v xml:space="preserve"> </v>
      </c>
      <c r="D26" s="18" t="str" cm="1">
        <f t="array" ref="D26">IFERROR(VLOOKUP($A26,'The List'!$B1:$AS671,5,FALSE)," ")</f>
        <v xml:space="preserve"> </v>
      </c>
      <c r="E26" s="18" t="str" cm="1">
        <f t="array" ref="E26">IFERROR(VLOOKUP($A26,'The List'!$B1:$AS671,6,FALSE)," ")</f>
        <v xml:space="preserve"> </v>
      </c>
      <c r="F26" s="92" t="str" cm="1">
        <f t="array" ref="F26">IFERROR(VLOOKUP($A26,'The List'!$B1:$AS671,8,FALSE)," ")</f>
        <v xml:space="preserve"> </v>
      </c>
      <c r="G26" s="92" t="str" cm="1">
        <f t="array" ref="G26">IFERROR(VLOOKUP($A26,'The List'!$B1:$AS671,10,FALSE)," ")</f>
        <v xml:space="preserve"> </v>
      </c>
      <c r="H26" s="55"/>
      <c r="I26" s="84" t="str" cm="1">
        <f t="array" ref="I26">IFERROR(VLOOKUP($A26,'The List'!$B1:$AS671,35,FALSE)," ")</f>
        <v xml:space="preserve"> </v>
      </c>
      <c r="J26" s="84" t="str" cm="1">
        <f t="array" ref="J26">IFERROR(VLOOKUP($A26,'The List'!$B1:$AS671,36,FALSE)," ")</f>
        <v xml:space="preserve"> </v>
      </c>
      <c r="K26" s="84" t="str" cm="1">
        <f t="array" ref="K26">IFERROR(VLOOKUP($A26,'The List'!$B1:$AS671,37,FALSE)," ")</f>
        <v xml:space="preserve"> </v>
      </c>
      <c r="L26" s="84" t="str" cm="1">
        <f t="array" ref="L26">IFERROR(VLOOKUP($A26,'The List'!$B1:$AS671,38,FALSE)," ")</f>
        <v xml:space="preserve"> </v>
      </c>
      <c r="M26" s="84" t="str" cm="1">
        <f t="array" ref="M26">IFERROR(VLOOKUP($A26,'The List'!$B1:$AS671,39,FALSE)," ")</f>
        <v xml:space="preserve"> </v>
      </c>
      <c r="N26" s="84" t="str" cm="1">
        <f t="array" ref="N26">IFERROR(VLOOKUP($A26,'The List'!$B1:$AS671,40,FALSE)," ")</f>
        <v xml:space="preserve"> </v>
      </c>
      <c r="O26" s="84" t="str" cm="1">
        <f t="array" ref="O26">IFERROR(VLOOKUP($A26,'The List'!$B1:$AS671,41,FALSE)," ")</f>
        <v xml:space="preserve"> </v>
      </c>
      <c r="P26" s="84" t="str" cm="1">
        <f t="array" ref="P26">IFERROR(VLOOKUP($A26,'The List'!$B1:$AS671,42,FALSE)," ")</f>
        <v xml:space="preserve"> </v>
      </c>
      <c r="Q26" s="84" t="str" cm="1">
        <f t="array" ref="Q26">IFERROR(VLOOKUP($A26,'The List'!$B1:$AS671,43,FALSE)," ")</f>
        <v xml:space="preserve"> </v>
      </c>
      <c r="R26" s="85"/>
      <c r="S26" s="85"/>
      <c r="T26" s="85"/>
      <c r="U26" s="194"/>
      <c r="V26" s="194"/>
      <c r="W26" s="194"/>
      <c r="X26" s="194"/>
      <c r="Y26" s="194"/>
      <c r="Z26" s="194"/>
      <c r="AA26" s="85"/>
      <c r="AB26" s="85"/>
      <c r="AC26" s="85"/>
      <c r="AD26" s="85"/>
      <c r="AE26" s="85"/>
      <c r="AF26" s="85"/>
    </row>
    <row r="27" spans="1:32" ht="21.25" customHeight="1" x14ac:dyDescent="0.15">
      <c r="A27" s="103"/>
      <c r="B27" s="142" t="str" cm="1">
        <f t="array" ref="B27">IFERROR(VLOOKUP($A27,'The List'!$B1:$AS671,3,FALSE)," ")</f>
        <v xml:space="preserve"> </v>
      </c>
      <c r="C27" s="143" t="str" cm="1">
        <f t="array" ref="C27">IFERROR(VLOOKUP($A27,'The List'!$B1:$AS671,4,FALSE)," ")</f>
        <v xml:space="preserve"> </v>
      </c>
      <c r="D27" s="106" t="str" cm="1">
        <f t="array" ref="D27">IFERROR(VLOOKUP($A27,'The List'!$B1:$AS671,5,FALSE)," ")</f>
        <v xml:space="preserve"> </v>
      </c>
      <c r="E27" s="106" t="str" cm="1">
        <f t="array" ref="E27">IFERROR(VLOOKUP($A27,'The List'!$B1:$AS671,6,FALSE)," ")</f>
        <v xml:space="preserve"> </v>
      </c>
      <c r="F27" s="107" t="str" cm="1">
        <f t="array" ref="F27">IFERROR(VLOOKUP($A27,'The List'!$B1:$AS671,8,FALSE)," ")</f>
        <v xml:space="preserve"> </v>
      </c>
      <c r="G27" s="107" t="str" cm="1">
        <f t="array" ref="G27">IFERROR(VLOOKUP($A27,'The List'!$B1:$AS671,10,FALSE)," ")</f>
        <v xml:space="preserve"> </v>
      </c>
      <c r="H27" s="108"/>
      <c r="I27" s="109" t="str" cm="1">
        <f t="array" ref="I27">IFERROR(VLOOKUP($A27,'The List'!$B1:$AS671,35,FALSE)," ")</f>
        <v xml:space="preserve"> </v>
      </c>
      <c r="J27" s="109" t="str" cm="1">
        <f t="array" ref="J27">IFERROR(VLOOKUP($A27,'The List'!$B1:$AS671,36,FALSE)," ")</f>
        <v xml:space="preserve"> </v>
      </c>
      <c r="K27" s="109" t="str" cm="1">
        <f t="array" ref="K27">IFERROR(VLOOKUP($A27,'The List'!$B1:$AS671,37,FALSE)," ")</f>
        <v xml:space="preserve"> </v>
      </c>
      <c r="L27" s="109" t="str" cm="1">
        <f t="array" ref="L27">IFERROR(VLOOKUP($A27,'The List'!$B1:$AS671,38,FALSE)," ")</f>
        <v xml:space="preserve"> </v>
      </c>
      <c r="M27" s="109" t="str" cm="1">
        <f t="array" ref="M27">IFERROR(VLOOKUP($A27,'The List'!$B1:$AS671,39,FALSE)," ")</f>
        <v xml:space="preserve"> </v>
      </c>
      <c r="N27" s="109" t="str" cm="1">
        <f t="array" ref="N27">IFERROR(VLOOKUP($A27,'The List'!$B1:$AS671,40,FALSE)," ")</f>
        <v xml:space="preserve"> </v>
      </c>
      <c r="O27" s="109" t="str" cm="1">
        <f t="array" ref="O27">IFERROR(VLOOKUP($A27,'The List'!$B1:$AS671,41,FALSE)," ")</f>
        <v xml:space="preserve"> </v>
      </c>
      <c r="P27" s="109" t="str" cm="1">
        <f t="array" ref="P27">IFERROR(VLOOKUP($A27,'The List'!$B1:$AS671,42,FALSE)," ")</f>
        <v xml:space="preserve"> </v>
      </c>
      <c r="Q27" s="109" t="str" cm="1">
        <f t="array" ref="Q27">IFERROR(VLOOKUP($A27,'The List'!$B1:$AS671,43,FALSE)," ")</f>
        <v xml:space="preserve"> </v>
      </c>
      <c r="R27" s="85"/>
      <c r="S27" s="85"/>
      <c r="T27" s="85"/>
      <c r="U27" s="194"/>
      <c r="V27" s="194"/>
      <c r="W27" s="194"/>
      <c r="X27" s="194"/>
      <c r="Y27" s="194"/>
      <c r="Z27" s="194"/>
      <c r="AA27" s="85"/>
      <c r="AB27" s="85"/>
      <c r="AC27" s="85"/>
      <c r="AD27" s="85"/>
      <c r="AE27" s="85"/>
      <c r="AF27" s="85"/>
    </row>
    <row r="28" spans="1:32" ht="21.25" customHeight="1" x14ac:dyDescent="0.15">
      <c r="A28" s="110"/>
      <c r="B28" s="111"/>
      <c r="C28" s="112"/>
      <c r="D28" s="113"/>
      <c r="E28" s="114" cm="1">
        <f t="array" ref="E28">IFERROR(AVERAGE(E25:E27)," ")</f>
        <v>33</v>
      </c>
      <c r="F28" s="115" cm="1">
        <f t="array" ref="F28">SUM(F25:F27)</f>
        <v>6.6333593514752183</v>
      </c>
      <c r="G28" s="115" cm="1">
        <f t="array" ref="G28">SUM(G25:G27)</f>
        <v>4.5951740923515434</v>
      </c>
      <c r="H28" s="116"/>
      <c r="I28" s="117" cm="1">
        <f t="array" ref="I28">SUM(I25:I27)</f>
        <v>55</v>
      </c>
      <c r="J28" s="116" cm="1">
        <f t="array" ref="J28">SUM(J25:J27)</f>
        <v>29.150000000000002</v>
      </c>
      <c r="K28" s="117" cm="1">
        <f t="array" ref="K28">SUM(K25:K27)</f>
        <v>19.25</v>
      </c>
      <c r="L28" s="117" cm="1">
        <f t="array" ref="L28">SUM(L25:L27)</f>
        <v>6.6</v>
      </c>
      <c r="M28" s="117" cm="1">
        <f t="array" ref="M28">SUM(M25:M27)</f>
        <v>3.8500000000000005</v>
      </c>
      <c r="N28" s="117" cm="1">
        <f t="array" ref="N28">SUM(N25:N27)</f>
        <v>1446.5</v>
      </c>
      <c r="O28" s="117" cm="1">
        <f t="array" ref="O28">SUM(O25:O27)</f>
        <v>143.54999999999998</v>
      </c>
      <c r="P28" s="144" cm="1">
        <f t="array" ref="P28">1-(O28/(N28+O28))</f>
        <v>0.90971982013144237</v>
      </c>
      <c r="Q28" s="145" cm="1">
        <f t="array" ref="Q28">O28/I28</f>
        <v>2.61</v>
      </c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</row>
    <row r="29" spans="1:32" ht="70.75" customHeight="1" x14ac:dyDescent="0.15">
      <c r="A29" s="37"/>
      <c r="B29" s="120"/>
      <c r="C29" s="121"/>
      <c r="D29" s="13"/>
      <c r="E29" s="13"/>
      <c r="F29" s="122"/>
      <c r="G29" s="123"/>
      <c r="H29" s="124"/>
      <c r="I29" s="12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90"/>
      <c r="AB29" s="90"/>
      <c r="AC29" s="90"/>
      <c r="AD29" s="90"/>
      <c r="AE29" s="90"/>
      <c r="AF29" s="90"/>
    </row>
    <row r="30" spans="1:32" ht="21.25" customHeight="1" x14ac:dyDescent="0.15">
      <c r="A30" s="41" t="s">
        <v>799</v>
      </c>
      <c r="B30" s="203" t="s">
        <v>92</v>
      </c>
      <c r="C30" s="200"/>
      <c r="D30" s="42" t="s">
        <v>93</v>
      </c>
      <c r="E30" s="42" t="s">
        <v>94</v>
      </c>
      <c r="F30" s="43" t="s">
        <v>96</v>
      </c>
      <c r="G30" s="43" t="s">
        <v>98</v>
      </c>
      <c r="H30" s="44"/>
      <c r="I30" s="46" t="s">
        <v>103</v>
      </c>
      <c r="J30" s="46" t="s">
        <v>56</v>
      </c>
      <c r="K30" s="46" t="s">
        <v>104</v>
      </c>
      <c r="L30" s="46" t="s">
        <v>105</v>
      </c>
      <c r="M30" s="46" t="s">
        <v>106</v>
      </c>
      <c r="N30" s="46" t="s">
        <v>107</v>
      </c>
      <c r="O30" s="46" t="s">
        <v>64</v>
      </c>
      <c r="P30" s="46" t="s">
        <v>67</v>
      </c>
      <c r="Q30" s="46" t="s">
        <v>108</v>
      </c>
      <c r="R30" s="46" t="s">
        <v>109</v>
      </c>
      <c r="S30" s="46" t="s">
        <v>110</v>
      </c>
      <c r="T30" s="46" t="s">
        <v>111</v>
      </c>
      <c r="U30" s="46" t="s">
        <v>112</v>
      </c>
      <c r="V30" s="46" t="s">
        <v>113</v>
      </c>
      <c r="W30" s="46" t="s">
        <v>114</v>
      </c>
      <c r="X30" s="46" t="s">
        <v>115</v>
      </c>
      <c r="Y30" s="46" t="s">
        <v>116</v>
      </c>
      <c r="Z30" s="46" t="s">
        <v>117</v>
      </c>
      <c r="AA30" s="85"/>
      <c r="AB30" s="90"/>
      <c r="AC30" s="86"/>
      <c r="AD30" s="86"/>
      <c r="AE30" s="86"/>
      <c r="AF30" s="86"/>
    </row>
    <row r="31" spans="1:32" ht="21.25" customHeight="1" x14ac:dyDescent="0.15">
      <c r="A31" s="24"/>
      <c r="B31" s="87" t="str" cm="1">
        <f t="array" ref="B31">IFERROR(VLOOKUP($A31,'The List'!$B1:$AS671,3,FALSE)," ")</f>
        <v xml:space="preserve"> </v>
      </c>
      <c r="C31" s="91" t="str" cm="1">
        <f t="array" ref="C31">IFERROR(VLOOKUP($A31,'The List'!$B1:$AS671,4,FALSE)," ")</f>
        <v xml:space="preserve"> </v>
      </c>
      <c r="D31" s="18" t="str" cm="1">
        <f t="array" ref="D31">IFERROR(VLOOKUP($A31,'The List'!$B1:$AS671,5,FALSE)," ")</f>
        <v xml:space="preserve"> </v>
      </c>
      <c r="E31" s="18" t="str" cm="1">
        <f t="array" ref="E31">IFERROR(VLOOKUP($A31,'The List'!$B1:$AS671,6,FALSE)," ")</f>
        <v xml:space="preserve"> </v>
      </c>
      <c r="F31" s="92" t="str" cm="1">
        <f t="array" ref="F31">IFERROR(VLOOKUP($A31,'The List'!$B1:$AS671,8,FALSE)," ")</f>
        <v xml:space="preserve"> </v>
      </c>
      <c r="G31" s="92" t="str" cm="1">
        <f t="array" ref="G31">IFERROR(VLOOKUP($A31,'The List'!$B1:$AS671,10,FALSE)," ")</f>
        <v xml:space="preserve"> </v>
      </c>
      <c r="H31" s="55"/>
      <c r="I31" s="84" t="str" cm="1">
        <f t="array" ref="I31">IFERROR(VLOOKUP($A31,'The List'!$B1:$AS671,16,FALSE)," ")</f>
        <v xml:space="preserve"> </v>
      </c>
      <c r="J31" s="84" t="str" cm="1">
        <f t="array" ref="J31">IFERROR(VLOOKUP($A31,'The List'!$B1:$AS671,17,FALSE)," ")</f>
        <v xml:space="preserve"> </v>
      </c>
      <c r="K31" s="84" t="str" cm="1">
        <f t="array" ref="K31">IFERROR(VLOOKUP($A31,'The List'!$B1:$AS671,18,FALSE)," ")</f>
        <v xml:space="preserve"> </v>
      </c>
      <c r="L31" s="84" t="str" cm="1">
        <f t="array" ref="L31">IFERROR(VLOOKUP($A31,'The List'!$B1:$AS671,19,FALSE)," ")</f>
        <v xml:space="preserve"> </v>
      </c>
      <c r="M31" s="84" t="str" cm="1">
        <f t="array" ref="M31">IFERROR(VLOOKUP($A31,'The List'!$B1:$AS671,20,FALSE)," ")</f>
        <v xml:space="preserve"> </v>
      </c>
      <c r="N31" s="84" t="str" cm="1">
        <f t="array" ref="N31">IFERROR(VLOOKUP($A31,'The List'!$B1:$AS671,21,FALSE)," ")</f>
        <v xml:space="preserve"> </v>
      </c>
      <c r="O31" s="84" t="str" cm="1">
        <f t="array" ref="O31">IFERROR(VLOOKUP($A31,'The List'!$B1:$AS671,22,FALSE)," ")</f>
        <v xml:space="preserve"> </v>
      </c>
      <c r="P31" s="84" t="str" cm="1">
        <f t="array" ref="P31">IFERROR(VLOOKUP($A31,'The List'!$B1:$AS671,23,FALSE)," ")</f>
        <v xml:space="preserve"> </v>
      </c>
      <c r="Q31" s="84" t="str" cm="1">
        <f t="array" ref="Q31">IFERROR(VLOOKUP($A31,'The List'!$B1:$AS671,24,FALSE)," ")</f>
        <v xml:space="preserve"> </v>
      </c>
      <c r="R31" s="84" t="str" cm="1">
        <f t="array" ref="R31">IFERROR(VLOOKUP($A31,'The List'!$B1:$AS671,25,FALSE)," ")</f>
        <v xml:space="preserve"> </v>
      </c>
      <c r="S31" s="84" t="str" cm="1">
        <f t="array" ref="S31">IFERROR(VLOOKUP($A31,'The List'!$B1:$AS671,26,FALSE)," ")</f>
        <v xml:space="preserve"> </v>
      </c>
      <c r="T31" s="84" t="str" cm="1">
        <f t="array" ref="T31">IFERROR(VLOOKUP($A31,'The List'!$B1:$AS671,27,FALSE)," ")</f>
        <v xml:space="preserve"> </v>
      </c>
      <c r="U31" s="84" t="str" cm="1">
        <f t="array" ref="U31">IFERROR(VLOOKUP($A31,'The List'!$B1:$AS671,28,FALSE)," ")</f>
        <v xml:space="preserve"> </v>
      </c>
      <c r="V31" s="84" t="str" cm="1">
        <f t="array" ref="V31">IFERROR(VLOOKUP($A31,'The List'!$B1:$AS671,29,FALSE)," ")</f>
        <v xml:space="preserve"> </v>
      </c>
      <c r="W31" s="84" t="str" cm="1">
        <f t="array" ref="W31">IFERROR(VLOOKUP($A31,'The List'!$B1:$AS671,30,FALSE)," ")</f>
        <v xml:space="preserve"> </v>
      </c>
      <c r="X31" s="84" t="str" cm="1">
        <f t="array" ref="X31">IFERROR(VLOOKUP($A31,'The List'!$B1:$AS671,31,FALSE)," ")</f>
        <v xml:space="preserve"> </v>
      </c>
      <c r="Y31" s="84" t="str" cm="1">
        <f t="array" ref="Y31">IFERROR(VLOOKUP($A31,'The List'!$B1:$AS671,32,FALSE)," ")</f>
        <v xml:space="preserve"> </v>
      </c>
      <c r="Z31" s="84" t="str" cm="1">
        <f t="array" ref="Z31">IFERROR(VLOOKUP($A31,'The List'!$B1:$AS671,33,FALSE)," ")</f>
        <v xml:space="preserve"> </v>
      </c>
      <c r="AA31" s="85"/>
      <c r="AB31" s="90"/>
      <c r="AC31" s="90"/>
      <c r="AD31" s="90"/>
      <c r="AE31" s="90"/>
      <c r="AF31" s="90"/>
    </row>
    <row r="32" spans="1:32" ht="21.25" customHeight="1" x14ac:dyDescent="0.15">
      <c r="A32" s="24"/>
      <c r="B32" s="87" t="str" cm="1">
        <f t="array" ref="B32">IFERROR(VLOOKUP($A32,'The List'!$B1:$AS671,3,FALSE)," ")</f>
        <v xml:space="preserve"> </v>
      </c>
      <c r="C32" s="91" t="str" cm="1">
        <f t="array" ref="C32">IFERROR(VLOOKUP($A32,'The List'!$B1:$AS671,4,FALSE)," ")</f>
        <v xml:space="preserve"> </v>
      </c>
      <c r="D32" s="18" t="str" cm="1">
        <f t="array" ref="D32">IFERROR(VLOOKUP($A32,'The List'!$B1:$AS671,5,FALSE)," ")</f>
        <v xml:space="preserve"> </v>
      </c>
      <c r="E32" s="18" t="str" cm="1">
        <f t="array" ref="E32">IFERROR(VLOOKUP($A32,'The List'!$B1:$AS671,6,FALSE)," ")</f>
        <v xml:space="preserve"> </v>
      </c>
      <c r="F32" s="92" t="str" cm="1">
        <f t="array" ref="F32">IFERROR(VLOOKUP($A32,'The List'!$B1:$AS671,8,FALSE)," ")</f>
        <v xml:space="preserve"> </v>
      </c>
      <c r="G32" s="92" t="str" cm="1">
        <f t="array" ref="G32">IFERROR(VLOOKUP($A32,'The List'!$B1:$AS671,10,FALSE)," ")</f>
        <v xml:space="preserve"> </v>
      </c>
      <c r="H32" s="55"/>
      <c r="I32" s="84" t="str" cm="1">
        <f t="array" ref="I32">IFERROR(VLOOKUP($A32,'The List'!$B1:$AS671,16,FALSE)," ")</f>
        <v xml:space="preserve"> </v>
      </c>
      <c r="J32" s="84" t="str" cm="1">
        <f t="array" ref="J32">IFERROR(VLOOKUP($A32,'The List'!$B1:$AS671,17,FALSE)," ")</f>
        <v xml:space="preserve"> </v>
      </c>
      <c r="K32" s="84" t="str" cm="1">
        <f t="array" ref="K32">IFERROR(VLOOKUP($A32,'The List'!$B1:$AS671,18,FALSE)," ")</f>
        <v xml:space="preserve"> </v>
      </c>
      <c r="L32" s="84" t="str" cm="1">
        <f t="array" ref="L32">IFERROR(VLOOKUP($A32,'The List'!$B1:$AS671,19,FALSE)," ")</f>
        <v xml:space="preserve"> </v>
      </c>
      <c r="M32" s="84" t="str" cm="1">
        <f t="array" ref="M32">IFERROR(VLOOKUP($A32,'The List'!$B1:$AS671,20,FALSE)," ")</f>
        <v xml:space="preserve"> </v>
      </c>
      <c r="N32" s="84" t="str" cm="1">
        <f t="array" ref="N32">IFERROR(VLOOKUP($A32,'The List'!$B1:$AS671,21,FALSE)," ")</f>
        <v xml:space="preserve"> </v>
      </c>
      <c r="O32" s="84" t="str" cm="1">
        <f t="array" ref="O32">IFERROR(VLOOKUP($A32,'The List'!$B1:$AS671,22,FALSE)," ")</f>
        <v xml:space="preserve"> </v>
      </c>
      <c r="P32" s="84" t="str" cm="1">
        <f t="array" ref="P32">IFERROR(VLOOKUP($A32,'The List'!$B1:$AS671,23,FALSE)," ")</f>
        <v xml:space="preserve"> </v>
      </c>
      <c r="Q32" s="84" t="str" cm="1">
        <f t="array" ref="Q32">IFERROR(VLOOKUP($A32,'The List'!$B1:$AS671,24,FALSE)," ")</f>
        <v xml:space="preserve"> </v>
      </c>
      <c r="R32" s="84" t="str" cm="1">
        <f t="array" ref="R32">IFERROR(VLOOKUP($A32,'The List'!$B1:$AS671,25,FALSE)," ")</f>
        <v xml:space="preserve"> </v>
      </c>
      <c r="S32" s="84" t="str" cm="1">
        <f t="array" ref="S32">IFERROR(VLOOKUP($A32,'The List'!$B1:$AS671,26,FALSE)," ")</f>
        <v xml:space="preserve"> </v>
      </c>
      <c r="T32" s="84" t="str" cm="1">
        <f t="array" ref="T32">IFERROR(VLOOKUP($A32,'The List'!$B1:$AS671,27,FALSE)," ")</f>
        <v xml:space="preserve"> </v>
      </c>
      <c r="U32" s="84" t="str" cm="1">
        <f t="array" ref="U32">IFERROR(VLOOKUP($A32,'The List'!$B1:$AS671,28,FALSE)," ")</f>
        <v xml:space="preserve"> </v>
      </c>
      <c r="V32" s="84" t="str" cm="1">
        <f t="array" ref="V32">IFERROR(VLOOKUP($A32,'The List'!$B1:$AS671,29,FALSE)," ")</f>
        <v xml:space="preserve"> </v>
      </c>
      <c r="W32" s="84" t="str" cm="1">
        <f t="array" ref="W32">IFERROR(VLOOKUP($A32,'The List'!$B1:$AS671,30,FALSE)," ")</f>
        <v xml:space="preserve"> </v>
      </c>
      <c r="X32" s="84" t="str" cm="1">
        <f t="array" ref="X32">IFERROR(VLOOKUP($A32,'The List'!$B1:$AS671,31,FALSE)," ")</f>
        <v xml:space="preserve"> </v>
      </c>
      <c r="Y32" s="84" t="str" cm="1">
        <f t="array" ref="Y32">IFERROR(VLOOKUP($A32,'The List'!$B1:$AS671,32,FALSE)," ")</f>
        <v xml:space="preserve"> </v>
      </c>
      <c r="Z32" s="84" t="str" cm="1">
        <f t="array" ref="Z32">IFERROR(VLOOKUP($A32,'The List'!$B1:$AS671,33,FALSE)," ")</f>
        <v xml:space="preserve"> </v>
      </c>
      <c r="AA32" s="85"/>
      <c r="AB32" s="90"/>
      <c r="AC32" s="90"/>
      <c r="AD32" s="90"/>
      <c r="AE32" s="90"/>
      <c r="AF32" s="90"/>
    </row>
    <row r="33" spans="1:32" ht="21.25" customHeight="1" x14ac:dyDescent="0.15">
      <c r="A33" s="24"/>
      <c r="B33" s="87" t="str" cm="1">
        <f t="array" ref="B33">IFERROR(VLOOKUP($A33,'The List'!$B1:$AS671,3,FALSE)," ")</f>
        <v xml:space="preserve"> </v>
      </c>
      <c r="C33" s="91" t="str" cm="1">
        <f t="array" ref="C33">IFERROR(VLOOKUP($A33,'The List'!$B1:$AS671,4,FALSE)," ")</f>
        <v xml:space="preserve"> </v>
      </c>
      <c r="D33" s="18" t="str" cm="1">
        <f t="array" ref="D33">IFERROR(VLOOKUP($A33,'The List'!$B1:$AS671,5,FALSE)," ")</f>
        <v xml:space="preserve"> </v>
      </c>
      <c r="E33" s="18" t="str" cm="1">
        <f t="array" ref="E33">IFERROR(VLOOKUP($A33,'The List'!$B1:$AS671,6,FALSE)," ")</f>
        <v xml:space="preserve"> </v>
      </c>
      <c r="F33" s="92" t="str" cm="1">
        <f t="array" ref="F33">IFERROR(VLOOKUP($A33,'The List'!$B1:$AS671,8,FALSE)," ")</f>
        <v xml:space="preserve"> </v>
      </c>
      <c r="G33" s="92" t="str" cm="1">
        <f t="array" ref="G33">IFERROR(VLOOKUP($A33,'The List'!$B1:$AS671,10,FALSE)," ")</f>
        <v xml:space="preserve"> </v>
      </c>
      <c r="H33" s="55"/>
      <c r="I33" s="84" t="str" cm="1">
        <f t="array" ref="I33">IFERROR(VLOOKUP($A33,'The List'!$B1:$AS671,16,FALSE)," ")</f>
        <v xml:space="preserve"> </v>
      </c>
      <c r="J33" s="84" t="str" cm="1">
        <f t="array" ref="J33">IFERROR(VLOOKUP($A33,'The List'!$B1:$AS671,17,FALSE)," ")</f>
        <v xml:space="preserve"> </v>
      </c>
      <c r="K33" s="84" t="str" cm="1">
        <f t="array" ref="K33">IFERROR(VLOOKUP($A33,'The List'!$B1:$AS671,18,FALSE)," ")</f>
        <v xml:space="preserve"> </v>
      </c>
      <c r="L33" s="84" t="str" cm="1">
        <f t="array" ref="L33">IFERROR(VLOOKUP($A33,'The List'!$B1:$AS671,19,FALSE)," ")</f>
        <v xml:space="preserve"> </v>
      </c>
      <c r="M33" s="84" t="str" cm="1">
        <f t="array" ref="M33">IFERROR(VLOOKUP($A33,'The List'!$B1:$AS671,20,FALSE)," ")</f>
        <v xml:space="preserve"> </v>
      </c>
      <c r="N33" s="84" t="str" cm="1">
        <f t="array" ref="N33">IFERROR(VLOOKUP($A33,'The List'!$B1:$AS671,21,FALSE)," ")</f>
        <v xml:space="preserve"> </v>
      </c>
      <c r="O33" s="84" t="str" cm="1">
        <f t="array" ref="O33">IFERROR(VLOOKUP($A33,'The List'!$B1:$AS671,22,FALSE)," ")</f>
        <v xml:space="preserve"> </v>
      </c>
      <c r="P33" s="84" t="str" cm="1">
        <f t="array" ref="P33">IFERROR(VLOOKUP($A33,'The List'!$B1:$AS671,23,FALSE)," ")</f>
        <v xml:space="preserve"> </v>
      </c>
      <c r="Q33" s="84" t="str" cm="1">
        <f t="array" ref="Q33">IFERROR(VLOOKUP($A33,'The List'!$B1:$AS671,24,FALSE)," ")</f>
        <v xml:space="preserve"> </v>
      </c>
      <c r="R33" s="84" t="str" cm="1">
        <f t="array" ref="R33">IFERROR(VLOOKUP($A33,'The List'!$B1:$AS671,25,FALSE)," ")</f>
        <v xml:space="preserve"> </v>
      </c>
      <c r="S33" s="84" t="str" cm="1">
        <f t="array" ref="S33">IFERROR(VLOOKUP($A33,'The List'!$B1:$AS671,26,FALSE)," ")</f>
        <v xml:space="preserve"> </v>
      </c>
      <c r="T33" s="84" t="str" cm="1">
        <f t="array" ref="T33">IFERROR(VLOOKUP($A33,'The List'!$B1:$AS671,27,FALSE)," ")</f>
        <v xml:space="preserve"> </v>
      </c>
      <c r="U33" s="84" t="str" cm="1">
        <f t="array" ref="U33">IFERROR(VLOOKUP($A33,'The List'!$B1:$AS671,28,FALSE)," ")</f>
        <v xml:space="preserve"> </v>
      </c>
      <c r="V33" s="84" t="str" cm="1">
        <f t="array" ref="V33">IFERROR(VLOOKUP($A33,'The List'!$B1:$AS671,29,FALSE)," ")</f>
        <v xml:space="preserve"> </v>
      </c>
      <c r="W33" s="84" t="str" cm="1">
        <f t="array" ref="W33">IFERROR(VLOOKUP($A33,'The List'!$B1:$AS671,30,FALSE)," ")</f>
        <v xml:space="preserve"> </v>
      </c>
      <c r="X33" s="84" t="str" cm="1">
        <f t="array" ref="X33">IFERROR(VLOOKUP($A33,'The List'!$B1:$AS671,31,FALSE)," ")</f>
        <v xml:space="preserve"> </v>
      </c>
      <c r="Y33" s="84" t="str" cm="1">
        <f t="array" ref="Y33">IFERROR(VLOOKUP($A33,'The List'!$B1:$AS671,32,FALSE)," ")</f>
        <v xml:space="preserve"> </v>
      </c>
      <c r="Z33" s="84" t="str" cm="1">
        <f t="array" ref="Z33">IFERROR(VLOOKUP($A33,'The List'!$B1:$AS671,33,FALSE)," ")</f>
        <v xml:space="preserve"> </v>
      </c>
      <c r="AA33" s="85"/>
      <c r="AB33" s="90"/>
      <c r="AC33" s="90"/>
      <c r="AD33" s="90"/>
      <c r="AE33" s="90"/>
      <c r="AF33" s="90"/>
    </row>
    <row r="34" spans="1:32" ht="21.25" customHeight="1" x14ac:dyDescent="0.15">
      <c r="A34" s="24"/>
      <c r="B34" s="87" t="str" cm="1">
        <f t="array" ref="B34">IFERROR(VLOOKUP($A34,'The List'!$B1:$AS671,3,FALSE)," ")</f>
        <v xml:space="preserve"> </v>
      </c>
      <c r="C34" s="91" t="str" cm="1">
        <f t="array" ref="C34">IFERROR(VLOOKUP($A34,'The List'!$B1:$AS671,4,FALSE)," ")</f>
        <v xml:space="preserve"> </v>
      </c>
      <c r="D34" s="18" t="str" cm="1">
        <f t="array" ref="D34">IFERROR(VLOOKUP($A34,'The List'!$B1:$AS671,5,FALSE)," ")</f>
        <v xml:space="preserve"> </v>
      </c>
      <c r="E34" s="18" t="str" cm="1">
        <f t="array" ref="E34">IFERROR(VLOOKUP($A34,'The List'!$B1:$AS671,6,FALSE)," ")</f>
        <v xml:space="preserve"> </v>
      </c>
      <c r="F34" s="92" t="str" cm="1">
        <f t="array" ref="F34">IFERROR(VLOOKUP($A34,'The List'!$B1:$AS671,8,FALSE)," ")</f>
        <v xml:space="preserve"> </v>
      </c>
      <c r="G34" s="92" t="str" cm="1">
        <f t="array" ref="G34">IFERROR(VLOOKUP($A34,'The List'!$B1:$AS671,10,FALSE)," ")</f>
        <v xml:space="preserve"> </v>
      </c>
      <c r="H34" s="55"/>
      <c r="I34" s="84" t="str" cm="1">
        <f t="array" ref="I34">IFERROR(VLOOKUP($A34,'The List'!$B1:$AS671,16,FALSE)," ")</f>
        <v xml:space="preserve"> </v>
      </c>
      <c r="J34" s="84" t="str" cm="1">
        <f t="array" ref="J34">IFERROR(VLOOKUP($A34,'The List'!$B1:$AS671,17,FALSE)," ")</f>
        <v xml:space="preserve"> </v>
      </c>
      <c r="K34" s="84" t="str" cm="1">
        <f t="array" ref="K34">IFERROR(VLOOKUP($A34,'The List'!$B1:$AS671,18,FALSE)," ")</f>
        <v xml:space="preserve"> </v>
      </c>
      <c r="L34" s="84" t="str" cm="1">
        <f t="array" ref="L34">IFERROR(VLOOKUP($A34,'The List'!$B1:$AS671,19,FALSE)," ")</f>
        <v xml:space="preserve"> </v>
      </c>
      <c r="M34" s="84" t="str" cm="1">
        <f t="array" ref="M34">IFERROR(VLOOKUP($A34,'The List'!$B1:$AS671,20,FALSE)," ")</f>
        <v xml:space="preserve"> </v>
      </c>
      <c r="N34" s="84" t="str" cm="1">
        <f t="array" ref="N34">IFERROR(VLOOKUP($A34,'The List'!$B1:$AS671,21,FALSE)," ")</f>
        <v xml:space="preserve"> </v>
      </c>
      <c r="O34" s="84" t="str" cm="1">
        <f t="array" ref="O34">IFERROR(VLOOKUP($A34,'The List'!$B1:$AS671,22,FALSE)," ")</f>
        <v xml:space="preserve"> </v>
      </c>
      <c r="P34" s="84" t="str" cm="1">
        <f t="array" ref="P34">IFERROR(VLOOKUP($A34,'The List'!$B1:$AS671,23,FALSE)," ")</f>
        <v xml:space="preserve"> </v>
      </c>
      <c r="Q34" s="84" t="str" cm="1">
        <f t="array" ref="Q34">IFERROR(VLOOKUP($A34,'The List'!$B1:$AS671,24,FALSE)," ")</f>
        <v xml:space="preserve"> </v>
      </c>
      <c r="R34" s="84" t="str" cm="1">
        <f t="array" ref="R34">IFERROR(VLOOKUP($A34,'The List'!$B1:$AS671,25,FALSE)," ")</f>
        <v xml:space="preserve"> </v>
      </c>
      <c r="S34" s="84" t="str" cm="1">
        <f t="array" ref="S34">IFERROR(VLOOKUP($A34,'The List'!$B1:$AS671,26,FALSE)," ")</f>
        <v xml:space="preserve"> </v>
      </c>
      <c r="T34" s="84" t="str" cm="1">
        <f t="array" ref="T34">IFERROR(VLOOKUP($A34,'The List'!$B1:$AS671,27,FALSE)," ")</f>
        <v xml:space="preserve"> </v>
      </c>
      <c r="U34" s="84" t="str" cm="1">
        <f t="array" ref="U34">IFERROR(VLOOKUP($A34,'The List'!$B1:$AS671,28,FALSE)," ")</f>
        <v xml:space="preserve"> </v>
      </c>
      <c r="V34" s="84" t="str" cm="1">
        <f t="array" ref="V34">IFERROR(VLOOKUP($A34,'The List'!$B1:$AS671,29,FALSE)," ")</f>
        <v xml:space="preserve"> </v>
      </c>
      <c r="W34" s="84" t="str" cm="1">
        <f t="array" ref="W34">IFERROR(VLOOKUP($A34,'The List'!$B1:$AS671,30,FALSE)," ")</f>
        <v xml:space="preserve"> </v>
      </c>
      <c r="X34" s="84" t="str" cm="1">
        <f t="array" ref="X34">IFERROR(VLOOKUP($A34,'The List'!$B1:$AS671,31,FALSE)," ")</f>
        <v xml:space="preserve"> </v>
      </c>
      <c r="Y34" s="84" t="str" cm="1">
        <f t="array" ref="Y34">IFERROR(VLOOKUP($A34,'The List'!$B1:$AS671,32,FALSE)," ")</f>
        <v xml:space="preserve"> </v>
      </c>
      <c r="Z34" s="84" t="str" cm="1">
        <f t="array" ref="Z34">IFERROR(VLOOKUP($A34,'The List'!$B1:$AS671,33,FALSE)," ")</f>
        <v xml:space="preserve"> </v>
      </c>
      <c r="AA34" s="85"/>
      <c r="AB34" s="90"/>
      <c r="AC34" s="90"/>
      <c r="AD34" s="90"/>
      <c r="AE34" s="90"/>
      <c r="AF34" s="90"/>
    </row>
    <row r="35" spans="1:32" ht="21.25" customHeight="1" x14ac:dyDescent="0.15">
      <c r="A35" s="24"/>
      <c r="B35" s="93" t="str" cm="1">
        <f t="array" ref="B35">IFERROR(VLOOKUP($A35,'The List'!$B1:$AS671,3,FALSE)," ")</f>
        <v xml:space="preserve"> </v>
      </c>
      <c r="C35" s="95" t="str" cm="1">
        <f t="array" ref="C35">IFERROR(VLOOKUP($A35,'The List'!$B1:$AS671,4,FALSE)," ")</f>
        <v xml:space="preserve"> </v>
      </c>
      <c r="D35" s="18" t="str" cm="1">
        <f t="array" ref="D35">IFERROR(VLOOKUP($A35,'The List'!$B1:$AS671,5,FALSE)," ")</f>
        <v xml:space="preserve"> </v>
      </c>
      <c r="E35" s="18" t="str" cm="1">
        <f t="array" ref="E35">IFERROR(VLOOKUP($A35,'The List'!$B1:$AS671,6,FALSE)," ")</f>
        <v xml:space="preserve"> </v>
      </c>
      <c r="F35" s="92" t="str" cm="1">
        <f t="array" ref="F35">IFERROR(VLOOKUP($A35,'The List'!$B1:$AS671,8,FALSE)," ")</f>
        <v xml:space="preserve"> </v>
      </c>
      <c r="G35" s="92" t="str" cm="1">
        <f t="array" ref="G35">IFERROR(VLOOKUP($A35,'The List'!$B1:$AS671,10,FALSE)," ")</f>
        <v xml:space="preserve"> </v>
      </c>
      <c r="H35" s="55"/>
      <c r="I35" s="84" t="str" cm="1">
        <f t="array" ref="I35">IFERROR(VLOOKUP($A35,'The List'!$B1:$AS671,16,FALSE)," ")</f>
        <v xml:space="preserve"> </v>
      </c>
      <c r="J35" s="84" t="str" cm="1">
        <f t="array" ref="J35">IFERROR(VLOOKUP($A35,'The List'!$B1:$AS671,17,FALSE)," ")</f>
        <v xml:space="preserve"> </v>
      </c>
      <c r="K35" s="84" t="str" cm="1">
        <f t="array" ref="K35">IFERROR(VLOOKUP($A35,'The List'!$B1:$AS671,18,FALSE)," ")</f>
        <v xml:space="preserve"> </v>
      </c>
      <c r="L35" s="84" t="str" cm="1">
        <f t="array" ref="L35">IFERROR(VLOOKUP($A35,'The List'!$B1:$AS671,19,FALSE)," ")</f>
        <v xml:space="preserve"> </v>
      </c>
      <c r="M35" s="84" t="str" cm="1">
        <f t="array" ref="M35">IFERROR(VLOOKUP($A35,'The List'!$B1:$AS671,20,FALSE)," ")</f>
        <v xml:space="preserve"> </v>
      </c>
      <c r="N35" s="84" t="str" cm="1">
        <f t="array" ref="N35">IFERROR(VLOOKUP($A35,'The List'!$B1:$AS671,21,FALSE)," ")</f>
        <v xml:space="preserve"> </v>
      </c>
      <c r="O35" s="84" t="str" cm="1">
        <f t="array" ref="O35">IFERROR(VLOOKUP($A35,'The List'!$B1:$AS671,22,FALSE)," ")</f>
        <v xml:space="preserve"> </v>
      </c>
      <c r="P35" s="84" t="str" cm="1">
        <f t="array" ref="P35">IFERROR(VLOOKUP($A35,'The List'!$B1:$AS671,23,FALSE)," ")</f>
        <v xml:space="preserve"> </v>
      </c>
      <c r="Q35" s="84" t="str" cm="1">
        <f t="array" ref="Q35">IFERROR(VLOOKUP($A35,'The List'!$B1:$AS671,24,FALSE)," ")</f>
        <v xml:space="preserve"> </v>
      </c>
      <c r="R35" s="84" t="str" cm="1">
        <f t="array" ref="R35">IFERROR(VLOOKUP($A35,'The List'!$B1:$AS671,25,FALSE)," ")</f>
        <v xml:space="preserve"> </v>
      </c>
      <c r="S35" s="84" t="str" cm="1">
        <f t="array" ref="S35">IFERROR(VLOOKUP($A35,'The List'!$B1:$AS671,26,FALSE)," ")</f>
        <v xml:space="preserve"> </v>
      </c>
      <c r="T35" s="84" t="str" cm="1">
        <f t="array" ref="T35">IFERROR(VLOOKUP($A35,'The List'!$B1:$AS671,27,FALSE)," ")</f>
        <v xml:space="preserve"> </v>
      </c>
      <c r="U35" s="84" t="str" cm="1">
        <f t="array" ref="U35">IFERROR(VLOOKUP($A35,'The List'!$B1:$AS671,28,FALSE)," ")</f>
        <v xml:space="preserve"> </v>
      </c>
      <c r="V35" s="84" t="str" cm="1">
        <f t="array" ref="V35">IFERROR(VLOOKUP($A35,'The List'!$B1:$AS671,29,FALSE)," ")</f>
        <v xml:space="preserve"> </v>
      </c>
      <c r="W35" s="84" t="str" cm="1">
        <f t="array" ref="W35">IFERROR(VLOOKUP($A35,'The List'!$B1:$AS671,30,FALSE)," ")</f>
        <v xml:space="preserve"> </v>
      </c>
      <c r="X35" s="84" t="str" cm="1">
        <f t="array" ref="X35">IFERROR(VLOOKUP($A35,'The List'!$B1:$AS671,31,FALSE)," ")</f>
        <v xml:space="preserve"> </v>
      </c>
      <c r="Y35" s="84" t="str" cm="1">
        <f t="array" ref="Y35">IFERROR(VLOOKUP($A35,'The List'!$B1:$AS671,32,FALSE)," ")</f>
        <v xml:space="preserve"> </v>
      </c>
      <c r="Z35" s="84" t="str" cm="1">
        <f t="array" ref="Z35">IFERROR(VLOOKUP($A35,'The List'!$B1:$AS671,33,FALSE)," ")</f>
        <v xml:space="preserve"> </v>
      </c>
      <c r="AA35" s="85"/>
      <c r="AB35" s="90"/>
      <c r="AC35" s="90"/>
      <c r="AD35" s="90"/>
      <c r="AE35" s="90"/>
      <c r="AF35" s="90"/>
    </row>
    <row r="36" spans="1:32" ht="21.25" customHeight="1" x14ac:dyDescent="0.15">
      <c r="A36" s="24"/>
      <c r="B36" s="93" t="str" cm="1">
        <f t="array" ref="B36">IFERROR(VLOOKUP($A36,'The List'!$B1:$AS671,3,FALSE)," ")</f>
        <v xml:space="preserve"> </v>
      </c>
      <c r="C36" s="95" t="str" cm="1">
        <f t="array" ref="C36">IFERROR(VLOOKUP($A36,'The List'!$B1:$AS671,4,FALSE)," ")</f>
        <v xml:space="preserve"> </v>
      </c>
      <c r="D36" s="18" t="str" cm="1">
        <f t="array" ref="D36">IFERROR(VLOOKUP($A36,'The List'!$B1:$AS671,5,FALSE)," ")</f>
        <v xml:space="preserve"> </v>
      </c>
      <c r="E36" s="18" t="str" cm="1">
        <f t="array" ref="E36">IFERROR(VLOOKUP($A36,'The List'!$B1:$AS671,6,FALSE)," ")</f>
        <v xml:space="preserve"> </v>
      </c>
      <c r="F36" s="92" t="str" cm="1">
        <f t="array" ref="F36">IFERROR(VLOOKUP($A36,'The List'!$B1:$AS671,8,FALSE)," ")</f>
        <v xml:space="preserve"> </v>
      </c>
      <c r="G36" s="92" t="str" cm="1">
        <f t="array" ref="G36">IFERROR(VLOOKUP($A36,'The List'!$B1:$AS671,10,FALSE)," ")</f>
        <v xml:space="preserve"> </v>
      </c>
      <c r="H36" s="55"/>
      <c r="I36" s="84" t="str" cm="1">
        <f t="array" ref="I36">IFERROR(VLOOKUP($A36,'The List'!$B1:$AS671,16,FALSE)," ")</f>
        <v xml:space="preserve"> </v>
      </c>
      <c r="J36" s="84" t="str" cm="1">
        <f t="array" ref="J36">IFERROR(VLOOKUP($A36,'The List'!$B1:$AS671,17,FALSE)," ")</f>
        <v xml:space="preserve"> </v>
      </c>
      <c r="K36" s="84" t="str" cm="1">
        <f t="array" ref="K36">IFERROR(VLOOKUP($A36,'The List'!$B1:$AS671,18,FALSE)," ")</f>
        <v xml:space="preserve"> </v>
      </c>
      <c r="L36" s="84" t="str" cm="1">
        <f t="array" ref="L36">IFERROR(VLOOKUP($A36,'The List'!$B1:$AS671,19,FALSE)," ")</f>
        <v xml:space="preserve"> </v>
      </c>
      <c r="M36" s="84" t="str" cm="1">
        <f t="array" ref="M36">IFERROR(VLOOKUP($A36,'The List'!$B1:$AS671,20,FALSE)," ")</f>
        <v xml:space="preserve"> </v>
      </c>
      <c r="N36" s="84" t="str" cm="1">
        <f t="array" ref="N36">IFERROR(VLOOKUP($A36,'The List'!$B1:$AS671,21,FALSE)," ")</f>
        <v xml:space="preserve"> </v>
      </c>
      <c r="O36" s="84" t="str" cm="1">
        <f t="array" ref="O36">IFERROR(VLOOKUP($A36,'The List'!$B1:$AS671,22,FALSE)," ")</f>
        <v xml:space="preserve"> </v>
      </c>
      <c r="P36" s="84" t="str" cm="1">
        <f t="array" ref="P36">IFERROR(VLOOKUP($A36,'The List'!$B1:$AS671,23,FALSE)," ")</f>
        <v xml:space="preserve"> </v>
      </c>
      <c r="Q36" s="84" t="str" cm="1">
        <f t="array" ref="Q36">IFERROR(VLOOKUP($A36,'The List'!$B1:$AS671,24,FALSE)," ")</f>
        <v xml:space="preserve"> </v>
      </c>
      <c r="R36" s="84" t="str" cm="1">
        <f t="array" ref="R36">IFERROR(VLOOKUP($A36,'The List'!$B1:$AS671,25,FALSE)," ")</f>
        <v xml:space="preserve"> </v>
      </c>
      <c r="S36" s="84" t="str" cm="1">
        <f t="array" ref="S36">IFERROR(VLOOKUP($A36,'The List'!$B1:$AS671,26,FALSE)," ")</f>
        <v xml:space="preserve"> </v>
      </c>
      <c r="T36" s="84" t="str" cm="1">
        <f t="array" ref="T36">IFERROR(VLOOKUP($A36,'The List'!$B1:$AS671,27,FALSE)," ")</f>
        <v xml:space="preserve"> </v>
      </c>
      <c r="U36" s="84" t="str" cm="1">
        <f t="array" ref="U36">IFERROR(VLOOKUP($A36,'The List'!$B1:$AS671,28,FALSE)," ")</f>
        <v xml:space="preserve"> </v>
      </c>
      <c r="V36" s="84" t="str" cm="1">
        <f t="array" ref="V36">IFERROR(VLOOKUP($A36,'The List'!$B1:$AS671,29,FALSE)," ")</f>
        <v xml:space="preserve"> </v>
      </c>
      <c r="W36" s="84" t="str" cm="1">
        <f t="array" ref="W36">IFERROR(VLOOKUP($A36,'The List'!$B1:$AS671,30,FALSE)," ")</f>
        <v xml:space="preserve"> </v>
      </c>
      <c r="X36" s="84" t="str" cm="1">
        <f t="array" ref="X36">IFERROR(VLOOKUP($A36,'The List'!$B1:$AS671,31,FALSE)," ")</f>
        <v xml:space="preserve"> </v>
      </c>
      <c r="Y36" s="84" t="str" cm="1">
        <f t="array" ref="Y36">IFERROR(VLOOKUP($A36,'The List'!$B1:$AS671,32,FALSE)," ")</f>
        <v xml:space="preserve"> </v>
      </c>
      <c r="Z36" s="84" t="str" cm="1">
        <f t="array" ref="Z36">IFERROR(VLOOKUP($A36,'The List'!$B1:$AS671,33,FALSE)," ")</f>
        <v xml:space="preserve"> </v>
      </c>
      <c r="AA36" s="85"/>
      <c r="AB36" s="90"/>
      <c r="AC36" s="90"/>
      <c r="AD36" s="90"/>
      <c r="AE36" s="90"/>
      <c r="AF36" s="90"/>
    </row>
    <row r="37" spans="1:32" ht="21.25" customHeight="1" x14ac:dyDescent="0.15">
      <c r="A37" s="24"/>
      <c r="B37" s="93" t="str" cm="1">
        <f t="array" ref="B37">IFERROR(VLOOKUP($A37,'The List'!$B1:$AS671,3,FALSE)," ")</f>
        <v xml:space="preserve"> </v>
      </c>
      <c r="C37" s="95" t="str" cm="1">
        <f t="array" ref="C37">IFERROR(VLOOKUP($A37,'The List'!$B1:$AS671,4,FALSE)," ")</f>
        <v xml:space="preserve"> </v>
      </c>
      <c r="D37" s="18" t="str" cm="1">
        <f t="array" ref="D37">IFERROR(VLOOKUP($A37,'The List'!$B1:$AS671,5,FALSE)," ")</f>
        <v xml:space="preserve"> </v>
      </c>
      <c r="E37" s="18" t="str" cm="1">
        <f t="array" ref="E37">IFERROR(VLOOKUP($A37,'The List'!$B1:$AS671,6,FALSE)," ")</f>
        <v xml:space="preserve"> </v>
      </c>
      <c r="F37" s="92" t="str" cm="1">
        <f t="array" ref="F37">IFERROR(VLOOKUP($A37,'The List'!$B1:$AS671,8,FALSE)," ")</f>
        <v xml:space="preserve"> </v>
      </c>
      <c r="G37" s="92" t="str" cm="1">
        <f t="array" ref="G37">IFERROR(VLOOKUP($A37,'The List'!$B1:$AS671,10,FALSE)," ")</f>
        <v xml:space="preserve"> </v>
      </c>
      <c r="H37" s="55"/>
      <c r="I37" s="84" t="str" cm="1">
        <f t="array" ref="I37">IFERROR(VLOOKUP($A37,'The List'!$B1:$AS671,16,FALSE)," ")</f>
        <v xml:space="preserve"> </v>
      </c>
      <c r="J37" s="84" t="str" cm="1">
        <f t="array" ref="J37">IFERROR(VLOOKUP($A37,'The List'!$B1:$AS671,17,FALSE)," ")</f>
        <v xml:space="preserve"> </v>
      </c>
      <c r="K37" s="84" t="str" cm="1">
        <f t="array" ref="K37">IFERROR(VLOOKUP($A37,'The List'!$B1:$AS671,18,FALSE)," ")</f>
        <v xml:space="preserve"> </v>
      </c>
      <c r="L37" s="84" t="str" cm="1">
        <f t="array" ref="L37">IFERROR(VLOOKUP($A37,'The List'!$B1:$AS671,19,FALSE)," ")</f>
        <v xml:space="preserve"> </v>
      </c>
      <c r="M37" s="84" t="str" cm="1">
        <f t="array" ref="M37">IFERROR(VLOOKUP($A37,'The List'!$B1:$AS671,20,FALSE)," ")</f>
        <v xml:space="preserve"> </v>
      </c>
      <c r="N37" s="84" t="str" cm="1">
        <f t="array" ref="N37">IFERROR(VLOOKUP($A37,'The List'!$B1:$AS671,21,FALSE)," ")</f>
        <v xml:space="preserve"> </v>
      </c>
      <c r="O37" s="84" t="str" cm="1">
        <f t="array" ref="O37">IFERROR(VLOOKUP($A37,'The List'!$B1:$AS671,22,FALSE)," ")</f>
        <v xml:space="preserve"> </v>
      </c>
      <c r="P37" s="84" t="str" cm="1">
        <f t="array" ref="P37">IFERROR(VLOOKUP($A37,'The List'!$B1:$AS671,23,FALSE)," ")</f>
        <v xml:space="preserve"> </v>
      </c>
      <c r="Q37" s="84" t="str" cm="1">
        <f t="array" ref="Q37">IFERROR(VLOOKUP($A37,'The List'!$B1:$AS671,24,FALSE)," ")</f>
        <v xml:space="preserve"> </v>
      </c>
      <c r="R37" s="84" t="str" cm="1">
        <f t="array" ref="R37">IFERROR(VLOOKUP($A37,'The List'!$B1:$AS671,25,FALSE)," ")</f>
        <v xml:space="preserve"> </v>
      </c>
      <c r="S37" s="84" t="str" cm="1">
        <f t="array" ref="S37">IFERROR(VLOOKUP($A37,'The List'!$B1:$AS671,26,FALSE)," ")</f>
        <v xml:space="preserve"> </v>
      </c>
      <c r="T37" s="84" t="str" cm="1">
        <f t="array" ref="T37">IFERROR(VLOOKUP($A37,'The List'!$B1:$AS671,27,FALSE)," ")</f>
        <v xml:space="preserve"> </v>
      </c>
      <c r="U37" s="84" t="str" cm="1">
        <f t="array" ref="U37">IFERROR(VLOOKUP($A37,'The List'!$B1:$AS671,28,FALSE)," ")</f>
        <v xml:space="preserve"> </v>
      </c>
      <c r="V37" s="84" t="str" cm="1">
        <f t="array" ref="V37">IFERROR(VLOOKUP($A37,'The List'!$B1:$AS671,29,FALSE)," ")</f>
        <v xml:space="preserve"> </v>
      </c>
      <c r="W37" s="84" t="str" cm="1">
        <f t="array" ref="W37">IFERROR(VLOOKUP($A37,'The List'!$B1:$AS671,30,FALSE)," ")</f>
        <v xml:space="preserve"> </v>
      </c>
      <c r="X37" s="84" t="str" cm="1">
        <f t="array" ref="X37">IFERROR(VLOOKUP($A37,'The List'!$B1:$AS671,31,FALSE)," ")</f>
        <v xml:space="preserve"> </v>
      </c>
      <c r="Y37" s="84" t="str" cm="1">
        <f t="array" ref="Y37">IFERROR(VLOOKUP($A37,'The List'!$B1:$AS671,32,FALSE)," ")</f>
        <v xml:space="preserve"> </v>
      </c>
      <c r="Z37" s="84" t="str" cm="1">
        <f t="array" ref="Z37">IFERROR(VLOOKUP($A37,'The List'!$B1:$AS671,33,FALSE)," ")</f>
        <v xml:space="preserve"> </v>
      </c>
      <c r="AA37" s="85"/>
      <c r="AB37" s="90"/>
      <c r="AC37" s="90"/>
      <c r="AD37" s="90"/>
      <c r="AE37" s="90"/>
      <c r="AF37" s="90"/>
    </row>
    <row r="38" spans="1:32" ht="21.25" customHeight="1" x14ac:dyDescent="0.15">
      <c r="A38" s="24"/>
      <c r="B38" s="93" t="str" cm="1">
        <f t="array" ref="B38">IFERROR(VLOOKUP($A38,'The List'!$B1:$AS671,3,FALSE)," ")</f>
        <v xml:space="preserve"> </v>
      </c>
      <c r="C38" s="95" t="str" cm="1">
        <f t="array" ref="C38">IFERROR(VLOOKUP($A38,'The List'!$B1:$AS671,4,FALSE)," ")</f>
        <v xml:space="preserve"> </v>
      </c>
      <c r="D38" s="18" t="str" cm="1">
        <f t="array" ref="D38">IFERROR(VLOOKUP($A38,'The List'!$B1:$AS671,5,FALSE)," ")</f>
        <v xml:space="preserve"> </v>
      </c>
      <c r="E38" s="18" t="str" cm="1">
        <f t="array" ref="E38">IFERROR(VLOOKUP($A38,'The List'!$B1:$AS671,6,FALSE)," ")</f>
        <v xml:space="preserve"> </v>
      </c>
      <c r="F38" s="92" t="str" cm="1">
        <f t="array" ref="F38">IFERROR(VLOOKUP($A38,'The List'!$B1:$AS671,8,FALSE)," ")</f>
        <v xml:space="preserve"> </v>
      </c>
      <c r="G38" s="92" t="str" cm="1">
        <f t="array" ref="G38">IFERROR(VLOOKUP($A38,'The List'!$B1:$AS671,10,FALSE)," ")</f>
        <v xml:space="preserve"> </v>
      </c>
      <c r="H38" s="55"/>
      <c r="I38" s="84" t="str" cm="1">
        <f t="array" ref="I38">IFERROR(VLOOKUP($A38,'The List'!$B1:$AS671,16,FALSE)," ")</f>
        <v xml:space="preserve"> </v>
      </c>
      <c r="J38" s="84" t="str" cm="1">
        <f t="array" ref="J38">IFERROR(VLOOKUP($A38,'The List'!$B1:$AS671,17,FALSE)," ")</f>
        <v xml:space="preserve"> </v>
      </c>
      <c r="K38" s="84" t="str" cm="1">
        <f t="array" ref="K38">IFERROR(VLOOKUP($A38,'The List'!$B1:$AS671,18,FALSE)," ")</f>
        <v xml:space="preserve"> </v>
      </c>
      <c r="L38" s="84" t="str" cm="1">
        <f t="array" ref="L38">IFERROR(VLOOKUP($A38,'The List'!$B1:$AS671,19,FALSE)," ")</f>
        <v xml:space="preserve"> </v>
      </c>
      <c r="M38" s="84" t="str" cm="1">
        <f t="array" ref="M38">IFERROR(VLOOKUP($A38,'The List'!$B1:$AS671,20,FALSE)," ")</f>
        <v xml:space="preserve"> </v>
      </c>
      <c r="N38" s="84" t="str" cm="1">
        <f t="array" ref="N38">IFERROR(VLOOKUP($A38,'The List'!$B1:$AS671,21,FALSE)," ")</f>
        <v xml:space="preserve"> </v>
      </c>
      <c r="O38" s="84" t="str" cm="1">
        <f t="array" ref="O38">IFERROR(VLOOKUP($A38,'The List'!$B1:$AS671,22,FALSE)," ")</f>
        <v xml:space="preserve"> </v>
      </c>
      <c r="P38" s="84" t="str" cm="1">
        <f t="array" ref="P38">IFERROR(VLOOKUP($A38,'The List'!$B1:$AS671,23,FALSE)," ")</f>
        <v xml:space="preserve"> </v>
      </c>
      <c r="Q38" s="84" t="str" cm="1">
        <f t="array" ref="Q38">IFERROR(VLOOKUP($A38,'The List'!$B1:$AS671,24,FALSE)," ")</f>
        <v xml:space="preserve"> </v>
      </c>
      <c r="R38" s="84" t="str" cm="1">
        <f t="array" ref="R38">IFERROR(VLOOKUP($A38,'The List'!$B1:$AS671,25,FALSE)," ")</f>
        <v xml:space="preserve"> </v>
      </c>
      <c r="S38" s="84" t="str" cm="1">
        <f t="array" ref="S38">IFERROR(VLOOKUP($A38,'The List'!$B1:$AS671,26,FALSE)," ")</f>
        <v xml:space="preserve"> </v>
      </c>
      <c r="T38" s="84" t="str" cm="1">
        <f t="array" ref="T38">IFERROR(VLOOKUP($A38,'The List'!$B1:$AS671,27,FALSE)," ")</f>
        <v xml:space="preserve"> </v>
      </c>
      <c r="U38" s="84" t="str" cm="1">
        <f t="array" ref="U38">IFERROR(VLOOKUP($A38,'The List'!$B1:$AS671,28,FALSE)," ")</f>
        <v xml:space="preserve"> </v>
      </c>
      <c r="V38" s="84" t="str" cm="1">
        <f t="array" ref="V38">IFERROR(VLOOKUP($A38,'The List'!$B1:$AS671,29,FALSE)," ")</f>
        <v xml:space="preserve"> </v>
      </c>
      <c r="W38" s="84" t="str" cm="1">
        <f t="array" ref="W38">IFERROR(VLOOKUP($A38,'The List'!$B1:$AS671,30,FALSE)," ")</f>
        <v xml:space="preserve"> </v>
      </c>
      <c r="X38" s="84" t="str" cm="1">
        <f t="array" ref="X38">IFERROR(VLOOKUP($A38,'The List'!$B1:$AS671,31,FALSE)," ")</f>
        <v xml:space="preserve"> </v>
      </c>
      <c r="Y38" s="84" t="str" cm="1">
        <f t="array" ref="Y38">IFERROR(VLOOKUP($A38,'The List'!$B1:$AS671,32,FALSE)," ")</f>
        <v xml:space="preserve"> </v>
      </c>
      <c r="Z38" s="84" t="str" cm="1">
        <f t="array" ref="Z38">IFERROR(VLOOKUP($A38,'The List'!$B1:$AS671,33,FALSE)," ")</f>
        <v xml:space="preserve"> </v>
      </c>
      <c r="AA38" s="85"/>
      <c r="AB38" s="90"/>
      <c r="AC38" s="90"/>
      <c r="AD38" s="90"/>
      <c r="AE38" s="90"/>
      <c r="AF38" s="90"/>
    </row>
    <row r="39" spans="1:32" ht="21.25" customHeight="1" x14ac:dyDescent="0.15">
      <c r="A39" s="24"/>
      <c r="B39" s="96" t="str" cm="1">
        <f t="array" ref="B39">IFERROR(VLOOKUP($A39,'The List'!$B1:$AS671,3,FALSE)," ")</f>
        <v xml:space="preserve"> </v>
      </c>
      <c r="C39" s="98" t="str" cm="1">
        <f t="array" ref="C39">IFERROR(VLOOKUP($A39,'The List'!$B1:$AS671,4,FALSE)," ")</f>
        <v xml:space="preserve"> </v>
      </c>
      <c r="D39" s="18" t="str" cm="1">
        <f t="array" ref="D39">IFERROR(VLOOKUP($A39,'The List'!$B1:$AS671,5,FALSE)," ")</f>
        <v xml:space="preserve"> </v>
      </c>
      <c r="E39" s="18" t="str" cm="1">
        <f t="array" ref="E39">IFERROR(VLOOKUP($A39,'The List'!$B1:$AS671,6,FALSE)," ")</f>
        <v xml:space="preserve"> </v>
      </c>
      <c r="F39" s="92" t="str" cm="1">
        <f t="array" ref="F39">IFERROR(VLOOKUP($A39,'The List'!$B1:$AS671,8,FALSE)," ")</f>
        <v xml:space="preserve"> </v>
      </c>
      <c r="G39" s="92" t="str" cm="1">
        <f t="array" ref="G39">IFERROR(VLOOKUP($A39,'The List'!$B1:$AS671,10,FALSE)," ")</f>
        <v xml:space="preserve"> </v>
      </c>
      <c r="H39" s="55"/>
      <c r="I39" s="84" t="str" cm="1">
        <f t="array" ref="I39">IFERROR(VLOOKUP($A39,'The List'!$B1:$AS671,16,FALSE)," ")</f>
        <v xml:space="preserve"> </v>
      </c>
      <c r="J39" s="84" t="str" cm="1">
        <f t="array" ref="J39">IFERROR(VLOOKUP($A39,'The List'!$B1:$AS671,17,FALSE)," ")</f>
        <v xml:space="preserve"> </v>
      </c>
      <c r="K39" s="84" t="str" cm="1">
        <f t="array" ref="K39">IFERROR(VLOOKUP($A39,'The List'!$B1:$AS671,18,FALSE)," ")</f>
        <v xml:space="preserve"> </v>
      </c>
      <c r="L39" s="84" t="str" cm="1">
        <f t="array" ref="L39">IFERROR(VLOOKUP($A39,'The List'!$B1:$AS671,19,FALSE)," ")</f>
        <v xml:space="preserve"> </v>
      </c>
      <c r="M39" s="84" t="str" cm="1">
        <f t="array" ref="M39">IFERROR(VLOOKUP($A39,'The List'!$B1:$AS671,20,FALSE)," ")</f>
        <v xml:space="preserve"> </v>
      </c>
      <c r="N39" s="84" t="str" cm="1">
        <f t="array" ref="N39">IFERROR(VLOOKUP($A39,'The List'!$B1:$AS671,21,FALSE)," ")</f>
        <v xml:space="preserve"> </v>
      </c>
      <c r="O39" s="84" t="str" cm="1">
        <f t="array" ref="O39">IFERROR(VLOOKUP($A39,'The List'!$B1:$AS671,22,FALSE)," ")</f>
        <v xml:space="preserve"> </v>
      </c>
      <c r="P39" s="84" t="str" cm="1">
        <f t="array" ref="P39">IFERROR(VLOOKUP($A39,'The List'!$B1:$AS671,23,FALSE)," ")</f>
        <v xml:space="preserve"> </v>
      </c>
      <c r="Q39" s="84" t="str" cm="1">
        <f t="array" ref="Q39">IFERROR(VLOOKUP($A39,'The List'!$B1:$AS671,24,FALSE)," ")</f>
        <v xml:space="preserve"> </v>
      </c>
      <c r="R39" s="84" t="str" cm="1">
        <f t="array" ref="R39">IFERROR(VLOOKUP($A39,'The List'!$B1:$AS671,25,FALSE)," ")</f>
        <v xml:space="preserve"> </v>
      </c>
      <c r="S39" s="84" t="str" cm="1">
        <f t="array" ref="S39">IFERROR(VLOOKUP($A39,'The List'!$B1:$AS671,26,FALSE)," ")</f>
        <v xml:space="preserve"> </v>
      </c>
      <c r="T39" s="84" t="str" cm="1">
        <f t="array" ref="T39">IFERROR(VLOOKUP($A39,'The List'!$B1:$AS671,27,FALSE)," ")</f>
        <v xml:space="preserve"> </v>
      </c>
      <c r="U39" s="84" t="str" cm="1">
        <f t="array" ref="U39">IFERROR(VLOOKUP($A39,'The List'!$B1:$AS671,28,FALSE)," ")</f>
        <v xml:space="preserve"> </v>
      </c>
      <c r="V39" s="84" t="str" cm="1">
        <f t="array" ref="V39">IFERROR(VLOOKUP($A39,'The List'!$B1:$AS671,29,FALSE)," ")</f>
        <v xml:space="preserve"> </v>
      </c>
      <c r="W39" s="84" t="str" cm="1">
        <f t="array" ref="W39">IFERROR(VLOOKUP($A39,'The List'!$B1:$AS671,30,FALSE)," ")</f>
        <v xml:space="preserve"> </v>
      </c>
      <c r="X39" s="84" t="str" cm="1">
        <f t="array" ref="X39">IFERROR(VLOOKUP($A39,'The List'!$B1:$AS671,31,FALSE)," ")</f>
        <v xml:space="preserve"> </v>
      </c>
      <c r="Y39" s="84" t="str" cm="1">
        <f t="array" ref="Y39">IFERROR(VLOOKUP($A39,'The List'!$B1:$AS671,32,FALSE)," ")</f>
        <v xml:space="preserve"> </v>
      </c>
      <c r="Z39" s="84" t="str" cm="1">
        <f t="array" ref="Z39">IFERROR(VLOOKUP($A39,'The List'!$B1:$AS671,33,FALSE)," ")</f>
        <v xml:space="preserve"> </v>
      </c>
      <c r="AA39" s="85"/>
      <c r="AB39" s="90"/>
      <c r="AC39" s="90"/>
      <c r="AD39" s="90"/>
      <c r="AE39" s="90"/>
      <c r="AF39" s="90"/>
    </row>
    <row r="40" spans="1:32" ht="21.25" customHeight="1" x14ac:dyDescent="0.15">
      <c r="A40" s="24"/>
      <c r="B40" s="96" t="str" cm="1">
        <f t="array" ref="B40">IFERROR(VLOOKUP($A40,'The List'!$B1:$AS671,3,FALSE)," ")</f>
        <v xml:space="preserve"> </v>
      </c>
      <c r="C40" s="98" t="str" cm="1">
        <f t="array" ref="C40">IFERROR(VLOOKUP($A40,'The List'!$B1:$AS671,4,FALSE)," ")</f>
        <v xml:space="preserve"> </v>
      </c>
      <c r="D40" s="18" t="str" cm="1">
        <f t="array" ref="D40">IFERROR(VLOOKUP($A40,'The List'!$B1:$AS671,5,FALSE)," ")</f>
        <v xml:space="preserve"> </v>
      </c>
      <c r="E40" s="18" t="str" cm="1">
        <f t="array" ref="E40">IFERROR(VLOOKUP($A40,'The List'!$B1:$AS671,6,FALSE)," ")</f>
        <v xml:space="preserve"> </v>
      </c>
      <c r="F40" s="92" t="str" cm="1">
        <f t="array" ref="F40">IFERROR(VLOOKUP($A40,'The List'!$B1:$AS671,8,FALSE)," ")</f>
        <v xml:space="preserve"> </v>
      </c>
      <c r="G40" s="92" t="str" cm="1">
        <f t="array" ref="G40">IFERROR(VLOOKUP($A40,'The List'!$B1:$AS671,10,FALSE)," ")</f>
        <v xml:space="preserve"> </v>
      </c>
      <c r="H40" s="55"/>
      <c r="I40" s="84" t="str" cm="1">
        <f t="array" ref="I40">IFERROR(VLOOKUP($A40,'The List'!$B1:$AS671,16,FALSE)," ")</f>
        <v xml:space="preserve"> </v>
      </c>
      <c r="J40" s="84" t="str" cm="1">
        <f t="array" ref="J40">IFERROR(VLOOKUP($A40,'The List'!$B1:$AS671,17,FALSE)," ")</f>
        <v xml:space="preserve"> </v>
      </c>
      <c r="K40" s="84" t="str" cm="1">
        <f t="array" ref="K40">IFERROR(VLOOKUP($A40,'The List'!$B1:$AS671,18,FALSE)," ")</f>
        <v xml:space="preserve"> </v>
      </c>
      <c r="L40" s="84" t="str" cm="1">
        <f t="array" ref="L40">IFERROR(VLOOKUP($A40,'The List'!$B1:$AS671,19,FALSE)," ")</f>
        <v xml:space="preserve"> </v>
      </c>
      <c r="M40" s="84" t="str" cm="1">
        <f t="array" ref="M40">IFERROR(VLOOKUP($A40,'The List'!$B1:$AS671,20,FALSE)," ")</f>
        <v xml:space="preserve"> </v>
      </c>
      <c r="N40" s="84" t="str" cm="1">
        <f t="array" ref="N40">IFERROR(VLOOKUP($A40,'The List'!$B1:$AS671,21,FALSE)," ")</f>
        <v xml:space="preserve"> </v>
      </c>
      <c r="O40" s="84" t="str" cm="1">
        <f t="array" ref="O40">IFERROR(VLOOKUP($A40,'The List'!$B1:$AS671,22,FALSE)," ")</f>
        <v xml:space="preserve"> </v>
      </c>
      <c r="P40" s="84" t="str" cm="1">
        <f t="array" ref="P40">IFERROR(VLOOKUP($A40,'The List'!$B1:$AS671,23,FALSE)," ")</f>
        <v xml:space="preserve"> </v>
      </c>
      <c r="Q40" s="84" t="str" cm="1">
        <f t="array" ref="Q40">IFERROR(VLOOKUP($A40,'The List'!$B1:$AS671,24,FALSE)," ")</f>
        <v xml:space="preserve"> </v>
      </c>
      <c r="R40" s="84" t="str" cm="1">
        <f t="array" ref="R40">IFERROR(VLOOKUP($A40,'The List'!$B1:$AS671,25,FALSE)," ")</f>
        <v xml:space="preserve"> </v>
      </c>
      <c r="S40" s="84" t="str" cm="1">
        <f t="array" ref="S40">IFERROR(VLOOKUP($A40,'The List'!$B1:$AS671,26,FALSE)," ")</f>
        <v xml:space="preserve"> </v>
      </c>
      <c r="T40" s="84" t="str" cm="1">
        <f t="array" ref="T40">IFERROR(VLOOKUP($A40,'The List'!$B1:$AS671,27,FALSE)," ")</f>
        <v xml:space="preserve"> </v>
      </c>
      <c r="U40" s="84" t="str" cm="1">
        <f t="array" ref="U40">IFERROR(VLOOKUP($A40,'The List'!$B1:$AS671,28,FALSE)," ")</f>
        <v xml:space="preserve"> </v>
      </c>
      <c r="V40" s="84" t="str" cm="1">
        <f t="array" ref="V40">IFERROR(VLOOKUP($A40,'The List'!$B1:$AS671,29,FALSE)," ")</f>
        <v xml:space="preserve"> </v>
      </c>
      <c r="W40" s="84" t="str" cm="1">
        <f t="array" ref="W40">IFERROR(VLOOKUP($A40,'The List'!$B1:$AS671,30,FALSE)," ")</f>
        <v xml:space="preserve"> </v>
      </c>
      <c r="X40" s="84" t="str" cm="1">
        <f t="array" ref="X40">IFERROR(VLOOKUP($A40,'The List'!$B1:$AS671,31,FALSE)," ")</f>
        <v xml:space="preserve"> </v>
      </c>
      <c r="Y40" s="84" t="str" cm="1">
        <f t="array" ref="Y40">IFERROR(VLOOKUP($A40,'The List'!$B1:$AS671,32,FALSE)," ")</f>
        <v xml:space="preserve"> </v>
      </c>
      <c r="Z40" s="84" t="str" cm="1">
        <f t="array" ref="Z40">IFERROR(VLOOKUP($A40,'The List'!$B1:$AS671,33,FALSE)," ")</f>
        <v xml:space="preserve"> </v>
      </c>
      <c r="AA40" s="85"/>
      <c r="AB40" s="90"/>
      <c r="AC40" s="90"/>
      <c r="AD40" s="90"/>
      <c r="AE40" s="90"/>
      <c r="AF40" s="90"/>
    </row>
    <row r="41" spans="1:32" ht="21.25" customHeight="1" x14ac:dyDescent="0.15">
      <c r="A41" s="24"/>
      <c r="B41" s="96" t="str" cm="1">
        <f t="array" ref="B41">IFERROR(VLOOKUP($A41,'The List'!$B1:$AS671,3,FALSE)," ")</f>
        <v xml:space="preserve"> </v>
      </c>
      <c r="C41" s="98" t="str" cm="1">
        <f t="array" ref="C41">IFERROR(VLOOKUP($A41,'The List'!$B1:$AS671,4,FALSE)," ")</f>
        <v xml:space="preserve"> </v>
      </c>
      <c r="D41" s="18" t="str" cm="1">
        <f t="array" ref="D41">IFERROR(VLOOKUP($A41,'The List'!$B1:$AS671,5,FALSE)," ")</f>
        <v xml:space="preserve"> </v>
      </c>
      <c r="E41" s="18" t="str" cm="1">
        <f t="array" ref="E41">IFERROR(VLOOKUP($A41,'The List'!$B1:$AS671,6,FALSE)," ")</f>
        <v xml:space="preserve"> </v>
      </c>
      <c r="F41" s="92" t="str" cm="1">
        <f t="array" ref="F41">IFERROR(VLOOKUP($A41,'The List'!$B1:$AS671,8,FALSE)," ")</f>
        <v xml:space="preserve"> </v>
      </c>
      <c r="G41" s="92" t="str" cm="1">
        <f t="array" ref="G41">IFERROR(VLOOKUP($A41,'The List'!$B1:$AS671,10,FALSE)," ")</f>
        <v xml:space="preserve"> </v>
      </c>
      <c r="H41" s="55"/>
      <c r="I41" s="84" t="str" cm="1">
        <f t="array" ref="I41">IFERROR(VLOOKUP($A41,'The List'!$B1:$AS671,16,FALSE)," ")</f>
        <v xml:space="preserve"> </v>
      </c>
      <c r="J41" s="84" t="str" cm="1">
        <f t="array" ref="J41">IFERROR(VLOOKUP($A41,'The List'!$B1:$AS671,17,FALSE)," ")</f>
        <v xml:space="preserve"> </v>
      </c>
      <c r="K41" s="84" t="str" cm="1">
        <f t="array" ref="K41">IFERROR(VLOOKUP($A41,'The List'!$B1:$AS671,18,FALSE)," ")</f>
        <v xml:space="preserve"> </v>
      </c>
      <c r="L41" s="84" t="str" cm="1">
        <f t="array" ref="L41">IFERROR(VLOOKUP($A41,'The List'!$B1:$AS671,19,FALSE)," ")</f>
        <v xml:space="preserve"> </v>
      </c>
      <c r="M41" s="84" t="str" cm="1">
        <f t="array" ref="M41">IFERROR(VLOOKUP($A41,'The List'!$B1:$AS671,20,FALSE)," ")</f>
        <v xml:space="preserve"> </v>
      </c>
      <c r="N41" s="84" t="str" cm="1">
        <f t="array" ref="N41">IFERROR(VLOOKUP($A41,'The List'!$B1:$AS671,21,FALSE)," ")</f>
        <v xml:space="preserve"> </v>
      </c>
      <c r="O41" s="84" t="str" cm="1">
        <f t="array" ref="O41">IFERROR(VLOOKUP($A41,'The List'!$B1:$AS671,22,FALSE)," ")</f>
        <v xml:space="preserve"> </v>
      </c>
      <c r="P41" s="84" t="str" cm="1">
        <f t="array" ref="P41">IFERROR(VLOOKUP($A41,'The List'!$B1:$AS671,23,FALSE)," ")</f>
        <v xml:space="preserve"> </v>
      </c>
      <c r="Q41" s="84" t="str" cm="1">
        <f t="array" ref="Q41">IFERROR(VLOOKUP($A41,'The List'!$B1:$AS671,24,FALSE)," ")</f>
        <v xml:space="preserve"> </v>
      </c>
      <c r="R41" s="84" t="str" cm="1">
        <f t="array" ref="R41">IFERROR(VLOOKUP($A41,'The List'!$B1:$AS671,25,FALSE)," ")</f>
        <v xml:space="preserve"> </v>
      </c>
      <c r="S41" s="84" t="str" cm="1">
        <f t="array" ref="S41">IFERROR(VLOOKUP($A41,'The List'!$B1:$AS671,26,FALSE)," ")</f>
        <v xml:space="preserve"> </v>
      </c>
      <c r="T41" s="84" t="str" cm="1">
        <f t="array" ref="T41">IFERROR(VLOOKUP($A41,'The List'!$B1:$AS671,27,FALSE)," ")</f>
        <v xml:space="preserve"> </v>
      </c>
      <c r="U41" s="84" t="str" cm="1">
        <f t="array" ref="U41">IFERROR(VLOOKUP($A41,'The List'!$B1:$AS671,28,FALSE)," ")</f>
        <v xml:space="preserve"> </v>
      </c>
      <c r="V41" s="84" t="str" cm="1">
        <f t="array" ref="V41">IFERROR(VLOOKUP($A41,'The List'!$B1:$AS671,29,FALSE)," ")</f>
        <v xml:space="preserve"> </v>
      </c>
      <c r="W41" s="84" t="str" cm="1">
        <f t="array" ref="W41">IFERROR(VLOOKUP($A41,'The List'!$B1:$AS671,30,FALSE)," ")</f>
        <v xml:space="preserve"> </v>
      </c>
      <c r="X41" s="84" t="str" cm="1">
        <f t="array" ref="X41">IFERROR(VLOOKUP($A41,'The List'!$B1:$AS671,31,FALSE)," ")</f>
        <v xml:space="preserve"> </v>
      </c>
      <c r="Y41" s="84" t="str" cm="1">
        <f t="array" ref="Y41">IFERROR(VLOOKUP($A41,'The List'!$B1:$AS671,32,FALSE)," ")</f>
        <v xml:space="preserve"> </v>
      </c>
      <c r="Z41" s="84" t="str" cm="1">
        <f t="array" ref="Z41">IFERROR(VLOOKUP($A41,'The List'!$B1:$AS671,33,FALSE)," ")</f>
        <v xml:space="preserve"> </v>
      </c>
      <c r="AA41" s="85"/>
      <c r="AB41" s="90"/>
      <c r="AC41" s="90"/>
      <c r="AD41" s="90"/>
      <c r="AE41" s="90"/>
      <c r="AF41" s="90"/>
    </row>
    <row r="42" spans="1:32" ht="21.25" customHeight="1" x14ac:dyDescent="0.15">
      <c r="A42" s="24"/>
      <c r="B42" s="96" t="str" cm="1">
        <f t="array" ref="B42">IFERROR(VLOOKUP($A42,'The List'!$B1:$AS671,3,FALSE)," ")</f>
        <v xml:space="preserve"> </v>
      </c>
      <c r="C42" s="98" t="str" cm="1">
        <f t="array" ref="C42">IFERROR(VLOOKUP($A42,'The List'!$B1:$AS671,4,FALSE)," ")</f>
        <v xml:space="preserve"> </v>
      </c>
      <c r="D42" s="18" t="str" cm="1">
        <f t="array" ref="D42">IFERROR(VLOOKUP($A42,'The List'!$B1:$AS671,5,FALSE)," ")</f>
        <v xml:space="preserve"> </v>
      </c>
      <c r="E42" s="18" t="str" cm="1">
        <f t="array" ref="E42">IFERROR(VLOOKUP($A42,'The List'!$B1:$AS671,6,FALSE)," ")</f>
        <v xml:space="preserve"> </v>
      </c>
      <c r="F42" s="92" t="str" cm="1">
        <f t="array" ref="F42">IFERROR(VLOOKUP($A42,'The List'!$B1:$AS671,8,FALSE)," ")</f>
        <v xml:space="preserve"> </v>
      </c>
      <c r="G42" s="92" t="str" cm="1">
        <f t="array" ref="G42">IFERROR(VLOOKUP($A42,'The List'!$B1:$AS671,10,FALSE)," ")</f>
        <v xml:space="preserve"> </v>
      </c>
      <c r="H42" s="55"/>
      <c r="I42" s="84" t="str" cm="1">
        <f t="array" ref="I42">IFERROR(VLOOKUP($A42,'The List'!$B1:$AS671,16,FALSE)," ")</f>
        <v xml:space="preserve"> </v>
      </c>
      <c r="J42" s="84" t="str" cm="1">
        <f t="array" ref="J42">IFERROR(VLOOKUP($A42,'The List'!$B1:$AS671,17,FALSE)," ")</f>
        <v xml:space="preserve"> </v>
      </c>
      <c r="K42" s="84" t="str" cm="1">
        <f t="array" ref="K42">IFERROR(VLOOKUP($A42,'The List'!$B1:$AS671,18,FALSE)," ")</f>
        <v xml:space="preserve"> </v>
      </c>
      <c r="L42" s="84" t="str" cm="1">
        <f t="array" ref="L42">IFERROR(VLOOKUP($A42,'The List'!$B1:$AS671,19,FALSE)," ")</f>
        <v xml:space="preserve"> </v>
      </c>
      <c r="M42" s="84" t="str" cm="1">
        <f t="array" ref="M42">IFERROR(VLOOKUP($A42,'The List'!$B1:$AS671,20,FALSE)," ")</f>
        <v xml:space="preserve"> </v>
      </c>
      <c r="N42" s="84" t="str" cm="1">
        <f t="array" ref="N42">IFERROR(VLOOKUP($A42,'The List'!$B1:$AS671,21,FALSE)," ")</f>
        <v xml:space="preserve"> </v>
      </c>
      <c r="O42" s="84" t="str" cm="1">
        <f t="array" ref="O42">IFERROR(VLOOKUP($A42,'The List'!$B1:$AS671,22,FALSE)," ")</f>
        <v xml:space="preserve"> </v>
      </c>
      <c r="P42" s="84" t="str" cm="1">
        <f t="array" ref="P42">IFERROR(VLOOKUP($A42,'The List'!$B1:$AS671,23,FALSE)," ")</f>
        <v xml:space="preserve"> </v>
      </c>
      <c r="Q42" s="84" t="str" cm="1">
        <f t="array" ref="Q42">IFERROR(VLOOKUP($A42,'The List'!$B1:$AS671,24,FALSE)," ")</f>
        <v xml:space="preserve"> </v>
      </c>
      <c r="R42" s="84" t="str" cm="1">
        <f t="array" ref="R42">IFERROR(VLOOKUP($A42,'The List'!$B1:$AS671,25,FALSE)," ")</f>
        <v xml:space="preserve"> </v>
      </c>
      <c r="S42" s="84" t="str" cm="1">
        <f t="array" ref="S42">IFERROR(VLOOKUP($A42,'The List'!$B1:$AS671,26,FALSE)," ")</f>
        <v xml:space="preserve"> </v>
      </c>
      <c r="T42" s="84" t="str" cm="1">
        <f t="array" ref="T42">IFERROR(VLOOKUP($A42,'The List'!$B1:$AS671,27,FALSE)," ")</f>
        <v xml:space="preserve"> </v>
      </c>
      <c r="U42" s="84" t="str" cm="1">
        <f t="array" ref="U42">IFERROR(VLOOKUP($A42,'The List'!$B1:$AS671,28,FALSE)," ")</f>
        <v xml:space="preserve"> </v>
      </c>
      <c r="V42" s="84" t="str" cm="1">
        <f t="array" ref="V42">IFERROR(VLOOKUP($A42,'The List'!$B1:$AS671,29,FALSE)," ")</f>
        <v xml:space="preserve"> </v>
      </c>
      <c r="W42" s="84" t="str" cm="1">
        <f t="array" ref="W42">IFERROR(VLOOKUP($A42,'The List'!$B1:$AS671,30,FALSE)," ")</f>
        <v xml:space="preserve"> </v>
      </c>
      <c r="X42" s="84" t="str" cm="1">
        <f t="array" ref="X42">IFERROR(VLOOKUP($A42,'The List'!$B1:$AS671,31,FALSE)," ")</f>
        <v xml:space="preserve"> </v>
      </c>
      <c r="Y42" s="84" t="str" cm="1">
        <f t="array" ref="Y42">IFERROR(VLOOKUP($A42,'The List'!$B1:$AS671,32,FALSE)," ")</f>
        <v xml:space="preserve"> </v>
      </c>
      <c r="Z42" s="84" t="str" cm="1">
        <f t="array" ref="Z42">IFERROR(VLOOKUP($A42,'The List'!$B1:$AS671,33,FALSE)," ")</f>
        <v xml:space="preserve"> </v>
      </c>
      <c r="AA42" s="85"/>
      <c r="AB42" s="90"/>
      <c r="AC42" s="90"/>
      <c r="AD42" s="90"/>
      <c r="AE42" s="90"/>
      <c r="AF42" s="90"/>
    </row>
    <row r="43" spans="1:32" ht="21.25" customHeight="1" x14ac:dyDescent="0.15">
      <c r="A43" s="24"/>
      <c r="B43" s="99" t="str" cm="1">
        <f t="array" ref="B43">IFERROR(VLOOKUP($A43,'The List'!$B1:$AS671,3,FALSE)," ")</f>
        <v xml:space="preserve"> </v>
      </c>
      <c r="C43" s="101" t="str" cm="1">
        <f t="array" ref="C43">IFERROR(VLOOKUP($A43,'The List'!$B1:$AS671,4,FALSE)," ")</f>
        <v xml:space="preserve"> </v>
      </c>
      <c r="D43" s="18" t="str" cm="1">
        <f t="array" ref="D43">IFERROR(VLOOKUP($A43,'The List'!$B1:$AS671,5,FALSE)," ")</f>
        <v xml:space="preserve"> </v>
      </c>
      <c r="E43" s="18" t="str" cm="1">
        <f t="array" ref="E43">IFERROR(VLOOKUP($A43,'The List'!$B1:$AS671,6,FALSE)," ")</f>
        <v xml:space="preserve"> </v>
      </c>
      <c r="F43" s="92" t="str" cm="1">
        <f t="array" ref="F43">IFERROR(VLOOKUP($A43,'The List'!$B1:$AS671,8,FALSE)," ")</f>
        <v xml:space="preserve"> </v>
      </c>
      <c r="G43" s="92" t="str" cm="1">
        <f t="array" ref="G43">IFERROR(VLOOKUP($A43,'The List'!$B1:$AS671,10,FALSE)," ")</f>
        <v xml:space="preserve"> </v>
      </c>
      <c r="H43" s="55"/>
      <c r="I43" s="84" t="str" cm="1">
        <f t="array" ref="I43">IFERROR(VLOOKUP($A43,'The List'!$B1:$AS671,16,FALSE)," ")</f>
        <v xml:space="preserve"> </v>
      </c>
      <c r="J43" s="84" t="str" cm="1">
        <f t="array" ref="J43">IFERROR(VLOOKUP($A43,'The List'!$B1:$AS671,17,FALSE)," ")</f>
        <v xml:space="preserve"> </v>
      </c>
      <c r="K43" s="84" t="str" cm="1">
        <f t="array" ref="K43">IFERROR(VLOOKUP($A43,'The List'!$B1:$AS671,18,FALSE)," ")</f>
        <v xml:space="preserve"> </v>
      </c>
      <c r="L43" s="84" t="str" cm="1">
        <f t="array" ref="L43">IFERROR(VLOOKUP($A43,'The List'!$B1:$AS671,19,FALSE)," ")</f>
        <v xml:space="preserve"> </v>
      </c>
      <c r="M43" s="84" t="str" cm="1">
        <f t="array" ref="M43">IFERROR(VLOOKUP($A43,'The List'!$B1:$AS671,20,FALSE)," ")</f>
        <v xml:space="preserve"> </v>
      </c>
      <c r="N43" s="84" t="str" cm="1">
        <f t="array" ref="N43">IFERROR(VLOOKUP($A43,'The List'!$B1:$AS671,21,FALSE)," ")</f>
        <v xml:space="preserve"> </v>
      </c>
      <c r="O43" s="84" t="str" cm="1">
        <f t="array" ref="O43">IFERROR(VLOOKUP($A43,'The List'!$B1:$AS671,22,FALSE)," ")</f>
        <v xml:space="preserve"> </v>
      </c>
      <c r="P43" s="84" t="str" cm="1">
        <f t="array" ref="P43">IFERROR(VLOOKUP($A43,'The List'!$B1:$AS671,23,FALSE)," ")</f>
        <v xml:space="preserve"> </v>
      </c>
      <c r="Q43" s="84" t="str" cm="1">
        <f t="array" ref="Q43">IFERROR(VLOOKUP($A43,'The List'!$B1:$AS671,24,FALSE)," ")</f>
        <v xml:space="preserve"> </v>
      </c>
      <c r="R43" s="84" t="str" cm="1">
        <f t="array" ref="R43">IFERROR(VLOOKUP($A43,'The List'!$B1:$AS671,25,FALSE)," ")</f>
        <v xml:space="preserve"> </v>
      </c>
      <c r="S43" s="84" t="str" cm="1">
        <f t="array" ref="S43">IFERROR(VLOOKUP($A43,'The List'!$B1:$AS671,26,FALSE)," ")</f>
        <v xml:space="preserve"> </v>
      </c>
      <c r="T43" s="84" t="str" cm="1">
        <f t="array" ref="T43">IFERROR(VLOOKUP($A43,'The List'!$B1:$AS671,27,FALSE)," ")</f>
        <v xml:space="preserve"> </v>
      </c>
      <c r="U43" s="84" t="str" cm="1">
        <f t="array" ref="U43">IFERROR(VLOOKUP($A43,'The List'!$B1:$AS671,28,FALSE)," ")</f>
        <v xml:space="preserve"> </v>
      </c>
      <c r="V43" s="84" t="str" cm="1">
        <f t="array" ref="V43">IFERROR(VLOOKUP($A43,'The List'!$B1:$AS671,29,FALSE)," ")</f>
        <v xml:space="preserve"> </v>
      </c>
      <c r="W43" s="84" t="str" cm="1">
        <f t="array" ref="W43">IFERROR(VLOOKUP($A43,'The List'!$B1:$AS671,30,FALSE)," ")</f>
        <v xml:space="preserve"> </v>
      </c>
      <c r="X43" s="84" t="str" cm="1">
        <f t="array" ref="X43">IFERROR(VLOOKUP($A43,'The List'!$B1:$AS671,31,FALSE)," ")</f>
        <v xml:space="preserve"> </v>
      </c>
      <c r="Y43" s="84" t="str" cm="1">
        <f t="array" ref="Y43">IFERROR(VLOOKUP($A43,'The List'!$B1:$AS671,32,FALSE)," ")</f>
        <v xml:space="preserve"> </v>
      </c>
      <c r="Z43" s="84" t="str" cm="1">
        <f t="array" ref="Z43">IFERROR(VLOOKUP($A43,'The List'!$B1:$AS671,33,FALSE)," ")</f>
        <v xml:space="preserve"> </v>
      </c>
      <c r="AA43" s="85"/>
      <c r="AB43" s="90"/>
      <c r="AC43" s="90"/>
      <c r="AD43" s="90"/>
      <c r="AE43" s="90"/>
      <c r="AF43" s="90"/>
    </row>
    <row r="44" spans="1:32" ht="21.25" customHeight="1" x14ac:dyDescent="0.15">
      <c r="A44" s="24"/>
      <c r="B44" s="99" t="str" cm="1">
        <f t="array" ref="B44">IFERROR(VLOOKUP($A44,'The List'!$B1:$AS671,3,FALSE)," ")</f>
        <v xml:space="preserve"> </v>
      </c>
      <c r="C44" s="101" t="str" cm="1">
        <f t="array" ref="C44">IFERROR(VLOOKUP($A44,'The List'!$B1:$AS671,4,FALSE)," ")</f>
        <v xml:space="preserve"> </v>
      </c>
      <c r="D44" s="18" t="str" cm="1">
        <f t="array" ref="D44">IFERROR(VLOOKUP($A44,'The List'!$B1:$AS671,5,FALSE)," ")</f>
        <v xml:space="preserve"> </v>
      </c>
      <c r="E44" s="18" t="str" cm="1">
        <f t="array" ref="E44">IFERROR(VLOOKUP($A44,'The List'!$B1:$AS671,6,FALSE)," ")</f>
        <v xml:space="preserve"> </v>
      </c>
      <c r="F44" s="92" t="str" cm="1">
        <f t="array" ref="F44">IFERROR(VLOOKUP($A44,'The List'!$B1:$AS671,8,FALSE)," ")</f>
        <v xml:space="preserve"> </v>
      </c>
      <c r="G44" s="92" t="str" cm="1">
        <f t="array" ref="G44">IFERROR(VLOOKUP($A44,'The List'!$B1:$AS671,10,FALSE)," ")</f>
        <v xml:space="preserve"> </v>
      </c>
      <c r="H44" s="55"/>
      <c r="I44" s="84" t="str" cm="1">
        <f t="array" ref="I44">IFERROR(VLOOKUP($A44,'The List'!$B1:$AS671,16,FALSE)," ")</f>
        <v xml:space="preserve"> </v>
      </c>
      <c r="J44" s="84" t="str" cm="1">
        <f t="array" ref="J44">IFERROR(VLOOKUP($A44,'The List'!$B1:$AS671,17,FALSE)," ")</f>
        <v xml:space="preserve"> </v>
      </c>
      <c r="K44" s="84" t="str" cm="1">
        <f t="array" ref="K44">IFERROR(VLOOKUP($A44,'The List'!$B1:$AS671,18,FALSE)," ")</f>
        <v xml:space="preserve"> </v>
      </c>
      <c r="L44" s="84" t="str" cm="1">
        <f t="array" ref="L44">IFERROR(VLOOKUP($A44,'The List'!$B1:$AS671,19,FALSE)," ")</f>
        <v xml:space="preserve"> </v>
      </c>
      <c r="M44" s="84" t="str" cm="1">
        <f t="array" ref="M44">IFERROR(VLOOKUP($A44,'The List'!$B1:$AS671,20,FALSE)," ")</f>
        <v xml:space="preserve"> </v>
      </c>
      <c r="N44" s="84" t="str" cm="1">
        <f t="array" ref="N44">IFERROR(VLOOKUP($A44,'The List'!$B1:$AS671,21,FALSE)," ")</f>
        <v xml:space="preserve"> </v>
      </c>
      <c r="O44" s="84" t="str" cm="1">
        <f t="array" ref="O44">IFERROR(VLOOKUP($A44,'The List'!$B1:$AS671,22,FALSE)," ")</f>
        <v xml:space="preserve"> </v>
      </c>
      <c r="P44" s="84" t="str" cm="1">
        <f t="array" ref="P44">IFERROR(VLOOKUP($A44,'The List'!$B1:$AS671,23,FALSE)," ")</f>
        <v xml:space="preserve"> </v>
      </c>
      <c r="Q44" s="84" t="str" cm="1">
        <f t="array" ref="Q44">IFERROR(VLOOKUP($A44,'The List'!$B1:$AS671,24,FALSE)," ")</f>
        <v xml:space="preserve"> </v>
      </c>
      <c r="R44" s="84" t="str" cm="1">
        <f t="array" ref="R44">IFERROR(VLOOKUP($A44,'The List'!$B1:$AS671,25,FALSE)," ")</f>
        <v xml:space="preserve"> </v>
      </c>
      <c r="S44" s="84" t="str" cm="1">
        <f t="array" ref="S44">IFERROR(VLOOKUP($A44,'The List'!$B1:$AS671,26,FALSE)," ")</f>
        <v xml:space="preserve"> </v>
      </c>
      <c r="T44" s="84" t="str" cm="1">
        <f t="array" ref="T44">IFERROR(VLOOKUP($A44,'The List'!$B1:$AS671,27,FALSE)," ")</f>
        <v xml:space="preserve"> </v>
      </c>
      <c r="U44" s="84" t="str" cm="1">
        <f t="array" ref="U44">IFERROR(VLOOKUP($A44,'The List'!$B1:$AS671,28,FALSE)," ")</f>
        <v xml:space="preserve"> </v>
      </c>
      <c r="V44" s="84" t="str" cm="1">
        <f t="array" ref="V44">IFERROR(VLOOKUP($A44,'The List'!$B1:$AS671,29,FALSE)," ")</f>
        <v xml:space="preserve"> </v>
      </c>
      <c r="W44" s="84" t="str" cm="1">
        <f t="array" ref="W44">IFERROR(VLOOKUP($A44,'The List'!$B1:$AS671,30,FALSE)," ")</f>
        <v xml:space="preserve"> </v>
      </c>
      <c r="X44" s="84" t="str" cm="1">
        <f t="array" ref="X44">IFERROR(VLOOKUP($A44,'The List'!$B1:$AS671,31,FALSE)," ")</f>
        <v xml:space="preserve"> </v>
      </c>
      <c r="Y44" s="84" t="str" cm="1">
        <f t="array" ref="Y44">IFERROR(VLOOKUP($A44,'The List'!$B1:$AS671,32,FALSE)," ")</f>
        <v xml:space="preserve"> </v>
      </c>
      <c r="Z44" s="84" t="str" cm="1">
        <f t="array" ref="Z44">IFERROR(VLOOKUP($A44,'The List'!$B1:$AS671,33,FALSE)," ")</f>
        <v xml:space="preserve"> </v>
      </c>
      <c r="AA44" s="85"/>
      <c r="AB44" s="90"/>
      <c r="AC44" s="90"/>
      <c r="AD44" s="90"/>
      <c r="AE44" s="90"/>
      <c r="AF44" s="90"/>
    </row>
    <row r="45" spans="1:32" ht="21.25" customHeight="1" x14ac:dyDescent="0.15">
      <c r="A45" s="24"/>
      <c r="B45" s="99" t="str" cm="1">
        <f t="array" ref="B45">IFERROR(VLOOKUP($A45,'The List'!$B1:$AS671,3,FALSE)," ")</f>
        <v xml:space="preserve"> </v>
      </c>
      <c r="C45" s="101" t="str" cm="1">
        <f t="array" ref="C45">IFERROR(VLOOKUP($A45,'The List'!$B1:$AS671,4,FALSE)," ")</f>
        <v xml:space="preserve"> </v>
      </c>
      <c r="D45" s="18" t="str" cm="1">
        <f t="array" ref="D45">IFERROR(VLOOKUP($A45,'The List'!$B1:$AS671,5,FALSE)," ")</f>
        <v xml:space="preserve"> </v>
      </c>
      <c r="E45" s="18" t="str" cm="1">
        <f t="array" ref="E45">IFERROR(VLOOKUP($A45,'The List'!$B1:$AS671,6,FALSE)," ")</f>
        <v xml:space="preserve"> </v>
      </c>
      <c r="F45" s="92" t="str" cm="1">
        <f t="array" ref="F45">IFERROR(VLOOKUP($A45,'The List'!$B1:$AS671,8,FALSE)," ")</f>
        <v xml:space="preserve"> </v>
      </c>
      <c r="G45" s="92" t="str" cm="1">
        <f t="array" ref="G45">IFERROR(VLOOKUP($A45,'The List'!$B1:$AS671,10,FALSE)," ")</f>
        <v xml:space="preserve"> </v>
      </c>
      <c r="H45" s="55"/>
      <c r="I45" s="84" t="str" cm="1">
        <f t="array" ref="I45">IFERROR(VLOOKUP($A45,'The List'!$B1:$AS671,16,FALSE)," ")</f>
        <v xml:space="preserve"> </v>
      </c>
      <c r="J45" s="84" t="str" cm="1">
        <f t="array" ref="J45">IFERROR(VLOOKUP($A45,'The List'!$B1:$AS671,17,FALSE)," ")</f>
        <v xml:space="preserve"> </v>
      </c>
      <c r="K45" s="84" t="str" cm="1">
        <f t="array" ref="K45">IFERROR(VLOOKUP($A45,'The List'!$B1:$AS671,18,FALSE)," ")</f>
        <v xml:space="preserve"> </v>
      </c>
      <c r="L45" s="84" t="str" cm="1">
        <f t="array" ref="L45">IFERROR(VLOOKUP($A45,'The List'!$B1:$AS671,19,FALSE)," ")</f>
        <v xml:space="preserve"> </v>
      </c>
      <c r="M45" s="84" t="str" cm="1">
        <f t="array" ref="M45">IFERROR(VLOOKUP($A45,'The List'!$B1:$AS671,20,FALSE)," ")</f>
        <v xml:space="preserve"> </v>
      </c>
      <c r="N45" s="84" t="str" cm="1">
        <f t="array" ref="N45">IFERROR(VLOOKUP($A45,'The List'!$B1:$AS671,21,FALSE)," ")</f>
        <v xml:space="preserve"> </v>
      </c>
      <c r="O45" s="84" t="str" cm="1">
        <f t="array" ref="O45">IFERROR(VLOOKUP($A45,'The List'!$B1:$AS671,22,FALSE)," ")</f>
        <v xml:space="preserve"> </v>
      </c>
      <c r="P45" s="84" t="str" cm="1">
        <f t="array" ref="P45">IFERROR(VLOOKUP($A45,'The List'!$B1:$AS671,23,FALSE)," ")</f>
        <v xml:space="preserve"> </v>
      </c>
      <c r="Q45" s="84" t="str" cm="1">
        <f t="array" ref="Q45">IFERROR(VLOOKUP($A45,'The List'!$B1:$AS671,24,FALSE)," ")</f>
        <v xml:space="preserve"> </v>
      </c>
      <c r="R45" s="84" t="str" cm="1">
        <f t="array" ref="R45">IFERROR(VLOOKUP($A45,'The List'!$B1:$AS671,25,FALSE)," ")</f>
        <v xml:space="preserve"> </v>
      </c>
      <c r="S45" s="84" t="str" cm="1">
        <f t="array" ref="S45">IFERROR(VLOOKUP($A45,'The List'!$B1:$AS671,26,FALSE)," ")</f>
        <v xml:space="preserve"> </v>
      </c>
      <c r="T45" s="84" t="str" cm="1">
        <f t="array" ref="T45">IFERROR(VLOOKUP($A45,'The List'!$B1:$AS671,27,FALSE)," ")</f>
        <v xml:space="preserve"> </v>
      </c>
      <c r="U45" s="84" t="str" cm="1">
        <f t="array" ref="U45">IFERROR(VLOOKUP($A45,'The List'!$B1:$AS671,28,FALSE)," ")</f>
        <v xml:space="preserve"> </v>
      </c>
      <c r="V45" s="84" t="str" cm="1">
        <f t="array" ref="V45">IFERROR(VLOOKUP($A45,'The List'!$B1:$AS671,29,FALSE)," ")</f>
        <v xml:space="preserve"> </v>
      </c>
      <c r="W45" s="84" t="str" cm="1">
        <f t="array" ref="W45">IFERROR(VLOOKUP($A45,'The List'!$B1:$AS671,30,FALSE)," ")</f>
        <v xml:space="preserve"> </v>
      </c>
      <c r="X45" s="84" t="str" cm="1">
        <f t="array" ref="X45">IFERROR(VLOOKUP($A45,'The List'!$B1:$AS671,31,FALSE)," ")</f>
        <v xml:space="preserve"> </v>
      </c>
      <c r="Y45" s="84" t="str" cm="1">
        <f t="array" ref="Y45">IFERROR(VLOOKUP($A45,'The List'!$B1:$AS671,32,FALSE)," ")</f>
        <v xml:space="preserve"> </v>
      </c>
      <c r="Z45" s="84" t="str" cm="1">
        <f t="array" ref="Z45">IFERROR(VLOOKUP($A45,'The List'!$B1:$AS671,33,FALSE)," ")</f>
        <v xml:space="preserve"> </v>
      </c>
      <c r="AA45" s="85"/>
      <c r="AB45" s="90"/>
      <c r="AC45" s="90"/>
      <c r="AD45" s="90"/>
      <c r="AE45" s="90"/>
      <c r="AF45" s="90"/>
    </row>
    <row r="46" spans="1:32" ht="21.25" customHeight="1" x14ac:dyDescent="0.15">
      <c r="A46" s="24"/>
      <c r="B46" s="99" t="str" cm="1">
        <f t="array" ref="B46">IFERROR(VLOOKUP($A46,'The List'!$B1:$AS671,3,FALSE)," ")</f>
        <v xml:space="preserve"> </v>
      </c>
      <c r="C46" s="101" t="str" cm="1">
        <f t="array" ref="C46">IFERROR(VLOOKUP($A46,'The List'!$B1:$AS671,4,FALSE)," ")</f>
        <v xml:space="preserve"> </v>
      </c>
      <c r="D46" s="18" t="str" cm="1">
        <f t="array" ref="D46">IFERROR(VLOOKUP($A46,'The List'!$B1:$AS671,5,FALSE)," ")</f>
        <v xml:space="preserve"> </v>
      </c>
      <c r="E46" s="18" t="str" cm="1">
        <f t="array" ref="E46">IFERROR(VLOOKUP($A46,'The List'!$B1:$AS671,6,FALSE)," ")</f>
        <v xml:space="preserve"> </v>
      </c>
      <c r="F46" s="92" t="str" cm="1">
        <f t="array" ref="F46">IFERROR(VLOOKUP($A46,'The List'!$B1:$AS671,8,FALSE)," ")</f>
        <v xml:space="preserve"> </v>
      </c>
      <c r="G46" s="92" t="str" cm="1">
        <f t="array" ref="G46">IFERROR(VLOOKUP($A46,'The List'!$B1:$AS671,10,FALSE)," ")</f>
        <v xml:space="preserve"> </v>
      </c>
      <c r="H46" s="55"/>
      <c r="I46" s="84" t="str" cm="1">
        <f t="array" ref="I46">IFERROR(VLOOKUP($A46,'The List'!$B1:$AS671,16,FALSE)," ")</f>
        <v xml:space="preserve"> </v>
      </c>
      <c r="J46" s="84" t="str" cm="1">
        <f t="array" ref="J46">IFERROR(VLOOKUP($A46,'The List'!$B1:$AS671,17,FALSE)," ")</f>
        <v xml:space="preserve"> </v>
      </c>
      <c r="K46" s="84" t="str" cm="1">
        <f t="array" ref="K46">IFERROR(VLOOKUP($A46,'The List'!$B1:$AS671,18,FALSE)," ")</f>
        <v xml:space="preserve"> </v>
      </c>
      <c r="L46" s="84" t="str" cm="1">
        <f t="array" ref="L46">IFERROR(VLOOKUP($A46,'The List'!$B1:$AS671,19,FALSE)," ")</f>
        <v xml:space="preserve"> </v>
      </c>
      <c r="M46" s="84" t="str" cm="1">
        <f t="array" ref="M46">IFERROR(VLOOKUP($A46,'The List'!$B1:$AS671,20,FALSE)," ")</f>
        <v xml:space="preserve"> </v>
      </c>
      <c r="N46" s="84" t="str" cm="1">
        <f t="array" ref="N46">IFERROR(VLOOKUP($A46,'The List'!$B1:$AS671,21,FALSE)," ")</f>
        <v xml:space="preserve"> </v>
      </c>
      <c r="O46" s="84" t="str" cm="1">
        <f t="array" ref="O46">IFERROR(VLOOKUP($A46,'The List'!$B1:$AS671,22,FALSE)," ")</f>
        <v xml:space="preserve"> </v>
      </c>
      <c r="P46" s="84" t="str" cm="1">
        <f t="array" ref="P46">IFERROR(VLOOKUP($A46,'The List'!$B1:$AS671,23,FALSE)," ")</f>
        <v xml:space="preserve"> </v>
      </c>
      <c r="Q46" s="84" t="str" cm="1">
        <f t="array" ref="Q46">IFERROR(VLOOKUP($A46,'The List'!$B1:$AS671,24,FALSE)," ")</f>
        <v xml:space="preserve"> </v>
      </c>
      <c r="R46" s="84" t="str" cm="1">
        <f t="array" ref="R46">IFERROR(VLOOKUP($A46,'The List'!$B1:$AS671,25,FALSE)," ")</f>
        <v xml:space="preserve"> </v>
      </c>
      <c r="S46" s="84" t="str" cm="1">
        <f t="array" ref="S46">IFERROR(VLOOKUP($A46,'The List'!$B1:$AS671,26,FALSE)," ")</f>
        <v xml:space="preserve"> </v>
      </c>
      <c r="T46" s="84" t="str" cm="1">
        <f t="array" ref="T46">IFERROR(VLOOKUP($A46,'The List'!$B1:$AS671,27,FALSE)," ")</f>
        <v xml:space="preserve"> </v>
      </c>
      <c r="U46" s="84" t="str" cm="1">
        <f t="array" ref="U46">IFERROR(VLOOKUP($A46,'The List'!$B1:$AS671,28,FALSE)," ")</f>
        <v xml:space="preserve"> </v>
      </c>
      <c r="V46" s="84" t="str" cm="1">
        <f t="array" ref="V46">IFERROR(VLOOKUP($A46,'The List'!$B1:$AS671,29,FALSE)," ")</f>
        <v xml:space="preserve"> </v>
      </c>
      <c r="W46" s="84" t="str" cm="1">
        <f t="array" ref="W46">IFERROR(VLOOKUP($A46,'The List'!$B1:$AS671,30,FALSE)," ")</f>
        <v xml:space="preserve"> </v>
      </c>
      <c r="X46" s="84" t="str" cm="1">
        <f t="array" ref="X46">IFERROR(VLOOKUP($A46,'The List'!$B1:$AS671,31,FALSE)," ")</f>
        <v xml:space="preserve"> </v>
      </c>
      <c r="Y46" s="84" t="str" cm="1">
        <f t="array" ref="Y46">IFERROR(VLOOKUP($A46,'The List'!$B1:$AS671,32,FALSE)," ")</f>
        <v xml:space="preserve"> </v>
      </c>
      <c r="Z46" s="84" t="str" cm="1">
        <f t="array" ref="Z46">IFERROR(VLOOKUP($A46,'The List'!$B1:$AS671,33,FALSE)," ")</f>
        <v xml:space="preserve"> </v>
      </c>
      <c r="AA46" s="85"/>
      <c r="AB46" s="90"/>
      <c r="AC46" s="90"/>
      <c r="AD46" s="90"/>
      <c r="AE46" s="90"/>
      <c r="AF46" s="90"/>
    </row>
    <row r="47" spans="1:32" ht="21.25" customHeight="1" x14ac:dyDescent="0.15">
      <c r="A47" s="24"/>
      <c r="B47" s="99" t="str" cm="1">
        <f t="array" ref="B47">IFERROR(VLOOKUP($A47,'The List'!$B1:$AS671,3,FALSE)," ")</f>
        <v xml:space="preserve"> </v>
      </c>
      <c r="C47" s="101" t="str" cm="1">
        <f t="array" ref="C47">IFERROR(VLOOKUP($A47,'The List'!$B1:$AS671,4,FALSE)," ")</f>
        <v xml:space="preserve"> </v>
      </c>
      <c r="D47" s="18" t="str" cm="1">
        <f t="array" ref="D47">IFERROR(VLOOKUP($A47,'The List'!$B1:$AS671,5,FALSE)," ")</f>
        <v xml:space="preserve"> </v>
      </c>
      <c r="E47" s="18" t="str" cm="1">
        <f t="array" ref="E47">IFERROR(VLOOKUP($A47,'The List'!$B1:$AS671,6,FALSE)," ")</f>
        <v xml:space="preserve"> </v>
      </c>
      <c r="F47" s="92" t="str" cm="1">
        <f t="array" ref="F47">IFERROR(VLOOKUP($A47,'The List'!$B1:$AS671,8,FALSE)," ")</f>
        <v xml:space="preserve"> </v>
      </c>
      <c r="G47" s="92" t="str" cm="1">
        <f t="array" ref="G47">IFERROR(VLOOKUP($A47,'The List'!$B1:$AS671,10,FALSE)," ")</f>
        <v xml:space="preserve"> </v>
      </c>
      <c r="H47" s="55"/>
      <c r="I47" s="84" t="str" cm="1">
        <f t="array" ref="I47">IFERROR(VLOOKUP($A47,'The List'!$B1:$AS671,16,FALSE)," ")</f>
        <v xml:space="preserve"> </v>
      </c>
      <c r="J47" s="84" t="str" cm="1">
        <f t="array" ref="J47">IFERROR(VLOOKUP($A47,'The List'!$B1:$AS671,17,FALSE)," ")</f>
        <v xml:space="preserve"> </v>
      </c>
      <c r="K47" s="84" t="str" cm="1">
        <f t="array" ref="K47">IFERROR(VLOOKUP($A47,'The List'!$B1:$AS671,18,FALSE)," ")</f>
        <v xml:space="preserve"> </v>
      </c>
      <c r="L47" s="84" t="str" cm="1">
        <f t="array" ref="L47">IFERROR(VLOOKUP($A47,'The List'!$B1:$AS671,19,FALSE)," ")</f>
        <v xml:space="preserve"> </v>
      </c>
      <c r="M47" s="84" t="str" cm="1">
        <f t="array" ref="M47">IFERROR(VLOOKUP($A47,'The List'!$B1:$AS671,20,FALSE)," ")</f>
        <v xml:space="preserve"> </v>
      </c>
      <c r="N47" s="84" t="str" cm="1">
        <f t="array" ref="N47">IFERROR(VLOOKUP($A47,'The List'!$B1:$AS671,21,FALSE)," ")</f>
        <v xml:space="preserve"> </v>
      </c>
      <c r="O47" s="84" t="str" cm="1">
        <f t="array" ref="O47">IFERROR(VLOOKUP($A47,'The List'!$B1:$AS671,22,FALSE)," ")</f>
        <v xml:space="preserve"> </v>
      </c>
      <c r="P47" s="84" t="str" cm="1">
        <f t="array" ref="P47">IFERROR(VLOOKUP($A47,'The List'!$B1:$AS671,23,FALSE)," ")</f>
        <v xml:space="preserve"> </v>
      </c>
      <c r="Q47" s="84" t="str" cm="1">
        <f t="array" ref="Q47">IFERROR(VLOOKUP($A47,'The List'!$B1:$AS671,24,FALSE)," ")</f>
        <v xml:space="preserve"> </v>
      </c>
      <c r="R47" s="84" t="str" cm="1">
        <f t="array" ref="R47">IFERROR(VLOOKUP($A47,'The List'!$B1:$AS671,25,FALSE)," ")</f>
        <v xml:space="preserve"> </v>
      </c>
      <c r="S47" s="84" t="str" cm="1">
        <f t="array" ref="S47">IFERROR(VLOOKUP($A47,'The List'!$B1:$AS671,26,FALSE)," ")</f>
        <v xml:space="preserve"> </v>
      </c>
      <c r="T47" s="84" t="str" cm="1">
        <f t="array" ref="T47">IFERROR(VLOOKUP($A47,'The List'!$B1:$AS671,27,FALSE)," ")</f>
        <v xml:space="preserve"> </v>
      </c>
      <c r="U47" s="84" t="str" cm="1">
        <f t="array" ref="U47">IFERROR(VLOOKUP($A47,'The List'!$B1:$AS671,28,FALSE)," ")</f>
        <v xml:space="preserve"> </v>
      </c>
      <c r="V47" s="84" t="str" cm="1">
        <f t="array" ref="V47">IFERROR(VLOOKUP($A47,'The List'!$B1:$AS671,29,FALSE)," ")</f>
        <v xml:space="preserve"> </v>
      </c>
      <c r="W47" s="84" t="str" cm="1">
        <f t="array" ref="W47">IFERROR(VLOOKUP($A47,'The List'!$B1:$AS671,30,FALSE)," ")</f>
        <v xml:space="preserve"> </v>
      </c>
      <c r="X47" s="84" t="str" cm="1">
        <f t="array" ref="X47">IFERROR(VLOOKUP($A47,'The List'!$B1:$AS671,31,FALSE)," ")</f>
        <v xml:space="preserve"> </v>
      </c>
      <c r="Y47" s="84" t="str" cm="1">
        <f t="array" ref="Y47">IFERROR(VLOOKUP($A47,'The List'!$B1:$AS671,32,FALSE)," ")</f>
        <v xml:space="preserve"> </v>
      </c>
      <c r="Z47" s="84" t="str" cm="1">
        <f t="array" ref="Z47">IFERROR(VLOOKUP($A47,'The List'!$B1:$AS671,33,FALSE)," ")</f>
        <v xml:space="preserve"> </v>
      </c>
      <c r="AA47" s="85"/>
      <c r="AB47" s="90"/>
      <c r="AC47" s="90"/>
      <c r="AD47" s="90"/>
      <c r="AE47" s="90"/>
      <c r="AF47" s="90"/>
    </row>
    <row r="48" spans="1:32" ht="21.25" customHeight="1" x14ac:dyDescent="0.15">
      <c r="A48" s="24"/>
      <c r="B48" s="99" t="str" cm="1">
        <f t="array" ref="B48">IFERROR(VLOOKUP($A48,'The List'!$B1:$AS671,3,FALSE)," ")</f>
        <v xml:space="preserve"> </v>
      </c>
      <c r="C48" s="101" t="str" cm="1">
        <f t="array" ref="C48">IFERROR(VLOOKUP($A48,'The List'!$B1:$AS671,4,FALSE)," ")</f>
        <v xml:space="preserve"> </v>
      </c>
      <c r="D48" s="18" t="str" cm="1">
        <f t="array" ref="D48">IFERROR(VLOOKUP($A48,'The List'!$B1:$AS671,5,FALSE)," ")</f>
        <v xml:space="preserve"> </v>
      </c>
      <c r="E48" s="18" t="str" cm="1">
        <f t="array" ref="E48">IFERROR(VLOOKUP($A48,'The List'!$B1:$AS671,6,FALSE)," ")</f>
        <v xml:space="preserve"> </v>
      </c>
      <c r="F48" s="92" t="str" cm="1">
        <f t="array" ref="F48">IFERROR(VLOOKUP($A48,'The List'!$B1:$AS671,8,FALSE)," ")</f>
        <v xml:space="preserve"> </v>
      </c>
      <c r="G48" s="92" t="str" cm="1">
        <f t="array" ref="G48">IFERROR(VLOOKUP($A48,'The List'!$B1:$AS671,10,FALSE)," ")</f>
        <v xml:space="preserve"> </v>
      </c>
      <c r="H48" s="55"/>
      <c r="I48" s="84" t="str" cm="1">
        <f t="array" ref="I48">IFERROR(VLOOKUP($A48,'The List'!$B1:$AS671,16,FALSE)," ")</f>
        <v xml:space="preserve"> </v>
      </c>
      <c r="J48" s="84" t="str" cm="1">
        <f t="array" ref="J48">IFERROR(VLOOKUP($A48,'The List'!$B1:$AS671,17,FALSE)," ")</f>
        <v xml:space="preserve"> </v>
      </c>
      <c r="K48" s="84" t="str" cm="1">
        <f t="array" ref="K48">IFERROR(VLOOKUP($A48,'The List'!$B1:$AS671,18,FALSE)," ")</f>
        <v xml:space="preserve"> </v>
      </c>
      <c r="L48" s="84" t="str" cm="1">
        <f t="array" ref="L48">IFERROR(VLOOKUP($A48,'The List'!$B1:$AS671,19,FALSE)," ")</f>
        <v xml:space="preserve"> </v>
      </c>
      <c r="M48" s="84" t="str" cm="1">
        <f t="array" ref="M48">IFERROR(VLOOKUP($A48,'The List'!$B1:$AS671,20,FALSE)," ")</f>
        <v xml:space="preserve"> </v>
      </c>
      <c r="N48" s="84" t="str" cm="1">
        <f t="array" ref="N48">IFERROR(VLOOKUP($A48,'The List'!$B1:$AS671,21,FALSE)," ")</f>
        <v xml:space="preserve"> </v>
      </c>
      <c r="O48" s="84" t="str" cm="1">
        <f t="array" ref="O48">IFERROR(VLOOKUP($A48,'The List'!$B1:$AS671,22,FALSE)," ")</f>
        <v xml:space="preserve"> </v>
      </c>
      <c r="P48" s="84" t="str" cm="1">
        <f t="array" ref="P48">IFERROR(VLOOKUP($A48,'The List'!$B1:$AS671,23,FALSE)," ")</f>
        <v xml:space="preserve"> </v>
      </c>
      <c r="Q48" s="84" t="str" cm="1">
        <f t="array" ref="Q48">IFERROR(VLOOKUP($A48,'The List'!$B1:$AS671,24,FALSE)," ")</f>
        <v xml:space="preserve"> </v>
      </c>
      <c r="R48" s="84" t="str" cm="1">
        <f t="array" ref="R48">IFERROR(VLOOKUP($A48,'The List'!$B1:$AS671,25,FALSE)," ")</f>
        <v xml:space="preserve"> </v>
      </c>
      <c r="S48" s="84" t="str" cm="1">
        <f t="array" ref="S48">IFERROR(VLOOKUP($A48,'The List'!$B1:$AS671,26,FALSE)," ")</f>
        <v xml:space="preserve"> </v>
      </c>
      <c r="T48" s="84" t="str" cm="1">
        <f t="array" ref="T48">IFERROR(VLOOKUP($A48,'The List'!$B1:$AS671,27,FALSE)," ")</f>
        <v xml:space="preserve"> </v>
      </c>
      <c r="U48" s="84" t="str" cm="1">
        <f t="array" ref="U48">IFERROR(VLOOKUP($A48,'The List'!$B1:$AS671,28,FALSE)," ")</f>
        <v xml:space="preserve"> </v>
      </c>
      <c r="V48" s="84" t="str" cm="1">
        <f t="array" ref="V48">IFERROR(VLOOKUP($A48,'The List'!$B1:$AS671,29,FALSE)," ")</f>
        <v xml:space="preserve"> </v>
      </c>
      <c r="W48" s="84" t="str" cm="1">
        <f t="array" ref="W48">IFERROR(VLOOKUP($A48,'The List'!$B1:$AS671,30,FALSE)," ")</f>
        <v xml:space="preserve"> </v>
      </c>
      <c r="X48" s="84" t="str" cm="1">
        <f t="array" ref="X48">IFERROR(VLOOKUP($A48,'The List'!$B1:$AS671,31,FALSE)," ")</f>
        <v xml:space="preserve"> </v>
      </c>
      <c r="Y48" s="84" t="str" cm="1">
        <f t="array" ref="Y48">IFERROR(VLOOKUP($A48,'The List'!$B1:$AS671,32,FALSE)," ")</f>
        <v xml:space="preserve"> </v>
      </c>
      <c r="Z48" s="84" t="str" cm="1">
        <f t="array" ref="Z48">IFERROR(VLOOKUP($A48,'The List'!$B1:$AS671,33,FALSE)," ")</f>
        <v xml:space="preserve"> </v>
      </c>
      <c r="AA48" s="85"/>
      <c r="AB48" s="90"/>
      <c r="AC48" s="90"/>
      <c r="AD48" s="90"/>
      <c r="AE48" s="90"/>
      <c r="AF48" s="90"/>
    </row>
    <row r="49" spans="1:32" ht="21.25" customHeight="1" x14ac:dyDescent="0.15">
      <c r="A49" s="24"/>
      <c r="B49" s="99" t="str" cm="1">
        <f t="array" ref="B49">IFERROR(VLOOKUP($A49,'The List'!$B1:$AS671,3,FALSE)," ")</f>
        <v xml:space="preserve"> </v>
      </c>
      <c r="C49" s="101" t="str" cm="1">
        <f t="array" ref="C49">IFERROR(VLOOKUP($A49,'The List'!$B1:$AS671,4,FALSE)," ")</f>
        <v xml:space="preserve"> </v>
      </c>
      <c r="D49" s="18" t="str" cm="1">
        <f t="array" ref="D49">IFERROR(VLOOKUP($A49,'The List'!$B1:$AS671,5,FALSE)," ")</f>
        <v xml:space="preserve"> </v>
      </c>
      <c r="E49" s="18" t="str" cm="1">
        <f t="array" ref="E49">IFERROR(VLOOKUP($A49,'The List'!$B1:$AS671,6,FALSE)," ")</f>
        <v xml:space="preserve"> </v>
      </c>
      <c r="F49" s="92" t="str" cm="1">
        <f t="array" ref="F49">IFERROR(VLOOKUP($A49,'The List'!$B1:$AS671,8,FALSE)," ")</f>
        <v xml:space="preserve"> </v>
      </c>
      <c r="G49" s="92" t="str" cm="1">
        <f t="array" ref="G49">IFERROR(VLOOKUP($A49,'The List'!$B1:$AS671,10,FALSE)," ")</f>
        <v xml:space="preserve"> </v>
      </c>
      <c r="H49" s="55"/>
      <c r="I49" s="84" t="str" cm="1">
        <f t="array" ref="I49">IFERROR(VLOOKUP($A49,'The List'!$B1:$AS671,16,FALSE)," ")</f>
        <v xml:space="preserve"> </v>
      </c>
      <c r="J49" s="84" t="str" cm="1">
        <f t="array" ref="J49">IFERROR(VLOOKUP($A49,'The List'!$B1:$AS671,17,FALSE)," ")</f>
        <v xml:space="preserve"> </v>
      </c>
      <c r="K49" s="84" t="str" cm="1">
        <f t="array" ref="K49">IFERROR(VLOOKUP($A49,'The List'!$B1:$AS671,18,FALSE)," ")</f>
        <v xml:space="preserve"> </v>
      </c>
      <c r="L49" s="84" t="str" cm="1">
        <f t="array" ref="L49">IFERROR(VLOOKUP($A49,'The List'!$B1:$AS671,19,FALSE)," ")</f>
        <v xml:space="preserve"> </v>
      </c>
      <c r="M49" s="84" t="str" cm="1">
        <f t="array" ref="M49">IFERROR(VLOOKUP($A49,'The List'!$B1:$AS671,20,FALSE)," ")</f>
        <v xml:space="preserve"> </v>
      </c>
      <c r="N49" s="84" t="str" cm="1">
        <f t="array" ref="N49">IFERROR(VLOOKUP($A49,'The List'!$B1:$AS671,21,FALSE)," ")</f>
        <v xml:space="preserve"> </v>
      </c>
      <c r="O49" s="84" t="str" cm="1">
        <f t="array" ref="O49">IFERROR(VLOOKUP($A49,'The List'!$B1:$AS671,22,FALSE)," ")</f>
        <v xml:space="preserve"> </v>
      </c>
      <c r="P49" s="84" t="str" cm="1">
        <f t="array" ref="P49">IFERROR(VLOOKUP($A49,'The List'!$B1:$AS671,23,FALSE)," ")</f>
        <v xml:space="preserve"> </v>
      </c>
      <c r="Q49" s="84" t="str" cm="1">
        <f t="array" ref="Q49">IFERROR(VLOOKUP($A49,'The List'!$B1:$AS671,24,FALSE)," ")</f>
        <v xml:space="preserve"> </v>
      </c>
      <c r="R49" s="84" t="str" cm="1">
        <f t="array" ref="R49">IFERROR(VLOOKUP($A49,'The List'!$B1:$AS671,25,FALSE)," ")</f>
        <v xml:space="preserve"> </v>
      </c>
      <c r="S49" s="84" t="str" cm="1">
        <f t="array" ref="S49">IFERROR(VLOOKUP($A49,'The List'!$B1:$AS671,26,FALSE)," ")</f>
        <v xml:space="preserve"> </v>
      </c>
      <c r="T49" s="84" t="str" cm="1">
        <f t="array" ref="T49">IFERROR(VLOOKUP($A49,'The List'!$B1:$AS671,27,FALSE)," ")</f>
        <v xml:space="preserve"> </v>
      </c>
      <c r="U49" s="84" t="str" cm="1">
        <f t="array" ref="U49">IFERROR(VLOOKUP($A49,'The List'!$B1:$AS671,28,FALSE)," ")</f>
        <v xml:space="preserve"> </v>
      </c>
      <c r="V49" s="84" t="str" cm="1">
        <f t="array" ref="V49">IFERROR(VLOOKUP($A49,'The List'!$B1:$AS671,29,FALSE)," ")</f>
        <v xml:space="preserve"> </v>
      </c>
      <c r="W49" s="84" t="str" cm="1">
        <f t="array" ref="W49">IFERROR(VLOOKUP($A49,'The List'!$B1:$AS671,30,FALSE)," ")</f>
        <v xml:space="preserve"> </v>
      </c>
      <c r="X49" s="84" t="str" cm="1">
        <f t="array" ref="X49">IFERROR(VLOOKUP($A49,'The List'!$B1:$AS671,31,FALSE)," ")</f>
        <v xml:space="preserve"> </v>
      </c>
      <c r="Y49" s="84" t="str" cm="1">
        <f t="array" ref="Y49">IFERROR(VLOOKUP($A49,'The List'!$B1:$AS671,32,FALSE)," ")</f>
        <v xml:space="preserve"> </v>
      </c>
      <c r="Z49" s="84" t="str" cm="1">
        <f t="array" ref="Z49">IFERROR(VLOOKUP($A49,'The List'!$B1:$AS671,33,FALSE)," ")</f>
        <v xml:space="preserve"> </v>
      </c>
      <c r="AA49" s="85"/>
      <c r="AB49" s="90"/>
      <c r="AC49" s="90"/>
      <c r="AD49" s="90"/>
      <c r="AE49" s="90"/>
      <c r="AF49" s="90"/>
    </row>
    <row r="50" spans="1:32" ht="21.25" customHeight="1" x14ac:dyDescent="0.15">
      <c r="A50" s="103"/>
      <c r="B50" s="104" t="str" cm="1">
        <f t="array" ref="B50">IFERROR(VLOOKUP($A50,'The List'!$B1:$AS671,3,FALSE)," ")</f>
        <v xml:space="preserve"> </v>
      </c>
      <c r="C50" s="105" t="str" cm="1">
        <f t="array" ref="C50">IFERROR(VLOOKUP($A50,'The List'!$B1:$AS671,4,FALSE)," ")</f>
        <v xml:space="preserve"> </v>
      </c>
      <c r="D50" s="106" t="str" cm="1">
        <f t="array" ref="D50">IFERROR(VLOOKUP($A50,'The List'!$B1:$AS671,5,FALSE)," ")</f>
        <v xml:space="preserve"> </v>
      </c>
      <c r="E50" s="106" t="str" cm="1">
        <f t="array" ref="E50">IFERROR(VLOOKUP($A50,'The List'!$B1:$AS671,6,FALSE)," ")</f>
        <v xml:space="preserve"> </v>
      </c>
      <c r="F50" s="107" t="str" cm="1">
        <f t="array" ref="F50">IFERROR(VLOOKUP($A50,'The List'!$B1:$AS671,8,FALSE)," ")</f>
        <v xml:space="preserve"> </v>
      </c>
      <c r="G50" s="107" t="str" cm="1">
        <f t="array" ref="G50">IFERROR(VLOOKUP($A50,'The List'!$B1:$AS671,10,FALSE)," ")</f>
        <v xml:space="preserve"> </v>
      </c>
      <c r="H50" s="108"/>
      <c r="I50" s="109" t="str" cm="1">
        <f t="array" ref="I50">IFERROR(VLOOKUP($A50,'The List'!$B1:$AS671,16,FALSE)," ")</f>
        <v xml:space="preserve"> </v>
      </c>
      <c r="J50" s="109" t="str" cm="1">
        <f t="array" ref="J50">IFERROR(VLOOKUP($A50,'The List'!$B1:$AS671,17,FALSE)," ")</f>
        <v xml:space="preserve"> </v>
      </c>
      <c r="K50" s="109" t="str" cm="1">
        <f t="array" ref="K50">IFERROR(VLOOKUP($A50,'The List'!$B1:$AS671,18,FALSE)," ")</f>
        <v xml:space="preserve"> </v>
      </c>
      <c r="L50" s="109" t="str" cm="1">
        <f t="array" ref="L50">IFERROR(VLOOKUP($A50,'The List'!$B1:$AS671,19,FALSE)," ")</f>
        <v xml:space="preserve"> </v>
      </c>
      <c r="M50" s="109" t="str" cm="1">
        <f t="array" ref="M50">IFERROR(VLOOKUP($A50,'The List'!$B1:$AS671,20,FALSE)," ")</f>
        <v xml:space="preserve"> </v>
      </c>
      <c r="N50" s="109" t="str" cm="1">
        <f t="array" ref="N50">IFERROR(VLOOKUP($A50,'The List'!$B1:$AS671,21,FALSE)," ")</f>
        <v xml:space="preserve"> </v>
      </c>
      <c r="O50" s="109" t="str" cm="1">
        <f t="array" ref="O50">IFERROR(VLOOKUP($A50,'The List'!$B1:$AS671,22,FALSE)," ")</f>
        <v xml:space="preserve"> </v>
      </c>
      <c r="P50" s="109" t="str" cm="1">
        <f t="array" ref="P50">IFERROR(VLOOKUP($A50,'The List'!$B1:$AS671,23,FALSE)," ")</f>
        <v xml:space="preserve"> </v>
      </c>
      <c r="Q50" s="109" t="str" cm="1">
        <f t="array" ref="Q50">IFERROR(VLOOKUP($A50,'The List'!$B1:$AS671,24,FALSE)," ")</f>
        <v xml:space="preserve"> </v>
      </c>
      <c r="R50" s="109" t="str" cm="1">
        <f t="array" ref="R50">IFERROR(VLOOKUP($A50,'The List'!$B1:$AS671,25,FALSE)," ")</f>
        <v xml:space="preserve"> </v>
      </c>
      <c r="S50" s="109" t="str" cm="1">
        <f t="array" ref="S50">IFERROR(VLOOKUP($A50,'The List'!$B1:$AS671,26,FALSE)," ")</f>
        <v xml:space="preserve"> </v>
      </c>
      <c r="T50" s="109" t="str" cm="1">
        <f t="array" ref="T50">IFERROR(VLOOKUP($A50,'The List'!$B1:$AS671,27,FALSE)," ")</f>
        <v xml:space="preserve"> </v>
      </c>
      <c r="U50" s="109" t="str" cm="1">
        <f t="array" ref="U50">IFERROR(VLOOKUP($A50,'The List'!$B1:$AS671,28,FALSE)," ")</f>
        <v xml:space="preserve"> </v>
      </c>
      <c r="V50" s="109" t="str" cm="1">
        <f t="array" ref="V50">IFERROR(VLOOKUP($A50,'The List'!$B1:$AS671,29,FALSE)," ")</f>
        <v xml:space="preserve"> </v>
      </c>
      <c r="W50" s="109" t="str" cm="1">
        <f t="array" ref="W50">IFERROR(VLOOKUP($A50,'The List'!$B1:$AS671,30,FALSE)," ")</f>
        <v xml:space="preserve"> </v>
      </c>
      <c r="X50" s="109" t="str" cm="1">
        <f t="array" ref="X50">IFERROR(VLOOKUP($A50,'The List'!$B1:$AS671,31,FALSE)," ")</f>
        <v xml:space="preserve"> </v>
      </c>
      <c r="Y50" s="109" t="str" cm="1">
        <f t="array" ref="Y50">IFERROR(VLOOKUP($A50,'The List'!$B1:$AS671,32,FALSE)," ")</f>
        <v xml:space="preserve"> </v>
      </c>
      <c r="Z50" s="109" t="str" cm="1">
        <f t="array" ref="Z50">IFERROR(VLOOKUP($A50,'The List'!$B1:$AS671,33,FALSE)," ")</f>
        <v xml:space="preserve"> </v>
      </c>
      <c r="AA50" s="85"/>
      <c r="AB50" s="90"/>
      <c r="AC50" s="90"/>
      <c r="AD50" s="90"/>
      <c r="AE50" s="90"/>
      <c r="AF50" s="90"/>
    </row>
    <row r="51" spans="1:32" ht="21.25" customHeight="1" x14ac:dyDescent="0.15">
      <c r="A51" s="110"/>
      <c r="B51" s="111"/>
      <c r="C51" s="112"/>
      <c r="D51" s="113"/>
      <c r="E51" s="113" t="str" cm="1">
        <f t="array" ref="E51">IFERROR(AVERAGE(E31:E50)," ")</f>
        <v xml:space="preserve"> </v>
      </c>
      <c r="F51" s="115" cm="1">
        <f t="array" ref="F51">SUM(F31:F50)</f>
        <v>0</v>
      </c>
      <c r="G51" s="115" cm="1">
        <f t="array" ref="G51">SUM(G31:G50)</f>
        <v>0</v>
      </c>
      <c r="H51" s="116"/>
      <c r="I51" s="117" cm="1">
        <f t="array" ref="I51">SUM(I31:I50)</f>
        <v>0</v>
      </c>
      <c r="J51" s="116" t="e" cm="1">
        <f t="array" ref="J51">AVERAGE(J31:J50)</f>
        <v>#DIV/0!</v>
      </c>
      <c r="K51" s="117" cm="1">
        <f t="array" ref="K51">SUM(K31:K50)</f>
        <v>0</v>
      </c>
      <c r="L51" s="117" cm="1">
        <f t="array" ref="L51">SUM(L31:L50)</f>
        <v>0</v>
      </c>
      <c r="M51" s="117" cm="1">
        <f t="array" ref="M51">SUM(M31:M50)</f>
        <v>0</v>
      </c>
      <c r="N51" s="117" cm="1">
        <f t="array" ref="N51">SUM(N31:N50)</f>
        <v>0</v>
      </c>
      <c r="O51" s="117" cm="1">
        <f t="array" ref="O51">SUM(O31:O50)</f>
        <v>0</v>
      </c>
      <c r="P51" s="117" cm="1">
        <f t="array" ref="P51">SUM(P31:P50)</f>
        <v>0</v>
      </c>
      <c r="Q51" s="117" cm="1">
        <f t="array" ref="Q51">SUM(Q31:Q50)</f>
        <v>0</v>
      </c>
      <c r="R51" s="117" cm="1">
        <f t="array" ref="R51">SUM(R31:R50)</f>
        <v>0</v>
      </c>
      <c r="S51" s="117" cm="1">
        <f t="array" ref="S51">SUM(S31:S50)</f>
        <v>0</v>
      </c>
      <c r="T51" s="117" cm="1">
        <f t="array" ref="T51">SUM(T31:T50)</f>
        <v>0</v>
      </c>
      <c r="U51" s="117" cm="1">
        <f t="array" ref="U51">SUM(U31:U50)</f>
        <v>0</v>
      </c>
      <c r="V51" s="117" cm="1">
        <f t="array" ref="V51">SUM(V31:V50)</f>
        <v>0</v>
      </c>
      <c r="W51" s="117" cm="1">
        <f t="array" ref="W51">SUM(W31:W50)</f>
        <v>0</v>
      </c>
      <c r="X51" s="117" cm="1">
        <f t="array" ref="X51">SUM(X31:X50)</f>
        <v>0</v>
      </c>
      <c r="Y51" s="117" cm="1">
        <f t="array" ref="Y51">SUM(Y31:Y50)</f>
        <v>0</v>
      </c>
      <c r="Z51" s="118" cm="1">
        <f t="array" ref="Z51">IFERROR(X51/(X51+Y51),0)</f>
        <v>0</v>
      </c>
      <c r="AA51" s="85"/>
      <c r="AB51" s="90"/>
      <c r="AC51" s="119"/>
      <c r="AD51" s="119"/>
      <c r="AE51" s="119"/>
      <c r="AF51" s="119"/>
    </row>
    <row r="52" spans="1:32" ht="21.25" customHeight="1" x14ac:dyDescent="0.15">
      <c r="A52" s="37"/>
      <c r="B52" s="120"/>
      <c r="C52" s="121"/>
      <c r="D52" s="13"/>
      <c r="E52" s="13"/>
      <c r="F52" s="122"/>
      <c r="G52" s="123"/>
      <c r="H52" s="124"/>
      <c r="I52" s="12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90"/>
      <c r="AC52" s="90"/>
      <c r="AD52" s="90"/>
      <c r="AE52" s="90"/>
      <c r="AF52" s="90"/>
    </row>
    <row r="53" spans="1:32" ht="21.25" customHeight="1" x14ac:dyDescent="0.15">
      <c r="A53" s="40" t="s">
        <v>90</v>
      </c>
      <c r="B53" s="204" t="s">
        <v>92</v>
      </c>
      <c r="C53" s="194"/>
      <c r="D53" s="126" t="s">
        <v>93</v>
      </c>
      <c r="E53" s="126" t="s">
        <v>94</v>
      </c>
      <c r="F53" s="127" t="s">
        <v>96</v>
      </c>
      <c r="G53" s="127" t="s">
        <v>98</v>
      </c>
      <c r="H53" s="128"/>
      <c r="I53" s="129" t="s">
        <v>103</v>
      </c>
      <c r="J53" s="129" t="s">
        <v>118</v>
      </c>
      <c r="K53" s="129" t="s">
        <v>119</v>
      </c>
      <c r="L53" s="129" t="s">
        <v>120</v>
      </c>
      <c r="M53" s="129" t="s">
        <v>121</v>
      </c>
      <c r="N53" s="129" t="s">
        <v>122</v>
      </c>
      <c r="O53" s="129" t="s">
        <v>123</v>
      </c>
      <c r="P53" s="129" t="s">
        <v>124</v>
      </c>
      <c r="Q53" s="129" t="s">
        <v>125</v>
      </c>
      <c r="R53" s="85"/>
      <c r="S53" s="85"/>
      <c r="T53" s="85"/>
      <c r="U53" s="204" t="s">
        <v>814</v>
      </c>
      <c r="V53" s="205"/>
      <c r="W53" s="205"/>
      <c r="X53" s="204" t="s">
        <v>815</v>
      </c>
      <c r="Y53" s="205"/>
      <c r="Z53" s="205"/>
      <c r="AA53" s="85"/>
      <c r="AB53" s="90"/>
      <c r="AC53" s="85"/>
      <c r="AD53" s="85"/>
      <c r="AE53" s="85"/>
      <c r="AF53" s="85"/>
    </row>
    <row r="54" spans="1:32" ht="21.25" customHeight="1" x14ac:dyDescent="0.15">
      <c r="A54" s="146"/>
      <c r="B54" s="131" t="str" cm="1">
        <f t="array" ref="B54">IFERROR(VLOOKUP($A54,'The List'!$B1:$AS671,3,FALSE)," ")</f>
        <v xml:space="preserve"> </v>
      </c>
      <c r="C54" s="147" t="str" cm="1">
        <f t="array" ref="C54">IFERROR(VLOOKUP($A54,'The List'!$B1:$AS671,4,FALSE)," ")</f>
        <v xml:space="preserve"> </v>
      </c>
      <c r="D54" s="133" t="str" cm="1">
        <f t="array" ref="D54">IFERROR(VLOOKUP($A54,'The List'!$B1:$AS671,5,FALSE)," ")</f>
        <v xml:space="preserve"> </v>
      </c>
      <c r="E54" s="133" t="str" cm="1">
        <f t="array" ref="E54">IFERROR(VLOOKUP($A54,'The List'!$B1:$AS671,6,FALSE)," ")</f>
        <v xml:space="preserve"> </v>
      </c>
      <c r="F54" s="148" t="str" cm="1">
        <f t="array" ref="F54">IFERROR(VLOOKUP($A54,'The List'!$B1:$AS671,8,FALSE)," ")</f>
        <v xml:space="preserve"> </v>
      </c>
      <c r="G54" s="148" t="str" cm="1">
        <f t="array" ref="G54">IFERROR(VLOOKUP($A54,'The List'!$B1:$AS671,10,FALSE)," ")</f>
        <v xml:space="preserve"> </v>
      </c>
      <c r="H54" s="82"/>
      <c r="I54" s="149" t="str" cm="1">
        <f t="array" ref="I54">IFERROR(VLOOKUP($A54,'The List'!$B1:$AS671,35,FALSE)," ")</f>
        <v xml:space="preserve"> </v>
      </c>
      <c r="J54" s="149" t="str" cm="1">
        <f t="array" ref="J54">IFERROR(VLOOKUP($A54,'The List'!$B1:$AS671,36,FALSE)," ")</f>
        <v xml:space="preserve"> </v>
      </c>
      <c r="K54" s="149" t="str" cm="1">
        <f t="array" ref="K54">IFERROR(VLOOKUP($A54,'The List'!$B1:$AS671,37,FALSE)," ")</f>
        <v xml:space="preserve"> </v>
      </c>
      <c r="L54" s="149" t="str" cm="1">
        <f t="array" ref="L54">IFERROR(VLOOKUP($A54,'The List'!$B1:$AS671,38,FALSE)," ")</f>
        <v xml:space="preserve"> </v>
      </c>
      <c r="M54" s="149" t="str" cm="1">
        <f t="array" ref="M54">IFERROR(VLOOKUP($A54,'The List'!$B1:$AS671,39,FALSE)," ")</f>
        <v xml:space="preserve"> </v>
      </c>
      <c r="N54" s="149" t="str" cm="1">
        <f t="array" ref="N54">IFERROR(VLOOKUP($A54,'The List'!$B1:$AS671,40,FALSE)," ")</f>
        <v xml:space="preserve"> </v>
      </c>
      <c r="O54" s="149" t="str" cm="1">
        <f t="array" ref="O54">IFERROR(VLOOKUP($A54,'The List'!$B1:$AS671,41,FALSE)," ")</f>
        <v xml:space="preserve"> </v>
      </c>
      <c r="P54" s="149" t="str" cm="1">
        <f t="array" ref="P54">IFERROR(VLOOKUP($A54,'The List'!$B1:$AS671,42,FALSE)," ")</f>
        <v xml:space="preserve"> </v>
      </c>
      <c r="Q54" s="149" t="str" cm="1">
        <f t="array" ref="Q54">IFERROR(VLOOKUP($A54,'The List'!$B1:$AS671,43,FALSE)," ")</f>
        <v xml:space="preserve"> </v>
      </c>
      <c r="R54" s="85"/>
      <c r="S54" s="85"/>
      <c r="T54" s="139" t="str" cm="1">
        <f t="array" ref="T54">A30</f>
        <v>TEAM 2</v>
      </c>
      <c r="U54" s="206" cm="1">
        <f t="array" ref="U54">F51+F57</f>
        <v>0</v>
      </c>
      <c r="V54" s="194"/>
      <c r="W54" s="194"/>
      <c r="X54" s="206" cm="1">
        <f t="array" ref="X54">G57+G51</f>
        <v>0</v>
      </c>
      <c r="Y54" s="194"/>
      <c r="Z54" s="194"/>
      <c r="AA54" s="85"/>
      <c r="AB54" s="90"/>
      <c r="AC54" s="85"/>
      <c r="AD54" s="85"/>
      <c r="AE54" s="85"/>
      <c r="AF54" s="85"/>
    </row>
    <row r="55" spans="1:32" ht="21.25" customHeight="1" x14ac:dyDescent="0.15">
      <c r="A55" s="24"/>
      <c r="B55" s="140" t="str" cm="1">
        <f t="array" ref="B55">IFERROR(VLOOKUP($A55,'The List'!$B1:$AS671,3,FALSE)," ")</f>
        <v xml:space="preserve"> </v>
      </c>
      <c r="C55" s="141" t="str" cm="1">
        <f t="array" ref="C55">IFERROR(VLOOKUP($A55,'The List'!$B1:$AS671,4,FALSE)," ")</f>
        <v xml:space="preserve"> </v>
      </c>
      <c r="D55" s="18" t="str" cm="1">
        <f t="array" ref="D55">IFERROR(VLOOKUP($A55,'The List'!$B1:$AS671,5,FALSE)," ")</f>
        <v xml:space="preserve"> </v>
      </c>
      <c r="E55" s="18" t="str" cm="1">
        <f t="array" ref="E55">IFERROR(VLOOKUP($A55,'The List'!$B1:$AS671,6,FALSE)," ")</f>
        <v xml:space="preserve"> </v>
      </c>
      <c r="F55" s="92" t="str" cm="1">
        <f t="array" ref="F55">IFERROR(VLOOKUP($A55,'The List'!$B1:$AS671,8,FALSE)," ")</f>
        <v xml:space="preserve"> </v>
      </c>
      <c r="G55" s="92" t="str" cm="1">
        <f t="array" ref="G55">IFERROR(VLOOKUP($A55,'The List'!$B1:$AS671,10,FALSE)," ")</f>
        <v xml:space="preserve"> </v>
      </c>
      <c r="H55" s="55"/>
      <c r="I55" s="84" t="str" cm="1">
        <f t="array" ref="I55">IFERROR(VLOOKUP($A55,'The List'!$B1:$AS671,35,FALSE)," ")</f>
        <v xml:space="preserve"> </v>
      </c>
      <c r="J55" s="84" t="str" cm="1">
        <f t="array" ref="J55">IFERROR(VLOOKUP($A55,'The List'!$B1:$AS671,36,FALSE)," ")</f>
        <v xml:space="preserve"> </v>
      </c>
      <c r="K55" s="84" t="str" cm="1">
        <f t="array" ref="K55">IFERROR(VLOOKUP($A55,'The List'!$B1:$AS671,37,FALSE)," ")</f>
        <v xml:space="preserve"> </v>
      </c>
      <c r="L55" s="84" t="str" cm="1">
        <f t="array" ref="L55">IFERROR(VLOOKUP($A55,'The List'!$B1:$AS671,38,FALSE)," ")</f>
        <v xml:space="preserve"> </v>
      </c>
      <c r="M55" s="84" t="str" cm="1">
        <f t="array" ref="M55">IFERROR(VLOOKUP($A55,'The List'!$B1:$AS671,39,FALSE)," ")</f>
        <v xml:space="preserve"> </v>
      </c>
      <c r="N55" s="84" t="str" cm="1">
        <f t="array" ref="N55">IFERROR(VLOOKUP($A55,'The List'!$B1:$AS671,40,FALSE)," ")</f>
        <v xml:space="preserve"> </v>
      </c>
      <c r="O55" s="84" t="str" cm="1">
        <f t="array" ref="O55">IFERROR(VLOOKUP($A55,'The List'!$B1:$AS671,41,FALSE)," ")</f>
        <v xml:space="preserve"> </v>
      </c>
      <c r="P55" s="84" t="str" cm="1">
        <f t="array" ref="P55">IFERROR(VLOOKUP($A55,'The List'!$B1:$AS671,42,FALSE)," ")</f>
        <v xml:space="preserve"> </v>
      </c>
      <c r="Q55" s="84" t="str" cm="1">
        <f t="array" ref="Q55">IFERROR(VLOOKUP($A55,'The List'!$B1:$AS671,43,FALSE)," ")</f>
        <v xml:space="preserve"> </v>
      </c>
      <c r="R55" s="85"/>
      <c r="S55" s="85"/>
      <c r="T55" s="85"/>
      <c r="U55" s="194"/>
      <c r="V55" s="194"/>
      <c r="W55" s="194"/>
      <c r="X55" s="194"/>
      <c r="Y55" s="194"/>
      <c r="Z55" s="194"/>
      <c r="AA55" s="85"/>
      <c r="AB55" s="90"/>
      <c r="AC55" s="85"/>
      <c r="AD55" s="85"/>
      <c r="AE55" s="85"/>
      <c r="AF55" s="85"/>
    </row>
    <row r="56" spans="1:32" ht="21.25" customHeight="1" x14ac:dyDescent="0.15">
      <c r="A56" s="103"/>
      <c r="B56" s="142" t="str" cm="1">
        <f t="array" ref="B56">IFERROR(VLOOKUP($A56,'The List'!$B1:$AS671,3,FALSE)," ")</f>
        <v xml:space="preserve"> </v>
      </c>
      <c r="C56" s="143" t="str" cm="1">
        <f t="array" ref="C56">IFERROR(VLOOKUP($A56,'The List'!$B1:$AS671,4,FALSE)," ")</f>
        <v xml:space="preserve"> </v>
      </c>
      <c r="D56" s="106" t="str" cm="1">
        <f t="array" ref="D56">IFERROR(VLOOKUP($A56,'The List'!$B1:$AS671,5,FALSE)," ")</f>
        <v xml:space="preserve"> </v>
      </c>
      <c r="E56" s="106" t="str" cm="1">
        <f t="array" ref="E56">IFERROR(VLOOKUP($A56,'The List'!$B1:$AS671,6,FALSE)," ")</f>
        <v xml:space="preserve"> </v>
      </c>
      <c r="F56" s="107" t="str" cm="1">
        <f t="array" ref="F56">IFERROR(VLOOKUP($A56,'The List'!$B1:$AS671,8,FALSE)," ")</f>
        <v xml:space="preserve"> </v>
      </c>
      <c r="G56" s="107" t="str" cm="1">
        <f t="array" ref="G56">IFERROR(VLOOKUP($A56,'The List'!$B1:$AS671,10,FALSE)," ")</f>
        <v xml:space="preserve"> </v>
      </c>
      <c r="H56" s="108"/>
      <c r="I56" s="109" t="str" cm="1">
        <f t="array" ref="I56">IFERROR(VLOOKUP($A56,'The List'!$B1:$AS671,35,FALSE)," ")</f>
        <v xml:space="preserve"> </v>
      </c>
      <c r="J56" s="109" t="str" cm="1">
        <f t="array" ref="J56">IFERROR(VLOOKUP($A56,'The List'!$B1:$AS671,36,FALSE)," ")</f>
        <v xml:space="preserve"> </v>
      </c>
      <c r="K56" s="109" t="str" cm="1">
        <f t="array" ref="K56">IFERROR(VLOOKUP($A56,'The List'!$B1:$AS671,37,FALSE)," ")</f>
        <v xml:space="preserve"> </v>
      </c>
      <c r="L56" s="109" t="str" cm="1">
        <f t="array" ref="L56">IFERROR(VLOOKUP($A56,'The List'!$B1:$AS671,38,FALSE)," ")</f>
        <v xml:space="preserve"> </v>
      </c>
      <c r="M56" s="109" t="str" cm="1">
        <f t="array" ref="M56">IFERROR(VLOOKUP($A56,'The List'!$B1:$AS671,39,FALSE)," ")</f>
        <v xml:space="preserve"> </v>
      </c>
      <c r="N56" s="109" t="str" cm="1">
        <f t="array" ref="N56">IFERROR(VLOOKUP($A56,'The List'!$B1:$AS671,40,FALSE)," ")</f>
        <v xml:space="preserve"> </v>
      </c>
      <c r="O56" s="109" t="str" cm="1">
        <f t="array" ref="O56">IFERROR(VLOOKUP($A56,'The List'!$B1:$AS671,41,FALSE)," ")</f>
        <v xml:space="preserve"> </v>
      </c>
      <c r="P56" s="109" t="str" cm="1">
        <f t="array" ref="P56">IFERROR(VLOOKUP($A56,'The List'!$B1:$AS671,42,FALSE)," ")</f>
        <v xml:space="preserve"> </v>
      </c>
      <c r="Q56" s="109" t="str" cm="1">
        <f t="array" ref="Q56">IFERROR(VLOOKUP($A56,'The List'!$B1:$AS671,43,FALSE)," ")</f>
        <v xml:space="preserve"> </v>
      </c>
      <c r="R56" s="85"/>
      <c r="S56" s="85"/>
      <c r="T56" s="85"/>
      <c r="U56" s="194"/>
      <c r="V56" s="194"/>
      <c r="W56" s="194"/>
      <c r="X56" s="194"/>
      <c r="Y56" s="194"/>
      <c r="Z56" s="194"/>
      <c r="AA56" s="85"/>
      <c r="AB56" s="90"/>
      <c r="AC56" s="85"/>
      <c r="AD56" s="85"/>
      <c r="AE56" s="85"/>
      <c r="AF56" s="85"/>
    </row>
    <row r="57" spans="1:32" ht="21.25" customHeight="1" x14ac:dyDescent="0.15">
      <c r="A57" s="110"/>
      <c r="B57" s="111"/>
      <c r="C57" s="112"/>
      <c r="D57" s="113"/>
      <c r="E57" s="113" t="str" cm="1">
        <f t="array" ref="E57">IFERROR(AVERAGE(E54:E56)," ")</f>
        <v xml:space="preserve"> </v>
      </c>
      <c r="F57" s="115" cm="1">
        <f t="array" ref="F57">SUM(F54:F56)</f>
        <v>0</v>
      </c>
      <c r="G57" s="115" cm="1">
        <f t="array" ref="G57">SUM(G54:G56)</f>
        <v>0</v>
      </c>
      <c r="H57" s="116"/>
      <c r="I57" s="117" cm="1">
        <f t="array" ref="I57">SUM(I54:I56)</f>
        <v>0</v>
      </c>
      <c r="J57" s="116" cm="1">
        <f t="array" ref="J57">SUM(J54:J56)</f>
        <v>0</v>
      </c>
      <c r="K57" s="117" cm="1">
        <f t="array" ref="K57">SUM(K54:K56)</f>
        <v>0</v>
      </c>
      <c r="L57" s="117" cm="1">
        <f t="array" ref="L57">SUM(L54:L56)</f>
        <v>0</v>
      </c>
      <c r="M57" s="117" cm="1">
        <f t="array" ref="M57">SUM(M54:M56)</f>
        <v>0</v>
      </c>
      <c r="N57" s="117" cm="1">
        <f t="array" ref="N57">SUM(N54:N56)</f>
        <v>0</v>
      </c>
      <c r="O57" s="117" cm="1">
        <f t="array" ref="O57">SUM(O54:O56)</f>
        <v>0</v>
      </c>
      <c r="P57" s="144" t="e" cm="1">
        <f t="array" ref="P57">1-(O57/(N57+O57))</f>
        <v>#DIV/0!</v>
      </c>
      <c r="Q57" s="145" t="e" cm="1">
        <f t="array" ref="Q57">O57/I57</f>
        <v>#DIV/0!</v>
      </c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120"/>
      <c r="AC57" s="85"/>
      <c r="AD57" s="85"/>
      <c r="AE57" s="85"/>
      <c r="AF57" s="85"/>
    </row>
    <row r="58" spans="1:32" ht="70.75" customHeight="1" x14ac:dyDescent="0.15">
      <c r="A58" s="37"/>
      <c r="B58" s="120"/>
      <c r="C58" s="121"/>
      <c r="D58" s="13"/>
      <c r="E58" s="13"/>
      <c r="F58" s="122"/>
      <c r="G58" s="123"/>
      <c r="H58" s="124"/>
      <c r="I58" s="12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90"/>
      <c r="AB58" s="90"/>
      <c r="AC58" s="90"/>
      <c r="AD58" s="90"/>
      <c r="AE58" s="90"/>
      <c r="AF58" s="90"/>
    </row>
    <row r="59" spans="1:32" ht="21.25" customHeight="1" x14ac:dyDescent="0.15">
      <c r="A59" s="41" t="s">
        <v>800</v>
      </c>
      <c r="B59" s="203" t="s">
        <v>92</v>
      </c>
      <c r="C59" s="200"/>
      <c r="D59" s="42" t="s">
        <v>93</v>
      </c>
      <c r="E59" s="42" t="s">
        <v>94</v>
      </c>
      <c r="F59" s="43" t="s">
        <v>96</v>
      </c>
      <c r="G59" s="43" t="s">
        <v>98</v>
      </c>
      <c r="H59" s="44"/>
      <c r="I59" s="46" t="s">
        <v>103</v>
      </c>
      <c r="J59" s="46" t="s">
        <v>56</v>
      </c>
      <c r="K59" s="46" t="s">
        <v>104</v>
      </c>
      <c r="L59" s="46" t="s">
        <v>105</v>
      </c>
      <c r="M59" s="46" t="s">
        <v>106</v>
      </c>
      <c r="N59" s="46" t="s">
        <v>107</v>
      </c>
      <c r="O59" s="46" t="s">
        <v>64</v>
      </c>
      <c r="P59" s="46" t="s">
        <v>67</v>
      </c>
      <c r="Q59" s="46" t="s">
        <v>108</v>
      </c>
      <c r="R59" s="46" t="s">
        <v>109</v>
      </c>
      <c r="S59" s="46" t="s">
        <v>110</v>
      </c>
      <c r="T59" s="46" t="s">
        <v>111</v>
      </c>
      <c r="U59" s="46" t="s">
        <v>112</v>
      </c>
      <c r="V59" s="46" t="s">
        <v>113</v>
      </c>
      <c r="W59" s="46" t="s">
        <v>114</v>
      </c>
      <c r="X59" s="46" t="s">
        <v>115</v>
      </c>
      <c r="Y59" s="46" t="s">
        <v>116</v>
      </c>
      <c r="Z59" s="46" t="s">
        <v>117</v>
      </c>
      <c r="AA59" s="85"/>
      <c r="AB59" s="86"/>
      <c r="AC59" s="86"/>
      <c r="AD59" s="86"/>
      <c r="AE59" s="86"/>
      <c r="AF59" s="86"/>
    </row>
    <row r="60" spans="1:32" ht="21.25" customHeight="1" x14ac:dyDescent="0.15">
      <c r="A60" s="24"/>
      <c r="B60" s="87" t="str" cm="1">
        <f t="array" ref="B60">IFERROR(VLOOKUP($A60,'The List'!$B1:$AS671,3,FALSE)," ")</f>
        <v xml:space="preserve"> </v>
      </c>
      <c r="C60" s="91" t="str" cm="1">
        <f t="array" ref="C60">IFERROR(VLOOKUP($A60,'The List'!$B1:$AS671,4,FALSE)," ")</f>
        <v xml:space="preserve"> </v>
      </c>
      <c r="D60" s="18" t="str" cm="1">
        <f t="array" ref="D60">IFERROR(VLOOKUP($A60,'The List'!$B1:$AS671,5,FALSE)," ")</f>
        <v xml:space="preserve"> </v>
      </c>
      <c r="E60" s="18" t="str" cm="1">
        <f t="array" ref="E60">IFERROR(VLOOKUP($A60,'The List'!$B1:$AS671,6,FALSE)," ")</f>
        <v xml:space="preserve"> </v>
      </c>
      <c r="F60" s="92" t="str" cm="1">
        <f t="array" ref="F60">IFERROR(VLOOKUP($A60,'The List'!$B1:$AS671,8,FALSE)," ")</f>
        <v xml:space="preserve"> </v>
      </c>
      <c r="G60" s="92" t="str" cm="1">
        <f t="array" ref="G60">IFERROR(VLOOKUP($A60,'The List'!$B1:$AS671,10,FALSE)," ")</f>
        <v xml:space="preserve"> </v>
      </c>
      <c r="H60" s="55"/>
      <c r="I60" s="84" t="str" cm="1">
        <f t="array" ref="I60">IFERROR(VLOOKUP($A60,'The List'!$B1:$AS671,16,FALSE)," ")</f>
        <v xml:space="preserve"> </v>
      </c>
      <c r="J60" s="84" t="str" cm="1">
        <f t="array" ref="J60">IFERROR(VLOOKUP($A60,'The List'!$B1:$AS671,17,FALSE)," ")</f>
        <v xml:space="preserve"> </v>
      </c>
      <c r="K60" s="84" t="str" cm="1">
        <f t="array" ref="K60">IFERROR(VLOOKUP($A60,'The List'!$B1:$AS671,18,FALSE)," ")</f>
        <v xml:space="preserve"> </v>
      </c>
      <c r="L60" s="84" t="str" cm="1">
        <f t="array" ref="L60">IFERROR(VLOOKUP($A60,'The List'!$B1:$AS671,19,FALSE)," ")</f>
        <v xml:space="preserve"> </v>
      </c>
      <c r="M60" s="84" t="str" cm="1">
        <f t="array" ref="M60">IFERROR(VLOOKUP($A60,'The List'!$B1:$AS671,20,FALSE)," ")</f>
        <v xml:space="preserve"> </v>
      </c>
      <c r="N60" s="84" t="str" cm="1">
        <f t="array" ref="N60">IFERROR(VLOOKUP($A60,'The List'!$B1:$AS671,21,FALSE)," ")</f>
        <v xml:space="preserve"> </v>
      </c>
      <c r="O60" s="84" t="str" cm="1">
        <f t="array" ref="O60">IFERROR(VLOOKUP($A60,'The List'!$B1:$AS671,22,FALSE)," ")</f>
        <v xml:space="preserve"> </v>
      </c>
      <c r="P60" s="84" t="str" cm="1">
        <f t="array" ref="P60">IFERROR(VLOOKUP($A60,'The List'!$B1:$AS671,23,FALSE)," ")</f>
        <v xml:space="preserve"> </v>
      </c>
      <c r="Q60" s="84" t="str" cm="1">
        <f t="array" ref="Q60">IFERROR(VLOOKUP($A60,'The List'!$B1:$AS671,24,FALSE)," ")</f>
        <v xml:space="preserve"> </v>
      </c>
      <c r="R60" s="84" t="str" cm="1">
        <f t="array" ref="R60">IFERROR(VLOOKUP($A60,'The List'!$B1:$AS671,25,FALSE)," ")</f>
        <v xml:space="preserve"> </v>
      </c>
      <c r="S60" s="84" t="str" cm="1">
        <f t="array" ref="S60">IFERROR(VLOOKUP($A60,'The List'!$B1:$AS671,26,FALSE)," ")</f>
        <v xml:space="preserve"> </v>
      </c>
      <c r="T60" s="84" t="str" cm="1">
        <f t="array" ref="T60">IFERROR(VLOOKUP($A60,'The List'!$B1:$AS671,27,FALSE)," ")</f>
        <v xml:space="preserve"> </v>
      </c>
      <c r="U60" s="84" t="str" cm="1">
        <f t="array" ref="U60">IFERROR(VLOOKUP($A60,'The List'!$B1:$AS671,28,FALSE)," ")</f>
        <v xml:space="preserve"> </v>
      </c>
      <c r="V60" s="84" t="str" cm="1">
        <f t="array" ref="V60">IFERROR(VLOOKUP($A60,'The List'!$B1:$AS671,29,FALSE)," ")</f>
        <v xml:space="preserve"> </v>
      </c>
      <c r="W60" s="84" t="str" cm="1">
        <f t="array" ref="W60">IFERROR(VLOOKUP($A60,'The List'!$B1:$AS671,30,FALSE)," ")</f>
        <v xml:space="preserve"> </v>
      </c>
      <c r="X60" s="84" t="str" cm="1">
        <f t="array" ref="X60">IFERROR(VLOOKUP($A60,'The List'!$B1:$AS671,31,FALSE)," ")</f>
        <v xml:space="preserve"> </v>
      </c>
      <c r="Y60" s="84" t="str" cm="1">
        <f t="array" ref="Y60">IFERROR(VLOOKUP($A60,'The List'!$B1:$AS671,32,FALSE)," ")</f>
        <v xml:space="preserve"> </v>
      </c>
      <c r="Z60" s="84" t="str" cm="1">
        <f t="array" ref="Z60">IFERROR(VLOOKUP($A60,'The List'!$B1:$AS671,33,FALSE)," ")</f>
        <v xml:space="preserve"> </v>
      </c>
      <c r="AA60" s="85"/>
      <c r="AB60" s="90"/>
      <c r="AC60" s="90"/>
      <c r="AD60" s="90"/>
      <c r="AE60" s="90"/>
      <c r="AF60" s="90"/>
    </row>
    <row r="61" spans="1:32" ht="21.25" customHeight="1" x14ac:dyDescent="0.15">
      <c r="A61" s="24"/>
      <c r="B61" s="87" t="str" cm="1">
        <f t="array" ref="B61">IFERROR(VLOOKUP($A61,'The List'!$B1:$AS671,3,FALSE)," ")</f>
        <v xml:space="preserve"> </v>
      </c>
      <c r="C61" s="91" t="str" cm="1">
        <f t="array" ref="C61">IFERROR(VLOOKUP($A61,'The List'!$B1:$AS671,4,FALSE)," ")</f>
        <v xml:space="preserve"> </v>
      </c>
      <c r="D61" s="18" t="str" cm="1">
        <f t="array" ref="D61">IFERROR(VLOOKUP($A61,'The List'!$B1:$AS671,5,FALSE)," ")</f>
        <v xml:space="preserve"> </v>
      </c>
      <c r="E61" s="18" t="str" cm="1">
        <f t="array" ref="E61">IFERROR(VLOOKUP($A61,'The List'!$B1:$AS671,6,FALSE)," ")</f>
        <v xml:space="preserve"> </v>
      </c>
      <c r="F61" s="92" t="str" cm="1">
        <f t="array" ref="F61">IFERROR(VLOOKUP($A61,'The List'!$B1:$AS671,8,FALSE)," ")</f>
        <v xml:space="preserve"> </v>
      </c>
      <c r="G61" s="92" t="str" cm="1">
        <f t="array" ref="G61">IFERROR(VLOOKUP($A61,'The List'!$B1:$AS671,10,FALSE)," ")</f>
        <v xml:space="preserve"> </v>
      </c>
      <c r="H61" s="55"/>
      <c r="I61" s="84" t="str" cm="1">
        <f t="array" ref="I61">IFERROR(VLOOKUP($A61,'The List'!$B1:$AS671,16,FALSE)," ")</f>
        <v xml:space="preserve"> </v>
      </c>
      <c r="J61" s="84" t="str" cm="1">
        <f t="array" ref="J61">IFERROR(VLOOKUP($A61,'The List'!$B1:$AS671,17,FALSE)," ")</f>
        <v xml:space="preserve"> </v>
      </c>
      <c r="K61" s="84" t="str" cm="1">
        <f t="array" ref="K61">IFERROR(VLOOKUP($A61,'The List'!$B1:$AS671,18,FALSE)," ")</f>
        <v xml:space="preserve"> </v>
      </c>
      <c r="L61" s="84" t="str" cm="1">
        <f t="array" ref="L61">IFERROR(VLOOKUP($A61,'The List'!$B1:$AS671,19,FALSE)," ")</f>
        <v xml:space="preserve"> </v>
      </c>
      <c r="M61" s="84" t="str" cm="1">
        <f t="array" ref="M61">IFERROR(VLOOKUP($A61,'The List'!$B1:$AS671,20,FALSE)," ")</f>
        <v xml:space="preserve"> </v>
      </c>
      <c r="N61" s="84" t="str" cm="1">
        <f t="array" ref="N61">IFERROR(VLOOKUP($A61,'The List'!$B1:$AS671,21,FALSE)," ")</f>
        <v xml:space="preserve"> </v>
      </c>
      <c r="O61" s="84" t="str" cm="1">
        <f t="array" ref="O61">IFERROR(VLOOKUP($A61,'The List'!$B1:$AS671,22,FALSE)," ")</f>
        <v xml:space="preserve"> </v>
      </c>
      <c r="P61" s="84" t="str" cm="1">
        <f t="array" ref="P61">IFERROR(VLOOKUP($A61,'The List'!$B1:$AS671,23,FALSE)," ")</f>
        <v xml:space="preserve"> </v>
      </c>
      <c r="Q61" s="84" t="str" cm="1">
        <f t="array" ref="Q61">IFERROR(VLOOKUP($A61,'The List'!$B1:$AS671,24,FALSE)," ")</f>
        <v xml:space="preserve"> </v>
      </c>
      <c r="R61" s="84" t="str" cm="1">
        <f t="array" ref="R61">IFERROR(VLOOKUP($A61,'The List'!$B1:$AS671,25,FALSE)," ")</f>
        <v xml:space="preserve"> </v>
      </c>
      <c r="S61" s="84" t="str" cm="1">
        <f t="array" ref="S61">IFERROR(VLOOKUP($A61,'The List'!$B1:$AS671,26,FALSE)," ")</f>
        <v xml:space="preserve"> </v>
      </c>
      <c r="T61" s="84" t="str" cm="1">
        <f t="array" ref="T61">IFERROR(VLOOKUP($A61,'The List'!$B1:$AS671,27,FALSE)," ")</f>
        <v xml:space="preserve"> </v>
      </c>
      <c r="U61" s="84" t="str" cm="1">
        <f t="array" ref="U61">IFERROR(VLOOKUP($A61,'The List'!$B1:$AS671,28,FALSE)," ")</f>
        <v xml:space="preserve"> </v>
      </c>
      <c r="V61" s="84" t="str" cm="1">
        <f t="array" ref="V61">IFERROR(VLOOKUP($A61,'The List'!$B1:$AS671,29,FALSE)," ")</f>
        <v xml:space="preserve"> </v>
      </c>
      <c r="W61" s="84" t="str" cm="1">
        <f t="array" ref="W61">IFERROR(VLOOKUP($A61,'The List'!$B1:$AS671,30,FALSE)," ")</f>
        <v xml:space="preserve"> </v>
      </c>
      <c r="X61" s="84" t="str" cm="1">
        <f t="array" ref="X61">IFERROR(VLOOKUP($A61,'The List'!$B1:$AS671,31,FALSE)," ")</f>
        <v xml:space="preserve"> </v>
      </c>
      <c r="Y61" s="84" t="str" cm="1">
        <f t="array" ref="Y61">IFERROR(VLOOKUP($A61,'The List'!$B1:$AS671,32,FALSE)," ")</f>
        <v xml:space="preserve"> </v>
      </c>
      <c r="Z61" s="84" t="str" cm="1">
        <f t="array" ref="Z61">IFERROR(VLOOKUP($A61,'The List'!$B1:$AS671,33,FALSE)," ")</f>
        <v xml:space="preserve"> </v>
      </c>
      <c r="AA61" s="85"/>
      <c r="AB61" s="90"/>
      <c r="AC61" s="90"/>
      <c r="AD61" s="90"/>
      <c r="AE61" s="90"/>
      <c r="AF61" s="90"/>
    </row>
    <row r="62" spans="1:32" ht="21.25" customHeight="1" x14ac:dyDescent="0.15">
      <c r="A62" s="24"/>
      <c r="B62" s="87" t="str" cm="1">
        <f t="array" ref="B62">IFERROR(VLOOKUP($A62,'The List'!$B1:$AS671,3,FALSE)," ")</f>
        <v xml:space="preserve"> </v>
      </c>
      <c r="C62" s="91" t="str" cm="1">
        <f t="array" ref="C62">IFERROR(VLOOKUP($A62,'The List'!$B1:$AS671,4,FALSE)," ")</f>
        <v xml:space="preserve"> </v>
      </c>
      <c r="D62" s="18" t="str" cm="1">
        <f t="array" ref="D62">IFERROR(VLOOKUP($A62,'The List'!$B1:$AS671,5,FALSE)," ")</f>
        <v xml:space="preserve"> </v>
      </c>
      <c r="E62" s="18" t="str" cm="1">
        <f t="array" ref="E62">IFERROR(VLOOKUP($A62,'The List'!$B1:$AS671,6,FALSE)," ")</f>
        <v xml:space="preserve"> </v>
      </c>
      <c r="F62" s="92" t="str" cm="1">
        <f t="array" ref="F62">IFERROR(VLOOKUP($A62,'The List'!$B1:$AS671,8,FALSE)," ")</f>
        <v xml:space="preserve"> </v>
      </c>
      <c r="G62" s="92" t="str" cm="1">
        <f t="array" ref="G62">IFERROR(VLOOKUP($A62,'The List'!$B1:$AS671,10,FALSE)," ")</f>
        <v xml:space="preserve"> </v>
      </c>
      <c r="H62" s="55"/>
      <c r="I62" s="84" t="str" cm="1">
        <f t="array" ref="I62">IFERROR(VLOOKUP($A62,'The List'!$B1:$AS671,16,FALSE)," ")</f>
        <v xml:space="preserve"> </v>
      </c>
      <c r="J62" s="84" t="str" cm="1">
        <f t="array" ref="J62">IFERROR(VLOOKUP($A62,'The List'!$B1:$AS671,17,FALSE)," ")</f>
        <v xml:space="preserve"> </v>
      </c>
      <c r="K62" s="84" t="str" cm="1">
        <f t="array" ref="K62">IFERROR(VLOOKUP($A62,'The List'!$B1:$AS671,18,FALSE)," ")</f>
        <v xml:space="preserve"> </v>
      </c>
      <c r="L62" s="84" t="str" cm="1">
        <f t="array" ref="L62">IFERROR(VLOOKUP($A62,'The List'!$B1:$AS671,19,FALSE)," ")</f>
        <v xml:space="preserve"> </v>
      </c>
      <c r="M62" s="84" t="str" cm="1">
        <f t="array" ref="M62">IFERROR(VLOOKUP($A62,'The List'!$B1:$AS671,20,FALSE)," ")</f>
        <v xml:space="preserve"> </v>
      </c>
      <c r="N62" s="84" t="str" cm="1">
        <f t="array" ref="N62">IFERROR(VLOOKUP($A62,'The List'!$B1:$AS671,21,FALSE)," ")</f>
        <v xml:space="preserve"> </v>
      </c>
      <c r="O62" s="84" t="str" cm="1">
        <f t="array" ref="O62">IFERROR(VLOOKUP($A62,'The List'!$B1:$AS671,22,FALSE)," ")</f>
        <v xml:space="preserve"> </v>
      </c>
      <c r="P62" s="84" t="str" cm="1">
        <f t="array" ref="P62">IFERROR(VLOOKUP($A62,'The List'!$B1:$AS671,23,FALSE)," ")</f>
        <v xml:space="preserve"> </v>
      </c>
      <c r="Q62" s="84" t="str" cm="1">
        <f t="array" ref="Q62">IFERROR(VLOOKUP($A62,'The List'!$B1:$AS671,24,FALSE)," ")</f>
        <v xml:space="preserve"> </v>
      </c>
      <c r="R62" s="84" t="str" cm="1">
        <f t="array" ref="R62">IFERROR(VLOOKUP($A62,'The List'!$B1:$AS671,25,FALSE)," ")</f>
        <v xml:space="preserve"> </v>
      </c>
      <c r="S62" s="84" t="str" cm="1">
        <f t="array" ref="S62">IFERROR(VLOOKUP($A62,'The List'!$B1:$AS671,26,FALSE)," ")</f>
        <v xml:space="preserve"> </v>
      </c>
      <c r="T62" s="84" t="str" cm="1">
        <f t="array" ref="T62">IFERROR(VLOOKUP($A62,'The List'!$B1:$AS671,27,FALSE)," ")</f>
        <v xml:space="preserve"> </v>
      </c>
      <c r="U62" s="84" t="str" cm="1">
        <f t="array" ref="U62">IFERROR(VLOOKUP($A62,'The List'!$B1:$AS671,28,FALSE)," ")</f>
        <v xml:space="preserve"> </v>
      </c>
      <c r="V62" s="84" t="str" cm="1">
        <f t="array" ref="V62">IFERROR(VLOOKUP($A62,'The List'!$B1:$AS671,29,FALSE)," ")</f>
        <v xml:space="preserve"> </v>
      </c>
      <c r="W62" s="84" t="str" cm="1">
        <f t="array" ref="W62">IFERROR(VLOOKUP($A62,'The List'!$B1:$AS671,30,FALSE)," ")</f>
        <v xml:space="preserve"> </v>
      </c>
      <c r="X62" s="84" t="str" cm="1">
        <f t="array" ref="X62">IFERROR(VLOOKUP($A62,'The List'!$B1:$AS671,31,FALSE)," ")</f>
        <v xml:space="preserve"> </v>
      </c>
      <c r="Y62" s="84" t="str" cm="1">
        <f t="array" ref="Y62">IFERROR(VLOOKUP($A62,'The List'!$B1:$AS671,32,FALSE)," ")</f>
        <v xml:space="preserve"> </v>
      </c>
      <c r="Z62" s="84" t="str" cm="1">
        <f t="array" ref="Z62">IFERROR(VLOOKUP($A62,'The List'!$B1:$AS671,33,FALSE)," ")</f>
        <v xml:space="preserve"> </v>
      </c>
      <c r="AA62" s="85"/>
      <c r="AB62" s="90"/>
      <c r="AC62" s="90"/>
      <c r="AD62" s="90"/>
      <c r="AE62" s="90"/>
      <c r="AF62" s="90"/>
    </row>
    <row r="63" spans="1:32" ht="21.25" customHeight="1" x14ac:dyDescent="0.15">
      <c r="A63" s="24"/>
      <c r="B63" s="87" t="str" cm="1">
        <f t="array" ref="B63">IFERROR(VLOOKUP($A63,'The List'!$B1:$AS671,3,FALSE)," ")</f>
        <v xml:space="preserve"> </v>
      </c>
      <c r="C63" s="91" t="str" cm="1">
        <f t="array" ref="C63">IFERROR(VLOOKUP($A63,'The List'!$B1:$AS671,4,FALSE)," ")</f>
        <v xml:space="preserve"> </v>
      </c>
      <c r="D63" s="18" t="str" cm="1">
        <f t="array" ref="D63">IFERROR(VLOOKUP($A63,'The List'!$B1:$AS671,5,FALSE)," ")</f>
        <v xml:space="preserve"> </v>
      </c>
      <c r="E63" s="18" t="str" cm="1">
        <f t="array" ref="E63">IFERROR(VLOOKUP($A63,'The List'!$B1:$AS671,6,FALSE)," ")</f>
        <v xml:space="preserve"> </v>
      </c>
      <c r="F63" s="92" t="str" cm="1">
        <f t="array" ref="F63">IFERROR(VLOOKUP($A63,'The List'!$B1:$AS671,8,FALSE)," ")</f>
        <v xml:space="preserve"> </v>
      </c>
      <c r="G63" s="92" t="str" cm="1">
        <f t="array" ref="G63">IFERROR(VLOOKUP($A63,'The List'!$B1:$AS671,10,FALSE)," ")</f>
        <v xml:space="preserve"> </v>
      </c>
      <c r="H63" s="55"/>
      <c r="I63" s="84" t="str" cm="1">
        <f t="array" ref="I63">IFERROR(VLOOKUP($A63,'The List'!$B1:$AS671,16,FALSE)," ")</f>
        <v xml:space="preserve"> </v>
      </c>
      <c r="J63" s="84" t="str" cm="1">
        <f t="array" ref="J63">IFERROR(VLOOKUP($A63,'The List'!$B1:$AS671,17,FALSE)," ")</f>
        <v xml:space="preserve"> </v>
      </c>
      <c r="K63" s="84" t="str" cm="1">
        <f t="array" ref="K63">IFERROR(VLOOKUP($A63,'The List'!$B1:$AS671,18,FALSE)," ")</f>
        <v xml:space="preserve"> </v>
      </c>
      <c r="L63" s="84" t="str" cm="1">
        <f t="array" ref="L63">IFERROR(VLOOKUP($A63,'The List'!$B1:$AS671,19,FALSE)," ")</f>
        <v xml:space="preserve"> </v>
      </c>
      <c r="M63" s="84" t="str" cm="1">
        <f t="array" ref="M63">IFERROR(VLOOKUP($A63,'The List'!$B1:$AS671,20,FALSE)," ")</f>
        <v xml:space="preserve"> </v>
      </c>
      <c r="N63" s="84" t="str" cm="1">
        <f t="array" ref="N63">IFERROR(VLOOKUP($A63,'The List'!$B1:$AS671,21,FALSE)," ")</f>
        <v xml:space="preserve"> </v>
      </c>
      <c r="O63" s="84" t="str" cm="1">
        <f t="array" ref="O63">IFERROR(VLOOKUP($A63,'The List'!$B1:$AS671,22,FALSE)," ")</f>
        <v xml:space="preserve"> </v>
      </c>
      <c r="P63" s="84" t="str" cm="1">
        <f t="array" ref="P63">IFERROR(VLOOKUP($A63,'The List'!$B1:$AS671,23,FALSE)," ")</f>
        <v xml:space="preserve"> </v>
      </c>
      <c r="Q63" s="84" t="str" cm="1">
        <f t="array" ref="Q63">IFERROR(VLOOKUP($A63,'The List'!$B1:$AS671,24,FALSE)," ")</f>
        <v xml:space="preserve"> </v>
      </c>
      <c r="R63" s="84" t="str" cm="1">
        <f t="array" ref="R63">IFERROR(VLOOKUP($A63,'The List'!$B1:$AS671,25,FALSE)," ")</f>
        <v xml:space="preserve"> </v>
      </c>
      <c r="S63" s="84" t="str" cm="1">
        <f t="array" ref="S63">IFERROR(VLOOKUP($A63,'The List'!$B1:$AS671,26,FALSE)," ")</f>
        <v xml:space="preserve"> </v>
      </c>
      <c r="T63" s="84" t="str" cm="1">
        <f t="array" ref="T63">IFERROR(VLOOKUP($A63,'The List'!$B1:$AS671,27,FALSE)," ")</f>
        <v xml:space="preserve"> </v>
      </c>
      <c r="U63" s="84" t="str" cm="1">
        <f t="array" ref="U63">IFERROR(VLOOKUP($A63,'The List'!$B1:$AS671,28,FALSE)," ")</f>
        <v xml:space="preserve"> </v>
      </c>
      <c r="V63" s="84" t="str" cm="1">
        <f t="array" ref="V63">IFERROR(VLOOKUP($A63,'The List'!$B1:$AS671,29,FALSE)," ")</f>
        <v xml:space="preserve"> </v>
      </c>
      <c r="W63" s="84" t="str" cm="1">
        <f t="array" ref="W63">IFERROR(VLOOKUP($A63,'The List'!$B1:$AS671,30,FALSE)," ")</f>
        <v xml:space="preserve"> </v>
      </c>
      <c r="X63" s="84" t="str" cm="1">
        <f t="array" ref="X63">IFERROR(VLOOKUP($A63,'The List'!$B1:$AS671,31,FALSE)," ")</f>
        <v xml:space="preserve"> </v>
      </c>
      <c r="Y63" s="84" t="str" cm="1">
        <f t="array" ref="Y63">IFERROR(VLOOKUP($A63,'The List'!$B1:$AS671,32,FALSE)," ")</f>
        <v xml:space="preserve"> </v>
      </c>
      <c r="Z63" s="84" t="str" cm="1">
        <f t="array" ref="Z63">IFERROR(VLOOKUP($A63,'The List'!$B1:$AS671,33,FALSE)," ")</f>
        <v xml:space="preserve"> </v>
      </c>
      <c r="AA63" s="85"/>
      <c r="AB63" s="90"/>
      <c r="AC63" s="90"/>
      <c r="AD63" s="90"/>
      <c r="AE63" s="90"/>
      <c r="AF63" s="90"/>
    </row>
    <row r="64" spans="1:32" ht="21.25" customHeight="1" x14ac:dyDescent="0.15">
      <c r="A64" s="24"/>
      <c r="B64" s="93" t="str" cm="1">
        <f t="array" ref="B64">IFERROR(VLOOKUP($A64,'The List'!$B1:$AS671,3,FALSE)," ")</f>
        <v xml:space="preserve"> </v>
      </c>
      <c r="C64" s="95" t="str" cm="1">
        <f t="array" ref="C64">IFERROR(VLOOKUP($A64,'The List'!$B1:$AS671,4,FALSE)," ")</f>
        <v xml:space="preserve"> </v>
      </c>
      <c r="D64" s="18" t="str" cm="1">
        <f t="array" ref="D64">IFERROR(VLOOKUP($A64,'The List'!$B1:$AS671,5,FALSE)," ")</f>
        <v xml:space="preserve"> </v>
      </c>
      <c r="E64" s="18" t="str" cm="1">
        <f t="array" ref="E64">IFERROR(VLOOKUP($A64,'The List'!$B1:$AS671,6,FALSE)," ")</f>
        <v xml:space="preserve"> </v>
      </c>
      <c r="F64" s="92" t="str" cm="1">
        <f t="array" ref="F64">IFERROR(VLOOKUP($A64,'The List'!$B1:$AS671,8,FALSE)," ")</f>
        <v xml:space="preserve"> </v>
      </c>
      <c r="G64" s="92" t="str" cm="1">
        <f t="array" ref="G64">IFERROR(VLOOKUP($A64,'The List'!$B1:$AS671,10,FALSE)," ")</f>
        <v xml:space="preserve"> </v>
      </c>
      <c r="H64" s="55"/>
      <c r="I64" s="84" t="str" cm="1">
        <f t="array" ref="I64">IFERROR(VLOOKUP($A64,'The List'!$B1:$AS671,16,FALSE)," ")</f>
        <v xml:space="preserve"> </v>
      </c>
      <c r="J64" s="84" t="str" cm="1">
        <f t="array" ref="J64">IFERROR(VLOOKUP($A64,'The List'!$B1:$AS671,17,FALSE)," ")</f>
        <v xml:space="preserve"> </v>
      </c>
      <c r="K64" s="84" t="str" cm="1">
        <f t="array" ref="K64">IFERROR(VLOOKUP($A64,'The List'!$B1:$AS671,18,FALSE)," ")</f>
        <v xml:space="preserve"> </v>
      </c>
      <c r="L64" s="84" t="str" cm="1">
        <f t="array" ref="L64">IFERROR(VLOOKUP($A64,'The List'!$B1:$AS671,19,FALSE)," ")</f>
        <v xml:space="preserve"> </v>
      </c>
      <c r="M64" s="84" t="str" cm="1">
        <f t="array" ref="M64">IFERROR(VLOOKUP($A64,'The List'!$B1:$AS671,20,FALSE)," ")</f>
        <v xml:space="preserve"> </v>
      </c>
      <c r="N64" s="84" t="str" cm="1">
        <f t="array" ref="N64">IFERROR(VLOOKUP($A64,'The List'!$B1:$AS671,21,FALSE)," ")</f>
        <v xml:space="preserve"> </v>
      </c>
      <c r="O64" s="84" t="str" cm="1">
        <f t="array" ref="O64">IFERROR(VLOOKUP($A64,'The List'!$B1:$AS671,22,FALSE)," ")</f>
        <v xml:space="preserve"> </v>
      </c>
      <c r="P64" s="84" t="str" cm="1">
        <f t="array" ref="P64">IFERROR(VLOOKUP($A64,'The List'!$B1:$AS671,23,FALSE)," ")</f>
        <v xml:space="preserve"> </v>
      </c>
      <c r="Q64" s="84" t="str" cm="1">
        <f t="array" ref="Q64">IFERROR(VLOOKUP($A64,'The List'!$B1:$AS671,24,FALSE)," ")</f>
        <v xml:space="preserve"> </v>
      </c>
      <c r="R64" s="84" t="str" cm="1">
        <f t="array" ref="R64">IFERROR(VLOOKUP($A64,'The List'!$B1:$AS671,25,FALSE)," ")</f>
        <v xml:space="preserve"> </v>
      </c>
      <c r="S64" s="84" t="str" cm="1">
        <f t="array" ref="S64">IFERROR(VLOOKUP($A64,'The List'!$B1:$AS671,26,FALSE)," ")</f>
        <v xml:space="preserve"> </v>
      </c>
      <c r="T64" s="84" t="str" cm="1">
        <f t="array" ref="T64">IFERROR(VLOOKUP($A64,'The List'!$B1:$AS671,27,FALSE)," ")</f>
        <v xml:space="preserve"> </v>
      </c>
      <c r="U64" s="84" t="str" cm="1">
        <f t="array" ref="U64">IFERROR(VLOOKUP($A64,'The List'!$B1:$AS671,28,FALSE)," ")</f>
        <v xml:space="preserve"> </v>
      </c>
      <c r="V64" s="84" t="str" cm="1">
        <f t="array" ref="V64">IFERROR(VLOOKUP($A64,'The List'!$B1:$AS671,29,FALSE)," ")</f>
        <v xml:space="preserve"> </v>
      </c>
      <c r="W64" s="84" t="str" cm="1">
        <f t="array" ref="W64">IFERROR(VLOOKUP($A64,'The List'!$B1:$AS671,30,FALSE)," ")</f>
        <v xml:space="preserve"> </v>
      </c>
      <c r="X64" s="84" t="str" cm="1">
        <f t="array" ref="X64">IFERROR(VLOOKUP($A64,'The List'!$B1:$AS671,31,FALSE)," ")</f>
        <v xml:space="preserve"> </v>
      </c>
      <c r="Y64" s="84" t="str" cm="1">
        <f t="array" ref="Y64">IFERROR(VLOOKUP($A64,'The List'!$B1:$AS671,32,FALSE)," ")</f>
        <v xml:space="preserve"> </v>
      </c>
      <c r="Z64" s="84" t="str" cm="1">
        <f t="array" ref="Z64">IFERROR(VLOOKUP($A64,'The List'!$B1:$AS671,33,FALSE)," ")</f>
        <v xml:space="preserve"> </v>
      </c>
      <c r="AA64" s="85"/>
      <c r="AB64" s="90"/>
      <c r="AC64" s="90"/>
      <c r="AD64" s="90"/>
      <c r="AE64" s="90"/>
      <c r="AF64" s="90"/>
    </row>
    <row r="65" spans="1:32" ht="21.25" customHeight="1" x14ac:dyDescent="0.15">
      <c r="A65" s="24"/>
      <c r="B65" s="93" t="str" cm="1">
        <f t="array" ref="B65">IFERROR(VLOOKUP($A65,'The List'!$B1:$AS671,3,FALSE)," ")</f>
        <v xml:space="preserve"> </v>
      </c>
      <c r="C65" s="95" t="str" cm="1">
        <f t="array" ref="C65">IFERROR(VLOOKUP($A65,'The List'!$B1:$AS671,4,FALSE)," ")</f>
        <v xml:space="preserve"> </v>
      </c>
      <c r="D65" s="18" t="str" cm="1">
        <f t="array" ref="D65">IFERROR(VLOOKUP($A65,'The List'!$B1:$AS671,5,FALSE)," ")</f>
        <v xml:space="preserve"> </v>
      </c>
      <c r="E65" s="18" t="str" cm="1">
        <f t="array" ref="E65">IFERROR(VLOOKUP($A65,'The List'!$B1:$AS671,6,FALSE)," ")</f>
        <v xml:space="preserve"> </v>
      </c>
      <c r="F65" s="92" t="str" cm="1">
        <f t="array" ref="F65">IFERROR(VLOOKUP($A65,'The List'!$B1:$AS671,8,FALSE)," ")</f>
        <v xml:space="preserve"> </v>
      </c>
      <c r="G65" s="92" t="str" cm="1">
        <f t="array" ref="G65">IFERROR(VLOOKUP($A65,'The List'!$B1:$AS671,10,FALSE)," ")</f>
        <v xml:space="preserve"> </v>
      </c>
      <c r="H65" s="55"/>
      <c r="I65" s="84" t="str" cm="1">
        <f t="array" ref="I65">IFERROR(VLOOKUP($A65,'The List'!$B1:$AS671,16,FALSE)," ")</f>
        <v xml:space="preserve"> </v>
      </c>
      <c r="J65" s="84" t="str" cm="1">
        <f t="array" ref="J65">IFERROR(VLOOKUP($A65,'The List'!$B1:$AS671,17,FALSE)," ")</f>
        <v xml:space="preserve"> </v>
      </c>
      <c r="K65" s="84" t="str" cm="1">
        <f t="array" ref="K65">IFERROR(VLOOKUP($A65,'The List'!$B1:$AS671,18,FALSE)," ")</f>
        <v xml:space="preserve"> </v>
      </c>
      <c r="L65" s="84" t="str" cm="1">
        <f t="array" ref="L65">IFERROR(VLOOKUP($A65,'The List'!$B1:$AS671,19,FALSE)," ")</f>
        <v xml:space="preserve"> </v>
      </c>
      <c r="M65" s="84" t="str" cm="1">
        <f t="array" ref="M65">IFERROR(VLOOKUP($A65,'The List'!$B1:$AS671,20,FALSE)," ")</f>
        <v xml:space="preserve"> </v>
      </c>
      <c r="N65" s="84" t="str" cm="1">
        <f t="array" ref="N65">IFERROR(VLOOKUP($A65,'The List'!$B1:$AS671,21,FALSE)," ")</f>
        <v xml:space="preserve"> </v>
      </c>
      <c r="O65" s="84" t="str" cm="1">
        <f t="array" ref="O65">IFERROR(VLOOKUP($A65,'The List'!$B1:$AS671,22,FALSE)," ")</f>
        <v xml:space="preserve"> </v>
      </c>
      <c r="P65" s="84" t="str" cm="1">
        <f t="array" ref="P65">IFERROR(VLOOKUP($A65,'The List'!$B1:$AS671,23,FALSE)," ")</f>
        <v xml:space="preserve"> </v>
      </c>
      <c r="Q65" s="84" t="str" cm="1">
        <f t="array" ref="Q65">IFERROR(VLOOKUP($A65,'The List'!$B1:$AS671,24,FALSE)," ")</f>
        <v xml:space="preserve"> </v>
      </c>
      <c r="R65" s="84" t="str" cm="1">
        <f t="array" ref="R65">IFERROR(VLOOKUP($A65,'The List'!$B1:$AS671,25,FALSE)," ")</f>
        <v xml:space="preserve"> </v>
      </c>
      <c r="S65" s="84" t="str" cm="1">
        <f t="array" ref="S65">IFERROR(VLOOKUP($A65,'The List'!$B1:$AS671,26,FALSE)," ")</f>
        <v xml:space="preserve"> </v>
      </c>
      <c r="T65" s="84" t="str" cm="1">
        <f t="array" ref="T65">IFERROR(VLOOKUP($A65,'The List'!$B1:$AS671,27,FALSE)," ")</f>
        <v xml:space="preserve"> </v>
      </c>
      <c r="U65" s="84" t="str" cm="1">
        <f t="array" ref="U65">IFERROR(VLOOKUP($A65,'The List'!$B1:$AS671,28,FALSE)," ")</f>
        <v xml:space="preserve"> </v>
      </c>
      <c r="V65" s="84" t="str" cm="1">
        <f t="array" ref="V65">IFERROR(VLOOKUP($A65,'The List'!$B1:$AS671,29,FALSE)," ")</f>
        <v xml:space="preserve"> </v>
      </c>
      <c r="W65" s="84" t="str" cm="1">
        <f t="array" ref="W65">IFERROR(VLOOKUP($A65,'The List'!$B1:$AS671,30,FALSE)," ")</f>
        <v xml:space="preserve"> </v>
      </c>
      <c r="X65" s="84" t="str" cm="1">
        <f t="array" ref="X65">IFERROR(VLOOKUP($A65,'The List'!$B1:$AS671,31,FALSE)," ")</f>
        <v xml:space="preserve"> </v>
      </c>
      <c r="Y65" s="84" t="str" cm="1">
        <f t="array" ref="Y65">IFERROR(VLOOKUP($A65,'The List'!$B1:$AS671,32,FALSE)," ")</f>
        <v xml:space="preserve"> </v>
      </c>
      <c r="Z65" s="84" t="str" cm="1">
        <f t="array" ref="Z65">IFERROR(VLOOKUP($A65,'The List'!$B1:$AS671,33,FALSE)," ")</f>
        <v xml:space="preserve"> </v>
      </c>
      <c r="AA65" s="85"/>
      <c r="AB65" s="90"/>
      <c r="AC65" s="90"/>
      <c r="AD65" s="90"/>
      <c r="AE65" s="90"/>
      <c r="AF65" s="90"/>
    </row>
    <row r="66" spans="1:32" ht="21.25" customHeight="1" x14ac:dyDescent="0.15">
      <c r="A66" s="24"/>
      <c r="B66" s="93" t="str" cm="1">
        <f t="array" ref="B66">IFERROR(VLOOKUP($A66,'The List'!$B1:$AS671,3,FALSE)," ")</f>
        <v xml:space="preserve"> </v>
      </c>
      <c r="C66" s="95" t="str" cm="1">
        <f t="array" ref="C66">IFERROR(VLOOKUP($A66,'The List'!$B1:$AS671,4,FALSE)," ")</f>
        <v xml:space="preserve"> </v>
      </c>
      <c r="D66" s="18" t="str" cm="1">
        <f t="array" ref="D66">IFERROR(VLOOKUP($A66,'The List'!$B1:$AS671,5,FALSE)," ")</f>
        <v xml:space="preserve"> </v>
      </c>
      <c r="E66" s="18" t="str" cm="1">
        <f t="array" ref="E66">IFERROR(VLOOKUP($A66,'The List'!$B1:$AS671,6,FALSE)," ")</f>
        <v xml:space="preserve"> </v>
      </c>
      <c r="F66" s="92" t="str" cm="1">
        <f t="array" ref="F66">IFERROR(VLOOKUP($A66,'The List'!$B1:$AS671,8,FALSE)," ")</f>
        <v xml:space="preserve"> </v>
      </c>
      <c r="G66" s="92" t="str" cm="1">
        <f t="array" ref="G66">IFERROR(VLOOKUP($A66,'The List'!$B1:$AS671,10,FALSE)," ")</f>
        <v xml:space="preserve"> </v>
      </c>
      <c r="H66" s="55"/>
      <c r="I66" s="84" t="str" cm="1">
        <f t="array" ref="I66">IFERROR(VLOOKUP($A66,'The List'!$B1:$AS671,16,FALSE)," ")</f>
        <v xml:space="preserve"> </v>
      </c>
      <c r="J66" s="84" t="str" cm="1">
        <f t="array" ref="J66">IFERROR(VLOOKUP($A66,'The List'!$B1:$AS671,17,FALSE)," ")</f>
        <v xml:space="preserve"> </v>
      </c>
      <c r="K66" s="84" t="str" cm="1">
        <f t="array" ref="K66">IFERROR(VLOOKUP($A66,'The List'!$B1:$AS671,18,FALSE)," ")</f>
        <v xml:space="preserve"> </v>
      </c>
      <c r="L66" s="84" t="str" cm="1">
        <f t="array" ref="L66">IFERROR(VLOOKUP($A66,'The List'!$B1:$AS671,19,FALSE)," ")</f>
        <v xml:space="preserve"> </v>
      </c>
      <c r="M66" s="84" t="str" cm="1">
        <f t="array" ref="M66">IFERROR(VLOOKUP($A66,'The List'!$B1:$AS671,20,FALSE)," ")</f>
        <v xml:space="preserve"> </v>
      </c>
      <c r="N66" s="84" t="str" cm="1">
        <f t="array" ref="N66">IFERROR(VLOOKUP($A66,'The List'!$B1:$AS671,21,FALSE)," ")</f>
        <v xml:space="preserve"> </v>
      </c>
      <c r="O66" s="84" t="str" cm="1">
        <f t="array" ref="O66">IFERROR(VLOOKUP($A66,'The List'!$B1:$AS671,22,FALSE)," ")</f>
        <v xml:space="preserve"> </v>
      </c>
      <c r="P66" s="84" t="str" cm="1">
        <f t="array" ref="P66">IFERROR(VLOOKUP($A66,'The List'!$B1:$AS671,23,FALSE)," ")</f>
        <v xml:space="preserve"> </v>
      </c>
      <c r="Q66" s="84" t="str" cm="1">
        <f t="array" ref="Q66">IFERROR(VLOOKUP($A66,'The List'!$B1:$AS671,24,FALSE)," ")</f>
        <v xml:space="preserve"> </v>
      </c>
      <c r="R66" s="84" t="str" cm="1">
        <f t="array" ref="R66">IFERROR(VLOOKUP($A66,'The List'!$B1:$AS671,25,FALSE)," ")</f>
        <v xml:space="preserve"> </v>
      </c>
      <c r="S66" s="84" t="str" cm="1">
        <f t="array" ref="S66">IFERROR(VLOOKUP($A66,'The List'!$B1:$AS671,26,FALSE)," ")</f>
        <v xml:space="preserve"> </v>
      </c>
      <c r="T66" s="84" t="str" cm="1">
        <f t="array" ref="T66">IFERROR(VLOOKUP($A66,'The List'!$B1:$AS671,27,FALSE)," ")</f>
        <v xml:space="preserve"> </v>
      </c>
      <c r="U66" s="84" t="str" cm="1">
        <f t="array" ref="U66">IFERROR(VLOOKUP($A66,'The List'!$B1:$AS671,28,FALSE)," ")</f>
        <v xml:space="preserve"> </v>
      </c>
      <c r="V66" s="84" t="str" cm="1">
        <f t="array" ref="V66">IFERROR(VLOOKUP($A66,'The List'!$B1:$AS671,29,FALSE)," ")</f>
        <v xml:space="preserve"> </v>
      </c>
      <c r="W66" s="84" t="str" cm="1">
        <f t="array" ref="W66">IFERROR(VLOOKUP($A66,'The List'!$B1:$AS671,30,FALSE)," ")</f>
        <v xml:space="preserve"> </v>
      </c>
      <c r="X66" s="84" t="str" cm="1">
        <f t="array" ref="X66">IFERROR(VLOOKUP($A66,'The List'!$B1:$AS671,31,FALSE)," ")</f>
        <v xml:space="preserve"> </v>
      </c>
      <c r="Y66" s="84" t="str" cm="1">
        <f t="array" ref="Y66">IFERROR(VLOOKUP($A66,'The List'!$B1:$AS671,32,FALSE)," ")</f>
        <v xml:space="preserve"> </v>
      </c>
      <c r="Z66" s="84" t="str" cm="1">
        <f t="array" ref="Z66">IFERROR(VLOOKUP($A66,'The List'!$B1:$AS671,33,FALSE)," ")</f>
        <v xml:space="preserve"> </v>
      </c>
      <c r="AA66" s="85"/>
      <c r="AB66" s="90"/>
      <c r="AC66" s="90"/>
      <c r="AD66" s="90"/>
      <c r="AE66" s="90"/>
      <c r="AF66" s="90"/>
    </row>
    <row r="67" spans="1:32" ht="21.25" customHeight="1" x14ac:dyDescent="0.15">
      <c r="A67" s="24"/>
      <c r="B67" s="93" t="str" cm="1">
        <f t="array" ref="B67">IFERROR(VLOOKUP($A67,'The List'!$B1:$AS671,3,FALSE)," ")</f>
        <v xml:space="preserve"> </v>
      </c>
      <c r="C67" s="95" t="str" cm="1">
        <f t="array" ref="C67">IFERROR(VLOOKUP($A67,'The List'!$B1:$AS671,4,FALSE)," ")</f>
        <v xml:space="preserve"> </v>
      </c>
      <c r="D67" s="18" t="str" cm="1">
        <f t="array" ref="D67">IFERROR(VLOOKUP($A67,'The List'!$B1:$AS671,5,FALSE)," ")</f>
        <v xml:space="preserve"> </v>
      </c>
      <c r="E67" s="18" t="str" cm="1">
        <f t="array" ref="E67">IFERROR(VLOOKUP($A67,'The List'!$B1:$AS671,6,FALSE)," ")</f>
        <v xml:space="preserve"> </v>
      </c>
      <c r="F67" s="92" t="str" cm="1">
        <f t="array" ref="F67">IFERROR(VLOOKUP($A67,'The List'!$B1:$AS671,8,FALSE)," ")</f>
        <v xml:space="preserve"> </v>
      </c>
      <c r="G67" s="92" t="str" cm="1">
        <f t="array" ref="G67">IFERROR(VLOOKUP($A67,'The List'!$B1:$AS671,10,FALSE)," ")</f>
        <v xml:space="preserve"> </v>
      </c>
      <c r="H67" s="55"/>
      <c r="I67" s="84" t="str" cm="1">
        <f t="array" ref="I67">IFERROR(VLOOKUP($A67,'The List'!$B1:$AS671,16,FALSE)," ")</f>
        <v xml:space="preserve"> </v>
      </c>
      <c r="J67" s="84" t="str" cm="1">
        <f t="array" ref="J67">IFERROR(VLOOKUP($A67,'The List'!$B1:$AS671,17,FALSE)," ")</f>
        <v xml:space="preserve"> </v>
      </c>
      <c r="K67" s="84" t="str" cm="1">
        <f t="array" ref="K67">IFERROR(VLOOKUP($A67,'The List'!$B1:$AS671,18,FALSE)," ")</f>
        <v xml:space="preserve"> </v>
      </c>
      <c r="L67" s="84" t="str" cm="1">
        <f t="array" ref="L67">IFERROR(VLOOKUP($A67,'The List'!$B1:$AS671,19,FALSE)," ")</f>
        <v xml:space="preserve"> </v>
      </c>
      <c r="M67" s="84" t="str" cm="1">
        <f t="array" ref="M67">IFERROR(VLOOKUP($A67,'The List'!$B1:$AS671,20,FALSE)," ")</f>
        <v xml:space="preserve"> </v>
      </c>
      <c r="N67" s="84" t="str" cm="1">
        <f t="array" ref="N67">IFERROR(VLOOKUP($A67,'The List'!$B1:$AS671,21,FALSE)," ")</f>
        <v xml:space="preserve"> </v>
      </c>
      <c r="O67" s="84" t="str" cm="1">
        <f t="array" ref="O67">IFERROR(VLOOKUP($A67,'The List'!$B1:$AS671,22,FALSE)," ")</f>
        <v xml:space="preserve"> </v>
      </c>
      <c r="P67" s="84" t="str" cm="1">
        <f t="array" ref="P67">IFERROR(VLOOKUP($A67,'The List'!$B1:$AS671,23,FALSE)," ")</f>
        <v xml:space="preserve"> </v>
      </c>
      <c r="Q67" s="84" t="str" cm="1">
        <f t="array" ref="Q67">IFERROR(VLOOKUP($A67,'The List'!$B1:$AS671,24,FALSE)," ")</f>
        <v xml:space="preserve"> </v>
      </c>
      <c r="R67" s="84" t="str" cm="1">
        <f t="array" ref="R67">IFERROR(VLOOKUP($A67,'The List'!$B1:$AS671,25,FALSE)," ")</f>
        <v xml:space="preserve"> </v>
      </c>
      <c r="S67" s="84" t="str" cm="1">
        <f t="array" ref="S67">IFERROR(VLOOKUP($A67,'The List'!$B1:$AS671,26,FALSE)," ")</f>
        <v xml:space="preserve"> </v>
      </c>
      <c r="T67" s="84" t="str" cm="1">
        <f t="array" ref="T67">IFERROR(VLOOKUP($A67,'The List'!$B1:$AS671,27,FALSE)," ")</f>
        <v xml:space="preserve"> </v>
      </c>
      <c r="U67" s="84" t="str" cm="1">
        <f t="array" ref="U67">IFERROR(VLOOKUP($A67,'The List'!$B1:$AS671,28,FALSE)," ")</f>
        <v xml:space="preserve"> </v>
      </c>
      <c r="V67" s="84" t="str" cm="1">
        <f t="array" ref="V67">IFERROR(VLOOKUP($A67,'The List'!$B1:$AS671,29,FALSE)," ")</f>
        <v xml:space="preserve"> </v>
      </c>
      <c r="W67" s="84" t="str" cm="1">
        <f t="array" ref="W67">IFERROR(VLOOKUP($A67,'The List'!$B1:$AS671,30,FALSE)," ")</f>
        <v xml:space="preserve"> </v>
      </c>
      <c r="X67" s="84" t="str" cm="1">
        <f t="array" ref="X67">IFERROR(VLOOKUP($A67,'The List'!$B1:$AS671,31,FALSE)," ")</f>
        <v xml:space="preserve"> </v>
      </c>
      <c r="Y67" s="84" t="str" cm="1">
        <f t="array" ref="Y67">IFERROR(VLOOKUP($A67,'The List'!$B1:$AS671,32,FALSE)," ")</f>
        <v xml:space="preserve"> </v>
      </c>
      <c r="Z67" s="84" t="str" cm="1">
        <f t="array" ref="Z67">IFERROR(VLOOKUP($A67,'The List'!$B1:$AS671,33,FALSE)," ")</f>
        <v xml:space="preserve"> </v>
      </c>
      <c r="AA67" s="85"/>
      <c r="AB67" s="90"/>
      <c r="AC67" s="90"/>
      <c r="AD67" s="90"/>
      <c r="AE67" s="90"/>
      <c r="AF67" s="90"/>
    </row>
    <row r="68" spans="1:32" ht="21.25" customHeight="1" x14ac:dyDescent="0.15">
      <c r="A68" s="24"/>
      <c r="B68" s="96" t="str" cm="1">
        <f t="array" ref="B68">IFERROR(VLOOKUP($A68,'The List'!$B1:$AS671,3,FALSE)," ")</f>
        <v xml:space="preserve"> </v>
      </c>
      <c r="C68" s="98" t="str" cm="1">
        <f t="array" ref="C68">IFERROR(VLOOKUP($A68,'The List'!$B1:$AS671,4,FALSE)," ")</f>
        <v xml:space="preserve"> </v>
      </c>
      <c r="D68" s="18" t="str" cm="1">
        <f t="array" ref="D68">IFERROR(VLOOKUP($A68,'The List'!$B1:$AS671,5,FALSE)," ")</f>
        <v xml:space="preserve"> </v>
      </c>
      <c r="E68" s="18" t="str" cm="1">
        <f t="array" ref="E68">IFERROR(VLOOKUP($A68,'The List'!$B1:$AS671,6,FALSE)," ")</f>
        <v xml:space="preserve"> </v>
      </c>
      <c r="F68" s="92" t="str" cm="1">
        <f t="array" ref="F68">IFERROR(VLOOKUP($A68,'The List'!$B1:$AS671,8,FALSE)," ")</f>
        <v xml:space="preserve"> </v>
      </c>
      <c r="G68" s="92" t="str" cm="1">
        <f t="array" ref="G68">IFERROR(VLOOKUP($A68,'The List'!$B1:$AS671,10,FALSE)," ")</f>
        <v xml:space="preserve"> </v>
      </c>
      <c r="H68" s="55"/>
      <c r="I68" s="84" t="str" cm="1">
        <f t="array" ref="I68">IFERROR(VLOOKUP($A68,'The List'!$B1:$AS671,16,FALSE)," ")</f>
        <v xml:space="preserve"> </v>
      </c>
      <c r="J68" s="84" t="str" cm="1">
        <f t="array" ref="J68">IFERROR(VLOOKUP($A68,'The List'!$B1:$AS671,17,FALSE)," ")</f>
        <v xml:space="preserve"> </v>
      </c>
      <c r="K68" s="84" t="str" cm="1">
        <f t="array" ref="K68">IFERROR(VLOOKUP($A68,'The List'!$B1:$AS671,18,FALSE)," ")</f>
        <v xml:space="preserve"> </v>
      </c>
      <c r="L68" s="84" t="str" cm="1">
        <f t="array" ref="L68">IFERROR(VLOOKUP($A68,'The List'!$B1:$AS671,19,FALSE)," ")</f>
        <v xml:space="preserve"> </v>
      </c>
      <c r="M68" s="84" t="str" cm="1">
        <f t="array" ref="M68">IFERROR(VLOOKUP($A68,'The List'!$B1:$AS671,20,FALSE)," ")</f>
        <v xml:space="preserve"> </v>
      </c>
      <c r="N68" s="84" t="str" cm="1">
        <f t="array" ref="N68">IFERROR(VLOOKUP($A68,'The List'!$B1:$AS671,21,FALSE)," ")</f>
        <v xml:space="preserve"> </v>
      </c>
      <c r="O68" s="84" t="str" cm="1">
        <f t="array" ref="O68">IFERROR(VLOOKUP($A68,'The List'!$B1:$AS671,22,FALSE)," ")</f>
        <v xml:space="preserve"> </v>
      </c>
      <c r="P68" s="84" t="str" cm="1">
        <f t="array" ref="P68">IFERROR(VLOOKUP($A68,'The List'!$B1:$AS671,23,FALSE)," ")</f>
        <v xml:space="preserve"> </v>
      </c>
      <c r="Q68" s="84" t="str" cm="1">
        <f t="array" ref="Q68">IFERROR(VLOOKUP($A68,'The List'!$B1:$AS671,24,FALSE)," ")</f>
        <v xml:space="preserve"> </v>
      </c>
      <c r="R68" s="84" t="str" cm="1">
        <f t="array" ref="R68">IFERROR(VLOOKUP($A68,'The List'!$B1:$AS671,25,FALSE)," ")</f>
        <v xml:space="preserve"> </v>
      </c>
      <c r="S68" s="84" t="str" cm="1">
        <f t="array" ref="S68">IFERROR(VLOOKUP($A68,'The List'!$B1:$AS671,26,FALSE)," ")</f>
        <v xml:space="preserve"> </v>
      </c>
      <c r="T68" s="84" t="str" cm="1">
        <f t="array" ref="T68">IFERROR(VLOOKUP($A68,'The List'!$B1:$AS671,27,FALSE)," ")</f>
        <v xml:space="preserve"> </v>
      </c>
      <c r="U68" s="84" t="str" cm="1">
        <f t="array" ref="U68">IFERROR(VLOOKUP($A68,'The List'!$B1:$AS671,28,FALSE)," ")</f>
        <v xml:space="preserve"> </v>
      </c>
      <c r="V68" s="84" t="str" cm="1">
        <f t="array" ref="V68">IFERROR(VLOOKUP($A68,'The List'!$B1:$AS671,29,FALSE)," ")</f>
        <v xml:space="preserve"> </v>
      </c>
      <c r="W68" s="84" t="str" cm="1">
        <f t="array" ref="W68">IFERROR(VLOOKUP($A68,'The List'!$B1:$AS671,30,FALSE)," ")</f>
        <v xml:space="preserve"> </v>
      </c>
      <c r="X68" s="84" t="str" cm="1">
        <f t="array" ref="X68">IFERROR(VLOOKUP($A68,'The List'!$B1:$AS671,31,FALSE)," ")</f>
        <v xml:space="preserve"> </v>
      </c>
      <c r="Y68" s="84" t="str" cm="1">
        <f t="array" ref="Y68">IFERROR(VLOOKUP($A68,'The List'!$B1:$AS671,32,FALSE)," ")</f>
        <v xml:space="preserve"> </v>
      </c>
      <c r="Z68" s="84" t="str" cm="1">
        <f t="array" ref="Z68">IFERROR(VLOOKUP($A68,'The List'!$B1:$AS671,33,FALSE)," ")</f>
        <v xml:space="preserve"> </v>
      </c>
      <c r="AA68" s="85"/>
      <c r="AB68" s="90"/>
      <c r="AC68" s="90"/>
      <c r="AD68" s="90"/>
      <c r="AE68" s="90"/>
      <c r="AF68" s="90"/>
    </row>
    <row r="69" spans="1:32" ht="21.25" customHeight="1" x14ac:dyDescent="0.15">
      <c r="A69" s="24"/>
      <c r="B69" s="96" t="str" cm="1">
        <f t="array" ref="B69">IFERROR(VLOOKUP($A69,'The List'!$B1:$AS671,3,FALSE)," ")</f>
        <v xml:space="preserve"> </v>
      </c>
      <c r="C69" s="98" t="str" cm="1">
        <f t="array" ref="C69">IFERROR(VLOOKUP($A69,'The List'!$B1:$AS671,4,FALSE)," ")</f>
        <v xml:space="preserve"> </v>
      </c>
      <c r="D69" s="18" t="str" cm="1">
        <f t="array" ref="D69">IFERROR(VLOOKUP($A69,'The List'!$B1:$AS671,5,FALSE)," ")</f>
        <v xml:space="preserve"> </v>
      </c>
      <c r="E69" s="18" t="str" cm="1">
        <f t="array" ref="E69">IFERROR(VLOOKUP($A69,'The List'!$B1:$AS671,6,FALSE)," ")</f>
        <v xml:space="preserve"> </v>
      </c>
      <c r="F69" s="92" t="str" cm="1">
        <f t="array" ref="F69">IFERROR(VLOOKUP($A69,'The List'!$B1:$AS671,8,FALSE)," ")</f>
        <v xml:space="preserve"> </v>
      </c>
      <c r="G69" s="92" t="str" cm="1">
        <f t="array" ref="G69">IFERROR(VLOOKUP($A69,'The List'!$B1:$AS671,10,FALSE)," ")</f>
        <v xml:space="preserve"> </v>
      </c>
      <c r="H69" s="55"/>
      <c r="I69" s="84" t="str" cm="1">
        <f t="array" ref="I69">IFERROR(VLOOKUP($A69,'The List'!$B1:$AS671,16,FALSE)," ")</f>
        <v xml:space="preserve"> </v>
      </c>
      <c r="J69" s="84" t="str" cm="1">
        <f t="array" ref="J69">IFERROR(VLOOKUP($A69,'The List'!$B1:$AS671,17,FALSE)," ")</f>
        <v xml:space="preserve"> </v>
      </c>
      <c r="K69" s="84" t="str" cm="1">
        <f t="array" ref="K69">IFERROR(VLOOKUP($A69,'The List'!$B1:$AS671,18,FALSE)," ")</f>
        <v xml:space="preserve"> </v>
      </c>
      <c r="L69" s="84" t="str" cm="1">
        <f t="array" ref="L69">IFERROR(VLOOKUP($A69,'The List'!$B1:$AS671,19,FALSE)," ")</f>
        <v xml:space="preserve"> </v>
      </c>
      <c r="M69" s="84" t="str" cm="1">
        <f t="array" ref="M69">IFERROR(VLOOKUP($A69,'The List'!$B1:$AS671,20,FALSE)," ")</f>
        <v xml:space="preserve"> </v>
      </c>
      <c r="N69" s="84" t="str" cm="1">
        <f t="array" ref="N69">IFERROR(VLOOKUP($A69,'The List'!$B1:$AS671,21,FALSE)," ")</f>
        <v xml:space="preserve"> </v>
      </c>
      <c r="O69" s="84" t="str" cm="1">
        <f t="array" ref="O69">IFERROR(VLOOKUP($A69,'The List'!$B1:$AS671,22,FALSE)," ")</f>
        <v xml:space="preserve"> </v>
      </c>
      <c r="P69" s="84" t="str" cm="1">
        <f t="array" ref="P69">IFERROR(VLOOKUP($A69,'The List'!$B1:$AS671,23,FALSE)," ")</f>
        <v xml:space="preserve"> </v>
      </c>
      <c r="Q69" s="84" t="str" cm="1">
        <f t="array" ref="Q69">IFERROR(VLOOKUP($A69,'The List'!$B1:$AS671,24,FALSE)," ")</f>
        <v xml:space="preserve"> </v>
      </c>
      <c r="R69" s="84" t="str" cm="1">
        <f t="array" ref="R69">IFERROR(VLOOKUP($A69,'The List'!$B1:$AS671,25,FALSE)," ")</f>
        <v xml:space="preserve"> </v>
      </c>
      <c r="S69" s="84" t="str" cm="1">
        <f t="array" ref="S69">IFERROR(VLOOKUP($A69,'The List'!$B1:$AS671,26,FALSE)," ")</f>
        <v xml:space="preserve"> </v>
      </c>
      <c r="T69" s="84" t="str" cm="1">
        <f t="array" ref="T69">IFERROR(VLOOKUP($A69,'The List'!$B1:$AS671,27,FALSE)," ")</f>
        <v xml:space="preserve"> </v>
      </c>
      <c r="U69" s="84" t="str" cm="1">
        <f t="array" ref="U69">IFERROR(VLOOKUP($A69,'The List'!$B1:$AS671,28,FALSE)," ")</f>
        <v xml:space="preserve"> </v>
      </c>
      <c r="V69" s="84" t="str" cm="1">
        <f t="array" ref="V69">IFERROR(VLOOKUP($A69,'The List'!$B1:$AS671,29,FALSE)," ")</f>
        <v xml:space="preserve"> </v>
      </c>
      <c r="W69" s="84" t="str" cm="1">
        <f t="array" ref="W69">IFERROR(VLOOKUP($A69,'The List'!$B1:$AS671,30,FALSE)," ")</f>
        <v xml:space="preserve"> </v>
      </c>
      <c r="X69" s="84" t="str" cm="1">
        <f t="array" ref="X69">IFERROR(VLOOKUP($A69,'The List'!$B1:$AS671,31,FALSE)," ")</f>
        <v xml:space="preserve"> </v>
      </c>
      <c r="Y69" s="84" t="str" cm="1">
        <f t="array" ref="Y69">IFERROR(VLOOKUP($A69,'The List'!$B1:$AS671,32,FALSE)," ")</f>
        <v xml:space="preserve"> </v>
      </c>
      <c r="Z69" s="84" t="str" cm="1">
        <f t="array" ref="Z69">IFERROR(VLOOKUP($A69,'The List'!$B1:$AS671,33,FALSE)," ")</f>
        <v xml:space="preserve"> </v>
      </c>
      <c r="AA69" s="85"/>
      <c r="AB69" s="90"/>
      <c r="AC69" s="90"/>
      <c r="AD69" s="90"/>
      <c r="AE69" s="90"/>
      <c r="AF69" s="90"/>
    </row>
    <row r="70" spans="1:32" ht="21.25" customHeight="1" x14ac:dyDescent="0.15">
      <c r="A70" s="24"/>
      <c r="B70" s="96" t="str" cm="1">
        <f t="array" ref="B70">IFERROR(VLOOKUP($A70,'The List'!$B1:$AS671,3,FALSE)," ")</f>
        <v xml:space="preserve"> </v>
      </c>
      <c r="C70" s="98" t="str" cm="1">
        <f t="array" ref="C70">IFERROR(VLOOKUP($A70,'The List'!$B1:$AS671,4,FALSE)," ")</f>
        <v xml:space="preserve"> </v>
      </c>
      <c r="D70" s="18" t="str" cm="1">
        <f t="array" ref="D70">IFERROR(VLOOKUP($A70,'The List'!$B1:$AS671,5,FALSE)," ")</f>
        <v xml:space="preserve"> </v>
      </c>
      <c r="E70" s="18" t="str" cm="1">
        <f t="array" ref="E70">IFERROR(VLOOKUP($A70,'The List'!$B1:$AS671,6,FALSE)," ")</f>
        <v xml:space="preserve"> </v>
      </c>
      <c r="F70" s="92" t="str" cm="1">
        <f t="array" ref="F70">IFERROR(VLOOKUP($A70,'The List'!$B1:$AS671,8,FALSE)," ")</f>
        <v xml:space="preserve"> </v>
      </c>
      <c r="G70" s="92" t="str" cm="1">
        <f t="array" ref="G70">IFERROR(VLOOKUP($A70,'The List'!$B1:$AS671,10,FALSE)," ")</f>
        <v xml:space="preserve"> </v>
      </c>
      <c r="H70" s="55"/>
      <c r="I70" s="84" t="str" cm="1">
        <f t="array" ref="I70">IFERROR(VLOOKUP($A70,'The List'!$B1:$AS671,16,FALSE)," ")</f>
        <v xml:space="preserve"> </v>
      </c>
      <c r="J70" s="84" t="str" cm="1">
        <f t="array" ref="J70">IFERROR(VLOOKUP($A70,'The List'!$B1:$AS671,17,FALSE)," ")</f>
        <v xml:space="preserve"> </v>
      </c>
      <c r="K70" s="84" t="str" cm="1">
        <f t="array" ref="K70">IFERROR(VLOOKUP($A70,'The List'!$B1:$AS671,18,FALSE)," ")</f>
        <v xml:space="preserve"> </v>
      </c>
      <c r="L70" s="84" t="str" cm="1">
        <f t="array" ref="L70">IFERROR(VLOOKUP($A70,'The List'!$B1:$AS671,19,FALSE)," ")</f>
        <v xml:space="preserve"> </v>
      </c>
      <c r="M70" s="84" t="str" cm="1">
        <f t="array" ref="M70">IFERROR(VLOOKUP($A70,'The List'!$B1:$AS671,20,FALSE)," ")</f>
        <v xml:space="preserve"> </v>
      </c>
      <c r="N70" s="84" t="str" cm="1">
        <f t="array" ref="N70">IFERROR(VLOOKUP($A70,'The List'!$B1:$AS671,21,FALSE)," ")</f>
        <v xml:space="preserve"> </v>
      </c>
      <c r="O70" s="84" t="str" cm="1">
        <f t="array" ref="O70">IFERROR(VLOOKUP($A70,'The List'!$B1:$AS671,22,FALSE)," ")</f>
        <v xml:space="preserve"> </v>
      </c>
      <c r="P70" s="84" t="str" cm="1">
        <f t="array" ref="P70">IFERROR(VLOOKUP($A70,'The List'!$B1:$AS671,23,FALSE)," ")</f>
        <v xml:space="preserve"> </v>
      </c>
      <c r="Q70" s="84" t="str" cm="1">
        <f t="array" ref="Q70">IFERROR(VLOOKUP($A70,'The List'!$B1:$AS671,24,FALSE)," ")</f>
        <v xml:space="preserve"> </v>
      </c>
      <c r="R70" s="84" t="str" cm="1">
        <f t="array" ref="R70">IFERROR(VLOOKUP($A70,'The List'!$B1:$AS671,25,FALSE)," ")</f>
        <v xml:space="preserve"> </v>
      </c>
      <c r="S70" s="84" t="str" cm="1">
        <f t="array" ref="S70">IFERROR(VLOOKUP($A70,'The List'!$B1:$AS671,26,FALSE)," ")</f>
        <v xml:space="preserve"> </v>
      </c>
      <c r="T70" s="84" t="str" cm="1">
        <f t="array" ref="T70">IFERROR(VLOOKUP($A70,'The List'!$B1:$AS671,27,FALSE)," ")</f>
        <v xml:space="preserve"> </v>
      </c>
      <c r="U70" s="84" t="str" cm="1">
        <f t="array" ref="U70">IFERROR(VLOOKUP($A70,'The List'!$B1:$AS671,28,FALSE)," ")</f>
        <v xml:space="preserve"> </v>
      </c>
      <c r="V70" s="84" t="str" cm="1">
        <f t="array" ref="V70">IFERROR(VLOOKUP($A70,'The List'!$B1:$AS671,29,FALSE)," ")</f>
        <v xml:space="preserve"> </v>
      </c>
      <c r="W70" s="84" t="str" cm="1">
        <f t="array" ref="W70">IFERROR(VLOOKUP($A70,'The List'!$B1:$AS671,30,FALSE)," ")</f>
        <v xml:space="preserve"> </v>
      </c>
      <c r="X70" s="84" t="str" cm="1">
        <f t="array" ref="X70">IFERROR(VLOOKUP($A70,'The List'!$B1:$AS671,31,FALSE)," ")</f>
        <v xml:space="preserve"> </v>
      </c>
      <c r="Y70" s="84" t="str" cm="1">
        <f t="array" ref="Y70">IFERROR(VLOOKUP($A70,'The List'!$B1:$AS671,32,FALSE)," ")</f>
        <v xml:space="preserve"> </v>
      </c>
      <c r="Z70" s="84" t="str" cm="1">
        <f t="array" ref="Z70">IFERROR(VLOOKUP($A70,'The List'!$B1:$AS671,33,FALSE)," ")</f>
        <v xml:space="preserve"> </v>
      </c>
      <c r="AA70" s="85"/>
      <c r="AB70" s="90"/>
      <c r="AC70" s="90"/>
      <c r="AD70" s="90"/>
      <c r="AE70" s="90"/>
      <c r="AF70" s="90"/>
    </row>
    <row r="71" spans="1:32" ht="21.25" customHeight="1" x14ac:dyDescent="0.15">
      <c r="A71" s="24"/>
      <c r="B71" s="96" t="str" cm="1">
        <f t="array" ref="B71">IFERROR(VLOOKUP($A71,'The List'!$B1:$AS671,3,FALSE)," ")</f>
        <v xml:space="preserve"> </v>
      </c>
      <c r="C71" s="98" t="str" cm="1">
        <f t="array" ref="C71">IFERROR(VLOOKUP($A71,'The List'!$B1:$AS671,4,FALSE)," ")</f>
        <v xml:space="preserve"> </v>
      </c>
      <c r="D71" s="18" t="str" cm="1">
        <f t="array" ref="D71">IFERROR(VLOOKUP($A71,'The List'!$B1:$AS671,5,FALSE)," ")</f>
        <v xml:space="preserve"> </v>
      </c>
      <c r="E71" s="18" t="str" cm="1">
        <f t="array" ref="E71">IFERROR(VLOOKUP($A71,'The List'!$B1:$AS671,6,FALSE)," ")</f>
        <v xml:space="preserve"> </v>
      </c>
      <c r="F71" s="92" t="str" cm="1">
        <f t="array" ref="F71">IFERROR(VLOOKUP($A71,'The List'!$B1:$AS671,8,FALSE)," ")</f>
        <v xml:space="preserve"> </v>
      </c>
      <c r="G71" s="92" t="str" cm="1">
        <f t="array" ref="G71">IFERROR(VLOOKUP($A71,'The List'!$B1:$AS671,10,FALSE)," ")</f>
        <v xml:space="preserve"> </v>
      </c>
      <c r="H71" s="55"/>
      <c r="I71" s="84" t="str" cm="1">
        <f t="array" ref="I71">IFERROR(VLOOKUP($A71,'The List'!$B1:$AS671,16,FALSE)," ")</f>
        <v xml:space="preserve"> </v>
      </c>
      <c r="J71" s="84" t="str" cm="1">
        <f t="array" ref="J71">IFERROR(VLOOKUP($A71,'The List'!$B1:$AS671,17,FALSE)," ")</f>
        <v xml:space="preserve"> </v>
      </c>
      <c r="K71" s="84" t="str" cm="1">
        <f t="array" ref="K71">IFERROR(VLOOKUP($A71,'The List'!$B1:$AS671,18,FALSE)," ")</f>
        <v xml:space="preserve"> </v>
      </c>
      <c r="L71" s="84" t="str" cm="1">
        <f t="array" ref="L71">IFERROR(VLOOKUP($A71,'The List'!$B1:$AS671,19,FALSE)," ")</f>
        <v xml:space="preserve"> </v>
      </c>
      <c r="M71" s="84" t="str" cm="1">
        <f t="array" ref="M71">IFERROR(VLOOKUP($A71,'The List'!$B1:$AS671,20,FALSE)," ")</f>
        <v xml:space="preserve"> </v>
      </c>
      <c r="N71" s="84" t="str" cm="1">
        <f t="array" ref="N71">IFERROR(VLOOKUP($A71,'The List'!$B1:$AS671,21,FALSE)," ")</f>
        <v xml:space="preserve"> </v>
      </c>
      <c r="O71" s="84" t="str" cm="1">
        <f t="array" ref="O71">IFERROR(VLOOKUP($A71,'The List'!$B1:$AS671,22,FALSE)," ")</f>
        <v xml:space="preserve"> </v>
      </c>
      <c r="P71" s="84" t="str" cm="1">
        <f t="array" ref="P71">IFERROR(VLOOKUP($A71,'The List'!$B1:$AS671,23,FALSE)," ")</f>
        <v xml:space="preserve"> </v>
      </c>
      <c r="Q71" s="84" t="str" cm="1">
        <f t="array" ref="Q71">IFERROR(VLOOKUP($A71,'The List'!$B1:$AS671,24,FALSE)," ")</f>
        <v xml:space="preserve"> </v>
      </c>
      <c r="R71" s="84" t="str" cm="1">
        <f t="array" ref="R71">IFERROR(VLOOKUP($A71,'The List'!$B1:$AS671,25,FALSE)," ")</f>
        <v xml:space="preserve"> </v>
      </c>
      <c r="S71" s="84" t="str" cm="1">
        <f t="array" ref="S71">IFERROR(VLOOKUP($A71,'The List'!$B1:$AS671,26,FALSE)," ")</f>
        <v xml:space="preserve"> </v>
      </c>
      <c r="T71" s="84" t="str" cm="1">
        <f t="array" ref="T71">IFERROR(VLOOKUP($A71,'The List'!$B1:$AS671,27,FALSE)," ")</f>
        <v xml:space="preserve"> </v>
      </c>
      <c r="U71" s="84" t="str" cm="1">
        <f t="array" ref="U71">IFERROR(VLOOKUP($A71,'The List'!$B1:$AS671,28,FALSE)," ")</f>
        <v xml:space="preserve"> </v>
      </c>
      <c r="V71" s="84" t="str" cm="1">
        <f t="array" ref="V71">IFERROR(VLOOKUP($A71,'The List'!$B1:$AS671,29,FALSE)," ")</f>
        <v xml:space="preserve"> </v>
      </c>
      <c r="W71" s="84" t="str" cm="1">
        <f t="array" ref="W71">IFERROR(VLOOKUP($A71,'The List'!$B1:$AS671,30,FALSE)," ")</f>
        <v xml:space="preserve"> </v>
      </c>
      <c r="X71" s="84" t="str" cm="1">
        <f t="array" ref="X71">IFERROR(VLOOKUP($A71,'The List'!$B1:$AS671,31,FALSE)," ")</f>
        <v xml:space="preserve"> </v>
      </c>
      <c r="Y71" s="84" t="str" cm="1">
        <f t="array" ref="Y71">IFERROR(VLOOKUP($A71,'The List'!$B1:$AS671,32,FALSE)," ")</f>
        <v xml:space="preserve"> </v>
      </c>
      <c r="Z71" s="84" t="str" cm="1">
        <f t="array" ref="Z71">IFERROR(VLOOKUP($A71,'The List'!$B1:$AS671,33,FALSE)," ")</f>
        <v xml:space="preserve"> </v>
      </c>
      <c r="AA71" s="85"/>
      <c r="AB71" s="90"/>
      <c r="AC71" s="90"/>
      <c r="AD71" s="90"/>
      <c r="AE71" s="90"/>
      <c r="AF71" s="90"/>
    </row>
    <row r="72" spans="1:32" ht="21.25" customHeight="1" x14ac:dyDescent="0.15">
      <c r="A72" s="24"/>
      <c r="B72" s="99" t="str" cm="1">
        <f t="array" ref="B72">IFERROR(VLOOKUP($A72,'The List'!$B1:$AS671,3,FALSE)," ")</f>
        <v xml:space="preserve"> </v>
      </c>
      <c r="C72" s="101" t="str" cm="1">
        <f t="array" ref="C72">IFERROR(VLOOKUP($A72,'The List'!$B1:$AS671,4,FALSE)," ")</f>
        <v xml:space="preserve"> </v>
      </c>
      <c r="D72" s="18" t="str" cm="1">
        <f t="array" ref="D72">IFERROR(VLOOKUP($A72,'The List'!$B1:$AS671,5,FALSE)," ")</f>
        <v xml:space="preserve"> </v>
      </c>
      <c r="E72" s="18" t="str" cm="1">
        <f t="array" ref="E72">IFERROR(VLOOKUP($A72,'The List'!$B1:$AS671,6,FALSE)," ")</f>
        <v xml:space="preserve"> </v>
      </c>
      <c r="F72" s="92" t="str" cm="1">
        <f t="array" ref="F72">IFERROR(VLOOKUP($A72,'The List'!$B1:$AS671,8,FALSE)," ")</f>
        <v xml:space="preserve"> </v>
      </c>
      <c r="G72" s="92" t="str" cm="1">
        <f t="array" ref="G72">IFERROR(VLOOKUP($A72,'The List'!$B1:$AS671,10,FALSE)," ")</f>
        <v xml:space="preserve"> </v>
      </c>
      <c r="H72" s="55"/>
      <c r="I72" s="84" t="str" cm="1">
        <f t="array" ref="I72">IFERROR(VLOOKUP($A72,'The List'!$B1:$AS671,16,FALSE)," ")</f>
        <v xml:space="preserve"> </v>
      </c>
      <c r="J72" s="84" t="str" cm="1">
        <f t="array" ref="J72">IFERROR(VLOOKUP($A72,'The List'!$B1:$AS671,17,FALSE)," ")</f>
        <v xml:space="preserve"> </v>
      </c>
      <c r="K72" s="84" t="str" cm="1">
        <f t="array" ref="K72">IFERROR(VLOOKUP($A72,'The List'!$B1:$AS671,18,FALSE)," ")</f>
        <v xml:space="preserve"> </v>
      </c>
      <c r="L72" s="84" t="str" cm="1">
        <f t="array" ref="L72">IFERROR(VLOOKUP($A72,'The List'!$B1:$AS671,19,FALSE)," ")</f>
        <v xml:space="preserve"> </v>
      </c>
      <c r="M72" s="84" t="str" cm="1">
        <f t="array" ref="M72">IFERROR(VLOOKUP($A72,'The List'!$B1:$AS671,20,FALSE)," ")</f>
        <v xml:space="preserve"> </v>
      </c>
      <c r="N72" s="84" t="str" cm="1">
        <f t="array" ref="N72">IFERROR(VLOOKUP($A72,'The List'!$B1:$AS671,21,FALSE)," ")</f>
        <v xml:space="preserve"> </v>
      </c>
      <c r="O72" s="84" t="str" cm="1">
        <f t="array" ref="O72">IFERROR(VLOOKUP($A72,'The List'!$B1:$AS671,22,FALSE)," ")</f>
        <v xml:space="preserve"> </v>
      </c>
      <c r="P72" s="84" t="str" cm="1">
        <f t="array" ref="P72">IFERROR(VLOOKUP($A72,'The List'!$B1:$AS671,23,FALSE)," ")</f>
        <v xml:space="preserve"> </v>
      </c>
      <c r="Q72" s="84" t="str" cm="1">
        <f t="array" ref="Q72">IFERROR(VLOOKUP($A72,'The List'!$B1:$AS671,24,FALSE)," ")</f>
        <v xml:space="preserve"> </v>
      </c>
      <c r="R72" s="84" t="str" cm="1">
        <f t="array" ref="R72">IFERROR(VLOOKUP($A72,'The List'!$B1:$AS671,25,FALSE)," ")</f>
        <v xml:space="preserve"> </v>
      </c>
      <c r="S72" s="84" t="str" cm="1">
        <f t="array" ref="S72">IFERROR(VLOOKUP($A72,'The List'!$B1:$AS671,26,FALSE)," ")</f>
        <v xml:space="preserve"> </v>
      </c>
      <c r="T72" s="84" t="str" cm="1">
        <f t="array" ref="T72">IFERROR(VLOOKUP($A72,'The List'!$B1:$AS671,27,FALSE)," ")</f>
        <v xml:space="preserve"> </v>
      </c>
      <c r="U72" s="84" t="str" cm="1">
        <f t="array" ref="U72">IFERROR(VLOOKUP($A72,'The List'!$B1:$AS671,28,FALSE)," ")</f>
        <v xml:space="preserve"> </v>
      </c>
      <c r="V72" s="84" t="str" cm="1">
        <f t="array" ref="V72">IFERROR(VLOOKUP($A72,'The List'!$B1:$AS671,29,FALSE)," ")</f>
        <v xml:space="preserve"> </v>
      </c>
      <c r="W72" s="84" t="str" cm="1">
        <f t="array" ref="W72">IFERROR(VLOOKUP($A72,'The List'!$B1:$AS671,30,FALSE)," ")</f>
        <v xml:space="preserve"> </v>
      </c>
      <c r="X72" s="84" t="str" cm="1">
        <f t="array" ref="X72">IFERROR(VLOOKUP($A72,'The List'!$B1:$AS671,31,FALSE)," ")</f>
        <v xml:space="preserve"> </v>
      </c>
      <c r="Y72" s="84" t="str" cm="1">
        <f t="array" ref="Y72">IFERROR(VLOOKUP($A72,'The List'!$B1:$AS671,32,FALSE)," ")</f>
        <v xml:space="preserve"> </v>
      </c>
      <c r="Z72" s="84" t="str" cm="1">
        <f t="array" ref="Z72">IFERROR(VLOOKUP($A72,'The List'!$B1:$AS671,33,FALSE)," ")</f>
        <v xml:space="preserve"> </v>
      </c>
      <c r="AA72" s="85"/>
      <c r="AB72" s="90"/>
      <c r="AC72" s="90"/>
      <c r="AD72" s="90"/>
      <c r="AE72" s="90"/>
      <c r="AF72" s="90"/>
    </row>
    <row r="73" spans="1:32" ht="21.25" customHeight="1" x14ac:dyDescent="0.15">
      <c r="A73" s="24"/>
      <c r="B73" s="99" t="str" cm="1">
        <f t="array" ref="B73">IFERROR(VLOOKUP($A73,'The List'!$B1:$AS671,3,FALSE)," ")</f>
        <v xml:space="preserve"> </v>
      </c>
      <c r="C73" s="101" t="str" cm="1">
        <f t="array" ref="C73">IFERROR(VLOOKUP($A73,'The List'!$B1:$AS671,4,FALSE)," ")</f>
        <v xml:space="preserve"> </v>
      </c>
      <c r="D73" s="18" t="str" cm="1">
        <f t="array" ref="D73">IFERROR(VLOOKUP($A73,'The List'!$B1:$AS671,5,FALSE)," ")</f>
        <v xml:space="preserve"> </v>
      </c>
      <c r="E73" s="18" t="str" cm="1">
        <f t="array" ref="E73">IFERROR(VLOOKUP($A73,'The List'!$B1:$AS671,6,FALSE)," ")</f>
        <v xml:space="preserve"> </v>
      </c>
      <c r="F73" s="92" t="str" cm="1">
        <f t="array" ref="F73">IFERROR(VLOOKUP($A73,'The List'!$B1:$AS671,8,FALSE)," ")</f>
        <v xml:space="preserve"> </v>
      </c>
      <c r="G73" s="92" t="str" cm="1">
        <f t="array" ref="G73">IFERROR(VLOOKUP($A73,'The List'!$B1:$AS671,10,FALSE)," ")</f>
        <v xml:space="preserve"> </v>
      </c>
      <c r="H73" s="55"/>
      <c r="I73" s="84" t="str" cm="1">
        <f t="array" ref="I73">IFERROR(VLOOKUP($A73,'The List'!$B1:$AS671,16,FALSE)," ")</f>
        <v xml:space="preserve"> </v>
      </c>
      <c r="J73" s="84" t="str" cm="1">
        <f t="array" ref="J73">IFERROR(VLOOKUP($A73,'The List'!$B1:$AS671,17,FALSE)," ")</f>
        <v xml:space="preserve"> </v>
      </c>
      <c r="K73" s="84" t="str" cm="1">
        <f t="array" ref="K73">IFERROR(VLOOKUP($A73,'The List'!$B1:$AS671,18,FALSE)," ")</f>
        <v xml:space="preserve"> </v>
      </c>
      <c r="L73" s="84" t="str" cm="1">
        <f t="array" ref="L73">IFERROR(VLOOKUP($A73,'The List'!$B1:$AS671,19,FALSE)," ")</f>
        <v xml:space="preserve"> </v>
      </c>
      <c r="M73" s="84" t="str" cm="1">
        <f t="array" ref="M73">IFERROR(VLOOKUP($A73,'The List'!$B1:$AS671,20,FALSE)," ")</f>
        <v xml:space="preserve"> </v>
      </c>
      <c r="N73" s="84" t="str" cm="1">
        <f t="array" ref="N73">IFERROR(VLOOKUP($A73,'The List'!$B1:$AS671,21,FALSE)," ")</f>
        <v xml:space="preserve"> </v>
      </c>
      <c r="O73" s="84" t="str" cm="1">
        <f t="array" ref="O73">IFERROR(VLOOKUP($A73,'The List'!$B1:$AS671,22,FALSE)," ")</f>
        <v xml:space="preserve"> </v>
      </c>
      <c r="P73" s="84" t="str" cm="1">
        <f t="array" ref="P73">IFERROR(VLOOKUP($A73,'The List'!$B1:$AS671,23,FALSE)," ")</f>
        <v xml:space="preserve"> </v>
      </c>
      <c r="Q73" s="84" t="str" cm="1">
        <f t="array" ref="Q73">IFERROR(VLOOKUP($A73,'The List'!$B1:$AS671,24,FALSE)," ")</f>
        <v xml:space="preserve"> </v>
      </c>
      <c r="R73" s="84" t="str" cm="1">
        <f t="array" ref="R73">IFERROR(VLOOKUP($A73,'The List'!$B1:$AS671,25,FALSE)," ")</f>
        <v xml:space="preserve"> </v>
      </c>
      <c r="S73" s="84" t="str" cm="1">
        <f t="array" ref="S73">IFERROR(VLOOKUP($A73,'The List'!$B1:$AS671,26,FALSE)," ")</f>
        <v xml:space="preserve"> </v>
      </c>
      <c r="T73" s="84" t="str" cm="1">
        <f t="array" ref="T73">IFERROR(VLOOKUP($A73,'The List'!$B1:$AS671,27,FALSE)," ")</f>
        <v xml:space="preserve"> </v>
      </c>
      <c r="U73" s="84" t="str" cm="1">
        <f t="array" ref="U73">IFERROR(VLOOKUP($A73,'The List'!$B1:$AS671,28,FALSE)," ")</f>
        <v xml:space="preserve"> </v>
      </c>
      <c r="V73" s="84" t="str" cm="1">
        <f t="array" ref="V73">IFERROR(VLOOKUP($A73,'The List'!$B1:$AS671,29,FALSE)," ")</f>
        <v xml:space="preserve"> </v>
      </c>
      <c r="W73" s="84" t="str" cm="1">
        <f t="array" ref="W73">IFERROR(VLOOKUP($A73,'The List'!$B1:$AS671,30,FALSE)," ")</f>
        <v xml:space="preserve"> </v>
      </c>
      <c r="X73" s="84" t="str" cm="1">
        <f t="array" ref="X73">IFERROR(VLOOKUP($A73,'The List'!$B1:$AS671,31,FALSE)," ")</f>
        <v xml:space="preserve"> </v>
      </c>
      <c r="Y73" s="84" t="str" cm="1">
        <f t="array" ref="Y73">IFERROR(VLOOKUP($A73,'The List'!$B1:$AS671,32,FALSE)," ")</f>
        <v xml:space="preserve"> </v>
      </c>
      <c r="Z73" s="84" t="str" cm="1">
        <f t="array" ref="Z73">IFERROR(VLOOKUP($A73,'The List'!$B1:$AS671,33,FALSE)," ")</f>
        <v xml:space="preserve"> </v>
      </c>
      <c r="AA73" s="85"/>
      <c r="AB73" s="90"/>
      <c r="AC73" s="90"/>
      <c r="AD73" s="90"/>
      <c r="AE73" s="90"/>
      <c r="AF73" s="90"/>
    </row>
    <row r="74" spans="1:32" ht="21.25" customHeight="1" x14ac:dyDescent="0.15">
      <c r="A74" s="24"/>
      <c r="B74" s="99" t="str" cm="1">
        <f t="array" ref="B74">IFERROR(VLOOKUP($A74,'The List'!$B1:$AS671,3,FALSE)," ")</f>
        <v xml:space="preserve"> </v>
      </c>
      <c r="C74" s="101" t="str" cm="1">
        <f t="array" ref="C74">IFERROR(VLOOKUP($A74,'The List'!$B1:$AS671,4,FALSE)," ")</f>
        <v xml:space="preserve"> </v>
      </c>
      <c r="D74" s="18" t="str" cm="1">
        <f t="array" ref="D74">IFERROR(VLOOKUP($A74,'The List'!$B1:$AS671,5,FALSE)," ")</f>
        <v xml:space="preserve"> </v>
      </c>
      <c r="E74" s="18" t="str" cm="1">
        <f t="array" ref="E74">IFERROR(VLOOKUP($A74,'The List'!$B1:$AS671,6,FALSE)," ")</f>
        <v xml:space="preserve"> </v>
      </c>
      <c r="F74" s="92" t="str" cm="1">
        <f t="array" ref="F74">IFERROR(VLOOKUP($A74,'The List'!$B1:$AS671,8,FALSE)," ")</f>
        <v xml:space="preserve"> </v>
      </c>
      <c r="G74" s="92" t="str" cm="1">
        <f t="array" ref="G74">IFERROR(VLOOKUP($A74,'The List'!$B1:$AS671,10,FALSE)," ")</f>
        <v xml:space="preserve"> </v>
      </c>
      <c r="H74" s="55"/>
      <c r="I74" s="84" t="str" cm="1">
        <f t="array" ref="I74">IFERROR(VLOOKUP($A74,'The List'!$B1:$AS671,16,FALSE)," ")</f>
        <v xml:space="preserve"> </v>
      </c>
      <c r="J74" s="84" t="str" cm="1">
        <f t="array" ref="J74">IFERROR(VLOOKUP($A74,'The List'!$B1:$AS671,17,FALSE)," ")</f>
        <v xml:space="preserve"> </v>
      </c>
      <c r="K74" s="84" t="str" cm="1">
        <f t="array" ref="K74">IFERROR(VLOOKUP($A74,'The List'!$B1:$AS671,18,FALSE)," ")</f>
        <v xml:space="preserve"> </v>
      </c>
      <c r="L74" s="84" t="str" cm="1">
        <f t="array" ref="L74">IFERROR(VLOOKUP($A74,'The List'!$B1:$AS671,19,FALSE)," ")</f>
        <v xml:space="preserve"> </v>
      </c>
      <c r="M74" s="84" t="str" cm="1">
        <f t="array" ref="M74">IFERROR(VLOOKUP($A74,'The List'!$B1:$AS671,20,FALSE)," ")</f>
        <v xml:space="preserve"> </v>
      </c>
      <c r="N74" s="84" t="str" cm="1">
        <f t="array" ref="N74">IFERROR(VLOOKUP($A74,'The List'!$B1:$AS671,21,FALSE)," ")</f>
        <v xml:space="preserve"> </v>
      </c>
      <c r="O74" s="84" t="str" cm="1">
        <f t="array" ref="O74">IFERROR(VLOOKUP($A74,'The List'!$B1:$AS671,22,FALSE)," ")</f>
        <v xml:space="preserve"> </v>
      </c>
      <c r="P74" s="84" t="str" cm="1">
        <f t="array" ref="P74">IFERROR(VLOOKUP($A74,'The List'!$B1:$AS671,23,FALSE)," ")</f>
        <v xml:space="preserve"> </v>
      </c>
      <c r="Q74" s="84" t="str" cm="1">
        <f t="array" ref="Q74">IFERROR(VLOOKUP($A74,'The List'!$B1:$AS671,24,FALSE)," ")</f>
        <v xml:space="preserve"> </v>
      </c>
      <c r="R74" s="84" t="str" cm="1">
        <f t="array" ref="R74">IFERROR(VLOOKUP($A74,'The List'!$B1:$AS671,25,FALSE)," ")</f>
        <v xml:space="preserve"> </v>
      </c>
      <c r="S74" s="84" t="str" cm="1">
        <f t="array" ref="S74">IFERROR(VLOOKUP($A74,'The List'!$B1:$AS671,26,FALSE)," ")</f>
        <v xml:space="preserve"> </v>
      </c>
      <c r="T74" s="84" t="str" cm="1">
        <f t="array" ref="T74">IFERROR(VLOOKUP($A74,'The List'!$B1:$AS671,27,FALSE)," ")</f>
        <v xml:space="preserve"> </v>
      </c>
      <c r="U74" s="84" t="str" cm="1">
        <f t="array" ref="U74">IFERROR(VLOOKUP($A74,'The List'!$B1:$AS671,28,FALSE)," ")</f>
        <v xml:space="preserve"> </v>
      </c>
      <c r="V74" s="84" t="str" cm="1">
        <f t="array" ref="V74">IFERROR(VLOOKUP($A74,'The List'!$B1:$AS671,29,FALSE)," ")</f>
        <v xml:space="preserve"> </v>
      </c>
      <c r="W74" s="84" t="str" cm="1">
        <f t="array" ref="W74">IFERROR(VLOOKUP($A74,'The List'!$B1:$AS671,30,FALSE)," ")</f>
        <v xml:space="preserve"> </v>
      </c>
      <c r="X74" s="84" t="str" cm="1">
        <f t="array" ref="X74">IFERROR(VLOOKUP($A74,'The List'!$B1:$AS671,31,FALSE)," ")</f>
        <v xml:space="preserve"> </v>
      </c>
      <c r="Y74" s="84" t="str" cm="1">
        <f t="array" ref="Y74">IFERROR(VLOOKUP($A74,'The List'!$B1:$AS671,32,FALSE)," ")</f>
        <v xml:space="preserve"> </v>
      </c>
      <c r="Z74" s="84" t="str" cm="1">
        <f t="array" ref="Z74">IFERROR(VLOOKUP($A74,'The List'!$B1:$AS671,33,FALSE)," ")</f>
        <v xml:space="preserve"> </v>
      </c>
      <c r="AA74" s="85"/>
      <c r="AB74" s="90"/>
      <c r="AC74" s="90"/>
      <c r="AD74" s="90"/>
      <c r="AE74" s="90"/>
      <c r="AF74" s="90"/>
    </row>
    <row r="75" spans="1:32" ht="21.25" customHeight="1" x14ac:dyDescent="0.15">
      <c r="A75" s="24"/>
      <c r="B75" s="99" t="str" cm="1">
        <f t="array" ref="B75">IFERROR(VLOOKUP($A75,'The List'!$B1:$AS671,3,FALSE)," ")</f>
        <v xml:space="preserve"> </v>
      </c>
      <c r="C75" s="101" t="str" cm="1">
        <f t="array" ref="C75">IFERROR(VLOOKUP($A75,'The List'!$B1:$AS671,4,FALSE)," ")</f>
        <v xml:space="preserve"> </v>
      </c>
      <c r="D75" s="18" t="str" cm="1">
        <f t="array" ref="D75">IFERROR(VLOOKUP($A75,'The List'!$B1:$AS671,5,FALSE)," ")</f>
        <v xml:space="preserve"> </v>
      </c>
      <c r="E75" s="18" t="str" cm="1">
        <f t="array" ref="E75">IFERROR(VLOOKUP($A75,'The List'!$B1:$AS671,6,FALSE)," ")</f>
        <v xml:space="preserve"> </v>
      </c>
      <c r="F75" s="92" t="str" cm="1">
        <f t="array" ref="F75">IFERROR(VLOOKUP($A75,'The List'!$B1:$AS671,8,FALSE)," ")</f>
        <v xml:space="preserve"> </v>
      </c>
      <c r="G75" s="92" t="str" cm="1">
        <f t="array" ref="G75">IFERROR(VLOOKUP($A75,'The List'!$B1:$AS671,10,FALSE)," ")</f>
        <v xml:space="preserve"> </v>
      </c>
      <c r="H75" s="55"/>
      <c r="I75" s="84" t="str" cm="1">
        <f t="array" ref="I75">IFERROR(VLOOKUP($A75,'The List'!$B1:$AS671,16,FALSE)," ")</f>
        <v xml:space="preserve"> </v>
      </c>
      <c r="J75" s="84" t="str" cm="1">
        <f t="array" ref="J75">IFERROR(VLOOKUP($A75,'The List'!$B1:$AS671,17,FALSE)," ")</f>
        <v xml:space="preserve"> </v>
      </c>
      <c r="K75" s="84" t="str" cm="1">
        <f t="array" ref="K75">IFERROR(VLOOKUP($A75,'The List'!$B1:$AS671,18,FALSE)," ")</f>
        <v xml:space="preserve"> </v>
      </c>
      <c r="L75" s="84" t="str" cm="1">
        <f t="array" ref="L75">IFERROR(VLOOKUP($A75,'The List'!$B1:$AS671,19,FALSE)," ")</f>
        <v xml:space="preserve"> </v>
      </c>
      <c r="M75" s="84" t="str" cm="1">
        <f t="array" ref="M75">IFERROR(VLOOKUP($A75,'The List'!$B1:$AS671,20,FALSE)," ")</f>
        <v xml:space="preserve"> </v>
      </c>
      <c r="N75" s="84" t="str" cm="1">
        <f t="array" ref="N75">IFERROR(VLOOKUP($A75,'The List'!$B1:$AS671,21,FALSE)," ")</f>
        <v xml:space="preserve"> </v>
      </c>
      <c r="O75" s="84" t="str" cm="1">
        <f t="array" ref="O75">IFERROR(VLOOKUP($A75,'The List'!$B1:$AS671,22,FALSE)," ")</f>
        <v xml:space="preserve"> </v>
      </c>
      <c r="P75" s="84" t="str" cm="1">
        <f t="array" ref="P75">IFERROR(VLOOKUP($A75,'The List'!$B1:$AS671,23,FALSE)," ")</f>
        <v xml:space="preserve"> </v>
      </c>
      <c r="Q75" s="84" t="str" cm="1">
        <f t="array" ref="Q75">IFERROR(VLOOKUP($A75,'The List'!$B1:$AS671,24,FALSE)," ")</f>
        <v xml:space="preserve"> </v>
      </c>
      <c r="R75" s="84" t="str" cm="1">
        <f t="array" ref="R75">IFERROR(VLOOKUP($A75,'The List'!$B1:$AS671,25,FALSE)," ")</f>
        <v xml:space="preserve"> </v>
      </c>
      <c r="S75" s="84" t="str" cm="1">
        <f t="array" ref="S75">IFERROR(VLOOKUP($A75,'The List'!$B1:$AS671,26,FALSE)," ")</f>
        <v xml:space="preserve"> </v>
      </c>
      <c r="T75" s="84" t="str" cm="1">
        <f t="array" ref="T75">IFERROR(VLOOKUP($A75,'The List'!$B1:$AS671,27,FALSE)," ")</f>
        <v xml:space="preserve"> </v>
      </c>
      <c r="U75" s="84" t="str" cm="1">
        <f t="array" ref="U75">IFERROR(VLOOKUP($A75,'The List'!$B1:$AS671,28,FALSE)," ")</f>
        <v xml:space="preserve"> </v>
      </c>
      <c r="V75" s="84" t="str" cm="1">
        <f t="array" ref="V75">IFERROR(VLOOKUP($A75,'The List'!$B1:$AS671,29,FALSE)," ")</f>
        <v xml:space="preserve"> </v>
      </c>
      <c r="W75" s="84" t="str" cm="1">
        <f t="array" ref="W75">IFERROR(VLOOKUP($A75,'The List'!$B1:$AS671,30,FALSE)," ")</f>
        <v xml:space="preserve"> </v>
      </c>
      <c r="X75" s="84" t="str" cm="1">
        <f t="array" ref="X75">IFERROR(VLOOKUP($A75,'The List'!$B1:$AS671,31,FALSE)," ")</f>
        <v xml:space="preserve"> </v>
      </c>
      <c r="Y75" s="84" t="str" cm="1">
        <f t="array" ref="Y75">IFERROR(VLOOKUP($A75,'The List'!$B1:$AS671,32,FALSE)," ")</f>
        <v xml:space="preserve"> </v>
      </c>
      <c r="Z75" s="84" t="str" cm="1">
        <f t="array" ref="Z75">IFERROR(VLOOKUP($A75,'The List'!$B1:$AS671,33,FALSE)," ")</f>
        <v xml:space="preserve"> </v>
      </c>
      <c r="AA75" s="85"/>
      <c r="AB75" s="90"/>
      <c r="AC75" s="90"/>
      <c r="AD75" s="90"/>
      <c r="AE75" s="90"/>
      <c r="AF75" s="90"/>
    </row>
    <row r="76" spans="1:32" ht="21.25" customHeight="1" x14ac:dyDescent="0.15">
      <c r="A76" s="24"/>
      <c r="B76" s="99" t="str" cm="1">
        <f t="array" ref="B76">IFERROR(VLOOKUP($A76,'The List'!$B1:$AS671,3,FALSE)," ")</f>
        <v xml:space="preserve"> </v>
      </c>
      <c r="C76" s="101" t="str" cm="1">
        <f t="array" ref="C76">IFERROR(VLOOKUP($A76,'The List'!$B1:$AS671,4,FALSE)," ")</f>
        <v xml:space="preserve"> </v>
      </c>
      <c r="D76" s="18" t="str" cm="1">
        <f t="array" ref="D76">IFERROR(VLOOKUP($A76,'The List'!$B1:$AS671,5,FALSE)," ")</f>
        <v xml:space="preserve"> </v>
      </c>
      <c r="E76" s="18" t="str" cm="1">
        <f t="array" ref="E76">IFERROR(VLOOKUP($A76,'The List'!$B1:$AS671,6,FALSE)," ")</f>
        <v xml:space="preserve"> </v>
      </c>
      <c r="F76" s="92" t="str" cm="1">
        <f t="array" ref="F76">IFERROR(VLOOKUP($A76,'The List'!$B1:$AS671,8,FALSE)," ")</f>
        <v xml:space="preserve"> </v>
      </c>
      <c r="G76" s="92" t="str" cm="1">
        <f t="array" ref="G76">IFERROR(VLOOKUP($A76,'The List'!$B1:$AS671,10,FALSE)," ")</f>
        <v xml:space="preserve"> </v>
      </c>
      <c r="H76" s="55"/>
      <c r="I76" s="84" t="str" cm="1">
        <f t="array" ref="I76">IFERROR(VLOOKUP($A76,'The List'!$B1:$AS671,16,FALSE)," ")</f>
        <v xml:space="preserve"> </v>
      </c>
      <c r="J76" s="84" t="str" cm="1">
        <f t="array" ref="J76">IFERROR(VLOOKUP($A76,'The List'!$B1:$AS671,17,FALSE)," ")</f>
        <v xml:space="preserve"> </v>
      </c>
      <c r="K76" s="84" t="str" cm="1">
        <f t="array" ref="K76">IFERROR(VLOOKUP($A76,'The List'!$B1:$AS671,18,FALSE)," ")</f>
        <v xml:space="preserve"> </v>
      </c>
      <c r="L76" s="84" t="str" cm="1">
        <f t="array" ref="L76">IFERROR(VLOOKUP($A76,'The List'!$B1:$AS671,19,FALSE)," ")</f>
        <v xml:space="preserve"> </v>
      </c>
      <c r="M76" s="84" t="str" cm="1">
        <f t="array" ref="M76">IFERROR(VLOOKUP($A76,'The List'!$B1:$AS671,20,FALSE)," ")</f>
        <v xml:space="preserve"> </v>
      </c>
      <c r="N76" s="84" t="str" cm="1">
        <f t="array" ref="N76">IFERROR(VLOOKUP($A76,'The List'!$B1:$AS671,21,FALSE)," ")</f>
        <v xml:space="preserve"> </v>
      </c>
      <c r="O76" s="84" t="str" cm="1">
        <f t="array" ref="O76">IFERROR(VLOOKUP($A76,'The List'!$B1:$AS671,22,FALSE)," ")</f>
        <v xml:space="preserve"> </v>
      </c>
      <c r="P76" s="84" t="str" cm="1">
        <f t="array" ref="P76">IFERROR(VLOOKUP($A76,'The List'!$B1:$AS671,23,FALSE)," ")</f>
        <v xml:space="preserve"> </v>
      </c>
      <c r="Q76" s="84" t="str" cm="1">
        <f t="array" ref="Q76">IFERROR(VLOOKUP($A76,'The List'!$B1:$AS671,24,FALSE)," ")</f>
        <v xml:space="preserve"> </v>
      </c>
      <c r="R76" s="84" t="str" cm="1">
        <f t="array" ref="R76">IFERROR(VLOOKUP($A76,'The List'!$B1:$AS671,25,FALSE)," ")</f>
        <v xml:space="preserve"> </v>
      </c>
      <c r="S76" s="84" t="str" cm="1">
        <f t="array" ref="S76">IFERROR(VLOOKUP($A76,'The List'!$B1:$AS671,26,FALSE)," ")</f>
        <v xml:space="preserve"> </v>
      </c>
      <c r="T76" s="84" t="str" cm="1">
        <f t="array" ref="T76">IFERROR(VLOOKUP($A76,'The List'!$B1:$AS671,27,FALSE)," ")</f>
        <v xml:space="preserve"> </v>
      </c>
      <c r="U76" s="84" t="str" cm="1">
        <f t="array" ref="U76">IFERROR(VLOOKUP($A76,'The List'!$B1:$AS671,28,FALSE)," ")</f>
        <v xml:space="preserve"> </v>
      </c>
      <c r="V76" s="84" t="str" cm="1">
        <f t="array" ref="V76">IFERROR(VLOOKUP($A76,'The List'!$B1:$AS671,29,FALSE)," ")</f>
        <v xml:space="preserve"> </v>
      </c>
      <c r="W76" s="84" t="str" cm="1">
        <f t="array" ref="W76">IFERROR(VLOOKUP($A76,'The List'!$B1:$AS671,30,FALSE)," ")</f>
        <v xml:space="preserve"> </v>
      </c>
      <c r="X76" s="84" t="str" cm="1">
        <f t="array" ref="X76">IFERROR(VLOOKUP($A76,'The List'!$B1:$AS671,31,FALSE)," ")</f>
        <v xml:space="preserve"> </v>
      </c>
      <c r="Y76" s="84" t="str" cm="1">
        <f t="array" ref="Y76">IFERROR(VLOOKUP($A76,'The List'!$B1:$AS671,32,FALSE)," ")</f>
        <v xml:space="preserve"> </v>
      </c>
      <c r="Z76" s="84" t="str" cm="1">
        <f t="array" ref="Z76">IFERROR(VLOOKUP($A76,'The List'!$B1:$AS671,33,FALSE)," ")</f>
        <v xml:space="preserve"> </v>
      </c>
      <c r="AA76" s="85"/>
      <c r="AB76" s="90"/>
      <c r="AC76" s="90"/>
      <c r="AD76" s="90"/>
      <c r="AE76" s="90"/>
      <c r="AF76" s="90"/>
    </row>
    <row r="77" spans="1:32" ht="21.25" customHeight="1" x14ac:dyDescent="0.15">
      <c r="A77" s="24"/>
      <c r="B77" s="99" t="str" cm="1">
        <f t="array" ref="B77">IFERROR(VLOOKUP($A77,'The List'!$B1:$AS671,3,FALSE)," ")</f>
        <v xml:space="preserve"> </v>
      </c>
      <c r="C77" s="101" t="str" cm="1">
        <f t="array" ref="C77">IFERROR(VLOOKUP($A77,'The List'!$B1:$AS671,4,FALSE)," ")</f>
        <v xml:space="preserve"> </v>
      </c>
      <c r="D77" s="18" t="str" cm="1">
        <f t="array" ref="D77">IFERROR(VLOOKUP($A77,'The List'!$B1:$AS671,5,FALSE)," ")</f>
        <v xml:space="preserve"> </v>
      </c>
      <c r="E77" s="18" t="str" cm="1">
        <f t="array" ref="E77">IFERROR(VLOOKUP($A77,'The List'!$B1:$AS671,6,FALSE)," ")</f>
        <v xml:space="preserve"> </v>
      </c>
      <c r="F77" s="92" t="str" cm="1">
        <f t="array" ref="F77">IFERROR(VLOOKUP($A77,'The List'!$B1:$AS671,8,FALSE)," ")</f>
        <v xml:space="preserve"> </v>
      </c>
      <c r="G77" s="92" t="str" cm="1">
        <f t="array" ref="G77">IFERROR(VLOOKUP($A77,'The List'!$B1:$AS671,10,FALSE)," ")</f>
        <v xml:space="preserve"> </v>
      </c>
      <c r="H77" s="55"/>
      <c r="I77" s="84" t="str" cm="1">
        <f t="array" ref="I77">IFERROR(VLOOKUP($A77,'The List'!$B1:$AS671,16,FALSE)," ")</f>
        <v xml:space="preserve"> </v>
      </c>
      <c r="J77" s="84" t="str" cm="1">
        <f t="array" ref="J77">IFERROR(VLOOKUP($A77,'The List'!$B1:$AS671,17,FALSE)," ")</f>
        <v xml:space="preserve"> </v>
      </c>
      <c r="K77" s="84" t="str" cm="1">
        <f t="array" ref="K77">IFERROR(VLOOKUP($A77,'The List'!$B1:$AS671,18,FALSE)," ")</f>
        <v xml:space="preserve"> </v>
      </c>
      <c r="L77" s="84" t="str" cm="1">
        <f t="array" ref="L77">IFERROR(VLOOKUP($A77,'The List'!$B1:$AS671,19,FALSE)," ")</f>
        <v xml:space="preserve"> </v>
      </c>
      <c r="M77" s="84" t="str" cm="1">
        <f t="array" ref="M77">IFERROR(VLOOKUP($A77,'The List'!$B1:$AS671,20,FALSE)," ")</f>
        <v xml:space="preserve"> </v>
      </c>
      <c r="N77" s="84" t="str" cm="1">
        <f t="array" ref="N77">IFERROR(VLOOKUP($A77,'The List'!$B1:$AS671,21,FALSE)," ")</f>
        <v xml:space="preserve"> </v>
      </c>
      <c r="O77" s="84" t="str" cm="1">
        <f t="array" ref="O77">IFERROR(VLOOKUP($A77,'The List'!$B1:$AS671,22,FALSE)," ")</f>
        <v xml:space="preserve"> </v>
      </c>
      <c r="P77" s="84" t="str" cm="1">
        <f t="array" ref="P77">IFERROR(VLOOKUP($A77,'The List'!$B1:$AS671,23,FALSE)," ")</f>
        <v xml:space="preserve"> </v>
      </c>
      <c r="Q77" s="84" t="str" cm="1">
        <f t="array" ref="Q77">IFERROR(VLOOKUP($A77,'The List'!$B1:$AS671,24,FALSE)," ")</f>
        <v xml:space="preserve"> </v>
      </c>
      <c r="R77" s="84" t="str" cm="1">
        <f t="array" ref="R77">IFERROR(VLOOKUP($A77,'The List'!$B1:$AS671,25,FALSE)," ")</f>
        <v xml:space="preserve"> </v>
      </c>
      <c r="S77" s="84" t="str" cm="1">
        <f t="array" ref="S77">IFERROR(VLOOKUP($A77,'The List'!$B1:$AS671,26,FALSE)," ")</f>
        <v xml:space="preserve"> </v>
      </c>
      <c r="T77" s="84" t="str" cm="1">
        <f t="array" ref="T77">IFERROR(VLOOKUP($A77,'The List'!$B1:$AS671,27,FALSE)," ")</f>
        <v xml:space="preserve"> </v>
      </c>
      <c r="U77" s="84" t="str" cm="1">
        <f t="array" ref="U77">IFERROR(VLOOKUP($A77,'The List'!$B1:$AS671,28,FALSE)," ")</f>
        <v xml:space="preserve"> </v>
      </c>
      <c r="V77" s="84" t="str" cm="1">
        <f t="array" ref="V77">IFERROR(VLOOKUP($A77,'The List'!$B1:$AS671,29,FALSE)," ")</f>
        <v xml:space="preserve"> </v>
      </c>
      <c r="W77" s="84" t="str" cm="1">
        <f t="array" ref="W77">IFERROR(VLOOKUP($A77,'The List'!$B1:$AS671,30,FALSE)," ")</f>
        <v xml:space="preserve"> </v>
      </c>
      <c r="X77" s="84" t="str" cm="1">
        <f t="array" ref="X77">IFERROR(VLOOKUP($A77,'The List'!$B1:$AS671,31,FALSE)," ")</f>
        <v xml:space="preserve"> </v>
      </c>
      <c r="Y77" s="84" t="str" cm="1">
        <f t="array" ref="Y77">IFERROR(VLOOKUP($A77,'The List'!$B1:$AS671,32,FALSE)," ")</f>
        <v xml:space="preserve"> </v>
      </c>
      <c r="Z77" s="84" t="str" cm="1">
        <f t="array" ref="Z77">IFERROR(VLOOKUP($A77,'The List'!$B1:$AS671,33,FALSE)," ")</f>
        <v xml:space="preserve"> </v>
      </c>
      <c r="AA77" s="85"/>
      <c r="AB77" s="90"/>
      <c r="AC77" s="90"/>
      <c r="AD77" s="90"/>
      <c r="AE77" s="90"/>
      <c r="AF77" s="90"/>
    </row>
    <row r="78" spans="1:32" ht="21.25" customHeight="1" x14ac:dyDescent="0.15">
      <c r="A78" s="24"/>
      <c r="B78" s="99" t="str" cm="1">
        <f t="array" ref="B78">IFERROR(VLOOKUP($A78,'The List'!$B1:$AS671,3,FALSE)," ")</f>
        <v xml:space="preserve"> </v>
      </c>
      <c r="C78" s="101" t="str" cm="1">
        <f t="array" ref="C78">IFERROR(VLOOKUP($A78,'The List'!$B1:$AS671,4,FALSE)," ")</f>
        <v xml:space="preserve"> </v>
      </c>
      <c r="D78" s="18" t="str" cm="1">
        <f t="array" ref="D78">IFERROR(VLOOKUP($A78,'The List'!$B1:$AS671,5,FALSE)," ")</f>
        <v xml:space="preserve"> </v>
      </c>
      <c r="E78" s="18" t="str" cm="1">
        <f t="array" ref="E78">IFERROR(VLOOKUP($A78,'The List'!$B1:$AS671,6,FALSE)," ")</f>
        <v xml:space="preserve"> </v>
      </c>
      <c r="F78" s="92" t="str" cm="1">
        <f t="array" ref="F78">IFERROR(VLOOKUP($A78,'The List'!$B1:$AS671,8,FALSE)," ")</f>
        <v xml:space="preserve"> </v>
      </c>
      <c r="G78" s="92" t="str" cm="1">
        <f t="array" ref="G78">IFERROR(VLOOKUP($A78,'The List'!$B1:$AS671,10,FALSE)," ")</f>
        <v xml:space="preserve"> </v>
      </c>
      <c r="H78" s="55"/>
      <c r="I78" s="84" t="str" cm="1">
        <f t="array" ref="I78">IFERROR(VLOOKUP($A78,'The List'!$B1:$AS671,16,FALSE)," ")</f>
        <v xml:space="preserve"> </v>
      </c>
      <c r="J78" s="84" t="str" cm="1">
        <f t="array" ref="J78">IFERROR(VLOOKUP($A78,'The List'!$B1:$AS671,17,FALSE)," ")</f>
        <v xml:space="preserve"> </v>
      </c>
      <c r="K78" s="84" t="str" cm="1">
        <f t="array" ref="K78">IFERROR(VLOOKUP($A78,'The List'!$B1:$AS671,18,FALSE)," ")</f>
        <v xml:space="preserve"> </v>
      </c>
      <c r="L78" s="84" t="str" cm="1">
        <f t="array" ref="L78">IFERROR(VLOOKUP($A78,'The List'!$B1:$AS671,19,FALSE)," ")</f>
        <v xml:space="preserve"> </v>
      </c>
      <c r="M78" s="84" t="str" cm="1">
        <f t="array" ref="M78">IFERROR(VLOOKUP($A78,'The List'!$B1:$AS671,20,FALSE)," ")</f>
        <v xml:space="preserve"> </v>
      </c>
      <c r="N78" s="84" t="str" cm="1">
        <f t="array" ref="N78">IFERROR(VLOOKUP($A78,'The List'!$B1:$AS671,21,FALSE)," ")</f>
        <v xml:space="preserve"> </v>
      </c>
      <c r="O78" s="84" t="str" cm="1">
        <f t="array" ref="O78">IFERROR(VLOOKUP($A78,'The List'!$B1:$AS671,22,FALSE)," ")</f>
        <v xml:space="preserve"> </v>
      </c>
      <c r="P78" s="84" t="str" cm="1">
        <f t="array" ref="P78">IFERROR(VLOOKUP($A78,'The List'!$B1:$AS671,23,FALSE)," ")</f>
        <v xml:space="preserve"> </v>
      </c>
      <c r="Q78" s="84" t="str" cm="1">
        <f t="array" ref="Q78">IFERROR(VLOOKUP($A78,'The List'!$B1:$AS671,24,FALSE)," ")</f>
        <v xml:space="preserve"> </v>
      </c>
      <c r="R78" s="84" t="str" cm="1">
        <f t="array" ref="R78">IFERROR(VLOOKUP($A78,'The List'!$B1:$AS671,25,FALSE)," ")</f>
        <v xml:space="preserve"> </v>
      </c>
      <c r="S78" s="84" t="str" cm="1">
        <f t="array" ref="S78">IFERROR(VLOOKUP($A78,'The List'!$B1:$AS671,26,FALSE)," ")</f>
        <v xml:space="preserve"> </v>
      </c>
      <c r="T78" s="84" t="str" cm="1">
        <f t="array" ref="T78">IFERROR(VLOOKUP($A78,'The List'!$B1:$AS671,27,FALSE)," ")</f>
        <v xml:space="preserve"> </v>
      </c>
      <c r="U78" s="84" t="str" cm="1">
        <f t="array" ref="U78">IFERROR(VLOOKUP($A78,'The List'!$B1:$AS671,28,FALSE)," ")</f>
        <v xml:space="preserve"> </v>
      </c>
      <c r="V78" s="84" t="str" cm="1">
        <f t="array" ref="V78">IFERROR(VLOOKUP($A78,'The List'!$B1:$AS671,29,FALSE)," ")</f>
        <v xml:space="preserve"> </v>
      </c>
      <c r="W78" s="84" t="str" cm="1">
        <f t="array" ref="W78">IFERROR(VLOOKUP($A78,'The List'!$B1:$AS671,30,FALSE)," ")</f>
        <v xml:space="preserve"> </v>
      </c>
      <c r="X78" s="84" t="str" cm="1">
        <f t="array" ref="X78">IFERROR(VLOOKUP($A78,'The List'!$B1:$AS671,31,FALSE)," ")</f>
        <v xml:space="preserve"> </v>
      </c>
      <c r="Y78" s="84" t="str" cm="1">
        <f t="array" ref="Y78">IFERROR(VLOOKUP($A78,'The List'!$B1:$AS671,32,FALSE)," ")</f>
        <v xml:space="preserve"> </v>
      </c>
      <c r="Z78" s="84" t="str" cm="1">
        <f t="array" ref="Z78">IFERROR(VLOOKUP($A78,'The List'!$B1:$AS671,33,FALSE)," ")</f>
        <v xml:space="preserve"> </v>
      </c>
      <c r="AA78" s="85"/>
      <c r="AB78" s="90"/>
      <c r="AC78" s="90"/>
      <c r="AD78" s="90"/>
      <c r="AE78" s="90"/>
      <c r="AF78" s="90"/>
    </row>
    <row r="79" spans="1:32" ht="21.25" customHeight="1" x14ac:dyDescent="0.15">
      <c r="A79" s="103"/>
      <c r="B79" s="104" t="str" cm="1">
        <f t="array" ref="B79">IFERROR(VLOOKUP($A79,'The List'!$B1:$AS671,3,FALSE)," ")</f>
        <v xml:space="preserve"> </v>
      </c>
      <c r="C79" s="105" t="str" cm="1">
        <f t="array" ref="C79">IFERROR(VLOOKUP($A79,'The List'!$B1:$AS671,4,FALSE)," ")</f>
        <v xml:space="preserve"> </v>
      </c>
      <c r="D79" s="106" t="str" cm="1">
        <f t="array" ref="D79">IFERROR(VLOOKUP($A79,'The List'!$B1:$AS671,5,FALSE)," ")</f>
        <v xml:space="preserve"> </v>
      </c>
      <c r="E79" s="106" t="str" cm="1">
        <f t="array" ref="E79">IFERROR(VLOOKUP($A79,'The List'!$B1:$AS671,6,FALSE)," ")</f>
        <v xml:space="preserve"> </v>
      </c>
      <c r="F79" s="107" t="str" cm="1">
        <f t="array" ref="F79">IFERROR(VLOOKUP($A79,'The List'!$B1:$AS671,8,FALSE)," ")</f>
        <v xml:space="preserve"> </v>
      </c>
      <c r="G79" s="107" t="str" cm="1">
        <f t="array" ref="G79">IFERROR(VLOOKUP($A79,'The List'!$B1:$AS671,10,FALSE)," ")</f>
        <v xml:space="preserve"> </v>
      </c>
      <c r="H79" s="108"/>
      <c r="I79" s="109" t="str" cm="1">
        <f t="array" ref="I79">IFERROR(VLOOKUP($A79,'The List'!$B1:$AS671,16,FALSE)," ")</f>
        <v xml:space="preserve"> </v>
      </c>
      <c r="J79" s="109" t="str" cm="1">
        <f t="array" ref="J79">IFERROR(VLOOKUP($A79,'The List'!$B1:$AS671,17,FALSE)," ")</f>
        <v xml:space="preserve"> </v>
      </c>
      <c r="K79" s="109" t="str" cm="1">
        <f t="array" ref="K79">IFERROR(VLOOKUP($A79,'The List'!$B1:$AS671,18,FALSE)," ")</f>
        <v xml:space="preserve"> </v>
      </c>
      <c r="L79" s="109" t="str" cm="1">
        <f t="array" ref="L79">IFERROR(VLOOKUP($A79,'The List'!$B1:$AS671,19,FALSE)," ")</f>
        <v xml:space="preserve"> </v>
      </c>
      <c r="M79" s="109" t="str" cm="1">
        <f t="array" ref="M79">IFERROR(VLOOKUP($A79,'The List'!$B1:$AS671,20,FALSE)," ")</f>
        <v xml:space="preserve"> </v>
      </c>
      <c r="N79" s="109" t="str" cm="1">
        <f t="array" ref="N79">IFERROR(VLOOKUP($A79,'The List'!$B1:$AS671,21,FALSE)," ")</f>
        <v xml:space="preserve"> </v>
      </c>
      <c r="O79" s="109" t="str" cm="1">
        <f t="array" ref="O79">IFERROR(VLOOKUP($A79,'The List'!$B1:$AS671,22,FALSE)," ")</f>
        <v xml:space="preserve"> </v>
      </c>
      <c r="P79" s="109" t="str" cm="1">
        <f t="array" ref="P79">IFERROR(VLOOKUP($A79,'The List'!$B1:$AS671,23,FALSE)," ")</f>
        <v xml:space="preserve"> </v>
      </c>
      <c r="Q79" s="109" t="str" cm="1">
        <f t="array" ref="Q79">IFERROR(VLOOKUP($A79,'The List'!$B1:$AS671,24,FALSE)," ")</f>
        <v xml:space="preserve"> </v>
      </c>
      <c r="R79" s="109" t="str" cm="1">
        <f t="array" ref="R79">IFERROR(VLOOKUP($A79,'The List'!$B1:$AS671,25,FALSE)," ")</f>
        <v xml:space="preserve"> </v>
      </c>
      <c r="S79" s="109" t="str" cm="1">
        <f t="array" ref="S79">IFERROR(VLOOKUP($A79,'The List'!$B1:$AS671,26,FALSE)," ")</f>
        <v xml:space="preserve"> </v>
      </c>
      <c r="T79" s="109" t="str" cm="1">
        <f t="array" ref="T79">IFERROR(VLOOKUP($A79,'The List'!$B1:$AS671,27,FALSE)," ")</f>
        <v xml:space="preserve"> </v>
      </c>
      <c r="U79" s="109" t="str" cm="1">
        <f t="array" ref="U79">IFERROR(VLOOKUP($A79,'The List'!$B1:$AS671,28,FALSE)," ")</f>
        <v xml:space="preserve"> </v>
      </c>
      <c r="V79" s="109" t="str" cm="1">
        <f t="array" ref="V79">IFERROR(VLOOKUP($A79,'The List'!$B1:$AS671,29,FALSE)," ")</f>
        <v xml:space="preserve"> </v>
      </c>
      <c r="W79" s="109" t="str" cm="1">
        <f t="array" ref="W79">IFERROR(VLOOKUP($A79,'The List'!$B1:$AS671,30,FALSE)," ")</f>
        <v xml:space="preserve"> </v>
      </c>
      <c r="X79" s="109" t="str" cm="1">
        <f t="array" ref="X79">IFERROR(VLOOKUP($A79,'The List'!$B1:$AS671,31,FALSE)," ")</f>
        <v xml:space="preserve"> </v>
      </c>
      <c r="Y79" s="109" t="str" cm="1">
        <f t="array" ref="Y79">IFERROR(VLOOKUP($A79,'The List'!$B1:$AS671,32,FALSE)," ")</f>
        <v xml:space="preserve"> </v>
      </c>
      <c r="Z79" s="109" t="str" cm="1">
        <f t="array" ref="Z79">IFERROR(VLOOKUP($A79,'The List'!$B1:$AS671,33,FALSE)," ")</f>
        <v xml:space="preserve"> </v>
      </c>
      <c r="AA79" s="85"/>
      <c r="AB79" s="90"/>
      <c r="AC79" s="90"/>
      <c r="AD79" s="90"/>
      <c r="AE79" s="90"/>
      <c r="AF79" s="90"/>
    </row>
    <row r="80" spans="1:32" ht="21.25" customHeight="1" x14ac:dyDescent="0.15">
      <c r="A80" s="110"/>
      <c r="B80" s="111"/>
      <c r="C80" s="112"/>
      <c r="D80" s="113"/>
      <c r="E80" s="113" t="str" cm="1">
        <f t="array" ref="E80">IFERROR(AVERAGE(E60:E79)," ")</f>
        <v xml:space="preserve"> </v>
      </c>
      <c r="F80" s="115" cm="1">
        <f t="array" ref="F80">SUM(F60:F79)</f>
        <v>0</v>
      </c>
      <c r="G80" s="115" cm="1">
        <f t="array" ref="G80">SUM(G60:G79)</f>
        <v>0</v>
      </c>
      <c r="H80" s="116"/>
      <c r="I80" s="117" cm="1">
        <f t="array" ref="I80">SUM(I60:I79)</f>
        <v>0</v>
      </c>
      <c r="J80" s="116" t="e" cm="1">
        <f t="array" ref="J80">AVERAGE(J60:J79)</f>
        <v>#DIV/0!</v>
      </c>
      <c r="K80" s="117" cm="1">
        <f t="array" ref="K80">SUM(K60:K79)</f>
        <v>0</v>
      </c>
      <c r="L80" s="117" cm="1">
        <f t="array" ref="L80">SUM(L60:L79)</f>
        <v>0</v>
      </c>
      <c r="M80" s="117" cm="1">
        <f t="array" ref="M80">SUM(M60:M79)</f>
        <v>0</v>
      </c>
      <c r="N80" s="117" cm="1">
        <f t="array" ref="N80">SUM(N60:N79)</f>
        <v>0</v>
      </c>
      <c r="O80" s="117" cm="1">
        <f t="array" ref="O80">SUM(O60:O79)</f>
        <v>0</v>
      </c>
      <c r="P80" s="117" cm="1">
        <f t="array" ref="P80">SUM(P60:P79)</f>
        <v>0</v>
      </c>
      <c r="Q80" s="117" cm="1">
        <f t="array" ref="Q80">SUM(Q60:Q79)</f>
        <v>0</v>
      </c>
      <c r="R80" s="117" cm="1">
        <f t="array" ref="R80">SUM(R60:R79)</f>
        <v>0</v>
      </c>
      <c r="S80" s="117" cm="1">
        <f t="array" ref="S80">SUM(S60:S79)</f>
        <v>0</v>
      </c>
      <c r="T80" s="117" cm="1">
        <f t="array" ref="T80">SUM(T60:T79)</f>
        <v>0</v>
      </c>
      <c r="U80" s="117" cm="1">
        <f t="array" ref="U80">SUM(U60:U79)</f>
        <v>0</v>
      </c>
      <c r="V80" s="117" cm="1">
        <f t="array" ref="V80">SUM(V60:V79)</f>
        <v>0</v>
      </c>
      <c r="W80" s="117" cm="1">
        <f t="array" ref="W80">SUM(W60:W79)</f>
        <v>0</v>
      </c>
      <c r="X80" s="117" cm="1">
        <f t="array" ref="X80">SUM(X60:X79)</f>
        <v>0</v>
      </c>
      <c r="Y80" s="117" cm="1">
        <f t="array" ref="Y80">SUM(Y60:Y79)</f>
        <v>0</v>
      </c>
      <c r="Z80" s="118" cm="1">
        <f t="array" ref="Z80">IFERROR(X80/(X80+Y80),0)</f>
        <v>0</v>
      </c>
      <c r="AA80" s="85"/>
      <c r="AB80" s="119"/>
      <c r="AC80" s="119"/>
      <c r="AD80" s="119"/>
      <c r="AE80" s="119"/>
      <c r="AF80" s="119"/>
    </row>
    <row r="81" spans="1:32" ht="21.25" customHeight="1" x14ac:dyDescent="0.15">
      <c r="A81" s="37"/>
      <c r="B81" s="120"/>
      <c r="C81" s="121"/>
      <c r="D81" s="13"/>
      <c r="E81" s="13"/>
      <c r="F81" s="122"/>
      <c r="G81" s="123"/>
      <c r="H81" s="124"/>
      <c r="I81" s="12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90"/>
      <c r="AC81" s="90"/>
      <c r="AD81" s="90"/>
      <c r="AE81" s="90"/>
      <c r="AF81" s="90"/>
    </row>
    <row r="82" spans="1:32" ht="21.25" customHeight="1" x14ac:dyDescent="0.15">
      <c r="A82" s="40" t="s">
        <v>90</v>
      </c>
      <c r="B82" s="204" t="s">
        <v>92</v>
      </c>
      <c r="C82" s="194"/>
      <c r="D82" s="126" t="s">
        <v>93</v>
      </c>
      <c r="E82" s="126" t="s">
        <v>94</v>
      </c>
      <c r="F82" s="127" t="s">
        <v>96</v>
      </c>
      <c r="G82" s="127" t="s">
        <v>98</v>
      </c>
      <c r="H82" s="128"/>
      <c r="I82" s="129" t="s">
        <v>103</v>
      </c>
      <c r="J82" s="129" t="s">
        <v>118</v>
      </c>
      <c r="K82" s="129" t="s">
        <v>119</v>
      </c>
      <c r="L82" s="129" t="s">
        <v>120</v>
      </c>
      <c r="M82" s="129" t="s">
        <v>121</v>
      </c>
      <c r="N82" s="129" t="s">
        <v>122</v>
      </c>
      <c r="O82" s="129" t="s">
        <v>123</v>
      </c>
      <c r="P82" s="129" t="s">
        <v>124</v>
      </c>
      <c r="Q82" s="129" t="s">
        <v>125</v>
      </c>
      <c r="R82" s="85"/>
      <c r="S82" s="85"/>
      <c r="T82" s="85"/>
      <c r="U82" s="204" t="s">
        <v>814</v>
      </c>
      <c r="V82" s="205"/>
      <c r="W82" s="205"/>
      <c r="X82" s="204" t="s">
        <v>815</v>
      </c>
      <c r="Y82" s="205"/>
      <c r="Z82" s="205"/>
      <c r="AA82" s="85"/>
      <c r="AB82" s="85"/>
      <c r="AC82" s="85"/>
      <c r="AD82" s="85"/>
      <c r="AE82" s="85"/>
      <c r="AF82" s="85"/>
    </row>
    <row r="83" spans="1:32" ht="21.25" customHeight="1" x14ac:dyDescent="0.15">
      <c r="A83" s="146"/>
      <c r="B83" s="131" t="str" cm="1">
        <f t="array" ref="B83">IFERROR(VLOOKUP($A83,'The List'!$B1:$AS671,3,FALSE)," ")</f>
        <v xml:space="preserve"> </v>
      </c>
      <c r="C83" s="147" t="str" cm="1">
        <f t="array" ref="C83">IFERROR(VLOOKUP($A83,'The List'!$B1:$AS671,4,FALSE)," ")</f>
        <v xml:space="preserve"> </v>
      </c>
      <c r="D83" s="133" t="str" cm="1">
        <f t="array" ref="D83">IFERROR(VLOOKUP($A83,'The List'!$B1:$AS671,5,FALSE)," ")</f>
        <v xml:space="preserve"> </v>
      </c>
      <c r="E83" s="133" t="str" cm="1">
        <f t="array" ref="E83">IFERROR(VLOOKUP($A83,'The List'!$B1:$AS671,6,FALSE)," ")</f>
        <v xml:space="preserve"> </v>
      </c>
      <c r="F83" s="148" t="str" cm="1">
        <f t="array" ref="F83">IFERROR(VLOOKUP($A83,'The List'!$B1:$AS671,8,FALSE)," ")</f>
        <v xml:space="preserve"> </v>
      </c>
      <c r="G83" s="148" t="str" cm="1">
        <f t="array" ref="G83">IFERROR(VLOOKUP($A83,'The List'!$B1:$AS671,10,FALSE)," ")</f>
        <v xml:space="preserve"> </v>
      </c>
      <c r="H83" s="82"/>
      <c r="I83" s="149" t="str" cm="1">
        <f t="array" ref="I83">IFERROR(VLOOKUP($A83,'The List'!$B1:$AS671,35,FALSE)," ")</f>
        <v xml:space="preserve"> </v>
      </c>
      <c r="J83" s="149" t="str" cm="1">
        <f t="array" ref="J83">IFERROR(VLOOKUP($A83,'The List'!$B1:$AS671,36,FALSE)," ")</f>
        <v xml:space="preserve"> </v>
      </c>
      <c r="K83" s="149" t="str" cm="1">
        <f t="array" ref="K83">IFERROR(VLOOKUP($A83,'The List'!$B1:$AS671,37,FALSE)," ")</f>
        <v xml:space="preserve"> </v>
      </c>
      <c r="L83" s="149" t="str" cm="1">
        <f t="array" ref="L83">IFERROR(VLOOKUP($A83,'The List'!$B1:$AS671,38,FALSE)," ")</f>
        <v xml:space="preserve"> </v>
      </c>
      <c r="M83" s="149" t="str" cm="1">
        <f t="array" ref="M83">IFERROR(VLOOKUP($A83,'The List'!$B1:$AS671,39,FALSE)," ")</f>
        <v xml:space="preserve"> </v>
      </c>
      <c r="N83" s="149" t="str" cm="1">
        <f t="array" ref="N83">IFERROR(VLOOKUP($A83,'The List'!$B1:$AS671,40,FALSE)," ")</f>
        <v xml:space="preserve"> </v>
      </c>
      <c r="O83" s="149" t="str" cm="1">
        <f t="array" ref="O83">IFERROR(VLOOKUP($A83,'The List'!$B1:$AS671,41,FALSE)," ")</f>
        <v xml:space="preserve"> </v>
      </c>
      <c r="P83" s="149" t="str" cm="1">
        <f t="array" ref="P83">IFERROR(VLOOKUP($A83,'The List'!$B1:$AS671,42,FALSE)," ")</f>
        <v xml:space="preserve"> </v>
      </c>
      <c r="Q83" s="149" t="str" cm="1">
        <f t="array" ref="Q83">IFERROR(VLOOKUP($A83,'The List'!$B1:$AS671,43,FALSE)," ")</f>
        <v xml:space="preserve"> </v>
      </c>
      <c r="R83" s="85"/>
      <c r="S83" s="85"/>
      <c r="T83" s="139" t="str" cm="1">
        <f t="array" ref="T83">A59</f>
        <v>TEAM 3</v>
      </c>
      <c r="U83" s="206" cm="1">
        <f t="array" ref="U83">F80+F86</f>
        <v>0</v>
      </c>
      <c r="V83" s="194"/>
      <c r="W83" s="194"/>
      <c r="X83" s="206" cm="1">
        <f t="array" ref="X83">G86+G80</f>
        <v>0</v>
      </c>
      <c r="Y83" s="194"/>
      <c r="Z83" s="194"/>
      <c r="AA83" s="85"/>
      <c r="AB83" s="85"/>
      <c r="AC83" s="85"/>
      <c r="AD83" s="85"/>
      <c r="AE83" s="85"/>
      <c r="AF83" s="85"/>
    </row>
    <row r="84" spans="1:32" ht="21.25" customHeight="1" x14ac:dyDescent="0.15">
      <c r="A84" s="24"/>
      <c r="B84" s="140" t="str" cm="1">
        <f t="array" ref="B84">IFERROR(VLOOKUP($A84,'The List'!$B1:$AS671,3,FALSE)," ")</f>
        <v xml:space="preserve"> </v>
      </c>
      <c r="C84" s="141" t="str" cm="1">
        <f t="array" ref="C84">IFERROR(VLOOKUP($A84,'The List'!$B1:$AS671,4,FALSE)," ")</f>
        <v xml:space="preserve"> </v>
      </c>
      <c r="D84" s="18" t="str" cm="1">
        <f t="array" ref="D84">IFERROR(VLOOKUP($A84,'The List'!$B1:$AS671,5,FALSE)," ")</f>
        <v xml:space="preserve"> </v>
      </c>
      <c r="E84" s="18" t="str" cm="1">
        <f t="array" ref="E84">IFERROR(VLOOKUP($A84,'The List'!$B1:$AS671,6,FALSE)," ")</f>
        <v xml:space="preserve"> </v>
      </c>
      <c r="F84" s="92" t="str" cm="1">
        <f t="array" ref="F84">IFERROR(VLOOKUP($A84,'The List'!$B1:$AS671,8,FALSE)," ")</f>
        <v xml:space="preserve"> </v>
      </c>
      <c r="G84" s="92" t="str" cm="1">
        <f t="array" ref="G84">IFERROR(VLOOKUP($A84,'The List'!$B1:$AS671,10,FALSE)," ")</f>
        <v xml:space="preserve"> </v>
      </c>
      <c r="H84" s="55"/>
      <c r="I84" s="84" t="str" cm="1">
        <f t="array" ref="I84">IFERROR(VLOOKUP($A84,'The List'!$B1:$AS671,35,FALSE)," ")</f>
        <v xml:space="preserve"> </v>
      </c>
      <c r="J84" s="84" t="str" cm="1">
        <f t="array" ref="J84">IFERROR(VLOOKUP($A84,'The List'!$B1:$AS671,36,FALSE)," ")</f>
        <v xml:space="preserve"> </v>
      </c>
      <c r="K84" s="84" t="str" cm="1">
        <f t="array" ref="K84">IFERROR(VLOOKUP($A84,'The List'!$B1:$AS671,37,FALSE)," ")</f>
        <v xml:space="preserve"> </v>
      </c>
      <c r="L84" s="84" t="str" cm="1">
        <f t="array" ref="L84">IFERROR(VLOOKUP($A84,'The List'!$B1:$AS671,38,FALSE)," ")</f>
        <v xml:space="preserve"> </v>
      </c>
      <c r="M84" s="84" t="str" cm="1">
        <f t="array" ref="M84">IFERROR(VLOOKUP($A84,'The List'!$B1:$AS671,39,FALSE)," ")</f>
        <v xml:space="preserve"> </v>
      </c>
      <c r="N84" s="84" t="str" cm="1">
        <f t="array" ref="N84">IFERROR(VLOOKUP($A84,'The List'!$B1:$AS671,40,FALSE)," ")</f>
        <v xml:space="preserve"> </v>
      </c>
      <c r="O84" s="84" t="str" cm="1">
        <f t="array" ref="O84">IFERROR(VLOOKUP($A84,'The List'!$B1:$AS671,41,FALSE)," ")</f>
        <v xml:space="preserve"> </v>
      </c>
      <c r="P84" s="84" t="str" cm="1">
        <f t="array" ref="P84">IFERROR(VLOOKUP($A84,'The List'!$B1:$AS671,42,FALSE)," ")</f>
        <v xml:space="preserve"> </v>
      </c>
      <c r="Q84" s="84" t="str" cm="1">
        <f t="array" ref="Q84">IFERROR(VLOOKUP($A84,'The List'!$B1:$AS671,43,FALSE)," ")</f>
        <v xml:space="preserve"> </v>
      </c>
      <c r="R84" s="85"/>
      <c r="S84" s="85"/>
      <c r="T84" s="85"/>
      <c r="U84" s="194"/>
      <c r="V84" s="194"/>
      <c r="W84" s="194"/>
      <c r="X84" s="194"/>
      <c r="Y84" s="194"/>
      <c r="Z84" s="194"/>
      <c r="AA84" s="85"/>
      <c r="AB84" s="85"/>
      <c r="AC84" s="85"/>
      <c r="AD84" s="85"/>
      <c r="AE84" s="85"/>
      <c r="AF84" s="85"/>
    </row>
    <row r="85" spans="1:32" ht="21.25" customHeight="1" x14ac:dyDescent="0.15">
      <c r="A85" s="103"/>
      <c r="B85" s="142" t="str" cm="1">
        <f t="array" ref="B85">IFERROR(VLOOKUP($A85,'The List'!$B1:$AS671,3,FALSE)," ")</f>
        <v xml:space="preserve"> </v>
      </c>
      <c r="C85" s="143" t="str" cm="1">
        <f t="array" ref="C85">IFERROR(VLOOKUP($A85,'The List'!$B1:$AS671,4,FALSE)," ")</f>
        <v xml:space="preserve"> </v>
      </c>
      <c r="D85" s="106" t="str" cm="1">
        <f t="array" ref="D85">IFERROR(VLOOKUP($A85,'The List'!$B1:$AS671,5,FALSE)," ")</f>
        <v xml:space="preserve"> </v>
      </c>
      <c r="E85" s="106" t="str" cm="1">
        <f t="array" ref="E85">IFERROR(VLOOKUP($A85,'The List'!$B1:$AS671,6,FALSE)," ")</f>
        <v xml:space="preserve"> </v>
      </c>
      <c r="F85" s="107" t="str" cm="1">
        <f t="array" ref="F85">IFERROR(VLOOKUP($A85,'The List'!$B1:$AS671,8,FALSE)," ")</f>
        <v xml:space="preserve"> </v>
      </c>
      <c r="G85" s="107" t="str" cm="1">
        <f t="array" ref="G85">IFERROR(VLOOKUP($A85,'The List'!$B1:$AS671,10,FALSE)," ")</f>
        <v xml:space="preserve"> </v>
      </c>
      <c r="H85" s="108"/>
      <c r="I85" s="109" t="str" cm="1">
        <f t="array" ref="I85">IFERROR(VLOOKUP($A85,'The List'!$B1:$AS671,35,FALSE)," ")</f>
        <v xml:space="preserve"> </v>
      </c>
      <c r="J85" s="109" t="str" cm="1">
        <f t="array" ref="J85">IFERROR(VLOOKUP($A85,'The List'!$B1:$AS671,36,FALSE)," ")</f>
        <v xml:space="preserve"> </v>
      </c>
      <c r="K85" s="109" t="str" cm="1">
        <f t="array" ref="K85">IFERROR(VLOOKUP($A85,'The List'!$B1:$AS671,37,FALSE)," ")</f>
        <v xml:space="preserve"> </v>
      </c>
      <c r="L85" s="109" t="str" cm="1">
        <f t="array" ref="L85">IFERROR(VLOOKUP($A85,'The List'!$B1:$AS671,38,FALSE)," ")</f>
        <v xml:space="preserve"> </v>
      </c>
      <c r="M85" s="109" t="str" cm="1">
        <f t="array" ref="M85">IFERROR(VLOOKUP($A85,'The List'!$B1:$AS671,39,FALSE)," ")</f>
        <v xml:space="preserve"> </v>
      </c>
      <c r="N85" s="109" t="str" cm="1">
        <f t="array" ref="N85">IFERROR(VLOOKUP($A85,'The List'!$B1:$AS671,40,FALSE)," ")</f>
        <v xml:space="preserve"> </v>
      </c>
      <c r="O85" s="109" t="str" cm="1">
        <f t="array" ref="O85">IFERROR(VLOOKUP($A85,'The List'!$B1:$AS671,41,FALSE)," ")</f>
        <v xml:space="preserve"> </v>
      </c>
      <c r="P85" s="109" t="str" cm="1">
        <f t="array" ref="P85">IFERROR(VLOOKUP($A85,'The List'!$B1:$AS671,42,FALSE)," ")</f>
        <v xml:space="preserve"> </v>
      </c>
      <c r="Q85" s="109" t="str" cm="1">
        <f t="array" ref="Q85">IFERROR(VLOOKUP($A85,'The List'!$B1:$AS671,43,FALSE)," ")</f>
        <v xml:space="preserve"> </v>
      </c>
      <c r="R85" s="85"/>
      <c r="S85" s="85"/>
      <c r="T85" s="85"/>
      <c r="U85" s="194"/>
      <c r="V85" s="194"/>
      <c r="W85" s="194"/>
      <c r="X85" s="194"/>
      <c r="Y85" s="194"/>
      <c r="Z85" s="194"/>
      <c r="AA85" s="85"/>
      <c r="AB85" s="85"/>
      <c r="AC85" s="85"/>
      <c r="AD85" s="85"/>
      <c r="AE85" s="85"/>
      <c r="AF85" s="85"/>
    </row>
    <row r="86" spans="1:32" ht="21.25" customHeight="1" x14ac:dyDescent="0.15">
      <c r="A86" s="110"/>
      <c r="B86" s="111"/>
      <c r="C86" s="112"/>
      <c r="D86" s="113"/>
      <c r="E86" s="113" t="str" cm="1">
        <f t="array" ref="E86">IFERROR(AVERAGE(E83:E85)," ")</f>
        <v xml:space="preserve"> </v>
      </c>
      <c r="F86" s="115" cm="1">
        <f t="array" ref="F86">SUM(F83:F85)</f>
        <v>0</v>
      </c>
      <c r="G86" s="115" cm="1">
        <f t="array" ref="G86">SUM(G83:G85)</f>
        <v>0</v>
      </c>
      <c r="H86" s="116"/>
      <c r="I86" s="117" cm="1">
        <f t="array" ref="I86">SUM(I83:I85)</f>
        <v>0</v>
      </c>
      <c r="J86" s="116" cm="1">
        <f t="array" ref="J86">SUM(J83:J85)</f>
        <v>0</v>
      </c>
      <c r="K86" s="117" cm="1">
        <f t="array" ref="K86">SUM(K83:K85)</f>
        <v>0</v>
      </c>
      <c r="L86" s="117" cm="1">
        <f t="array" ref="L86">SUM(L83:L85)</f>
        <v>0</v>
      </c>
      <c r="M86" s="117" cm="1">
        <f t="array" ref="M86">SUM(M83:M85)</f>
        <v>0</v>
      </c>
      <c r="N86" s="117" cm="1">
        <f t="array" ref="N86">SUM(N83:N85)</f>
        <v>0</v>
      </c>
      <c r="O86" s="117" cm="1">
        <f t="array" ref="O86">SUM(O83:O85)</f>
        <v>0</v>
      </c>
      <c r="P86" s="144" t="e" cm="1">
        <f t="array" ref="P86">1-(O86/(N86+O86))</f>
        <v>#DIV/0!</v>
      </c>
      <c r="Q86" s="145" t="e" cm="1">
        <f t="array" ref="Q86">O86/I86</f>
        <v>#DIV/0!</v>
      </c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</row>
    <row r="87" spans="1:32" ht="70.75" customHeight="1" x14ac:dyDescent="0.15">
      <c r="A87" s="37"/>
      <c r="B87" s="120"/>
      <c r="C87" s="121"/>
      <c r="D87" s="13"/>
      <c r="E87" s="13"/>
      <c r="F87" s="122"/>
      <c r="G87" s="123"/>
      <c r="H87" s="124"/>
      <c r="I87" s="12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90"/>
      <c r="AB87" s="90"/>
      <c r="AC87" s="90"/>
      <c r="AD87" s="90"/>
      <c r="AE87" s="90"/>
      <c r="AF87" s="90"/>
    </row>
    <row r="88" spans="1:32" ht="21.25" customHeight="1" x14ac:dyDescent="0.15">
      <c r="A88" s="41" t="s">
        <v>801</v>
      </c>
      <c r="B88" s="203" t="s">
        <v>92</v>
      </c>
      <c r="C88" s="200"/>
      <c r="D88" s="42" t="s">
        <v>93</v>
      </c>
      <c r="E88" s="42" t="s">
        <v>94</v>
      </c>
      <c r="F88" s="43" t="s">
        <v>96</v>
      </c>
      <c r="G88" s="43" t="s">
        <v>98</v>
      </c>
      <c r="H88" s="44"/>
      <c r="I88" s="46" t="s">
        <v>103</v>
      </c>
      <c r="J88" s="46" t="s">
        <v>56</v>
      </c>
      <c r="K88" s="46" t="s">
        <v>104</v>
      </c>
      <c r="L88" s="46" t="s">
        <v>105</v>
      </c>
      <c r="M88" s="46" t="s">
        <v>106</v>
      </c>
      <c r="N88" s="46" t="s">
        <v>107</v>
      </c>
      <c r="O88" s="46" t="s">
        <v>64</v>
      </c>
      <c r="P88" s="46" t="s">
        <v>67</v>
      </c>
      <c r="Q88" s="46" t="s">
        <v>108</v>
      </c>
      <c r="R88" s="46" t="s">
        <v>109</v>
      </c>
      <c r="S88" s="46" t="s">
        <v>110</v>
      </c>
      <c r="T88" s="46" t="s">
        <v>111</v>
      </c>
      <c r="U88" s="46" t="s">
        <v>112</v>
      </c>
      <c r="V88" s="46" t="s">
        <v>113</v>
      </c>
      <c r="W88" s="46" t="s">
        <v>114</v>
      </c>
      <c r="X88" s="46" t="s">
        <v>115</v>
      </c>
      <c r="Y88" s="46" t="s">
        <v>116</v>
      </c>
      <c r="Z88" s="46" t="s">
        <v>117</v>
      </c>
      <c r="AA88" s="85"/>
      <c r="AB88" s="86"/>
      <c r="AC88" s="86"/>
      <c r="AD88" s="86"/>
      <c r="AE88" s="86"/>
      <c r="AF88" s="86"/>
    </row>
    <row r="89" spans="1:32" ht="21.25" customHeight="1" x14ac:dyDescent="0.15">
      <c r="A89" s="24"/>
      <c r="B89" s="87" t="str" cm="1">
        <f t="array" ref="B89">IFERROR(VLOOKUP($A89,'The List'!$B1:$AS671,3,FALSE)," ")</f>
        <v xml:space="preserve"> </v>
      </c>
      <c r="C89" s="91" t="str" cm="1">
        <f t="array" ref="C89">IFERROR(VLOOKUP($A89,'The List'!$B1:$AS671,4,FALSE)," ")</f>
        <v xml:space="preserve"> </v>
      </c>
      <c r="D89" s="18" t="str" cm="1">
        <f t="array" ref="D89">IFERROR(VLOOKUP($A89,'The List'!$B1:$AS671,5,FALSE)," ")</f>
        <v xml:space="preserve"> </v>
      </c>
      <c r="E89" s="18" t="str" cm="1">
        <f t="array" ref="E89">IFERROR(VLOOKUP($A89,'The List'!$B1:$AS671,6,FALSE)," ")</f>
        <v xml:space="preserve"> </v>
      </c>
      <c r="F89" s="92" t="str" cm="1">
        <f t="array" ref="F89">IFERROR(VLOOKUP($A89,'The List'!$B1:$AS671,8,FALSE)," ")</f>
        <v xml:space="preserve"> </v>
      </c>
      <c r="G89" s="92" t="str" cm="1">
        <f t="array" ref="G89">IFERROR(VLOOKUP($A89,'The List'!$B1:$AS671,10,FALSE)," ")</f>
        <v xml:space="preserve"> </v>
      </c>
      <c r="H89" s="55"/>
      <c r="I89" s="84" t="str" cm="1">
        <f t="array" ref="I89">IFERROR(VLOOKUP($A89,'The List'!$B1:$AS671,16,FALSE)," ")</f>
        <v xml:space="preserve"> </v>
      </c>
      <c r="J89" s="84" t="str" cm="1">
        <f t="array" ref="J89">IFERROR(VLOOKUP($A89,'The List'!$B1:$AS671,17,FALSE)," ")</f>
        <v xml:space="preserve"> </v>
      </c>
      <c r="K89" s="84" t="str" cm="1">
        <f t="array" ref="K89">IFERROR(VLOOKUP($A89,'The List'!$B1:$AS671,18,FALSE)," ")</f>
        <v xml:space="preserve"> </v>
      </c>
      <c r="L89" s="84" t="str" cm="1">
        <f t="array" ref="L89">IFERROR(VLOOKUP($A89,'The List'!$B1:$AS671,19,FALSE)," ")</f>
        <v xml:space="preserve"> </v>
      </c>
      <c r="M89" s="84" t="str" cm="1">
        <f t="array" ref="M89">IFERROR(VLOOKUP($A89,'The List'!$B1:$AS671,20,FALSE)," ")</f>
        <v xml:space="preserve"> </v>
      </c>
      <c r="N89" s="84" t="str" cm="1">
        <f t="array" ref="N89">IFERROR(VLOOKUP($A89,'The List'!$B1:$AS671,21,FALSE)," ")</f>
        <v xml:space="preserve"> </v>
      </c>
      <c r="O89" s="84" t="str" cm="1">
        <f t="array" ref="O89">IFERROR(VLOOKUP($A89,'The List'!$B1:$AS671,22,FALSE)," ")</f>
        <v xml:space="preserve"> </v>
      </c>
      <c r="P89" s="84" t="str" cm="1">
        <f t="array" ref="P89">IFERROR(VLOOKUP($A89,'The List'!$B1:$AS671,23,FALSE)," ")</f>
        <v xml:space="preserve"> </v>
      </c>
      <c r="Q89" s="84" t="str" cm="1">
        <f t="array" ref="Q89">IFERROR(VLOOKUP($A89,'The List'!$B1:$AS671,24,FALSE)," ")</f>
        <v xml:space="preserve"> </v>
      </c>
      <c r="R89" s="84" t="str" cm="1">
        <f t="array" ref="R89">IFERROR(VLOOKUP($A89,'The List'!$B1:$AS671,25,FALSE)," ")</f>
        <v xml:space="preserve"> </v>
      </c>
      <c r="S89" s="84" t="str" cm="1">
        <f t="array" ref="S89">IFERROR(VLOOKUP($A89,'The List'!$B1:$AS671,26,FALSE)," ")</f>
        <v xml:space="preserve"> </v>
      </c>
      <c r="T89" s="84" t="str" cm="1">
        <f t="array" ref="T89">IFERROR(VLOOKUP($A89,'The List'!$B1:$AS671,27,FALSE)," ")</f>
        <v xml:space="preserve"> </v>
      </c>
      <c r="U89" s="84" t="str" cm="1">
        <f t="array" ref="U89">IFERROR(VLOOKUP($A89,'The List'!$B1:$AS671,28,FALSE)," ")</f>
        <v xml:space="preserve"> </v>
      </c>
      <c r="V89" s="84" t="str" cm="1">
        <f t="array" ref="V89">IFERROR(VLOOKUP($A89,'The List'!$B1:$AS671,29,FALSE)," ")</f>
        <v xml:space="preserve"> </v>
      </c>
      <c r="W89" s="84" t="str" cm="1">
        <f t="array" ref="W89">IFERROR(VLOOKUP($A89,'The List'!$B1:$AS671,30,FALSE)," ")</f>
        <v xml:space="preserve"> </v>
      </c>
      <c r="X89" s="84" t="str" cm="1">
        <f t="array" ref="X89">IFERROR(VLOOKUP($A89,'The List'!$B1:$AS671,31,FALSE)," ")</f>
        <v xml:space="preserve"> </v>
      </c>
      <c r="Y89" s="84" t="str" cm="1">
        <f t="array" ref="Y89">IFERROR(VLOOKUP($A89,'The List'!$B1:$AS671,32,FALSE)," ")</f>
        <v xml:space="preserve"> </v>
      </c>
      <c r="Z89" s="84" t="str" cm="1">
        <f t="array" ref="Z89">IFERROR(VLOOKUP($A89,'The List'!$B1:$AS671,33,FALSE)," ")</f>
        <v xml:space="preserve"> </v>
      </c>
      <c r="AA89" s="85"/>
      <c r="AB89" s="90"/>
      <c r="AC89" s="90"/>
      <c r="AD89" s="90"/>
      <c r="AE89" s="90"/>
      <c r="AF89" s="90"/>
    </row>
    <row r="90" spans="1:32" ht="21.25" customHeight="1" x14ac:dyDescent="0.15">
      <c r="A90" s="24"/>
      <c r="B90" s="87" t="str" cm="1">
        <f t="array" ref="B90">IFERROR(VLOOKUP($A90,'The List'!$B1:$AS671,3,FALSE)," ")</f>
        <v xml:space="preserve"> </v>
      </c>
      <c r="C90" s="91" t="str" cm="1">
        <f t="array" ref="C90">IFERROR(VLOOKUP($A90,'The List'!$B1:$AS671,4,FALSE)," ")</f>
        <v xml:space="preserve"> </v>
      </c>
      <c r="D90" s="18" t="str" cm="1">
        <f t="array" ref="D90">IFERROR(VLOOKUP($A90,'The List'!$B1:$AS671,5,FALSE)," ")</f>
        <v xml:space="preserve"> </v>
      </c>
      <c r="E90" s="18" t="str" cm="1">
        <f t="array" ref="E90">IFERROR(VLOOKUP($A90,'The List'!$B1:$AS671,6,FALSE)," ")</f>
        <v xml:space="preserve"> </v>
      </c>
      <c r="F90" s="92" t="str" cm="1">
        <f t="array" ref="F90">IFERROR(VLOOKUP($A90,'The List'!$B1:$AS671,8,FALSE)," ")</f>
        <v xml:space="preserve"> </v>
      </c>
      <c r="G90" s="92" t="str" cm="1">
        <f t="array" ref="G90">IFERROR(VLOOKUP($A90,'The List'!$B1:$AS671,10,FALSE)," ")</f>
        <v xml:space="preserve"> </v>
      </c>
      <c r="H90" s="55"/>
      <c r="I90" s="84" t="str" cm="1">
        <f t="array" ref="I90">IFERROR(VLOOKUP($A90,'The List'!$B1:$AS671,16,FALSE)," ")</f>
        <v xml:space="preserve"> </v>
      </c>
      <c r="J90" s="84" t="str" cm="1">
        <f t="array" ref="J90">IFERROR(VLOOKUP($A90,'The List'!$B1:$AS671,17,FALSE)," ")</f>
        <v xml:space="preserve"> </v>
      </c>
      <c r="K90" s="84" t="str" cm="1">
        <f t="array" ref="K90">IFERROR(VLOOKUP($A90,'The List'!$B1:$AS671,18,FALSE)," ")</f>
        <v xml:space="preserve"> </v>
      </c>
      <c r="L90" s="84" t="str" cm="1">
        <f t="array" ref="L90">IFERROR(VLOOKUP($A90,'The List'!$B1:$AS671,19,FALSE)," ")</f>
        <v xml:space="preserve"> </v>
      </c>
      <c r="M90" s="84" t="str" cm="1">
        <f t="array" ref="M90">IFERROR(VLOOKUP($A90,'The List'!$B1:$AS671,20,FALSE)," ")</f>
        <v xml:space="preserve"> </v>
      </c>
      <c r="N90" s="84" t="str" cm="1">
        <f t="array" ref="N90">IFERROR(VLOOKUP($A90,'The List'!$B1:$AS671,21,FALSE)," ")</f>
        <v xml:space="preserve"> </v>
      </c>
      <c r="O90" s="84" t="str" cm="1">
        <f t="array" ref="O90">IFERROR(VLOOKUP($A90,'The List'!$B1:$AS671,22,FALSE)," ")</f>
        <v xml:space="preserve"> </v>
      </c>
      <c r="P90" s="84" t="str" cm="1">
        <f t="array" ref="P90">IFERROR(VLOOKUP($A90,'The List'!$B1:$AS671,23,FALSE)," ")</f>
        <v xml:space="preserve"> </v>
      </c>
      <c r="Q90" s="84" t="str" cm="1">
        <f t="array" ref="Q90">IFERROR(VLOOKUP($A90,'The List'!$B1:$AS671,24,FALSE)," ")</f>
        <v xml:space="preserve"> </v>
      </c>
      <c r="R90" s="84" t="str" cm="1">
        <f t="array" ref="R90">IFERROR(VLOOKUP($A90,'The List'!$B1:$AS671,25,FALSE)," ")</f>
        <v xml:space="preserve"> </v>
      </c>
      <c r="S90" s="84" t="str" cm="1">
        <f t="array" ref="S90">IFERROR(VLOOKUP($A90,'The List'!$B1:$AS671,26,FALSE)," ")</f>
        <v xml:space="preserve"> </v>
      </c>
      <c r="T90" s="84" t="str" cm="1">
        <f t="array" ref="T90">IFERROR(VLOOKUP($A90,'The List'!$B1:$AS671,27,FALSE)," ")</f>
        <v xml:space="preserve"> </v>
      </c>
      <c r="U90" s="84" t="str" cm="1">
        <f t="array" ref="U90">IFERROR(VLOOKUP($A90,'The List'!$B1:$AS671,28,FALSE)," ")</f>
        <v xml:space="preserve"> </v>
      </c>
      <c r="V90" s="84" t="str" cm="1">
        <f t="array" ref="V90">IFERROR(VLOOKUP($A90,'The List'!$B1:$AS671,29,FALSE)," ")</f>
        <v xml:space="preserve"> </v>
      </c>
      <c r="W90" s="84" t="str" cm="1">
        <f t="array" ref="W90">IFERROR(VLOOKUP($A90,'The List'!$B1:$AS671,30,FALSE)," ")</f>
        <v xml:space="preserve"> </v>
      </c>
      <c r="X90" s="84" t="str" cm="1">
        <f t="array" ref="X90">IFERROR(VLOOKUP($A90,'The List'!$B1:$AS671,31,FALSE)," ")</f>
        <v xml:space="preserve"> </v>
      </c>
      <c r="Y90" s="84" t="str" cm="1">
        <f t="array" ref="Y90">IFERROR(VLOOKUP($A90,'The List'!$B1:$AS671,32,FALSE)," ")</f>
        <v xml:space="preserve"> </v>
      </c>
      <c r="Z90" s="84" t="str" cm="1">
        <f t="array" ref="Z90">IFERROR(VLOOKUP($A90,'The List'!$B1:$AS671,33,FALSE)," ")</f>
        <v xml:space="preserve"> </v>
      </c>
      <c r="AA90" s="85"/>
      <c r="AB90" s="90"/>
      <c r="AC90" s="90"/>
      <c r="AD90" s="90"/>
      <c r="AE90" s="90"/>
      <c r="AF90" s="90"/>
    </row>
    <row r="91" spans="1:32" ht="21.25" customHeight="1" x14ac:dyDescent="0.15">
      <c r="A91" s="24"/>
      <c r="B91" s="87" t="str" cm="1">
        <f t="array" ref="B91">IFERROR(VLOOKUP($A91,'The List'!$B1:$AS671,3,FALSE)," ")</f>
        <v xml:space="preserve"> </v>
      </c>
      <c r="C91" s="91" t="str" cm="1">
        <f t="array" ref="C91">IFERROR(VLOOKUP($A91,'The List'!$B1:$AS671,4,FALSE)," ")</f>
        <v xml:space="preserve"> </v>
      </c>
      <c r="D91" s="18" t="str" cm="1">
        <f t="array" ref="D91">IFERROR(VLOOKUP($A91,'The List'!$B1:$AS671,5,FALSE)," ")</f>
        <v xml:space="preserve"> </v>
      </c>
      <c r="E91" s="18" t="str" cm="1">
        <f t="array" ref="E91">IFERROR(VLOOKUP($A91,'The List'!$B1:$AS671,6,FALSE)," ")</f>
        <v xml:space="preserve"> </v>
      </c>
      <c r="F91" s="92" t="str" cm="1">
        <f t="array" ref="F91">IFERROR(VLOOKUP($A91,'The List'!$B1:$AS671,8,FALSE)," ")</f>
        <v xml:space="preserve"> </v>
      </c>
      <c r="G91" s="92" t="str" cm="1">
        <f t="array" ref="G91">IFERROR(VLOOKUP($A91,'The List'!$B1:$AS671,10,FALSE)," ")</f>
        <v xml:space="preserve"> </v>
      </c>
      <c r="H91" s="55"/>
      <c r="I91" s="84" t="str" cm="1">
        <f t="array" ref="I91">IFERROR(VLOOKUP($A91,'The List'!$B1:$AS671,16,FALSE)," ")</f>
        <v xml:space="preserve"> </v>
      </c>
      <c r="J91" s="84" t="str" cm="1">
        <f t="array" ref="J91">IFERROR(VLOOKUP($A91,'The List'!$B1:$AS671,17,FALSE)," ")</f>
        <v xml:space="preserve"> </v>
      </c>
      <c r="K91" s="84" t="str" cm="1">
        <f t="array" ref="K91">IFERROR(VLOOKUP($A91,'The List'!$B1:$AS671,18,FALSE)," ")</f>
        <v xml:space="preserve"> </v>
      </c>
      <c r="L91" s="84" t="str" cm="1">
        <f t="array" ref="L91">IFERROR(VLOOKUP($A91,'The List'!$B1:$AS671,19,FALSE)," ")</f>
        <v xml:space="preserve"> </v>
      </c>
      <c r="M91" s="84" t="str" cm="1">
        <f t="array" ref="M91">IFERROR(VLOOKUP($A91,'The List'!$B1:$AS671,20,FALSE)," ")</f>
        <v xml:space="preserve"> </v>
      </c>
      <c r="N91" s="84" t="str" cm="1">
        <f t="array" ref="N91">IFERROR(VLOOKUP($A91,'The List'!$B1:$AS671,21,FALSE)," ")</f>
        <v xml:space="preserve"> </v>
      </c>
      <c r="O91" s="84" t="str" cm="1">
        <f t="array" ref="O91">IFERROR(VLOOKUP($A91,'The List'!$B1:$AS671,22,FALSE)," ")</f>
        <v xml:space="preserve"> </v>
      </c>
      <c r="P91" s="84" t="str" cm="1">
        <f t="array" ref="P91">IFERROR(VLOOKUP($A91,'The List'!$B1:$AS671,23,FALSE)," ")</f>
        <v xml:space="preserve"> </v>
      </c>
      <c r="Q91" s="84" t="str" cm="1">
        <f t="array" ref="Q91">IFERROR(VLOOKUP($A91,'The List'!$B1:$AS671,24,FALSE)," ")</f>
        <v xml:space="preserve"> </v>
      </c>
      <c r="R91" s="84" t="str" cm="1">
        <f t="array" ref="R91">IFERROR(VLOOKUP($A91,'The List'!$B1:$AS671,25,FALSE)," ")</f>
        <v xml:space="preserve"> </v>
      </c>
      <c r="S91" s="84" t="str" cm="1">
        <f t="array" ref="S91">IFERROR(VLOOKUP($A91,'The List'!$B1:$AS671,26,FALSE)," ")</f>
        <v xml:space="preserve"> </v>
      </c>
      <c r="T91" s="84" t="str" cm="1">
        <f t="array" ref="T91">IFERROR(VLOOKUP($A91,'The List'!$B1:$AS671,27,FALSE)," ")</f>
        <v xml:space="preserve"> </v>
      </c>
      <c r="U91" s="84" t="str" cm="1">
        <f t="array" ref="U91">IFERROR(VLOOKUP($A91,'The List'!$B1:$AS671,28,FALSE)," ")</f>
        <v xml:space="preserve"> </v>
      </c>
      <c r="V91" s="84" t="str" cm="1">
        <f t="array" ref="V91">IFERROR(VLOOKUP($A91,'The List'!$B1:$AS671,29,FALSE)," ")</f>
        <v xml:space="preserve"> </v>
      </c>
      <c r="W91" s="84" t="str" cm="1">
        <f t="array" ref="W91">IFERROR(VLOOKUP($A91,'The List'!$B1:$AS671,30,FALSE)," ")</f>
        <v xml:space="preserve"> </v>
      </c>
      <c r="X91" s="84" t="str" cm="1">
        <f t="array" ref="X91">IFERROR(VLOOKUP($A91,'The List'!$B1:$AS671,31,FALSE)," ")</f>
        <v xml:space="preserve"> </v>
      </c>
      <c r="Y91" s="84" t="str" cm="1">
        <f t="array" ref="Y91">IFERROR(VLOOKUP($A91,'The List'!$B1:$AS671,32,FALSE)," ")</f>
        <v xml:space="preserve"> </v>
      </c>
      <c r="Z91" s="84" t="str" cm="1">
        <f t="array" ref="Z91">IFERROR(VLOOKUP($A91,'The List'!$B1:$AS671,33,FALSE)," ")</f>
        <v xml:space="preserve"> </v>
      </c>
      <c r="AA91" s="85"/>
      <c r="AB91" s="90"/>
      <c r="AC91" s="90"/>
      <c r="AD91" s="90"/>
      <c r="AE91" s="90"/>
      <c r="AF91" s="90"/>
    </row>
    <row r="92" spans="1:32" ht="21.25" customHeight="1" x14ac:dyDescent="0.15">
      <c r="A92" s="24"/>
      <c r="B92" s="87" t="str" cm="1">
        <f t="array" ref="B92">IFERROR(VLOOKUP($A92,'The List'!$B1:$AS671,3,FALSE)," ")</f>
        <v xml:space="preserve"> </v>
      </c>
      <c r="C92" s="91" t="str" cm="1">
        <f t="array" ref="C92">IFERROR(VLOOKUP($A92,'The List'!$B1:$AS671,4,FALSE)," ")</f>
        <v xml:space="preserve"> </v>
      </c>
      <c r="D92" s="18" t="str" cm="1">
        <f t="array" ref="D92">IFERROR(VLOOKUP($A92,'The List'!$B1:$AS671,5,FALSE)," ")</f>
        <v xml:space="preserve"> </v>
      </c>
      <c r="E92" s="18" t="str" cm="1">
        <f t="array" ref="E92">IFERROR(VLOOKUP($A92,'The List'!$B1:$AS671,6,FALSE)," ")</f>
        <v xml:space="preserve"> </v>
      </c>
      <c r="F92" s="92" t="str" cm="1">
        <f t="array" ref="F92">IFERROR(VLOOKUP($A92,'The List'!$B1:$AS671,8,FALSE)," ")</f>
        <v xml:space="preserve"> </v>
      </c>
      <c r="G92" s="92" t="str" cm="1">
        <f t="array" ref="G92">IFERROR(VLOOKUP($A92,'The List'!$B1:$AS671,10,FALSE)," ")</f>
        <v xml:space="preserve"> </v>
      </c>
      <c r="H92" s="55"/>
      <c r="I92" s="84" t="str" cm="1">
        <f t="array" ref="I92">IFERROR(VLOOKUP($A92,'The List'!$B1:$AS671,16,FALSE)," ")</f>
        <v xml:space="preserve"> </v>
      </c>
      <c r="J92" s="84" t="str" cm="1">
        <f t="array" ref="J92">IFERROR(VLOOKUP($A92,'The List'!$B1:$AS671,17,FALSE)," ")</f>
        <v xml:space="preserve"> </v>
      </c>
      <c r="K92" s="84" t="str" cm="1">
        <f t="array" ref="K92">IFERROR(VLOOKUP($A92,'The List'!$B1:$AS671,18,FALSE)," ")</f>
        <v xml:space="preserve"> </v>
      </c>
      <c r="L92" s="84" t="str" cm="1">
        <f t="array" ref="L92">IFERROR(VLOOKUP($A92,'The List'!$B1:$AS671,19,FALSE)," ")</f>
        <v xml:space="preserve"> </v>
      </c>
      <c r="M92" s="84" t="str" cm="1">
        <f t="array" ref="M92">IFERROR(VLOOKUP($A92,'The List'!$B1:$AS671,20,FALSE)," ")</f>
        <v xml:space="preserve"> </v>
      </c>
      <c r="N92" s="84" t="str" cm="1">
        <f t="array" ref="N92">IFERROR(VLOOKUP($A92,'The List'!$B1:$AS671,21,FALSE)," ")</f>
        <v xml:space="preserve"> </v>
      </c>
      <c r="O92" s="84" t="str" cm="1">
        <f t="array" ref="O92">IFERROR(VLOOKUP($A92,'The List'!$B1:$AS671,22,FALSE)," ")</f>
        <v xml:space="preserve"> </v>
      </c>
      <c r="P92" s="84" t="str" cm="1">
        <f t="array" ref="P92">IFERROR(VLOOKUP($A92,'The List'!$B1:$AS671,23,FALSE)," ")</f>
        <v xml:space="preserve"> </v>
      </c>
      <c r="Q92" s="84" t="str" cm="1">
        <f t="array" ref="Q92">IFERROR(VLOOKUP($A92,'The List'!$B1:$AS671,24,FALSE)," ")</f>
        <v xml:space="preserve"> </v>
      </c>
      <c r="R92" s="84" t="str" cm="1">
        <f t="array" ref="R92">IFERROR(VLOOKUP($A92,'The List'!$B1:$AS671,25,FALSE)," ")</f>
        <v xml:space="preserve"> </v>
      </c>
      <c r="S92" s="84" t="str" cm="1">
        <f t="array" ref="S92">IFERROR(VLOOKUP($A92,'The List'!$B1:$AS671,26,FALSE)," ")</f>
        <v xml:space="preserve"> </v>
      </c>
      <c r="T92" s="84" t="str" cm="1">
        <f t="array" ref="T92">IFERROR(VLOOKUP($A92,'The List'!$B1:$AS671,27,FALSE)," ")</f>
        <v xml:space="preserve"> </v>
      </c>
      <c r="U92" s="84" t="str" cm="1">
        <f t="array" ref="U92">IFERROR(VLOOKUP($A92,'The List'!$B1:$AS671,28,FALSE)," ")</f>
        <v xml:space="preserve"> </v>
      </c>
      <c r="V92" s="84" t="str" cm="1">
        <f t="array" ref="V92">IFERROR(VLOOKUP($A92,'The List'!$B1:$AS671,29,FALSE)," ")</f>
        <v xml:space="preserve"> </v>
      </c>
      <c r="W92" s="84" t="str" cm="1">
        <f t="array" ref="W92">IFERROR(VLOOKUP($A92,'The List'!$B1:$AS671,30,FALSE)," ")</f>
        <v xml:space="preserve"> </v>
      </c>
      <c r="X92" s="84" t="str" cm="1">
        <f t="array" ref="X92">IFERROR(VLOOKUP($A92,'The List'!$B1:$AS671,31,FALSE)," ")</f>
        <v xml:space="preserve"> </v>
      </c>
      <c r="Y92" s="84" t="str" cm="1">
        <f t="array" ref="Y92">IFERROR(VLOOKUP($A92,'The List'!$B1:$AS671,32,FALSE)," ")</f>
        <v xml:space="preserve"> </v>
      </c>
      <c r="Z92" s="84" t="str" cm="1">
        <f t="array" ref="Z92">IFERROR(VLOOKUP($A92,'The List'!$B1:$AS671,33,FALSE)," ")</f>
        <v xml:space="preserve"> </v>
      </c>
      <c r="AA92" s="85"/>
      <c r="AB92" s="90"/>
      <c r="AC92" s="90"/>
      <c r="AD92" s="90"/>
      <c r="AE92" s="90"/>
      <c r="AF92" s="90"/>
    </row>
    <row r="93" spans="1:32" ht="21.25" customHeight="1" x14ac:dyDescent="0.15">
      <c r="A93" s="24"/>
      <c r="B93" s="93" t="str" cm="1">
        <f t="array" ref="B93">IFERROR(VLOOKUP($A93,'The List'!$B1:$AS671,3,FALSE)," ")</f>
        <v xml:space="preserve"> </v>
      </c>
      <c r="C93" s="95" t="str" cm="1">
        <f t="array" ref="C93">IFERROR(VLOOKUP($A93,'The List'!$B1:$AS671,4,FALSE)," ")</f>
        <v xml:space="preserve"> </v>
      </c>
      <c r="D93" s="18" t="str" cm="1">
        <f t="array" ref="D93">IFERROR(VLOOKUP($A93,'The List'!$B1:$AS671,5,FALSE)," ")</f>
        <v xml:space="preserve"> </v>
      </c>
      <c r="E93" s="18" t="str" cm="1">
        <f t="array" ref="E93">IFERROR(VLOOKUP($A93,'The List'!$B1:$AS671,6,FALSE)," ")</f>
        <v xml:space="preserve"> </v>
      </c>
      <c r="F93" s="92" t="str" cm="1">
        <f t="array" ref="F93">IFERROR(VLOOKUP($A93,'The List'!$B1:$AS671,8,FALSE)," ")</f>
        <v xml:space="preserve"> </v>
      </c>
      <c r="G93" s="92" t="str" cm="1">
        <f t="array" ref="G93">IFERROR(VLOOKUP($A93,'The List'!$B1:$AS671,10,FALSE)," ")</f>
        <v xml:space="preserve"> </v>
      </c>
      <c r="H93" s="55"/>
      <c r="I93" s="84" t="str" cm="1">
        <f t="array" ref="I93">IFERROR(VLOOKUP($A93,'The List'!$B1:$AS671,16,FALSE)," ")</f>
        <v xml:space="preserve"> </v>
      </c>
      <c r="J93" s="84" t="str" cm="1">
        <f t="array" ref="J93">IFERROR(VLOOKUP($A93,'The List'!$B1:$AS671,17,FALSE)," ")</f>
        <v xml:space="preserve"> </v>
      </c>
      <c r="K93" s="84" t="str" cm="1">
        <f t="array" ref="K93">IFERROR(VLOOKUP($A93,'The List'!$B1:$AS671,18,FALSE)," ")</f>
        <v xml:space="preserve"> </v>
      </c>
      <c r="L93" s="84" t="str" cm="1">
        <f t="array" ref="L93">IFERROR(VLOOKUP($A93,'The List'!$B1:$AS671,19,FALSE)," ")</f>
        <v xml:space="preserve"> </v>
      </c>
      <c r="M93" s="84" t="str" cm="1">
        <f t="array" ref="M93">IFERROR(VLOOKUP($A93,'The List'!$B1:$AS671,20,FALSE)," ")</f>
        <v xml:space="preserve"> </v>
      </c>
      <c r="N93" s="84" t="str" cm="1">
        <f t="array" ref="N93">IFERROR(VLOOKUP($A93,'The List'!$B1:$AS671,21,FALSE)," ")</f>
        <v xml:space="preserve"> </v>
      </c>
      <c r="O93" s="84" t="str" cm="1">
        <f t="array" ref="O93">IFERROR(VLOOKUP($A93,'The List'!$B1:$AS671,22,FALSE)," ")</f>
        <v xml:space="preserve"> </v>
      </c>
      <c r="P93" s="84" t="str" cm="1">
        <f t="array" ref="P93">IFERROR(VLOOKUP($A93,'The List'!$B1:$AS671,23,FALSE)," ")</f>
        <v xml:space="preserve"> </v>
      </c>
      <c r="Q93" s="84" t="str" cm="1">
        <f t="array" ref="Q93">IFERROR(VLOOKUP($A93,'The List'!$B1:$AS671,24,FALSE)," ")</f>
        <v xml:space="preserve"> </v>
      </c>
      <c r="R93" s="84" t="str" cm="1">
        <f t="array" ref="R93">IFERROR(VLOOKUP($A93,'The List'!$B1:$AS671,25,FALSE)," ")</f>
        <v xml:space="preserve"> </v>
      </c>
      <c r="S93" s="84" t="str" cm="1">
        <f t="array" ref="S93">IFERROR(VLOOKUP($A93,'The List'!$B1:$AS671,26,FALSE)," ")</f>
        <v xml:space="preserve"> </v>
      </c>
      <c r="T93" s="84" t="str" cm="1">
        <f t="array" ref="T93">IFERROR(VLOOKUP($A93,'The List'!$B1:$AS671,27,FALSE)," ")</f>
        <v xml:space="preserve"> </v>
      </c>
      <c r="U93" s="84" t="str" cm="1">
        <f t="array" ref="U93">IFERROR(VLOOKUP($A93,'The List'!$B1:$AS671,28,FALSE)," ")</f>
        <v xml:space="preserve"> </v>
      </c>
      <c r="V93" s="84" t="str" cm="1">
        <f t="array" ref="V93">IFERROR(VLOOKUP($A93,'The List'!$B1:$AS671,29,FALSE)," ")</f>
        <v xml:space="preserve"> </v>
      </c>
      <c r="W93" s="84" t="str" cm="1">
        <f t="array" ref="W93">IFERROR(VLOOKUP($A93,'The List'!$B1:$AS671,30,FALSE)," ")</f>
        <v xml:space="preserve"> </v>
      </c>
      <c r="X93" s="84" t="str" cm="1">
        <f t="array" ref="X93">IFERROR(VLOOKUP($A93,'The List'!$B1:$AS671,31,FALSE)," ")</f>
        <v xml:space="preserve"> </v>
      </c>
      <c r="Y93" s="84" t="str" cm="1">
        <f t="array" ref="Y93">IFERROR(VLOOKUP($A93,'The List'!$B1:$AS671,32,FALSE)," ")</f>
        <v xml:space="preserve"> </v>
      </c>
      <c r="Z93" s="84" t="str" cm="1">
        <f t="array" ref="Z93">IFERROR(VLOOKUP($A93,'The List'!$B1:$AS671,33,FALSE)," ")</f>
        <v xml:space="preserve"> </v>
      </c>
      <c r="AA93" s="85"/>
      <c r="AB93" s="90"/>
      <c r="AC93" s="90"/>
      <c r="AD93" s="90"/>
      <c r="AE93" s="90"/>
      <c r="AF93" s="90"/>
    </row>
    <row r="94" spans="1:32" ht="21.25" customHeight="1" x14ac:dyDescent="0.15">
      <c r="A94" s="24"/>
      <c r="B94" s="93" t="str" cm="1">
        <f t="array" ref="B94">IFERROR(VLOOKUP($A94,'The List'!$B1:$AS671,3,FALSE)," ")</f>
        <v xml:space="preserve"> </v>
      </c>
      <c r="C94" s="95" t="str" cm="1">
        <f t="array" ref="C94">IFERROR(VLOOKUP($A94,'The List'!$B1:$AS671,4,FALSE)," ")</f>
        <v xml:space="preserve"> </v>
      </c>
      <c r="D94" s="18" t="str" cm="1">
        <f t="array" ref="D94">IFERROR(VLOOKUP($A94,'The List'!$B1:$AS671,5,FALSE)," ")</f>
        <v xml:space="preserve"> </v>
      </c>
      <c r="E94" s="18" t="str" cm="1">
        <f t="array" ref="E94">IFERROR(VLOOKUP($A94,'The List'!$B1:$AS671,6,FALSE)," ")</f>
        <v xml:space="preserve"> </v>
      </c>
      <c r="F94" s="92" t="str" cm="1">
        <f t="array" ref="F94">IFERROR(VLOOKUP($A94,'The List'!$B1:$AS671,8,FALSE)," ")</f>
        <v xml:space="preserve"> </v>
      </c>
      <c r="G94" s="92" t="str" cm="1">
        <f t="array" ref="G94">IFERROR(VLOOKUP($A94,'The List'!$B1:$AS671,10,FALSE)," ")</f>
        <v xml:space="preserve"> </v>
      </c>
      <c r="H94" s="55"/>
      <c r="I94" s="84" t="str" cm="1">
        <f t="array" ref="I94">IFERROR(VLOOKUP($A94,'The List'!$B1:$AS671,16,FALSE)," ")</f>
        <v xml:space="preserve"> </v>
      </c>
      <c r="J94" s="84" t="str" cm="1">
        <f t="array" ref="J94">IFERROR(VLOOKUP($A94,'The List'!$B1:$AS671,17,FALSE)," ")</f>
        <v xml:space="preserve"> </v>
      </c>
      <c r="K94" s="84" t="str" cm="1">
        <f t="array" ref="K94">IFERROR(VLOOKUP($A94,'The List'!$B1:$AS671,18,FALSE)," ")</f>
        <v xml:space="preserve"> </v>
      </c>
      <c r="L94" s="84" t="str" cm="1">
        <f t="array" ref="L94">IFERROR(VLOOKUP($A94,'The List'!$B1:$AS671,19,FALSE)," ")</f>
        <v xml:space="preserve"> </v>
      </c>
      <c r="M94" s="84" t="str" cm="1">
        <f t="array" ref="M94">IFERROR(VLOOKUP($A94,'The List'!$B1:$AS671,20,FALSE)," ")</f>
        <v xml:space="preserve"> </v>
      </c>
      <c r="N94" s="84" t="str" cm="1">
        <f t="array" ref="N94">IFERROR(VLOOKUP($A94,'The List'!$B1:$AS671,21,FALSE)," ")</f>
        <v xml:space="preserve"> </v>
      </c>
      <c r="O94" s="84" t="str" cm="1">
        <f t="array" ref="O94">IFERROR(VLOOKUP($A94,'The List'!$B1:$AS671,22,FALSE)," ")</f>
        <v xml:space="preserve"> </v>
      </c>
      <c r="P94" s="84" t="str" cm="1">
        <f t="array" ref="P94">IFERROR(VLOOKUP($A94,'The List'!$B1:$AS671,23,FALSE)," ")</f>
        <v xml:space="preserve"> </v>
      </c>
      <c r="Q94" s="84" t="str" cm="1">
        <f t="array" ref="Q94">IFERROR(VLOOKUP($A94,'The List'!$B1:$AS671,24,FALSE)," ")</f>
        <v xml:space="preserve"> </v>
      </c>
      <c r="R94" s="84" t="str" cm="1">
        <f t="array" ref="R94">IFERROR(VLOOKUP($A94,'The List'!$B1:$AS671,25,FALSE)," ")</f>
        <v xml:space="preserve"> </v>
      </c>
      <c r="S94" s="84" t="str" cm="1">
        <f t="array" ref="S94">IFERROR(VLOOKUP($A94,'The List'!$B1:$AS671,26,FALSE)," ")</f>
        <v xml:space="preserve"> </v>
      </c>
      <c r="T94" s="84" t="str" cm="1">
        <f t="array" ref="T94">IFERROR(VLOOKUP($A94,'The List'!$B1:$AS671,27,FALSE)," ")</f>
        <v xml:space="preserve"> </v>
      </c>
      <c r="U94" s="84" t="str" cm="1">
        <f t="array" ref="U94">IFERROR(VLOOKUP($A94,'The List'!$B1:$AS671,28,FALSE)," ")</f>
        <v xml:space="preserve"> </v>
      </c>
      <c r="V94" s="84" t="str" cm="1">
        <f t="array" ref="V94">IFERROR(VLOOKUP($A94,'The List'!$B1:$AS671,29,FALSE)," ")</f>
        <v xml:space="preserve"> </v>
      </c>
      <c r="W94" s="84" t="str" cm="1">
        <f t="array" ref="W94">IFERROR(VLOOKUP($A94,'The List'!$B1:$AS671,30,FALSE)," ")</f>
        <v xml:space="preserve"> </v>
      </c>
      <c r="X94" s="84" t="str" cm="1">
        <f t="array" ref="X94">IFERROR(VLOOKUP($A94,'The List'!$B1:$AS671,31,FALSE)," ")</f>
        <v xml:space="preserve"> </v>
      </c>
      <c r="Y94" s="84" t="str" cm="1">
        <f t="array" ref="Y94">IFERROR(VLOOKUP($A94,'The List'!$B1:$AS671,32,FALSE)," ")</f>
        <v xml:space="preserve"> </v>
      </c>
      <c r="Z94" s="84" t="str" cm="1">
        <f t="array" ref="Z94">IFERROR(VLOOKUP($A94,'The List'!$B1:$AS671,33,FALSE)," ")</f>
        <v xml:space="preserve"> </v>
      </c>
      <c r="AA94" s="85"/>
      <c r="AB94" s="90"/>
      <c r="AC94" s="90"/>
      <c r="AD94" s="90"/>
      <c r="AE94" s="90"/>
      <c r="AF94" s="90"/>
    </row>
    <row r="95" spans="1:32" ht="21.25" customHeight="1" x14ac:dyDescent="0.15">
      <c r="A95" s="24"/>
      <c r="B95" s="93" t="str" cm="1">
        <f t="array" ref="B95">IFERROR(VLOOKUP($A95,'The List'!$B1:$AS671,3,FALSE)," ")</f>
        <v xml:space="preserve"> </v>
      </c>
      <c r="C95" s="95" t="str" cm="1">
        <f t="array" ref="C95">IFERROR(VLOOKUP($A95,'The List'!$B1:$AS671,4,FALSE)," ")</f>
        <v xml:space="preserve"> </v>
      </c>
      <c r="D95" s="18" t="str" cm="1">
        <f t="array" ref="D95">IFERROR(VLOOKUP($A95,'The List'!$B1:$AS671,5,FALSE)," ")</f>
        <v xml:space="preserve"> </v>
      </c>
      <c r="E95" s="18" t="str" cm="1">
        <f t="array" ref="E95">IFERROR(VLOOKUP($A95,'The List'!$B1:$AS671,6,FALSE)," ")</f>
        <v xml:space="preserve"> </v>
      </c>
      <c r="F95" s="92" t="str" cm="1">
        <f t="array" ref="F95">IFERROR(VLOOKUP($A95,'The List'!$B1:$AS671,8,FALSE)," ")</f>
        <v xml:space="preserve"> </v>
      </c>
      <c r="G95" s="92" t="str" cm="1">
        <f t="array" ref="G95">IFERROR(VLOOKUP($A95,'The List'!$B1:$AS671,10,FALSE)," ")</f>
        <v xml:space="preserve"> </v>
      </c>
      <c r="H95" s="55"/>
      <c r="I95" s="84" t="str" cm="1">
        <f t="array" ref="I95">IFERROR(VLOOKUP($A95,'The List'!$B1:$AS671,16,FALSE)," ")</f>
        <v xml:space="preserve"> </v>
      </c>
      <c r="J95" s="84" t="str" cm="1">
        <f t="array" ref="J95">IFERROR(VLOOKUP($A95,'The List'!$B1:$AS671,17,FALSE)," ")</f>
        <v xml:space="preserve"> </v>
      </c>
      <c r="K95" s="84" t="str" cm="1">
        <f t="array" ref="K95">IFERROR(VLOOKUP($A95,'The List'!$B1:$AS671,18,FALSE)," ")</f>
        <v xml:space="preserve"> </v>
      </c>
      <c r="L95" s="84" t="str" cm="1">
        <f t="array" ref="L95">IFERROR(VLOOKUP($A95,'The List'!$B1:$AS671,19,FALSE)," ")</f>
        <v xml:space="preserve"> </v>
      </c>
      <c r="M95" s="84" t="str" cm="1">
        <f t="array" ref="M95">IFERROR(VLOOKUP($A95,'The List'!$B1:$AS671,20,FALSE)," ")</f>
        <v xml:space="preserve"> </v>
      </c>
      <c r="N95" s="84" t="str" cm="1">
        <f t="array" ref="N95">IFERROR(VLOOKUP($A95,'The List'!$B1:$AS671,21,FALSE)," ")</f>
        <v xml:space="preserve"> </v>
      </c>
      <c r="O95" s="84" t="str" cm="1">
        <f t="array" ref="O95">IFERROR(VLOOKUP($A95,'The List'!$B1:$AS671,22,FALSE)," ")</f>
        <v xml:space="preserve"> </v>
      </c>
      <c r="P95" s="84" t="str" cm="1">
        <f t="array" ref="P95">IFERROR(VLOOKUP($A95,'The List'!$B1:$AS671,23,FALSE)," ")</f>
        <v xml:space="preserve"> </v>
      </c>
      <c r="Q95" s="84" t="str" cm="1">
        <f t="array" ref="Q95">IFERROR(VLOOKUP($A95,'The List'!$B1:$AS671,24,FALSE)," ")</f>
        <v xml:space="preserve"> </v>
      </c>
      <c r="R95" s="84" t="str" cm="1">
        <f t="array" ref="R95">IFERROR(VLOOKUP($A95,'The List'!$B1:$AS671,25,FALSE)," ")</f>
        <v xml:space="preserve"> </v>
      </c>
      <c r="S95" s="84" t="str" cm="1">
        <f t="array" ref="S95">IFERROR(VLOOKUP($A95,'The List'!$B1:$AS671,26,FALSE)," ")</f>
        <v xml:space="preserve"> </v>
      </c>
      <c r="T95" s="84" t="str" cm="1">
        <f t="array" ref="T95">IFERROR(VLOOKUP($A95,'The List'!$B1:$AS671,27,FALSE)," ")</f>
        <v xml:space="preserve"> </v>
      </c>
      <c r="U95" s="84" t="str" cm="1">
        <f t="array" ref="U95">IFERROR(VLOOKUP($A95,'The List'!$B1:$AS671,28,FALSE)," ")</f>
        <v xml:space="preserve"> </v>
      </c>
      <c r="V95" s="84" t="str" cm="1">
        <f t="array" ref="V95">IFERROR(VLOOKUP($A95,'The List'!$B1:$AS671,29,FALSE)," ")</f>
        <v xml:space="preserve"> </v>
      </c>
      <c r="W95" s="84" t="str" cm="1">
        <f t="array" ref="W95">IFERROR(VLOOKUP($A95,'The List'!$B1:$AS671,30,FALSE)," ")</f>
        <v xml:space="preserve"> </v>
      </c>
      <c r="X95" s="84" t="str" cm="1">
        <f t="array" ref="X95">IFERROR(VLOOKUP($A95,'The List'!$B1:$AS671,31,FALSE)," ")</f>
        <v xml:space="preserve"> </v>
      </c>
      <c r="Y95" s="84" t="str" cm="1">
        <f t="array" ref="Y95">IFERROR(VLOOKUP($A95,'The List'!$B1:$AS671,32,FALSE)," ")</f>
        <v xml:space="preserve"> </v>
      </c>
      <c r="Z95" s="84" t="str" cm="1">
        <f t="array" ref="Z95">IFERROR(VLOOKUP($A95,'The List'!$B1:$AS671,33,FALSE)," ")</f>
        <v xml:space="preserve"> </v>
      </c>
      <c r="AA95" s="85"/>
      <c r="AB95" s="90"/>
      <c r="AC95" s="90"/>
      <c r="AD95" s="90"/>
      <c r="AE95" s="90"/>
      <c r="AF95" s="90"/>
    </row>
    <row r="96" spans="1:32" ht="21.25" customHeight="1" x14ac:dyDescent="0.15">
      <c r="A96" s="24"/>
      <c r="B96" s="93" t="str" cm="1">
        <f t="array" ref="B96">IFERROR(VLOOKUP($A96,'The List'!$B1:$AS671,3,FALSE)," ")</f>
        <v xml:space="preserve"> </v>
      </c>
      <c r="C96" s="95" t="str" cm="1">
        <f t="array" ref="C96">IFERROR(VLOOKUP($A96,'The List'!$B1:$AS671,4,FALSE)," ")</f>
        <v xml:space="preserve"> </v>
      </c>
      <c r="D96" s="18" t="str" cm="1">
        <f t="array" ref="D96">IFERROR(VLOOKUP($A96,'The List'!$B1:$AS671,5,FALSE)," ")</f>
        <v xml:space="preserve"> </v>
      </c>
      <c r="E96" s="18" t="str" cm="1">
        <f t="array" ref="E96">IFERROR(VLOOKUP($A96,'The List'!$B1:$AS671,6,FALSE)," ")</f>
        <v xml:space="preserve"> </v>
      </c>
      <c r="F96" s="92" t="str" cm="1">
        <f t="array" ref="F96">IFERROR(VLOOKUP($A96,'The List'!$B1:$AS671,8,FALSE)," ")</f>
        <v xml:space="preserve"> </v>
      </c>
      <c r="G96" s="92" t="str" cm="1">
        <f t="array" ref="G96">IFERROR(VLOOKUP($A96,'The List'!$B1:$AS671,10,FALSE)," ")</f>
        <v xml:space="preserve"> </v>
      </c>
      <c r="H96" s="55"/>
      <c r="I96" s="84" t="str" cm="1">
        <f t="array" ref="I96">IFERROR(VLOOKUP($A96,'The List'!$B1:$AS671,16,FALSE)," ")</f>
        <v xml:space="preserve"> </v>
      </c>
      <c r="J96" s="84" t="str" cm="1">
        <f t="array" ref="J96">IFERROR(VLOOKUP($A96,'The List'!$B1:$AS671,17,FALSE)," ")</f>
        <v xml:space="preserve"> </v>
      </c>
      <c r="K96" s="84" t="str" cm="1">
        <f t="array" ref="K96">IFERROR(VLOOKUP($A96,'The List'!$B1:$AS671,18,FALSE)," ")</f>
        <v xml:space="preserve"> </v>
      </c>
      <c r="L96" s="84" t="str" cm="1">
        <f t="array" ref="L96">IFERROR(VLOOKUP($A96,'The List'!$B1:$AS671,19,FALSE)," ")</f>
        <v xml:space="preserve"> </v>
      </c>
      <c r="M96" s="84" t="str" cm="1">
        <f t="array" ref="M96">IFERROR(VLOOKUP($A96,'The List'!$B1:$AS671,20,FALSE)," ")</f>
        <v xml:space="preserve"> </v>
      </c>
      <c r="N96" s="84" t="str" cm="1">
        <f t="array" ref="N96">IFERROR(VLOOKUP($A96,'The List'!$B1:$AS671,21,FALSE)," ")</f>
        <v xml:space="preserve"> </v>
      </c>
      <c r="O96" s="84" t="str" cm="1">
        <f t="array" ref="O96">IFERROR(VLOOKUP($A96,'The List'!$B1:$AS671,22,FALSE)," ")</f>
        <v xml:space="preserve"> </v>
      </c>
      <c r="P96" s="84" t="str" cm="1">
        <f t="array" ref="P96">IFERROR(VLOOKUP($A96,'The List'!$B1:$AS671,23,FALSE)," ")</f>
        <v xml:space="preserve"> </v>
      </c>
      <c r="Q96" s="84" t="str" cm="1">
        <f t="array" ref="Q96">IFERROR(VLOOKUP($A96,'The List'!$B1:$AS671,24,FALSE)," ")</f>
        <v xml:space="preserve"> </v>
      </c>
      <c r="R96" s="84" t="str" cm="1">
        <f t="array" ref="R96">IFERROR(VLOOKUP($A96,'The List'!$B1:$AS671,25,FALSE)," ")</f>
        <v xml:space="preserve"> </v>
      </c>
      <c r="S96" s="84" t="str" cm="1">
        <f t="array" ref="S96">IFERROR(VLOOKUP($A96,'The List'!$B1:$AS671,26,FALSE)," ")</f>
        <v xml:space="preserve"> </v>
      </c>
      <c r="T96" s="84" t="str" cm="1">
        <f t="array" ref="T96">IFERROR(VLOOKUP($A96,'The List'!$B1:$AS671,27,FALSE)," ")</f>
        <v xml:space="preserve"> </v>
      </c>
      <c r="U96" s="84" t="str" cm="1">
        <f t="array" ref="U96">IFERROR(VLOOKUP($A96,'The List'!$B1:$AS671,28,FALSE)," ")</f>
        <v xml:space="preserve"> </v>
      </c>
      <c r="V96" s="84" t="str" cm="1">
        <f t="array" ref="V96">IFERROR(VLOOKUP($A96,'The List'!$B1:$AS671,29,FALSE)," ")</f>
        <v xml:space="preserve"> </v>
      </c>
      <c r="W96" s="84" t="str" cm="1">
        <f t="array" ref="W96">IFERROR(VLOOKUP($A96,'The List'!$B1:$AS671,30,FALSE)," ")</f>
        <v xml:space="preserve"> </v>
      </c>
      <c r="X96" s="84" t="str" cm="1">
        <f t="array" ref="X96">IFERROR(VLOOKUP($A96,'The List'!$B1:$AS671,31,FALSE)," ")</f>
        <v xml:space="preserve"> </v>
      </c>
      <c r="Y96" s="84" t="str" cm="1">
        <f t="array" ref="Y96">IFERROR(VLOOKUP($A96,'The List'!$B1:$AS671,32,FALSE)," ")</f>
        <v xml:space="preserve"> </v>
      </c>
      <c r="Z96" s="84" t="str" cm="1">
        <f t="array" ref="Z96">IFERROR(VLOOKUP($A96,'The List'!$B1:$AS671,33,FALSE)," ")</f>
        <v xml:space="preserve"> </v>
      </c>
      <c r="AA96" s="85"/>
      <c r="AB96" s="90"/>
      <c r="AC96" s="90"/>
      <c r="AD96" s="90"/>
      <c r="AE96" s="90"/>
      <c r="AF96" s="90"/>
    </row>
    <row r="97" spans="1:32" ht="21.25" customHeight="1" x14ac:dyDescent="0.15">
      <c r="A97" s="24"/>
      <c r="B97" s="96" t="str" cm="1">
        <f t="array" ref="B97">IFERROR(VLOOKUP($A97,'The List'!$B1:$AS671,3,FALSE)," ")</f>
        <v xml:space="preserve"> </v>
      </c>
      <c r="C97" s="98" t="str" cm="1">
        <f t="array" ref="C97">IFERROR(VLOOKUP($A97,'The List'!$B1:$AS671,4,FALSE)," ")</f>
        <v xml:space="preserve"> </v>
      </c>
      <c r="D97" s="18" t="str" cm="1">
        <f t="array" ref="D97">IFERROR(VLOOKUP($A97,'The List'!$B1:$AS671,5,FALSE)," ")</f>
        <v xml:space="preserve"> </v>
      </c>
      <c r="E97" s="18" t="str" cm="1">
        <f t="array" ref="E97">IFERROR(VLOOKUP($A97,'The List'!$B1:$AS671,6,FALSE)," ")</f>
        <v xml:space="preserve"> </v>
      </c>
      <c r="F97" s="92" t="str" cm="1">
        <f t="array" ref="F97">IFERROR(VLOOKUP($A97,'The List'!$B1:$AS671,8,FALSE)," ")</f>
        <v xml:space="preserve"> </v>
      </c>
      <c r="G97" s="92" t="str" cm="1">
        <f t="array" ref="G97">IFERROR(VLOOKUP($A97,'The List'!$B1:$AS671,10,FALSE)," ")</f>
        <v xml:space="preserve"> </v>
      </c>
      <c r="H97" s="55"/>
      <c r="I97" s="84" t="str" cm="1">
        <f t="array" ref="I97">IFERROR(VLOOKUP($A97,'The List'!$B1:$AS671,16,FALSE)," ")</f>
        <v xml:space="preserve"> </v>
      </c>
      <c r="J97" s="84" t="str" cm="1">
        <f t="array" ref="J97">IFERROR(VLOOKUP($A97,'The List'!$B1:$AS671,17,FALSE)," ")</f>
        <v xml:space="preserve"> </v>
      </c>
      <c r="K97" s="84" t="str" cm="1">
        <f t="array" ref="K97">IFERROR(VLOOKUP($A97,'The List'!$B1:$AS671,18,FALSE)," ")</f>
        <v xml:space="preserve"> </v>
      </c>
      <c r="L97" s="84" t="str" cm="1">
        <f t="array" ref="L97">IFERROR(VLOOKUP($A97,'The List'!$B1:$AS671,19,FALSE)," ")</f>
        <v xml:space="preserve"> </v>
      </c>
      <c r="M97" s="84" t="str" cm="1">
        <f t="array" ref="M97">IFERROR(VLOOKUP($A97,'The List'!$B1:$AS671,20,FALSE)," ")</f>
        <v xml:space="preserve"> </v>
      </c>
      <c r="N97" s="84" t="str" cm="1">
        <f t="array" ref="N97">IFERROR(VLOOKUP($A97,'The List'!$B1:$AS671,21,FALSE)," ")</f>
        <v xml:space="preserve"> </v>
      </c>
      <c r="O97" s="84" t="str" cm="1">
        <f t="array" ref="O97">IFERROR(VLOOKUP($A97,'The List'!$B1:$AS671,22,FALSE)," ")</f>
        <v xml:space="preserve"> </v>
      </c>
      <c r="P97" s="84" t="str" cm="1">
        <f t="array" ref="P97">IFERROR(VLOOKUP($A97,'The List'!$B1:$AS671,23,FALSE)," ")</f>
        <v xml:space="preserve"> </v>
      </c>
      <c r="Q97" s="84" t="str" cm="1">
        <f t="array" ref="Q97">IFERROR(VLOOKUP($A97,'The List'!$B1:$AS671,24,FALSE)," ")</f>
        <v xml:space="preserve"> </v>
      </c>
      <c r="R97" s="84" t="str" cm="1">
        <f t="array" ref="R97">IFERROR(VLOOKUP($A97,'The List'!$B1:$AS671,25,FALSE)," ")</f>
        <v xml:space="preserve"> </v>
      </c>
      <c r="S97" s="84" t="str" cm="1">
        <f t="array" ref="S97">IFERROR(VLOOKUP($A97,'The List'!$B1:$AS671,26,FALSE)," ")</f>
        <v xml:space="preserve"> </v>
      </c>
      <c r="T97" s="84" t="str" cm="1">
        <f t="array" ref="T97">IFERROR(VLOOKUP($A97,'The List'!$B1:$AS671,27,FALSE)," ")</f>
        <v xml:space="preserve"> </v>
      </c>
      <c r="U97" s="84" t="str" cm="1">
        <f t="array" ref="U97">IFERROR(VLOOKUP($A97,'The List'!$B1:$AS671,28,FALSE)," ")</f>
        <v xml:space="preserve"> </v>
      </c>
      <c r="V97" s="84" t="str" cm="1">
        <f t="array" ref="V97">IFERROR(VLOOKUP($A97,'The List'!$B1:$AS671,29,FALSE)," ")</f>
        <v xml:space="preserve"> </v>
      </c>
      <c r="W97" s="84" t="str" cm="1">
        <f t="array" ref="W97">IFERROR(VLOOKUP($A97,'The List'!$B1:$AS671,30,FALSE)," ")</f>
        <v xml:space="preserve"> </v>
      </c>
      <c r="X97" s="84" t="str" cm="1">
        <f t="array" ref="X97">IFERROR(VLOOKUP($A97,'The List'!$B1:$AS671,31,FALSE)," ")</f>
        <v xml:space="preserve"> </v>
      </c>
      <c r="Y97" s="84" t="str" cm="1">
        <f t="array" ref="Y97">IFERROR(VLOOKUP($A97,'The List'!$B1:$AS671,32,FALSE)," ")</f>
        <v xml:space="preserve"> </v>
      </c>
      <c r="Z97" s="84" t="str" cm="1">
        <f t="array" ref="Z97">IFERROR(VLOOKUP($A97,'The List'!$B1:$AS671,33,FALSE)," ")</f>
        <v xml:space="preserve"> </v>
      </c>
      <c r="AA97" s="85"/>
      <c r="AB97" s="90"/>
      <c r="AC97" s="90"/>
      <c r="AD97" s="90"/>
      <c r="AE97" s="90"/>
      <c r="AF97" s="90"/>
    </row>
    <row r="98" spans="1:32" ht="21.25" customHeight="1" x14ac:dyDescent="0.15">
      <c r="A98" s="24"/>
      <c r="B98" s="96" t="str" cm="1">
        <f t="array" ref="B98">IFERROR(VLOOKUP($A98,'The List'!$B1:$AS671,3,FALSE)," ")</f>
        <v xml:space="preserve"> </v>
      </c>
      <c r="C98" s="98" t="str" cm="1">
        <f t="array" ref="C98">IFERROR(VLOOKUP($A98,'The List'!$B1:$AS671,4,FALSE)," ")</f>
        <v xml:space="preserve"> </v>
      </c>
      <c r="D98" s="18" t="str" cm="1">
        <f t="array" ref="D98">IFERROR(VLOOKUP($A98,'The List'!$B1:$AS671,5,FALSE)," ")</f>
        <v xml:space="preserve"> </v>
      </c>
      <c r="E98" s="18" t="str" cm="1">
        <f t="array" ref="E98">IFERROR(VLOOKUP($A98,'The List'!$B1:$AS671,6,FALSE)," ")</f>
        <v xml:space="preserve"> </v>
      </c>
      <c r="F98" s="92" t="str" cm="1">
        <f t="array" ref="F98">IFERROR(VLOOKUP($A98,'The List'!$B1:$AS671,8,FALSE)," ")</f>
        <v xml:space="preserve"> </v>
      </c>
      <c r="G98" s="92" t="str" cm="1">
        <f t="array" ref="G98">IFERROR(VLOOKUP($A98,'The List'!$B1:$AS671,10,FALSE)," ")</f>
        <v xml:space="preserve"> </v>
      </c>
      <c r="H98" s="55"/>
      <c r="I98" s="84" t="str" cm="1">
        <f t="array" ref="I98">IFERROR(VLOOKUP($A98,'The List'!$B1:$AS671,16,FALSE)," ")</f>
        <v xml:space="preserve"> </v>
      </c>
      <c r="J98" s="84" t="str" cm="1">
        <f t="array" ref="J98">IFERROR(VLOOKUP($A98,'The List'!$B1:$AS671,17,FALSE)," ")</f>
        <v xml:space="preserve"> </v>
      </c>
      <c r="K98" s="84" t="str" cm="1">
        <f t="array" ref="K98">IFERROR(VLOOKUP($A98,'The List'!$B1:$AS671,18,FALSE)," ")</f>
        <v xml:space="preserve"> </v>
      </c>
      <c r="L98" s="84" t="str" cm="1">
        <f t="array" ref="L98">IFERROR(VLOOKUP($A98,'The List'!$B1:$AS671,19,FALSE)," ")</f>
        <v xml:space="preserve"> </v>
      </c>
      <c r="M98" s="84" t="str" cm="1">
        <f t="array" ref="M98">IFERROR(VLOOKUP($A98,'The List'!$B1:$AS671,20,FALSE)," ")</f>
        <v xml:space="preserve"> </v>
      </c>
      <c r="N98" s="84" t="str" cm="1">
        <f t="array" ref="N98">IFERROR(VLOOKUP($A98,'The List'!$B1:$AS671,21,FALSE)," ")</f>
        <v xml:space="preserve"> </v>
      </c>
      <c r="O98" s="84" t="str" cm="1">
        <f t="array" ref="O98">IFERROR(VLOOKUP($A98,'The List'!$B1:$AS671,22,FALSE)," ")</f>
        <v xml:space="preserve"> </v>
      </c>
      <c r="P98" s="84" t="str" cm="1">
        <f t="array" ref="P98">IFERROR(VLOOKUP($A98,'The List'!$B1:$AS671,23,FALSE)," ")</f>
        <v xml:space="preserve"> </v>
      </c>
      <c r="Q98" s="84" t="str" cm="1">
        <f t="array" ref="Q98">IFERROR(VLOOKUP($A98,'The List'!$B1:$AS671,24,FALSE)," ")</f>
        <v xml:space="preserve"> </v>
      </c>
      <c r="R98" s="84" t="str" cm="1">
        <f t="array" ref="R98">IFERROR(VLOOKUP($A98,'The List'!$B1:$AS671,25,FALSE)," ")</f>
        <v xml:space="preserve"> </v>
      </c>
      <c r="S98" s="84" t="str" cm="1">
        <f t="array" ref="S98">IFERROR(VLOOKUP($A98,'The List'!$B1:$AS671,26,FALSE)," ")</f>
        <v xml:space="preserve"> </v>
      </c>
      <c r="T98" s="84" t="str" cm="1">
        <f t="array" ref="T98">IFERROR(VLOOKUP($A98,'The List'!$B1:$AS671,27,FALSE)," ")</f>
        <v xml:space="preserve"> </v>
      </c>
      <c r="U98" s="84" t="str" cm="1">
        <f t="array" ref="U98">IFERROR(VLOOKUP($A98,'The List'!$B1:$AS671,28,FALSE)," ")</f>
        <v xml:space="preserve"> </v>
      </c>
      <c r="V98" s="84" t="str" cm="1">
        <f t="array" ref="V98">IFERROR(VLOOKUP($A98,'The List'!$B1:$AS671,29,FALSE)," ")</f>
        <v xml:space="preserve"> </v>
      </c>
      <c r="W98" s="84" t="str" cm="1">
        <f t="array" ref="W98">IFERROR(VLOOKUP($A98,'The List'!$B1:$AS671,30,FALSE)," ")</f>
        <v xml:space="preserve"> </v>
      </c>
      <c r="X98" s="84" t="str" cm="1">
        <f t="array" ref="X98">IFERROR(VLOOKUP($A98,'The List'!$B1:$AS671,31,FALSE)," ")</f>
        <v xml:space="preserve"> </v>
      </c>
      <c r="Y98" s="84" t="str" cm="1">
        <f t="array" ref="Y98">IFERROR(VLOOKUP($A98,'The List'!$B1:$AS671,32,FALSE)," ")</f>
        <v xml:space="preserve"> </v>
      </c>
      <c r="Z98" s="84" t="str" cm="1">
        <f t="array" ref="Z98">IFERROR(VLOOKUP($A98,'The List'!$B1:$AS671,33,FALSE)," ")</f>
        <v xml:space="preserve"> </v>
      </c>
      <c r="AA98" s="85"/>
      <c r="AB98" s="90"/>
      <c r="AC98" s="90"/>
      <c r="AD98" s="90"/>
      <c r="AE98" s="90"/>
      <c r="AF98" s="90"/>
    </row>
    <row r="99" spans="1:32" ht="21.25" customHeight="1" x14ac:dyDescent="0.15">
      <c r="A99" s="24"/>
      <c r="B99" s="96" t="str" cm="1">
        <f t="array" ref="B99">IFERROR(VLOOKUP($A99,'The List'!$B1:$AS671,3,FALSE)," ")</f>
        <v xml:space="preserve"> </v>
      </c>
      <c r="C99" s="98" t="str" cm="1">
        <f t="array" ref="C99">IFERROR(VLOOKUP($A99,'The List'!$B1:$AS671,4,FALSE)," ")</f>
        <v xml:space="preserve"> </v>
      </c>
      <c r="D99" s="18" t="str" cm="1">
        <f t="array" ref="D99">IFERROR(VLOOKUP($A99,'The List'!$B1:$AS671,5,FALSE)," ")</f>
        <v xml:space="preserve"> </v>
      </c>
      <c r="E99" s="18" t="str" cm="1">
        <f t="array" ref="E99">IFERROR(VLOOKUP($A99,'The List'!$B1:$AS671,6,FALSE)," ")</f>
        <v xml:space="preserve"> </v>
      </c>
      <c r="F99" s="92" t="str" cm="1">
        <f t="array" ref="F99">IFERROR(VLOOKUP($A99,'The List'!$B1:$AS671,8,FALSE)," ")</f>
        <v xml:space="preserve"> </v>
      </c>
      <c r="G99" s="92" t="str" cm="1">
        <f t="array" ref="G99">IFERROR(VLOOKUP($A99,'The List'!$B1:$AS671,10,FALSE)," ")</f>
        <v xml:space="preserve"> </v>
      </c>
      <c r="H99" s="55"/>
      <c r="I99" s="84" t="str" cm="1">
        <f t="array" ref="I99">IFERROR(VLOOKUP($A99,'The List'!$B1:$AS671,16,FALSE)," ")</f>
        <v xml:space="preserve"> </v>
      </c>
      <c r="J99" s="84" t="str" cm="1">
        <f t="array" ref="J99">IFERROR(VLOOKUP($A99,'The List'!$B1:$AS671,17,FALSE)," ")</f>
        <v xml:space="preserve"> </v>
      </c>
      <c r="K99" s="84" t="str" cm="1">
        <f t="array" ref="K99">IFERROR(VLOOKUP($A99,'The List'!$B1:$AS671,18,FALSE)," ")</f>
        <v xml:space="preserve"> </v>
      </c>
      <c r="L99" s="84" t="str" cm="1">
        <f t="array" ref="L99">IFERROR(VLOOKUP($A99,'The List'!$B1:$AS671,19,FALSE)," ")</f>
        <v xml:space="preserve"> </v>
      </c>
      <c r="M99" s="84" t="str" cm="1">
        <f t="array" ref="M99">IFERROR(VLOOKUP($A99,'The List'!$B1:$AS671,20,FALSE)," ")</f>
        <v xml:space="preserve"> </v>
      </c>
      <c r="N99" s="84" t="str" cm="1">
        <f t="array" ref="N99">IFERROR(VLOOKUP($A99,'The List'!$B1:$AS671,21,FALSE)," ")</f>
        <v xml:space="preserve"> </v>
      </c>
      <c r="O99" s="84" t="str" cm="1">
        <f t="array" ref="O99">IFERROR(VLOOKUP($A99,'The List'!$B1:$AS671,22,FALSE)," ")</f>
        <v xml:space="preserve"> </v>
      </c>
      <c r="P99" s="84" t="str" cm="1">
        <f t="array" ref="P99">IFERROR(VLOOKUP($A99,'The List'!$B1:$AS671,23,FALSE)," ")</f>
        <v xml:space="preserve"> </v>
      </c>
      <c r="Q99" s="84" t="str" cm="1">
        <f t="array" ref="Q99">IFERROR(VLOOKUP($A99,'The List'!$B1:$AS671,24,FALSE)," ")</f>
        <v xml:space="preserve"> </v>
      </c>
      <c r="R99" s="84" t="str" cm="1">
        <f t="array" ref="R99">IFERROR(VLOOKUP($A99,'The List'!$B1:$AS671,25,FALSE)," ")</f>
        <v xml:space="preserve"> </v>
      </c>
      <c r="S99" s="84" t="str" cm="1">
        <f t="array" ref="S99">IFERROR(VLOOKUP($A99,'The List'!$B1:$AS671,26,FALSE)," ")</f>
        <v xml:space="preserve"> </v>
      </c>
      <c r="T99" s="84" t="str" cm="1">
        <f t="array" ref="T99">IFERROR(VLOOKUP($A99,'The List'!$B1:$AS671,27,FALSE)," ")</f>
        <v xml:space="preserve"> </v>
      </c>
      <c r="U99" s="84" t="str" cm="1">
        <f t="array" ref="U99">IFERROR(VLOOKUP($A99,'The List'!$B1:$AS671,28,FALSE)," ")</f>
        <v xml:space="preserve"> </v>
      </c>
      <c r="V99" s="84" t="str" cm="1">
        <f t="array" ref="V99">IFERROR(VLOOKUP($A99,'The List'!$B1:$AS671,29,FALSE)," ")</f>
        <v xml:space="preserve"> </v>
      </c>
      <c r="W99" s="84" t="str" cm="1">
        <f t="array" ref="W99">IFERROR(VLOOKUP($A99,'The List'!$B1:$AS671,30,FALSE)," ")</f>
        <v xml:space="preserve"> </v>
      </c>
      <c r="X99" s="84" t="str" cm="1">
        <f t="array" ref="X99">IFERROR(VLOOKUP($A99,'The List'!$B1:$AS671,31,FALSE)," ")</f>
        <v xml:space="preserve"> </v>
      </c>
      <c r="Y99" s="84" t="str" cm="1">
        <f t="array" ref="Y99">IFERROR(VLOOKUP($A99,'The List'!$B1:$AS671,32,FALSE)," ")</f>
        <v xml:space="preserve"> </v>
      </c>
      <c r="Z99" s="84" t="str" cm="1">
        <f t="array" ref="Z99">IFERROR(VLOOKUP($A99,'The List'!$B1:$AS671,33,FALSE)," ")</f>
        <v xml:space="preserve"> </v>
      </c>
      <c r="AA99" s="85"/>
      <c r="AB99" s="90"/>
      <c r="AC99" s="90"/>
      <c r="AD99" s="90"/>
      <c r="AE99" s="90"/>
      <c r="AF99" s="90"/>
    </row>
    <row r="100" spans="1:32" ht="21.25" customHeight="1" x14ac:dyDescent="0.15">
      <c r="A100" s="24"/>
      <c r="B100" s="96" t="str" cm="1">
        <f t="array" ref="B100">IFERROR(VLOOKUP($A100,'The List'!$B1:$AS671,3,FALSE)," ")</f>
        <v xml:space="preserve"> </v>
      </c>
      <c r="C100" s="98" t="str" cm="1">
        <f t="array" ref="C100">IFERROR(VLOOKUP($A100,'The List'!$B1:$AS671,4,FALSE)," ")</f>
        <v xml:space="preserve"> </v>
      </c>
      <c r="D100" s="18" t="str" cm="1">
        <f t="array" ref="D100">IFERROR(VLOOKUP($A100,'The List'!$B1:$AS671,5,FALSE)," ")</f>
        <v xml:space="preserve"> </v>
      </c>
      <c r="E100" s="18" t="str" cm="1">
        <f t="array" ref="E100">IFERROR(VLOOKUP($A100,'The List'!$B1:$AS671,6,FALSE)," ")</f>
        <v xml:space="preserve"> </v>
      </c>
      <c r="F100" s="92" t="str" cm="1">
        <f t="array" ref="F100">IFERROR(VLOOKUP($A100,'The List'!$B1:$AS671,8,FALSE)," ")</f>
        <v xml:space="preserve"> </v>
      </c>
      <c r="G100" s="92" t="str" cm="1">
        <f t="array" ref="G100">IFERROR(VLOOKUP($A100,'The List'!$B1:$AS671,10,FALSE)," ")</f>
        <v xml:space="preserve"> </v>
      </c>
      <c r="H100" s="55"/>
      <c r="I100" s="84" t="str" cm="1">
        <f t="array" ref="I100">IFERROR(VLOOKUP($A100,'The List'!$B1:$AS671,16,FALSE)," ")</f>
        <v xml:space="preserve"> </v>
      </c>
      <c r="J100" s="84" t="str" cm="1">
        <f t="array" ref="J100">IFERROR(VLOOKUP($A100,'The List'!$B1:$AS671,17,FALSE)," ")</f>
        <v xml:space="preserve"> </v>
      </c>
      <c r="K100" s="84" t="str" cm="1">
        <f t="array" ref="K100">IFERROR(VLOOKUP($A100,'The List'!$B1:$AS671,18,FALSE)," ")</f>
        <v xml:space="preserve"> </v>
      </c>
      <c r="L100" s="84" t="str" cm="1">
        <f t="array" ref="L100">IFERROR(VLOOKUP($A100,'The List'!$B1:$AS671,19,FALSE)," ")</f>
        <v xml:space="preserve"> </v>
      </c>
      <c r="M100" s="84" t="str" cm="1">
        <f t="array" ref="M100">IFERROR(VLOOKUP($A100,'The List'!$B1:$AS671,20,FALSE)," ")</f>
        <v xml:space="preserve"> </v>
      </c>
      <c r="N100" s="84" t="str" cm="1">
        <f t="array" ref="N100">IFERROR(VLOOKUP($A100,'The List'!$B1:$AS671,21,FALSE)," ")</f>
        <v xml:space="preserve"> </v>
      </c>
      <c r="O100" s="84" t="str" cm="1">
        <f t="array" ref="O100">IFERROR(VLOOKUP($A100,'The List'!$B1:$AS671,22,FALSE)," ")</f>
        <v xml:space="preserve"> </v>
      </c>
      <c r="P100" s="84" t="str" cm="1">
        <f t="array" ref="P100">IFERROR(VLOOKUP($A100,'The List'!$B1:$AS671,23,FALSE)," ")</f>
        <v xml:space="preserve"> </v>
      </c>
      <c r="Q100" s="84" t="str" cm="1">
        <f t="array" ref="Q100">IFERROR(VLOOKUP($A100,'The List'!$B1:$AS671,24,FALSE)," ")</f>
        <v xml:space="preserve"> </v>
      </c>
      <c r="R100" s="84" t="str" cm="1">
        <f t="array" ref="R100">IFERROR(VLOOKUP($A100,'The List'!$B1:$AS671,25,FALSE)," ")</f>
        <v xml:space="preserve"> </v>
      </c>
      <c r="S100" s="84" t="str" cm="1">
        <f t="array" ref="S100">IFERROR(VLOOKUP($A100,'The List'!$B1:$AS671,26,FALSE)," ")</f>
        <v xml:space="preserve"> </v>
      </c>
      <c r="T100" s="84" t="str" cm="1">
        <f t="array" ref="T100">IFERROR(VLOOKUP($A100,'The List'!$B1:$AS671,27,FALSE)," ")</f>
        <v xml:space="preserve"> </v>
      </c>
      <c r="U100" s="84" t="str" cm="1">
        <f t="array" ref="U100">IFERROR(VLOOKUP($A100,'The List'!$B1:$AS671,28,FALSE)," ")</f>
        <v xml:space="preserve"> </v>
      </c>
      <c r="V100" s="84" t="str" cm="1">
        <f t="array" ref="V100">IFERROR(VLOOKUP($A100,'The List'!$B1:$AS671,29,FALSE)," ")</f>
        <v xml:space="preserve"> </v>
      </c>
      <c r="W100" s="84" t="str" cm="1">
        <f t="array" ref="W100">IFERROR(VLOOKUP($A100,'The List'!$B1:$AS671,30,FALSE)," ")</f>
        <v xml:space="preserve"> </v>
      </c>
      <c r="X100" s="84" t="str" cm="1">
        <f t="array" ref="X100">IFERROR(VLOOKUP($A100,'The List'!$B1:$AS671,31,FALSE)," ")</f>
        <v xml:space="preserve"> </v>
      </c>
      <c r="Y100" s="84" t="str" cm="1">
        <f t="array" ref="Y100">IFERROR(VLOOKUP($A100,'The List'!$B1:$AS671,32,FALSE)," ")</f>
        <v xml:space="preserve"> </v>
      </c>
      <c r="Z100" s="84" t="str" cm="1">
        <f t="array" ref="Z100">IFERROR(VLOOKUP($A100,'The List'!$B1:$AS671,33,FALSE)," ")</f>
        <v xml:space="preserve"> </v>
      </c>
      <c r="AA100" s="85"/>
      <c r="AB100" s="90"/>
      <c r="AC100" s="90"/>
      <c r="AD100" s="90"/>
      <c r="AE100" s="90"/>
      <c r="AF100" s="90"/>
    </row>
    <row r="101" spans="1:32" ht="21.25" customHeight="1" x14ac:dyDescent="0.15">
      <c r="A101" s="24"/>
      <c r="B101" s="99" t="str" cm="1">
        <f t="array" ref="B101">IFERROR(VLOOKUP($A101,'The List'!$B1:$AS671,3,FALSE)," ")</f>
        <v xml:space="preserve"> </v>
      </c>
      <c r="C101" s="101" t="str" cm="1">
        <f t="array" ref="C101">IFERROR(VLOOKUP($A101,'The List'!$B1:$AS671,4,FALSE)," ")</f>
        <v xml:space="preserve"> </v>
      </c>
      <c r="D101" s="18" t="str" cm="1">
        <f t="array" ref="D101">IFERROR(VLOOKUP($A101,'The List'!$B1:$AS671,5,FALSE)," ")</f>
        <v xml:space="preserve"> </v>
      </c>
      <c r="E101" s="18" t="str" cm="1">
        <f t="array" ref="E101">IFERROR(VLOOKUP($A101,'The List'!$B1:$AS671,6,FALSE)," ")</f>
        <v xml:space="preserve"> </v>
      </c>
      <c r="F101" s="92" t="str" cm="1">
        <f t="array" ref="F101">IFERROR(VLOOKUP($A101,'The List'!$B1:$AS671,8,FALSE)," ")</f>
        <v xml:space="preserve"> </v>
      </c>
      <c r="G101" s="92" t="str" cm="1">
        <f t="array" ref="G101">IFERROR(VLOOKUP($A101,'The List'!$B1:$AS671,10,FALSE)," ")</f>
        <v xml:space="preserve"> </v>
      </c>
      <c r="H101" s="55"/>
      <c r="I101" s="84" t="str" cm="1">
        <f t="array" ref="I101">IFERROR(VLOOKUP($A101,'The List'!$B1:$AS671,16,FALSE)," ")</f>
        <v xml:space="preserve"> </v>
      </c>
      <c r="J101" s="84" t="str" cm="1">
        <f t="array" ref="J101">IFERROR(VLOOKUP($A101,'The List'!$B1:$AS671,17,FALSE)," ")</f>
        <v xml:space="preserve"> </v>
      </c>
      <c r="K101" s="84" t="str" cm="1">
        <f t="array" ref="K101">IFERROR(VLOOKUP($A101,'The List'!$B1:$AS671,18,FALSE)," ")</f>
        <v xml:space="preserve"> </v>
      </c>
      <c r="L101" s="84" t="str" cm="1">
        <f t="array" ref="L101">IFERROR(VLOOKUP($A101,'The List'!$B1:$AS671,19,FALSE)," ")</f>
        <v xml:space="preserve"> </v>
      </c>
      <c r="M101" s="84" t="str" cm="1">
        <f t="array" ref="M101">IFERROR(VLOOKUP($A101,'The List'!$B1:$AS671,20,FALSE)," ")</f>
        <v xml:space="preserve"> </v>
      </c>
      <c r="N101" s="84" t="str" cm="1">
        <f t="array" ref="N101">IFERROR(VLOOKUP($A101,'The List'!$B1:$AS671,21,FALSE)," ")</f>
        <v xml:space="preserve"> </v>
      </c>
      <c r="O101" s="84" t="str" cm="1">
        <f t="array" ref="O101">IFERROR(VLOOKUP($A101,'The List'!$B1:$AS671,22,FALSE)," ")</f>
        <v xml:space="preserve"> </v>
      </c>
      <c r="P101" s="84" t="str" cm="1">
        <f t="array" ref="P101">IFERROR(VLOOKUP($A101,'The List'!$B1:$AS671,23,FALSE)," ")</f>
        <v xml:space="preserve"> </v>
      </c>
      <c r="Q101" s="84" t="str" cm="1">
        <f t="array" ref="Q101">IFERROR(VLOOKUP($A101,'The List'!$B1:$AS671,24,FALSE)," ")</f>
        <v xml:space="preserve"> </v>
      </c>
      <c r="R101" s="84" t="str" cm="1">
        <f t="array" ref="R101">IFERROR(VLOOKUP($A101,'The List'!$B1:$AS671,25,FALSE)," ")</f>
        <v xml:space="preserve"> </v>
      </c>
      <c r="S101" s="84" t="str" cm="1">
        <f t="array" ref="S101">IFERROR(VLOOKUP($A101,'The List'!$B1:$AS671,26,FALSE)," ")</f>
        <v xml:space="preserve"> </v>
      </c>
      <c r="T101" s="84" t="str" cm="1">
        <f t="array" ref="T101">IFERROR(VLOOKUP($A101,'The List'!$B1:$AS671,27,FALSE)," ")</f>
        <v xml:space="preserve"> </v>
      </c>
      <c r="U101" s="84" t="str" cm="1">
        <f t="array" ref="U101">IFERROR(VLOOKUP($A101,'The List'!$B1:$AS671,28,FALSE)," ")</f>
        <v xml:space="preserve"> </v>
      </c>
      <c r="V101" s="84" t="str" cm="1">
        <f t="array" ref="V101">IFERROR(VLOOKUP($A101,'The List'!$B1:$AS671,29,FALSE)," ")</f>
        <v xml:space="preserve"> </v>
      </c>
      <c r="W101" s="84" t="str" cm="1">
        <f t="array" ref="W101">IFERROR(VLOOKUP($A101,'The List'!$B1:$AS671,30,FALSE)," ")</f>
        <v xml:space="preserve"> </v>
      </c>
      <c r="X101" s="84" t="str" cm="1">
        <f t="array" ref="X101">IFERROR(VLOOKUP($A101,'The List'!$B1:$AS671,31,FALSE)," ")</f>
        <v xml:space="preserve"> </v>
      </c>
      <c r="Y101" s="84" t="str" cm="1">
        <f t="array" ref="Y101">IFERROR(VLOOKUP($A101,'The List'!$B1:$AS671,32,FALSE)," ")</f>
        <v xml:space="preserve"> </v>
      </c>
      <c r="Z101" s="84" t="str" cm="1">
        <f t="array" ref="Z101">IFERROR(VLOOKUP($A101,'The List'!$B1:$AS671,33,FALSE)," ")</f>
        <v xml:space="preserve"> </v>
      </c>
      <c r="AA101" s="85"/>
      <c r="AB101" s="90"/>
      <c r="AC101" s="90"/>
      <c r="AD101" s="90"/>
      <c r="AE101" s="90"/>
      <c r="AF101" s="90"/>
    </row>
    <row r="102" spans="1:32" ht="21.25" customHeight="1" x14ac:dyDescent="0.15">
      <c r="A102" s="24"/>
      <c r="B102" s="99" t="str" cm="1">
        <f t="array" ref="B102">IFERROR(VLOOKUP($A102,'The List'!$B1:$AS671,3,FALSE)," ")</f>
        <v xml:space="preserve"> </v>
      </c>
      <c r="C102" s="101" t="str" cm="1">
        <f t="array" ref="C102">IFERROR(VLOOKUP($A102,'The List'!$B1:$AS671,4,FALSE)," ")</f>
        <v xml:space="preserve"> </v>
      </c>
      <c r="D102" s="18" t="str" cm="1">
        <f t="array" ref="D102">IFERROR(VLOOKUP($A102,'The List'!$B1:$AS671,5,FALSE)," ")</f>
        <v xml:space="preserve"> </v>
      </c>
      <c r="E102" s="18" t="str" cm="1">
        <f t="array" ref="E102">IFERROR(VLOOKUP($A102,'The List'!$B1:$AS671,6,FALSE)," ")</f>
        <v xml:space="preserve"> </v>
      </c>
      <c r="F102" s="92" t="str" cm="1">
        <f t="array" ref="F102">IFERROR(VLOOKUP($A102,'The List'!$B1:$AS671,8,FALSE)," ")</f>
        <v xml:space="preserve"> </v>
      </c>
      <c r="G102" s="92" t="str" cm="1">
        <f t="array" ref="G102">IFERROR(VLOOKUP($A102,'The List'!$B1:$AS671,10,FALSE)," ")</f>
        <v xml:space="preserve"> </v>
      </c>
      <c r="H102" s="55"/>
      <c r="I102" s="84" t="str" cm="1">
        <f t="array" ref="I102">IFERROR(VLOOKUP($A102,'The List'!$B1:$AS671,16,FALSE)," ")</f>
        <v xml:space="preserve"> </v>
      </c>
      <c r="J102" s="84" t="str" cm="1">
        <f t="array" ref="J102">IFERROR(VLOOKUP($A102,'The List'!$B1:$AS671,17,FALSE)," ")</f>
        <v xml:space="preserve"> </v>
      </c>
      <c r="K102" s="84" t="str" cm="1">
        <f t="array" ref="K102">IFERROR(VLOOKUP($A102,'The List'!$B1:$AS671,18,FALSE)," ")</f>
        <v xml:space="preserve"> </v>
      </c>
      <c r="L102" s="84" t="str" cm="1">
        <f t="array" ref="L102">IFERROR(VLOOKUP($A102,'The List'!$B1:$AS671,19,FALSE)," ")</f>
        <v xml:space="preserve"> </v>
      </c>
      <c r="M102" s="84" t="str" cm="1">
        <f t="array" ref="M102">IFERROR(VLOOKUP($A102,'The List'!$B1:$AS671,20,FALSE)," ")</f>
        <v xml:space="preserve"> </v>
      </c>
      <c r="N102" s="84" t="str" cm="1">
        <f t="array" ref="N102">IFERROR(VLOOKUP($A102,'The List'!$B1:$AS671,21,FALSE)," ")</f>
        <v xml:space="preserve"> </v>
      </c>
      <c r="O102" s="84" t="str" cm="1">
        <f t="array" ref="O102">IFERROR(VLOOKUP($A102,'The List'!$B1:$AS671,22,FALSE)," ")</f>
        <v xml:space="preserve"> </v>
      </c>
      <c r="P102" s="84" t="str" cm="1">
        <f t="array" ref="P102">IFERROR(VLOOKUP($A102,'The List'!$B1:$AS671,23,FALSE)," ")</f>
        <v xml:space="preserve"> </v>
      </c>
      <c r="Q102" s="84" t="str" cm="1">
        <f t="array" ref="Q102">IFERROR(VLOOKUP($A102,'The List'!$B1:$AS671,24,FALSE)," ")</f>
        <v xml:space="preserve"> </v>
      </c>
      <c r="R102" s="84" t="str" cm="1">
        <f t="array" ref="R102">IFERROR(VLOOKUP($A102,'The List'!$B1:$AS671,25,FALSE)," ")</f>
        <v xml:space="preserve"> </v>
      </c>
      <c r="S102" s="84" t="str" cm="1">
        <f t="array" ref="S102">IFERROR(VLOOKUP($A102,'The List'!$B1:$AS671,26,FALSE)," ")</f>
        <v xml:space="preserve"> </v>
      </c>
      <c r="T102" s="84" t="str" cm="1">
        <f t="array" ref="T102">IFERROR(VLOOKUP($A102,'The List'!$B1:$AS671,27,FALSE)," ")</f>
        <v xml:space="preserve"> </v>
      </c>
      <c r="U102" s="84" t="str" cm="1">
        <f t="array" ref="U102">IFERROR(VLOOKUP($A102,'The List'!$B1:$AS671,28,FALSE)," ")</f>
        <v xml:space="preserve"> </v>
      </c>
      <c r="V102" s="84" t="str" cm="1">
        <f t="array" ref="V102">IFERROR(VLOOKUP($A102,'The List'!$B1:$AS671,29,FALSE)," ")</f>
        <v xml:space="preserve"> </v>
      </c>
      <c r="W102" s="84" t="str" cm="1">
        <f t="array" ref="W102">IFERROR(VLOOKUP($A102,'The List'!$B1:$AS671,30,FALSE)," ")</f>
        <v xml:space="preserve"> </v>
      </c>
      <c r="X102" s="84" t="str" cm="1">
        <f t="array" ref="X102">IFERROR(VLOOKUP($A102,'The List'!$B1:$AS671,31,FALSE)," ")</f>
        <v xml:space="preserve"> </v>
      </c>
      <c r="Y102" s="84" t="str" cm="1">
        <f t="array" ref="Y102">IFERROR(VLOOKUP($A102,'The List'!$B1:$AS671,32,FALSE)," ")</f>
        <v xml:space="preserve"> </v>
      </c>
      <c r="Z102" s="84" t="str" cm="1">
        <f t="array" ref="Z102">IFERROR(VLOOKUP($A102,'The List'!$B1:$AS671,33,FALSE)," ")</f>
        <v xml:space="preserve"> </v>
      </c>
      <c r="AA102" s="85"/>
      <c r="AB102" s="90"/>
      <c r="AC102" s="90"/>
      <c r="AD102" s="90"/>
      <c r="AE102" s="90"/>
      <c r="AF102" s="90"/>
    </row>
    <row r="103" spans="1:32" ht="21.25" customHeight="1" x14ac:dyDescent="0.15">
      <c r="A103" s="24"/>
      <c r="B103" s="99" t="str" cm="1">
        <f t="array" ref="B103">IFERROR(VLOOKUP($A103,'The List'!$B1:$AS671,3,FALSE)," ")</f>
        <v xml:space="preserve"> </v>
      </c>
      <c r="C103" s="101" t="str" cm="1">
        <f t="array" ref="C103">IFERROR(VLOOKUP($A103,'The List'!$B1:$AS671,4,FALSE)," ")</f>
        <v xml:space="preserve"> </v>
      </c>
      <c r="D103" s="18" t="str" cm="1">
        <f t="array" ref="D103">IFERROR(VLOOKUP($A103,'The List'!$B1:$AS671,5,FALSE)," ")</f>
        <v xml:space="preserve"> </v>
      </c>
      <c r="E103" s="18" t="str" cm="1">
        <f t="array" ref="E103">IFERROR(VLOOKUP($A103,'The List'!$B1:$AS671,6,FALSE)," ")</f>
        <v xml:space="preserve"> </v>
      </c>
      <c r="F103" s="92" t="str" cm="1">
        <f t="array" ref="F103">IFERROR(VLOOKUP($A103,'The List'!$B1:$AS671,8,FALSE)," ")</f>
        <v xml:space="preserve"> </v>
      </c>
      <c r="G103" s="92" t="str" cm="1">
        <f t="array" ref="G103">IFERROR(VLOOKUP($A103,'The List'!$B1:$AS671,10,FALSE)," ")</f>
        <v xml:space="preserve"> </v>
      </c>
      <c r="H103" s="55"/>
      <c r="I103" s="84" t="str" cm="1">
        <f t="array" ref="I103">IFERROR(VLOOKUP($A103,'The List'!$B1:$AS671,16,FALSE)," ")</f>
        <v xml:space="preserve"> </v>
      </c>
      <c r="J103" s="84" t="str" cm="1">
        <f t="array" ref="J103">IFERROR(VLOOKUP($A103,'The List'!$B1:$AS671,17,FALSE)," ")</f>
        <v xml:space="preserve"> </v>
      </c>
      <c r="K103" s="84" t="str" cm="1">
        <f t="array" ref="K103">IFERROR(VLOOKUP($A103,'The List'!$B1:$AS671,18,FALSE)," ")</f>
        <v xml:space="preserve"> </v>
      </c>
      <c r="L103" s="84" t="str" cm="1">
        <f t="array" ref="L103">IFERROR(VLOOKUP($A103,'The List'!$B1:$AS671,19,FALSE)," ")</f>
        <v xml:space="preserve"> </v>
      </c>
      <c r="M103" s="84" t="str" cm="1">
        <f t="array" ref="M103">IFERROR(VLOOKUP($A103,'The List'!$B1:$AS671,20,FALSE)," ")</f>
        <v xml:space="preserve"> </v>
      </c>
      <c r="N103" s="84" t="str" cm="1">
        <f t="array" ref="N103">IFERROR(VLOOKUP($A103,'The List'!$B1:$AS671,21,FALSE)," ")</f>
        <v xml:space="preserve"> </v>
      </c>
      <c r="O103" s="84" t="str" cm="1">
        <f t="array" ref="O103">IFERROR(VLOOKUP($A103,'The List'!$B1:$AS671,22,FALSE)," ")</f>
        <v xml:space="preserve"> </v>
      </c>
      <c r="P103" s="84" t="str" cm="1">
        <f t="array" ref="P103">IFERROR(VLOOKUP($A103,'The List'!$B1:$AS671,23,FALSE)," ")</f>
        <v xml:space="preserve"> </v>
      </c>
      <c r="Q103" s="84" t="str" cm="1">
        <f t="array" ref="Q103">IFERROR(VLOOKUP($A103,'The List'!$B1:$AS671,24,FALSE)," ")</f>
        <v xml:space="preserve"> </v>
      </c>
      <c r="R103" s="84" t="str" cm="1">
        <f t="array" ref="R103">IFERROR(VLOOKUP($A103,'The List'!$B1:$AS671,25,FALSE)," ")</f>
        <v xml:space="preserve"> </v>
      </c>
      <c r="S103" s="84" t="str" cm="1">
        <f t="array" ref="S103">IFERROR(VLOOKUP($A103,'The List'!$B1:$AS671,26,FALSE)," ")</f>
        <v xml:space="preserve"> </v>
      </c>
      <c r="T103" s="84" t="str" cm="1">
        <f t="array" ref="T103">IFERROR(VLOOKUP($A103,'The List'!$B1:$AS671,27,FALSE)," ")</f>
        <v xml:space="preserve"> </v>
      </c>
      <c r="U103" s="84" t="str" cm="1">
        <f t="array" ref="U103">IFERROR(VLOOKUP($A103,'The List'!$B1:$AS671,28,FALSE)," ")</f>
        <v xml:space="preserve"> </v>
      </c>
      <c r="V103" s="84" t="str" cm="1">
        <f t="array" ref="V103">IFERROR(VLOOKUP($A103,'The List'!$B1:$AS671,29,FALSE)," ")</f>
        <v xml:space="preserve"> </v>
      </c>
      <c r="W103" s="84" t="str" cm="1">
        <f t="array" ref="W103">IFERROR(VLOOKUP($A103,'The List'!$B1:$AS671,30,FALSE)," ")</f>
        <v xml:space="preserve"> </v>
      </c>
      <c r="X103" s="84" t="str" cm="1">
        <f t="array" ref="X103">IFERROR(VLOOKUP($A103,'The List'!$B1:$AS671,31,FALSE)," ")</f>
        <v xml:space="preserve"> </v>
      </c>
      <c r="Y103" s="84" t="str" cm="1">
        <f t="array" ref="Y103">IFERROR(VLOOKUP($A103,'The List'!$B1:$AS671,32,FALSE)," ")</f>
        <v xml:space="preserve"> </v>
      </c>
      <c r="Z103" s="84" t="str" cm="1">
        <f t="array" ref="Z103">IFERROR(VLOOKUP($A103,'The List'!$B1:$AS671,33,FALSE)," ")</f>
        <v xml:space="preserve"> </v>
      </c>
      <c r="AA103" s="85"/>
      <c r="AB103" s="90"/>
      <c r="AC103" s="90"/>
      <c r="AD103" s="90"/>
      <c r="AE103" s="90"/>
      <c r="AF103" s="90"/>
    </row>
    <row r="104" spans="1:32" ht="21.25" customHeight="1" x14ac:dyDescent="0.15">
      <c r="A104" s="24"/>
      <c r="B104" s="99" t="str" cm="1">
        <f t="array" ref="B104">IFERROR(VLOOKUP($A104,'The List'!$B1:$AS671,3,FALSE)," ")</f>
        <v xml:space="preserve"> </v>
      </c>
      <c r="C104" s="101" t="str" cm="1">
        <f t="array" ref="C104">IFERROR(VLOOKUP($A104,'The List'!$B1:$AS671,4,FALSE)," ")</f>
        <v xml:space="preserve"> </v>
      </c>
      <c r="D104" s="18" t="str" cm="1">
        <f t="array" ref="D104">IFERROR(VLOOKUP($A104,'The List'!$B1:$AS671,5,FALSE)," ")</f>
        <v xml:space="preserve"> </v>
      </c>
      <c r="E104" s="18" t="str" cm="1">
        <f t="array" ref="E104">IFERROR(VLOOKUP($A104,'The List'!$B1:$AS671,6,FALSE)," ")</f>
        <v xml:space="preserve"> </v>
      </c>
      <c r="F104" s="92" t="str" cm="1">
        <f t="array" ref="F104">IFERROR(VLOOKUP($A104,'The List'!$B1:$AS671,8,FALSE)," ")</f>
        <v xml:space="preserve"> </v>
      </c>
      <c r="G104" s="92" t="str" cm="1">
        <f t="array" ref="G104">IFERROR(VLOOKUP($A104,'The List'!$B1:$AS671,10,FALSE)," ")</f>
        <v xml:space="preserve"> </v>
      </c>
      <c r="H104" s="55"/>
      <c r="I104" s="84" t="str" cm="1">
        <f t="array" ref="I104">IFERROR(VLOOKUP($A104,'The List'!$B1:$AS671,16,FALSE)," ")</f>
        <v xml:space="preserve"> </v>
      </c>
      <c r="J104" s="84" t="str" cm="1">
        <f t="array" ref="J104">IFERROR(VLOOKUP($A104,'The List'!$B1:$AS671,17,FALSE)," ")</f>
        <v xml:space="preserve"> </v>
      </c>
      <c r="K104" s="84" t="str" cm="1">
        <f t="array" ref="K104">IFERROR(VLOOKUP($A104,'The List'!$B1:$AS671,18,FALSE)," ")</f>
        <v xml:space="preserve"> </v>
      </c>
      <c r="L104" s="84" t="str" cm="1">
        <f t="array" ref="L104">IFERROR(VLOOKUP($A104,'The List'!$B1:$AS671,19,FALSE)," ")</f>
        <v xml:space="preserve"> </v>
      </c>
      <c r="M104" s="84" t="str" cm="1">
        <f t="array" ref="M104">IFERROR(VLOOKUP($A104,'The List'!$B1:$AS671,20,FALSE)," ")</f>
        <v xml:space="preserve"> </v>
      </c>
      <c r="N104" s="84" t="str" cm="1">
        <f t="array" ref="N104">IFERROR(VLOOKUP($A104,'The List'!$B1:$AS671,21,FALSE)," ")</f>
        <v xml:space="preserve"> </v>
      </c>
      <c r="O104" s="84" t="str" cm="1">
        <f t="array" ref="O104">IFERROR(VLOOKUP($A104,'The List'!$B1:$AS671,22,FALSE)," ")</f>
        <v xml:space="preserve"> </v>
      </c>
      <c r="P104" s="84" t="str" cm="1">
        <f t="array" ref="P104">IFERROR(VLOOKUP($A104,'The List'!$B1:$AS671,23,FALSE)," ")</f>
        <v xml:space="preserve"> </v>
      </c>
      <c r="Q104" s="84" t="str" cm="1">
        <f t="array" ref="Q104">IFERROR(VLOOKUP($A104,'The List'!$B1:$AS671,24,FALSE)," ")</f>
        <v xml:space="preserve"> </v>
      </c>
      <c r="R104" s="84" t="str" cm="1">
        <f t="array" ref="R104">IFERROR(VLOOKUP($A104,'The List'!$B1:$AS671,25,FALSE)," ")</f>
        <v xml:space="preserve"> </v>
      </c>
      <c r="S104" s="84" t="str" cm="1">
        <f t="array" ref="S104">IFERROR(VLOOKUP($A104,'The List'!$B1:$AS671,26,FALSE)," ")</f>
        <v xml:space="preserve"> </v>
      </c>
      <c r="T104" s="84" t="str" cm="1">
        <f t="array" ref="T104">IFERROR(VLOOKUP($A104,'The List'!$B1:$AS671,27,FALSE)," ")</f>
        <v xml:space="preserve"> </v>
      </c>
      <c r="U104" s="84" t="str" cm="1">
        <f t="array" ref="U104">IFERROR(VLOOKUP($A104,'The List'!$B1:$AS671,28,FALSE)," ")</f>
        <v xml:space="preserve"> </v>
      </c>
      <c r="V104" s="84" t="str" cm="1">
        <f t="array" ref="V104">IFERROR(VLOOKUP($A104,'The List'!$B1:$AS671,29,FALSE)," ")</f>
        <v xml:space="preserve"> </v>
      </c>
      <c r="W104" s="84" t="str" cm="1">
        <f t="array" ref="W104">IFERROR(VLOOKUP($A104,'The List'!$B1:$AS671,30,FALSE)," ")</f>
        <v xml:space="preserve"> </v>
      </c>
      <c r="X104" s="84" t="str" cm="1">
        <f t="array" ref="X104">IFERROR(VLOOKUP($A104,'The List'!$B1:$AS671,31,FALSE)," ")</f>
        <v xml:space="preserve"> </v>
      </c>
      <c r="Y104" s="84" t="str" cm="1">
        <f t="array" ref="Y104">IFERROR(VLOOKUP($A104,'The List'!$B1:$AS671,32,FALSE)," ")</f>
        <v xml:space="preserve"> </v>
      </c>
      <c r="Z104" s="84" t="str" cm="1">
        <f t="array" ref="Z104">IFERROR(VLOOKUP($A104,'The List'!$B1:$AS671,33,FALSE)," ")</f>
        <v xml:space="preserve"> </v>
      </c>
      <c r="AA104" s="85"/>
      <c r="AB104" s="90"/>
      <c r="AC104" s="90"/>
      <c r="AD104" s="90"/>
      <c r="AE104" s="90"/>
      <c r="AF104" s="90"/>
    </row>
    <row r="105" spans="1:32" ht="21.25" customHeight="1" x14ac:dyDescent="0.15">
      <c r="A105" s="24"/>
      <c r="B105" s="99" t="str" cm="1">
        <f t="array" ref="B105">IFERROR(VLOOKUP($A105,'The List'!$B1:$AS671,3,FALSE)," ")</f>
        <v xml:space="preserve"> </v>
      </c>
      <c r="C105" s="101" t="str" cm="1">
        <f t="array" ref="C105">IFERROR(VLOOKUP($A105,'The List'!$B1:$AS671,4,FALSE)," ")</f>
        <v xml:space="preserve"> </v>
      </c>
      <c r="D105" s="18" t="str" cm="1">
        <f t="array" ref="D105">IFERROR(VLOOKUP($A105,'The List'!$B1:$AS671,5,FALSE)," ")</f>
        <v xml:space="preserve"> </v>
      </c>
      <c r="E105" s="18" t="str" cm="1">
        <f t="array" ref="E105">IFERROR(VLOOKUP($A105,'The List'!$B1:$AS671,6,FALSE)," ")</f>
        <v xml:space="preserve"> </v>
      </c>
      <c r="F105" s="92" t="str" cm="1">
        <f t="array" ref="F105">IFERROR(VLOOKUP($A105,'The List'!$B1:$AS671,8,FALSE)," ")</f>
        <v xml:space="preserve"> </v>
      </c>
      <c r="G105" s="92" t="str" cm="1">
        <f t="array" ref="G105">IFERROR(VLOOKUP($A105,'The List'!$B1:$AS671,10,FALSE)," ")</f>
        <v xml:space="preserve"> </v>
      </c>
      <c r="H105" s="55"/>
      <c r="I105" s="84" t="str" cm="1">
        <f t="array" ref="I105">IFERROR(VLOOKUP($A105,'The List'!$B1:$AS671,16,FALSE)," ")</f>
        <v xml:space="preserve"> </v>
      </c>
      <c r="J105" s="84" t="str" cm="1">
        <f t="array" ref="J105">IFERROR(VLOOKUP($A105,'The List'!$B1:$AS671,17,FALSE)," ")</f>
        <v xml:space="preserve"> </v>
      </c>
      <c r="K105" s="84" t="str" cm="1">
        <f t="array" ref="K105">IFERROR(VLOOKUP($A105,'The List'!$B1:$AS671,18,FALSE)," ")</f>
        <v xml:space="preserve"> </v>
      </c>
      <c r="L105" s="84" t="str" cm="1">
        <f t="array" ref="L105">IFERROR(VLOOKUP($A105,'The List'!$B1:$AS671,19,FALSE)," ")</f>
        <v xml:space="preserve"> </v>
      </c>
      <c r="M105" s="84" t="str" cm="1">
        <f t="array" ref="M105">IFERROR(VLOOKUP($A105,'The List'!$B1:$AS671,20,FALSE)," ")</f>
        <v xml:space="preserve"> </v>
      </c>
      <c r="N105" s="84" t="str" cm="1">
        <f t="array" ref="N105">IFERROR(VLOOKUP($A105,'The List'!$B1:$AS671,21,FALSE)," ")</f>
        <v xml:space="preserve"> </v>
      </c>
      <c r="O105" s="84" t="str" cm="1">
        <f t="array" ref="O105">IFERROR(VLOOKUP($A105,'The List'!$B1:$AS671,22,FALSE)," ")</f>
        <v xml:space="preserve"> </v>
      </c>
      <c r="P105" s="84" t="str" cm="1">
        <f t="array" ref="P105">IFERROR(VLOOKUP($A105,'The List'!$B1:$AS671,23,FALSE)," ")</f>
        <v xml:space="preserve"> </v>
      </c>
      <c r="Q105" s="84" t="str" cm="1">
        <f t="array" ref="Q105">IFERROR(VLOOKUP($A105,'The List'!$B1:$AS671,24,FALSE)," ")</f>
        <v xml:space="preserve"> </v>
      </c>
      <c r="R105" s="84" t="str" cm="1">
        <f t="array" ref="R105">IFERROR(VLOOKUP($A105,'The List'!$B1:$AS671,25,FALSE)," ")</f>
        <v xml:space="preserve"> </v>
      </c>
      <c r="S105" s="84" t="str" cm="1">
        <f t="array" ref="S105">IFERROR(VLOOKUP($A105,'The List'!$B1:$AS671,26,FALSE)," ")</f>
        <v xml:space="preserve"> </v>
      </c>
      <c r="T105" s="84" t="str" cm="1">
        <f t="array" ref="T105">IFERROR(VLOOKUP($A105,'The List'!$B1:$AS671,27,FALSE)," ")</f>
        <v xml:space="preserve"> </v>
      </c>
      <c r="U105" s="84" t="str" cm="1">
        <f t="array" ref="U105">IFERROR(VLOOKUP($A105,'The List'!$B1:$AS671,28,FALSE)," ")</f>
        <v xml:space="preserve"> </v>
      </c>
      <c r="V105" s="84" t="str" cm="1">
        <f t="array" ref="V105">IFERROR(VLOOKUP($A105,'The List'!$B1:$AS671,29,FALSE)," ")</f>
        <v xml:space="preserve"> </v>
      </c>
      <c r="W105" s="84" t="str" cm="1">
        <f t="array" ref="W105">IFERROR(VLOOKUP($A105,'The List'!$B1:$AS671,30,FALSE)," ")</f>
        <v xml:space="preserve"> </v>
      </c>
      <c r="X105" s="84" t="str" cm="1">
        <f t="array" ref="X105">IFERROR(VLOOKUP($A105,'The List'!$B1:$AS671,31,FALSE)," ")</f>
        <v xml:space="preserve"> </v>
      </c>
      <c r="Y105" s="84" t="str" cm="1">
        <f t="array" ref="Y105">IFERROR(VLOOKUP($A105,'The List'!$B1:$AS671,32,FALSE)," ")</f>
        <v xml:space="preserve"> </v>
      </c>
      <c r="Z105" s="84" t="str" cm="1">
        <f t="array" ref="Z105">IFERROR(VLOOKUP($A105,'The List'!$B1:$AS671,33,FALSE)," ")</f>
        <v xml:space="preserve"> </v>
      </c>
      <c r="AA105" s="85"/>
      <c r="AB105" s="90"/>
      <c r="AC105" s="90"/>
      <c r="AD105" s="90"/>
      <c r="AE105" s="90"/>
      <c r="AF105" s="90"/>
    </row>
    <row r="106" spans="1:32" ht="21.25" customHeight="1" x14ac:dyDescent="0.15">
      <c r="A106" s="24"/>
      <c r="B106" s="99" t="str" cm="1">
        <f t="array" ref="B106">IFERROR(VLOOKUP($A106,'The List'!$B1:$AS671,3,FALSE)," ")</f>
        <v xml:space="preserve"> </v>
      </c>
      <c r="C106" s="101" t="str" cm="1">
        <f t="array" ref="C106">IFERROR(VLOOKUP($A106,'The List'!$B1:$AS671,4,FALSE)," ")</f>
        <v xml:space="preserve"> </v>
      </c>
      <c r="D106" s="18" t="str" cm="1">
        <f t="array" ref="D106">IFERROR(VLOOKUP($A106,'The List'!$B1:$AS671,5,FALSE)," ")</f>
        <v xml:space="preserve"> </v>
      </c>
      <c r="E106" s="18" t="str" cm="1">
        <f t="array" ref="E106">IFERROR(VLOOKUP($A106,'The List'!$B1:$AS671,6,FALSE)," ")</f>
        <v xml:space="preserve"> </v>
      </c>
      <c r="F106" s="92" t="str" cm="1">
        <f t="array" ref="F106">IFERROR(VLOOKUP($A106,'The List'!$B1:$AS671,8,FALSE)," ")</f>
        <v xml:space="preserve"> </v>
      </c>
      <c r="G106" s="92" t="str" cm="1">
        <f t="array" ref="G106">IFERROR(VLOOKUP($A106,'The List'!$B1:$AS671,10,FALSE)," ")</f>
        <v xml:space="preserve"> </v>
      </c>
      <c r="H106" s="55"/>
      <c r="I106" s="84" t="str" cm="1">
        <f t="array" ref="I106">IFERROR(VLOOKUP($A106,'The List'!$B1:$AS671,16,FALSE)," ")</f>
        <v xml:space="preserve"> </v>
      </c>
      <c r="J106" s="84" t="str" cm="1">
        <f t="array" ref="J106">IFERROR(VLOOKUP($A106,'The List'!$B1:$AS671,17,FALSE)," ")</f>
        <v xml:space="preserve"> </v>
      </c>
      <c r="K106" s="84" t="str" cm="1">
        <f t="array" ref="K106">IFERROR(VLOOKUP($A106,'The List'!$B1:$AS671,18,FALSE)," ")</f>
        <v xml:space="preserve"> </v>
      </c>
      <c r="L106" s="84" t="str" cm="1">
        <f t="array" ref="L106">IFERROR(VLOOKUP($A106,'The List'!$B1:$AS671,19,FALSE)," ")</f>
        <v xml:space="preserve"> </v>
      </c>
      <c r="M106" s="84" t="str" cm="1">
        <f t="array" ref="M106">IFERROR(VLOOKUP($A106,'The List'!$B1:$AS671,20,FALSE)," ")</f>
        <v xml:space="preserve"> </v>
      </c>
      <c r="N106" s="84" t="str" cm="1">
        <f t="array" ref="N106">IFERROR(VLOOKUP($A106,'The List'!$B1:$AS671,21,FALSE)," ")</f>
        <v xml:space="preserve"> </v>
      </c>
      <c r="O106" s="84" t="str" cm="1">
        <f t="array" ref="O106">IFERROR(VLOOKUP($A106,'The List'!$B1:$AS671,22,FALSE)," ")</f>
        <v xml:space="preserve"> </v>
      </c>
      <c r="P106" s="84" t="str" cm="1">
        <f t="array" ref="P106">IFERROR(VLOOKUP($A106,'The List'!$B1:$AS671,23,FALSE)," ")</f>
        <v xml:space="preserve"> </v>
      </c>
      <c r="Q106" s="84" t="str" cm="1">
        <f t="array" ref="Q106">IFERROR(VLOOKUP($A106,'The List'!$B1:$AS671,24,FALSE)," ")</f>
        <v xml:space="preserve"> </v>
      </c>
      <c r="R106" s="84" t="str" cm="1">
        <f t="array" ref="R106">IFERROR(VLOOKUP($A106,'The List'!$B1:$AS671,25,FALSE)," ")</f>
        <v xml:space="preserve"> </v>
      </c>
      <c r="S106" s="84" t="str" cm="1">
        <f t="array" ref="S106">IFERROR(VLOOKUP($A106,'The List'!$B1:$AS671,26,FALSE)," ")</f>
        <v xml:space="preserve"> </v>
      </c>
      <c r="T106" s="84" t="str" cm="1">
        <f t="array" ref="T106">IFERROR(VLOOKUP($A106,'The List'!$B1:$AS671,27,FALSE)," ")</f>
        <v xml:space="preserve"> </v>
      </c>
      <c r="U106" s="84" t="str" cm="1">
        <f t="array" ref="U106">IFERROR(VLOOKUP($A106,'The List'!$B1:$AS671,28,FALSE)," ")</f>
        <v xml:space="preserve"> </v>
      </c>
      <c r="V106" s="84" t="str" cm="1">
        <f t="array" ref="V106">IFERROR(VLOOKUP($A106,'The List'!$B1:$AS671,29,FALSE)," ")</f>
        <v xml:space="preserve"> </v>
      </c>
      <c r="W106" s="84" t="str" cm="1">
        <f t="array" ref="W106">IFERROR(VLOOKUP($A106,'The List'!$B1:$AS671,30,FALSE)," ")</f>
        <v xml:space="preserve"> </v>
      </c>
      <c r="X106" s="84" t="str" cm="1">
        <f t="array" ref="X106">IFERROR(VLOOKUP($A106,'The List'!$B1:$AS671,31,FALSE)," ")</f>
        <v xml:space="preserve"> </v>
      </c>
      <c r="Y106" s="84" t="str" cm="1">
        <f t="array" ref="Y106">IFERROR(VLOOKUP($A106,'The List'!$B1:$AS671,32,FALSE)," ")</f>
        <v xml:space="preserve"> </v>
      </c>
      <c r="Z106" s="84" t="str" cm="1">
        <f t="array" ref="Z106">IFERROR(VLOOKUP($A106,'The List'!$B1:$AS671,33,FALSE)," ")</f>
        <v xml:space="preserve"> </v>
      </c>
      <c r="AA106" s="85"/>
      <c r="AB106" s="90"/>
      <c r="AC106" s="90"/>
      <c r="AD106" s="90"/>
      <c r="AE106" s="90"/>
      <c r="AF106" s="90"/>
    </row>
    <row r="107" spans="1:32" ht="21.25" customHeight="1" x14ac:dyDescent="0.15">
      <c r="A107" s="24"/>
      <c r="B107" s="99" t="str" cm="1">
        <f t="array" ref="B107">IFERROR(VLOOKUP($A107,'The List'!$B1:$AS671,3,FALSE)," ")</f>
        <v xml:space="preserve"> </v>
      </c>
      <c r="C107" s="101" t="str" cm="1">
        <f t="array" ref="C107">IFERROR(VLOOKUP($A107,'The List'!$B1:$AS671,4,FALSE)," ")</f>
        <v xml:space="preserve"> </v>
      </c>
      <c r="D107" s="18" t="str" cm="1">
        <f t="array" ref="D107">IFERROR(VLOOKUP($A107,'The List'!$B1:$AS671,5,FALSE)," ")</f>
        <v xml:space="preserve"> </v>
      </c>
      <c r="E107" s="18" t="str" cm="1">
        <f t="array" ref="E107">IFERROR(VLOOKUP($A107,'The List'!$B1:$AS671,6,FALSE)," ")</f>
        <v xml:space="preserve"> </v>
      </c>
      <c r="F107" s="92" t="str" cm="1">
        <f t="array" ref="F107">IFERROR(VLOOKUP($A107,'The List'!$B1:$AS671,8,FALSE)," ")</f>
        <v xml:space="preserve"> </v>
      </c>
      <c r="G107" s="92" t="str" cm="1">
        <f t="array" ref="G107">IFERROR(VLOOKUP($A107,'The List'!$B1:$AS671,10,FALSE)," ")</f>
        <v xml:space="preserve"> </v>
      </c>
      <c r="H107" s="55"/>
      <c r="I107" s="84" t="str" cm="1">
        <f t="array" ref="I107">IFERROR(VLOOKUP($A107,'The List'!$B1:$AS671,16,FALSE)," ")</f>
        <v xml:space="preserve"> </v>
      </c>
      <c r="J107" s="84" t="str" cm="1">
        <f t="array" ref="J107">IFERROR(VLOOKUP($A107,'The List'!$B1:$AS671,17,FALSE)," ")</f>
        <v xml:space="preserve"> </v>
      </c>
      <c r="K107" s="84" t="str" cm="1">
        <f t="array" ref="K107">IFERROR(VLOOKUP($A107,'The List'!$B1:$AS671,18,FALSE)," ")</f>
        <v xml:space="preserve"> </v>
      </c>
      <c r="L107" s="84" t="str" cm="1">
        <f t="array" ref="L107">IFERROR(VLOOKUP($A107,'The List'!$B1:$AS671,19,FALSE)," ")</f>
        <v xml:space="preserve"> </v>
      </c>
      <c r="M107" s="84" t="str" cm="1">
        <f t="array" ref="M107">IFERROR(VLOOKUP($A107,'The List'!$B1:$AS671,20,FALSE)," ")</f>
        <v xml:space="preserve"> </v>
      </c>
      <c r="N107" s="84" t="str" cm="1">
        <f t="array" ref="N107">IFERROR(VLOOKUP($A107,'The List'!$B1:$AS671,21,FALSE)," ")</f>
        <v xml:space="preserve"> </v>
      </c>
      <c r="O107" s="84" t="str" cm="1">
        <f t="array" ref="O107">IFERROR(VLOOKUP($A107,'The List'!$B1:$AS671,22,FALSE)," ")</f>
        <v xml:space="preserve"> </v>
      </c>
      <c r="P107" s="84" t="str" cm="1">
        <f t="array" ref="P107">IFERROR(VLOOKUP($A107,'The List'!$B1:$AS671,23,FALSE)," ")</f>
        <v xml:space="preserve"> </v>
      </c>
      <c r="Q107" s="84" t="str" cm="1">
        <f t="array" ref="Q107">IFERROR(VLOOKUP($A107,'The List'!$B1:$AS671,24,FALSE)," ")</f>
        <v xml:space="preserve"> </v>
      </c>
      <c r="R107" s="84" t="str" cm="1">
        <f t="array" ref="R107">IFERROR(VLOOKUP($A107,'The List'!$B1:$AS671,25,FALSE)," ")</f>
        <v xml:space="preserve"> </v>
      </c>
      <c r="S107" s="84" t="str" cm="1">
        <f t="array" ref="S107">IFERROR(VLOOKUP($A107,'The List'!$B1:$AS671,26,FALSE)," ")</f>
        <v xml:space="preserve"> </v>
      </c>
      <c r="T107" s="84" t="str" cm="1">
        <f t="array" ref="T107">IFERROR(VLOOKUP($A107,'The List'!$B1:$AS671,27,FALSE)," ")</f>
        <v xml:space="preserve"> </v>
      </c>
      <c r="U107" s="84" t="str" cm="1">
        <f t="array" ref="U107">IFERROR(VLOOKUP($A107,'The List'!$B1:$AS671,28,FALSE)," ")</f>
        <v xml:space="preserve"> </v>
      </c>
      <c r="V107" s="84" t="str" cm="1">
        <f t="array" ref="V107">IFERROR(VLOOKUP($A107,'The List'!$B1:$AS671,29,FALSE)," ")</f>
        <v xml:space="preserve"> </v>
      </c>
      <c r="W107" s="84" t="str" cm="1">
        <f t="array" ref="W107">IFERROR(VLOOKUP($A107,'The List'!$B1:$AS671,30,FALSE)," ")</f>
        <v xml:space="preserve"> </v>
      </c>
      <c r="X107" s="84" t="str" cm="1">
        <f t="array" ref="X107">IFERROR(VLOOKUP($A107,'The List'!$B1:$AS671,31,FALSE)," ")</f>
        <v xml:space="preserve"> </v>
      </c>
      <c r="Y107" s="84" t="str" cm="1">
        <f t="array" ref="Y107">IFERROR(VLOOKUP($A107,'The List'!$B1:$AS671,32,FALSE)," ")</f>
        <v xml:space="preserve"> </v>
      </c>
      <c r="Z107" s="84" t="str" cm="1">
        <f t="array" ref="Z107">IFERROR(VLOOKUP($A107,'The List'!$B1:$AS671,33,FALSE)," ")</f>
        <v xml:space="preserve"> </v>
      </c>
      <c r="AA107" s="85"/>
      <c r="AB107" s="90"/>
      <c r="AC107" s="90"/>
      <c r="AD107" s="90"/>
      <c r="AE107" s="90"/>
      <c r="AF107" s="90"/>
    </row>
    <row r="108" spans="1:32" ht="21.25" customHeight="1" x14ac:dyDescent="0.15">
      <c r="A108" s="103"/>
      <c r="B108" s="104" t="str" cm="1">
        <f t="array" ref="B108">IFERROR(VLOOKUP($A108,'The List'!$B1:$AS671,3,FALSE)," ")</f>
        <v xml:space="preserve"> </v>
      </c>
      <c r="C108" s="105" t="str" cm="1">
        <f t="array" ref="C108">IFERROR(VLOOKUP($A108,'The List'!$B1:$AS671,4,FALSE)," ")</f>
        <v xml:space="preserve"> </v>
      </c>
      <c r="D108" s="106" t="str" cm="1">
        <f t="array" ref="D108">IFERROR(VLOOKUP($A108,'The List'!$B1:$AS671,5,FALSE)," ")</f>
        <v xml:space="preserve"> </v>
      </c>
      <c r="E108" s="106" t="str" cm="1">
        <f t="array" ref="E108">IFERROR(VLOOKUP($A108,'The List'!$B1:$AS671,6,FALSE)," ")</f>
        <v xml:space="preserve"> </v>
      </c>
      <c r="F108" s="107" t="str" cm="1">
        <f t="array" ref="F108">IFERROR(VLOOKUP($A108,'The List'!$B1:$AS671,8,FALSE)," ")</f>
        <v xml:space="preserve"> </v>
      </c>
      <c r="G108" s="107" t="str" cm="1">
        <f t="array" ref="G108">IFERROR(VLOOKUP($A108,'The List'!$B1:$AS671,10,FALSE)," ")</f>
        <v xml:space="preserve"> </v>
      </c>
      <c r="H108" s="108"/>
      <c r="I108" s="109" t="str" cm="1">
        <f t="array" ref="I108">IFERROR(VLOOKUP($A108,'The List'!$B1:$AS671,16,FALSE)," ")</f>
        <v xml:space="preserve"> </v>
      </c>
      <c r="J108" s="109" t="str" cm="1">
        <f t="array" ref="J108">IFERROR(VLOOKUP($A108,'The List'!$B1:$AS671,17,FALSE)," ")</f>
        <v xml:space="preserve"> </v>
      </c>
      <c r="K108" s="109" t="str" cm="1">
        <f t="array" ref="K108">IFERROR(VLOOKUP($A108,'The List'!$B1:$AS671,18,FALSE)," ")</f>
        <v xml:space="preserve"> </v>
      </c>
      <c r="L108" s="109" t="str" cm="1">
        <f t="array" ref="L108">IFERROR(VLOOKUP($A108,'The List'!$B1:$AS671,19,FALSE)," ")</f>
        <v xml:space="preserve"> </v>
      </c>
      <c r="M108" s="109" t="str" cm="1">
        <f t="array" ref="M108">IFERROR(VLOOKUP($A108,'The List'!$B1:$AS671,20,FALSE)," ")</f>
        <v xml:space="preserve"> </v>
      </c>
      <c r="N108" s="109" t="str" cm="1">
        <f t="array" ref="N108">IFERROR(VLOOKUP($A108,'The List'!$B1:$AS671,21,FALSE)," ")</f>
        <v xml:space="preserve"> </v>
      </c>
      <c r="O108" s="109" t="str" cm="1">
        <f t="array" ref="O108">IFERROR(VLOOKUP($A108,'The List'!$B1:$AS671,22,FALSE)," ")</f>
        <v xml:space="preserve"> </v>
      </c>
      <c r="P108" s="109" t="str" cm="1">
        <f t="array" ref="P108">IFERROR(VLOOKUP($A108,'The List'!$B1:$AS671,23,FALSE)," ")</f>
        <v xml:space="preserve"> </v>
      </c>
      <c r="Q108" s="109" t="str" cm="1">
        <f t="array" ref="Q108">IFERROR(VLOOKUP($A108,'The List'!$B1:$AS671,24,FALSE)," ")</f>
        <v xml:space="preserve"> </v>
      </c>
      <c r="R108" s="109" t="str" cm="1">
        <f t="array" ref="R108">IFERROR(VLOOKUP($A108,'The List'!$B1:$AS671,25,FALSE)," ")</f>
        <v xml:space="preserve"> </v>
      </c>
      <c r="S108" s="109" t="str" cm="1">
        <f t="array" ref="S108">IFERROR(VLOOKUP($A108,'The List'!$B1:$AS671,26,FALSE)," ")</f>
        <v xml:space="preserve"> </v>
      </c>
      <c r="T108" s="109" t="str" cm="1">
        <f t="array" ref="T108">IFERROR(VLOOKUP($A108,'The List'!$B1:$AS671,27,FALSE)," ")</f>
        <v xml:space="preserve"> </v>
      </c>
      <c r="U108" s="109" t="str" cm="1">
        <f t="array" ref="U108">IFERROR(VLOOKUP($A108,'The List'!$B1:$AS671,28,FALSE)," ")</f>
        <v xml:space="preserve"> </v>
      </c>
      <c r="V108" s="109" t="str" cm="1">
        <f t="array" ref="V108">IFERROR(VLOOKUP($A108,'The List'!$B1:$AS671,29,FALSE)," ")</f>
        <v xml:space="preserve"> </v>
      </c>
      <c r="W108" s="109" t="str" cm="1">
        <f t="array" ref="W108">IFERROR(VLOOKUP($A108,'The List'!$B1:$AS671,30,FALSE)," ")</f>
        <v xml:space="preserve"> </v>
      </c>
      <c r="X108" s="109" t="str" cm="1">
        <f t="array" ref="X108">IFERROR(VLOOKUP($A108,'The List'!$B1:$AS671,31,FALSE)," ")</f>
        <v xml:space="preserve"> </v>
      </c>
      <c r="Y108" s="109" t="str" cm="1">
        <f t="array" ref="Y108">IFERROR(VLOOKUP($A108,'The List'!$B1:$AS671,32,FALSE)," ")</f>
        <v xml:space="preserve"> </v>
      </c>
      <c r="Z108" s="109" t="str" cm="1">
        <f t="array" ref="Z108">IFERROR(VLOOKUP($A108,'The List'!$B1:$AS671,33,FALSE)," ")</f>
        <v xml:space="preserve"> </v>
      </c>
      <c r="AA108" s="85"/>
      <c r="AB108" s="90"/>
      <c r="AC108" s="90"/>
      <c r="AD108" s="90"/>
      <c r="AE108" s="90"/>
      <c r="AF108" s="90"/>
    </row>
    <row r="109" spans="1:32" ht="21.25" customHeight="1" x14ac:dyDescent="0.15">
      <c r="A109" s="110"/>
      <c r="B109" s="111"/>
      <c r="C109" s="112"/>
      <c r="D109" s="113"/>
      <c r="E109" s="113" t="str" cm="1">
        <f t="array" ref="E109">IFERROR(AVERAGE(E89:E108)," ")</f>
        <v xml:space="preserve"> </v>
      </c>
      <c r="F109" s="115" cm="1">
        <f t="array" ref="F109">SUM(F89:F108)</f>
        <v>0</v>
      </c>
      <c r="G109" s="115" cm="1">
        <f t="array" ref="G109">SUM(G89:G108)</f>
        <v>0</v>
      </c>
      <c r="H109" s="116"/>
      <c r="I109" s="117" cm="1">
        <f t="array" ref="I109">SUM(I89:I108)</f>
        <v>0</v>
      </c>
      <c r="J109" s="116" t="e" cm="1">
        <f t="array" ref="J109">AVERAGE(J89:J108)</f>
        <v>#DIV/0!</v>
      </c>
      <c r="K109" s="117" cm="1">
        <f t="array" ref="K109">SUM(K89:K108)</f>
        <v>0</v>
      </c>
      <c r="L109" s="117" cm="1">
        <f t="array" ref="L109">SUM(L89:L108)</f>
        <v>0</v>
      </c>
      <c r="M109" s="117" cm="1">
        <f t="array" ref="M109">SUM(M89:M108)</f>
        <v>0</v>
      </c>
      <c r="N109" s="117" cm="1">
        <f t="array" ref="N109">SUM(N89:N108)</f>
        <v>0</v>
      </c>
      <c r="O109" s="117" cm="1">
        <f t="array" ref="O109">SUM(O89:O108)</f>
        <v>0</v>
      </c>
      <c r="P109" s="117" cm="1">
        <f t="array" ref="P109">SUM(P89:P108)</f>
        <v>0</v>
      </c>
      <c r="Q109" s="117" cm="1">
        <f t="array" ref="Q109">SUM(Q89:Q108)</f>
        <v>0</v>
      </c>
      <c r="R109" s="117" cm="1">
        <f t="array" ref="R109">SUM(R89:R108)</f>
        <v>0</v>
      </c>
      <c r="S109" s="117" cm="1">
        <f t="array" ref="S109">SUM(S89:S108)</f>
        <v>0</v>
      </c>
      <c r="T109" s="117" cm="1">
        <f t="array" ref="T109">SUM(T89:T108)</f>
        <v>0</v>
      </c>
      <c r="U109" s="117" cm="1">
        <f t="array" ref="U109">SUM(U89:U108)</f>
        <v>0</v>
      </c>
      <c r="V109" s="117" cm="1">
        <f t="array" ref="V109">SUM(V89:V108)</f>
        <v>0</v>
      </c>
      <c r="W109" s="117" cm="1">
        <f t="array" ref="W109">SUM(W89:W108)</f>
        <v>0</v>
      </c>
      <c r="X109" s="117" cm="1">
        <f t="array" ref="X109">SUM(X89:X108)</f>
        <v>0</v>
      </c>
      <c r="Y109" s="117" cm="1">
        <f t="array" ref="Y109">SUM(Y89:Y108)</f>
        <v>0</v>
      </c>
      <c r="Z109" s="118" cm="1">
        <f t="array" ref="Z109">IFERROR(X109/(X109+Y109),0)</f>
        <v>0</v>
      </c>
      <c r="AA109" s="85"/>
      <c r="AB109" s="119"/>
      <c r="AC109" s="119"/>
      <c r="AD109" s="119"/>
      <c r="AE109" s="119"/>
      <c r="AF109" s="119"/>
    </row>
    <row r="110" spans="1:32" ht="21.25" customHeight="1" x14ac:dyDescent="0.15">
      <c r="A110" s="37"/>
      <c r="B110" s="120"/>
      <c r="C110" s="121"/>
      <c r="D110" s="13"/>
      <c r="E110" s="13"/>
      <c r="F110" s="122"/>
      <c r="G110" s="123"/>
      <c r="H110" s="124"/>
      <c r="I110" s="12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90"/>
      <c r="AC110" s="90"/>
      <c r="AD110" s="90"/>
      <c r="AE110" s="90"/>
      <c r="AF110" s="90"/>
    </row>
    <row r="111" spans="1:32" ht="21.25" customHeight="1" x14ac:dyDescent="0.15">
      <c r="A111" s="40" t="s">
        <v>90</v>
      </c>
      <c r="B111" s="204" t="s">
        <v>92</v>
      </c>
      <c r="C111" s="194"/>
      <c r="D111" s="126" t="s">
        <v>93</v>
      </c>
      <c r="E111" s="126" t="s">
        <v>94</v>
      </c>
      <c r="F111" s="127" t="s">
        <v>96</v>
      </c>
      <c r="G111" s="127" t="s">
        <v>98</v>
      </c>
      <c r="H111" s="128"/>
      <c r="I111" s="129" t="s">
        <v>103</v>
      </c>
      <c r="J111" s="129" t="s">
        <v>118</v>
      </c>
      <c r="K111" s="129" t="s">
        <v>119</v>
      </c>
      <c r="L111" s="129" t="s">
        <v>120</v>
      </c>
      <c r="M111" s="129" t="s">
        <v>121</v>
      </c>
      <c r="N111" s="129" t="s">
        <v>122</v>
      </c>
      <c r="O111" s="129" t="s">
        <v>123</v>
      </c>
      <c r="P111" s="129" t="s">
        <v>124</v>
      </c>
      <c r="Q111" s="129" t="s">
        <v>125</v>
      </c>
      <c r="R111" s="85"/>
      <c r="S111" s="85"/>
      <c r="T111" s="85"/>
      <c r="U111" s="204" t="s">
        <v>814</v>
      </c>
      <c r="V111" s="205"/>
      <c r="W111" s="205"/>
      <c r="X111" s="204" t="s">
        <v>815</v>
      </c>
      <c r="Y111" s="205"/>
      <c r="Z111" s="205"/>
      <c r="AA111" s="85"/>
      <c r="AB111" s="85"/>
      <c r="AC111" s="85"/>
      <c r="AD111" s="85"/>
      <c r="AE111" s="85"/>
      <c r="AF111" s="85"/>
    </row>
    <row r="112" spans="1:32" ht="21.25" customHeight="1" x14ac:dyDescent="0.15">
      <c r="A112" s="146"/>
      <c r="B112" s="131" t="str" cm="1">
        <f t="array" ref="B112">IFERROR(VLOOKUP($A112,'The List'!$B1:$AS671,3,FALSE)," ")</f>
        <v xml:space="preserve"> </v>
      </c>
      <c r="C112" s="147" t="str" cm="1">
        <f t="array" ref="C112">IFERROR(VLOOKUP($A112,'The List'!$B1:$AS671,4,FALSE)," ")</f>
        <v xml:space="preserve"> </v>
      </c>
      <c r="D112" s="133" t="str" cm="1">
        <f t="array" ref="D112">IFERROR(VLOOKUP($A112,'The List'!$B1:$AS671,5,FALSE)," ")</f>
        <v xml:space="preserve"> </v>
      </c>
      <c r="E112" s="133" t="str" cm="1">
        <f t="array" ref="E112">IFERROR(VLOOKUP($A112,'The List'!$B1:$AS671,6,FALSE)," ")</f>
        <v xml:space="preserve"> </v>
      </c>
      <c r="F112" s="148" t="str" cm="1">
        <f t="array" ref="F112">IFERROR(VLOOKUP($A112,'The List'!$B1:$AS671,8,FALSE)," ")</f>
        <v xml:space="preserve"> </v>
      </c>
      <c r="G112" s="148" t="str" cm="1">
        <f t="array" ref="G112">IFERROR(VLOOKUP($A112,'The List'!$B1:$AS671,10,FALSE)," ")</f>
        <v xml:space="preserve"> </v>
      </c>
      <c r="H112" s="82"/>
      <c r="I112" s="149" t="str" cm="1">
        <f t="array" ref="I112">IFERROR(VLOOKUP($A112,'The List'!$B1:$AS671,35,FALSE)," ")</f>
        <v xml:space="preserve"> </v>
      </c>
      <c r="J112" s="149" t="str" cm="1">
        <f t="array" ref="J112">IFERROR(VLOOKUP($A112,'The List'!$B1:$AS671,36,FALSE)," ")</f>
        <v xml:space="preserve"> </v>
      </c>
      <c r="K112" s="149" t="str" cm="1">
        <f t="array" ref="K112">IFERROR(VLOOKUP($A112,'The List'!$B1:$AS671,37,FALSE)," ")</f>
        <v xml:space="preserve"> </v>
      </c>
      <c r="L112" s="149" t="str" cm="1">
        <f t="array" ref="L112">IFERROR(VLOOKUP($A112,'The List'!$B1:$AS671,38,FALSE)," ")</f>
        <v xml:space="preserve"> </v>
      </c>
      <c r="M112" s="149" t="str" cm="1">
        <f t="array" ref="M112">IFERROR(VLOOKUP($A112,'The List'!$B1:$AS671,39,FALSE)," ")</f>
        <v xml:space="preserve"> </v>
      </c>
      <c r="N112" s="149" t="str" cm="1">
        <f t="array" ref="N112">IFERROR(VLOOKUP($A112,'The List'!$B1:$AS671,40,FALSE)," ")</f>
        <v xml:space="preserve"> </v>
      </c>
      <c r="O112" s="149" t="str" cm="1">
        <f t="array" ref="O112">IFERROR(VLOOKUP($A112,'The List'!$B1:$AS671,41,FALSE)," ")</f>
        <v xml:space="preserve"> </v>
      </c>
      <c r="P112" s="149" t="str" cm="1">
        <f t="array" ref="P112">IFERROR(VLOOKUP($A112,'The List'!$B1:$AS671,42,FALSE)," ")</f>
        <v xml:space="preserve"> </v>
      </c>
      <c r="Q112" s="149" t="str" cm="1">
        <f t="array" ref="Q112">IFERROR(VLOOKUP($A112,'The List'!$B1:$AS671,43,FALSE)," ")</f>
        <v xml:space="preserve"> </v>
      </c>
      <c r="R112" s="85"/>
      <c r="S112" s="85"/>
      <c r="T112" s="139" t="str" cm="1">
        <f t="array" ref="T112">A88</f>
        <v>TEAM 4</v>
      </c>
      <c r="U112" s="206" cm="1">
        <f t="array" ref="U112">F109+F115</f>
        <v>0</v>
      </c>
      <c r="V112" s="194"/>
      <c r="W112" s="194"/>
      <c r="X112" s="206" cm="1">
        <f t="array" ref="X112">G115+G109</f>
        <v>0</v>
      </c>
      <c r="Y112" s="194"/>
      <c r="Z112" s="194"/>
      <c r="AA112" s="85"/>
      <c r="AB112" s="85"/>
      <c r="AC112" s="85"/>
      <c r="AD112" s="85"/>
      <c r="AE112" s="85"/>
      <c r="AF112" s="85"/>
    </row>
    <row r="113" spans="1:32" ht="21.25" customHeight="1" x14ac:dyDescent="0.15">
      <c r="A113" s="24"/>
      <c r="B113" s="140" t="str" cm="1">
        <f t="array" ref="B113">IFERROR(VLOOKUP($A113,'The List'!$B1:$AS671,3,FALSE)," ")</f>
        <v xml:space="preserve"> </v>
      </c>
      <c r="C113" s="141" t="str" cm="1">
        <f t="array" ref="C113">IFERROR(VLOOKUP($A113,'The List'!$B1:$AS671,4,FALSE)," ")</f>
        <v xml:space="preserve"> </v>
      </c>
      <c r="D113" s="18" t="str" cm="1">
        <f t="array" ref="D113">IFERROR(VLOOKUP($A113,'The List'!$B1:$AS671,5,FALSE)," ")</f>
        <v xml:space="preserve"> </v>
      </c>
      <c r="E113" s="18" t="str" cm="1">
        <f t="array" ref="E113">IFERROR(VLOOKUP($A113,'The List'!$B1:$AS671,6,FALSE)," ")</f>
        <v xml:space="preserve"> </v>
      </c>
      <c r="F113" s="92" t="str" cm="1">
        <f t="array" ref="F113">IFERROR(VLOOKUP($A113,'The List'!$B1:$AS671,8,FALSE)," ")</f>
        <v xml:space="preserve"> </v>
      </c>
      <c r="G113" s="92" t="str" cm="1">
        <f t="array" ref="G113">IFERROR(VLOOKUP($A113,'The List'!$B1:$AS671,10,FALSE)," ")</f>
        <v xml:space="preserve"> </v>
      </c>
      <c r="H113" s="55"/>
      <c r="I113" s="84" t="str" cm="1">
        <f t="array" ref="I113">IFERROR(VLOOKUP($A113,'The List'!$B1:$AS671,35,FALSE)," ")</f>
        <v xml:space="preserve"> </v>
      </c>
      <c r="J113" s="84" t="str" cm="1">
        <f t="array" ref="J113">IFERROR(VLOOKUP($A113,'The List'!$B1:$AS671,36,FALSE)," ")</f>
        <v xml:space="preserve"> </v>
      </c>
      <c r="K113" s="84" t="str" cm="1">
        <f t="array" ref="K113">IFERROR(VLOOKUP($A113,'The List'!$B1:$AS671,37,FALSE)," ")</f>
        <v xml:space="preserve"> </v>
      </c>
      <c r="L113" s="84" t="str" cm="1">
        <f t="array" ref="L113">IFERROR(VLOOKUP($A113,'The List'!$B1:$AS671,38,FALSE)," ")</f>
        <v xml:space="preserve"> </v>
      </c>
      <c r="M113" s="84" t="str" cm="1">
        <f t="array" ref="M113">IFERROR(VLOOKUP($A113,'The List'!$B1:$AS671,39,FALSE)," ")</f>
        <v xml:space="preserve"> </v>
      </c>
      <c r="N113" s="84" t="str" cm="1">
        <f t="array" ref="N113">IFERROR(VLOOKUP($A113,'The List'!$B1:$AS671,40,FALSE)," ")</f>
        <v xml:space="preserve"> </v>
      </c>
      <c r="O113" s="84" t="str" cm="1">
        <f t="array" ref="O113">IFERROR(VLOOKUP($A113,'The List'!$B1:$AS671,41,FALSE)," ")</f>
        <v xml:space="preserve"> </v>
      </c>
      <c r="P113" s="84" t="str" cm="1">
        <f t="array" ref="P113">IFERROR(VLOOKUP($A113,'The List'!$B1:$AS671,42,FALSE)," ")</f>
        <v xml:space="preserve"> </v>
      </c>
      <c r="Q113" s="84" t="str" cm="1">
        <f t="array" ref="Q113">IFERROR(VLOOKUP($A113,'The List'!$B1:$AS671,43,FALSE)," ")</f>
        <v xml:space="preserve"> </v>
      </c>
      <c r="R113" s="85"/>
      <c r="S113" s="85"/>
      <c r="T113" s="85"/>
      <c r="U113" s="194"/>
      <c r="V113" s="194"/>
      <c r="W113" s="194"/>
      <c r="X113" s="194"/>
      <c r="Y113" s="194"/>
      <c r="Z113" s="194"/>
      <c r="AA113" s="85"/>
      <c r="AB113" s="85"/>
      <c r="AC113" s="85"/>
      <c r="AD113" s="85"/>
      <c r="AE113" s="85"/>
      <c r="AF113" s="85"/>
    </row>
    <row r="114" spans="1:32" ht="21.25" customHeight="1" x14ac:dyDescent="0.15">
      <c r="A114" s="103"/>
      <c r="B114" s="142" t="str" cm="1">
        <f t="array" ref="B114">IFERROR(VLOOKUP($A114,'The List'!$B1:$AS671,3,FALSE)," ")</f>
        <v xml:space="preserve"> </v>
      </c>
      <c r="C114" s="143" t="str" cm="1">
        <f t="array" ref="C114">IFERROR(VLOOKUP($A114,'The List'!$B1:$AS671,4,FALSE)," ")</f>
        <v xml:space="preserve"> </v>
      </c>
      <c r="D114" s="106" t="str" cm="1">
        <f t="array" ref="D114">IFERROR(VLOOKUP($A114,'The List'!$B1:$AS671,5,FALSE)," ")</f>
        <v xml:space="preserve"> </v>
      </c>
      <c r="E114" s="106" t="str" cm="1">
        <f t="array" ref="E114">IFERROR(VLOOKUP($A114,'The List'!$B1:$AS671,6,FALSE)," ")</f>
        <v xml:space="preserve"> </v>
      </c>
      <c r="F114" s="107" t="str" cm="1">
        <f t="array" ref="F114">IFERROR(VLOOKUP($A114,'The List'!$B1:$AS671,8,FALSE)," ")</f>
        <v xml:space="preserve"> </v>
      </c>
      <c r="G114" s="107" t="str" cm="1">
        <f t="array" ref="G114">IFERROR(VLOOKUP($A114,'The List'!$B1:$AS671,10,FALSE)," ")</f>
        <v xml:space="preserve"> </v>
      </c>
      <c r="H114" s="108"/>
      <c r="I114" s="109" t="str" cm="1">
        <f t="array" ref="I114">IFERROR(VLOOKUP($A114,'The List'!$B1:$AS671,35,FALSE)," ")</f>
        <v xml:space="preserve"> </v>
      </c>
      <c r="J114" s="109" t="str" cm="1">
        <f t="array" ref="J114">IFERROR(VLOOKUP($A114,'The List'!$B1:$AS671,36,FALSE)," ")</f>
        <v xml:space="preserve"> </v>
      </c>
      <c r="K114" s="109" t="str" cm="1">
        <f t="array" ref="K114">IFERROR(VLOOKUP($A114,'The List'!$B1:$AS671,37,FALSE)," ")</f>
        <v xml:space="preserve"> </v>
      </c>
      <c r="L114" s="109" t="str" cm="1">
        <f t="array" ref="L114">IFERROR(VLOOKUP($A114,'The List'!$B1:$AS671,38,FALSE)," ")</f>
        <v xml:space="preserve"> </v>
      </c>
      <c r="M114" s="109" t="str" cm="1">
        <f t="array" ref="M114">IFERROR(VLOOKUP($A114,'The List'!$B1:$AS671,39,FALSE)," ")</f>
        <v xml:space="preserve"> </v>
      </c>
      <c r="N114" s="109" t="str" cm="1">
        <f t="array" ref="N114">IFERROR(VLOOKUP($A114,'The List'!$B1:$AS671,40,FALSE)," ")</f>
        <v xml:space="preserve"> </v>
      </c>
      <c r="O114" s="109" t="str" cm="1">
        <f t="array" ref="O114">IFERROR(VLOOKUP($A114,'The List'!$B1:$AS671,41,FALSE)," ")</f>
        <v xml:space="preserve"> </v>
      </c>
      <c r="P114" s="109" t="str" cm="1">
        <f t="array" ref="P114">IFERROR(VLOOKUP($A114,'The List'!$B1:$AS671,42,FALSE)," ")</f>
        <v xml:space="preserve"> </v>
      </c>
      <c r="Q114" s="109" t="str" cm="1">
        <f t="array" ref="Q114">IFERROR(VLOOKUP($A114,'The List'!$B1:$AS671,43,FALSE)," ")</f>
        <v xml:space="preserve"> </v>
      </c>
      <c r="R114" s="85"/>
      <c r="S114" s="85"/>
      <c r="T114" s="85"/>
      <c r="U114" s="194"/>
      <c r="V114" s="194"/>
      <c r="W114" s="194"/>
      <c r="X114" s="194"/>
      <c r="Y114" s="194"/>
      <c r="Z114" s="194"/>
      <c r="AA114" s="85"/>
      <c r="AB114" s="85"/>
      <c r="AC114" s="85"/>
      <c r="AD114" s="85"/>
      <c r="AE114" s="85"/>
      <c r="AF114" s="85"/>
    </row>
    <row r="115" spans="1:32" ht="21.25" customHeight="1" x14ac:dyDescent="0.15">
      <c r="A115" s="110"/>
      <c r="B115" s="111"/>
      <c r="C115" s="112"/>
      <c r="D115" s="113"/>
      <c r="E115" s="113" t="str" cm="1">
        <f t="array" ref="E115">IFERROR(AVERAGE(E112:E114)," ")</f>
        <v xml:space="preserve"> </v>
      </c>
      <c r="F115" s="115" cm="1">
        <f t="array" ref="F115">SUM(F112:F114)</f>
        <v>0</v>
      </c>
      <c r="G115" s="115" cm="1">
        <f t="array" ref="G115">SUM(G112:G114)</f>
        <v>0</v>
      </c>
      <c r="H115" s="116"/>
      <c r="I115" s="117" cm="1">
        <f t="array" ref="I115">SUM(I112:I114)</f>
        <v>0</v>
      </c>
      <c r="J115" s="116" cm="1">
        <f t="array" ref="J115">SUM(J112:J114)</f>
        <v>0</v>
      </c>
      <c r="K115" s="117" cm="1">
        <f t="array" ref="K115">SUM(K112:K114)</f>
        <v>0</v>
      </c>
      <c r="L115" s="117" cm="1">
        <f t="array" ref="L115">SUM(L112:L114)</f>
        <v>0</v>
      </c>
      <c r="M115" s="117" cm="1">
        <f t="array" ref="M115">SUM(M112:M114)</f>
        <v>0</v>
      </c>
      <c r="N115" s="117" cm="1">
        <f t="array" ref="N115">SUM(N112:N114)</f>
        <v>0</v>
      </c>
      <c r="O115" s="117" cm="1">
        <f t="array" ref="O115">SUM(O112:O114)</f>
        <v>0</v>
      </c>
      <c r="P115" s="144" t="e" cm="1">
        <f t="array" ref="P115">1-(O115/(N115+O115))</f>
        <v>#DIV/0!</v>
      </c>
      <c r="Q115" s="145" t="e" cm="1">
        <f t="array" ref="Q115">O115/I115</f>
        <v>#DIV/0!</v>
      </c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</row>
    <row r="116" spans="1:32" ht="70.75" customHeight="1" x14ac:dyDescent="0.15">
      <c r="A116" s="37"/>
      <c r="B116" s="120"/>
      <c r="C116" s="121"/>
      <c r="D116" s="13"/>
      <c r="E116" s="13"/>
      <c r="F116" s="122"/>
      <c r="G116" s="123"/>
      <c r="H116" s="124"/>
      <c r="I116" s="12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90"/>
      <c r="AB116" s="90"/>
      <c r="AC116" s="90"/>
      <c r="AD116" s="90"/>
      <c r="AE116" s="90"/>
      <c r="AF116" s="90"/>
    </row>
    <row r="117" spans="1:32" ht="21.25" customHeight="1" x14ac:dyDescent="0.15">
      <c r="A117" s="41" t="s">
        <v>802</v>
      </c>
      <c r="B117" s="203" t="s">
        <v>92</v>
      </c>
      <c r="C117" s="200"/>
      <c r="D117" s="42" t="s">
        <v>93</v>
      </c>
      <c r="E117" s="42" t="s">
        <v>94</v>
      </c>
      <c r="F117" s="43" t="s">
        <v>96</v>
      </c>
      <c r="G117" s="43" t="s">
        <v>98</v>
      </c>
      <c r="H117" s="44"/>
      <c r="I117" s="46" t="s">
        <v>103</v>
      </c>
      <c r="J117" s="46" t="s">
        <v>56</v>
      </c>
      <c r="K117" s="46" t="s">
        <v>104</v>
      </c>
      <c r="L117" s="46" t="s">
        <v>105</v>
      </c>
      <c r="M117" s="46" t="s">
        <v>106</v>
      </c>
      <c r="N117" s="46" t="s">
        <v>107</v>
      </c>
      <c r="O117" s="46" t="s">
        <v>64</v>
      </c>
      <c r="P117" s="46" t="s">
        <v>67</v>
      </c>
      <c r="Q117" s="46" t="s">
        <v>108</v>
      </c>
      <c r="R117" s="46" t="s">
        <v>109</v>
      </c>
      <c r="S117" s="46" t="s">
        <v>110</v>
      </c>
      <c r="T117" s="46" t="s">
        <v>111</v>
      </c>
      <c r="U117" s="46" t="s">
        <v>112</v>
      </c>
      <c r="V117" s="46" t="s">
        <v>113</v>
      </c>
      <c r="W117" s="46" t="s">
        <v>114</v>
      </c>
      <c r="X117" s="46" t="s">
        <v>115</v>
      </c>
      <c r="Y117" s="46" t="s">
        <v>116</v>
      </c>
      <c r="Z117" s="46" t="s">
        <v>117</v>
      </c>
      <c r="AA117" s="85"/>
      <c r="AB117" s="86"/>
      <c r="AC117" s="86"/>
      <c r="AD117" s="86"/>
      <c r="AE117" s="86"/>
      <c r="AF117" s="86"/>
    </row>
    <row r="118" spans="1:32" ht="21.25" customHeight="1" x14ac:dyDescent="0.15">
      <c r="A118" s="24"/>
      <c r="B118" s="87" t="str" cm="1">
        <f t="array" ref="B118">IFERROR(VLOOKUP($A118,'The List'!$B1:$AS671,3,FALSE)," ")</f>
        <v xml:space="preserve"> </v>
      </c>
      <c r="C118" s="91" t="str" cm="1">
        <f t="array" ref="C118">IFERROR(VLOOKUP($A118,'The List'!$B1:$AS671,4,FALSE)," ")</f>
        <v xml:space="preserve"> </v>
      </c>
      <c r="D118" s="18" t="str" cm="1">
        <f t="array" ref="D118">IFERROR(VLOOKUP($A118,'The List'!$B1:$AS671,5,FALSE)," ")</f>
        <v xml:space="preserve"> </v>
      </c>
      <c r="E118" s="18" t="str" cm="1">
        <f t="array" ref="E118">IFERROR(VLOOKUP($A118,'The List'!$B1:$AS671,6,FALSE)," ")</f>
        <v xml:space="preserve"> </v>
      </c>
      <c r="F118" s="92" t="str" cm="1">
        <f t="array" ref="F118">IFERROR(VLOOKUP($A118,'The List'!$B1:$AS671,8,FALSE)," ")</f>
        <v xml:space="preserve"> </v>
      </c>
      <c r="G118" s="92" t="str" cm="1">
        <f t="array" ref="G118">IFERROR(VLOOKUP($A118,'The List'!$B1:$AS671,10,FALSE)," ")</f>
        <v xml:space="preserve"> </v>
      </c>
      <c r="H118" s="55"/>
      <c r="I118" s="84" t="str" cm="1">
        <f t="array" ref="I118">IFERROR(VLOOKUP($A118,'The List'!$B1:$AS671,16,FALSE)," ")</f>
        <v xml:space="preserve"> </v>
      </c>
      <c r="J118" s="84" t="str" cm="1">
        <f t="array" ref="J118">IFERROR(VLOOKUP($A118,'The List'!$B1:$AS671,17,FALSE)," ")</f>
        <v xml:space="preserve"> </v>
      </c>
      <c r="K118" s="84" t="str" cm="1">
        <f t="array" ref="K118">IFERROR(VLOOKUP($A118,'The List'!$B1:$AS671,18,FALSE)," ")</f>
        <v xml:space="preserve"> </v>
      </c>
      <c r="L118" s="84" t="str" cm="1">
        <f t="array" ref="L118">IFERROR(VLOOKUP($A118,'The List'!$B1:$AS671,19,FALSE)," ")</f>
        <v xml:space="preserve"> </v>
      </c>
      <c r="M118" s="84" t="str" cm="1">
        <f t="array" ref="M118">IFERROR(VLOOKUP($A118,'The List'!$B1:$AS671,20,FALSE)," ")</f>
        <v xml:space="preserve"> </v>
      </c>
      <c r="N118" s="84" t="str" cm="1">
        <f t="array" ref="N118">IFERROR(VLOOKUP($A118,'The List'!$B1:$AS671,21,FALSE)," ")</f>
        <v xml:space="preserve"> </v>
      </c>
      <c r="O118" s="84" t="str" cm="1">
        <f t="array" ref="O118">IFERROR(VLOOKUP($A118,'The List'!$B1:$AS671,22,FALSE)," ")</f>
        <v xml:space="preserve"> </v>
      </c>
      <c r="P118" s="84" t="str" cm="1">
        <f t="array" ref="P118">IFERROR(VLOOKUP($A118,'The List'!$B1:$AS671,23,FALSE)," ")</f>
        <v xml:space="preserve"> </v>
      </c>
      <c r="Q118" s="84" t="str" cm="1">
        <f t="array" ref="Q118">IFERROR(VLOOKUP($A118,'The List'!$B1:$AS671,24,FALSE)," ")</f>
        <v xml:space="preserve"> </v>
      </c>
      <c r="R118" s="84" t="str" cm="1">
        <f t="array" ref="R118">IFERROR(VLOOKUP($A118,'The List'!$B1:$AS671,25,FALSE)," ")</f>
        <v xml:space="preserve"> </v>
      </c>
      <c r="S118" s="84" t="str" cm="1">
        <f t="array" ref="S118">IFERROR(VLOOKUP($A118,'The List'!$B1:$AS671,26,FALSE)," ")</f>
        <v xml:space="preserve"> </v>
      </c>
      <c r="T118" s="84" t="str" cm="1">
        <f t="array" ref="T118">IFERROR(VLOOKUP($A118,'The List'!$B1:$AS671,27,FALSE)," ")</f>
        <v xml:space="preserve"> </v>
      </c>
      <c r="U118" s="84" t="str" cm="1">
        <f t="array" ref="U118">IFERROR(VLOOKUP($A118,'The List'!$B1:$AS671,28,FALSE)," ")</f>
        <v xml:space="preserve"> </v>
      </c>
      <c r="V118" s="84" t="str" cm="1">
        <f t="array" ref="V118">IFERROR(VLOOKUP($A118,'The List'!$B1:$AS671,29,FALSE)," ")</f>
        <v xml:space="preserve"> </v>
      </c>
      <c r="W118" s="84" t="str" cm="1">
        <f t="array" ref="W118">IFERROR(VLOOKUP($A118,'The List'!$B1:$AS671,30,FALSE)," ")</f>
        <v xml:space="preserve"> </v>
      </c>
      <c r="X118" s="84" t="str" cm="1">
        <f t="array" ref="X118">IFERROR(VLOOKUP($A118,'The List'!$B1:$AS671,31,FALSE)," ")</f>
        <v xml:space="preserve"> </v>
      </c>
      <c r="Y118" s="84" t="str" cm="1">
        <f t="array" ref="Y118">IFERROR(VLOOKUP($A118,'The List'!$B1:$AS671,32,FALSE)," ")</f>
        <v xml:space="preserve"> </v>
      </c>
      <c r="Z118" s="84" t="str" cm="1">
        <f t="array" ref="Z118">IFERROR(VLOOKUP($A118,'The List'!$B1:$AS671,33,FALSE)," ")</f>
        <v xml:space="preserve"> </v>
      </c>
      <c r="AA118" s="85"/>
      <c r="AB118" s="90"/>
      <c r="AC118" s="90"/>
      <c r="AD118" s="90"/>
      <c r="AE118" s="90"/>
      <c r="AF118" s="90"/>
    </row>
    <row r="119" spans="1:32" ht="21.25" customHeight="1" x14ac:dyDescent="0.15">
      <c r="A119" s="24"/>
      <c r="B119" s="87" t="str" cm="1">
        <f t="array" ref="B119">IFERROR(VLOOKUP($A119,'The List'!$B1:$AS671,3,FALSE)," ")</f>
        <v xml:space="preserve"> </v>
      </c>
      <c r="C119" s="91" t="str" cm="1">
        <f t="array" ref="C119">IFERROR(VLOOKUP($A119,'The List'!$B1:$AS671,4,FALSE)," ")</f>
        <v xml:space="preserve"> </v>
      </c>
      <c r="D119" s="18" t="str" cm="1">
        <f t="array" ref="D119">IFERROR(VLOOKUP($A119,'The List'!$B1:$AS671,5,FALSE)," ")</f>
        <v xml:space="preserve"> </v>
      </c>
      <c r="E119" s="18" t="str" cm="1">
        <f t="array" ref="E119">IFERROR(VLOOKUP($A119,'The List'!$B1:$AS671,6,FALSE)," ")</f>
        <v xml:space="preserve"> </v>
      </c>
      <c r="F119" s="92" t="str" cm="1">
        <f t="array" ref="F119">IFERROR(VLOOKUP($A119,'The List'!$B1:$AS671,8,FALSE)," ")</f>
        <v xml:space="preserve"> </v>
      </c>
      <c r="G119" s="92" t="str" cm="1">
        <f t="array" ref="G119">IFERROR(VLOOKUP($A119,'The List'!$B1:$AS671,10,FALSE)," ")</f>
        <v xml:space="preserve"> </v>
      </c>
      <c r="H119" s="55"/>
      <c r="I119" s="84" t="str" cm="1">
        <f t="array" ref="I119">IFERROR(VLOOKUP($A119,'The List'!$B1:$AS671,16,FALSE)," ")</f>
        <v xml:space="preserve"> </v>
      </c>
      <c r="J119" s="84" t="str" cm="1">
        <f t="array" ref="J119">IFERROR(VLOOKUP($A119,'The List'!$B1:$AS671,17,FALSE)," ")</f>
        <v xml:space="preserve"> </v>
      </c>
      <c r="K119" s="84" t="str" cm="1">
        <f t="array" ref="K119">IFERROR(VLOOKUP($A119,'The List'!$B1:$AS671,18,FALSE)," ")</f>
        <v xml:space="preserve"> </v>
      </c>
      <c r="L119" s="84" t="str" cm="1">
        <f t="array" ref="L119">IFERROR(VLOOKUP($A119,'The List'!$B1:$AS671,19,FALSE)," ")</f>
        <v xml:space="preserve"> </v>
      </c>
      <c r="M119" s="84" t="str" cm="1">
        <f t="array" ref="M119">IFERROR(VLOOKUP($A119,'The List'!$B1:$AS671,20,FALSE)," ")</f>
        <v xml:space="preserve"> </v>
      </c>
      <c r="N119" s="84" t="str" cm="1">
        <f t="array" ref="N119">IFERROR(VLOOKUP($A119,'The List'!$B1:$AS671,21,FALSE)," ")</f>
        <v xml:space="preserve"> </v>
      </c>
      <c r="O119" s="84" t="str" cm="1">
        <f t="array" ref="O119">IFERROR(VLOOKUP($A119,'The List'!$B1:$AS671,22,FALSE)," ")</f>
        <v xml:space="preserve"> </v>
      </c>
      <c r="P119" s="84" t="str" cm="1">
        <f t="array" ref="P119">IFERROR(VLOOKUP($A119,'The List'!$B1:$AS671,23,FALSE)," ")</f>
        <v xml:space="preserve"> </v>
      </c>
      <c r="Q119" s="84" t="str" cm="1">
        <f t="array" ref="Q119">IFERROR(VLOOKUP($A119,'The List'!$B1:$AS671,24,FALSE)," ")</f>
        <v xml:space="preserve"> </v>
      </c>
      <c r="R119" s="84" t="str" cm="1">
        <f t="array" ref="R119">IFERROR(VLOOKUP($A119,'The List'!$B1:$AS671,25,FALSE)," ")</f>
        <v xml:space="preserve"> </v>
      </c>
      <c r="S119" s="84" t="str" cm="1">
        <f t="array" ref="S119">IFERROR(VLOOKUP($A119,'The List'!$B1:$AS671,26,FALSE)," ")</f>
        <v xml:space="preserve"> </v>
      </c>
      <c r="T119" s="84" t="str" cm="1">
        <f t="array" ref="T119">IFERROR(VLOOKUP($A119,'The List'!$B1:$AS671,27,FALSE)," ")</f>
        <v xml:space="preserve"> </v>
      </c>
      <c r="U119" s="84" t="str" cm="1">
        <f t="array" ref="U119">IFERROR(VLOOKUP($A119,'The List'!$B1:$AS671,28,FALSE)," ")</f>
        <v xml:space="preserve"> </v>
      </c>
      <c r="V119" s="84" t="str" cm="1">
        <f t="array" ref="V119">IFERROR(VLOOKUP($A119,'The List'!$B1:$AS671,29,FALSE)," ")</f>
        <v xml:space="preserve"> </v>
      </c>
      <c r="W119" s="84" t="str" cm="1">
        <f t="array" ref="W119">IFERROR(VLOOKUP($A119,'The List'!$B1:$AS671,30,FALSE)," ")</f>
        <v xml:space="preserve"> </v>
      </c>
      <c r="X119" s="84" t="str" cm="1">
        <f t="array" ref="X119">IFERROR(VLOOKUP($A119,'The List'!$B1:$AS671,31,FALSE)," ")</f>
        <v xml:space="preserve"> </v>
      </c>
      <c r="Y119" s="84" t="str" cm="1">
        <f t="array" ref="Y119">IFERROR(VLOOKUP($A119,'The List'!$B1:$AS671,32,FALSE)," ")</f>
        <v xml:space="preserve"> </v>
      </c>
      <c r="Z119" s="84" t="str" cm="1">
        <f t="array" ref="Z119">IFERROR(VLOOKUP($A119,'The List'!$B1:$AS671,33,FALSE)," ")</f>
        <v xml:space="preserve"> </v>
      </c>
      <c r="AA119" s="85"/>
      <c r="AB119" s="90"/>
      <c r="AC119" s="90"/>
      <c r="AD119" s="90"/>
      <c r="AE119" s="90"/>
      <c r="AF119" s="90"/>
    </row>
    <row r="120" spans="1:32" ht="21.25" customHeight="1" x14ac:dyDescent="0.15">
      <c r="A120" s="24"/>
      <c r="B120" s="87" t="str" cm="1">
        <f t="array" ref="B120">IFERROR(VLOOKUP($A120,'The List'!$B1:$AS671,3,FALSE)," ")</f>
        <v xml:space="preserve"> </v>
      </c>
      <c r="C120" s="91" t="str" cm="1">
        <f t="array" ref="C120">IFERROR(VLOOKUP($A120,'The List'!$B1:$AS671,4,FALSE)," ")</f>
        <v xml:space="preserve"> </v>
      </c>
      <c r="D120" s="18" t="str" cm="1">
        <f t="array" ref="D120">IFERROR(VLOOKUP($A120,'The List'!$B1:$AS671,5,FALSE)," ")</f>
        <v xml:space="preserve"> </v>
      </c>
      <c r="E120" s="18" t="str" cm="1">
        <f t="array" ref="E120">IFERROR(VLOOKUP($A120,'The List'!$B1:$AS671,6,FALSE)," ")</f>
        <v xml:space="preserve"> </v>
      </c>
      <c r="F120" s="92" t="str" cm="1">
        <f t="array" ref="F120">IFERROR(VLOOKUP($A120,'The List'!$B1:$AS671,8,FALSE)," ")</f>
        <v xml:space="preserve"> </v>
      </c>
      <c r="G120" s="92" t="str" cm="1">
        <f t="array" ref="G120">IFERROR(VLOOKUP($A120,'The List'!$B1:$AS671,10,FALSE)," ")</f>
        <v xml:space="preserve"> </v>
      </c>
      <c r="H120" s="55"/>
      <c r="I120" s="84" t="str" cm="1">
        <f t="array" ref="I120">IFERROR(VLOOKUP($A120,'The List'!$B1:$AS671,16,FALSE)," ")</f>
        <v xml:space="preserve"> </v>
      </c>
      <c r="J120" s="84" t="str" cm="1">
        <f t="array" ref="J120">IFERROR(VLOOKUP($A120,'The List'!$B1:$AS671,17,FALSE)," ")</f>
        <v xml:space="preserve"> </v>
      </c>
      <c r="K120" s="84" t="str" cm="1">
        <f t="array" ref="K120">IFERROR(VLOOKUP($A120,'The List'!$B1:$AS671,18,FALSE)," ")</f>
        <v xml:space="preserve"> </v>
      </c>
      <c r="L120" s="84" t="str" cm="1">
        <f t="array" ref="L120">IFERROR(VLOOKUP($A120,'The List'!$B1:$AS671,19,FALSE)," ")</f>
        <v xml:space="preserve"> </v>
      </c>
      <c r="M120" s="84" t="str" cm="1">
        <f t="array" ref="M120">IFERROR(VLOOKUP($A120,'The List'!$B1:$AS671,20,FALSE)," ")</f>
        <v xml:space="preserve"> </v>
      </c>
      <c r="N120" s="84" t="str" cm="1">
        <f t="array" ref="N120">IFERROR(VLOOKUP($A120,'The List'!$B1:$AS671,21,FALSE)," ")</f>
        <v xml:space="preserve"> </v>
      </c>
      <c r="O120" s="84" t="str" cm="1">
        <f t="array" ref="O120">IFERROR(VLOOKUP($A120,'The List'!$B1:$AS671,22,FALSE)," ")</f>
        <v xml:space="preserve"> </v>
      </c>
      <c r="P120" s="84" t="str" cm="1">
        <f t="array" ref="P120">IFERROR(VLOOKUP($A120,'The List'!$B1:$AS671,23,FALSE)," ")</f>
        <v xml:space="preserve"> </v>
      </c>
      <c r="Q120" s="84" t="str" cm="1">
        <f t="array" ref="Q120">IFERROR(VLOOKUP($A120,'The List'!$B1:$AS671,24,FALSE)," ")</f>
        <v xml:space="preserve"> </v>
      </c>
      <c r="R120" s="84" t="str" cm="1">
        <f t="array" ref="R120">IFERROR(VLOOKUP($A120,'The List'!$B1:$AS671,25,FALSE)," ")</f>
        <v xml:space="preserve"> </v>
      </c>
      <c r="S120" s="84" t="str" cm="1">
        <f t="array" ref="S120">IFERROR(VLOOKUP($A120,'The List'!$B1:$AS671,26,FALSE)," ")</f>
        <v xml:space="preserve"> </v>
      </c>
      <c r="T120" s="84" t="str" cm="1">
        <f t="array" ref="T120">IFERROR(VLOOKUP($A120,'The List'!$B1:$AS671,27,FALSE)," ")</f>
        <v xml:space="preserve"> </v>
      </c>
      <c r="U120" s="84" t="str" cm="1">
        <f t="array" ref="U120">IFERROR(VLOOKUP($A120,'The List'!$B1:$AS671,28,FALSE)," ")</f>
        <v xml:space="preserve"> </v>
      </c>
      <c r="V120" s="84" t="str" cm="1">
        <f t="array" ref="V120">IFERROR(VLOOKUP($A120,'The List'!$B1:$AS671,29,FALSE)," ")</f>
        <v xml:space="preserve"> </v>
      </c>
      <c r="W120" s="84" t="str" cm="1">
        <f t="array" ref="W120">IFERROR(VLOOKUP($A120,'The List'!$B1:$AS671,30,FALSE)," ")</f>
        <v xml:space="preserve"> </v>
      </c>
      <c r="X120" s="84" t="str" cm="1">
        <f t="array" ref="X120">IFERROR(VLOOKUP($A120,'The List'!$B1:$AS671,31,FALSE)," ")</f>
        <v xml:space="preserve"> </v>
      </c>
      <c r="Y120" s="84" t="str" cm="1">
        <f t="array" ref="Y120">IFERROR(VLOOKUP($A120,'The List'!$B1:$AS671,32,FALSE)," ")</f>
        <v xml:space="preserve"> </v>
      </c>
      <c r="Z120" s="84" t="str" cm="1">
        <f t="array" ref="Z120">IFERROR(VLOOKUP($A120,'The List'!$B1:$AS671,33,FALSE)," ")</f>
        <v xml:space="preserve"> </v>
      </c>
      <c r="AA120" s="85"/>
      <c r="AB120" s="90"/>
      <c r="AC120" s="90"/>
      <c r="AD120" s="90"/>
      <c r="AE120" s="90"/>
      <c r="AF120" s="90"/>
    </row>
    <row r="121" spans="1:32" ht="21.25" customHeight="1" x14ac:dyDescent="0.15">
      <c r="A121" s="24"/>
      <c r="B121" s="87" t="str" cm="1">
        <f t="array" ref="B121">IFERROR(VLOOKUP($A121,'The List'!$B1:$AS671,3,FALSE)," ")</f>
        <v xml:space="preserve"> </v>
      </c>
      <c r="C121" s="91" t="str" cm="1">
        <f t="array" ref="C121">IFERROR(VLOOKUP($A121,'The List'!$B1:$AS671,4,FALSE)," ")</f>
        <v xml:space="preserve"> </v>
      </c>
      <c r="D121" s="18" t="str" cm="1">
        <f t="array" ref="D121">IFERROR(VLOOKUP($A121,'The List'!$B1:$AS671,5,FALSE)," ")</f>
        <v xml:space="preserve"> </v>
      </c>
      <c r="E121" s="18" t="str" cm="1">
        <f t="array" ref="E121">IFERROR(VLOOKUP($A121,'The List'!$B1:$AS671,6,FALSE)," ")</f>
        <v xml:space="preserve"> </v>
      </c>
      <c r="F121" s="92" t="str" cm="1">
        <f t="array" ref="F121">IFERROR(VLOOKUP($A121,'The List'!$B1:$AS671,8,FALSE)," ")</f>
        <v xml:space="preserve"> </v>
      </c>
      <c r="G121" s="92" t="str" cm="1">
        <f t="array" ref="G121">IFERROR(VLOOKUP($A121,'The List'!$B1:$AS671,10,FALSE)," ")</f>
        <v xml:space="preserve"> </v>
      </c>
      <c r="H121" s="55"/>
      <c r="I121" s="84" t="str" cm="1">
        <f t="array" ref="I121">IFERROR(VLOOKUP($A121,'The List'!$B1:$AS671,16,FALSE)," ")</f>
        <v xml:space="preserve"> </v>
      </c>
      <c r="J121" s="84" t="str" cm="1">
        <f t="array" ref="J121">IFERROR(VLOOKUP($A121,'The List'!$B1:$AS671,17,FALSE)," ")</f>
        <v xml:space="preserve"> </v>
      </c>
      <c r="K121" s="84" t="str" cm="1">
        <f t="array" ref="K121">IFERROR(VLOOKUP($A121,'The List'!$B1:$AS671,18,FALSE)," ")</f>
        <v xml:space="preserve"> </v>
      </c>
      <c r="L121" s="84" t="str" cm="1">
        <f t="array" ref="L121">IFERROR(VLOOKUP($A121,'The List'!$B1:$AS671,19,FALSE)," ")</f>
        <v xml:space="preserve"> </v>
      </c>
      <c r="M121" s="84" t="str" cm="1">
        <f t="array" ref="M121">IFERROR(VLOOKUP($A121,'The List'!$B1:$AS671,20,FALSE)," ")</f>
        <v xml:space="preserve"> </v>
      </c>
      <c r="N121" s="84" t="str" cm="1">
        <f t="array" ref="N121">IFERROR(VLOOKUP($A121,'The List'!$B1:$AS671,21,FALSE)," ")</f>
        <v xml:space="preserve"> </v>
      </c>
      <c r="O121" s="84" t="str" cm="1">
        <f t="array" ref="O121">IFERROR(VLOOKUP($A121,'The List'!$B1:$AS671,22,FALSE)," ")</f>
        <v xml:space="preserve"> </v>
      </c>
      <c r="P121" s="84" t="str" cm="1">
        <f t="array" ref="P121">IFERROR(VLOOKUP($A121,'The List'!$B1:$AS671,23,FALSE)," ")</f>
        <v xml:space="preserve"> </v>
      </c>
      <c r="Q121" s="84" t="str" cm="1">
        <f t="array" ref="Q121">IFERROR(VLOOKUP($A121,'The List'!$B1:$AS671,24,FALSE)," ")</f>
        <v xml:space="preserve"> </v>
      </c>
      <c r="R121" s="84" t="str" cm="1">
        <f t="array" ref="R121">IFERROR(VLOOKUP($A121,'The List'!$B1:$AS671,25,FALSE)," ")</f>
        <v xml:space="preserve"> </v>
      </c>
      <c r="S121" s="84" t="str" cm="1">
        <f t="array" ref="S121">IFERROR(VLOOKUP($A121,'The List'!$B1:$AS671,26,FALSE)," ")</f>
        <v xml:space="preserve"> </v>
      </c>
      <c r="T121" s="84" t="str" cm="1">
        <f t="array" ref="T121">IFERROR(VLOOKUP($A121,'The List'!$B1:$AS671,27,FALSE)," ")</f>
        <v xml:space="preserve"> </v>
      </c>
      <c r="U121" s="84" t="str" cm="1">
        <f t="array" ref="U121">IFERROR(VLOOKUP($A121,'The List'!$B1:$AS671,28,FALSE)," ")</f>
        <v xml:space="preserve"> </v>
      </c>
      <c r="V121" s="84" t="str" cm="1">
        <f t="array" ref="V121">IFERROR(VLOOKUP($A121,'The List'!$B1:$AS671,29,FALSE)," ")</f>
        <v xml:space="preserve"> </v>
      </c>
      <c r="W121" s="84" t="str" cm="1">
        <f t="array" ref="W121">IFERROR(VLOOKUP($A121,'The List'!$B1:$AS671,30,FALSE)," ")</f>
        <v xml:space="preserve"> </v>
      </c>
      <c r="X121" s="84" t="str" cm="1">
        <f t="array" ref="X121">IFERROR(VLOOKUP($A121,'The List'!$B1:$AS671,31,FALSE)," ")</f>
        <v xml:space="preserve"> </v>
      </c>
      <c r="Y121" s="84" t="str" cm="1">
        <f t="array" ref="Y121">IFERROR(VLOOKUP($A121,'The List'!$B1:$AS671,32,FALSE)," ")</f>
        <v xml:space="preserve"> </v>
      </c>
      <c r="Z121" s="84" t="str" cm="1">
        <f t="array" ref="Z121">IFERROR(VLOOKUP($A121,'The List'!$B1:$AS671,33,FALSE)," ")</f>
        <v xml:space="preserve"> </v>
      </c>
      <c r="AA121" s="85"/>
      <c r="AB121" s="90"/>
      <c r="AC121" s="90"/>
      <c r="AD121" s="90"/>
      <c r="AE121" s="90"/>
      <c r="AF121" s="90"/>
    </row>
    <row r="122" spans="1:32" ht="21.25" customHeight="1" x14ac:dyDescent="0.15">
      <c r="A122" s="24"/>
      <c r="B122" s="93" t="str" cm="1">
        <f t="array" ref="B122">IFERROR(VLOOKUP($A122,'The List'!$B1:$AS671,3,FALSE)," ")</f>
        <v xml:space="preserve"> </v>
      </c>
      <c r="C122" s="95" t="str" cm="1">
        <f t="array" ref="C122">IFERROR(VLOOKUP($A122,'The List'!$B1:$AS671,4,FALSE)," ")</f>
        <v xml:space="preserve"> </v>
      </c>
      <c r="D122" s="18" t="str" cm="1">
        <f t="array" ref="D122">IFERROR(VLOOKUP($A122,'The List'!$B1:$AS671,5,FALSE)," ")</f>
        <v xml:space="preserve"> </v>
      </c>
      <c r="E122" s="18" t="str" cm="1">
        <f t="array" ref="E122">IFERROR(VLOOKUP($A122,'The List'!$B1:$AS671,6,FALSE)," ")</f>
        <v xml:space="preserve"> </v>
      </c>
      <c r="F122" s="92" t="str" cm="1">
        <f t="array" ref="F122">IFERROR(VLOOKUP($A122,'The List'!$B1:$AS671,8,FALSE)," ")</f>
        <v xml:space="preserve"> </v>
      </c>
      <c r="G122" s="92" t="str" cm="1">
        <f t="array" ref="G122">IFERROR(VLOOKUP($A122,'The List'!$B1:$AS671,10,FALSE)," ")</f>
        <v xml:space="preserve"> </v>
      </c>
      <c r="H122" s="55"/>
      <c r="I122" s="84" t="str" cm="1">
        <f t="array" ref="I122">IFERROR(VLOOKUP($A122,'The List'!$B1:$AS671,16,FALSE)," ")</f>
        <v xml:space="preserve"> </v>
      </c>
      <c r="J122" s="84" t="str" cm="1">
        <f t="array" ref="J122">IFERROR(VLOOKUP($A122,'The List'!$B1:$AS671,17,FALSE)," ")</f>
        <v xml:space="preserve"> </v>
      </c>
      <c r="K122" s="84" t="str" cm="1">
        <f t="array" ref="K122">IFERROR(VLOOKUP($A122,'The List'!$B1:$AS671,18,FALSE)," ")</f>
        <v xml:space="preserve"> </v>
      </c>
      <c r="L122" s="84" t="str" cm="1">
        <f t="array" ref="L122">IFERROR(VLOOKUP($A122,'The List'!$B1:$AS671,19,FALSE)," ")</f>
        <v xml:space="preserve"> </v>
      </c>
      <c r="M122" s="84" t="str" cm="1">
        <f t="array" ref="M122">IFERROR(VLOOKUP($A122,'The List'!$B1:$AS671,20,FALSE)," ")</f>
        <v xml:space="preserve"> </v>
      </c>
      <c r="N122" s="84" t="str" cm="1">
        <f t="array" ref="N122">IFERROR(VLOOKUP($A122,'The List'!$B1:$AS671,21,FALSE)," ")</f>
        <v xml:space="preserve"> </v>
      </c>
      <c r="O122" s="84" t="str" cm="1">
        <f t="array" ref="O122">IFERROR(VLOOKUP($A122,'The List'!$B1:$AS671,22,FALSE)," ")</f>
        <v xml:space="preserve"> </v>
      </c>
      <c r="P122" s="84" t="str" cm="1">
        <f t="array" ref="P122">IFERROR(VLOOKUP($A122,'The List'!$B1:$AS671,23,FALSE)," ")</f>
        <v xml:space="preserve"> </v>
      </c>
      <c r="Q122" s="84" t="str" cm="1">
        <f t="array" ref="Q122">IFERROR(VLOOKUP($A122,'The List'!$B1:$AS671,24,FALSE)," ")</f>
        <v xml:space="preserve"> </v>
      </c>
      <c r="R122" s="84" t="str" cm="1">
        <f t="array" ref="R122">IFERROR(VLOOKUP($A122,'The List'!$B1:$AS671,25,FALSE)," ")</f>
        <v xml:space="preserve"> </v>
      </c>
      <c r="S122" s="84" t="str" cm="1">
        <f t="array" ref="S122">IFERROR(VLOOKUP($A122,'The List'!$B1:$AS671,26,FALSE)," ")</f>
        <v xml:space="preserve"> </v>
      </c>
      <c r="T122" s="84" t="str" cm="1">
        <f t="array" ref="T122">IFERROR(VLOOKUP($A122,'The List'!$B1:$AS671,27,FALSE)," ")</f>
        <v xml:space="preserve"> </v>
      </c>
      <c r="U122" s="84" t="str" cm="1">
        <f t="array" ref="U122">IFERROR(VLOOKUP($A122,'The List'!$B1:$AS671,28,FALSE)," ")</f>
        <v xml:space="preserve"> </v>
      </c>
      <c r="V122" s="84" t="str" cm="1">
        <f t="array" ref="V122">IFERROR(VLOOKUP($A122,'The List'!$B1:$AS671,29,FALSE)," ")</f>
        <v xml:space="preserve"> </v>
      </c>
      <c r="W122" s="84" t="str" cm="1">
        <f t="array" ref="W122">IFERROR(VLOOKUP($A122,'The List'!$B1:$AS671,30,FALSE)," ")</f>
        <v xml:space="preserve"> </v>
      </c>
      <c r="X122" s="84" t="str" cm="1">
        <f t="array" ref="X122">IFERROR(VLOOKUP($A122,'The List'!$B1:$AS671,31,FALSE)," ")</f>
        <v xml:space="preserve"> </v>
      </c>
      <c r="Y122" s="84" t="str" cm="1">
        <f t="array" ref="Y122">IFERROR(VLOOKUP($A122,'The List'!$B1:$AS671,32,FALSE)," ")</f>
        <v xml:space="preserve"> </v>
      </c>
      <c r="Z122" s="84" t="str" cm="1">
        <f t="array" ref="Z122">IFERROR(VLOOKUP($A122,'The List'!$B1:$AS671,33,FALSE)," ")</f>
        <v xml:space="preserve"> </v>
      </c>
      <c r="AA122" s="85"/>
      <c r="AB122" s="90"/>
      <c r="AC122" s="90"/>
      <c r="AD122" s="90"/>
      <c r="AE122" s="90"/>
      <c r="AF122" s="90"/>
    </row>
    <row r="123" spans="1:32" ht="21.25" customHeight="1" x14ac:dyDescent="0.15">
      <c r="A123" s="24"/>
      <c r="B123" s="93" t="str" cm="1">
        <f t="array" ref="B123">IFERROR(VLOOKUP($A123,'The List'!$B1:$AS671,3,FALSE)," ")</f>
        <v xml:space="preserve"> </v>
      </c>
      <c r="C123" s="95" t="str" cm="1">
        <f t="array" ref="C123">IFERROR(VLOOKUP($A123,'The List'!$B1:$AS671,4,FALSE)," ")</f>
        <v xml:space="preserve"> </v>
      </c>
      <c r="D123" s="18" t="str" cm="1">
        <f t="array" ref="D123">IFERROR(VLOOKUP($A123,'The List'!$B1:$AS671,5,FALSE)," ")</f>
        <v xml:space="preserve"> </v>
      </c>
      <c r="E123" s="18" t="str" cm="1">
        <f t="array" ref="E123">IFERROR(VLOOKUP($A123,'The List'!$B1:$AS671,6,FALSE)," ")</f>
        <v xml:space="preserve"> </v>
      </c>
      <c r="F123" s="92" t="str" cm="1">
        <f t="array" ref="F123">IFERROR(VLOOKUP($A123,'The List'!$B1:$AS671,8,FALSE)," ")</f>
        <v xml:space="preserve"> </v>
      </c>
      <c r="G123" s="92" t="str" cm="1">
        <f t="array" ref="G123">IFERROR(VLOOKUP($A123,'The List'!$B1:$AS671,10,FALSE)," ")</f>
        <v xml:space="preserve"> </v>
      </c>
      <c r="H123" s="55"/>
      <c r="I123" s="84" t="str" cm="1">
        <f t="array" ref="I123">IFERROR(VLOOKUP($A123,'The List'!$B1:$AS671,16,FALSE)," ")</f>
        <v xml:space="preserve"> </v>
      </c>
      <c r="J123" s="84" t="str" cm="1">
        <f t="array" ref="J123">IFERROR(VLOOKUP($A123,'The List'!$B1:$AS671,17,FALSE)," ")</f>
        <v xml:space="preserve"> </v>
      </c>
      <c r="K123" s="84" t="str" cm="1">
        <f t="array" ref="K123">IFERROR(VLOOKUP($A123,'The List'!$B1:$AS671,18,FALSE)," ")</f>
        <v xml:space="preserve"> </v>
      </c>
      <c r="L123" s="84" t="str" cm="1">
        <f t="array" ref="L123">IFERROR(VLOOKUP($A123,'The List'!$B1:$AS671,19,FALSE)," ")</f>
        <v xml:space="preserve"> </v>
      </c>
      <c r="M123" s="84" t="str" cm="1">
        <f t="array" ref="M123">IFERROR(VLOOKUP($A123,'The List'!$B1:$AS671,20,FALSE)," ")</f>
        <v xml:space="preserve"> </v>
      </c>
      <c r="N123" s="84" t="str" cm="1">
        <f t="array" ref="N123">IFERROR(VLOOKUP($A123,'The List'!$B1:$AS671,21,FALSE)," ")</f>
        <v xml:space="preserve"> </v>
      </c>
      <c r="O123" s="84" t="str" cm="1">
        <f t="array" ref="O123">IFERROR(VLOOKUP($A123,'The List'!$B1:$AS671,22,FALSE)," ")</f>
        <v xml:space="preserve"> </v>
      </c>
      <c r="P123" s="84" t="str" cm="1">
        <f t="array" ref="P123">IFERROR(VLOOKUP($A123,'The List'!$B1:$AS671,23,FALSE)," ")</f>
        <v xml:space="preserve"> </v>
      </c>
      <c r="Q123" s="84" t="str" cm="1">
        <f t="array" ref="Q123">IFERROR(VLOOKUP($A123,'The List'!$B1:$AS671,24,FALSE)," ")</f>
        <v xml:space="preserve"> </v>
      </c>
      <c r="R123" s="84" t="str" cm="1">
        <f t="array" ref="R123">IFERROR(VLOOKUP($A123,'The List'!$B1:$AS671,25,FALSE)," ")</f>
        <v xml:space="preserve"> </v>
      </c>
      <c r="S123" s="84" t="str" cm="1">
        <f t="array" ref="S123">IFERROR(VLOOKUP($A123,'The List'!$B1:$AS671,26,FALSE)," ")</f>
        <v xml:space="preserve"> </v>
      </c>
      <c r="T123" s="84" t="str" cm="1">
        <f t="array" ref="T123">IFERROR(VLOOKUP($A123,'The List'!$B1:$AS671,27,FALSE)," ")</f>
        <v xml:space="preserve"> </v>
      </c>
      <c r="U123" s="84" t="str" cm="1">
        <f t="array" ref="U123">IFERROR(VLOOKUP($A123,'The List'!$B1:$AS671,28,FALSE)," ")</f>
        <v xml:space="preserve"> </v>
      </c>
      <c r="V123" s="84" t="str" cm="1">
        <f t="array" ref="V123">IFERROR(VLOOKUP($A123,'The List'!$B1:$AS671,29,FALSE)," ")</f>
        <v xml:space="preserve"> </v>
      </c>
      <c r="W123" s="84" t="str" cm="1">
        <f t="array" ref="W123">IFERROR(VLOOKUP($A123,'The List'!$B1:$AS671,30,FALSE)," ")</f>
        <v xml:space="preserve"> </v>
      </c>
      <c r="X123" s="84" t="str" cm="1">
        <f t="array" ref="X123">IFERROR(VLOOKUP($A123,'The List'!$B1:$AS671,31,FALSE)," ")</f>
        <v xml:space="preserve"> </v>
      </c>
      <c r="Y123" s="84" t="str" cm="1">
        <f t="array" ref="Y123">IFERROR(VLOOKUP($A123,'The List'!$B1:$AS671,32,FALSE)," ")</f>
        <v xml:space="preserve"> </v>
      </c>
      <c r="Z123" s="84" t="str" cm="1">
        <f t="array" ref="Z123">IFERROR(VLOOKUP($A123,'The List'!$B1:$AS671,33,FALSE)," ")</f>
        <v xml:space="preserve"> </v>
      </c>
      <c r="AA123" s="85"/>
      <c r="AB123" s="90"/>
      <c r="AC123" s="90"/>
      <c r="AD123" s="90"/>
      <c r="AE123" s="90"/>
      <c r="AF123" s="90"/>
    </row>
    <row r="124" spans="1:32" ht="21.25" customHeight="1" x14ac:dyDescent="0.15">
      <c r="A124" s="24"/>
      <c r="B124" s="93" t="str" cm="1">
        <f t="array" ref="B124">IFERROR(VLOOKUP($A124,'The List'!$B1:$AS671,3,FALSE)," ")</f>
        <v xml:space="preserve"> </v>
      </c>
      <c r="C124" s="95" t="str" cm="1">
        <f t="array" ref="C124">IFERROR(VLOOKUP($A124,'The List'!$B1:$AS671,4,FALSE)," ")</f>
        <v xml:space="preserve"> </v>
      </c>
      <c r="D124" s="18" t="str" cm="1">
        <f t="array" ref="D124">IFERROR(VLOOKUP($A124,'The List'!$B1:$AS671,5,FALSE)," ")</f>
        <v xml:space="preserve"> </v>
      </c>
      <c r="E124" s="18" t="str" cm="1">
        <f t="array" ref="E124">IFERROR(VLOOKUP($A124,'The List'!$B1:$AS671,6,FALSE)," ")</f>
        <v xml:space="preserve"> </v>
      </c>
      <c r="F124" s="92" t="str" cm="1">
        <f t="array" ref="F124">IFERROR(VLOOKUP($A124,'The List'!$B1:$AS671,8,FALSE)," ")</f>
        <v xml:space="preserve"> </v>
      </c>
      <c r="G124" s="92" t="str" cm="1">
        <f t="array" ref="G124">IFERROR(VLOOKUP($A124,'The List'!$B1:$AS671,10,FALSE)," ")</f>
        <v xml:space="preserve"> </v>
      </c>
      <c r="H124" s="55"/>
      <c r="I124" s="84" t="str" cm="1">
        <f t="array" ref="I124">IFERROR(VLOOKUP($A124,'The List'!$B1:$AS671,16,FALSE)," ")</f>
        <v xml:space="preserve"> </v>
      </c>
      <c r="J124" s="84" t="str" cm="1">
        <f t="array" ref="J124">IFERROR(VLOOKUP($A124,'The List'!$B1:$AS671,17,FALSE)," ")</f>
        <v xml:space="preserve"> </v>
      </c>
      <c r="K124" s="84" t="str" cm="1">
        <f t="array" ref="K124">IFERROR(VLOOKUP($A124,'The List'!$B1:$AS671,18,FALSE)," ")</f>
        <v xml:space="preserve"> </v>
      </c>
      <c r="L124" s="84" t="str" cm="1">
        <f t="array" ref="L124">IFERROR(VLOOKUP($A124,'The List'!$B1:$AS671,19,FALSE)," ")</f>
        <v xml:space="preserve"> </v>
      </c>
      <c r="M124" s="84" t="str" cm="1">
        <f t="array" ref="M124">IFERROR(VLOOKUP($A124,'The List'!$B1:$AS671,20,FALSE)," ")</f>
        <v xml:space="preserve"> </v>
      </c>
      <c r="N124" s="84" t="str" cm="1">
        <f t="array" ref="N124">IFERROR(VLOOKUP($A124,'The List'!$B1:$AS671,21,FALSE)," ")</f>
        <v xml:space="preserve"> </v>
      </c>
      <c r="O124" s="84" t="str" cm="1">
        <f t="array" ref="O124">IFERROR(VLOOKUP($A124,'The List'!$B1:$AS671,22,FALSE)," ")</f>
        <v xml:space="preserve"> </v>
      </c>
      <c r="P124" s="84" t="str" cm="1">
        <f t="array" ref="P124">IFERROR(VLOOKUP($A124,'The List'!$B1:$AS671,23,FALSE)," ")</f>
        <v xml:space="preserve"> </v>
      </c>
      <c r="Q124" s="84" t="str" cm="1">
        <f t="array" ref="Q124">IFERROR(VLOOKUP($A124,'The List'!$B1:$AS671,24,FALSE)," ")</f>
        <v xml:space="preserve"> </v>
      </c>
      <c r="R124" s="84" t="str" cm="1">
        <f t="array" ref="R124">IFERROR(VLOOKUP($A124,'The List'!$B1:$AS671,25,FALSE)," ")</f>
        <v xml:space="preserve"> </v>
      </c>
      <c r="S124" s="84" t="str" cm="1">
        <f t="array" ref="S124">IFERROR(VLOOKUP($A124,'The List'!$B1:$AS671,26,FALSE)," ")</f>
        <v xml:space="preserve"> </v>
      </c>
      <c r="T124" s="84" t="str" cm="1">
        <f t="array" ref="T124">IFERROR(VLOOKUP($A124,'The List'!$B1:$AS671,27,FALSE)," ")</f>
        <v xml:space="preserve"> </v>
      </c>
      <c r="U124" s="84" t="str" cm="1">
        <f t="array" ref="U124">IFERROR(VLOOKUP($A124,'The List'!$B1:$AS671,28,FALSE)," ")</f>
        <v xml:space="preserve"> </v>
      </c>
      <c r="V124" s="84" t="str" cm="1">
        <f t="array" ref="V124">IFERROR(VLOOKUP($A124,'The List'!$B1:$AS671,29,FALSE)," ")</f>
        <v xml:space="preserve"> </v>
      </c>
      <c r="W124" s="84" t="str" cm="1">
        <f t="array" ref="W124">IFERROR(VLOOKUP($A124,'The List'!$B1:$AS671,30,FALSE)," ")</f>
        <v xml:space="preserve"> </v>
      </c>
      <c r="X124" s="84" t="str" cm="1">
        <f t="array" ref="X124">IFERROR(VLOOKUP($A124,'The List'!$B1:$AS671,31,FALSE)," ")</f>
        <v xml:space="preserve"> </v>
      </c>
      <c r="Y124" s="84" t="str" cm="1">
        <f t="array" ref="Y124">IFERROR(VLOOKUP($A124,'The List'!$B1:$AS671,32,FALSE)," ")</f>
        <v xml:space="preserve"> </v>
      </c>
      <c r="Z124" s="84" t="str" cm="1">
        <f t="array" ref="Z124">IFERROR(VLOOKUP($A124,'The List'!$B1:$AS671,33,FALSE)," ")</f>
        <v xml:space="preserve"> </v>
      </c>
      <c r="AA124" s="85"/>
      <c r="AB124" s="90"/>
      <c r="AC124" s="90"/>
      <c r="AD124" s="90"/>
      <c r="AE124" s="90"/>
      <c r="AF124" s="90"/>
    </row>
    <row r="125" spans="1:32" ht="21.25" customHeight="1" x14ac:dyDescent="0.15">
      <c r="A125" s="24"/>
      <c r="B125" s="93" t="str" cm="1">
        <f t="array" ref="B125">IFERROR(VLOOKUP($A125,'The List'!$B1:$AS671,3,FALSE)," ")</f>
        <v xml:space="preserve"> </v>
      </c>
      <c r="C125" s="95" t="str" cm="1">
        <f t="array" ref="C125">IFERROR(VLOOKUP($A125,'The List'!$B1:$AS671,4,FALSE)," ")</f>
        <v xml:space="preserve"> </v>
      </c>
      <c r="D125" s="18" t="str" cm="1">
        <f t="array" ref="D125">IFERROR(VLOOKUP($A125,'The List'!$B1:$AS671,5,FALSE)," ")</f>
        <v xml:space="preserve"> </v>
      </c>
      <c r="E125" s="18" t="str" cm="1">
        <f t="array" ref="E125">IFERROR(VLOOKUP($A125,'The List'!$B1:$AS671,6,FALSE)," ")</f>
        <v xml:space="preserve"> </v>
      </c>
      <c r="F125" s="92" t="str" cm="1">
        <f t="array" ref="F125">IFERROR(VLOOKUP($A125,'The List'!$B1:$AS671,8,FALSE)," ")</f>
        <v xml:space="preserve"> </v>
      </c>
      <c r="G125" s="92" t="str" cm="1">
        <f t="array" ref="G125">IFERROR(VLOOKUP($A125,'The List'!$B1:$AS671,10,FALSE)," ")</f>
        <v xml:space="preserve"> </v>
      </c>
      <c r="H125" s="55"/>
      <c r="I125" s="84" t="str" cm="1">
        <f t="array" ref="I125">IFERROR(VLOOKUP($A125,'The List'!$B1:$AS671,16,FALSE)," ")</f>
        <v xml:space="preserve"> </v>
      </c>
      <c r="J125" s="84" t="str" cm="1">
        <f t="array" ref="J125">IFERROR(VLOOKUP($A125,'The List'!$B1:$AS671,17,FALSE)," ")</f>
        <v xml:space="preserve"> </v>
      </c>
      <c r="K125" s="84" t="str" cm="1">
        <f t="array" ref="K125">IFERROR(VLOOKUP($A125,'The List'!$B1:$AS671,18,FALSE)," ")</f>
        <v xml:space="preserve"> </v>
      </c>
      <c r="L125" s="84" t="str" cm="1">
        <f t="array" ref="L125">IFERROR(VLOOKUP($A125,'The List'!$B1:$AS671,19,FALSE)," ")</f>
        <v xml:space="preserve"> </v>
      </c>
      <c r="M125" s="84" t="str" cm="1">
        <f t="array" ref="M125">IFERROR(VLOOKUP($A125,'The List'!$B1:$AS671,20,FALSE)," ")</f>
        <v xml:space="preserve"> </v>
      </c>
      <c r="N125" s="84" t="str" cm="1">
        <f t="array" ref="N125">IFERROR(VLOOKUP($A125,'The List'!$B1:$AS671,21,FALSE)," ")</f>
        <v xml:space="preserve"> </v>
      </c>
      <c r="O125" s="84" t="str" cm="1">
        <f t="array" ref="O125">IFERROR(VLOOKUP($A125,'The List'!$B1:$AS671,22,FALSE)," ")</f>
        <v xml:space="preserve"> </v>
      </c>
      <c r="P125" s="84" t="str" cm="1">
        <f t="array" ref="P125">IFERROR(VLOOKUP($A125,'The List'!$B1:$AS671,23,FALSE)," ")</f>
        <v xml:space="preserve"> </v>
      </c>
      <c r="Q125" s="84" t="str" cm="1">
        <f t="array" ref="Q125">IFERROR(VLOOKUP($A125,'The List'!$B1:$AS671,24,FALSE)," ")</f>
        <v xml:space="preserve"> </v>
      </c>
      <c r="R125" s="84" t="str" cm="1">
        <f t="array" ref="R125">IFERROR(VLOOKUP($A125,'The List'!$B1:$AS671,25,FALSE)," ")</f>
        <v xml:space="preserve"> </v>
      </c>
      <c r="S125" s="84" t="str" cm="1">
        <f t="array" ref="S125">IFERROR(VLOOKUP($A125,'The List'!$B1:$AS671,26,FALSE)," ")</f>
        <v xml:space="preserve"> </v>
      </c>
      <c r="T125" s="84" t="str" cm="1">
        <f t="array" ref="T125">IFERROR(VLOOKUP($A125,'The List'!$B1:$AS671,27,FALSE)," ")</f>
        <v xml:space="preserve"> </v>
      </c>
      <c r="U125" s="84" t="str" cm="1">
        <f t="array" ref="U125">IFERROR(VLOOKUP($A125,'The List'!$B1:$AS671,28,FALSE)," ")</f>
        <v xml:space="preserve"> </v>
      </c>
      <c r="V125" s="84" t="str" cm="1">
        <f t="array" ref="V125">IFERROR(VLOOKUP($A125,'The List'!$B1:$AS671,29,FALSE)," ")</f>
        <v xml:space="preserve"> </v>
      </c>
      <c r="W125" s="84" t="str" cm="1">
        <f t="array" ref="W125">IFERROR(VLOOKUP($A125,'The List'!$B1:$AS671,30,FALSE)," ")</f>
        <v xml:space="preserve"> </v>
      </c>
      <c r="X125" s="84" t="str" cm="1">
        <f t="array" ref="X125">IFERROR(VLOOKUP($A125,'The List'!$B1:$AS671,31,FALSE)," ")</f>
        <v xml:space="preserve"> </v>
      </c>
      <c r="Y125" s="84" t="str" cm="1">
        <f t="array" ref="Y125">IFERROR(VLOOKUP($A125,'The List'!$B1:$AS671,32,FALSE)," ")</f>
        <v xml:space="preserve"> </v>
      </c>
      <c r="Z125" s="84" t="str" cm="1">
        <f t="array" ref="Z125">IFERROR(VLOOKUP($A125,'The List'!$B1:$AS671,33,FALSE)," ")</f>
        <v xml:space="preserve"> </v>
      </c>
      <c r="AA125" s="85"/>
      <c r="AB125" s="90"/>
      <c r="AC125" s="90"/>
      <c r="AD125" s="90"/>
      <c r="AE125" s="90"/>
      <c r="AF125" s="90"/>
    </row>
    <row r="126" spans="1:32" ht="21.25" customHeight="1" x14ac:dyDescent="0.15">
      <c r="A126" s="24"/>
      <c r="B126" s="96" t="str" cm="1">
        <f t="array" ref="B126">IFERROR(VLOOKUP($A126,'The List'!$B1:$AS671,3,FALSE)," ")</f>
        <v xml:space="preserve"> </v>
      </c>
      <c r="C126" s="98" t="str" cm="1">
        <f t="array" ref="C126">IFERROR(VLOOKUP($A126,'The List'!$B1:$AS671,4,FALSE)," ")</f>
        <v xml:space="preserve"> </v>
      </c>
      <c r="D126" s="18" t="str" cm="1">
        <f t="array" ref="D126">IFERROR(VLOOKUP($A126,'The List'!$B1:$AS671,5,FALSE)," ")</f>
        <v xml:space="preserve"> </v>
      </c>
      <c r="E126" s="18" t="str" cm="1">
        <f t="array" ref="E126">IFERROR(VLOOKUP($A126,'The List'!$B1:$AS671,6,FALSE)," ")</f>
        <v xml:space="preserve"> </v>
      </c>
      <c r="F126" s="92" t="str" cm="1">
        <f t="array" ref="F126">IFERROR(VLOOKUP($A126,'The List'!$B1:$AS671,8,FALSE)," ")</f>
        <v xml:space="preserve"> </v>
      </c>
      <c r="G126" s="92" t="str" cm="1">
        <f t="array" ref="G126">IFERROR(VLOOKUP($A126,'The List'!$B1:$AS671,10,FALSE)," ")</f>
        <v xml:space="preserve"> </v>
      </c>
      <c r="H126" s="55"/>
      <c r="I126" s="84" t="str" cm="1">
        <f t="array" ref="I126">IFERROR(VLOOKUP($A126,'The List'!$B1:$AS671,16,FALSE)," ")</f>
        <v xml:space="preserve"> </v>
      </c>
      <c r="J126" s="84" t="str" cm="1">
        <f t="array" ref="J126">IFERROR(VLOOKUP($A126,'The List'!$B1:$AS671,17,FALSE)," ")</f>
        <v xml:space="preserve"> </v>
      </c>
      <c r="K126" s="84" t="str" cm="1">
        <f t="array" ref="K126">IFERROR(VLOOKUP($A126,'The List'!$B1:$AS671,18,FALSE)," ")</f>
        <v xml:space="preserve"> </v>
      </c>
      <c r="L126" s="84" t="str" cm="1">
        <f t="array" ref="L126">IFERROR(VLOOKUP($A126,'The List'!$B1:$AS671,19,FALSE)," ")</f>
        <v xml:space="preserve"> </v>
      </c>
      <c r="M126" s="84" t="str" cm="1">
        <f t="array" ref="M126">IFERROR(VLOOKUP($A126,'The List'!$B1:$AS671,20,FALSE)," ")</f>
        <v xml:space="preserve"> </v>
      </c>
      <c r="N126" s="84" t="str" cm="1">
        <f t="array" ref="N126">IFERROR(VLOOKUP($A126,'The List'!$B1:$AS671,21,FALSE)," ")</f>
        <v xml:space="preserve"> </v>
      </c>
      <c r="O126" s="84" t="str" cm="1">
        <f t="array" ref="O126">IFERROR(VLOOKUP($A126,'The List'!$B1:$AS671,22,FALSE)," ")</f>
        <v xml:space="preserve"> </v>
      </c>
      <c r="P126" s="84" t="str" cm="1">
        <f t="array" ref="P126">IFERROR(VLOOKUP($A126,'The List'!$B1:$AS671,23,FALSE)," ")</f>
        <v xml:space="preserve"> </v>
      </c>
      <c r="Q126" s="84" t="str" cm="1">
        <f t="array" ref="Q126">IFERROR(VLOOKUP($A126,'The List'!$B1:$AS671,24,FALSE)," ")</f>
        <v xml:space="preserve"> </v>
      </c>
      <c r="R126" s="84" t="str" cm="1">
        <f t="array" ref="R126">IFERROR(VLOOKUP($A126,'The List'!$B1:$AS671,25,FALSE)," ")</f>
        <v xml:space="preserve"> </v>
      </c>
      <c r="S126" s="84" t="str" cm="1">
        <f t="array" ref="S126">IFERROR(VLOOKUP($A126,'The List'!$B1:$AS671,26,FALSE)," ")</f>
        <v xml:space="preserve"> </v>
      </c>
      <c r="T126" s="84" t="str" cm="1">
        <f t="array" ref="T126">IFERROR(VLOOKUP($A126,'The List'!$B1:$AS671,27,FALSE)," ")</f>
        <v xml:space="preserve"> </v>
      </c>
      <c r="U126" s="84" t="str" cm="1">
        <f t="array" ref="U126">IFERROR(VLOOKUP($A126,'The List'!$B1:$AS671,28,FALSE)," ")</f>
        <v xml:space="preserve"> </v>
      </c>
      <c r="V126" s="84" t="str" cm="1">
        <f t="array" ref="V126">IFERROR(VLOOKUP($A126,'The List'!$B1:$AS671,29,FALSE)," ")</f>
        <v xml:space="preserve"> </v>
      </c>
      <c r="W126" s="84" t="str" cm="1">
        <f t="array" ref="W126">IFERROR(VLOOKUP($A126,'The List'!$B1:$AS671,30,FALSE)," ")</f>
        <v xml:space="preserve"> </v>
      </c>
      <c r="X126" s="84" t="str" cm="1">
        <f t="array" ref="X126">IFERROR(VLOOKUP($A126,'The List'!$B1:$AS671,31,FALSE)," ")</f>
        <v xml:space="preserve"> </v>
      </c>
      <c r="Y126" s="84" t="str" cm="1">
        <f t="array" ref="Y126">IFERROR(VLOOKUP($A126,'The List'!$B1:$AS671,32,FALSE)," ")</f>
        <v xml:space="preserve"> </v>
      </c>
      <c r="Z126" s="84" t="str" cm="1">
        <f t="array" ref="Z126">IFERROR(VLOOKUP($A126,'The List'!$B1:$AS671,33,FALSE)," ")</f>
        <v xml:space="preserve"> </v>
      </c>
      <c r="AA126" s="85"/>
      <c r="AB126" s="90"/>
      <c r="AC126" s="90"/>
      <c r="AD126" s="90"/>
      <c r="AE126" s="90"/>
      <c r="AF126" s="90"/>
    </row>
    <row r="127" spans="1:32" ht="21.25" customHeight="1" x14ac:dyDescent="0.15">
      <c r="A127" s="24"/>
      <c r="B127" s="96" t="str" cm="1">
        <f t="array" ref="B127">IFERROR(VLOOKUP($A127,'The List'!$B1:$AS671,3,FALSE)," ")</f>
        <v xml:space="preserve"> </v>
      </c>
      <c r="C127" s="98" t="str" cm="1">
        <f t="array" ref="C127">IFERROR(VLOOKUP($A127,'The List'!$B1:$AS671,4,FALSE)," ")</f>
        <v xml:space="preserve"> </v>
      </c>
      <c r="D127" s="18" t="str" cm="1">
        <f t="array" ref="D127">IFERROR(VLOOKUP($A127,'The List'!$B1:$AS671,5,FALSE)," ")</f>
        <v xml:space="preserve"> </v>
      </c>
      <c r="E127" s="18" t="str" cm="1">
        <f t="array" ref="E127">IFERROR(VLOOKUP($A127,'The List'!$B1:$AS671,6,FALSE)," ")</f>
        <v xml:space="preserve"> </v>
      </c>
      <c r="F127" s="92" t="str" cm="1">
        <f t="array" ref="F127">IFERROR(VLOOKUP($A127,'The List'!$B1:$AS671,8,FALSE)," ")</f>
        <v xml:space="preserve"> </v>
      </c>
      <c r="G127" s="92" t="str" cm="1">
        <f t="array" ref="G127">IFERROR(VLOOKUP($A127,'The List'!$B1:$AS671,10,FALSE)," ")</f>
        <v xml:space="preserve"> </v>
      </c>
      <c r="H127" s="55"/>
      <c r="I127" s="84" t="str" cm="1">
        <f t="array" ref="I127">IFERROR(VLOOKUP($A127,'The List'!$B1:$AS671,16,FALSE)," ")</f>
        <v xml:space="preserve"> </v>
      </c>
      <c r="J127" s="84" t="str" cm="1">
        <f t="array" ref="J127">IFERROR(VLOOKUP($A127,'The List'!$B1:$AS671,17,FALSE)," ")</f>
        <v xml:space="preserve"> </v>
      </c>
      <c r="K127" s="84" t="str" cm="1">
        <f t="array" ref="K127">IFERROR(VLOOKUP($A127,'The List'!$B1:$AS671,18,FALSE)," ")</f>
        <v xml:space="preserve"> </v>
      </c>
      <c r="L127" s="84" t="str" cm="1">
        <f t="array" ref="L127">IFERROR(VLOOKUP($A127,'The List'!$B1:$AS671,19,FALSE)," ")</f>
        <v xml:space="preserve"> </v>
      </c>
      <c r="M127" s="84" t="str" cm="1">
        <f t="array" ref="M127">IFERROR(VLOOKUP($A127,'The List'!$B1:$AS671,20,FALSE)," ")</f>
        <v xml:space="preserve"> </v>
      </c>
      <c r="N127" s="84" t="str" cm="1">
        <f t="array" ref="N127">IFERROR(VLOOKUP($A127,'The List'!$B1:$AS671,21,FALSE)," ")</f>
        <v xml:space="preserve"> </v>
      </c>
      <c r="O127" s="84" t="str" cm="1">
        <f t="array" ref="O127">IFERROR(VLOOKUP($A127,'The List'!$B1:$AS671,22,FALSE)," ")</f>
        <v xml:space="preserve"> </v>
      </c>
      <c r="P127" s="84" t="str" cm="1">
        <f t="array" ref="P127">IFERROR(VLOOKUP($A127,'The List'!$B1:$AS671,23,FALSE)," ")</f>
        <v xml:space="preserve"> </v>
      </c>
      <c r="Q127" s="84" t="str" cm="1">
        <f t="array" ref="Q127">IFERROR(VLOOKUP($A127,'The List'!$B1:$AS671,24,FALSE)," ")</f>
        <v xml:space="preserve"> </v>
      </c>
      <c r="R127" s="84" t="str" cm="1">
        <f t="array" ref="R127">IFERROR(VLOOKUP($A127,'The List'!$B1:$AS671,25,FALSE)," ")</f>
        <v xml:space="preserve"> </v>
      </c>
      <c r="S127" s="84" t="str" cm="1">
        <f t="array" ref="S127">IFERROR(VLOOKUP($A127,'The List'!$B1:$AS671,26,FALSE)," ")</f>
        <v xml:space="preserve"> </v>
      </c>
      <c r="T127" s="84" t="str" cm="1">
        <f t="array" ref="T127">IFERROR(VLOOKUP($A127,'The List'!$B1:$AS671,27,FALSE)," ")</f>
        <v xml:space="preserve"> </v>
      </c>
      <c r="U127" s="84" t="str" cm="1">
        <f t="array" ref="U127">IFERROR(VLOOKUP($A127,'The List'!$B1:$AS671,28,FALSE)," ")</f>
        <v xml:space="preserve"> </v>
      </c>
      <c r="V127" s="84" t="str" cm="1">
        <f t="array" ref="V127">IFERROR(VLOOKUP($A127,'The List'!$B1:$AS671,29,FALSE)," ")</f>
        <v xml:space="preserve"> </v>
      </c>
      <c r="W127" s="84" t="str" cm="1">
        <f t="array" ref="W127">IFERROR(VLOOKUP($A127,'The List'!$B1:$AS671,30,FALSE)," ")</f>
        <v xml:space="preserve"> </v>
      </c>
      <c r="X127" s="84" t="str" cm="1">
        <f t="array" ref="X127">IFERROR(VLOOKUP($A127,'The List'!$B1:$AS671,31,FALSE)," ")</f>
        <v xml:space="preserve"> </v>
      </c>
      <c r="Y127" s="84" t="str" cm="1">
        <f t="array" ref="Y127">IFERROR(VLOOKUP($A127,'The List'!$B1:$AS671,32,FALSE)," ")</f>
        <v xml:space="preserve"> </v>
      </c>
      <c r="Z127" s="84" t="str" cm="1">
        <f t="array" ref="Z127">IFERROR(VLOOKUP($A127,'The List'!$B1:$AS671,33,FALSE)," ")</f>
        <v xml:space="preserve"> </v>
      </c>
      <c r="AA127" s="85"/>
      <c r="AB127" s="90"/>
      <c r="AC127" s="90"/>
      <c r="AD127" s="90"/>
      <c r="AE127" s="90"/>
      <c r="AF127" s="90"/>
    </row>
    <row r="128" spans="1:32" ht="21.25" customHeight="1" x14ac:dyDescent="0.15">
      <c r="A128" s="24"/>
      <c r="B128" s="96" t="str" cm="1">
        <f t="array" ref="B128">IFERROR(VLOOKUP($A128,'The List'!$B1:$AS671,3,FALSE)," ")</f>
        <v xml:space="preserve"> </v>
      </c>
      <c r="C128" s="98" t="str" cm="1">
        <f t="array" ref="C128">IFERROR(VLOOKUP($A128,'The List'!$B1:$AS671,4,FALSE)," ")</f>
        <v xml:space="preserve"> </v>
      </c>
      <c r="D128" s="18" t="str" cm="1">
        <f t="array" ref="D128">IFERROR(VLOOKUP($A128,'The List'!$B1:$AS671,5,FALSE)," ")</f>
        <v xml:space="preserve"> </v>
      </c>
      <c r="E128" s="18" t="str" cm="1">
        <f t="array" ref="E128">IFERROR(VLOOKUP($A128,'The List'!$B1:$AS671,6,FALSE)," ")</f>
        <v xml:space="preserve"> </v>
      </c>
      <c r="F128" s="92" t="str" cm="1">
        <f t="array" ref="F128">IFERROR(VLOOKUP($A128,'The List'!$B1:$AS671,8,FALSE)," ")</f>
        <v xml:space="preserve"> </v>
      </c>
      <c r="G128" s="92" t="str" cm="1">
        <f t="array" ref="G128">IFERROR(VLOOKUP($A128,'The List'!$B1:$AS671,10,FALSE)," ")</f>
        <v xml:space="preserve"> </v>
      </c>
      <c r="H128" s="55"/>
      <c r="I128" s="84" t="str" cm="1">
        <f t="array" ref="I128">IFERROR(VLOOKUP($A128,'The List'!$B1:$AS671,16,FALSE)," ")</f>
        <v xml:space="preserve"> </v>
      </c>
      <c r="J128" s="84" t="str" cm="1">
        <f t="array" ref="J128">IFERROR(VLOOKUP($A128,'The List'!$B1:$AS671,17,FALSE)," ")</f>
        <v xml:space="preserve"> </v>
      </c>
      <c r="K128" s="84" t="str" cm="1">
        <f t="array" ref="K128">IFERROR(VLOOKUP($A128,'The List'!$B1:$AS671,18,FALSE)," ")</f>
        <v xml:space="preserve"> </v>
      </c>
      <c r="L128" s="84" t="str" cm="1">
        <f t="array" ref="L128">IFERROR(VLOOKUP($A128,'The List'!$B1:$AS671,19,FALSE)," ")</f>
        <v xml:space="preserve"> </v>
      </c>
      <c r="M128" s="84" t="str" cm="1">
        <f t="array" ref="M128">IFERROR(VLOOKUP($A128,'The List'!$B1:$AS671,20,FALSE)," ")</f>
        <v xml:space="preserve"> </v>
      </c>
      <c r="N128" s="84" t="str" cm="1">
        <f t="array" ref="N128">IFERROR(VLOOKUP($A128,'The List'!$B1:$AS671,21,FALSE)," ")</f>
        <v xml:space="preserve"> </v>
      </c>
      <c r="O128" s="84" t="str" cm="1">
        <f t="array" ref="O128">IFERROR(VLOOKUP($A128,'The List'!$B1:$AS671,22,FALSE)," ")</f>
        <v xml:space="preserve"> </v>
      </c>
      <c r="P128" s="84" t="str" cm="1">
        <f t="array" ref="P128">IFERROR(VLOOKUP($A128,'The List'!$B1:$AS671,23,FALSE)," ")</f>
        <v xml:space="preserve"> </v>
      </c>
      <c r="Q128" s="84" t="str" cm="1">
        <f t="array" ref="Q128">IFERROR(VLOOKUP($A128,'The List'!$B1:$AS671,24,FALSE)," ")</f>
        <v xml:space="preserve"> </v>
      </c>
      <c r="R128" s="84" t="str" cm="1">
        <f t="array" ref="R128">IFERROR(VLOOKUP($A128,'The List'!$B1:$AS671,25,FALSE)," ")</f>
        <v xml:space="preserve"> </v>
      </c>
      <c r="S128" s="84" t="str" cm="1">
        <f t="array" ref="S128">IFERROR(VLOOKUP($A128,'The List'!$B1:$AS671,26,FALSE)," ")</f>
        <v xml:space="preserve"> </v>
      </c>
      <c r="T128" s="84" t="str" cm="1">
        <f t="array" ref="T128">IFERROR(VLOOKUP($A128,'The List'!$B1:$AS671,27,FALSE)," ")</f>
        <v xml:space="preserve"> </v>
      </c>
      <c r="U128" s="84" t="str" cm="1">
        <f t="array" ref="U128">IFERROR(VLOOKUP($A128,'The List'!$B1:$AS671,28,FALSE)," ")</f>
        <v xml:space="preserve"> </v>
      </c>
      <c r="V128" s="84" t="str" cm="1">
        <f t="array" ref="V128">IFERROR(VLOOKUP($A128,'The List'!$B1:$AS671,29,FALSE)," ")</f>
        <v xml:space="preserve"> </v>
      </c>
      <c r="W128" s="84" t="str" cm="1">
        <f t="array" ref="W128">IFERROR(VLOOKUP($A128,'The List'!$B1:$AS671,30,FALSE)," ")</f>
        <v xml:space="preserve"> </v>
      </c>
      <c r="X128" s="84" t="str" cm="1">
        <f t="array" ref="X128">IFERROR(VLOOKUP($A128,'The List'!$B1:$AS671,31,FALSE)," ")</f>
        <v xml:space="preserve"> </v>
      </c>
      <c r="Y128" s="84" t="str" cm="1">
        <f t="array" ref="Y128">IFERROR(VLOOKUP($A128,'The List'!$B1:$AS671,32,FALSE)," ")</f>
        <v xml:space="preserve"> </v>
      </c>
      <c r="Z128" s="84" t="str" cm="1">
        <f t="array" ref="Z128">IFERROR(VLOOKUP($A128,'The List'!$B1:$AS671,33,FALSE)," ")</f>
        <v xml:space="preserve"> </v>
      </c>
      <c r="AA128" s="85"/>
      <c r="AB128" s="90"/>
      <c r="AC128" s="90"/>
      <c r="AD128" s="90"/>
      <c r="AE128" s="90"/>
      <c r="AF128" s="90"/>
    </row>
    <row r="129" spans="1:32" ht="21.25" customHeight="1" x14ac:dyDescent="0.15">
      <c r="A129" s="24"/>
      <c r="B129" s="96" t="str" cm="1">
        <f t="array" ref="B129">IFERROR(VLOOKUP($A129,'The List'!$B1:$AS671,3,FALSE)," ")</f>
        <v xml:space="preserve"> </v>
      </c>
      <c r="C129" s="98" t="str" cm="1">
        <f t="array" ref="C129">IFERROR(VLOOKUP($A129,'The List'!$B1:$AS671,4,FALSE)," ")</f>
        <v xml:space="preserve"> </v>
      </c>
      <c r="D129" s="18" t="str" cm="1">
        <f t="array" ref="D129">IFERROR(VLOOKUP($A129,'The List'!$B1:$AS671,5,FALSE)," ")</f>
        <v xml:space="preserve"> </v>
      </c>
      <c r="E129" s="18" t="str" cm="1">
        <f t="array" ref="E129">IFERROR(VLOOKUP($A129,'The List'!$B1:$AS671,6,FALSE)," ")</f>
        <v xml:space="preserve"> </v>
      </c>
      <c r="F129" s="92" t="str" cm="1">
        <f t="array" ref="F129">IFERROR(VLOOKUP($A129,'The List'!$B1:$AS671,8,FALSE)," ")</f>
        <v xml:space="preserve"> </v>
      </c>
      <c r="G129" s="92" t="str" cm="1">
        <f t="array" ref="G129">IFERROR(VLOOKUP($A129,'The List'!$B1:$AS671,10,FALSE)," ")</f>
        <v xml:space="preserve"> </v>
      </c>
      <c r="H129" s="55"/>
      <c r="I129" s="84" t="str" cm="1">
        <f t="array" ref="I129">IFERROR(VLOOKUP($A129,'The List'!$B1:$AS671,16,FALSE)," ")</f>
        <v xml:space="preserve"> </v>
      </c>
      <c r="J129" s="84" t="str" cm="1">
        <f t="array" ref="J129">IFERROR(VLOOKUP($A129,'The List'!$B1:$AS671,17,FALSE)," ")</f>
        <v xml:space="preserve"> </v>
      </c>
      <c r="K129" s="84" t="str" cm="1">
        <f t="array" ref="K129">IFERROR(VLOOKUP($A129,'The List'!$B1:$AS671,18,FALSE)," ")</f>
        <v xml:space="preserve"> </v>
      </c>
      <c r="L129" s="84" t="str" cm="1">
        <f t="array" ref="L129">IFERROR(VLOOKUP($A129,'The List'!$B1:$AS671,19,FALSE)," ")</f>
        <v xml:space="preserve"> </v>
      </c>
      <c r="M129" s="84" t="str" cm="1">
        <f t="array" ref="M129">IFERROR(VLOOKUP($A129,'The List'!$B1:$AS671,20,FALSE)," ")</f>
        <v xml:space="preserve"> </v>
      </c>
      <c r="N129" s="84" t="str" cm="1">
        <f t="array" ref="N129">IFERROR(VLOOKUP($A129,'The List'!$B1:$AS671,21,FALSE)," ")</f>
        <v xml:space="preserve"> </v>
      </c>
      <c r="O129" s="84" t="str" cm="1">
        <f t="array" ref="O129">IFERROR(VLOOKUP($A129,'The List'!$B1:$AS671,22,FALSE)," ")</f>
        <v xml:space="preserve"> </v>
      </c>
      <c r="P129" s="84" t="str" cm="1">
        <f t="array" ref="P129">IFERROR(VLOOKUP($A129,'The List'!$B1:$AS671,23,FALSE)," ")</f>
        <v xml:space="preserve"> </v>
      </c>
      <c r="Q129" s="84" t="str" cm="1">
        <f t="array" ref="Q129">IFERROR(VLOOKUP($A129,'The List'!$B1:$AS671,24,FALSE)," ")</f>
        <v xml:space="preserve"> </v>
      </c>
      <c r="R129" s="84" t="str" cm="1">
        <f t="array" ref="R129">IFERROR(VLOOKUP($A129,'The List'!$B1:$AS671,25,FALSE)," ")</f>
        <v xml:space="preserve"> </v>
      </c>
      <c r="S129" s="84" t="str" cm="1">
        <f t="array" ref="S129">IFERROR(VLOOKUP($A129,'The List'!$B1:$AS671,26,FALSE)," ")</f>
        <v xml:space="preserve"> </v>
      </c>
      <c r="T129" s="84" t="str" cm="1">
        <f t="array" ref="T129">IFERROR(VLOOKUP($A129,'The List'!$B1:$AS671,27,FALSE)," ")</f>
        <v xml:space="preserve"> </v>
      </c>
      <c r="U129" s="84" t="str" cm="1">
        <f t="array" ref="U129">IFERROR(VLOOKUP($A129,'The List'!$B1:$AS671,28,FALSE)," ")</f>
        <v xml:space="preserve"> </v>
      </c>
      <c r="V129" s="84" t="str" cm="1">
        <f t="array" ref="V129">IFERROR(VLOOKUP($A129,'The List'!$B1:$AS671,29,FALSE)," ")</f>
        <v xml:space="preserve"> </v>
      </c>
      <c r="W129" s="84" t="str" cm="1">
        <f t="array" ref="W129">IFERROR(VLOOKUP($A129,'The List'!$B1:$AS671,30,FALSE)," ")</f>
        <v xml:space="preserve"> </v>
      </c>
      <c r="X129" s="84" t="str" cm="1">
        <f t="array" ref="X129">IFERROR(VLOOKUP($A129,'The List'!$B1:$AS671,31,FALSE)," ")</f>
        <v xml:space="preserve"> </v>
      </c>
      <c r="Y129" s="84" t="str" cm="1">
        <f t="array" ref="Y129">IFERROR(VLOOKUP($A129,'The List'!$B1:$AS671,32,FALSE)," ")</f>
        <v xml:space="preserve"> </v>
      </c>
      <c r="Z129" s="84" t="str" cm="1">
        <f t="array" ref="Z129">IFERROR(VLOOKUP($A129,'The List'!$B1:$AS671,33,FALSE)," ")</f>
        <v xml:space="preserve"> </v>
      </c>
      <c r="AA129" s="85"/>
      <c r="AB129" s="90"/>
      <c r="AC129" s="90"/>
      <c r="AD129" s="90"/>
      <c r="AE129" s="90"/>
      <c r="AF129" s="90"/>
    </row>
    <row r="130" spans="1:32" ht="21.25" customHeight="1" x14ac:dyDescent="0.15">
      <c r="A130" s="24"/>
      <c r="B130" s="99" t="str" cm="1">
        <f t="array" ref="B130">IFERROR(VLOOKUP($A130,'The List'!$B1:$AS671,3,FALSE)," ")</f>
        <v xml:space="preserve"> </v>
      </c>
      <c r="C130" s="101" t="str" cm="1">
        <f t="array" ref="C130">IFERROR(VLOOKUP($A130,'The List'!$B1:$AS671,4,FALSE)," ")</f>
        <v xml:space="preserve"> </v>
      </c>
      <c r="D130" s="18" t="str" cm="1">
        <f t="array" ref="D130">IFERROR(VLOOKUP($A130,'The List'!$B1:$AS671,5,FALSE)," ")</f>
        <v xml:space="preserve"> </v>
      </c>
      <c r="E130" s="18" t="str" cm="1">
        <f t="array" ref="E130">IFERROR(VLOOKUP($A130,'The List'!$B1:$AS671,6,FALSE)," ")</f>
        <v xml:space="preserve"> </v>
      </c>
      <c r="F130" s="92" t="str" cm="1">
        <f t="array" ref="F130">IFERROR(VLOOKUP($A130,'The List'!$B1:$AS671,8,FALSE)," ")</f>
        <v xml:space="preserve"> </v>
      </c>
      <c r="G130" s="92" t="str" cm="1">
        <f t="array" ref="G130">IFERROR(VLOOKUP($A130,'The List'!$B1:$AS671,10,FALSE)," ")</f>
        <v xml:space="preserve"> </v>
      </c>
      <c r="H130" s="55"/>
      <c r="I130" s="84" t="str" cm="1">
        <f t="array" ref="I130">IFERROR(VLOOKUP($A130,'The List'!$B1:$AS671,16,FALSE)," ")</f>
        <v xml:space="preserve"> </v>
      </c>
      <c r="J130" s="84" t="str" cm="1">
        <f t="array" ref="J130">IFERROR(VLOOKUP($A130,'The List'!$B1:$AS671,17,FALSE)," ")</f>
        <v xml:space="preserve"> </v>
      </c>
      <c r="K130" s="84" t="str" cm="1">
        <f t="array" ref="K130">IFERROR(VLOOKUP($A130,'The List'!$B1:$AS671,18,FALSE)," ")</f>
        <v xml:space="preserve"> </v>
      </c>
      <c r="L130" s="84" t="str" cm="1">
        <f t="array" ref="L130">IFERROR(VLOOKUP($A130,'The List'!$B1:$AS671,19,FALSE)," ")</f>
        <v xml:space="preserve"> </v>
      </c>
      <c r="M130" s="84" t="str" cm="1">
        <f t="array" ref="M130">IFERROR(VLOOKUP($A130,'The List'!$B1:$AS671,20,FALSE)," ")</f>
        <v xml:space="preserve"> </v>
      </c>
      <c r="N130" s="84" t="str" cm="1">
        <f t="array" ref="N130">IFERROR(VLOOKUP($A130,'The List'!$B1:$AS671,21,FALSE)," ")</f>
        <v xml:space="preserve"> </v>
      </c>
      <c r="O130" s="84" t="str" cm="1">
        <f t="array" ref="O130">IFERROR(VLOOKUP($A130,'The List'!$B1:$AS671,22,FALSE)," ")</f>
        <v xml:space="preserve"> </v>
      </c>
      <c r="P130" s="84" t="str" cm="1">
        <f t="array" ref="P130">IFERROR(VLOOKUP($A130,'The List'!$B1:$AS671,23,FALSE)," ")</f>
        <v xml:space="preserve"> </v>
      </c>
      <c r="Q130" s="84" t="str" cm="1">
        <f t="array" ref="Q130">IFERROR(VLOOKUP($A130,'The List'!$B1:$AS671,24,FALSE)," ")</f>
        <v xml:space="preserve"> </v>
      </c>
      <c r="R130" s="84" t="str" cm="1">
        <f t="array" ref="R130">IFERROR(VLOOKUP($A130,'The List'!$B1:$AS671,25,FALSE)," ")</f>
        <v xml:space="preserve"> </v>
      </c>
      <c r="S130" s="84" t="str" cm="1">
        <f t="array" ref="S130">IFERROR(VLOOKUP($A130,'The List'!$B1:$AS671,26,FALSE)," ")</f>
        <v xml:space="preserve"> </v>
      </c>
      <c r="T130" s="84" t="str" cm="1">
        <f t="array" ref="T130">IFERROR(VLOOKUP($A130,'The List'!$B1:$AS671,27,FALSE)," ")</f>
        <v xml:space="preserve"> </v>
      </c>
      <c r="U130" s="84" t="str" cm="1">
        <f t="array" ref="U130">IFERROR(VLOOKUP($A130,'The List'!$B1:$AS671,28,FALSE)," ")</f>
        <v xml:space="preserve"> </v>
      </c>
      <c r="V130" s="84" t="str" cm="1">
        <f t="array" ref="V130">IFERROR(VLOOKUP($A130,'The List'!$B1:$AS671,29,FALSE)," ")</f>
        <v xml:space="preserve"> </v>
      </c>
      <c r="W130" s="84" t="str" cm="1">
        <f t="array" ref="W130">IFERROR(VLOOKUP($A130,'The List'!$B1:$AS671,30,FALSE)," ")</f>
        <v xml:space="preserve"> </v>
      </c>
      <c r="X130" s="84" t="str" cm="1">
        <f t="array" ref="X130">IFERROR(VLOOKUP($A130,'The List'!$B1:$AS671,31,FALSE)," ")</f>
        <v xml:space="preserve"> </v>
      </c>
      <c r="Y130" s="84" t="str" cm="1">
        <f t="array" ref="Y130">IFERROR(VLOOKUP($A130,'The List'!$B1:$AS671,32,FALSE)," ")</f>
        <v xml:space="preserve"> </v>
      </c>
      <c r="Z130" s="84" t="str" cm="1">
        <f t="array" ref="Z130">IFERROR(VLOOKUP($A130,'The List'!$B1:$AS671,33,FALSE)," ")</f>
        <v xml:space="preserve"> </v>
      </c>
      <c r="AA130" s="85"/>
      <c r="AB130" s="90"/>
      <c r="AC130" s="90"/>
      <c r="AD130" s="90"/>
      <c r="AE130" s="90"/>
      <c r="AF130" s="90"/>
    </row>
    <row r="131" spans="1:32" ht="21.25" customHeight="1" x14ac:dyDescent="0.15">
      <c r="A131" s="24"/>
      <c r="B131" s="99" t="str" cm="1">
        <f t="array" ref="B131">IFERROR(VLOOKUP($A131,'The List'!$B1:$AS671,3,FALSE)," ")</f>
        <v xml:space="preserve"> </v>
      </c>
      <c r="C131" s="101" t="str" cm="1">
        <f t="array" ref="C131">IFERROR(VLOOKUP($A131,'The List'!$B1:$AS671,4,FALSE)," ")</f>
        <v xml:space="preserve"> </v>
      </c>
      <c r="D131" s="18" t="str" cm="1">
        <f t="array" ref="D131">IFERROR(VLOOKUP($A131,'The List'!$B1:$AS671,5,FALSE)," ")</f>
        <v xml:space="preserve"> </v>
      </c>
      <c r="E131" s="18" t="str" cm="1">
        <f t="array" ref="E131">IFERROR(VLOOKUP($A131,'The List'!$B1:$AS671,6,FALSE)," ")</f>
        <v xml:space="preserve"> </v>
      </c>
      <c r="F131" s="92" t="str" cm="1">
        <f t="array" ref="F131">IFERROR(VLOOKUP($A131,'The List'!$B1:$AS671,8,FALSE)," ")</f>
        <v xml:space="preserve"> </v>
      </c>
      <c r="G131" s="92" t="str" cm="1">
        <f t="array" ref="G131">IFERROR(VLOOKUP($A131,'The List'!$B1:$AS671,10,FALSE)," ")</f>
        <v xml:space="preserve"> </v>
      </c>
      <c r="H131" s="55"/>
      <c r="I131" s="84" t="str" cm="1">
        <f t="array" ref="I131">IFERROR(VLOOKUP($A131,'The List'!$B1:$AS671,16,FALSE)," ")</f>
        <v xml:space="preserve"> </v>
      </c>
      <c r="J131" s="84" t="str" cm="1">
        <f t="array" ref="J131">IFERROR(VLOOKUP($A131,'The List'!$B1:$AS671,17,FALSE)," ")</f>
        <v xml:space="preserve"> </v>
      </c>
      <c r="K131" s="84" t="str" cm="1">
        <f t="array" ref="K131">IFERROR(VLOOKUP($A131,'The List'!$B1:$AS671,18,FALSE)," ")</f>
        <v xml:space="preserve"> </v>
      </c>
      <c r="L131" s="84" t="str" cm="1">
        <f t="array" ref="L131">IFERROR(VLOOKUP($A131,'The List'!$B1:$AS671,19,FALSE)," ")</f>
        <v xml:space="preserve"> </v>
      </c>
      <c r="M131" s="84" t="str" cm="1">
        <f t="array" ref="M131">IFERROR(VLOOKUP($A131,'The List'!$B1:$AS671,20,FALSE)," ")</f>
        <v xml:space="preserve"> </v>
      </c>
      <c r="N131" s="84" t="str" cm="1">
        <f t="array" ref="N131">IFERROR(VLOOKUP($A131,'The List'!$B1:$AS671,21,FALSE)," ")</f>
        <v xml:space="preserve"> </v>
      </c>
      <c r="O131" s="84" t="str" cm="1">
        <f t="array" ref="O131">IFERROR(VLOOKUP($A131,'The List'!$B1:$AS671,22,FALSE)," ")</f>
        <v xml:space="preserve"> </v>
      </c>
      <c r="P131" s="84" t="str" cm="1">
        <f t="array" ref="P131">IFERROR(VLOOKUP($A131,'The List'!$B1:$AS671,23,FALSE)," ")</f>
        <v xml:space="preserve"> </v>
      </c>
      <c r="Q131" s="84" t="str" cm="1">
        <f t="array" ref="Q131">IFERROR(VLOOKUP($A131,'The List'!$B1:$AS671,24,FALSE)," ")</f>
        <v xml:space="preserve"> </v>
      </c>
      <c r="R131" s="84" t="str" cm="1">
        <f t="array" ref="R131">IFERROR(VLOOKUP($A131,'The List'!$B1:$AS671,25,FALSE)," ")</f>
        <v xml:space="preserve"> </v>
      </c>
      <c r="S131" s="84" t="str" cm="1">
        <f t="array" ref="S131">IFERROR(VLOOKUP($A131,'The List'!$B1:$AS671,26,FALSE)," ")</f>
        <v xml:space="preserve"> </v>
      </c>
      <c r="T131" s="84" t="str" cm="1">
        <f t="array" ref="T131">IFERROR(VLOOKUP($A131,'The List'!$B1:$AS671,27,FALSE)," ")</f>
        <v xml:space="preserve"> </v>
      </c>
      <c r="U131" s="84" t="str" cm="1">
        <f t="array" ref="U131">IFERROR(VLOOKUP($A131,'The List'!$B1:$AS671,28,FALSE)," ")</f>
        <v xml:space="preserve"> </v>
      </c>
      <c r="V131" s="84" t="str" cm="1">
        <f t="array" ref="V131">IFERROR(VLOOKUP($A131,'The List'!$B1:$AS671,29,FALSE)," ")</f>
        <v xml:space="preserve"> </v>
      </c>
      <c r="W131" s="84" t="str" cm="1">
        <f t="array" ref="W131">IFERROR(VLOOKUP($A131,'The List'!$B1:$AS671,30,FALSE)," ")</f>
        <v xml:space="preserve"> </v>
      </c>
      <c r="X131" s="84" t="str" cm="1">
        <f t="array" ref="X131">IFERROR(VLOOKUP($A131,'The List'!$B1:$AS671,31,FALSE)," ")</f>
        <v xml:space="preserve"> </v>
      </c>
      <c r="Y131" s="84" t="str" cm="1">
        <f t="array" ref="Y131">IFERROR(VLOOKUP($A131,'The List'!$B1:$AS671,32,FALSE)," ")</f>
        <v xml:space="preserve"> </v>
      </c>
      <c r="Z131" s="84" t="str" cm="1">
        <f t="array" ref="Z131">IFERROR(VLOOKUP($A131,'The List'!$B1:$AS671,33,FALSE)," ")</f>
        <v xml:space="preserve"> </v>
      </c>
      <c r="AA131" s="85"/>
      <c r="AB131" s="90"/>
      <c r="AC131" s="90"/>
      <c r="AD131" s="90"/>
      <c r="AE131" s="90"/>
      <c r="AF131" s="90"/>
    </row>
    <row r="132" spans="1:32" ht="21.25" customHeight="1" x14ac:dyDescent="0.15">
      <c r="A132" s="24"/>
      <c r="B132" s="99" t="str" cm="1">
        <f t="array" ref="B132">IFERROR(VLOOKUP($A132,'The List'!$B1:$AS671,3,FALSE)," ")</f>
        <v xml:space="preserve"> </v>
      </c>
      <c r="C132" s="101" t="str" cm="1">
        <f t="array" ref="C132">IFERROR(VLOOKUP($A132,'The List'!$B1:$AS671,4,FALSE)," ")</f>
        <v xml:space="preserve"> </v>
      </c>
      <c r="D132" s="18" t="str" cm="1">
        <f t="array" ref="D132">IFERROR(VLOOKUP($A132,'The List'!$B1:$AS671,5,FALSE)," ")</f>
        <v xml:space="preserve"> </v>
      </c>
      <c r="E132" s="18" t="str" cm="1">
        <f t="array" ref="E132">IFERROR(VLOOKUP($A132,'The List'!$B1:$AS671,6,FALSE)," ")</f>
        <v xml:space="preserve"> </v>
      </c>
      <c r="F132" s="92" t="str" cm="1">
        <f t="array" ref="F132">IFERROR(VLOOKUP($A132,'The List'!$B1:$AS671,8,FALSE)," ")</f>
        <v xml:space="preserve"> </v>
      </c>
      <c r="G132" s="92" t="str" cm="1">
        <f t="array" ref="G132">IFERROR(VLOOKUP($A132,'The List'!$B1:$AS671,10,FALSE)," ")</f>
        <v xml:space="preserve"> </v>
      </c>
      <c r="H132" s="55"/>
      <c r="I132" s="84" t="str" cm="1">
        <f t="array" ref="I132">IFERROR(VLOOKUP($A132,'The List'!$B1:$AS671,16,FALSE)," ")</f>
        <v xml:space="preserve"> </v>
      </c>
      <c r="J132" s="84" t="str" cm="1">
        <f t="array" ref="J132">IFERROR(VLOOKUP($A132,'The List'!$B1:$AS671,17,FALSE)," ")</f>
        <v xml:space="preserve"> </v>
      </c>
      <c r="K132" s="84" t="str" cm="1">
        <f t="array" ref="K132">IFERROR(VLOOKUP($A132,'The List'!$B1:$AS671,18,FALSE)," ")</f>
        <v xml:space="preserve"> </v>
      </c>
      <c r="L132" s="84" t="str" cm="1">
        <f t="array" ref="L132">IFERROR(VLOOKUP($A132,'The List'!$B1:$AS671,19,FALSE)," ")</f>
        <v xml:space="preserve"> </v>
      </c>
      <c r="M132" s="84" t="str" cm="1">
        <f t="array" ref="M132">IFERROR(VLOOKUP($A132,'The List'!$B1:$AS671,20,FALSE)," ")</f>
        <v xml:space="preserve"> </v>
      </c>
      <c r="N132" s="84" t="str" cm="1">
        <f t="array" ref="N132">IFERROR(VLOOKUP($A132,'The List'!$B1:$AS671,21,FALSE)," ")</f>
        <v xml:space="preserve"> </v>
      </c>
      <c r="O132" s="84" t="str" cm="1">
        <f t="array" ref="O132">IFERROR(VLOOKUP($A132,'The List'!$B1:$AS671,22,FALSE)," ")</f>
        <v xml:space="preserve"> </v>
      </c>
      <c r="P132" s="84" t="str" cm="1">
        <f t="array" ref="P132">IFERROR(VLOOKUP($A132,'The List'!$B1:$AS671,23,FALSE)," ")</f>
        <v xml:space="preserve"> </v>
      </c>
      <c r="Q132" s="84" t="str" cm="1">
        <f t="array" ref="Q132">IFERROR(VLOOKUP($A132,'The List'!$B1:$AS671,24,FALSE)," ")</f>
        <v xml:space="preserve"> </v>
      </c>
      <c r="R132" s="84" t="str" cm="1">
        <f t="array" ref="R132">IFERROR(VLOOKUP($A132,'The List'!$B1:$AS671,25,FALSE)," ")</f>
        <v xml:space="preserve"> </v>
      </c>
      <c r="S132" s="84" t="str" cm="1">
        <f t="array" ref="S132">IFERROR(VLOOKUP($A132,'The List'!$B1:$AS671,26,FALSE)," ")</f>
        <v xml:space="preserve"> </v>
      </c>
      <c r="T132" s="84" t="str" cm="1">
        <f t="array" ref="T132">IFERROR(VLOOKUP($A132,'The List'!$B1:$AS671,27,FALSE)," ")</f>
        <v xml:space="preserve"> </v>
      </c>
      <c r="U132" s="84" t="str" cm="1">
        <f t="array" ref="U132">IFERROR(VLOOKUP($A132,'The List'!$B1:$AS671,28,FALSE)," ")</f>
        <v xml:space="preserve"> </v>
      </c>
      <c r="V132" s="84" t="str" cm="1">
        <f t="array" ref="V132">IFERROR(VLOOKUP($A132,'The List'!$B1:$AS671,29,FALSE)," ")</f>
        <v xml:space="preserve"> </v>
      </c>
      <c r="W132" s="84" t="str" cm="1">
        <f t="array" ref="W132">IFERROR(VLOOKUP($A132,'The List'!$B1:$AS671,30,FALSE)," ")</f>
        <v xml:space="preserve"> </v>
      </c>
      <c r="X132" s="84" t="str" cm="1">
        <f t="array" ref="X132">IFERROR(VLOOKUP($A132,'The List'!$B1:$AS671,31,FALSE)," ")</f>
        <v xml:space="preserve"> </v>
      </c>
      <c r="Y132" s="84" t="str" cm="1">
        <f t="array" ref="Y132">IFERROR(VLOOKUP($A132,'The List'!$B1:$AS671,32,FALSE)," ")</f>
        <v xml:space="preserve"> </v>
      </c>
      <c r="Z132" s="84" t="str" cm="1">
        <f t="array" ref="Z132">IFERROR(VLOOKUP($A132,'The List'!$B1:$AS671,33,FALSE)," ")</f>
        <v xml:space="preserve"> </v>
      </c>
      <c r="AA132" s="85"/>
      <c r="AB132" s="90"/>
      <c r="AC132" s="90"/>
      <c r="AD132" s="90"/>
      <c r="AE132" s="90"/>
      <c r="AF132" s="90"/>
    </row>
    <row r="133" spans="1:32" ht="21.25" customHeight="1" x14ac:dyDescent="0.15">
      <c r="A133" s="24"/>
      <c r="B133" s="99" t="str" cm="1">
        <f t="array" ref="B133">IFERROR(VLOOKUP($A133,'The List'!$B1:$AS671,3,FALSE)," ")</f>
        <v xml:space="preserve"> </v>
      </c>
      <c r="C133" s="101" t="str" cm="1">
        <f t="array" ref="C133">IFERROR(VLOOKUP($A133,'The List'!$B1:$AS671,4,FALSE)," ")</f>
        <v xml:space="preserve"> </v>
      </c>
      <c r="D133" s="18" t="str" cm="1">
        <f t="array" ref="D133">IFERROR(VLOOKUP($A133,'The List'!$B1:$AS671,5,FALSE)," ")</f>
        <v xml:space="preserve"> </v>
      </c>
      <c r="E133" s="18" t="str" cm="1">
        <f t="array" ref="E133">IFERROR(VLOOKUP($A133,'The List'!$B1:$AS671,6,FALSE)," ")</f>
        <v xml:space="preserve"> </v>
      </c>
      <c r="F133" s="92" t="str" cm="1">
        <f t="array" ref="F133">IFERROR(VLOOKUP($A133,'The List'!$B1:$AS671,8,FALSE)," ")</f>
        <v xml:space="preserve"> </v>
      </c>
      <c r="G133" s="92" t="str" cm="1">
        <f t="array" ref="G133">IFERROR(VLOOKUP($A133,'The List'!$B1:$AS671,10,FALSE)," ")</f>
        <v xml:space="preserve"> </v>
      </c>
      <c r="H133" s="55"/>
      <c r="I133" s="84" t="str" cm="1">
        <f t="array" ref="I133">IFERROR(VLOOKUP($A133,'The List'!$B1:$AS671,16,FALSE)," ")</f>
        <v xml:space="preserve"> </v>
      </c>
      <c r="J133" s="84" t="str" cm="1">
        <f t="array" ref="J133">IFERROR(VLOOKUP($A133,'The List'!$B1:$AS671,17,FALSE)," ")</f>
        <v xml:space="preserve"> </v>
      </c>
      <c r="K133" s="84" t="str" cm="1">
        <f t="array" ref="K133">IFERROR(VLOOKUP($A133,'The List'!$B1:$AS671,18,FALSE)," ")</f>
        <v xml:space="preserve"> </v>
      </c>
      <c r="L133" s="84" t="str" cm="1">
        <f t="array" ref="L133">IFERROR(VLOOKUP($A133,'The List'!$B1:$AS671,19,FALSE)," ")</f>
        <v xml:space="preserve"> </v>
      </c>
      <c r="M133" s="84" t="str" cm="1">
        <f t="array" ref="M133">IFERROR(VLOOKUP($A133,'The List'!$B1:$AS671,20,FALSE)," ")</f>
        <v xml:space="preserve"> </v>
      </c>
      <c r="N133" s="84" t="str" cm="1">
        <f t="array" ref="N133">IFERROR(VLOOKUP($A133,'The List'!$B1:$AS671,21,FALSE)," ")</f>
        <v xml:space="preserve"> </v>
      </c>
      <c r="O133" s="84" t="str" cm="1">
        <f t="array" ref="O133">IFERROR(VLOOKUP($A133,'The List'!$B1:$AS671,22,FALSE)," ")</f>
        <v xml:space="preserve"> </v>
      </c>
      <c r="P133" s="84" t="str" cm="1">
        <f t="array" ref="P133">IFERROR(VLOOKUP($A133,'The List'!$B1:$AS671,23,FALSE)," ")</f>
        <v xml:space="preserve"> </v>
      </c>
      <c r="Q133" s="84" t="str" cm="1">
        <f t="array" ref="Q133">IFERROR(VLOOKUP($A133,'The List'!$B1:$AS671,24,FALSE)," ")</f>
        <v xml:space="preserve"> </v>
      </c>
      <c r="R133" s="84" t="str" cm="1">
        <f t="array" ref="R133">IFERROR(VLOOKUP($A133,'The List'!$B1:$AS671,25,FALSE)," ")</f>
        <v xml:space="preserve"> </v>
      </c>
      <c r="S133" s="84" t="str" cm="1">
        <f t="array" ref="S133">IFERROR(VLOOKUP($A133,'The List'!$B1:$AS671,26,FALSE)," ")</f>
        <v xml:space="preserve"> </v>
      </c>
      <c r="T133" s="84" t="str" cm="1">
        <f t="array" ref="T133">IFERROR(VLOOKUP($A133,'The List'!$B1:$AS671,27,FALSE)," ")</f>
        <v xml:space="preserve"> </v>
      </c>
      <c r="U133" s="84" t="str" cm="1">
        <f t="array" ref="U133">IFERROR(VLOOKUP($A133,'The List'!$B1:$AS671,28,FALSE)," ")</f>
        <v xml:space="preserve"> </v>
      </c>
      <c r="V133" s="84" t="str" cm="1">
        <f t="array" ref="V133">IFERROR(VLOOKUP($A133,'The List'!$B1:$AS671,29,FALSE)," ")</f>
        <v xml:space="preserve"> </v>
      </c>
      <c r="W133" s="84" t="str" cm="1">
        <f t="array" ref="W133">IFERROR(VLOOKUP($A133,'The List'!$B1:$AS671,30,FALSE)," ")</f>
        <v xml:space="preserve"> </v>
      </c>
      <c r="X133" s="84" t="str" cm="1">
        <f t="array" ref="X133">IFERROR(VLOOKUP($A133,'The List'!$B1:$AS671,31,FALSE)," ")</f>
        <v xml:space="preserve"> </v>
      </c>
      <c r="Y133" s="84" t="str" cm="1">
        <f t="array" ref="Y133">IFERROR(VLOOKUP($A133,'The List'!$B1:$AS671,32,FALSE)," ")</f>
        <v xml:space="preserve"> </v>
      </c>
      <c r="Z133" s="84" t="str" cm="1">
        <f t="array" ref="Z133">IFERROR(VLOOKUP($A133,'The List'!$B1:$AS671,33,FALSE)," ")</f>
        <v xml:space="preserve"> </v>
      </c>
      <c r="AA133" s="85"/>
      <c r="AB133" s="90"/>
      <c r="AC133" s="90"/>
      <c r="AD133" s="90"/>
      <c r="AE133" s="90"/>
      <c r="AF133" s="90"/>
    </row>
    <row r="134" spans="1:32" ht="21.25" customHeight="1" x14ac:dyDescent="0.15">
      <c r="A134" s="24"/>
      <c r="B134" s="99" t="str" cm="1">
        <f t="array" ref="B134">IFERROR(VLOOKUP($A134,'The List'!$B1:$AS671,3,FALSE)," ")</f>
        <v xml:space="preserve"> </v>
      </c>
      <c r="C134" s="101" t="str" cm="1">
        <f t="array" ref="C134">IFERROR(VLOOKUP($A134,'The List'!$B1:$AS671,4,FALSE)," ")</f>
        <v xml:space="preserve"> </v>
      </c>
      <c r="D134" s="18" t="str" cm="1">
        <f t="array" ref="D134">IFERROR(VLOOKUP($A134,'The List'!$B1:$AS671,5,FALSE)," ")</f>
        <v xml:space="preserve"> </v>
      </c>
      <c r="E134" s="18" t="str" cm="1">
        <f t="array" ref="E134">IFERROR(VLOOKUP($A134,'The List'!$B1:$AS671,6,FALSE)," ")</f>
        <v xml:space="preserve"> </v>
      </c>
      <c r="F134" s="92" t="str" cm="1">
        <f t="array" ref="F134">IFERROR(VLOOKUP($A134,'The List'!$B1:$AS671,8,FALSE)," ")</f>
        <v xml:space="preserve"> </v>
      </c>
      <c r="G134" s="92" t="str" cm="1">
        <f t="array" ref="G134">IFERROR(VLOOKUP($A134,'The List'!$B1:$AS671,10,FALSE)," ")</f>
        <v xml:space="preserve"> </v>
      </c>
      <c r="H134" s="55"/>
      <c r="I134" s="84" t="str" cm="1">
        <f t="array" ref="I134">IFERROR(VLOOKUP($A134,'The List'!$B1:$AS671,16,FALSE)," ")</f>
        <v xml:space="preserve"> </v>
      </c>
      <c r="J134" s="84" t="str" cm="1">
        <f t="array" ref="J134">IFERROR(VLOOKUP($A134,'The List'!$B1:$AS671,17,FALSE)," ")</f>
        <v xml:space="preserve"> </v>
      </c>
      <c r="K134" s="84" t="str" cm="1">
        <f t="array" ref="K134">IFERROR(VLOOKUP($A134,'The List'!$B1:$AS671,18,FALSE)," ")</f>
        <v xml:space="preserve"> </v>
      </c>
      <c r="L134" s="84" t="str" cm="1">
        <f t="array" ref="L134">IFERROR(VLOOKUP($A134,'The List'!$B1:$AS671,19,FALSE)," ")</f>
        <v xml:space="preserve"> </v>
      </c>
      <c r="M134" s="84" t="str" cm="1">
        <f t="array" ref="M134">IFERROR(VLOOKUP($A134,'The List'!$B1:$AS671,20,FALSE)," ")</f>
        <v xml:space="preserve"> </v>
      </c>
      <c r="N134" s="84" t="str" cm="1">
        <f t="array" ref="N134">IFERROR(VLOOKUP($A134,'The List'!$B1:$AS671,21,FALSE)," ")</f>
        <v xml:space="preserve"> </v>
      </c>
      <c r="O134" s="84" t="str" cm="1">
        <f t="array" ref="O134">IFERROR(VLOOKUP($A134,'The List'!$B1:$AS671,22,FALSE)," ")</f>
        <v xml:space="preserve"> </v>
      </c>
      <c r="P134" s="84" t="str" cm="1">
        <f t="array" ref="P134">IFERROR(VLOOKUP($A134,'The List'!$B1:$AS671,23,FALSE)," ")</f>
        <v xml:space="preserve"> </v>
      </c>
      <c r="Q134" s="84" t="str" cm="1">
        <f t="array" ref="Q134">IFERROR(VLOOKUP($A134,'The List'!$B1:$AS671,24,FALSE)," ")</f>
        <v xml:space="preserve"> </v>
      </c>
      <c r="R134" s="84" t="str" cm="1">
        <f t="array" ref="R134">IFERROR(VLOOKUP($A134,'The List'!$B1:$AS671,25,FALSE)," ")</f>
        <v xml:space="preserve"> </v>
      </c>
      <c r="S134" s="84" t="str" cm="1">
        <f t="array" ref="S134">IFERROR(VLOOKUP($A134,'The List'!$B1:$AS671,26,FALSE)," ")</f>
        <v xml:space="preserve"> </v>
      </c>
      <c r="T134" s="84" t="str" cm="1">
        <f t="array" ref="T134">IFERROR(VLOOKUP($A134,'The List'!$B1:$AS671,27,FALSE)," ")</f>
        <v xml:space="preserve"> </v>
      </c>
      <c r="U134" s="84" t="str" cm="1">
        <f t="array" ref="U134">IFERROR(VLOOKUP($A134,'The List'!$B1:$AS671,28,FALSE)," ")</f>
        <v xml:space="preserve"> </v>
      </c>
      <c r="V134" s="84" t="str" cm="1">
        <f t="array" ref="V134">IFERROR(VLOOKUP($A134,'The List'!$B1:$AS671,29,FALSE)," ")</f>
        <v xml:space="preserve"> </v>
      </c>
      <c r="W134" s="84" t="str" cm="1">
        <f t="array" ref="W134">IFERROR(VLOOKUP($A134,'The List'!$B1:$AS671,30,FALSE)," ")</f>
        <v xml:space="preserve"> </v>
      </c>
      <c r="X134" s="84" t="str" cm="1">
        <f t="array" ref="X134">IFERROR(VLOOKUP($A134,'The List'!$B1:$AS671,31,FALSE)," ")</f>
        <v xml:space="preserve"> </v>
      </c>
      <c r="Y134" s="84" t="str" cm="1">
        <f t="array" ref="Y134">IFERROR(VLOOKUP($A134,'The List'!$B1:$AS671,32,FALSE)," ")</f>
        <v xml:space="preserve"> </v>
      </c>
      <c r="Z134" s="84" t="str" cm="1">
        <f t="array" ref="Z134">IFERROR(VLOOKUP($A134,'The List'!$B1:$AS671,33,FALSE)," ")</f>
        <v xml:space="preserve"> </v>
      </c>
      <c r="AA134" s="85"/>
      <c r="AB134" s="90"/>
      <c r="AC134" s="90"/>
      <c r="AD134" s="90"/>
      <c r="AE134" s="90"/>
      <c r="AF134" s="90"/>
    </row>
    <row r="135" spans="1:32" ht="21.25" customHeight="1" x14ac:dyDescent="0.15">
      <c r="A135" s="24"/>
      <c r="B135" s="99" t="str" cm="1">
        <f t="array" ref="B135">IFERROR(VLOOKUP($A135,'The List'!$B1:$AS671,3,FALSE)," ")</f>
        <v xml:space="preserve"> </v>
      </c>
      <c r="C135" s="101" t="str" cm="1">
        <f t="array" ref="C135">IFERROR(VLOOKUP($A135,'The List'!$B1:$AS671,4,FALSE)," ")</f>
        <v xml:space="preserve"> </v>
      </c>
      <c r="D135" s="18" t="str" cm="1">
        <f t="array" ref="D135">IFERROR(VLOOKUP($A135,'The List'!$B1:$AS671,5,FALSE)," ")</f>
        <v xml:space="preserve"> </v>
      </c>
      <c r="E135" s="18" t="str" cm="1">
        <f t="array" ref="E135">IFERROR(VLOOKUP($A135,'The List'!$B1:$AS671,6,FALSE)," ")</f>
        <v xml:space="preserve"> </v>
      </c>
      <c r="F135" s="92" t="str" cm="1">
        <f t="array" ref="F135">IFERROR(VLOOKUP($A135,'The List'!$B1:$AS671,8,FALSE)," ")</f>
        <v xml:space="preserve"> </v>
      </c>
      <c r="G135" s="92" t="str" cm="1">
        <f t="array" ref="G135">IFERROR(VLOOKUP($A135,'The List'!$B1:$AS671,10,FALSE)," ")</f>
        <v xml:space="preserve"> </v>
      </c>
      <c r="H135" s="55"/>
      <c r="I135" s="84" t="str" cm="1">
        <f t="array" ref="I135">IFERROR(VLOOKUP($A135,'The List'!$B1:$AS671,16,FALSE)," ")</f>
        <v xml:space="preserve"> </v>
      </c>
      <c r="J135" s="84" t="str" cm="1">
        <f t="array" ref="J135">IFERROR(VLOOKUP($A135,'The List'!$B1:$AS671,17,FALSE)," ")</f>
        <v xml:space="preserve"> </v>
      </c>
      <c r="K135" s="84" t="str" cm="1">
        <f t="array" ref="K135">IFERROR(VLOOKUP($A135,'The List'!$B1:$AS671,18,FALSE)," ")</f>
        <v xml:space="preserve"> </v>
      </c>
      <c r="L135" s="84" t="str" cm="1">
        <f t="array" ref="L135">IFERROR(VLOOKUP($A135,'The List'!$B1:$AS671,19,FALSE)," ")</f>
        <v xml:space="preserve"> </v>
      </c>
      <c r="M135" s="84" t="str" cm="1">
        <f t="array" ref="M135">IFERROR(VLOOKUP($A135,'The List'!$B1:$AS671,20,FALSE)," ")</f>
        <v xml:space="preserve"> </v>
      </c>
      <c r="N135" s="84" t="str" cm="1">
        <f t="array" ref="N135">IFERROR(VLOOKUP($A135,'The List'!$B1:$AS671,21,FALSE)," ")</f>
        <v xml:space="preserve"> </v>
      </c>
      <c r="O135" s="84" t="str" cm="1">
        <f t="array" ref="O135">IFERROR(VLOOKUP($A135,'The List'!$B1:$AS671,22,FALSE)," ")</f>
        <v xml:space="preserve"> </v>
      </c>
      <c r="P135" s="84" t="str" cm="1">
        <f t="array" ref="P135">IFERROR(VLOOKUP($A135,'The List'!$B1:$AS671,23,FALSE)," ")</f>
        <v xml:space="preserve"> </v>
      </c>
      <c r="Q135" s="84" t="str" cm="1">
        <f t="array" ref="Q135">IFERROR(VLOOKUP($A135,'The List'!$B1:$AS671,24,FALSE)," ")</f>
        <v xml:space="preserve"> </v>
      </c>
      <c r="R135" s="84" t="str" cm="1">
        <f t="array" ref="R135">IFERROR(VLOOKUP($A135,'The List'!$B1:$AS671,25,FALSE)," ")</f>
        <v xml:space="preserve"> </v>
      </c>
      <c r="S135" s="84" t="str" cm="1">
        <f t="array" ref="S135">IFERROR(VLOOKUP($A135,'The List'!$B1:$AS671,26,FALSE)," ")</f>
        <v xml:space="preserve"> </v>
      </c>
      <c r="T135" s="84" t="str" cm="1">
        <f t="array" ref="T135">IFERROR(VLOOKUP($A135,'The List'!$B1:$AS671,27,FALSE)," ")</f>
        <v xml:space="preserve"> </v>
      </c>
      <c r="U135" s="84" t="str" cm="1">
        <f t="array" ref="U135">IFERROR(VLOOKUP($A135,'The List'!$B1:$AS671,28,FALSE)," ")</f>
        <v xml:space="preserve"> </v>
      </c>
      <c r="V135" s="84" t="str" cm="1">
        <f t="array" ref="V135">IFERROR(VLOOKUP($A135,'The List'!$B1:$AS671,29,FALSE)," ")</f>
        <v xml:space="preserve"> </v>
      </c>
      <c r="W135" s="84" t="str" cm="1">
        <f t="array" ref="W135">IFERROR(VLOOKUP($A135,'The List'!$B1:$AS671,30,FALSE)," ")</f>
        <v xml:space="preserve"> </v>
      </c>
      <c r="X135" s="84" t="str" cm="1">
        <f t="array" ref="X135">IFERROR(VLOOKUP($A135,'The List'!$B1:$AS671,31,FALSE)," ")</f>
        <v xml:space="preserve"> </v>
      </c>
      <c r="Y135" s="84" t="str" cm="1">
        <f t="array" ref="Y135">IFERROR(VLOOKUP($A135,'The List'!$B1:$AS671,32,FALSE)," ")</f>
        <v xml:space="preserve"> </v>
      </c>
      <c r="Z135" s="84" t="str" cm="1">
        <f t="array" ref="Z135">IFERROR(VLOOKUP($A135,'The List'!$B1:$AS671,33,FALSE)," ")</f>
        <v xml:space="preserve"> </v>
      </c>
      <c r="AA135" s="85"/>
      <c r="AB135" s="90"/>
      <c r="AC135" s="90"/>
      <c r="AD135" s="90"/>
      <c r="AE135" s="90"/>
      <c r="AF135" s="90"/>
    </row>
    <row r="136" spans="1:32" ht="21.25" customHeight="1" x14ac:dyDescent="0.15">
      <c r="A136" s="24"/>
      <c r="B136" s="99" t="str" cm="1">
        <f t="array" ref="B136">IFERROR(VLOOKUP($A136,'The List'!$B1:$AS671,3,FALSE)," ")</f>
        <v xml:space="preserve"> </v>
      </c>
      <c r="C136" s="101" t="str" cm="1">
        <f t="array" ref="C136">IFERROR(VLOOKUP($A136,'The List'!$B1:$AS671,4,FALSE)," ")</f>
        <v xml:space="preserve"> </v>
      </c>
      <c r="D136" s="18" t="str" cm="1">
        <f t="array" ref="D136">IFERROR(VLOOKUP($A136,'The List'!$B1:$AS671,5,FALSE)," ")</f>
        <v xml:space="preserve"> </v>
      </c>
      <c r="E136" s="18" t="str" cm="1">
        <f t="array" ref="E136">IFERROR(VLOOKUP($A136,'The List'!$B1:$AS671,6,FALSE)," ")</f>
        <v xml:space="preserve"> </v>
      </c>
      <c r="F136" s="92" t="str" cm="1">
        <f t="array" ref="F136">IFERROR(VLOOKUP($A136,'The List'!$B1:$AS671,8,FALSE)," ")</f>
        <v xml:space="preserve"> </v>
      </c>
      <c r="G136" s="92" t="str" cm="1">
        <f t="array" ref="G136">IFERROR(VLOOKUP($A136,'The List'!$B1:$AS671,10,FALSE)," ")</f>
        <v xml:space="preserve"> </v>
      </c>
      <c r="H136" s="55"/>
      <c r="I136" s="84" t="str" cm="1">
        <f t="array" ref="I136">IFERROR(VLOOKUP($A136,'The List'!$B1:$AS671,16,FALSE)," ")</f>
        <v xml:space="preserve"> </v>
      </c>
      <c r="J136" s="84" t="str" cm="1">
        <f t="array" ref="J136">IFERROR(VLOOKUP($A136,'The List'!$B1:$AS671,17,FALSE)," ")</f>
        <v xml:space="preserve"> </v>
      </c>
      <c r="K136" s="84" t="str" cm="1">
        <f t="array" ref="K136">IFERROR(VLOOKUP($A136,'The List'!$B1:$AS671,18,FALSE)," ")</f>
        <v xml:space="preserve"> </v>
      </c>
      <c r="L136" s="84" t="str" cm="1">
        <f t="array" ref="L136">IFERROR(VLOOKUP($A136,'The List'!$B1:$AS671,19,FALSE)," ")</f>
        <v xml:space="preserve"> </v>
      </c>
      <c r="M136" s="84" t="str" cm="1">
        <f t="array" ref="M136">IFERROR(VLOOKUP($A136,'The List'!$B1:$AS671,20,FALSE)," ")</f>
        <v xml:space="preserve"> </v>
      </c>
      <c r="N136" s="84" t="str" cm="1">
        <f t="array" ref="N136">IFERROR(VLOOKUP($A136,'The List'!$B1:$AS671,21,FALSE)," ")</f>
        <v xml:space="preserve"> </v>
      </c>
      <c r="O136" s="84" t="str" cm="1">
        <f t="array" ref="O136">IFERROR(VLOOKUP($A136,'The List'!$B1:$AS671,22,FALSE)," ")</f>
        <v xml:space="preserve"> </v>
      </c>
      <c r="P136" s="84" t="str" cm="1">
        <f t="array" ref="P136">IFERROR(VLOOKUP($A136,'The List'!$B1:$AS671,23,FALSE)," ")</f>
        <v xml:space="preserve"> </v>
      </c>
      <c r="Q136" s="84" t="str" cm="1">
        <f t="array" ref="Q136">IFERROR(VLOOKUP($A136,'The List'!$B1:$AS671,24,FALSE)," ")</f>
        <v xml:space="preserve"> </v>
      </c>
      <c r="R136" s="84" t="str" cm="1">
        <f t="array" ref="R136">IFERROR(VLOOKUP($A136,'The List'!$B1:$AS671,25,FALSE)," ")</f>
        <v xml:space="preserve"> </v>
      </c>
      <c r="S136" s="84" t="str" cm="1">
        <f t="array" ref="S136">IFERROR(VLOOKUP($A136,'The List'!$B1:$AS671,26,FALSE)," ")</f>
        <v xml:space="preserve"> </v>
      </c>
      <c r="T136" s="84" t="str" cm="1">
        <f t="array" ref="T136">IFERROR(VLOOKUP($A136,'The List'!$B1:$AS671,27,FALSE)," ")</f>
        <v xml:space="preserve"> </v>
      </c>
      <c r="U136" s="84" t="str" cm="1">
        <f t="array" ref="U136">IFERROR(VLOOKUP($A136,'The List'!$B1:$AS671,28,FALSE)," ")</f>
        <v xml:space="preserve"> </v>
      </c>
      <c r="V136" s="84" t="str" cm="1">
        <f t="array" ref="V136">IFERROR(VLOOKUP($A136,'The List'!$B1:$AS671,29,FALSE)," ")</f>
        <v xml:space="preserve"> </v>
      </c>
      <c r="W136" s="84" t="str" cm="1">
        <f t="array" ref="W136">IFERROR(VLOOKUP($A136,'The List'!$B1:$AS671,30,FALSE)," ")</f>
        <v xml:space="preserve"> </v>
      </c>
      <c r="X136" s="84" t="str" cm="1">
        <f t="array" ref="X136">IFERROR(VLOOKUP($A136,'The List'!$B1:$AS671,31,FALSE)," ")</f>
        <v xml:space="preserve"> </v>
      </c>
      <c r="Y136" s="84" t="str" cm="1">
        <f t="array" ref="Y136">IFERROR(VLOOKUP($A136,'The List'!$B1:$AS671,32,FALSE)," ")</f>
        <v xml:space="preserve"> </v>
      </c>
      <c r="Z136" s="84" t="str" cm="1">
        <f t="array" ref="Z136">IFERROR(VLOOKUP($A136,'The List'!$B1:$AS671,33,FALSE)," ")</f>
        <v xml:space="preserve"> </v>
      </c>
      <c r="AA136" s="85"/>
      <c r="AB136" s="90"/>
      <c r="AC136" s="90"/>
      <c r="AD136" s="90"/>
      <c r="AE136" s="90"/>
      <c r="AF136" s="90"/>
    </row>
    <row r="137" spans="1:32" ht="21.25" customHeight="1" x14ac:dyDescent="0.15">
      <c r="A137" s="103"/>
      <c r="B137" s="104" t="str" cm="1">
        <f t="array" ref="B137">IFERROR(VLOOKUP($A137,'The List'!$B1:$AS671,3,FALSE)," ")</f>
        <v xml:space="preserve"> </v>
      </c>
      <c r="C137" s="105" t="str" cm="1">
        <f t="array" ref="C137">IFERROR(VLOOKUP($A137,'The List'!$B1:$AS671,4,FALSE)," ")</f>
        <v xml:space="preserve"> </v>
      </c>
      <c r="D137" s="106" t="str" cm="1">
        <f t="array" ref="D137">IFERROR(VLOOKUP($A137,'The List'!$B1:$AS671,5,FALSE)," ")</f>
        <v xml:space="preserve"> </v>
      </c>
      <c r="E137" s="106" t="str" cm="1">
        <f t="array" ref="E137">IFERROR(VLOOKUP($A137,'The List'!$B1:$AS671,6,FALSE)," ")</f>
        <v xml:space="preserve"> </v>
      </c>
      <c r="F137" s="107" t="str" cm="1">
        <f t="array" ref="F137">IFERROR(VLOOKUP($A137,'The List'!$B1:$AS671,8,FALSE)," ")</f>
        <v xml:space="preserve"> </v>
      </c>
      <c r="G137" s="107" t="str" cm="1">
        <f t="array" ref="G137">IFERROR(VLOOKUP($A137,'The List'!$B1:$AS671,10,FALSE)," ")</f>
        <v xml:space="preserve"> </v>
      </c>
      <c r="H137" s="108"/>
      <c r="I137" s="109" t="str" cm="1">
        <f t="array" ref="I137">IFERROR(VLOOKUP($A137,'The List'!$B1:$AS671,16,FALSE)," ")</f>
        <v xml:space="preserve"> </v>
      </c>
      <c r="J137" s="109" t="str" cm="1">
        <f t="array" ref="J137">IFERROR(VLOOKUP($A137,'The List'!$B1:$AS671,17,FALSE)," ")</f>
        <v xml:space="preserve"> </v>
      </c>
      <c r="K137" s="109" t="str" cm="1">
        <f t="array" ref="K137">IFERROR(VLOOKUP($A137,'The List'!$B1:$AS671,18,FALSE)," ")</f>
        <v xml:space="preserve"> </v>
      </c>
      <c r="L137" s="109" t="str" cm="1">
        <f t="array" ref="L137">IFERROR(VLOOKUP($A137,'The List'!$B1:$AS671,19,FALSE)," ")</f>
        <v xml:space="preserve"> </v>
      </c>
      <c r="M137" s="109" t="str" cm="1">
        <f t="array" ref="M137">IFERROR(VLOOKUP($A137,'The List'!$B1:$AS671,20,FALSE)," ")</f>
        <v xml:space="preserve"> </v>
      </c>
      <c r="N137" s="109" t="str" cm="1">
        <f t="array" ref="N137">IFERROR(VLOOKUP($A137,'The List'!$B1:$AS671,21,FALSE)," ")</f>
        <v xml:space="preserve"> </v>
      </c>
      <c r="O137" s="109" t="str" cm="1">
        <f t="array" ref="O137">IFERROR(VLOOKUP($A137,'The List'!$B1:$AS671,22,FALSE)," ")</f>
        <v xml:space="preserve"> </v>
      </c>
      <c r="P137" s="109" t="str" cm="1">
        <f t="array" ref="P137">IFERROR(VLOOKUP($A137,'The List'!$B1:$AS671,23,FALSE)," ")</f>
        <v xml:space="preserve"> </v>
      </c>
      <c r="Q137" s="109" t="str" cm="1">
        <f t="array" ref="Q137">IFERROR(VLOOKUP($A137,'The List'!$B1:$AS671,24,FALSE)," ")</f>
        <v xml:space="preserve"> </v>
      </c>
      <c r="R137" s="109" t="str" cm="1">
        <f t="array" ref="R137">IFERROR(VLOOKUP($A137,'The List'!$B1:$AS671,25,FALSE)," ")</f>
        <v xml:space="preserve"> </v>
      </c>
      <c r="S137" s="109" t="str" cm="1">
        <f t="array" ref="S137">IFERROR(VLOOKUP($A137,'The List'!$B1:$AS671,26,FALSE)," ")</f>
        <v xml:space="preserve"> </v>
      </c>
      <c r="T137" s="109" t="str" cm="1">
        <f t="array" ref="T137">IFERROR(VLOOKUP($A137,'The List'!$B1:$AS671,27,FALSE)," ")</f>
        <v xml:space="preserve"> </v>
      </c>
      <c r="U137" s="109" t="str" cm="1">
        <f t="array" ref="U137">IFERROR(VLOOKUP($A137,'The List'!$B1:$AS671,28,FALSE)," ")</f>
        <v xml:space="preserve"> </v>
      </c>
      <c r="V137" s="109" t="str" cm="1">
        <f t="array" ref="V137">IFERROR(VLOOKUP($A137,'The List'!$B1:$AS671,29,FALSE)," ")</f>
        <v xml:space="preserve"> </v>
      </c>
      <c r="W137" s="109" t="str" cm="1">
        <f t="array" ref="W137">IFERROR(VLOOKUP($A137,'The List'!$B1:$AS671,30,FALSE)," ")</f>
        <v xml:space="preserve"> </v>
      </c>
      <c r="X137" s="109" t="str" cm="1">
        <f t="array" ref="X137">IFERROR(VLOOKUP($A137,'The List'!$B1:$AS671,31,FALSE)," ")</f>
        <v xml:space="preserve"> </v>
      </c>
      <c r="Y137" s="109" t="str" cm="1">
        <f t="array" ref="Y137">IFERROR(VLOOKUP($A137,'The List'!$B1:$AS671,32,FALSE)," ")</f>
        <v xml:space="preserve"> </v>
      </c>
      <c r="Z137" s="109" t="str" cm="1">
        <f t="array" ref="Z137">IFERROR(VLOOKUP($A137,'The List'!$B1:$AS671,33,FALSE)," ")</f>
        <v xml:space="preserve"> </v>
      </c>
      <c r="AA137" s="85"/>
      <c r="AB137" s="90"/>
      <c r="AC137" s="90"/>
      <c r="AD137" s="90"/>
      <c r="AE137" s="90"/>
      <c r="AF137" s="90"/>
    </row>
    <row r="138" spans="1:32" ht="21.25" customHeight="1" x14ac:dyDescent="0.15">
      <c r="A138" s="110"/>
      <c r="B138" s="111"/>
      <c r="C138" s="112"/>
      <c r="D138" s="113"/>
      <c r="E138" s="113" t="str" cm="1">
        <f t="array" ref="E138">IFERROR(AVERAGE(E118:E137)," ")</f>
        <v xml:space="preserve"> </v>
      </c>
      <c r="F138" s="115" cm="1">
        <f t="array" ref="F138">SUM(F118:F137)</f>
        <v>0</v>
      </c>
      <c r="G138" s="115" cm="1">
        <f t="array" ref="G138">SUM(G118:G137)</f>
        <v>0</v>
      </c>
      <c r="H138" s="116"/>
      <c r="I138" s="117" cm="1">
        <f t="array" ref="I138">SUM(I118:I137)</f>
        <v>0</v>
      </c>
      <c r="J138" s="116" t="e" cm="1">
        <f t="array" ref="J138">AVERAGE(J118:J137)</f>
        <v>#DIV/0!</v>
      </c>
      <c r="K138" s="117" cm="1">
        <f t="array" ref="K138">SUM(K118:K137)</f>
        <v>0</v>
      </c>
      <c r="L138" s="117" cm="1">
        <f t="array" ref="L138">SUM(L118:L137)</f>
        <v>0</v>
      </c>
      <c r="M138" s="117" cm="1">
        <f t="array" ref="M138">SUM(M118:M137)</f>
        <v>0</v>
      </c>
      <c r="N138" s="117" cm="1">
        <f t="array" ref="N138">SUM(N118:N137)</f>
        <v>0</v>
      </c>
      <c r="O138" s="117" cm="1">
        <f t="array" ref="O138">SUM(O118:O137)</f>
        <v>0</v>
      </c>
      <c r="P138" s="117" cm="1">
        <f t="array" ref="P138">SUM(P118:P137)</f>
        <v>0</v>
      </c>
      <c r="Q138" s="117" cm="1">
        <f t="array" ref="Q138">SUM(Q118:Q137)</f>
        <v>0</v>
      </c>
      <c r="R138" s="117" cm="1">
        <f t="array" ref="R138">SUM(R118:R137)</f>
        <v>0</v>
      </c>
      <c r="S138" s="117" cm="1">
        <f t="array" ref="S138">SUM(S118:S137)</f>
        <v>0</v>
      </c>
      <c r="T138" s="117" cm="1">
        <f t="array" ref="T138">SUM(T118:T137)</f>
        <v>0</v>
      </c>
      <c r="U138" s="117" cm="1">
        <f t="array" ref="U138">SUM(U118:U137)</f>
        <v>0</v>
      </c>
      <c r="V138" s="117" cm="1">
        <f t="array" ref="V138">SUM(V118:V137)</f>
        <v>0</v>
      </c>
      <c r="W138" s="117" cm="1">
        <f t="array" ref="W138">SUM(W118:W137)</f>
        <v>0</v>
      </c>
      <c r="X138" s="117" cm="1">
        <f t="array" ref="X138">SUM(X118:X137)</f>
        <v>0</v>
      </c>
      <c r="Y138" s="117" cm="1">
        <f t="array" ref="Y138">SUM(Y118:Y137)</f>
        <v>0</v>
      </c>
      <c r="Z138" s="118" cm="1">
        <f t="array" ref="Z138">IFERROR(X138/(X138+Y138),0)</f>
        <v>0</v>
      </c>
      <c r="AA138" s="85"/>
      <c r="AB138" s="119"/>
      <c r="AC138" s="119"/>
      <c r="AD138" s="119"/>
      <c r="AE138" s="119"/>
      <c r="AF138" s="119"/>
    </row>
    <row r="139" spans="1:32" ht="21.25" customHeight="1" x14ac:dyDescent="0.15">
      <c r="A139" s="37"/>
      <c r="B139" s="120"/>
      <c r="C139" s="121"/>
      <c r="D139" s="13"/>
      <c r="E139" s="13"/>
      <c r="F139" s="122"/>
      <c r="G139" s="123"/>
      <c r="H139" s="124"/>
      <c r="I139" s="12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90"/>
      <c r="AC139" s="90"/>
      <c r="AD139" s="90"/>
      <c r="AE139" s="90"/>
      <c r="AF139" s="90"/>
    </row>
    <row r="140" spans="1:32" ht="21.25" customHeight="1" x14ac:dyDescent="0.15">
      <c r="A140" s="40" t="s">
        <v>90</v>
      </c>
      <c r="B140" s="204" t="s">
        <v>92</v>
      </c>
      <c r="C140" s="194"/>
      <c r="D140" s="126" t="s">
        <v>93</v>
      </c>
      <c r="E140" s="126" t="s">
        <v>94</v>
      </c>
      <c r="F140" s="127" t="s">
        <v>96</v>
      </c>
      <c r="G140" s="127" t="s">
        <v>98</v>
      </c>
      <c r="H140" s="128"/>
      <c r="I140" s="129" t="s">
        <v>103</v>
      </c>
      <c r="J140" s="129" t="s">
        <v>118</v>
      </c>
      <c r="K140" s="129" t="s">
        <v>119</v>
      </c>
      <c r="L140" s="129" t="s">
        <v>120</v>
      </c>
      <c r="M140" s="129" t="s">
        <v>121</v>
      </c>
      <c r="N140" s="129" t="s">
        <v>122</v>
      </c>
      <c r="O140" s="129" t="s">
        <v>123</v>
      </c>
      <c r="P140" s="129" t="s">
        <v>124</v>
      </c>
      <c r="Q140" s="129" t="s">
        <v>125</v>
      </c>
      <c r="R140" s="85"/>
      <c r="S140" s="85"/>
      <c r="T140" s="85"/>
      <c r="U140" s="204" t="s">
        <v>814</v>
      </c>
      <c r="V140" s="205"/>
      <c r="W140" s="205"/>
      <c r="X140" s="204" t="s">
        <v>815</v>
      </c>
      <c r="Y140" s="205"/>
      <c r="Z140" s="205"/>
      <c r="AA140" s="85"/>
      <c r="AB140" s="85"/>
      <c r="AC140" s="85"/>
      <c r="AD140" s="85"/>
      <c r="AE140" s="85"/>
      <c r="AF140" s="85"/>
    </row>
    <row r="141" spans="1:32" ht="21.25" customHeight="1" x14ac:dyDescent="0.15">
      <c r="A141" s="146"/>
      <c r="B141" s="131" t="str" cm="1">
        <f t="array" ref="B141">IFERROR(VLOOKUP($A141,'The List'!$B1:$AS671,3,FALSE)," ")</f>
        <v xml:space="preserve"> </v>
      </c>
      <c r="C141" s="147" t="str" cm="1">
        <f t="array" ref="C141">IFERROR(VLOOKUP($A141,'The List'!$B1:$AS671,4,FALSE)," ")</f>
        <v xml:space="preserve"> </v>
      </c>
      <c r="D141" s="133" t="str" cm="1">
        <f t="array" ref="D141">IFERROR(VLOOKUP($A141,'The List'!$B1:$AS671,5,FALSE)," ")</f>
        <v xml:space="preserve"> </v>
      </c>
      <c r="E141" s="133" t="str" cm="1">
        <f t="array" ref="E141">IFERROR(VLOOKUP($A141,'The List'!$B1:$AS671,6,FALSE)," ")</f>
        <v xml:space="preserve"> </v>
      </c>
      <c r="F141" s="148" t="str" cm="1">
        <f t="array" ref="F141">IFERROR(VLOOKUP($A141,'The List'!$B1:$AS671,8,FALSE)," ")</f>
        <v xml:space="preserve"> </v>
      </c>
      <c r="G141" s="148" t="str" cm="1">
        <f t="array" ref="G141">IFERROR(VLOOKUP($A141,'The List'!$B1:$AS671,10,FALSE)," ")</f>
        <v xml:space="preserve"> </v>
      </c>
      <c r="H141" s="82"/>
      <c r="I141" s="149" t="str" cm="1">
        <f t="array" ref="I141">IFERROR(VLOOKUP($A141,'The List'!$B1:$AS671,35,FALSE)," ")</f>
        <v xml:space="preserve"> </v>
      </c>
      <c r="J141" s="149" t="str" cm="1">
        <f t="array" ref="J141">IFERROR(VLOOKUP($A141,'The List'!$B1:$AS671,36,FALSE)," ")</f>
        <v xml:space="preserve"> </v>
      </c>
      <c r="K141" s="149" t="str" cm="1">
        <f t="array" ref="K141">IFERROR(VLOOKUP($A141,'The List'!$B1:$AS671,37,FALSE)," ")</f>
        <v xml:space="preserve"> </v>
      </c>
      <c r="L141" s="149" t="str" cm="1">
        <f t="array" ref="L141">IFERROR(VLOOKUP($A141,'The List'!$B1:$AS671,38,FALSE)," ")</f>
        <v xml:space="preserve"> </v>
      </c>
      <c r="M141" s="149" t="str" cm="1">
        <f t="array" ref="M141">IFERROR(VLOOKUP($A141,'The List'!$B1:$AS671,39,FALSE)," ")</f>
        <v xml:space="preserve"> </v>
      </c>
      <c r="N141" s="149" t="str" cm="1">
        <f t="array" ref="N141">IFERROR(VLOOKUP($A141,'The List'!$B1:$AS671,40,FALSE)," ")</f>
        <v xml:space="preserve"> </v>
      </c>
      <c r="O141" s="149" t="str" cm="1">
        <f t="array" ref="O141">IFERROR(VLOOKUP($A141,'The List'!$B1:$AS671,41,FALSE)," ")</f>
        <v xml:space="preserve"> </v>
      </c>
      <c r="P141" s="149" t="str" cm="1">
        <f t="array" ref="P141">IFERROR(VLOOKUP($A141,'The List'!$B1:$AS671,42,FALSE)," ")</f>
        <v xml:space="preserve"> </v>
      </c>
      <c r="Q141" s="149" t="str" cm="1">
        <f t="array" ref="Q141">IFERROR(VLOOKUP($A141,'The List'!$B1:$AS671,43,FALSE)," ")</f>
        <v xml:space="preserve"> </v>
      </c>
      <c r="R141" s="85"/>
      <c r="S141" s="85"/>
      <c r="T141" s="139" t="str" cm="1">
        <f t="array" ref="T141">A117</f>
        <v>TEAM 5</v>
      </c>
      <c r="U141" s="206" cm="1">
        <f t="array" ref="U141">F138+F144</f>
        <v>0</v>
      </c>
      <c r="V141" s="194"/>
      <c r="W141" s="194"/>
      <c r="X141" s="206" cm="1">
        <f t="array" ref="X141">G144+G138</f>
        <v>0</v>
      </c>
      <c r="Y141" s="194"/>
      <c r="Z141" s="194"/>
      <c r="AA141" s="85"/>
      <c r="AB141" s="85"/>
      <c r="AC141" s="85"/>
      <c r="AD141" s="85"/>
      <c r="AE141" s="85"/>
      <c r="AF141" s="85"/>
    </row>
    <row r="142" spans="1:32" ht="21.25" customHeight="1" x14ac:dyDescent="0.15">
      <c r="A142" s="24"/>
      <c r="B142" s="140" t="str" cm="1">
        <f t="array" ref="B142">IFERROR(VLOOKUP($A142,'The List'!$B1:$AS671,3,FALSE)," ")</f>
        <v xml:space="preserve"> </v>
      </c>
      <c r="C142" s="141" t="str" cm="1">
        <f t="array" ref="C142">IFERROR(VLOOKUP($A142,'The List'!$B1:$AS671,4,FALSE)," ")</f>
        <v xml:space="preserve"> </v>
      </c>
      <c r="D142" s="18" t="str" cm="1">
        <f t="array" ref="D142">IFERROR(VLOOKUP($A142,'The List'!$B1:$AS671,5,FALSE)," ")</f>
        <v xml:space="preserve"> </v>
      </c>
      <c r="E142" s="18" t="str" cm="1">
        <f t="array" ref="E142">IFERROR(VLOOKUP($A142,'The List'!$B1:$AS671,6,FALSE)," ")</f>
        <v xml:space="preserve"> </v>
      </c>
      <c r="F142" s="92" t="str" cm="1">
        <f t="array" ref="F142">IFERROR(VLOOKUP($A142,'The List'!$B1:$AS671,8,FALSE)," ")</f>
        <v xml:space="preserve"> </v>
      </c>
      <c r="G142" s="92" t="str" cm="1">
        <f t="array" ref="G142">IFERROR(VLOOKUP($A142,'The List'!$B1:$AS671,10,FALSE)," ")</f>
        <v xml:space="preserve"> </v>
      </c>
      <c r="H142" s="55"/>
      <c r="I142" s="84" t="str" cm="1">
        <f t="array" ref="I142">IFERROR(VLOOKUP($A142,'The List'!$B1:$AS671,35,FALSE)," ")</f>
        <v xml:space="preserve"> </v>
      </c>
      <c r="J142" s="84" t="str" cm="1">
        <f t="array" ref="J142">IFERROR(VLOOKUP($A142,'The List'!$B1:$AS671,36,FALSE)," ")</f>
        <v xml:space="preserve"> </v>
      </c>
      <c r="K142" s="84" t="str" cm="1">
        <f t="array" ref="K142">IFERROR(VLOOKUP($A142,'The List'!$B1:$AS671,37,FALSE)," ")</f>
        <v xml:space="preserve"> </v>
      </c>
      <c r="L142" s="84" t="str" cm="1">
        <f t="array" ref="L142">IFERROR(VLOOKUP($A142,'The List'!$B1:$AS671,38,FALSE)," ")</f>
        <v xml:space="preserve"> </v>
      </c>
      <c r="M142" s="84" t="str" cm="1">
        <f t="array" ref="M142">IFERROR(VLOOKUP($A142,'The List'!$B1:$AS671,39,FALSE)," ")</f>
        <v xml:space="preserve"> </v>
      </c>
      <c r="N142" s="84" t="str" cm="1">
        <f t="array" ref="N142">IFERROR(VLOOKUP($A142,'The List'!$B1:$AS671,40,FALSE)," ")</f>
        <v xml:space="preserve"> </v>
      </c>
      <c r="O142" s="84" t="str" cm="1">
        <f t="array" ref="O142">IFERROR(VLOOKUP($A142,'The List'!$B1:$AS671,41,FALSE)," ")</f>
        <v xml:space="preserve"> </v>
      </c>
      <c r="P142" s="84" t="str" cm="1">
        <f t="array" ref="P142">IFERROR(VLOOKUP($A142,'The List'!$B1:$AS671,42,FALSE)," ")</f>
        <v xml:space="preserve"> </v>
      </c>
      <c r="Q142" s="84" t="str" cm="1">
        <f t="array" ref="Q142">IFERROR(VLOOKUP($A142,'The List'!$B1:$AS671,43,FALSE)," ")</f>
        <v xml:space="preserve"> </v>
      </c>
      <c r="R142" s="85"/>
      <c r="S142" s="85"/>
      <c r="T142" s="85"/>
      <c r="U142" s="194"/>
      <c r="V142" s="194"/>
      <c r="W142" s="194"/>
      <c r="X142" s="194"/>
      <c r="Y142" s="194"/>
      <c r="Z142" s="194"/>
      <c r="AA142" s="85"/>
      <c r="AB142" s="85"/>
      <c r="AC142" s="85"/>
      <c r="AD142" s="85"/>
      <c r="AE142" s="85"/>
      <c r="AF142" s="85"/>
    </row>
    <row r="143" spans="1:32" ht="21.25" customHeight="1" x14ac:dyDescent="0.15">
      <c r="A143" s="103"/>
      <c r="B143" s="142" t="str" cm="1">
        <f t="array" ref="B143">IFERROR(VLOOKUP($A143,'The List'!$B1:$AS671,3,FALSE)," ")</f>
        <v xml:space="preserve"> </v>
      </c>
      <c r="C143" s="143" t="str" cm="1">
        <f t="array" ref="C143">IFERROR(VLOOKUP($A143,'The List'!$B1:$AS671,4,FALSE)," ")</f>
        <v xml:space="preserve"> </v>
      </c>
      <c r="D143" s="106" t="str" cm="1">
        <f t="array" ref="D143">IFERROR(VLOOKUP($A143,'The List'!$B1:$AS671,5,FALSE)," ")</f>
        <v xml:space="preserve"> </v>
      </c>
      <c r="E143" s="106" t="str" cm="1">
        <f t="array" ref="E143">IFERROR(VLOOKUP($A143,'The List'!$B1:$AS671,6,FALSE)," ")</f>
        <v xml:space="preserve"> </v>
      </c>
      <c r="F143" s="107" t="str" cm="1">
        <f t="array" ref="F143">IFERROR(VLOOKUP($A143,'The List'!$B1:$AS671,8,FALSE)," ")</f>
        <v xml:space="preserve"> </v>
      </c>
      <c r="G143" s="107" t="str" cm="1">
        <f t="array" ref="G143">IFERROR(VLOOKUP($A143,'The List'!$B1:$AS671,10,FALSE)," ")</f>
        <v xml:space="preserve"> </v>
      </c>
      <c r="H143" s="108"/>
      <c r="I143" s="109" t="str" cm="1">
        <f t="array" ref="I143">IFERROR(VLOOKUP($A143,'The List'!$B1:$AS671,35,FALSE)," ")</f>
        <v xml:space="preserve"> </v>
      </c>
      <c r="J143" s="109" t="str" cm="1">
        <f t="array" ref="J143">IFERROR(VLOOKUP($A143,'The List'!$B1:$AS671,36,FALSE)," ")</f>
        <v xml:space="preserve"> </v>
      </c>
      <c r="K143" s="109" t="str" cm="1">
        <f t="array" ref="K143">IFERROR(VLOOKUP($A143,'The List'!$B1:$AS671,37,FALSE)," ")</f>
        <v xml:space="preserve"> </v>
      </c>
      <c r="L143" s="109" t="str" cm="1">
        <f t="array" ref="L143">IFERROR(VLOOKUP($A143,'The List'!$B1:$AS671,38,FALSE)," ")</f>
        <v xml:space="preserve"> </v>
      </c>
      <c r="M143" s="109" t="str" cm="1">
        <f t="array" ref="M143">IFERROR(VLOOKUP($A143,'The List'!$B1:$AS671,39,FALSE)," ")</f>
        <v xml:space="preserve"> </v>
      </c>
      <c r="N143" s="109" t="str" cm="1">
        <f t="array" ref="N143">IFERROR(VLOOKUP($A143,'The List'!$B1:$AS671,40,FALSE)," ")</f>
        <v xml:space="preserve"> </v>
      </c>
      <c r="O143" s="109" t="str" cm="1">
        <f t="array" ref="O143">IFERROR(VLOOKUP($A143,'The List'!$B1:$AS671,41,FALSE)," ")</f>
        <v xml:space="preserve"> </v>
      </c>
      <c r="P143" s="109" t="str" cm="1">
        <f t="array" ref="P143">IFERROR(VLOOKUP($A143,'The List'!$B1:$AS671,42,FALSE)," ")</f>
        <v xml:space="preserve"> </v>
      </c>
      <c r="Q143" s="109" t="str" cm="1">
        <f t="array" ref="Q143">IFERROR(VLOOKUP($A143,'The List'!$B1:$AS671,43,FALSE)," ")</f>
        <v xml:space="preserve"> </v>
      </c>
      <c r="R143" s="85"/>
      <c r="S143" s="85"/>
      <c r="T143" s="85"/>
      <c r="U143" s="194"/>
      <c r="V143" s="194"/>
      <c r="W143" s="194"/>
      <c r="X143" s="194"/>
      <c r="Y143" s="194"/>
      <c r="Z143" s="194"/>
      <c r="AA143" s="85"/>
      <c r="AB143" s="85"/>
      <c r="AC143" s="85"/>
      <c r="AD143" s="85"/>
      <c r="AE143" s="85"/>
      <c r="AF143" s="85"/>
    </row>
    <row r="144" spans="1:32" ht="21.25" customHeight="1" x14ac:dyDescent="0.15">
      <c r="A144" s="110"/>
      <c r="B144" s="111"/>
      <c r="C144" s="112"/>
      <c r="D144" s="113"/>
      <c r="E144" s="113" t="str" cm="1">
        <f t="array" ref="E144">IFERROR(AVERAGE(E141:E143)," ")</f>
        <v xml:space="preserve"> </v>
      </c>
      <c r="F144" s="115" cm="1">
        <f t="array" ref="F144">SUM(F141:F143)</f>
        <v>0</v>
      </c>
      <c r="G144" s="115" cm="1">
        <f t="array" ref="G144">SUM(G141:G143)</f>
        <v>0</v>
      </c>
      <c r="H144" s="116"/>
      <c r="I144" s="117" cm="1">
        <f t="array" ref="I144">SUM(I141:I143)</f>
        <v>0</v>
      </c>
      <c r="J144" s="116" cm="1">
        <f t="array" ref="J144">SUM(J141:J143)</f>
        <v>0</v>
      </c>
      <c r="K144" s="117" cm="1">
        <f t="array" ref="K144">SUM(K141:K143)</f>
        <v>0</v>
      </c>
      <c r="L144" s="117" cm="1">
        <f t="array" ref="L144">SUM(L141:L143)</f>
        <v>0</v>
      </c>
      <c r="M144" s="117" cm="1">
        <f t="array" ref="M144">SUM(M141:M143)</f>
        <v>0</v>
      </c>
      <c r="N144" s="117" cm="1">
        <f t="array" ref="N144">SUM(N141:N143)</f>
        <v>0</v>
      </c>
      <c r="O144" s="117" cm="1">
        <f t="array" ref="O144">SUM(O141:O143)</f>
        <v>0</v>
      </c>
      <c r="P144" s="144" t="e" cm="1">
        <f t="array" ref="P144">1-(O144/(N144+O144))</f>
        <v>#DIV/0!</v>
      </c>
      <c r="Q144" s="145" t="e" cm="1">
        <f t="array" ref="Q144">O144/I144</f>
        <v>#DIV/0!</v>
      </c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</row>
    <row r="145" spans="1:32" ht="70.75" customHeight="1" x14ac:dyDescent="0.15">
      <c r="A145" s="37"/>
      <c r="B145" s="120"/>
      <c r="C145" s="121"/>
      <c r="D145" s="13"/>
      <c r="E145" s="13"/>
      <c r="F145" s="122"/>
      <c r="G145" s="123"/>
      <c r="H145" s="124"/>
      <c r="I145" s="12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90"/>
      <c r="AB145" s="90"/>
      <c r="AC145" s="90"/>
      <c r="AD145" s="90"/>
      <c r="AE145" s="90"/>
      <c r="AF145" s="90"/>
    </row>
    <row r="146" spans="1:32" ht="21.25" customHeight="1" x14ac:dyDescent="0.15">
      <c r="A146" s="41" t="s">
        <v>803</v>
      </c>
      <c r="B146" s="203" t="s">
        <v>92</v>
      </c>
      <c r="C146" s="200"/>
      <c r="D146" s="42" t="s">
        <v>93</v>
      </c>
      <c r="E146" s="42" t="s">
        <v>94</v>
      </c>
      <c r="F146" s="43" t="s">
        <v>96</v>
      </c>
      <c r="G146" s="43" t="s">
        <v>98</v>
      </c>
      <c r="H146" s="44"/>
      <c r="I146" s="46" t="s">
        <v>103</v>
      </c>
      <c r="J146" s="46" t="s">
        <v>56</v>
      </c>
      <c r="K146" s="46" t="s">
        <v>104</v>
      </c>
      <c r="L146" s="46" t="s">
        <v>105</v>
      </c>
      <c r="M146" s="46" t="s">
        <v>106</v>
      </c>
      <c r="N146" s="46" t="s">
        <v>107</v>
      </c>
      <c r="O146" s="46" t="s">
        <v>64</v>
      </c>
      <c r="P146" s="46" t="s">
        <v>67</v>
      </c>
      <c r="Q146" s="46" t="s">
        <v>108</v>
      </c>
      <c r="R146" s="46" t="s">
        <v>109</v>
      </c>
      <c r="S146" s="46" t="s">
        <v>110</v>
      </c>
      <c r="T146" s="46" t="s">
        <v>111</v>
      </c>
      <c r="U146" s="46" t="s">
        <v>112</v>
      </c>
      <c r="V146" s="46" t="s">
        <v>113</v>
      </c>
      <c r="W146" s="46" t="s">
        <v>114</v>
      </c>
      <c r="X146" s="46" t="s">
        <v>115</v>
      </c>
      <c r="Y146" s="46" t="s">
        <v>116</v>
      </c>
      <c r="Z146" s="46" t="s">
        <v>117</v>
      </c>
      <c r="AA146" s="85"/>
      <c r="AB146" s="86"/>
      <c r="AC146" s="86"/>
      <c r="AD146" s="86"/>
      <c r="AE146" s="86"/>
      <c r="AF146" s="86"/>
    </row>
    <row r="147" spans="1:32" ht="21.25" customHeight="1" x14ac:dyDescent="0.15">
      <c r="A147" s="24"/>
      <c r="B147" s="87" t="str" cm="1">
        <f t="array" ref="B147">IFERROR(VLOOKUP($A147,'The List'!$B1:$AS671,3,FALSE)," ")</f>
        <v xml:space="preserve"> </v>
      </c>
      <c r="C147" s="91" t="str" cm="1">
        <f t="array" ref="C147">IFERROR(VLOOKUP($A147,'The List'!$B1:$AS671,4,FALSE)," ")</f>
        <v xml:space="preserve"> </v>
      </c>
      <c r="D147" s="18" t="str" cm="1">
        <f t="array" ref="D147">IFERROR(VLOOKUP($A147,'The List'!$B1:$AS671,5,FALSE)," ")</f>
        <v xml:space="preserve"> </v>
      </c>
      <c r="E147" s="18" t="str" cm="1">
        <f t="array" ref="E147">IFERROR(VLOOKUP($A147,'The List'!$B1:$AS671,6,FALSE)," ")</f>
        <v xml:space="preserve"> </v>
      </c>
      <c r="F147" s="92" t="str" cm="1">
        <f t="array" ref="F147">IFERROR(VLOOKUP($A147,'The List'!$B1:$AS671,8,FALSE)," ")</f>
        <v xml:space="preserve"> </v>
      </c>
      <c r="G147" s="92" t="str" cm="1">
        <f t="array" ref="G147">IFERROR(VLOOKUP($A147,'The List'!$B1:$AS671,10,FALSE)," ")</f>
        <v xml:space="preserve"> </v>
      </c>
      <c r="H147" s="55"/>
      <c r="I147" s="84" t="str" cm="1">
        <f t="array" ref="I147">IFERROR(VLOOKUP($A147,'The List'!$B1:$AS671,16,FALSE)," ")</f>
        <v xml:space="preserve"> </v>
      </c>
      <c r="J147" s="84" t="str" cm="1">
        <f t="array" ref="J147">IFERROR(VLOOKUP($A147,'The List'!$B1:$AS671,17,FALSE)," ")</f>
        <v xml:space="preserve"> </v>
      </c>
      <c r="K147" s="84" t="str" cm="1">
        <f t="array" ref="K147">IFERROR(VLOOKUP($A147,'The List'!$B1:$AS671,18,FALSE)," ")</f>
        <v xml:space="preserve"> </v>
      </c>
      <c r="L147" s="84" t="str" cm="1">
        <f t="array" ref="L147">IFERROR(VLOOKUP($A147,'The List'!$B1:$AS671,19,FALSE)," ")</f>
        <v xml:space="preserve"> </v>
      </c>
      <c r="M147" s="84" t="str" cm="1">
        <f t="array" ref="M147">IFERROR(VLOOKUP($A147,'The List'!$B1:$AS671,20,FALSE)," ")</f>
        <v xml:space="preserve"> </v>
      </c>
      <c r="N147" s="84" t="str" cm="1">
        <f t="array" ref="N147">IFERROR(VLOOKUP($A147,'The List'!$B1:$AS671,21,FALSE)," ")</f>
        <v xml:space="preserve"> </v>
      </c>
      <c r="O147" s="84" t="str" cm="1">
        <f t="array" ref="O147">IFERROR(VLOOKUP($A147,'The List'!$B1:$AS671,22,FALSE)," ")</f>
        <v xml:space="preserve"> </v>
      </c>
      <c r="P147" s="84" t="str" cm="1">
        <f t="array" ref="P147">IFERROR(VLOOKUP($A147,'The List'!$B1:$AS671,23,FALSE)," ")</f>
        <v xml:space="preserve"> </v>
      </c>
      <c r="Q147" s="84" t="str" cm="1">
        <f t="array" ref="Q147">IFERROR(VLOOKUP($A147,'The List'!$B1:$AS671,24,FALSE)," ")</f>
        <v xml:space="preserve"> </v>
      </c>
      <c r="R147" s="84" t="str" cm="1">
        <f t="array" ref="R147">IFERROR(VLOOKUP($A147,'The List'!$B1:$AS671,25,FALSE)," ")</f>
        <v xml:space="preserve"> </v>
      </c>
      <c r="S147" s="84" t="str" cm="1">
        <f t="array" ref="S147">IFERROR(VLOOKUP($A147,'The List'!$B1:$AS671,26,FALSE)," ")</f>
        <v xml:space="preserve"> </v>
      </c>
      <c r="T147" s="84" t="str" cm="1">
        <f t="array" ref="T147">IFERROR(VLOOKUP($A147,'The List'!$B1:$AS671,27,FALSE)," ")</f>
        <v xml:space="preserve"> </v>
      </c>
      <c r="U147" s="84" t="str" cm="1">
        <f t="array" ref="U147">IFERROR(VLOOKUP($A147,'The List'!$B1:$AS671,28,FALSE)," ")</f>
        <v xml:space="preserve"> </v>
      </c>
      <c r="V147" s="84" t="str" cm="1">
        <f t="array" ref="V147">IFERROR(VLOOKUP($A147,'The List'!$B1:$AS671,29,FALSE)," ")</f>
        <v xml:space="preserve"> </v>
      </c>
      <c r="W147" s="84" t="str" cm="1">
        <f t="array" ref="W147">IFERROR(VLOOKUP($A147,'The List'!$B1:$AS671,30,FALSE)," ")</f>
        <v xml:space="preserve"> </v>
      </c>
      <c r="X147" s="84" t="str" cm="1">
        <f t="array" ref="X147">IFERROR(VLOOKUP($A147,'The List'!$B1:$AS671,31,FALSE)," ")</f>
        <v xml:space="preserve"> </v>
      </c>
      <c r="Y147" s="84" t="str" cm="1">
        <f t="array" ref="Y147">IFERROR(VLOOKUP($A147,'The List'!$B1:$AS671,32,FALSE)," ")</f>
        <v xml:space="preserve"> </v>
      </c>
      <c r="Z147" s="84" t="str" cm="1">
        <f t="array" ref="Z147">IFERROR(VLOOKUP($A147,'The List'!$B1:$AS671,33,FALSE)," ")</f>
        <v xml:space="preserve"> </v>
      </c>
      <c r="AA147" s="85"/>
      <c r="AB147" s="90"/>
      <c r="AC147" s="90"/>
      <c r="AD147" s="90"/>
      <c r="AE147" s="90"/>
      <c r="AF147" s="90"/>
    </row>
    <row r="148" spans="1:32" ht="21.25" customHeight="1" x14ac:dyDescent="0.15">
      <c r="A148" s="24"/>
      <c r="B148" s="87" t="str" cm="1">
        <f t="array" ref="B148">IFERROR(VLOOKUP($A148,'The List'!$B1:$AS671,3,FALSE)," ")</f>
        <v xml:space="preserve"> </v>
      </c>
      <c r="C148" s="91" t="str" cm="1">
        <f t="array" ref="C148">IFERROR(VLOOKUP($A148,'The List'!$B1:$AS671,4,FALSE)," ")</f>
        <v xml:space="preserve"> </v>
      </c>
      <c r="D148" s="18" t="str" cm="1">
        <f t="array" ref="D148">IFERROR(VLOOKUP($A148,'The List'!$B1:$AS671,5,FALSE)," ")</f>
        <v xml:space="preserve"> </v>
      </c>
      <c r="E148" s="18" t="str" cm="1">
        <f t="array" ref="E148">IFERROR(VLOOKUP($A148,'The List'!$B1:$AS671,6,FALSE)," ")</f>
        <v xml:space="preserve"> </v>
      </c>
      <c r="F148" s="92" t="str" cm="1">
        <f t="array" ref="F148">IFERROR(VLOOKUP($A148,'The List'!$B1:$AS671,8,FALSE)," ")</f>
        <v xml:space="preserve"> </v>
      </c>
      <c r="G148" s="92" t="str" cm="1">
        <f t="array" ref="G148">IFERROR(VLOOKUP($A148,'The List'!$B1:$AS671,10,FALSE)," ")</f>
        <v xml:space="preserve"> </v>
      </c>
      <c r="H148" s="55"/>
      <c r="I148" s="84" t="str" cm="1">
        <f t="array" ref="I148">IFERROR(VLOOKUP($A148,'The List'!$B1:$AS671,16,FALSE)," ")</f>
        <v xml:space="preserve"> </v>
      </c>
      <c r="J148" s="84" t="str" cm="1">
        <f t="array" ref="J148">IFERROR(VLOOKUP($A148,'The List'!$B1:$AS671,17,FALSE)," ")</f>
        <v xml:space="preserve"> </v>
      </c>
      <c r="K148" s="84" t="str" cm="1">
        <f t="array" ref="K148">IFERROR(VLOOKUP($A148,'The List'!$B1:$AS671,18,FALSE)," ")</f>
        <v xml:space="preserve"> </v>
      </c>
      <c r="L148" s="84" t="str" cm="1">
        <f t="array" ref="L148">IFERROR(VLOOKUP($A148,'The List'!$B1:$AS671,19,FALSE)," ")</f>
        <v xml:space="preserve"> </v>
      </c>
      <c r="M148" s="84" t="str" cm="1">
        <f t="array" ref="M148">IFERROR(VLOOKUP($A148,'The List'!$B1:$AS671,20,FALSE)," ")</f>
        <v xml:space="preserve"> </v>
      </c>
      <c r="N148" s="84" t="str" cm="1">
        <f t="array" ref="N148">IFERROR(VLOOKUP($A148,'The List'!$B1:$AS671,21,FALSE)," ")</f>
        <v xml:space="preserve"> </v>
      </c>
      <c r="O148" s="84" t="str" cm="1">
        <f t="array" ref="O148">IFERROR(VLOOKUP($A148,'The List'!$B1:$AS671,22,FALSE)," ")</f>
        <v xml:space="preserve"> </v>
      </c>
      <c r="P148" s="84" t="str" cm="1">
        <f t="array" ref="P148">IFERROR(VLOOKUP($A148,'The List'!$B1:$AS671,23,FALSE)," ")</f>
        <v xml:space="preserve"> </v>
      </c>
      <c r="Q148" s="84" t="str" cm="1">
        <f t="array" ref="Q148">IFERROR(VLOOKUP($A148,'The List'!$B1:$AS671,24,FALSE)," ")</f>
        <v xml:space="preserve"> </v>
      </c>
      <c r="R148" s="84" t="str" cm="1">
        <f t="array" ref="R148">IFERROR(VLOOKUP($A148,'The List'!$B1:$AS671,25,FALSE)," ")</f>
        <v xml:space="preserve"> </v>
      </c>
      <c r="S148" s="84" t="str" cm="1">
        <f t="array" ref="S148">IFERROR(VLOOKUP($A148,'The List'!$B1:$AS671,26,FALSE)," ")</f>
        <v xml:space="preserve"> </v>
      </c>
      <c r="T148" s="84" t="str" cm="1">
        <f t="array" ref="T148">IFERROR(VLOOKUP($A148,'The List'!$B1:$AS671,27,FALSE)," ")</f>
        <v xml:space="preserve"> </v>
      </c>
      <c r="U148" s="84" t="str" cm="1">
        <f t="array" ref="U148">IFERROR(VLOOKUP($A148,'The List'!$B1:$AS671,28,FALSE)," ")</f>
        <v xml:space="preserve"> </v>
      </c>
      <c r="V148" s="84" t="str" cm="1">
        <f t="array" ref="V148">IFERROR(VLOOKUP($A148,'The List'!$B1:$AS671,29,FALSE)," ")</f>
        <v xml:space="preserve"> </v>
      </c>
      <c r="W148" s="84" t="str" cm="1">
        <f t="array" ref="W148">IFERROR(VLOOKUP($A148,'The List'!$B1:$AS671,30,FALSE)," ")</f>
        <v xml:space="preserve"> </v>
      </c>
      <c r="X148" s="84" t="str" cm="1">
        <f t="array" ref="X148">IFERROR(VLOOKUP($A148,'The List'!$B1:$AS671,31,FALSE)," ")</f>
        <v xml:space="preserve"> </v>
      </c>
      <c r="Y148" s="84" t="str" cm="1">
        <f t="array" ref="Y148">IFERROR(VLOOKUP($A148,'The List'!$B1:$AS671,32,FALSE)," ")</f>
        <v xml:space="preserve"> </v>
      </c>
      <c r="Z148" s="84" t="str" cm="1">
        <f t="array" ref="Z148">IFERROR(VLOOKUP($A148,'The List'!$B1:$AS671,33,FALSE)," ")</f>
        <v xml:space="preserve"> </v>
      </c>
      <c r="AA148" s="85"/>
      <c r="AB148" s="90"/>
      <c r="AC148" s="90"/>
      <c r="AD148" s="90"/>
      <c r="AE148" s="90"/>
      <c r="AF148" s="90"/>
    </row>
    <row r="149" spans="1:32" ht="21.25" customHeight="1" x14ac:dyDescent="0.15">
      <c r="A149" s="24"/>
      <c r="B149" s="87" t="str" cm="1">
        <f t="array" ref="B149">IFERROR(VLOOKUP($A149,'The List'!$B1:$AS671,3,FALSE)," ")</f>
        <v xml:space="preserve"> </v>
      </c>
      <c r="C149" s="91" t="str" cm="1">
        <f t="array" ref="C149">IFERROR(VLOOKUP($A149,'The List'!$B1:$AS671,4,FALSE)," ")</f>
        <v xml:space="preserve"> </v>
      </c>
      <c r="D149" s="18" t="str" cm="1">
        <f t="array" ref="D149">IFERROR(VLOOKUP($A149,'The List'!$B1:$AS671,5,FALSE)," ")</f>
        <v xml:space="preserve"> </v>
      </c>
      <c r="E149" s="18" t="str" cm="1">
        <f t="array" ref="E149">IFERROR(VLOOKUP($A149,'The List'!$B1:$AS671,6,FALSE)," ")</f>
        <v xml:space="preserve"> </v>
      </c>
      <c r="F149" s="92" t="str" cm="1">
        <f t="array" ref="F149">IFERROR(VLOOKUP($A149,'The List'!$B1:$AS671,8,FALSE)," ")</f>
        <v xml:space="preserve"> </v>
      </c>
      <c r="G149" s="92" t="str" cm="1">
        <f t="array" ref="G149">IFERROR(VLOOKUP($A149,'The List'!$B1:$AS671,10,FALSE)," ")</f>
        <v xml:space="preserve"> </v>
      </c>
      <c r="H149" s="55"/>
      <c r="I149" s="84" t="str" cm="1">
        <f t="array" ref="I149">IFERROR(VLOOKUP($A149,'The List'!$B1:$AS671,16,FALSE)," ")</f>
        <v xml:space="preserve"> </v>
      </c>
      <c r="J149" s="84" t="str" cm="1">
        <f t="array" ref="J149">IFERROR(VLOOKUP($A149,'The List'!$B1:$AS671,17,FALSE)," ")</f>
        <v xml:space="preserve"> </v>
      </c>
      <c r="K149" s="84" t="str" cm="1">
        <f t="array" ref="K149">IFERROR(VLOOKUP($A149,'The List'!$B1:$AS671,18,FALSE)," ")</f>
        <v xml:space="preserve"> </v>
      </c>
      <c r="L149" s="84" t="str" cm="1">
        <f t="array" ref="L149">IFERROR(VLOOKUP($A149,'The List'!$B1:$AS671,19,FALSE)," ")</f>
        <v xml:space="preserve"> </v>
      </c>
      <c r="M149" s="84" t="str" cm="1">
        <f t="array" ref="M149">IFERROR(VLOOKUP($A149,'The List'!$B1:$AS671,20,FALSE)," ")</f>
        <v xml:space="preserve"> </v>
      </c>
      <c r="N149" s="84" t="str" cm="1">
        <f t="array" ref="N149">IFERROR(VLOOKUP($A149,'The List'!$B1:$AS671,21,FALSE)," ")</f>
        <v xml:space="preserve"> </v>
      </c>
      <c r="O149" s="84" t="str" cm="1">
        <f t="array" ref="O149">IFERROR(VLOOKUP($A149,'The List'!$B1:$AS671,22,FALSE)," ")</f>
        <v xml:space="preserve"> </v>
      </c>
      <c r="P149" s="84" t="str" cm="1">
        <f t="array" ref="P149">IFERROR(VLOOKUP($A149,'The List'!$B1:$AS671,23,FALSE)," ")</f>
        <v xml:space="preserve"> </v>
      </c>
      <c r="Q149" s="84" t="str" cm="1">
        <f t="array" ref="Q149">IFERROR(VLOOKUP($A149,'The List'!$B1:$AS671,24,FALSE)," ")</f>
        <v xml:space="preserve"> </v>
      </c>
      <c r="R149" s="84" t="str" cm="1">
        <f t="array" ref="R149">IFERROR(VLOOKUP($A149,'The List'!$B1:$AS671,25,FALSE)," ")</f>
        <v xml:space="preserve"> </v>
      </c>
      <c r="S149" s="84" t="str" cm="1">
        <f t="array" ref="S149">IFERROR(VLOOKUP($A149,'The List'!$B1:$AS671,26,FALSE)," ")</f>
        <v xml:space="preserve"> </v>
      </c>
      <c r="T149" s="84" t="str" cm="1">
        <f t="array" ref="T149">IFERROR(VLOOKUP($A149,'The List'!$B1:$AS671,27,FALSE)," ")</f>
        <v xml:space="preserve"> </v>
      </c>
      <c r="U149" s="84" t="str" cm="1">
        <f t="array" ref="U149">IFERROR(VLOOKUP($A149,'The List'!$B1:$AS671,28,FALSE)," ")</f>
        <v xml:space="preserve"> </v>
      </c>
      <c r="V149" s="84" t="str" cm="1">
        <f t="array" ref="V149">IFERROR(VLOOKUP($A149,'The List'!$B1:$AS671,29,FALSE)," ")</f>
        <v xml:space="preserve"> </v>
      </c>
      <c r="W149" s="84" t="str" cm="1">
        <f t="array" ref="W149">IFERROR(VLOOKUP($A149,'The List'!$B1:$AS671,30,FALSE)," ")</f>
        <v xml:space="preserve"> </v>
      </c>
      <c r="X149" s="84" t="str" cm="1">
        <f t="array" ref="X149">IFERROR(VLOOKUP($A149,'The List'!$B1:$AS671,31,FALSE)," ")</f>
        <v xml:space="preserve"> </v>
      </c>
      <c r="Y149" s="84" t="str" cm="1">
        <f t="array" ref="Y149">IFERROR(VLOOKUP($A149,'The List'!$B1:$AS671,32,FALSE)," ")</f>
        <v xml:space="preserve"> </v>
      </c>
      <c r="Z149" s="84" t="str" cm="1">
        <f t="array" ref="Z149">IFERROR(VLOOKUP($A149,'The List'!$B1:$AS671,33,FALSE)," ")</f>
        <v xml:space="preserve"> </v>
      </c>
      <c r="AA149" s="85"/>
      <c r="AB149" s="90"/>
      <c r="AC149" s="90"/>
      <c r="AD149" s="90"/>
      <c r="AE149" s="90"/>
      <c r="AF149" s="90"/>
    </row>
    <row r="150" spans="1:32" ht="21.25" customHeight="1" x14ac:dyDescent="0.15">
      <c r="A150" s="24"/>
      <c r="B150" s="87" t="str" cm="1">
        <f t="array" ref="B150">IFERROR(VLOOKUP($A150,'The List'!$B1:$AS671,3,FALSE)," ")</f>
        <v xml:space="preserve"> </v>
      </c>
      <c r="C150" s="91" t="str" cm="1">
        <f t="array" ref="C150">IFERROR(VLOOKUP($A150,'The List'!$B1:$AS671,4,FALSE)," ")</f>
        <v xml:space="preserve"> </v>
      </c>
      <c r="D150" s="18" t="str" cm="1">
        <f t="array" ref="D150">IFERROR(VLOOKUP($A150,'The List'!$B1:$AS671,5,FALSE)," ")</f>
        <v xml:space="preserve"> </v>
      </c>
      <c r="E150" s="18" t="str" cm="1">
        <f t="array" ref="E150">IFERROR(VLOOKUP($A150,'The List'!$B1:$AS671,6,FALSE)," ")</f>
        <v xml:space="preserve"> </v>
      </c>
      <c r="F150" s="92" t="str" cm="1">
        <f t="array" ref="F150">IFERROR(VLOOKUP($A150,'The List'!$B1:$AS671,8,FALSE)," ")</f>
        <v xml:space="preserve"> </v>
      </c>
      <c r="G150" s="92" t="str" cm="1">
        <f t="array" ref="G150">IFERROR(VLOOKUP($A150,'The List'!$B1:$AS671,10,FALSE)," ")</f>
        <v xml:space="preserve"> </v>
      </c>
      <c r="H150" s="55"/>
      <c r="I150" s="84" t="str" cm="1">
        <f t="array" ref="I150">IFERROR(VLOOKUP($A150,'The List'!$B1:$AS671,16,FALSE)," ")</f>
        <v xml:space="preserve"> </v>
      </c>
      <c r="J150" s="84" t="str" cm="1">
        <f t="array" ref="J150">IFERROR(VLOOKUP($A150,'The List'!$B1:$AS671,17,FALSE)," ")</f>
        <v xml:space="preserve"> </v>
      </c>
      <c r="K150" s="84" t="str" cm="1">
        <f t="array" ref="K150">IFERROR(VLOOKUP($A150,'The List'!$B1:$AS671,18,FALSE)," ")</f>
        <v xml:space="preserve"> </v>
      </c>
      <c r="L150" s="84" t="str" cm="1">
        <f t="array" ref="L150">IFERROR(VLOOKUP($A150,'The List'!$B1:$AS671,19,FALSE)," ")</f>
        <v xml:space="preserve"> </v>
      </c>
      <c r="M150" s="84" t="str" cm="1">
        <f t="array" ref="M150">IFERROR(VLOOKUP($A150,'The List'!$B1:$AS671,20,FALSE)," ")</f>
        <v xml:space="preserve"> </v>
      </c>
      <c r="N150" s="84" t="str" cm="1">
        <f t="array" ref="N150">IFERROR(VLOOKUP($A150,'The List'!$B1:$AS671,21,FALSE)," ")</f>
        <v xml:space="preserve"> </v>
      </c>
      <c r="O150" s="84" t="str" cm="1">
        <f t="array" ref="O150">IFERROR(VLOOKUP($A150,'The List'!$B1:$AS671,22,FALSE)," ")</f>
        <v xml:space="preserve"> </v>
      </c>
      <c r="P150" s="84" t="str" cm="1">
        <f t="array" ref="P150">IFERROR(VLOOKUP($A150,'The List'!$B1:$AS671,23,FALSE)," ")</f>
        <v xml:space="preserve"> </v>
      </c>
      <c r="Q150" s="84" t="str" cm="1">
        <f t="array" ref="Q150">IFERROR(VLOOKUP($A150,'The List'!$B1:$AS671,24,FALSE)," ")</f>
        <v xml:space="preserve"> </v>
      </c>
      <c r="R150" s="84" t="str" cm="1">
        <f t="array" ref="R150">IFERROR(VLOOKUP($A150,'The List'!$B1:$AS671,25,FALSE)," ")</f>
        <v xml:space="preserve"> </v>
      </c>
      <c r="S150" s="84" t="str" cm="1">
        <f t="array" ref="S150">IFERROR(VLOOKUP($A150,'The List'!$B1:$AS671,26,FALSE)," ")</f>
        <v xml:space="preserve"> </v>
      </c>
      <c r="T150" s="84" t="str" cm="1">
        <f t="array" ref="T150">IFERROR(VLOOKUP($A150,'The List'!$B1:$AS671,27,FALSE)," ")</f>
        <v xml:space="preserve"> </v>
      </c>
      <c r="U150" s="84" t="str" cm="1">
        <f t="array" ref="U150">IFERROR(VLOOKUP($A150,'The List'!$B1:$AS671,28,FALSE)," ")</f>
        <v xml:space="preserve"> </v>
      </c>
      <c r="V150" s="84" t="str" cm="1">
        <f t="array" ref="V150">IFERROR(VLOOKUP($A150,'The List'!$B1:$AS671,29,FALSE)," ")</f>
        <v xml:space="preserve"> </v>
      </c>
      <c r="W150" s="84" t="str" cm="1">
        <f t="array" ref="W150">IFERROR(VLOOKUP($A150,'The List'!$B1:$AS671,30,FALSE)," ")</f>
        <v xml:space="preserve"> </v>
      </c>
      <c r="X150" s="84" t="str" cm="1">
        <f t="array" ref="X150">IFERROR(VLOOKUP($A150,'The List'!$B1:$AS671,31,FALSE)," ")</f>
        <v xml:space="preserve"> </v>
      </c>
      <c r="Y150" s="84" t="str" cm="1">
        <f t="array" ref="Y150">IFERROR(VLOOKUP($A150,'The List'!$B1:$AS671,32,FALSE)," ")</f>
        <v xml:space="preserve"> </v>
      </c>
      <c r="Z150" s="84" t="str" cm="1">
        <f t="array" ref="Z150">IFERROR(VLOOKUP($A150,'The List'!$B1:$AS671,33,FALSE)," ")</f>
        <v xml:space="preserve"> </v>
      </c>
      <c r="AA150" s="85"/>
      <c r="AB150" s="90"/>
      <c r="AC150" s="90"/>
      <c r="AD150" s="90"/>
      <c r="AE150" s="90"/>
      <c r="AF150" s="90"/>
    </row>
    <row r="151" spans="1:32" ht="21.25" customHeight="1" x14ac:dyDescent="0.15">
      <c r="A151" s="24"/>
      <c r="B151" s="93" t="str" cm="1">
        <f t="array" ref="B151">IFERROR(VLOOKUP($A151,'The List'!$B1:$AS671,3,FALSE)," ")</f>
        <v xml:space="preserve"> </v>
      </c>
      <c r="C151" s="95" t="str" cm="1">
        <f t="array" ref="C151">IFERROR(VLOOKUP($A151,'The List'!$B1:$AS671,4,FALSE)," ")</f>
        <v xml:space="preserve"> </v>
      </c>
      <c r="D151" s="18" t="str" cm="1">
        <f t="array" ref="D151">IFERROR(VLOOKUP($A151,'The List'!$B1:$AS671,5,FALSE)," ")</f>
        <v xml:space="preserve"> </v>
      </c>
      <c r="E151" s="18" t="str" cm="1">
        <f t="array" ref="E151">IFERROR(VLOOKUP($A151,'The List'!$B1:$AS671,6,FALSE)," ")</f>
        <v xml:space="preserve"> </v>
      </c>
      <c r="F151" s="92" t="str" cm="1">
        <f t="array" ref="F151">IFERROR(VLOOKUP($A151,'The List'!$B1:$AS671,8,FALSE)," ")</f>
        <v xml:space="preserve"> </v>
      </c>
      <c r="G151" s="92" t="str" cm="1">
        <f t="array" ref="G151">IFERROR(VLOOKUP($A151,'The List'!$B1:$AS671,10,FALSE)," ")</f>
        <v xml:space="preserve"> </v>
      </c>
      <c r="H151" s="55"/>
      <c r="I151" s="84" t="str" cm="1">
        <f t="array" ref="I151">IFERROR(VLOOKUP($A151,'The List'!$B1:$AS671,16,FALSE)," ")</f>
        <v xml:space="preserve"> </v>
      </c>
      <c r="J151" s="84" t="str" cm="1">
        <f t="array" ref="J151">IFERROR(VLOOKUP($A151,'The List'!$B1:$AS671,17,FALSE)," ")</f>
        <v xml:space="preserve"> </v>
      </c>
      <c r="K151" s="84" t="str" cm="1">
        <f t="array" ref="K151">IFERROR(VLOOKUP($A151,'The List'!$B1:$AS671,18,FALSE)," ")</f>
        <v xml:space="preserve"> </v>
      </c>
      <c r="L151" s="84" t="str" cm="1">
        <f t="array" ref="L151">IFERROR(VLOOKUP($A151,'The List'!$B1:$AS671,19,FALSE)," ")</f>
        <v xml:space="preserve"> </v>
      </c>
      <c r="M151" s="84" t="str" cm="1">
        <f t="array" ref="M151">IFERROR(VLOOKUP($A151,'The List'!$B1:$AS671,20,FALSE)," ")</f>
        <v xml:space="preserve"> </v>
      </c>
      <c r="N151" s="84" t="str" cm="1">
        <f t="array" ref="N151">IFERROR(VLOOKUP($A151,'The List'!$B1:$AS671,21,FALSE)," ")</f>
        <v xml:space="preserve"> </v>
      </c>
      <c r="O151" s="84" t="str" cm="1">
        <f t="array" ref="O151">IFERROR(VLOOKUP($A151,'The List'!$B1:$AS671,22,FALSE)," ")</f>
        <v xml:space="preserve"> </v>
      </c>
      <c r="P151" s="84" t="str" cm="1">
        <f t="array" ref="P151">IFERROR(VLOOKUP($A151,'The List'!$B1:$AS671,23,FALSE)," ")</f>
        <v xml:space="preserve"> </v>
      </c>
      <c r="Q151" s="84" t="str" cm="1">
        <f t="array" ref="Q151">IFERROR(VLOOKUP($A151,'The List'!$B1:$AS671,24,FALSE)," ")</f>
        <v xml:space="preserve"> </v>
      </c>
      <c r="R151" s="84" t="str" cm="1">
        <f t="array" ref="R151">IFERROR(VLOOKUP($A151,'The List'!$B1:$AS671,25,FALSE)," ")</f>
        <v xml:space="preserve"> </v>
      </c>
      <c r="S151" s="84" t="str" cm="1">
        <f t="array" ref="S151">IFERROR(VLOOKUP($A151,'The List'!$B1:$AS671,26,FALSE)," ")</f>
        <v xml:space="preserve"> </v>
      </c>
      <c r="T151" s="84" t="str" cm="1">
        <f t="array" ref="T151">IFERROR(VLOOKUP($A151,'The List'!$B1:$AS671,27,FALSE)," ")</f>
        <v xml:space="preserve"> </v>
      </c>
      <c r="U151" s="84" t="str" cm="1">
        <f t="array" ref="U151">IFERROR(VLOOKUP($A151,'The List'!$B1:$AS671,28,FALSE)," ")</f>
        <v xml:space="preserve"> </v>
      </c>
      <c r="V151" s="84" t="str" cm="1">
        <f t="array" ref="V151">IFERROR(VLOOKUP($A151,'The List'!$B1:$AS671,29,FALSE)," ")</f>
        <v xml:space="preserve"> </v>
      </c>
      <c r="W151" s="84" t="str" cm="1">
        <f t="array" ref="W151">IFERROR(VLOOKUP($A151,'The List'!$B1:$AS671,30,FALSE)," ")</f>
        <v xml:space="preserve"> </v>
      </c>
      <c r="X151" s="84" t="str" cm="1">
        <f t="array" ref="X151">IFERROR(VLOOKUP($A151,'The List'!$B1:$AS671,31,FALSE)," ")</f>
        <v xml:space="preserve"> </v>
      </c>
      <c r="Y151" s="84" t="str" cm="1">
        <f t="array" ref="Y151">IFERROR(VLOOKUP($A151,'The List'!$B1:$AS671,32,FALSE)," ")</f>
        <v xml:space="preserve"> </v>
      </c>
      <c r="Z151" s="84" t="str" cm="1">
        <f t="array" ref="Z151">IFERROR(VLOOKUP($A151,'The List'!$B1:$AS671,33,FALSE)," ")</f>
        <v xml:space="preserve"> </v>
      </c>
      <c r="AA151" s="85"/>
      <c r="AB151" s="90"/>
      <c r="AC151" s="90"/>
      <c r="AD151" s="90"/>
      <c r="AE151" s="90"/>
      <c r="AF151" s="90"/>
    </row>
    <row r="152" spans="1:32" ht="21.25" customHeight="1" x14ac:dyDescent="0.15">
      <c r="A152" s="24"/>
      <c r="B152" s="93" t="str" cm="1">
        <f t="array" ref="B152">IFERROR(VLOOKUP($A152,'The List'!$B1:$AS671,3,FALSE)," ")</f>
        <v xml:space="preserve"> </v>
      </c>
      <c r="C152" s="95" t="str" cm="1">
        <f t="array" ref="C152">IFERROR(VLOOKUP($A152,'The List'!$B1:$AS671,4,FALSE)," ")</f>
        <v xml:space="preserve"> </v>
      </c>
      <c r="D152" s="18" t="str" cm="1">
        <f t="array" ref="D152">IFERROR(VLOOKUP($A152,'The List'!$B1:$AS671,5,FALSE)," ")</f>
        <v xml:space="preserve"> </v>
      </c>
      <c r="E152" s="18" t="str" cm="1">
        <f t="array" ref="E152">IFERROR(VLOOKUP($A152,'The List'!$B1:$AS671,6,FALSE)," ")</f>
        <v xml:space="preserve"> </v>
      </c>
      <c r="F152" s="92" t="str" cm="1">
        <f t="array" ref="F152">IFERROR(VLOOKUP($A152,'The List'!$B1:$AS671,8,FALSE)," ")</f>
        <v xml:space="preserve"> </v>
      </c>
      <c r="G152" s="92" t="str" cm="1">
        <f t="array" ref="G152">IFERROR(VLOOKUP($A152,'The List'!$B1:$AS671,10,FALSE)," ")</f>
        <v xml:space="preserve"> </v>
      </c>
      <c r="H152" s="55"/>
      <c r="I152" s="84" t="str" cm="1">
        <f t="array" ref="I152">IFERROR(VLOOKUP($A152,'The List'!$B1:$AS671,16,FALSE)," ")</f>
        <v xml:space="preserve"> </v>
      </c>
      <c r="J152" s="84" t="str" cm="1">
        <f t="array" ref="J152">IFERROR(VLOOKUP($A152,'The List'!$B1:$AS671,17,FALSE)," ")</f>
        <v xml:space="preserve"> </v>
      </c>
      <c r="K152" s="84" t="str" cm="1">
        <f t="array" ref="K152">IFERROR(VLOOKUP($A152,'The List'!$B1:$AS671,18,FALSE)," ")</f>
        <v xml:space="preserve"> </v>
      </c>
      <c r="L152" s="84" t="str" cm="1">
        <f t="array" ref="L152">IFERROR(VLOOKUP($A152,'The List'!$B1:$AS671,19,FALSE)," ")</f>
        <v xml:space="preserve"> </v>
      </c>
      <c r="M152" s="84" t="str" cm="1">
        <f t="array" ref="M152">IFERROR(VLOOKUP($A152,'The List'!$B1:$AS671,20,FALSE)," ")</f>
        <v xml:space="preserve"> </v>
      </c>
      <c r="N152" s="84" t="str" cm="1">
        <f t="array" ref="N152">IFERROR(VLOOKUP($A152,'The List'!$B1:$AS671,21,FALSE)," ")</f>
        <v xml:space="preserve"> </v>
      </c>
      <c r="O152" s="84" t="str" cm="1">
        <f t="array" ref="O152">IFERROR(VLOOKUP($A152,'The List'!$B1:$AS671,22,FALSE)," ")</f>
        <v xml:space="preserve"> </v>
      </c>
      <c r="P152" s="84" t="str" cm="1">
        <f t="array" ref="P152">IFERROR(VLOOKUP($A152,'The List'!$B1:$AS671,23,FALSE)," ")</f>
        <v xml:space="preserve"> </v>
      </c>
      <c r="Q152" s="84" t="str" cm="1">
        <f t="array" ref="Q152">IFERROR(VLOOKUP($A152,'The List'!$B1:$AS671,24,FALSE)," ")</f>
        <v xml:space="preserve"> </v>
      </c>
      <c r="R152" s="84" t="str" cm="1">
        <f t="array" ref="R152">IFERROR(VLOOKUP($A152,'The List'!$B1:$AS671,25,FALSE)," ")</f>
        <v xml:space="preserve"> </v>
      </c>
      <c r="S152" s="84" t="str" cm="1">
        <f t="array" ref="S152">IFERROR(VLOOKUP($A152,'The List'!$B1:$AS671,26,FALSE)," ")</f>
        <v xml:space="preserve"> </v>
      </c>
      <c r="T152" s="84" t="str" cm="1">
        <f t="array" ref="T152">IFERROR(VLOOKUP($A152,'The List'!$B1:$AS671,27,FALSE)," ")</f>
        <v xml:space="preserve"> </v>
      </c>
      <c r="U152" s="84" t="str" cm="1">
        <f t="array" ref="U152">IFERROR(VLOOKUP($A152,'The List'!$B1:$AS671,28,FALSE)," ")</f>
        <v xml:space="preserve"> </v>
      </c>
      <c r="V152" s="84" t="str" cm="1">
        <f t="array" ref="V152">IFERROR(VLOOKUP($A152,'The List'!$B1:$AS671,29,FALSE)," ")</f>
        <v xml:space="preserve"> </v>
      </c>
      <c r="W152" s="84" t="str" cm="1">
        <f t="array" ref="W152">IFERROR(VLOOKUP($A152,'The List'!$B1:$AS671,30,FALSE)," ")</f>
        <v xml:space="preserve"> </v>
      </c>
      <c r="X152" s="84" t="str" cm="1">
        <f t="array" ref="X152">IFERROR(VLOOKUP($A152,'The List'!$B1:$AS671,31,FALSE)," ")</f>
        <v xml:space="preserve"> </v>
      </c>
      <c r="Y152" s="84" t="str" cm="1">
        <f t="array" ref="Y152">IFERROR(VLOOKUP($A152,'The List'!$B1:$AS671,32,FALSE)," ")</f>
        <v xml:space="preserve"> </v>
      </c>
      <c r="Z152" s="84" t="str" cm="1">
        <f t="array" ref="Z152">IFERROR(VLOOKUP($A152,'The List'!$B1:$AS671,33,FALSE)," ")</f>
        <v xml:space="preserve"> </v>
      </c>
      <c r="AA152" s="85"/>
      <c r="AB152" s="90"/>
      <c r="AC152" s="90"/>
      <c r="AD152" s="90"/>
      <c r="AE152" s="90"/>
      <c r="AF152" s="90"/>
    </row>
    <row r="153" spans="1:32" ht="21.25" customHeight="1" x14ac:dyDescent="0.15">
      <c r="A153" s="24"/>
      <c r="B153" s="93" t="str" cm="1">
        <f t="array" ref="B153">IFERROR(VLOOKUP($A153,'The List'!$B1:$AS671,3,FALSE)," ")</f>
        <v xml:space="preserve"> </v>
      </c>
      <c r="C153" s="95" t="str" cm="1">
        <f t="array" ref="C153">IFERROR(VLOOKUP($A153,'The List'!$B1:$AS671,4,FALSE)," ")</f>
        <v xml:space="preserve"> </v>
      </c>
      <c r="D153" s="18" t="str" cm="1">
        <f t="array" ref="D153">IFERROR(VLOOKUP($A153,'The List'!$B1:$AS671,5,FALSE)," ")</f>
        <v xml:space="preserve"> </v>
      </c>
      <c r="E153" s="18" t="str" cm="1">
        <f t="array" ref="E153">IFERROR(VLOOKUP($A153,'The List'!$B1:$AS671,6,FALSE)," ")</f>
        <v xml:space="preserve"> </v>
      </c>
      <c r="F153" s="92" t="str" cm="1">
        <f t="array" ref="F153">IFERROR(VLOOKUP($A153,'The List'!$B1:$AS671,8,FALSE)," ")</f>
        <v xml:space="preserve"> </v>
      </c>
      <c r="G153" s="92" t="str" cm="1">
        <f t="array" ref="G153">IFERROR(VLOOKUP($A153,'The List'!$B1:$AS671,10,FALSE)," ")</f>
        <v xml:space="preserve"> </v>
      </c>
      <c r="H153" s="55"/>
      <c r="I153" s="84" t="str" cm="1">
        <f t="array" ref="I153">IFERROR(VLOOKUP($A153,'The List'!$B1:$AS671,16,FALSE)," ")</f>
        <v xml:space="preserve"> </v>
      </c>
      <c r="J153" s="84" t="str" cm="1">
        <f t="array" ref="J153">IFERROR(VLOOKUP($A153,'The List'!$B1:$AS671,17,FALSE)," ")</f>
        <v xml:space="preserve"> </v>
      </c>
      <c r="K153" s="84" t="str" cm="1">
        <f t="array" ref="K153">IFERROR(VLOOKUP($A153,'The List'!$B1:$AS671,18,FALSE)," ")</f>
        <v xml:space="preserve"> </v>
      </c>
      <c r="L153" s="84" t="str" cm="1">
        <f t="array" ref="L153">IFERROR(VLOOKUP($A153,'The List'!$B1:$AS671,19,FALSE)," ")</f>
        <v xml:space="preserve"> </v>
      </c>
      <c r="M153" s="84" t="str" cm="1">
        <f t="array" ref="M153">IFERROR(VLOOKUP($A153,'The List'!$B1:$AS671,20,FALSE)," ")</f>
        <v xml:space="preserve"> </v>
      </c>
      <c r="N153" s="84" t="str" cm="1">
        <f t="array" ref="N153">IFERROR(VLOOKUP($A153,'The List'!$B1:$AS671,21,FALSE)," ")</f>
        <v xml:space="preserve"> </v>
      </c>
      <c r="O153" s="84" t="str" cm="1">
        <f t="array" ref="O153">IFERROR(VLOOKUP($A153,'The List'!$B1:$AS671,22,FALSE)," ")</f>
        <v xml:space="preserve"> </v>
      </c>
      <c r="P153" s="84" t="str" cm="1">
        <f t="array" ref="P153">IFERROR(VLOOKUP($A153,'The List'!$B1:$AS671,23,FALSE)," ")</f>
        <v xml:space="preserve"> </v>
      </c>
      <c r="Q153" s="84" t="str" cm="1">
        <f t="array" ref="Q153">IFERROR(VLOOKUP($A153,'The List'!$B1:$AS671,24,FALSE)," ")</f>
        <v xml:space="preserve"> </v>
      </c>
      <c r="R153" s="84" t="str" cm="1">
        <f t="array" ref="R153">IFERROR(VLOOKUP($A153,'The List'!$B1:$AS671,25,FALSE)," ")</f>
        <v xml:space="preserve"> </v>
      </c>
      <c r="S153" s="84" t="str" cm="1">
        <f t="array" ref="S153">IFERROR(VLOOKUP($A153,'The List'!$B1:$AS671,26,FALSE)," ")</f>
        <v xml:space="preserve"> </v>
      </c>
      <c r="T153" s="84" t="str" cm="1">
        <f t="array" ref="T153">IFERROR(VLOOKUP($A153,'The List'!$B1:$AS671,27,FALSE)," ")</f>
        <v xml:space="preserve"> </v>
      </c>
      <c r="U153" s="84" t="str" cm="1">
        <f t="array" ref="U153">IFERROR(VLOOKUP($A153,'The List'!$B1:$AS671,28,FALSE)," ")</f>
        <v xml:space="preserve"> </v>
      </c>
      <c r="V153" s="84" t="str" cm="1">
        <f t="array" ref="V153">IFERROR(VLOOKUP($A153,'The List'!$B1:$AS671,29,FALSE)," ")</f>
        <v xml:space="preserve"> </v>
      </c>
      <c r="W153" s="84" t="str" cm="1">
        <f t="array" ref="W153">IFERROR(VLOOKUP($A153,'The List'!$B1:$AS671,30,FALSE)," ")</f>
        <v xml:space="preserve"> </v>
      </c>
      <c r="X153" s="84" t="str" cm="1">
        <f t="array" ref="X153">IFERROR(VLOOKUP($A153,'The List'!$B1:$AS671,31,FALSE)," ")</f>
        <v xml:space="preserve"> </v>
      </c>
      <c r="Y153" s="84" t="str" cm="1">
        <f t="array" ref="Y153">IFERROR(VLOOKUP($A153,'The List'!$B1:$AS671,32,FALSE)," ")</f>
        <v xml:space="preserve"> </v>
      </c>
      <c r="Z153" s="84" t="str" cm="1">
        <f t="array" ref="Z153">IFERROR(VLOOKUP($A153,'The List'!$B1:$AS671,33,FALSE)," ")</f>
        <v xml:space="preserve"> </v>
      </c>
      <c r="AA153" s="85"/>
      <c r="AB153" s="90"/>
      <c r="AC153" s="90"/>
      <c r="AD153" s="90"/>
      <c r="AE153" s="90"/>
      <c r="AF153" s="90"/>
    </row>
    <row r="154" spans="1:32" ht="21.25" customHeight="1" x14ac:dyDescent="0.15">
      <c r="A154" s="24"/>
      <c r="B154" s="93" t="str" cm="1">
        <f t="array" ref="B154">IFERROR(VLOOKUP($A154,'The List'!$B1:$AS671,3,FALSE)," ")</f>
        <v xml:space="preserve"> </v>
      </c>
      <c r="C154" s="95" t="str" cm="1">
        <f t="array" ref="C154">IFERROR(VLOOKUP($A154,'The List'!$B1:$AS671,4,FALSE)," ")</f>
        <v xml:space="preserve"> </v>
      </c>
      <c r="D154" s="18" t="str" cm="1">
        <f t="array" ref="D154">IFERROR(VLOOKUP($A154,'The List'!$B1:$AS671,5,FALSE)," ")</f>
        <v xml:space="preserve"> </v>
      </c>
      <c r="E154" s="18" t="str" cm="1">
        <f t="array" ref="E154">IFERROR(VLOOKUP($A154,'The List'!$B1:$AS671,6,FALSE)," ")</f>
        <v xml:space="preserve"> </v>
      </c>
      <c r="F154" s="92" t="str" cm="1">
        <f t="array" ref="F154">IFERROR(VLOOKUP($A154,'The List'!$B1:$AS671,8,FALSE)," ")</f>
        <v xml:space="preserve"> </v>
      </c>
      <c r="G154" s="92" t="str" cm="1">
        <f t="array" ref="G154">IFERROR(VLOOKUP($A154,'The List'!$B1:$AS671,10,FALSE)," ")</f>
        <v xml:space="preserve"> </v>
      </c>
      <c r="H154" s="55"/>
      <c r="I154" s="84" t="str" cm="1">
        <f t="array" ref="I154">IFERROR(VLOOKUP($A154,'The List'!$B1:$AS671,16,FALSE)," ")</f>
        <v xml:space="preserve"> </v>
      </c>
      <c r="J154" s="84" t="str" cm="1">
        <f t="array" ref="J154">IFERROR(VLOOKUP($A154,'The List'!$B1:$AS671,17,FALSE)," ")</f>
        <v xml:space="preserve"> </v>
      </c>
      <c r="K154" s="84" t="str" cm="1">
        <f t="array" ref="K154">IFERROR(VLOOKUP($A154,'The List'!$B1:$AS671,18,FALSE)," ")</f>
        <v xml:space="preserve"> </v>
      </c>
      <c r="L154" s="84" t="str" cm="1">
        <f t="array" ref="L154">IFERROR(VLOOKUP($A154,'The List'!$B1:$AS671,19,FALSE)," ")</f>
        <v xml:space="preserve"> </v>
      </c>
      <c r="M154" s="84" t="str" cm="1">
        <f t="array" ref="M154">IFERROR(VLOOKUP($A154,'The List'!$B1:$AS671,20,FALSE)," ")</f>
        <v xml:space="preserve"> </v>
      </c>
      <c r="N154" s="84" t="str" cm="1">
        <f t="array" ref="N154">IFERROR(VLOOKUP($A154,'The List'!$B1:$AS671,21,FALSE)," ")</f>
        <v xml:space="preserve"> </v>
      </c>
      <c r="O154" s="84" t="str" cm="1">
        <f t="array" ref="O154">IFERROR(VLOOKUP($A154,'The List'!$B1:$AS671,22,FALSE)," ")</f>
        <v xml:space="preserve"> </v>
      </c>
      <c r="P154" s="84" t="str" cm="1">
        <f t="array" ref="P154">IFERROR(VLOOKUP($A154,'The List'!$B1:$AS671,23,FALSE)," ")</f>
        <v xml:space="preserve"> </v>
      </c>
      <c r="Q154" s="84" t="str" cm="1">
        <f t="array" ref="Q154">IFERROR(VLOOKUP($A154,'The List'!$B1:$AS671,24,FALSE)," ")</f>
        <v xml:space="preserve"> </v>
      </c>
      <c r="R154" s="84" t="str" cm="1">
        <f t="array" ref="R154">IFERROR(VLOOKUP($A154,'The List'!$B1:$AS671,25,FALSE)," ")</f>
        <v xml:space="preserve"> </v>
      </c>
      <c r="S154" s="84" t="str" cm="1">
        <f t="array" ref="S154">IFERROR(VLOOKUP($A154,'The List'!$B1:$AS671,26,FALSE)," ")</f>
        <v xml:space="preserve"> </v>
      </c>
      <c r="T154" s="84" t="str" cm="1">
        <f t="array" ref="T154">IFERROR(VLOOKUP($A154,'The List'!$B1:$AS671,27,FALSE)," ")</f>
        <v xml:space="preserve"> </v>
      </c>
      <c r="U154" s="84" t="str" cm="1">
        <f t="array" ref="U154">IFERROR(VLOOKUP($A154,'The List'!$B1:$AS671,28,FALSE)," ")</f>
        <v xml:space="preserve"> </v>
      </c>
      <c r="V154" s="84" t="str" cm="1">
        <f t="array" ref="V154">IFERROR(VLOOKUP($A154,'The List'!$B1:$AS671,29,FALSE)," ")</f>
        <v xml:space="preserve"> </v>
      </c>
      <c r="W154" s="84" t="str" cm="1">
        <f t="array" ref="W154">IFERROR(VLOOKUP($A154,'The List'!$B1:$AS671,30,FALSE)," ")</f>
        <v xml:space="preserve"> </v>
      </c>
      <c r="X154" s="84" t="str" cm="1">
        <f t="array" ref="X154">IFERROR(VLOOKUP($A154,'The List'!$B1:$AS671,31,FALSE)," ")</f>
        <v xml:space="preserve"> </v>
      </c>
      <c r="Y154" s="84" t="str" cm="1">
        <f t="array" ref="Y154">IFERROR(VLOOKUP($A154,'The List'!$B1:$AS671,32,FALSE)," ")</f>
        <v xml:space="preserve"> </v>
      </c>
      <c r="Z154" s="84" t="str" cm="1">
        <f t="array" ref="Z154">IFERROR(VLOOKUP($A154,'The List'!$B1:$AS671,33,FALSE)," ")</f>
        <v xml:space="preserve"> </v>
      </c>
      <c r="AA154" s="85"/>
      <c r="AB154" s="90"/>
      <c r="AC154" s="90"/>
      <c r="AD154" s="90"/>
      <c r="AE154" s="90"/>
      <c r="AF154" s="90"/>
    </row>
    <row r="155" spans="1:32" ht="21.25" customHeight="1" x14ac:dyDescent="0.15">
      <c r="A155" s="24"/>
      <c r="B155" s="96" t="str" cm="1">
        <f t="array" ref="B155">IFERROR(VLOOKUP($A155,'The List'!$B1:$AS671,3,FALSE)," ")</f>
        <v xml:space="preserve"> </v>
      </c>
      <c r="C155" s="98" t="str" cm="1">
        <f t="array" ref="C155">IFERROR(VLOOKUP($A155,'The List'!$B1:$AS671,4,FALSE)," ")</f>
        <v xml:space="preserve"> </v>
      </c>
      <c r="D155" s="18" t="str" cm="1">
        <f t="array" ref="D155">IFERROR(VLOOKUP($A155,'The List'!$B1:$AS671,5,FALSE)," ")</f>
        <v xml:space="preserve"> </v>
      </c>
      <c r="E155" s="18" t="str" cm="1">
        <f t="array" ref="E155">IFERROR(VLOOKUP($A155,'The List'!$B1:$AS671,6,FALSE)," ")</f>
        <v xml:space="preserve"> </v>
      </c>
      <c r="F155" s="92" t="str" cm="1">
        <f t="array" ref="F155">IFERROR(VLOOKUP($A155,'The List'!$B1:$AS671,8,FALSE)," ")</f>
        <v xml:space="preserve"> </v>
      </c>
      <c r="G155" s="92" t="str" cm="1">
        <f t="array" ref="G155">IFERROR(VLOOKUP($A155,'The List'!$B1:$AS671,10,FALSE)," ")</f>
        <v xml:space="preserve"> </v>
      </c>
      <c r="H155" s="55"/>
      <c r="I155" s="84" t="str" cm="1">
        <f t="array" ref="I155">IFERROR(VLOOKUP($A155,'The List'!$B1:$AS671,16,FALSE)," ")</f>
        <v xml:space="preserve"> </v>
      </c>
      <c r="J155" s="84" t="str" cm="1">
        <f t="array" ref="J155">IFERROR(VLOOKUP($A155,'The List'!$B1:$AS671,17,FALSE)," ")</f>
        <v xml:space="preserve"> </v>
      </c>
      <c r="K155" s="84" t="str" cm="1">
        <f t="array" ref="K155">IFERROR(VLOOKUP($A155,'The List'!$B1:$AS671,18,FALSE)," ")</f>
        <v xml:space="preserve"> </v>
      </c>
      <c r="L155" s="84" t="str" cm="1">
        <f t="array" ref="L155">IFERROR(VLOOKUP($A155,'The List'!$B1:$AS671,19,FALSE)," ")</f>
        <v xml:space="preserve"> </v>
      </c>
      <c r="M155" s="84" t="str" cm="1">
        <f t="array" ref="M155">IFERROR(VLOOKUP($A155,'The List'!$B1:$AS671,20,FALSE)," ")</f>
        <v xml:space="preserve"> </v>
      </c>
      <c r="N155" s="84" t="str" cm="1">
        <f t="array" ref="N155">IFERROR(VLOOKUP($A155,'The List'!$B1:$AS671,21,FALSE)," ")</f>
        <v xml:space="preserve"> </v>
      </c>
      <c r="O155" s="84" t="str" cm="1">
        <f t="array" ref="O155">IFERROR(VLOOKUP($A155,'The List'!$B1:$AS671,22,FALSE)," ")</f>
        <v xml:space="preserve"> </v>
      </c>
      <c r="P155" s="84" t="str" cm="1">
        <f t="array" ref="P155">IFERROR(VLOOKUP($A155,'The List'!$B1:$AS671,23,FALSE)," ")</f>
        <v xml:space="preserve"> </v>
      </c>
      <c r="Q155" s="84" t="str" cm="1">
        <f t="array" ref="Q155">IFERROR(VLOOKUP($A155,'The List'!$B1:$AS671,24,FALSE)," ")</f>
        <v xml:space="preserve"> </v>
      </c>
      <c r="R155" s="84" t="str" cm="1">
        <f t="array" ref="R155">IFERROR(VLOOKUP($A155,'The List'!$B1:$AS671,25,FALSE)," ")</f>
        <v xml:space="preserve"> </v>
      </c>
      <c r="S155" s="84" t="str" cm="1">
        <f t="array" ref="S155">IFERROR(VLOOKUP($A155,'The List'!$B1:$AS671,26,FALSE)," ")</f>
        <v xml:space="preserve"> </v>
      </c>
      <c r="T155" s="84" t="str" cm="1">
        <f t="array" ref="T155">IFERROR(VLOOKUP($A155,'The List'!$B1:$AS671,27,FALSE)," ")</f>
        <v xml:space="preserve"> </v>
      </c>
      <c r="U155" s="84" t="str" cm="1">
        <f t="array" ref="U155">IFERROR(VLOOKUP($A155,'The List'!$B1:$AS671,28,FALSE)," ")</f>
        <v xml:space="preserve"> </v>
      </c>
      <c r="V155" s="84" t="str" cm="1">
        <f t="array" ref="V155">IFERROR(VLOOKUP($A155,'The List'!$B1:$AS671,29,FALSE)," ")</f>
        <v xml:space="preserve"> </v>
      </c>
      <c r="W155" s="84" t="str" cm="1">
        <f t="array" ref="W155">IFERROR(VLOOKUP($A155,'The List'!$B1:$AS671,30,FALSE)," ")</f>
        <v xml:space="preserve"> </v>
      </c>
      <c r="X155" s="84" t="str" cm="1">
        <f t="array" ref="X155">IFERROR(VLOOKUP($A155,'The List'!$B1:$AS671,31,FALSE)," ")</f>
        <v xml:space="preserve"> </v>
      </c>
      <c r="Y155" s="84" t="str" cm="1">
        <f t="array" ref="Y155">IFERROR(VLOOKUP($A155,'The List'!$B1:$AS671,32,FALSE)," ")</f>
        <v xml:space="preserve"> </v>
      </c>
      <c r="Z155" s="84" t="str" cm="1">
        <f t="array" ref="Z155">IFERROR(VLOOKUP($A155,'The List'!$B1:$AS671,33,FALSE)," ")</f>
        <v xml:space="preserve"> </v>
      </c>
      <c r="AA155" s="85"/>
      <c r="AB155" s="90"/>
      <c r="AC155" s="90"/>
      <c r="AD155" s="90"/>
      <c r="AE155" s="90"/>
      <c r="AF155" s="90"/>
    </row>
    <row r="156" spans="1:32" ht="21.25" customHeight="1" x14ac:dyDescent="0.15">
      <c r="A156" s="24"/>
      <c r="B156" s="96" t="str" cm="1">
        <f t="array" ref="B156">IFERROR(VLOOKUP($A156,'The List'!$B1:$AS671,3,FALSE)," ")</f>
        <v xml:space="preserve"> </v>
      </c>
      <c r="C156" s="98" t="str" cm="1">
        <f t="array" ref="C156">IFERROR(VLOOKUP($A156,'The List'!$B1:$AS671,4,FALSE)," ")</f>
        <v xml:space="preserve"> </v>
      </c>
      <c r="D156" s="18" t="str" cm="1">
        <f t="array" ref="D156">IFERROR(VLOOKUP($A156,'The List'!$B1:$AS671,5,FALSE)," ")</f>
        <v xml:space="preserve"> </v>
      </c>
      <c r="E156" s="18" t="str" cm="1">
        <f t="array" ref="E156">IFERROR(VLOOKUP($A156,'The List'!$B1:$AS671,6,FALSE)," ")</f>
        <v xml:space="preserve"> </v>
      </c>
      <c r="F156" s="92" t="str" cm="1">
        <f t="array" ref="F156">IFERROR(VLOOKUP($A156,'The List'!$B1:$AS671,8,FALSE)," ")</f>
        <v xml:space="preserve"> </v>
      </c>
      <c r="G156" s="92" t="str" cm="1">
        <f t="array" ref="G156">IFERROR(VLOOKUP($A156,'The List'!$B1:$AS671,10,FALSE)," ")</f>
        <v xml:space="preserve"> </v>
      </c>
      <c r="H156" s="55"/>
      <c r="I156" s="84" t="str" cm="1">
        <f t="array" ref="I156">IFERROR(VLOOKUP($A156,'The List'!$B1:$AS671,16,FALSE)," ")</f>
        <v xml:space="preserve"> </v>
      </c>
      <c r="J156" s="84" t="str" cm="1">
        <f t="array" ref="J156">IFERROR(VLOOKUP($A156,'The List'!$B1:$AS671,17,FALSE)," ")</f>
        <v xml:space="preserve"> </v>
      </c>
      <c r="K156" s="84" t="str" cm="1">
        <f t="array" ref="K156">IFERROR(VLOOKUP($A156,'The List'!$B1:$AS671,18,FALSE)," ")</f>
        <v xml:space="preserve"> </v>
      </c>
      <c r="L156" s="84" t="str" cm="1">
        <f t="array" ref="L156">IFERROR(VLOOKUP($A156,'The List'!$B1:$AS671,19,FALSE)," ")</f>
        <v xml:space="preserve"> </v>
      </c>
      <c r="M156" s="84" t="str" cm="1">
        <f t="array" ref="M156">IFERROR(VLOOKUP($A156,'The List'!$B1:$AS671,20,FALSE)," ")</f>
        <v xml:space="preserve"> </v>
      </c>
      <c r="N156" s="84" t="str" cm="1">
        <f t="array" ref="N156">IFERROR(VLOOKUP($A156,'The List'!$B1:$AS671,21,FALSE)," ")</f>
        <v xml:space="preserve"> </v>
      </c>
      <c r="O156" s="84" t="str" cm="1">
        <f t="array" ref="O156">IFERROR(VLOOKUP($A156,'The List'!$B1:$AS671,22,FALSE)," ")</f>
        <v xml:space="preserve"> </v>
      </c>
      <c r="P156" s="84" t="str" cm="1">
        <f t="array" ref="P156">IFERROR(VLOOKUP($A156,'The List'!$B1:$AS671,23,FALSE)," ")</f>
        <v xml:space="preserve"> </v>
      </c>
      <c r="Q156" s="84" t="str" cm="1">
        <f t="array" ref="Q156">IFERROR(VLOOKUP($A156,'The List'!$B1:$AS671,24,FALSE)," ")</f>
        <v xml:space="preserve"> </v>
      </c>
      <c r="R156" s="84" t="str" cm="1">
        <f t="array" ref="R156">IFERROR(VLOOKUP($A156,'The List'!$B1:$AS671,25,FALSE)," ")</f>
        <v xml:space="preserve"> </v>
      </c>
      <c r="S156" s="84" t="str" cm="1">
        <f t="array" ref="S156">IFERROR(VLOOKUP($A156,'The List'!$B1:$AS671,26,FALSE)," ")</f>
        <v xml:space="preserve"> </v>
      </c>
      <c r="T156" s="84" t="str" cm="1">
        <f t="array" ref="T156">IFERROR(VLOOKUP($A156,'The List'!$B1:$AS671,27,FALSE)," ")</f>
        <v xml:space="preserve"> </v>
      </c>
      <c r="U156" s="84" t="str" cm="1">
        <f t="array" ref="U156">IFERROR(VLOOKUP($A156,'The List'!$B1:$AS671,28,FALSE)," ")</f>
        <v xml:space="preserve"> </v>
      </c>
      <c r="V156" s="84" t="str" cm="1">
        <f t="array" ref="V156">IFERROR(VLOOKUP($A156,'The List'!$B1:$AS671,29,FALSE)," ")</f>
        <v xml:space="preserve"> </v>
      </c>
      <c r="W156" s="84" t="str" cm="1">
        <f t="array" ref="W156">IFERROR(VLOOKUP($A156,'The List'!$B1:$AS671,30,FALSE)," ")</f>
        <v xml:space="preserve"> </v>
      </c>
      <c r="X156" s="84" t="str" cm="1">
        <f t="array" ref="X156">IFERROR(VLOOKUP($A156,'The List'!$B1:$AS671,31,FALSE)," ")</f>
        <v xml:space="preserve"> </v>
      </c>
      <c r="Y156" s="84" t="str" cm="1">
        <f t="array" ref="Y156">IFERROR(VLOOKUP($A156,'The List'!$B1:$AS671,32,FALSE)," ")</f>
        <v xml:space="preserve"> </v>
      </c>
      <c r="Z156" s="84" t="str" cm="1">
        <f t="array" ref="Z156">IFERROR(VLOOKUP($A156,'The List'!$B1:$AS671,33,FALSE)," ")</f>
        <v xml:space="preserve"> </v>
      </c>
      <c r="AA156" s="85"/>
      <c r="AB156" s="90"/>
      <c r="AC156" s="90"/>
      <c r="AD156" s="90"/>
      <c r="AE156" s="90"/>
      <c r="AF156" s="90"/>
    </row>
    <row r="157" spans="1:32" ht="21.25" customHeight="1" x14ac:dyDescent="0.15">
      <c r="A157" s="24"/>
      <c r="B157" s="96" t="str" cm="1">
        <f t="array" ref="B157">IFERROR(VLOOKUP($A157,'The List'!$B1:$AS671,3,FALSE)," ")</f>
        <v xml:space="preserve"> </v>
      </c>
      <c r="C157" s="98" t="str" cm="1">
        <f t="array" ref="C157">IFERROR(VLOOKUP($A157,'The List'!$B1:$AS671,4,FALSE)," ")</f>
        <v xml:space="preserve"> </v>
      </c>
      <c r="D157" s="18" t="str" cm="1">
        <f t="array" ref="D157">IFERROR(VLOOKUP($A157,'The List'!$B1:$AS671,5,FALSE)," ")</f>
        <v xml:space="preserve"> </v>
      </c>
      <c r="E157" s="18" t="str" cm="1">
        <f t="array" ref="E157">IFERROR(VLOOKUP($A157,'The List'!$B1:$AS671,6,FALSE)," ")</f>
        <v xml:space="preserve"> </v>
      </c>
      <c r="F157" s="92" t="str" cm="1">
        <f t="array" ref="F157">IFERROR(VLOOKUP($A157,'The List'!$B1:$AS671,8,FALSE)," ")</f>
        <v xml:space="preserve"> </v>
      </c>
      <c r="G157" s="92" t="str" cm="1">
        <f t="array" ref="G157">IFERROR(VLOOKUP($A157,'The List'!$B1:$AS671,10,FALSE)," ")</f>
        <v xml:space="preserve"> </v>
      </c>
      <c r="H157" s="55"/>
      <c r="I157" s="84" t="str" cm="1">
        <f t="array" ref="I157">IFERROR(VLOOKUP($A157,'The List'!$B1:$AS671,16,FALSE)," ")</f>
        <v xml:space="preserve"> </v>
      </c>
      <c r="J157" s="84" t="str" cm="1">
        <f t="array" ref="J157">IFERROR(VLOOKUP($A157,'The List'!$B1:$AS671,17,FALSE)," ")</f>
        <v xml:space="preserve"> </v>
      </c>
      <c r="K157" s="84" t="str" cm="1">
        <f t="array" ref="K157">IFERROR(VLOOKUP($A157,'The List'!$B1:$AS671,18,FALSE)," ")</f>
        <v xml:space="preserve"> </v>
      </c>
      <c r="L157" s="84" t="str" cm="1">
        <f t="array" ref="L157">IFERROR(VLOOKUP($A157,'The List'!$B1:$AS671,19,FALSE)," ")</f>
        <v xml:space="preserve"> </v>
      </c>
      <c r="M157" s="84" t="str" cm="1">
        <f t="array" ref="M157">IFERROR(VLOOKUP($A157,'The List'!$B1:$AS671,20,FALSE)," ")</f>
        <v xml:space="preserve"> </v>
      </c>
      <c r="N157" s="84" t="str" cm="1">
        <f t="array" ref="N157">IFERROR(VLOOKUP($A157,'The List'!$B1:$AS671,21,FALSE)," ")</f>
        <v xml:space="preserve"> </v>
      </c>
      <c r="O157" s="84" t="str" cm="1">
        <f t="array" ref="O157">IFERROR(VLOOKUP($A157,'The List'!$B1:$AS671,22,FALSE)," ")</f>
        <v xml:space="preserve"> </v>
      </c>
      <c r="P157" s="84" t="str" cm="1">
        <f t="array" ref="P157">IFERROR(VLOOKUP($A157,'The List'!$B1:$AS671,23,FALSE)," ")</f>
        <v xml:space="preserve"> </v>
      </c>
      <c r="Q157" s="84" t="str" cm="1">
        <f t="array" ref="Q157">IFERROR(VLOOKUP($A157,'The List'!$B1:$AS671,24,FALSE)," ")</f>
        <v xml:space="preserve"> </v>
      </c>
      <c r="R157" s="84" t="str" cm="1">
        <f t="array" ref="R157">IFERROR(VLOOKUP($A157,'The List'!$B1:$AS671,25,FALSE)," ")</f>
        <v xml:space="preserve"> </v>
      </c>
      <c r="S157" s="84" t="str" cm="1">
        <f t="array" ref="S157">IFERROR(VLOOKUP($A157,'The List'!$B1:$AS671,26,FALSE)," ")</f>
        <v xml:space="preserve"> </v>
      </c>
      <c r="T157" s="84" t="str" cm="1">
        <f t="array" ref="T157">IFERROR(VLOOKUP($A157,'The List'!$B1:$AS671,27,FALSE)," ")</f>
        <v xml:space="preserve"> </v>
      </c>
      <c r="U157" s="84" t="str" cm="1">
        <f t="array" ref="U157">IFERROR(VLOOKUP($A157,'The List'!$B1:$AS671,28,FALSE)," ")</f>
        <v xml:space="preserve"> </v>
      </c>
      <c r="V157" s="84" t="str" cm="1">
        <f t="array" ref="V157">IFERROR(VLOOKUP($A157,'The List'!$B1:$AS671,29,FALSE)," ")</f>
        <v xml:space="preserve"> </v>
      </c>
      <c r="W157" s="84" t="str" cm="1">
        <f t="array" ref="W157">IFERROR(VLOOKUP($A157,'The List'!$B1:$AS671,30,FALSE)," ")</f>
        <v xml:space="preserve"> </v>
      </c>
      <c r="X157" s="84" t="str" cm="1">
        <f t="array" ref="X157">IFERROR(VLOOKUP($A157,'The List'!$B1:$AS671,31,FALSE)," ")</f>
        <v xml:space="preserve"> </v>
      </c>
      <c r="Y157" s="84" t="str" cm="1">
        <f t="array" ref="Y157">IFERROR(VLOOKUP($A157,'The List'!$B1:$AS671,32,FALSE)," ")</f>
        <v xml:space="preserve"> </v>
      </c>
      <c r="Z157" s="84" t="str" cm="1">
        <f t="array" ref="Z157">IFERROR(VLOOKUP($A157,'The List'!$B1:$AS671,33,FALSE)," ")</f>
        <v xml:space="preserve"> </v>
      </c>
      <c r="AA157" s="85"/>
      <c r="AB157" s="90"/>
      <c r="AC157" s="90"/>
      <c r="AD157" s="90"/>
      <c r="AE157" s="90"/>
      <c r="AF157" s="90"/>
    </row>
    <row r="158" spans="1:32" ht="21.25" customHeight="1" x14ac:dyDescent="0.15">
      <c r="A158" s="24"/>
      <c r="B158" s="96" t="str" cm="1">
        <f t="array" ref="B158">IFERROR(VLOOKUP($A158,'The List'!$B1:$AS671,3,FALSE)," ")</f>
        <v xml:space="preserve"> </v>
      </c>
      <c r="C158" s="98" t="str" cm="1">
        <f t="array" ref="C158">IFERROR(VLOOKUP($A158,'The List'!$B1:$AS671,4,FALSE)," ")</f>
        <v xml:space="preserve"> </v>
      </c>
      <c r="D158" s="18" t="str" cm="1">
        <f t="array" ref="D158">IFERROR(VLOOKUP($A158,'The List'!$B1:$AS671,5,FALSE)," ")</f>
        <v xml:space="preserve"> </v>
      </c>
      <c r="E158" s="18" t="str" cm="1">
        <f t="array" ref="E158">IFERROR(VLOOKUP($A158,'The List'!$B1:$AS671,6,FALSE)," ")</f>
        <v xml:space="preserve"> </v>
      </c>
      <c r="F158" s="92" t="str" cm="1">
        <f t="array" ref="F158">IFERROR(VLOOKUP($A158,'The List'!$B1:$AS671,8,FALSE)," ")</f>
        <v xml:space="preserve"> </v>
      </c>
      <c r="G158" s="92" t="str" cm="1">
        <f t="array" ref="G158">IFERROR(VLOOKUP($A158,'The List'!$B1:$AS671,10,FALSE)," ")</f>
        <v xml:space="preserve"> </v>
      </c>
      <c r="H158" s="55"/>
      <c r="I158" s="84" t="str" cm="1">
        <f t="array" ref="I158">IFERROR(VLOOKUP($A158,'The List'!$B1:$AS671,16,FALSE)," ")</f>
        <v xml:space="preserve"> </v>
      </c>
      <c r="J158" s="84" t="str" cm="1">
        <f t="array" ref="J158">IFERROR(VLOOKUP($A158,'The List'!$B1:$AS671,17,FALSE)," ")</f>
        <v xml:space="preserve"> </v>
      </c>
      <c r="K158" s="84" t="str" cm="1">
        <f t="array" ref="K158">IFERROR(VLOOKUP($A158,'The List'!$B1:$AS671,18,FALSE)," ")</f>
        <v xml:space="preserve"> </v>
      </c>
      <c r="L158" s="84" t="str" cm="1">
        <f t="array" ref="L158">IFERROR(VLOOKUP($A158,'The List'!$B1:$AS671,19,FALSE)," ")</f>
        <v xml:space="preserve"> </v>
      </c>
      <c r="M158" s="84" t="str" cm="1">
        <f t="array" ref="M158">IFERROR(VLOOKUP($A158,'The List'!$B1:$AS671,20,FALSE)," ")</f>
        <v xml:space="preserve"> </v>
      </c>
      <c r="N158" s="84" t="str" cm="1">
        <f t="array" ref="N158">IFERROR(VLOOKUP($A158,'The List'!$B1:$AS671,21,FALSE)," ")</f>
        <v xml:space="preserve"> </v>
      </c>
      <c r="O158" s="84" t="str" cm="1">
        <f t="array" ref="O158">IFERROR(VLOOKUP($A158,'The List'!$B1:$AS671,22,FALSE)," ")</f>
        <v xml:space="preserve"> </v>
      </c>
      <c r="P158" s="84" t="str" cm="1">
        <f t="array" ref="P158">IFERROR(VLOOKUP($A158,'The List'!$B1:$AS671,23,FALSE)," ")</f>
        <v xml:space="preserve"> </v>
      </c>
      <c r="Q158" s="84" t="str" cm="1">
        <f t="array" ref="Q158">IFERROR(VLOOKUP($A158,'The List'!$B1:$AS671,24,FALSE)," ")</f>
        <v xml:space="preserve"> </v>
      </c>
      <c r="R158" s="84" t="str" cm="1">
        <f t="array" ref="R158">IFERROR(VLOOKUP($A158,'The List'!$B1:$AS671,25,FALSE)," ")</f>
        <v xml:space="preserve"> </v>
      </c>
      <c r="S158" s="84" t="str" cm="1">
        <f t="array" ref="S158">IFERROR(VLOOKUP($A158,'The List'!$B1:$AS671,26,FALSE)," ")</f>
        <v xml:space="preserve"> </v>
      </c>
      <c r="T158" s="84" t="str" cm="1">
        <f t="array" ref="T158">IFERROR(VLOOKUP($A158,'The List'!$B1:$AS671,27,FALSE)," ")</f>
        <v xml:space="preserve"> </v>
      </c>
      <c r="U158" s="84" t="str" cm="1">
        <f t="array" ref="U158">IFERROR(VLOOKUP($A158,'The List'!$B1:$AS671,28,FALSE)," ")</f>
        <v xml:space="preserve"> </v>
      </c>
      <c r="V158" s="84" t="str" cm="1">
        <f t="array" ref="V158">IFERROR(VLOOKUP($A158,'The List'!$B1:$AS671,29,FALSE)," ")</f>
        <v xml:space="preserve"> </v>
      </c>
      <c r="W158" s="84" t="str" cm="1">
        <f t="array" ref="W158">IFERROR(VLOOKUP($A158,'The List'!$B1:$AS671,30,FALSE)," ")</f>
        <v xml:space="preserve"> </v>
      </c>
      <c r="X158" s="84" t="str" cm="1">
        <f t="array" ref="X158">IFERROR(VLOOKUP($A158,'The List'!$B1:$AS671,31,FALSE)," ")</f>
        <v xml:space="preserve"> </v>
      </c>
      <c r="Y158" s="84" t="str" cm="1">
        <f t="array" ref="Y158">IFERROR(VLOOKUP($A158,'The List'!$B1:$AS671,32,FALSE)," ")</f>
        <v xml:space="preserve"> </v>
      </c>
      <c r="Z158" s="84" t="str" cm="1">
        <f t="array" ref="Z158">IFERROR(VLOOKUP($A158,'The List'!$B1:$AS671,33,FALSE)," ")</f>
        <v xml:space="preserve"> </v>
      </c>
      <c r="AA158" s="85"/>
      <c r="AB158" s="90"/>
      <c r="AC158" s="90"/>
      <c r="AD158" s="90"/>
      <c r="AE158" s="90"/>
      <c r="AF158" s="90"/>
    </row>
    <row r="159" spans="1:32" ht="21.25" customHeight="1" x14ac:dyDescent="0.15">
      <c r="A159" s="24"/>
      <c r="B159" s="99" t="str" cm="1">
        <f t="array" ref="B159">IFERROR(VLOOKUP($A159,'The List'!$B1:$AS671,3,FALSE)," ")</f>
        <v xml:space="preserve"> </v>
      </c>
      <c r="C159" s="101" t="str" cm="1">
        <f t="array" ref="C159">IFERROR(VLOOKUP($A159,'The List'!$B1:$AS671,4,FALSE)," ")</f>
        <v xml:space="preserve"> </v>
      </c>
      <c r="D159" s="18" t="str" cm="1">
        <f t="array" ref="D159">IFERROR(VLOOKUP($A159,'The List'!$B1:$AS671,5,FALSE)," ")</f>
        <v xml:space="preserve"> </v>
      </c>
      <c r="E159" s="18" t="str" cm="1">
        <f t="array" ref="E159">IFERROR(VLOOKUP($A159,'The List'!$B1:$AS671,6,FALSE)," ")</f>
        <v xml:space="preserve"> </v>
      </c>
      <c r="F159" s="92" t="str" cm="1">
        <f t="array" ref="F159">IFERROR(VLOOKUP($A159,'The List'!$B1:$AS671,8,FALSE)," ")</f>
        <v xml:space="preserve"> </v>
      </c>
      <c r="G159" s="92" t="str" cm="1">
        <f t="array" ref="G159">IFERROR(VLOOKUP($A159,'The List'!$B1:$AS671,10,FALSE)," ")</f>
        <v xml:space="preserve"> </v>
      </c>
      <c r="H159" s="55"/>
      <c r="I159" s="84" t="str" cm="1">
        <f t="array" ref="I159">IFERROR(VLOOKUP($A159,'The List'!$B1:$AS671,16,FALSE)," ")</f>
        <v xml:space="preserve"> </v>
      </c>
      <c r="J159" s="84" t="str" cm="1">
        <f t="array" ref="J159">IFERROR(VLOOKUP($A159,'The List'!$B1:$AS671,17,FALSE)," ")</f>
        <v xml:space="preserve"> </v>
      </c>
      <c r="K159" s="84" t="str" cm="1">
        <f t="array" ref="K159">IFERROR(VLOOKUP($A159,'The List'!$B1:$AS671,18,FALSE)," ")</f>
        <v xml:space="preserve"> </v>
      </c>
      <c r="L159" s="84" t="str" cm="1">
        <f t="array" ref="L159">IFERROR(VLOOKUP($A159,'The List'!$B1:$AS671,19,FALSE)," ")</f>
        <v xml:space="preserve"> </v>
      </c>
      <c r="M159" s="84" t="str" cm="1">
        <f t="array" ref="M159">IFERROR(VLOOKUP($A159,'The List'!$B1:$AS671,20,FALSE)," ")</f>
        <v xml:space="preserve"> </v>
      </c>
      <c r="N159" s="84" t="str" cm="1">
        <f t="array" ref="N159">IFERROR(VLOOKUP($A159,'The List'!$B1:$AS671,21,FALSE)," ")</f>
        <v xml:space="preserve"> </v>
      </c>
      <c r="O159" s="84" t="str" cm="1">
        <f t="array" ref="O159">IFERROR(VLOOKUP($A159,'The List'!$B1:$AS671,22,FALSE)," ")</f>
        <v xml:space="preserve"> </v>
      </c>
      <c r="P159" s="84" t="str" cm="1">
        <f t="array" ref="P159">IFERROR(VLOOKUP($A159,'The List'!$B1:$AS671,23,FALSE)," ")</f>
        <v xml:space="preserve"> </v>
      </c>
      <c r="Q159" s="84" t="str" cm="1">
        <f t="array" ref="Q159">IFERROR(VLOOKUP($A159,'The List'!$B1:$AS671,24,FALSE)," ")</f>
        <v xml:space="preserve"> </v>
      </c>
      <c r="R159" s="84" t="str" cm="1">
        <f t="array" ref="R159">IFERROR(VLOOKUP($A159,'The List'!$B1:$AS671,25,FALSE)," ")</f>
        <v xml:space="preserve"> </v>
      </c>
      <c r="S159" s="84" t="str" cm="1">
        <f t="array" ref="S159">IFERROR(VLOOKUP($A159,'The List'!$B1:$AS671,26,FALSE)," ")</f>
        <v xml:space="preserve"> </v>
      </c>
      <c r="T159" s="84" t="str" cm="1">
        <f t="array" ref="T159">IFERROR(VLOOKUP($A159,'The List'!$B1:$AS671,27,FALSE)," ")</f>
        <v xml:space="preserve"> </v>
      </c>
      <c r="U159" s="84" t="str" cm="1">
        <f t="array" ref="U159">IFERROR(VLOOKUP($A159,'The List'!$B1:$AS671,28,FALSE)," ")</f>
        <v xml:space="preserve"> </v>
      </c>
      <c r="V159" s="84" t="str" cm="1">
        <f t="array" ref="V159">IFERROR(VLOOKUP($A159,'The List'!$B1:$AS671,29,FALSE)," ")</f>
        <v xml:space="preserve"> </v>
      </c>
      <c r="W159" s="84" t="str" cm="1">
        <f t="array" ref="W159">IFERROR(VLOOKUP($A159,'The List'!$B1:$AS671,30,FALSE)," ")</f>
        <v xml:space="preserve"> </v>
      </c>
      <c r="X159" s="84" t="str" cm="1">
        <f t="array" ref="X159">IFERROR(VLOOKUP($A159,'The List'!$B1:$AS671,31,FALSE)," ")</f>
        <v xml:space="preserve"> </v>
      </c>
      <c r="Y159" s="84" t="str" cm="1">
        <f t="array" ref="Y159">IFERROR(VLOOKUP($A159,'The List'!$B1:$AS671,32,FALSE)," ")</f>
        <v xml:space="preserve"> </v>
      </c>
      <c r="Z159" s="84" t="str" cm="1">
        <f t="array" ref="Z159">IFERROR(VLOOKUP($A159,'The List'!$B1:$AS671,33,FALSE)," ")</f>
        <v xml:space="preserve"> </v>
      </c>
      <c r="AA159" s="85"/>
      <c r="AB159" s="90"/>
      <c r="AC159" s="90"/>
      <c r="AD159" s="90"/>
      <c r="AE159" s="90"/>
      <c r="AF159" s="90"/>
    </row>
    <row r="160" spans="1:32" ht="21.25" customHeight="1" x14ac:dyDescent="0.15">
      <c r="A160" s="24"/>
      <c r="B160" s="99" t="str" cm="1">
        <f t="array" ref="B160">IFERROR(VLOOKUP($A160,'The List'!$B1:$AS671,3,FALSE)," ")</f>
        <v xml:space="preserve"> </v>
      </c>
      <c r="C160" s="101" t="str" cm="1">
        <f t="array" ref="C160">IFERROR(VLOOKUP($A160,'The List'!$B1:$AS671,4,FALSE)," ")</f>
        <v xml:space="preserve"> </v>
      </c>
      <c r="D160" s="18" t="str" cm="1">
        <f t="array" ref="D160">IFERROR(VLOOKUP($A160,'The List'!$B1:$AS671,5,FALSE)," ")</f>
        <v xml:space="preserve"> </v>
      </c>
      <c r="E160" s="18" t="str" cm="1">
        <f t="array" ref="E160">IFERROR(VLOOKUP($A160,'The List'!$B1:$AS671,6,FALSE)," ")</f>
        <v xml:space="preserve"> </v>
      </c>
      <c r="F160" s="92" t="str" cm="1">
        <f t="array" ref="F160">IFERROR(VLOOKUP($A160,'The List'!$B1:$AS671,8,FALSE)," ")</f>
        <v xml:space="preserve"> </v>
      </c>
      <c r="G160" s="92" t="str" cm="1">
        <f t="array" ref="G160">IFERROR(VLOOKUP($A160,'The List'!$B1:$AS671,10,FALSE)," ")</f>
        <v xml:space="preserve"> </v>
      </c>
      <c r="H160" s="55"/>
      <c r="I160" s="84" t="str" cm="1">
        <f t="array" ref="I160">IFERROR(VLOOKUP($A160,'The List'!$B1:$AS671,16,FALSE)," ")</f>
        <v xml:space="preserve"> </v>
      </c>
      <c r="J160" s="84" t="str" cm="1">
        <f t="array" ref="J160">IFERROR(VLOOKUP($A160,'The List'!$B1:$AS671,17,FALSE)," ")</f>
        <v xml:space="preserve"> </v>
      </c>
      <c r="K160" s="84" t="str" cm="1">
        <f t="array" ref="K160">IFERROR(VLOOKUP($A160,'The List'!$B1:$AS671,18,FALSE)," ")</f>
        <v xml:space="preserve"> </v>
      </c>
      <c r="L160" s="84" t="str" cm="1">
        <f t="array" ref="L160">IFERROR(VLOOKUP($A160,'The List'!$B1:$AS671,19,FALSE)," ")</f>
        <v xml:space="preserve"> </v>
      </c>
      <c r="M160" s="84" t="str" cm="1">
        <f t="array" ref="M160">IFERROR(VLOOKUP($A160,'The List'!$B1:$AS671,20,FALSE)," ")</f>
        <v xml:space="preserve"> </v>
      </c>
      <c r="N160" s="84" t="str" cm="1">
        <f t="array" ref="N160">IFERROR(VLOOKUP($A160,'The List'!$B1:$AS671,21,FALSE)," ")</f>
        <v xml:space="preserve"> </v>
      </c>
      <c r="O160" s="84" t="str" cm="1">
        <f t="array" ref="O160">IFERROR(VLOOKUP($A160,'The List'!$B1:$AS671,22,FALSE)," ")</f>
        <v xml:space="preserve"> </v>
      </c>
      <c r="P160" s="84" t="str" cm="1">
        <f t="array" ref="P160">IFERROR(VLOOKUP($A160,'The List'!$B1:$AS671,23,FALSE)," ")</f>
        <v xml:space="preserve"> </v>
      </c>
      <c r="Q160" s="84" t="str" cm="1">
        <f t="array" ref="Q160">IFERROR(VLOOKUP($A160,'The List'!$B1:$AS671,24,FALSE)," ")</f>
        <v xml:space="preserve"> </v>
      </c>
      <c r="R160" s="84" t="str" cm="1">
        <f t="array" ref="R160">IFERROR(VLOOKUP($A160,'The List'!$B1:$AS671,25,FALSE)," ")</f>
        <v xml:space="preserve"> </v>
      </c>
      <c r="S160" s="84" t="str" cm="1">
        <f t="array" ref="S160">IFERROR(VLOOKUP($A160,'The List'!$B1:$AS671,26,FALSE)," ")</f>
        <v xml:space="preserve"> </v>
      </c>
      <c r="T160" s="84" t="str" cm="1">
        <f t="array" ref="T160">IFERROR(VLOOKUP($A160,'The List'!$B1:$AS671,27,FALSE)," ")</f>
        <v xml:space="preserve"> </v>
      </c>
      <c r="U160" s="84" t="str" cm="1">
        <f t="array" ref="U160">IFERROR(VLOOKUP($A160,'The List'!$B1:$AS671,28,FALSE)," ")</f>
        <v xml:space="preserve"> </v>
      </c>
      <c r="V160" s="84" t="str" cm="1">
        <f t="array" ref="V160">IFERROR(VLOOKUP($A160,'The List'!$B1:$AS671,29,FALSE)," ")</f>
        <v xml:space="preserve"> </v>
      </c>
      <c r="W160" s="84" t="str" cm="1">
        <f t="array" ref="W160">IFERROR(VLOOKUP($A160,'The List'!$B1:$AS671,30,FALSE)," ")</f>
        <v xml:space="preserve"> </v>
      </c>
      <c r="X160" s="84" t="str" cm="1">
        <f t="array" ref="X160">IFERROR(VLOOKUP($A160,'The List'!$B1:$AS671,31,FALSE)," ")</f>
        <v xml:space="preserve"> </v>
      </c>
      <c r="Y160" s="84" t="str" cm="1">
        <f t="array" ref="Y160">IFERROR(VLOOKUP($A160,'The List'!$B1:$AS671,32,FALSE)," ")</f>
        <v xml:space="preserve"> </v>
      </c>
      <c r="Z160" s="84" t="str" cm="1">
        <f t="array" ref="Z160">IFERROR(VLOOKUP($A160,'The List'!$B1:$AS671,33,FALSE)," ")</f>
        <v xml:space="preserve"> </v>
      </c>
      <c r="AA160" s="85"/>
      <c r="AB160" s="90"/>
      <c r="AC160" s="90"/>
      <c r="AD160" s="90"/>
      <c r="AE160" s="90"/>
      <c r="AF160" s="90"/>
    </row>
    <row r="161" spans="1:32" ht="21.25" customHeight="1" x14ac:dyDescent="0.15">
      <c r="A161" s="24"/>
      <c r="B161" s="99" t="str" cm="1">
        <f t="array" ref="B161">IFERROR(VLOOKUP($A161,'The List'!$B1:$AS671,3,FALSE)," ")</f>
        <v xml:space="preserve"> </v>
      </c>
      <c r="C161" s="101" t="str" cm="1">
        <f t="array" ref="C161">IFERROR(VLOOKUP($A161,'The List'!$B1:$AS671,4,FALSE)," ")</f>
        <v xml:space="preserve"> </v>
      </c>
      <c r="D161" s="18" t="str" cm="1">
        <f t="array" ref="D161">IFERROR(VLOOKUP($A161,'The List'!$B1:$AS671,5,FALSE)," ")</f>
        <v xml:space="preserve"> </v>
      </c>
      <c r="E161" s="18" t="str" cm="1">
        <f t="array" ref="E161">IFERROR(VLOOKUP($A161,'The List'!$B1:$AS671,6,FALSE)," ")</f>
        <v xml:space="preserve"> </v>
      </c>
      <c r="F161" s="92" t="str" cm="1">
        <f t="array" ref="F161">IFERROR(VLOOKUP($A161,'The List'!$B1:$AS671,8,FALSE)," ")</f>
        <v xml:space="preserve"> </v>
      </c>
      <c r="G161" s="92" t="str" cm="1">
        <f t="array" ref="G161">IFERROR(VLOOKUP($A161,'The List'!$B1:$AS671,10,FALSE)," ")</f>
        <v xml:space="preserve"> </v>
      </c>
      <c r="H161" s="55"/>
      <c r="I161" s="84" t="str" cm="1">
        <f t="array" ref="I161">IFERROR(VLOOKUP($A161,'The List'!$B1:$AS671,16,FALSE)," ")</f>
        <v xml:space="preserve"> </v>
      </c>
      <c r="J161" s="84" t="str" cm="1">
        <f t="array" ref="J161">IFERROR(VLOOKUP($A161,'The List'!$B1:$AS671,17,FALSE)," ")</f>
        <v xml:space="preserve"> </v>
      </c>
      <c r="K161" s="84" t="str" cm="1">
        <f t="array" ref="K161">IFERROR(VLOOKUP($A161,'The List'!$B1:$AS671,18,FALSE)," ")</f>
        <v xml:space="preserve"> </v>
      </c>
      <c r="L161" s="84" t="str" cm="1">
        <f t="array" ref="L161">IFERROR(VLOOKUP($A161,'The List'!$B1:$AS671,19,FALSE)," ")</f>
        <v xml:space="preserve"> </v>
      </c>
      <c r="M161" s="84" t="str" cm="1">
        <f t="array" ref="M161">IFERROR(VLOOKUP($A161,'The List'!$B1:$AS671,20,FALSE)," ")</f>
        <v xml:space="preserve"> </v>
      </c>
      <c r="N161" s="84" t="str" cm="1">
        <f t="array" ref="N161">IFERROR(VLOOKUP($A161,'The List'!$B1:$AS671,21,FALSE)," ")</f>
        <v xml:space="preserve"> </v>
      </c>
      <c r="O161" s="84" t="str" cm="1">
        <f t="array" ref="O161">IFERROR(VLOOKUP($A161,'The List'!$B1:$AS671,22,FALSE)," ")</f>
        <v xml:space="preserve"> </v>
      </c>
      <c r="P161" s="84" t="str" cm="1">
        <f t="array" ref="P161">IFERROR(VLOOKUP($A161,'The List'!$B1:$AS671,23,FALSE)," ")</f>
        <v xml:space="preserve"> </v>
      </c>
      <c r="Q161" s="84" t="str" cm="1">
        <f t="array" ref="Q161">IFERROR(VLOOKUP($A161,'The List'!$B1:$AS671,24,FALSE)," ")</f>
        <v xml:space="preserve"> </v>
      </c>
      <c r="R161" s="84" t="str" cm="1">
        <f t="array" ref="R161">IFERROR(VLOOKUP($A161,'The List'!$B1:$AS671,25,FALSE)," ")</f>
        <v xml:space="preserve"> </v>
      </c>
      <c r="S161" s="84" t="str" cm="1">
        <f t="array" ref="S161">IFERROR(VLOOKUP($A161,'The List'!$B1:$AS671,26,FALSE)," ")</f>
        <v xml:space="preserve"> </v>
      </c>
      <c r="T161" s="84" t="str" cm="1">
        <f t="array" ref="T161">IFERROR(VLOOKUP($A161,'The List'!$B1:$AS671,27,FALSE)," ")</f>
        <v xml:space="preserve"> </v>
      </c>
      <c r="U161" s="84" t="str" cm="1">
        <f t="array" ref="U161">IFERROR(VLOOKUP($A161,'The List'!$B1:$AS671,28,FALSE)," ")</f>
        <v xml:space="preserve"> </v>
      </c>
      <c r="V161" s="84" t="str" cm="1">
        <f t="array" ref="V161">IFERROR(VLOOKUP($A161,'The List'!$B1:$AS671,29,FALSE)," ")</f>
        <v xml:space="preserve"> </v>
      </c>
      <c r="W161" s="84" t="str" cm="1">
        <f t="array" ref="W161">IFERROR(VLOOKUP($A161,'The List'!$B1:$AS671,30,FALSE)," ")</f>
        <v xml:space="preserve"> </v>
      </c>
      <c r="X161" s="84" t="str" cm="1">
        <f t="array" ref="X161">IFERROR(VLOOKUP($A161,'The List'!$B1:$AS671,31,FALSE)," ")</f>
        <v xml:space="preserve"> </v>
      </c>
      <c r="Y161" s="84" t="str" cm="1">
        <f t="array" ref="Y161">IFERROR(VLOOKUP($A161,'The List'!$B1:$AS671,32,FALSE)," ")</f>
        <v xml:space="preserve"> </v>
      </c>
      <c r="Z161" s="84" t="str" cm="1">
        <f t="array" ref="Z161">IFERROR(VLOOKUP($A161,'The List'!$B1:$AS671,33,FALSE)," ")</f>
        <v xml:space="preserve"> </v>
      </c>
      <c r="AA161" s="85"/>
      <c r="AB161" s="90"/>
      <c r="AC161" s="90"/>
      <c r="AD161" s="90"/>
      <c r="AE161" s="90"/>
      <c r="AF161" s="90"/>
    </row>
    <row r="162" spans="1:32" ht="21.25" customHeight="1" x14ac:dyDescent="0.15">
      <c r="A162" s="24"/>
      <c r="B162" s="99" t="str" cm="1">
        <f t="array" ref="B162">IFERROR(VLOOKUP($A162,'The List'!$B1:$AS671,3,FALSE)," ")</f>
        <v xml:space="preserve"> </v>
      </c>
      <c r="C162" s="101" t="str" cm="1">
        <f t="array" ref="C162">IFERROR(VLOOKUP($A162,'The List'!$B1:$AS671,4,FALSE)," ")</f>
        <v xml:space="preserve"> </v>
      </c>
      <c r="D162" s="18" t="str" cm="1">
        <f t="array" ref="D162">IFERROR(VLOOKUP($A162,'The List'!$B1:$AS671,5,FALSE)," ")</f>
        <v xml:space="preserve"> </v>
      </c>
      <c r="E162" s="18" t="str" cm="1">
        <f t="array" ref="E162">IFERROR(VLOOKUP($A162,'The List'!$B1:$AS671,6,FALSE)," ")</f>
        <v xml:space="preserve"> </v>
      </c>
      <c r="F162" s="92" t="str" cm="1">
        <f t="array" ref="F162">IFERROR(VLOOKUP($A162,'The List'!$B1:$AS671,8,FALSE)," ")</f>
        <v xml:space="preserve"> </v>
      </c>
      <c r="G162" s="92" t="str" cm="1">
        <f t="array" ref="G162">IFERROR(VLOOKUP($A162,'The List'!$B1:$AS671,10,FALSE)," ")</f>
        <v xml:space="preserve"> </v>
      </c>
      <c r="H162" s="55"/>
      <c r="I162" s="84" t="str" cm="1">
        <f t="array" ref="I162">IFERROR(VLOOKUP($A162,'The List'!$B1:$AS671,16,FALSE)," ")</f>
        <v xml:space="preserve"> </v>
      </c>
      <c r="J162" s="84" t="str" cm="1">
        <f t="array" ref="J162">IFERROR(VLOOKUP($A162,'The List'!$B1:$AS671,17,FALSE)," ")</f>
        <v xml:space="preserve"> </v>
      </c>
      <c r="K162" s="84" t="str" cm="1">
        <f t="array" ref="K162">IFERROR(VLOOKUP($A162,'The List'!$B1:$AS671,18,FALSE)," ")</f>
        <v xml:space="preserve"> </v>
      </c>
      <c r="L162" s="84" t="str" cm="1">
        <f t="array" ref="L162">IFERROR(VLOOKUP($A162,'The List'!$B1:$AS671,19,FALSE)," ")</f>
        <v xml:space="preserve"> </v>
      </c>
      <c r="M162" s="84" t="str" cm="1">
        <f t="array" ref="M162">IFERROR(VLOOKUP($A162,'The List'!$B1:$AS671,20,FALSE)," ")</f>
        <v xml:space="preserve"> </v>
      </c>
      <c r="N162" s="84" t="str" cm="1">
        <f t="array" ref="N162">IFERROR(VLOOKUP($A162,'The List'!$B1:$AS671,21,FALSE)," ")</f>
        <v xml:space="preserve"> </v>
      </c>
      <c r="O162" s="84" t="str" cm="1">
        <f t="array" ref="O162">IFERROR(VLOOKUP($A162,'The List'!$B1:$AS671,22,FALSE)," ")</f>
        <v xml:space="preserve"> </v>
      </c>
      <c r="P162" s="84" t="str" cm="1">
        <f t="array" ref="P162">IFERROR(VLOOKUP($A162,'The List'!$B1:$AS671,23,FALSE)," ")</f>
        <v xml:space="preserve"> </v>
      </c>
      <c r="Q162" s="84" t="str" cm="1">
        <f t="array" ref="Q162">IFERROR(VLOOKUP($A162,'The List'!$B1:$AS671,24,FALSE)," ")</f>
        <v xml:space="preserve"> </v>
      </c>
      <c r="R162" s="84" t="str" cm="1">
        <f t="array" ref="R162">IFERROR(VLOOKUP($A162,'The List'!$B1:$AS671,25,FALSE)," ")</f>
        <v xml:space="preserve"> </v>
      </c>
      <c r="S162" s="84" t="str" cm="1">
        <f t="array" ref="S162">IFERROR(VLOOKUP($A162,'The List'!$B1:$AS671,26,FALSE)," ")</f>
        <v xml:space="preserve"> </v>
      </c>
      <c r="T162" s="84" t="str" cm="1">
        <f t="array" ref="T162">IFERROR(VLOOKUP($A162,'The List'!$B1:$AS671,27,FALSE)," ")</f>
        <v xml:space="preserve"> </v>
      </c>
      <c r="U162" s="84" t="str" cm="1">
        <f t="array" ref="U162">IFERROR(VLOOKUP($A162,'The List'!$B1:$AS671,28,FALSE)," ")</f>
        <v xml:space="preserve"> </v>
      </c>
      <c r="V162" s="84" t="str" cm="1">
        <f t="array" ref="V162">IFERROR(VLOOKUP($A162,'The List'!$B1:$AS671,29,FALSE)," ")</f>
        <v xml:space="preserve"> </v>
      </c>
      <c r="W162" s="84" t="str" cm="1">
        <f t="array" ref="W162">IFERROR(VLOOKUP($A162,'The List'!$B1:$AS671,30,FALSE)," ")</f>
        <v xml:space="preserve"> </v>
      </c>
      <c r="X162" s="84" t="str" cm="1">
        <f t="array" ref="X162">IFERROR(VLOOKUP($A162,'The List'!$B1:$AS671,31,FALSE)," ")</f>
        <v xml:space="preserve"> </v>
      </c>
      <c r="Y162" s="84" t="str" cm="1">
        <f t="array" ref="Y162">IFERROR(VLOOKUP($A162,'The List'!$B1:$AS671,32,FALSE)," ")</f>
        <v xml:space="preserve"> </v>
      </c>
      <c r="Z162" s="84" t="str" cm="1">
        <f t="array" ref="Z162">IFERROR(VLOOKUP($A162,'The List'!$B1:$AS671,33,FALSE)," ")</f>
        <v xml:space="preserve"> </v>
      </c>
      <c r="AA162" s="85"/>
      <c r="AB162" s="90"/>
      <c r="AC162" s="90"/>
      <c r="AD162" s="90"/>
      <c r="AE162" s="90"/>
      <c r="AF162" s="90"/>
    </row>
    <row r="163" spans="1:32" ht="21.25" customHeight="1" x14ac:dyDescent="0.15">
      <c r="A163" s="24"/>
      <c r="B163" s="99" t="str" cm="1">
        <f t="array" ref="B163">IFERROR(VLOOKUP($A163,'The List'!$B1:$AS671,3,FALSE)," ")</f>
        <v xml:space="preserve"> </v>
      </c>
      <c r="C163" s="101" t="str" cm="1">
        <f t="array" ref="C163">IFERROR(VLOOKUP($A163,'The List'!$B1:$AS671,4,FALSE)," ")</f>
        <v xml:space="preserve"> </v>
      </c>
      <c r="D163" s="18" t="str" cm="1">
        <f t="array" ref="D163">IFERROR(VLOOKUP($A163,'The List'!$B1:$AS671,5,FALSE)," ")</f>
        <v xml:space="preserve"> </v>
      </c>
      <c r="E163" s="18" t="str" cm="1">
        <f t="array" ref="E163">IFERROR(VLOOKUP($A163,'The List'!$B1:$AS671,6,FALSE)," ")</f>
        <v xml:space="preserve"> </v>
      </c>
      <c r="F163" s="92" t="str" cm="1">
        <f t="array" ref="F163">IFERROR(VLOOKUP($A163,'The List'!$B1:$AS671,8,FALSE)," ")</f>
        <v xml:space="preserve"> </v>
      </c>
      <c r="G163" s="92" t="str" cm="1">
        <f t="array" ref="G163">IFERROR(VLOOKUP($A163,'The List'!$B1:$AS671,10,FALSE)," ")</f>
        <v xml:space="preserve"> </v>
      </c>
      <c r="H163" s="55"/>
      <c r="I163" s="84" t="str" cm="1">
        <f t="array" ref="I163">IFERROR(VLOOKUP($A163,'The List'!$B1:$AS671,16,FALSE)," ")</f>
        <v xml:space="preserve"> </v>
      </c>
      <c r="J163" s="84" t="str" cm="1">
        <f t="array" ref="J163">IFERROR(VLOOKUP($A163,'The List'!$B1:$AS671,17,FALSE)," ")</f>
        <v xml:space="preserve"> </v>
      </c>
      <c r="K163" s="84" t="str" cm="1">
        <f t="array" ref="K163">IFERROR(VLOOKUP($A163,'The List'!$B1:$AS671,18,FALSE)," ")</f>
        <v xml:space="preserve"> </v>
      </c>
      <c r="L163" s="84" t="str" cm="1">
        <f t="array" ref="L163">IFERROR(VLOOKUP($A163,'The List'!$B1:$AS671,19,FALSE)," ")</f>
        <v xml:space="preserve"> </v>
      </c>
      <c r="M163" s="84" t="str" cm="1">
        <f t="array" ref="M163">IFERROR(VLOOKUP($A163,'The List'!$B1:$AS671,20,FALSE)," ")</f>
        <v xml:space="preserve"> </v>
      </c>
      <c r="N163" s="84" t="str" cm="1">
        <f t="array" ref="N163">IFERROR(VLOOKUP($A163,'The List'!$B1:$AS671,21,FALSE)," ")</f>
        <v xml:space="preserve"> </v>
      </c>
      <c r="O163" s="84" t="str" cm="1">
        <f t="array" ref="O163">IFERROR(VLOOKUP($A163,'The List'!$B1:$AS671,22,FALSE)," ")</f>
        <v xml:space="preserve"> </v>
      </c>
      <c r="P163" s="84" t="str" cm="1">
        <f t="array" ref="P163">IFERROR(VLOOKUP($A163,'The List'!$B1:$AS671,23,FALSE)," ")</f>
        <v xml:space="preserve"> </v>
      </c>
      <c r="Q163" s="84" t="str" cm="1">
        <f t="array" ref="Q163">IFERROR(VLOOKUP($A163,'The List'!$B1:$AS671,24,FALSE)," ")</f>
        <v xml:space="preserve"> </v>
      </c>
      <c r="R163" s="84" t="str" cm="1">
        <f t="array" ref="R163">IFERROR(VLOOKUP($A163,'The List'!$B1:$AS671,25,FALSE)," ")</f>
        <v xml:space="preserve"> </v>
      </c>
      <c r="S163" s="84" t="str" cm="1">
        <f t="array" ref="S163">IFERROR(VLOOKUP($A163,'The List'!$B1:$AS671,26,FALSE)," ")</f>
        <v xml:space="preserve"> </v>
      </c>
      <c r="T163" s="84" t="str" cm="1">
        <f t="array" ref="T163">IFERROR(VLOOKUP($A163,'The List'!$B1:$AS671,27,FALSE)," ")</f>
        <v xml:space="preserve"> </v>
      </c>
      <c r="U163" s="84" t="str" cm="1">
        <f t="array" ref="U163">IFERROR(VLOOKUP($A163,'The List'!$B1:$AS671,28,FALSE)," ")</f>
        <v xml:space="preserve"> </v>
      </c>
      <c r="V163" s="84" t="str" cm="1">
        <f t="array" ref="V163">IFERROR(VLOOKUP($A163,'The List'!$B1:$AS671,29,FALSE)," ")</f>
        <v xml:space="preserve"> </v>
      </c>
      <c r="W163" s="84" t="str" cm="1">
        <f t="array" ref="W163">IFERROR(VLOOKUP($A163,'The List'!$B1:$AS671,30,FALSE)," ")</f>
        <v xml:space="preserve"> </v>
      </c>
      <c r="X163" s="84" t="str" cm="1">
        <f t="array" ref="X163">IFERROR(VLOOKUP($A163,'The List'!$B1:$AS671,31,FALSE)," ")</f>
        <v xml:space="preserve"> </v>
      </c>
      <c r="Y163" s="84" t="str" cm="1">
        <f t="array" ref="Y163">IFERROR(VLOOKUP($A163,'The List'!$B1:$AS671,32,FALSE)," ")</f>
        <v xml:space="preserve"> </v>
      </c>
      <c r="Z163" s="84" t="str" cm="1">
        <f t="array" ref="Z163">IFERROR(VLOOKUP($A163,'The List'!$B1:$AS671,33,FALSE)," ")</f>
        <v xml:space="preserve"> </v>
      </c>
      <c r="AA163" s="85"/>
      <c r="AB163" s="90"/>
      <c r="AC163" s="90"/>
      <c r="AD163" s="90"/>
      <c r="AE163" s="90"/>
      <c r="AF163" s="90"/>
    </row>
    <row r="164" spans="1:32" ht="21.25" customHeight="1" x14ac:dyDescent="0.15">
      <c r="A164" s="24"/>
      <c r="B164" s="99" t="str" cm="1">
        <f t="array" ref="B164">IFERROR(VLOOKUP($A164,'The List'!$B1:$AS671,3,FALSE)," ")</f>
        <v xml:space="preserve"> </v>
      </c>
      <c r="C164" s="101" t="str" cm="1">
        <f t="array" ref="C164">IFERROR(VLOOKUP($A164,'The List'!$B1:$AS671,4,FALSE)," ")</f>
        <v xml:space="preserve"> </v>
      </c>
      <c r="D164" s="18" t="str" cm="1">
        <f t="array" ref="D164">IFERROR(VLOOKUP($A164,'The List'!$B1:$AS671,5,FALSE)," ")</f>
        <v xml:space="preserve"> </v>
      </c>
      <c r="E164" s="18" t="str" cm="1">
        <f t="array" ref="E164">IFERROR(VLOOKUP($A164,'The List'!$B1:$AS671,6,FALSE)," ")</f>
        <v xml:space="preserve"> </v>
      </c>
      <c r="F164" s="92" t="str" cm="1">
        <f t="array" ref="F164">IFERROR(VLOOKUP($A164,'The List'!$B1:$AS671,8,FALSE)," ")</f>
        <v xml:space="preserve"> </v>
      </c>
      <c r="G164" s="92" t="str" cm="1">
        <f t="array" ref="G164">IFERROR(VLOOKUP($A164,'The List'!$B1:$AS671,10,FALSE)," ")</f>
        <v xml:space="preserve"> </v>
      </c>
      <c r="H164" s="55"/>
      <c r="I164" s="84" t="str" cm="1">
        <f t="array" ref="I164">IFERROR(VLOOKUP($A164,'The List'!$B1:$AS671,16,FALSE)," ")</f>
        <v xml:space="preserve"> </v>
      </c>
      <c r="J164" s="84" t="str" cm="1">
        <f t="array" ref="J164">IFERROR(VLOOKUP($A164,'The List'!$B1:$AS671,17,FALSE)," ")</f>
        <v xml:space="preserve"> </v>
      </c>
      <c r="K164" s="84" t="str" cm="1">
        <f t="array" ref="K164">IFERROR(VLOOKUP($A164,'The List'!$B1:$AS671,18,FALSE)," ")</f>
        <v xml:space="preserve"> </v>
      </c>
      <c r="L164" s="84" t="str" cm="1">
        <f t="array" ref="L164">IFERROR(VLOOKUP($A164,'The List'!$B1:$AS671,19,FALSE)," ")</f>
        <v xml:space="preserve"> </v>
      </c>
      <c r="M164" s="84" t="str" cm="1">
        <f t="array" ref="M164">IFERROR(VLOOKUP($A164,'The List'!$B1:$AS671,20,FALSE)," ")</f>
        <v xml:space="preserve"> </v>
      </c>
      <c r="N164" s="84" t="str" cm="1">
        <f t="array" ref="N164">IFERROR(VLOOKUP($A164,'The List'!$B1:$AS671,21,FALSE)," ")</f>
        <v xml:space="preserve"> </v>
      </c>
      <c r="O164" s="84" t="str" cm="1">
        <f t="array" ref="O164">IFERROR(VLOOKUP($A164,'The List'!$B1:$AS671,22,FALSE)," ")</f>
        <v xml:space="preserve"> </v>
      </c>
      <c r="P164" s="84" t="str" cm="1">
        <f t="array" ref="P164">IFERROR(VLOOKUP($A164,'The List'!$B1:$AS671,23,FALSE)," ")</f>
        <v xml:space="preserve"> </v>
      </c>
      <c r="Q164" s="84" t="str" cm="1">
        <f t="array" ref="Q164">IFERROR(VLOOKUP($A164,'The List'!$B1:$AS671,24,FALSE)," ")</f>
        <v xml:space="preserve"> </v>
      </c>
      <c r="R164" s="84" t="str" cm="1">
        <f t="array" ref="R164">IFERROR(VLOOKUP($A164,'The List'!$B1:$AS671,25,FALSE)," ")</f>
        <v xml:space="preserve"> </v>
      </c>
      <c r="S164" s="84" t="str" cm="1">
        <f t="array" ref="S164">IFERROR(VLOOKUP($A164,'The List'!$B1:$AS671,26,FALSE)," ")</f>
        <v xml:space="preserve"> </v>
      </c>
      <c r="T164" s="84" t="str" cm="1">
        <f t="array" ref="T164">IFERROR(VLOOKUP($A164,'The List'!$B1:$AS671,27,FALSE)," ")</f>
        <v xml:space="preserve"> </v>
      </c>
      <c r="U164" s="84" t="str" cm="1">
        <f t="array" ref="U164">IFERROR(VLOOKUP($A164,'The List'!$B1:$AS671,28,FALSE)," ")</f>
        <v xml:space="preserve"> </v>
      </c>
      <c r="V164" s="84" t="str" cm="1">
        <f t="array" ref="V164">IFERROR(VLOOKUP($A164,'The List'!$B1:$AS671,29,FALSE)," ")</f>
        <v xml:space="preserve"> </v>
      </c>
      <c r="W164" s="84" t="str" cm="1">
        <f t="array" ref="W164">IFERROR(VLOOKUP($A164,'The List'!$B1:$AS671,30,FALSE)," ")</f>
        <v xml:space="preserve"> </v>
      </c>
      <c r="X164" s="84" t="str" cm="1">
        <f t="array" ref="X164">IFERROR(VLOOKUP($A164,'The List'!$B1:$AS671,31,FALSE)," ")</f>
        <v xml:space="preserve"> </v>
      </c>
      <c r="Y164" s="84" t="str" cm="1">
        <f t="array" ref="Y164">IFERROR(VLOOKUP($A164,'The List'!$B1:$AS671,32,FALSE)," ")</f>
        <v xml:space="preserve"> </v>
      </c>
      <c r="Z164" s="84" t="str" cm="1">
        <f t="array" ref="Z164">IFERROR(VLOOKUP($A164,'The List'!$B1:$AS671,33,FALSE)," ")</f>
        <v xml:space="preserve"> </v>
      </c>
      <c r="AA164" s="85"/>
      <c r="AB164" s="90"/>
      <c r="AC164" s="90"/>
      <c r="AD164" s="90"/>
      <c r="AE164" s="90"/>
      <c r="AF164" s="90"/>
    </row>
    <row r="165" spans="1:32" ht="21.25" customHeight="1" x14ac:dyDescent="0.15">
      <c r="A165" s="24"/>
      <c r="B165" s="99" t="str" cm="1">
        <f t="array" ref="B165">IFERROR(VLOOKUP($A165,'The List'!$B1:$AS671,3,FALSE)," ")</f>
        <v xml:space="preserve"> </v>
      </c>
      <c r="C165" s="101" t="str" cm="1">
        <f t="array" ref="C165">IFERROR(VLOOKUP($A165,'The List'!$B1:$AS671,4,FALSE)," ")</f>
        <v xml:space="preserve"> </v>
      </c>
      <c r="D165" s="18" t="str" cm="1">
        <f t="array" ref="D165">IFERROR(VLOOKUP($A165,'The List'!$B1:$AS671,5,FALSE)," ")</f>
        <v xml:space="preserve"> </v>
      </c>
      <c r="E165" s="18" t="str" cm="1">
        <f t="array" ref="E165">IFERROR(VLOOKUP($A165,'The List'!$B1:$AS671,6,FALSE)," ")</f>
        <v xml:space="preserve"> </v>
      </c>
      <c r="F165" s="92" t="str" cm="1">
        <f t="array" ref="F165">IFERROR(VLOOKUP($A165,'The List'!$B1:$AS671,8,FALSE)," ")</f>
        <v xml:space="preserve"> </v>
      </c>
      <c r="G165" s="92" t="str" cm="1">
        <f t="array" ref="G165">IFERROR(VLOOKUP($A165,'The List'!$B1:$AS671,10,FALSE)," ")</f>
        <v xml:space="preserve"> </v>
      </c>
      <c r="H165" s="55"/>
      <c r="I165" s="84" t="str" cm="1">
        <f t="array" ref="I165">IFERROR(VLOOKUP($A165,'The List'!$B1:$AS671,16,FALSE)," ")</f>
        <v xml:space="preserve"> </v>
      </c>
      <c r="J165" s="84" t="str" cm="1">
        <f t="array" ref="J165">IFERROR(VLOOKUP($A165,'The List'!$B1:$AS671,17,FALSE)," ")</f>
        <v xml:space="preserve"> </v>
      </c>
      <c r="K165" s="84" t="str" cm="1">
        <f t="array" ref="K165">IFERROR(VLOOKUP($A165,'The List'!$B1:$AS671,18,FALSE)," ")</f>
        <v xml:space="preserve"> </v>
      </c>
      <c r="L165" s="84" t="str" cm="1">
        <f t="array" ref="L165">IFERROR(VLOOKUP($A165,'The List'!$B1:$AS671,19,FALSE)," ")</f>
        <v xml:space="preserve"> </v>
      </c>
      <c r="M165" s="84" t="str" cm="1">
        <f t="array" ref="M165">IFERROR(VLOOKUP($A165,'The List'!$B1:$AS671,20,FALSE)," ")</f>
        <v xml:space="preserve"> </v>
      </c>
      <c r="N165" s="84" t="str" cm="1">
        <f t="array" ref="N165">IFERROR(VLOOKUP($A165,'The List'!$B1:$AS671,21,FALSE)," ")</f>
        <v xml:space="preserve"> </v>
      </c>
      <c r="O165" s="84" t="str" cm="1">
        <f t="array" ref="O165">IFERROR(VLOOKUP($A165,'The List'!$B1:$AS671,22,FALSE)," ")</f>
        <v xml:space="preserve"> </v>
      </c>
      <c r="P165" s="84" t="str" cm="1">
        <f t="array" ref="P165">IFERROR(VLOOKUP($A165,'The List'!$B1:$AS671,23,FALSE)," ")</f>
        <v xml:space="preserve"> </v>
      </c>
      <c r="Q165" s="84" t="str" cm="1">
        <f t="array" ref="Q165">IFERROR(VLOOKUP($A165,'The List'!$B1:$AS671,24,FALSE)," ")</f>
        <v xml:space="preserve"> </v>
      </c>
      <c r="R165" s="84" t="str" cm="1">
        <f t="array" ref="R165">IFERROR(VLOOKUP($A165,'The List'!$B1:$AS671,25,FALSE)," ")</f>
        <v xml:space="preserve"> </v>
      </c>
      <c r="S165" s="84" t="str" cm="1">
        <f t="array" ref="S165">IFERROR(VLOOKUP($A165,'The List'!$B1:$AS671,26,FALSE)," ")</f>
        <v xml:space="preserve"> </v>
      </c>
      <c r="T165" s="84" t="str" cm="1">
        <f t="array" ref="T165">IFERROR(VLOOKUP($A165,'The List'!$B1:$AS671,27,FALSE)," ")</f>
        <v xml:space="preserve"> </v>
      </c>
      <c r="U165" s="84" t="str" cm="1">
        <f t="array" ref="U165">IFERROR(VLOOKUP($A165,'The List'!$B1:$AS671,28,FALSE)," ")</f>
        <v xml:space="preserve"> </v>
      </c>
      <c r="V165" s="84" t="str" cm="1">
        <f t="array" ref="V165">IFERROR(VLOOKUP($A165,'The List'!$B1:$AS671,29,FALSE)," ")</f>
        <v xml:space="preserve"> </v>
      </c>
      <c r="W165" s="84" t="str" cm="1">
        <f t="array" ref="W165">IFERROR(VLOOKUP($A165,'The List'!$B1:$AS671,30,FALSE)," ")</f>
        <v xml:space="preserve"> </v>
      </c>
      <c r="X165" s="84" t="str" cm="1">
        <f t="array" ref="X165">IFERROR(VLOOKUP($A165,'The List'!$B1:$AS671,31,FALSE)," ")</f>
        <v xml:space="preserve"> </v>
      </c>
      <c r="Y165" s="84" t="str" cm="1">
        <f t="array" ref="Y165">IFERROR(VLOOKUP($A165,'The List'!$B1:$AS671,32,FALSE)," ")</f>
        <v xml:space="preserve"> </v>
      </c>
      <c r="Z165" s="84" t="str" cm="1">
        <f t="array" ref="Z165">IFERROR(VLOOKUP($A165,'The List'!$B1:$AS671,33,FALSE)," ")</f>
        <v xml:space="preserve"> </v>
      </c>
      <c r="AA165" s="85"/>
      <c r="AB165" s="90"/>
      <c r="AC165" s="90"/>
      <c r="AD165" s="90"/>
      <c r="AE165" s="90"/>
      <c r="AF165" s="90"/>
    </row>
    <row r="166" spans="1:32" ht="21.25" customHeight="1" x14ac:dyDescent="0.15">
      <c r="A166" s="103"/>
      <c r="B166" s="104" t="str" cm="1">
        <f t="array" ref="B166">IFERROR(VLOOKUP($A166,'The List'!$B1:$AS671,3,FALSE)," ")</f>
        <v xml:space="preserve"> </v>
      </c>
      <c r="C166" s="105" t="str" cm="1">
        <f t="array" ref="C166">IFERROR(VLOOKUP($A166,'The List'!$B1:$AS671,4,FALSE)," ")</f>
        <v xml:space="preserve"> </v>
      </c>
      <c r="D166" s="106" t="str" cm="1">
        <f t="array" ref="D166">IFERROR(VLOOKUP($A166,'The List'!$B1:$AS671,5,FALSE)," ")</f>
        <v xml:space="preserve"> </v>
      </c>
      <c r="E166" s="106" t="str" cm="1">
        <f t="array" ref="E166">IFERROR(VLOOKUP($A166,'The List'!$B1:$AS671,6,FALSE)," ")</f>
        <v xml:space="preserve"> </v>
      </c>
      <c r="F166" s="107" t="str" cm="1">
        <f t="array" ref="F166">IFERROR(VLOOKUP($A166,'The List'!$B1:$AS671,8,FALSE)," ")</f>
        <v xml:space="preserve"> </v>
      </c>
      <c r="G166" s="107" t="str" cm="1">
        <f t="array" ref="G166">IFERROR(VLOOKUP($A166,'The List'!$B1:$AS671,10,FALSE)," ")</f>
        <v xml:space="preserve"> </v>
      </c>
      <c r="H166" s="108"/>
      <c r="I166" s="109" t="str" cm="1">
        <f t="array" ref="I166">IFERROR(VLOOKUP($A166,'The List'!$B1:$AS671,16,FALSE)," ")</f>
        <v xml:space="preserve"> </v>
      </c>
      <c r="J166" s="109" t="str" cm="1">
        <f t="array" ref="J166">IFERROR(VLOOKUP($A166,'The List'!$B1:$AS671,17,FALSE)," ")</f>
        <v xml:space="preserve"> </v>
      </c>
      <c r="K166" s="109" t="str" cm="1">
        <f t="array" ref="K166">IFERROR(VLOOKUP($A166,'The List'!$B1:$AS671,18,FALSE)," ")</f>
        <v xml:space="preserve"> </v>
      </c>
      <c r="L166" s="109" t="str" cm="1">
        <f t="array" ref="L166">IFERROR(VLOOKUP($A166,'The List'!$B1:$AS671,19,FALSE)," ")</f>
        <v xml:space="preserve"> </v>
      </c>
      <c r="M166" s="109" t="str" cm="1">
        <f t="array" ref="M166">IFERROR(VLOOKUP($A166,'The List'!$B1:$AS671,20,FALSE)," ")</f>
        <v xml:space="preserve"> </v>
      </c>
      <c r="N166" s="109" t="str" cm="1">
        <f t="array" ref="N166">IFERROR(VLOOKUP($A166,'The List'!$B1:$AS671,21,FALSE)," ")</f>
        <v xml:space="preserve"> </v>
      </c>
      <c r="O166" s="109" t="str" cm="1">
        <f t="array" ref="O166">IFERROR(VLOOKUP($A166,'The List'!$B1:$AS671,22,FALSE)," ")</f>
        <v xml:space="preserve"> </v>
      </c>
      <c r="P166" s="109" t="str" cm="1">
        <f t="array" ref="P166">IFERROR(VLOOKUP($A166,'The List'!$B1:$AS671,23,FALSE)," ")</f>
        <v xml:space="preserve"> </v>
      </c>
      <c r="Q166" s="109" t="str" cm="1">
        <f t="array" ref="Q166">IFERROR(VLOOKUP($A166,'The List'!$B1:$AS671,24,FALSE)," ")</f>
        <v xml:space="preserve"> </v>
      </c>
      <c r="R166" s="109" t="str" cm="1">
        <f t="array" ref="R166">IFERROR(VLOOKUP($A166,'The List'!$B1:$AS671,25,FALSE)," ")</f>
        <v xml:space="preserve"> </v>
      </c>
      <c r="S166" s="109" t="str" cm="1">
        <f t="array" ref="S166">IFERROR(VLOOKUP($A166,'The List'!$B1:$AS671,26,FALSE)," ")</f>
        <v xml:space="preserve"> </v>
      </c>
      <c r="T166" s="109" t="str" cm="1">
        <f t="array" ref="T166">IFERROR(VLOOKUP($A166,'The List'!$B1:$AS671,27,FALSE)," ")</f>
        <v xml:space="preserve"> </v>
      </c>
      <c r="U166" s="109" t="str" cm="1">
        <f t="array" ref="U166">IFERROR(VLOOKUP($A166,'The List'!$B1:$AS671,28,FALSE)," ")</f>
        <v xml:space="preserve"> </v>
      </c>
      <c r="V166" s="109" t="str" cm="1">
        <f t="array" ref="V166">IFERROR(VLOOKUP($A166,'The List'!$B1:$AS671,29,FALSE)," ")</f>
        <v xml:space="preserve"> </v>
      </c>
      <c r="W166" s="109" t="str" cm="1">
        <f t="array" ref="W166">IFERROR(VLOOKUP($A166,'The List'!$B1:$AS671,30,FALSE)," ")</f>
        <v xml:space="preserve"> </v>
      </c>
      <c r="X166" s="109" t="str" cm="1">
        <f t="array" ref="X166">IFERROR(VLOOKUP($A166,'The List'!$B1:$AS671,31,FALSE)," ")</f>
        <v xml:space="preserve"> </v>
      </c>
      <c r="Y166" s="109" t="str" cm="1">
        <f t="array" ref="Y166">IFERROR(VLOOKUP($A166,'The List'!$B1:$AS671,32,FALSE)," ")</f>
        <v xml:space="preserve"> </v>
      </c>
      <c r="Z166" s="109" t="str" cm="1">
        <f t="array" ref="Z166">IFERROR(VLOOKUP($A166,'The List'!$B1:$AS671,33,FALSE)," ")</f>
        <v xml:space="preserve"> </v>
      </c>
      <c r="AA166" s="85"/>
      <c r="AB166" s="90"/>
      <c r="AC166" s="90"/>
      <c r="AD166" s="90"/>
      <c r="AE166" s="90"/>
      <c r="AF166" s="90"/>
    </row>
    <row r="167" spans="1:32" ht="21.25" customHeight="1" x14ac:dyDescent="0.15">
      <c r="A167" s="110"/>
      <c r="B167" s="111"/>
      <c r="C167" s="112"/>
      <c r="D167" s="113"/>
      <c r="E167" s="113" t="str" cm="1">
        <f t="array" ref="E167">IFERROR(AVERAGE(E147:E166)," ")</f>
        <v xml:space="preserve"> </v>
      </c>
      <c r="F167" s="115" cm="1">
        <f t="array" ref="F167">SUM(F147:F166)</f>
        <v>0</v>
      </c>
      <c r="G167" s="115" cm="1">
        <f t="array" ref="G167">SUM(G147:G166)</f>
        <v>0</v>
      </c>
      <c r="H167" s="116"/>
      <c r="I167" s="117" cm="1">
        <f t="array" ref="I167">SUM(I147:I166)</f>
        <v>0</v>
      </c>
      <c r="J167" s="116" t="e" cm="1">
        <f t="array" ref="J167">AVERAGE(J147:J166)</f>
        <v>#DIV/0!</v>
      </c>
      <c r="K167" s="117" cm="1">
        <f t="array" ref="K167">SUM(K147:K166)</f>
        <v>0</v>
      </c>
      <c r="L167" s="117" cm="1">
        <f t="array" ref="L167">SUM(L147:L166)</f>
        <v>0</v>
      </c>
      <c r="M167" s="117" cm="1">
        <f t="array" ref="M167">SUM(M147:M166)</f>
        <v>0</v>
      </c>
      <c r="N167" s="117" cm="1">
        <f t="array" ref="N167">SUM(N147:N166)</f>
        <v>0</v>
      </c>
      <c r="O167" s="117" cm="1">
        <f t="array" ref="O167">SUM(O147:O166)</f>
        <v>0</v>
      </c>
      <c r="P167" s="117" cm="1">
        <f t="array" ref="P167">SUM(P147:P166)</f>
        <v>0</v>
      </c>
      <c r="Q167" s="117" cm="1">
        <f t="array" ref="Q167">SUM(Q147:Q166)</f>
        <v>0</v>
      </c>
      <c r="R167" s="117" cm="1">
        <f t="array" ref="R167">SUM(R147:R166)</f>
        <v>0</v>
      </c>
      <c r="S167" s="117" cm="1">
        <f t="array" ref="S167">SUM(S147:S166)</f>
        <v>0</v>
      </c>
      <c r="T167" s="117" cm="1">
        <f t="array" ref="T167">SUM(T147:T166)</f>
        <v>0</v>
      </c>
      <c r="U167" s="117" cm="1">
        <f t="array" ref="U167">SUM(U147:U166)</f>
        <v>0</v>
      </c>
      <c r="V167" s="117" cm="1">
        <f t="array" ref="V167">SUM(V147:V166)</f>
        <v>0</v>
      </c>
      <c r="W167" s="117" cm="1">
        <f t="array" ref="W167">SUM(W147:W166)</f>
        <v>0</v>
      </c>
      <c r="X167" s="117" cm="1">
        <f t="array" ref="X167">SUM(X147:X166)</f>
        <v>0</v>
      </c>
      <c r="Y167" s="117" cm="1">
        <f t="array" ref="Y167">SUM(Y147:Y166)</f>
        <v>0</v>
      </c>
      <c r="Z167" s="118" cm="1">
        <f t="array" ref="Z167">IFERROR(X167/(X167+Y167),0)</f>
        <v>0</v>
      </c>
      <c r="AA167" s="85"/>
      <c r="AB167" s="119"/>
      <c r="AC167" s="119"/>
      <c r="AD167" s="119"/>
      <c r="AE167" s="119"/>
      <c r="AF167" s="119"/>
    </row>
    <row r="168" spans="1:32" ht="21.25" customHeight="1" x14ac:dyDescent="0.15">
      <c r="A168" s="37"/>
      <c r="B168" s="120"/>
      <c r="C168" s="121"/>
      <c r="D168" s="13"/>
      <c r="E168" s="13"/>
      <c r="F168" s="122"/>
      <c r="G168" s="123"/>
      <c r="H168" s="124"/>
      <c r="I168" s="12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90"/>
      <c r="AC168" s="90"/>
      <c r="AD168" s="90"/>
      <c r="AE168" s="90"/>
      <c r="AF168" s="90"/>
    </row>
    <row r="169" spans="1:32" ht="21.25" customHeight="1" x14ac:dyDescent="0.15">
      <c r="A169" s="40" t="s">
        <v>90</v>
      </c>
      <c r="B169" s="204" t="s">
        <v>92</v>
      </c>
      <c r="C169" s="194"/>
      <c r="D169" s="126" t="s">
        <v>93</v>
      </c>
      <c r="E169" s="126" t="s">
        <v>94</v>
      </c>
      <c r="F169" s="127" t="s">
        <v>96</v>
      </c>
      <c r="G169" s="127" t="s">
        <v>98</v>
      </c>
      <c r="H169" s="128"/>
      <c r="I169" s="129" t="s">
        <v>103</v>
      </c>
      <c r="J169" s="129" t="s">
        <v>118</v>
      </c>
      <c r="K169" s="129" t="s">
        <v>119</v>
      </c>
      <c r="L169" s="129" t="s">
        <v>120</v>
      </c>
      <c r="M169" s="129" t="s">
        <v>121</v>
      </c>
      <c r="N169" s="129" t="s">
        <v>122</v>
      </c>
      <c r="O169" s="129" t="s">
        <v>123</v>
      </c>
      <c r="P169" s="129" t="s">
        <v>124</v>
      </c>
      <c r="Q169" s="129" t="s">
        <v>125</v>
      </c>
      <c r="R169" s="85"/>
      <c r="S169" s="85"/>
      <c r="T169" s="85"/>
      <c r="U169" s="204" t="s">
        <v>814</v>
      </c>
      <c r="V169" s="205"/>
      <c r="W169" s="205"/>
      <c r="X169" s="204" t="s">
        <v>815</v>
      </c>
      <c r="Y169" s="205"/>
      <c r="Z169" s="205"/>
      <c r="AA169" s="85"/>
      <c r="AB169" s="85"/>
      <c r="AC169" s="85"/>
      <c r="AD169" s="85"/>
      <c r="AE169" s="85"/>
      <c r="AF169" s="85"/>
    </row>
    <row r="170" spans="1:32" ht="21.25" customHeight="1" x14ac:dyDescent="0.15">
      <c r="A170" s="146"/>
      <c r="B170" s="131" t="str" cm="1">
        <f t="array" ref="B170">IFERROR(VLOOKUP($A170,'The List'!$B1:$AS671,3,FALSE)," ")</f>
        <v xml:space="preserve"> </v>
      </c>
      <c r="C170" s="147" t="str" cm="1">
        <f t="array" ref="C170">IFERROR(VLOOKUP($A170,'The List'!$B1:$AS671,4,FALSE)," ")</f>
        <v xml:space="preserve"> </v>
      </c>
      <c r="D170" s="133" t="str" cm="1">
        <f t="array" ref="D170">IFERROR(VLOOKUP($A170,'The List'!$B1:$AS671,5,FALSE)," ")</f>
        <v xml:space="preserve"> </v>
      </c>
      <c r="E170" s="133" t="str" cm="1">
        <f t="array" ref="E170">IFERROR(VLOOKUP($A170,'The List'!$B1:$AS671,6,FALSE)," ")</f>
        <v xml:space="preserve"> </v>
      </c>
      <c r="F170" s="148" t="str" cm="1">
        <f t="array" ref="F170">IFERROR(VLOOKUP($A170,'The List'!$B1:$AS671,8,FALSE)," ")</f>
        <v xml:space="preserve"> </v>
      </c>
      <c r="G170" s="148" t="str" cm="1">
        <f t="array" ref="G170">IFERROR(VLOOKUP($A170,'The List'!$B1:$AS671,10,FALSE)," ")</f>
        <v xml:space="preserve"> </v>
      </c>
      <c r="H170" s="82"/>
      <c r="I170" s="149" t="str" cm="1">
        <f t="array" ref="I170">IFERROR(VLOOKUP($A170,'The List'!$B1:$AS671,35,FALSE)," ")</f>
        <v xml:space="preserve"> </v>
      </c>
      <c r="J170" s="149" t="str" cm="1">
        <f t="array" ref="J170">IFERROR(VLOOKUP($A170,'The List'!$B1:$AS671,36,FALSE)," ")</f>
        <v xml:space="preserve"> </v>
      </c>
      <c r="K170" s="149" t="str" cm="1">
        <f t="array" ref="K170">IFERROR(VLOOKUP($A170,'The List'!$B1:$AS671,37,FALSE)," ")</f>
        <v xml:space="preserve"> </v>
      </c>
      <c r="L170" s="149" t="str" cm="1">
        <f t="array" ref="L170">IFERROR(VLOOKUP($A170,'The List'!$B1:$AS671,38,FALSE)," ")</f>
        <v xml:space="preserve"> </v>
      </c>
      <c r="M170" s="149" t="str" cm="1">
        <f t="array" ref="M170">IFERROR(VLOOKUP($A170,'The List'!$B1:$AS671,39,FALSE)," ")</f>
        <v xml:space="preserve"> </v>
      </c>
      <c r="N170" s="149" t="str" cm="1">
        <f t="array" ref="N170">IFERROR(VLOOKUP($A170,'The List'!$B1:$AS671,40,FALSE)," ")</f>
        <v xml:space="preserve"> </v>
      </c>
      <c r="O170" s="149" t="str" cm="1">
        <f t="array" ref="O170">IFERROR(VLOOKUP($A170,'The List'!$B1:$AS671,41,FALSE)," ")</f>
        <v xml:space="preserve"> </v>
      </c>
      <c r="P170" s="149" t="str" cm="1">
        <f t="array" ref="P170">IFERROR(VLOOKUP($A170,'The List'!$B1:$AS671,42,FALSE)," ")</f>
        <v xml:space="preserve"> </v>
      </c>
      <c r="Q170" s="149" t="str" cm="1">
        <f t="array" ref="Q170">IFERROR(VLOOKUP($A170,'The List'!$B1:$AS671,43,FALSE)," ")</f>
        <v xml:space="preserve"> </v>
      </c>
      <c r="R170" s="85"/>
      <c r="S170" s="85"/>
      <c r="T170" s="139" t="str" cm="1">
        <f t="array" ref="T170">A146</f>
        <v>TEAM 6</v>
      </c>
      <c r="U170" s="206" cm="1">
        <f t="array" ref="U170">F167+F173</f>
        <v>0</v>
      </c>
      <c r="V170" s="194"/>
      <c r="W170" s="194"/>
      <c r="X170" s="206" cm="1">
        <f t="array" ref="X170">G173+G167</f>
        <v>0</v>
      </c>
      <c r="Y170" s="194"/>
      <c r="Z170" s="194"/>
      <c r="AA170" s="85"/>
      <c r="AB170" s="85"/>
      <c r="AC170" s="85"/>
      <c r="AD170" s="85"/>
      <c r="AE170" s="85"/>
      <c r="AF170" s="85"/>
    </row>
    <row r="171" spans="1:32" ht="21.25" customHeight="1" x14ac:dyDescent="0.15">
      <c r="A171" s="24"/>
      <c r="B171" s="140" t="str" cm="1">
        <f t="array" ref="B171">IFERROR(VLOOKUP($A171,'The List'!$B1:$AS671,3,FALSE)," ")</f>
        <v xml:space="preserve"> </v>
      </c>
      <c r="C171" s="141" t="str" cm="1">
        <f t="array" ref="C171">IFERROR(VLOOKUP($A171,'The List'!$B1:$AS671,4,FALSE)," ")</f>
        <v xml:space="preserve"> </v>
      </c>
      <c r="D171" s="18" t="str" cm="1">
        <f t="array" ref="D171">IFERROR(VLOOKUP($A171,'The List'!$B1:$AS671,5,FALSE)," ")</f>
        <v xml:space="preserve"> </v>
      </c>
      <c r="E171" s="18" t="str" cm="1">
        <f t="array" ref="E171">IFERROR(VLOOKUP($A171,'The List'!$B1:$AS671,6,FALSE)," ")</f>
        <v xml:space="preserve"> </v>
      </c>
      <c r="F171" s="92" t="str" cm="1">
        <f t="array" ref="F171">IFERROR(VLOOKUP($A171,'The List'!$B1:$AS671,8,FALSE)," ")</f>
        <v xml:space="preserve"> </v>
      </c>
      <c r="G171" s="92" t="str" cm="1">
        <f t="array" ref="G171">IFERROR(VLOOKUP($A171,'The List'!$B1:$AS671,10,FALSE)," ")</f>
        <v xml:space="preserve"> </v>
      </c>
      <c r="H171" s="55"/>
      <c r="I171" s="84" t="str" cm="1">
        <f t="array" ref="I171">IFERROR(VLOOKUP($A171,'The List'!$B1:$AS671,35,FALSE)," ")</f>
        <v xml:space="preserve"> </v>
      </c>
      <c r="J171" s="84" t="str" cm="1">
        <f t="array" ref="J171">IFERROR(VLOOKUP($A171,'The List'!$B1:$AS671,36,FALSE)," ")</f>
        <v xml:space="preserve"> </v>
      </c>
      <c r="K171" s="84" t="str" cm="1">
        <f t="array" ref="K171">IFERROR(VLOOKUP($A171,'The List'!$B1:$AS671,37,FALSE)," ")</f>
        <v xml:space="preserve"> </v>
      </c>
      <c r="L171" s="84" t="str" cm="1">
        <f t="array" ref="L171">IFERROR(VLOOKUP($A171,'The List'!$B1:$AS671,38,FALSE)," ")</f>
        <v xml:space="preserve"> </v>
      </c>
      <c r="M171" s="84" t="str" cm="1">
        <f t="array" ref="M171">IFERROR(VLOOKUP($A171,'The List'!$B1:$AS671,39,FALSE)," ")</f>
        <v xml:space="preserve"> </v>
      </c>
      <c r="N171" s="84" t="str" cm="1">
        <f t="array" ref="N171">IFERROR(VLOOKUP($A171,'The List'!$B1:$AS671,40,FALSE)," ")</f>
        <v xml:space="preserve"> </v>
      </c>
      <c r="O171" s="84" t="str" cm="1">
        <f t="array" ref="O171">IFERROR(VLOOKUP($A171,'The List'!$B1:$AS671,41,FALSE)," ")</f>
        <v xml:space="preserve"> </v>
      </c>
      <c r="P171" s="84" t="str" cm="1">
        <f t="array" ref="P171">IFERROR(VLOOKUP($A171,'The List'!$B1:$AS671,42,FALSE)," ")</f>
        <v xml:space="preserve"> </v>
      </c>
      <c r="Q171" s="84" t="str" cm="1">
        <f t="array" ref="Q171">IFERROR(VLOOKUP($A171,'The List'!$B1:$AS671,43,FALSE)," ")</f>
        <v xml:space="preserve"> </v>
      </c>
      <c r="R171" s="85"/>
      <c r="S171" s="85"/>
      <c r="T171" s="85"/>
      <c r="U171" s="194"/>
      <c r="V171" s="194"/>
      <c r="W171" s="194"/>
      <c r="X171" s="194"/>
      <c r="Y171" s="194"/>
      <c r="Z171" s="194"/>
      <c r="AA171" s="85"/>
      <c r="AB171" s="85"/>
      <c r="AC171" s="85"/>
      <c r="AD171" s="85"/>
      <c r="AE171" s="85"/>
      <c r="AF171" s="85"/>
    </row>
    <row r="172" spans="1:32" ht="21.25" customHeight="1" x14ac:dyDescent="0.15">
      <c r="A172" s="103"/>
      <c r="B172" s="142" t="str" cm="1">
        <f t="array" ref="B172">IFERROR(VLOOKUP($A172,'The List'!$B1:$AS671,3,FALSE)," ")</f>
        <v xml:space="preserve"> </v>
      </c>
      <c r="C172" s="143" t="str" cm="1">
        <f t="array" ref="C172">IFERROR(VLOOKUP($A172,'The List'!$B1:$AS671,4,FALSE)," ")</f>
        <v xml:space="preserve"> </v>
      </c>
      <c r="D172" s="106" t="str" cm="1">
        <f t="array" ref="D172">IFERROR(VLOOKUP($A172,'The List'!$B1:$AS671,5,FALSE)," ")</f>
        <v xml:space="preserve"> </v>
      </c>
      <c r="E172" s="106" t="str" cm="1">
        <f t="array" ref="E172">IFERROR(VLOOKUP($A172,'The List'!$B1:$AS671,6,FALSE)," ")</f>
        <v xml:space="preserve"> </v>
      </c>
      <c r="F172" s="107" t="str" cm="1">
        <f t="array" ref="F172">IFERROR(VLOOKUP($A172,'The List'!$B1:$AS671,8,FALSE)," ")</f>
        <v xml:space="preserve"> </v>
      </c>
      <c r="G172" s="107" t="str" cm="1">
        <f t="array" ref="G172">IFERROR(VLOOKUP($A172,'The List'!$B1:$AS671,10,FALSE)," ")</f>
        <v xml:space="preserve"> </v>
      </c>
      <c r="H172" s="108"/>
      <c r="I172" s="109" t="str" cm="1">
        <f t="array" ref="I172">IFERROR(VLOOKUP($A172,'The List'!$B1:$AS671,35,FALSE)," ")</f>
        <v xml:space="preserve"> </v>
      </c>
      <c r="J172" s="109" t="str" cm="1">
        <f t="array" ref="J172">IFERROR(VLOOKUP($A172,'The List'!$B1:$AS671,36,FALSE)," ")</f>
        <v xml:space="preserve"> </v>
      </c>
      <c r="K172" s="109" t="str" cm="1">
        <f t="array" ref="K172">IFERROR(VLOOKUP($A172,'The List'!$B1:$AS671,37,FALSE)," ")</f>
        <v xml:space="preserve"> </v>
      </c>
      <c r="L172" s="109" t="str" cm="1">
        <f t="array" ref="L172">IFERROR(VLOOKUP($A172,'The List'!$B1:$AS671,38,FALSE)," ")</f>
        <v xml:space="preserve"> </v>
      </c>
      <c r="M172" s="109" t="str" cm="1">
        <f t="array" ref="M172">IFERROR(VLOOKUP($A172,'The List'!$B1:$AS671,39,FALSE)," ")</f>
        <v xml:space="preserve"> </v>
      </c>
      <c r="N172" s="109" t="str" cm="1">
        <f t="array" ref="N172">IFERROR(VLOOKUP($A172,'The List'!$B1:$AS671,40,FALSE)," ")</f>
        <v xml:space="preserve"> </v>
      </c>
      <c r="O172" s="109" t="str" cm="1">
        <f t="array" ref="O172">IFERROR(VLOOKUP($A172,'The List'!$B1:$AS671,41,FALSE)," ")</f>
        <v xml:space="preserve"> </v>
      </c>
      <c r="P172" s="109" t="str" cm="1">
        <f t="array" ref="P172">IFERROR(VLOOKUP($A172,'The List'!$B1:$AS671,42,FALSE)," ")</f>
        <v xml:space="preserve"> </v>
      </c>
      <c r="Q172" s="109" t="str" cm="1">
        <f t="array" ref="Q172">IFERROR(VLOOKUP($A172,'The List'!$B1:$AS671,43,FALSE)," ")</f>
        <v xml:space="preserve"> </v>
      </c>
      <c r="R172" s="85"/>
      <c r="S172" s="85"/>
      <c r="T172" s="85"/>
      <c r="U172" s="194"/>
      <c r="V172" s="194"/>
      <c r="W172" s="194"/>
      <c r="X172" s="194"/>
      <c r="Y172" s="194"/>
      <c r="Z172" s="194"/>
      <c r="AA172" s="85"/>
      <c r="AB172" s="85"/>
      <c r="AC172" s="85"/>
      <c r="AD172" s="85"/>
      <c r="AE172" s="85"/>
      <c r="AF172" s="85"/>
    </row>
    <row r="173" spans="1:32" ht="21.25" customHeight="1" x14ac:dyDescent="0.15">
      <c r="A173" s="110"/>
      <c r="B173" s="111"/>
      <c r="C173" s="112"/>
      <c r="D173" s="113"/>
      <c r="E173" s="113" t="str" cm="1">
        <f t="array" ref="E173">IFERROR(AVERAGE(E170:E172)," ")</f>
        <v xml:space="preserve"> </v>
      </c>
      <c r="F173" s="115" cm="1">
        <f t="array" ref="F173">SUM(F170:F172)</f>
        <v>0</v>
      </c>
      <c r="G173" s="115" cm="1">
        <f t="array" ref="G173">SUM(G170:G172)</f>
        <v>0</v>
      </c>
      <c r="H173" s="116"/>
      <c r="I173" s="117" cm="1">
        <f t="array" ref="I173">SUM(I170:I172)</f>
        <v>0</v>
      </c>
      <c r="J173" s="116" cm="1">
        <f t="array" ref="J173">SUM(J170:J172)</f>
        <v>0</v>
      </c>
      <c r="K173" s="117" cm="1">
        <f t="array" ref="K173">SUM(K170:K172)</f>
        <v>0</v>
      </c>
      <c r="L173" s="117" cm="1">
        <f t="array" ref="L173">SUM(L170:L172)</f>
        <v>0</v>
      </c>
      <c r="M173" s="117" cm="1">
        <f t="array" ref="M173">SUM(M170:M172)</f>
        <v>0</v>
      </c>
      <c r="N173" s="117" cm="1">
        <f t="array" ref="N173">SUM(N170:N172)</f>
        <v>0</v>
      </c>
      <c r="O173" s="117" cm="1">
        <f t="array" ref="O173">SUM(O170:O172)</f>
        <v>0</v>
      </c>
      <c r="P173" s="144" t="e" cm="1">
        <f t="array" ref="P173">1-(O173/(N173+O173))</f>
        <v>#DIV/0!</v>
      </c>
      <c r="Q173" s="145" t="e" cm="1">
        <f t="array" ref="Q173">O173/I173</f>
        <v>#DIV/0!</v>
      </c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</row>
    <row r="174" spans="1:32" ht="70.75" customHeight="1" x14ac:dyDescent="0.15">
      <c r="A174" s="37"/>
      <c r="B174" s="120"/>
      <c r="C174" s="121"/>
      <c r="D174" s="13"/>
      <c r="E174" s="13"/>
      <c r="F174" s="122"/>
      <c r="G174" s="123"/>
      <c r="H174" s="124"/>
      <c r="I174" s="12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90"/>
      <c r="AB174" s="90"/>
      <c r="AC174" s="90"/>
      <c r="AD174" s="90"/>
      <c r="AE174" s="90"/>
      <c r="AF174" s="90"/>
    </row>
    <row r="175" spans="1:32" ht="21.25" customHeight="1" x14ac:dyDescent="0.15">
      <c r="A175" s="41" t="s">
        <v>804</v>
      </c>
      <c r="B175" s="203" t="s">
        <v>92</v>
      </c>
      <c r="C175" s="200"/>
      <c r="D175" s="42" t="s">
        <v>93</v>
      </c>
      <c r="E175" s="42" t="s">
        <v>94</v>
      </c>
      <c r="F175" s="43" t="s">
        <v>96</v>
      </c>
      <c r="G175" s="43" t="s">
        <v>98</v>
      </c>
      <c r="H175" s="44"/>
      <c r="I175" s="46" t="s">
        <v>103</v>
      </c>
      <c r="J175" s="46" t="s">
        <v>56</v>
      </c>
      <c r="K175" s="46" t="s">
        <v>104</v>
      </c>
      <c r="L175" s="46" t="s">
        <v>105</v>
      </c>
      <c r="M175" s="46" t="s">
        <v>106</v>
      </c>
      <c r="N175" s="46" t="s">
        <v>107</v>
      </c>
      <c r="O175" s="46" t="s">
        <v>64</v>
      </c>
      <c r="P175" s="46" t="s">
        <v>67</v>
      </c>
      <c r="Q175" s="46" t="s">
        <v>108</v>
      </c>
      <c r="R175" s="46" t="s">
        <v>109</v>
      </c>
      <c r="S175" s="46" t="s">
        <v>110</v>
      </c>
      <c r="T175" s="46" t="s">
        <v>111</v>
      </c>
      <c r="U175" s="46" t="s">
        <v>112</v>
      </c>
      <c r="V175" s="46" t="s">
        <v>113</v>
      </c>
      <c r="W175" s="46" t="s">
        <v>114</v>
      </c>
      <c r="X175" s="46" t="s">
        <v>115</v>
      </c>
      <c r="Y175" s="46" t="s">
        <v>116</v>
      </c>
      <c r="Z175" s="46" t="s">
        <v>117</v>
      </c>
      <c r="AA175" s="85"/>
      <c r="AB175" s="86"/>
      <c r="AC175" s="86"/>
      <c r="AD175" s="86"/>
      <c r="AE175" s="86"/>
      <c r="AF175" s="86"/>
    </row>
    <row r="176" spans="1:32" ht="21.25" customHeight="1" x14ac:dyDescent="0.15">
      <c r="A176" s="24"/>
      <c r="B176" s="87" t="str" cm="1">
        <f t="array" ref="B176">IFERROR(VLOOKUP($A176,'The List'!$B1:$AS671,3,FALSE)," ")</f>
        <v xml:space="preserve"> </v>
      </c>
      <c r="C176" s="91" t="str" cm="1">
        <f t="array" ref="C176">IFERROR(VLOOKUP($A176,'The List'!$B1:$AS671,4,FALSE)," ")</f>
        <v xml:space="preserve"> </v>
      </c>
      <c r="D176" s="18" t="str" cm="1">
        <f t="array" ref="D176">IFERROR(VLOOKUP($A176,'The List'!$B1:$AS671,5,FALSE)," ")</f>
        <v xml:space="preserve"> </v>
      </c>
      <c r="E176" s="18" t="str" cm="1">
        <f t="array" ref="E176">IFERROR(VLOOKUP($A176,'The List'!$B1:$AS671,6,FALSE)," ")</f>
        <v xml:space="preserve"> </v>
      </c>
      <c r="F176" s="92" t="str" cm="1">
        <f t="array" ref="F176">IFERROR(VLOOKUP($A176,'The List'!$B1:$AS671,8,FALSE)," ")</f>
        <v xml:space="preserve"> </v>
      </c>
      <c r="G176" s="92" t="str" cm="1">
        <f t="array" ref="G176">IFERROR(VLOOKUP($A176,'The List'!$B1:$AS671,10,FALSE)," ")</f>
        <v xml:space="preserve"> </v>
      </c>
      <c r="H176" s="55"/>
      <c r="I176" s="84" t="str" cm="1">
        <f t="array" ref="I176">IFERROR(VLOOKUP($A176,'The List'!$B1:$AS671,16,FALSE)," ")</f>
        <v xml:space="preserve"> </v>
      </c>
      <c r="J176" s="84" t="str" cm="1">
        <f t="array" ref="J176">IFERROR(VLOOKUP($A176,'The List'!$B1:$AS671,17,FALSE)," ")</f>
        <v xml:space="preserve"> </v>
      </c>
      <c r="K176" s="84" t="str" cm="1">
        <f t="array" ref="K176">IFERROR(VLOOKUP($A176,'The List'!$B1:$AS671,18,FALSE)," ")</f>
        <v xml:space="preserve"> </v>
      </c>
      <c r="L176" s="84" t="str" cm="1">
        <f t="array" ref="L176">IFERROR(VLOOKUP($A176,'The List'!$B1:$AS671,19,FALSE)," ")</f>
        <v xml:space="preserve"> </v>
      </c>
      <c r="M176" s="84" t="str" cm="1">
        <f t="array" ref="M176">IFERROR(VLOOKUP($A176,'The List'!$B1:$AS671,20,FALSE)," ")</f>
        <v xml:space="preserve"> </v>
      </c>
      <c r="N176" s="84" t="str" cm="1">
        <f t="array" ref="N176">IFERROR(VLOOKUP($A176,'The List'!$B1:$AS671,21,FALSE)," ")</f>
        <v xml:space="preserve"> </v>
      </c>
      <c r="O176" s="84" t="str" cm="1">
        <f t="array" ref="O176">IFERROR(VLOOKUP($A176,'The List'!$B1:$AS671,22,FALSE)," ")</f>
        <v xml:space="preserve"> </v>
      </c>
      <c r="P176" s="84" t="str" cm="1">
        <f t="array" ref="P176">IFERROR(VLOOKUP($A176,'The List'!$B1:$AS671,23,FALSE)," ")</f>
        <v xml:space="preserve"> </v>
      </c>
      <c r="Q176" s="84" t="str" cm="1">
        <f t="array" ref="Q176">IFERROR(VLOOKUP($A176,'The List'!$B1:$AS671,24,FALSE)," ")</f>
        <v xml:space="preserve"> </v>
      </c>
      <c r="R176" s="84" t="str" cm="1">
        <f t="array" ref="R176">IFERROR(VLOOKUP($A176,'The List'!$B1:$AS671,25,FALSE)," ")</f>
        <v xml:space="preserve"> </v>
      </c>
      <c r="S176" s="84" t="str" cm="1">
        <f t="array" ref="S176">IFERROR(VLOOKUP($A176,'The List'!$B1:$AS671,26,FALSE)," ")</f>
        <v xml:space="preserve"> </v>
      </c>
      <c r="T176" s="84" t="str" cm="1">
        <f t="array" ref="T176">IFERROR(VLOOKUP($A176,'The List'!$B1:$AS671,27,FALSE)," ")</f>
        <v xml:space="preserve"> </v>
      </c>
      <c r="U176" s="84" t="str" cm="1">
        <f t="array" ref="U176">IFERROR(VLOOKUP($A176,'The List'!$B1:$AS671,28,FALSE)," ")</f>
        <v xml:space="preserve"> </v>
      </c>
      <c r="V176" s="84" t="str" cm="1">
        <f t="array" ref="V176">IFERROR(VLOOKUP($A176,'The List'!$B1:$AS671,29,FALSE)," ")</f>
        <v xml:space="preserve"> </v>
      </c>
      <c r="W176" s="84" t="str" cm="1">
        <f t="array" ref="W176">IFERROR(VLOOKUP($A176,'The List'!$B1:$AS671,30,FALSE)," ")</f>
        <v xml:space="preserve"> </v>
      </c>
      <c r="X176" s="84" t="str" cm="1">
        <f t="array" ref="X176">IFERROR(VLOOKUP($A176,'The List'!$B1:$AS671,31,FALSE)," ")</f>
        <v xml:space="preserve"> </v>
      </c>
      <c r="Y176" s="84" t="str" cm="1">
        <f t="array" ref="Y176">IFERROR(VLOOKUP($A176,'The List'!$B1:$AS671,32,FALSE)," ")</f>
        <v xml:space="preserve"> </v>
      </c>
      <c r="Z176" s="84" t="str" cm="1">
        <f t="array" ref="Z176">IFERROR(VLOOKUP($A176,'The List'!$B1:$AS671,33,FALSE)," ")</f>
        <v xml:space="preserve"> </v>
      </c>
      <c r="AA176" s="85"/>
      <c r="AB176" s="90"/>
      <c r="AC176" s="90"/>
      <c r="AD176" s="90"/>
      <c r="AE176" s="90"/>
      <c r="AF176" s="90"/>
    </row>
    <row r="177" spans="1:32" ht="21.25" customHeight="1" x14ac:dyDescent="0.15">
      <c r="A177" s="24"/>
      <c r="B177" s="87" t="str" cm="1">
        <f t="array" ref="B177">IFERROR(VLOOKUP($A177,'The List'!$B1:$AS671,3,FALSE)," ")</f>
        <v xml:space="preserve"> </v>
      </c>
      <c r="C177" s="91" t="str" cm="1">
        <f t="array" ref="C177">IFERROR(VLOOKUP($A177,'The List'!$B1:$AS671,4,FALSE)," ")</f>
        <v xml:space="preserve"> </v>
      </c>
      <c r="D177" s="18" t="str" cm="1">
        <f t="array" ref="D177">IFERROR(VLOOKUP($A177,'The List'!$B1:$AS671,5,FALSE)," ")</f>
        <v xml:space="preserve"> </v>
      </c>
      <c r="E177" s="18" t="str" cm="1">
        <f t="array" ref="E177">IFERROR(VLOOKUP($A177,'The List'!$B1:$AS671,6,FALSE)," ")</f>
        <v xml:space="preserve"> </v>
      </c>
      <c r="F177" s="92" t="str" cm="1">
        <f t="array" ref="F177">IFERROR(VLOOKUP($A177,'The List'!$B1:$AS671,8,FALSE)," ")</f>
        <v xml:space="preserve"> </v>
      </c>
      <c r="G177" s="92" t="str" cm="1">
        <f t="array" ref="G177">IFERROR(VLOOKUP($A177,'The List'!$B1:$AS671,10,FALSE)," ")</f>
        <v xml:space="preserve"> </v>
      </c>
      <c r="H177" s="55"/>
      <c r="I177" s="84" t="str" cm="1">
        <f t="array" ref="I177">IFERROR(VLOOKUP($A177,'The List'!$B1:$AS671,16,FALSE)," ")</f>
        <v xml:space="preserve"> </v>
      </c>
      <c r="J177" s="84" t="str" cm="1">
        <f t="array" ref="J177">IFERROR(VLOOKUP($A177,'The List'!$B1:$AS671,17,FALSE)," ")</f>
        <v xml:space="preserve"> </v>
      </c>
      <c r="K177" s="84" t="str" cm="1">
        <f t="array" ref="K177">IFERROR(VLOOKUP($A177,'The List'!$B1:$AS671,18,FALSE)," ")</f>
        <v xml:space="preserve"> </v>
      </c>
      <c r="L177" s="84" t="str" cm="1">
        <f t="array" ref="L177">IFERROR(VLOOKUP($A177,'The List'!$B1:$AS671,19,FALSE)," ")</f>
        <v xml:space="preserve"> </v>
      </c>
      <c r="M177" s="84" t="str" cm="1">
        <f t="array" ref="M177">IFERROR(VLOOKUP($A177,'The List'!$B1:$AS671,20,FALSE)," ")</f>
        <v xml:space="preserve"> </v>
      </c>
      <c r="N177" s="84" t="str" cm="1">
        <f t="array" ref="N177">IFERROR(VLOOKUP($A177,'The List'!$B1:$AS671,21,FALSE)," ")</f>
        <v xml:space="preserve"> </v>
      </c>
      <c r="O177" s="84" t="str" cm="1">
        <f t="array" ref="O177">IFERROR(VLOOKUP($A177,'The List'!$B1:$AS671,22,FALSE)," ")</f>
        <v xml:space="preserve"> </v>
      </c>
      <c r="P177" s="84" t="str" cm="1">
        <f t="array" ref="P177">IFERROR(VLOOKUP($A177,'The List'!$B1:$AS671,23,FALSE)," ")</f>
        <v xml:space="preserve"> </v>
      </c>
      <c r="Q177" s="84" t="str" cm="1">
        <f t="array" ref="Q177">IFERROR(VLOOKUP($A177,'The List'!$B1:$AS671,24,FALSE)," ")</f>
        <v xml:space="preserve"> </v>
      </c>
      <c r="R177" s="84" t="str" cm="1">
        <f t="array" ref="R177">IFERROR(VLOOKUP($A177,'The List'!$B1:$AS671,25,FALSE)," ")</f>
        <v xml:space="preserve"> </v>
      </c>
      <c r="S177" s="84" t="str" cm="1">
        <f t="array" ref="S177">IFERROR(VLOOKUP($A177,'The List'!$B1:$AS671,26,FALSE)," ")</f>
        <v xml:space="preserve"> </v>
      </c>
      <c r="T177" s="84" t="str" cm="1">
        <f t="array" ref="T177">IFERROR(VLOOKUP($A177,'The List'!$B1:$AS671,27,FALSE)," ")</f>
        <v xml:space="preserve"> </v>
      </c>
      <c r="U177" s="84" t="str" cm="1">
        <f t="array" ref="U177">IFERROR(VLOOKUP($A177,'The List'!$B1:$AS671,28,FALSE)," ")</f>
        <v xml:space="preserve"> </v>
      </c>
      <c r="V177" s="84" t="str" cm="1">
        <f t="array" ref="V177">IFERROR(VLOOKUP($A177,'The List'!$B1:$AS671,29,FALSE)," ")</f>
        <v xml:space="preserve"> </v>
      </c>
      <c r="W177" s="84" t="str" cm="1">
        <f t="array" ref="W177">IFERROR(VLOOKUP($A177,'The List'!$B1:$AS671,30,FALSE)," ")</f>
        <v xml:space="preserve"> </v>
      </c>
      <c r="X177" s="84" t="str" cm="1">
        <f t="array" ref="X177">IFERROR(VLOOKUP($A177,'The List'!$B1:$AS671,31,FALSE)," ")</f>
        <v xml:space="preserve"> </v>
      </c>
      <c r="Y177" s="84" t="str" cm="1">
        <f t="array" ref="Y177">IFERROR(VLOOKUP($A177,'The List'!$B1:$AS671,32,FALSE)," ")</f>
        <v xml:space="preserve"> </v>
      </c>
      <c r="Z177" s="84" t="str" cm="1">
        <f t="array" ref="Z177">IFERROR(VLOOKUP($A177,'The List'!$B1:$AS671,33,FALSE)," ")</f>
        <v xml:space="preserve"> </v>
      </c>
      <c r="AA177" s="85"/>
      <c r="AB177" s="90"/>
      <c r="AC177" s="90"/>
      <c r="AD177" s="90"/>
      <c r="AE177" s="90"/>
      <c r="AF177" s="90"/>
    </row>
    <row r="178" spans="1:32" ht="21.25" customHeight="1" x14ac:dyDescent="0.15">
      <c r="A178" s="24"/>
      <c r="B178" s="87" t="str" cm="1">
        <f t="array" ref="B178">IFERROR(VLOOKUP($A178,'The List'!$B1:$AS671,3,FALSE)," ")</f>
        <v xml:space="preserve"> </v>
      </c>
      <c r="C178" s="91" t="str" cm="1">
        <f t="array" ref="C178">IFERROR(VLOOKUP($A178,'The List'!$B1:$AS671,4,FALSE)," ")</f>
        <v xml:space="preserve"> </v>
      </c>
      <c r="D178" s="18" t="str" cm="1">
        <f t="array" ref="D178">IFERROR(VLOOKUP($A178,'The List'!$B1:$AS671,5,FALSE)," ")</f>
        <v xml:space="preserve"> </v>
      </c>
      <c r="E178" s="18" t="str" cm="1">
        <f t="array" ref="E178">IFERROR(VLOOKUP($A178,'The List'!$B1:$AS671,6,FALSE)," ")</f>
        <v xml:space="preserve"> </v>
      </c>
      <c r="F178" s="92" t="str" cm="1">
        <f t="array" ref="F178">IFERROR(VLOOKUP($A178,'The List'!$B1:$AS671,8,FALSE)," ")</f>
        <v xml:space="preserve"> </v>
      </c>
      <c r="G178" s="92" t="str" cm="1">
        <f t="array" ref="G178">IFERROR(VLOOKUP($A178,'The List'!$B1:$AS671,10,FALSE)," ")</f>
        <v xml:space="preserve"> </v>
      </c>
      <c r="H178" s="55"/>
      <c r="I178" s="84" t="str" cm="1">
        <f t="array" ref="I178">IFERROR(VLOOKUP($A178,'The List'!$B1:$AS671,16,FALSE)," ")</f>
        <v xml:space="preserve"> </v>
      </c>
      <c r="J178" s="84" t="str" cm="1">
        <f t="array" ref="J178">IFERROR(VLOOKUP($A178,'The List'!$B1:$AS671,17,FALSE)," ")</f>
        <v xml:space="preserve"> </v>
      </c>
      <c r="K178" s="84" t="str" cm="1">
        <f t="array" ref="K178">IFERROR(VLOOKUP($A178,'The List'!$B1:$AS671,18,FALSE)," ")</f>
        <v xml:space="preserve"> </v>
      </c>
      <c r="L178" s="84" t="str" cm="1">
        <f t="array" ref="L178">IFERROR(VLOOKUP($A178,'The List'!$B1:$AS671,19,FALSE)," ")</f>
        <v xml:space="preserve"> </v>
      </c>
      <c r="M178" s="84" t="str" cm="1">
        <f t="array" ref="M178">IFERROR(VLOOKUP($A178,'The List'!$B1:$AS671,20,FALSE)," ")</f>
        <v xml:space="preserve"> </v>
      </c>
      <c r="N178" s="84" t="str" cm="1">
        <f t="array" ref="N178">IFERROR(VLOOKUP($A178,'The List'!$B1:$AS671,21,FALSE)," ")</f>
        <v xml:space="preserve"> </v>
      </c>
      <c r="O178" s="84" t="str" cm="1">
        <f t="array" ref="O178">IFERROR(VLOOKUP($A178,'The List'!$B1:$AS671,22,FALSE)," ")</f>
        <v xml:space="preserve"> </v>
      </c>
      <c r="P178" s="84" t="str" cm="1">
        <f t="array" ref="P178">IFERROR(VLOOKUP($A178,'The List'!$B1:$AS671,23,FALSE)," ")</f>
        <v xml:space="preserve"> </v>
      </c>
      <c r="Q178" s="84" t="str" cm="1">
        <f t="array" ref="Q178">IFERROR(VLOOKUP($A178,'The List'!$B1:$AS671,24,FALSE)," ")</f>
        <v xml:space="preserve"> </v>
      </c>
      <c r="R178" s="84" t="str" cm="1">
        <f t="array" ref="R178">IFERROR(VLOOKUP($A178,'The List'!$B1:$AS671,25,FALSE)," ")</f>
        <v xml:space="preserve"> </v>
      </c>
      <c r="S178" s="84" t="str" cm="1">
        <f t="array" ref="S178">IFERROR(VLOOKUP($A178,'The List'!$B1:$AS671,26,FALSE)," ")</f>
        <v xml:space="preserve"> </v>
      </c>
      <c r="T178" s="84" t="str" cm="1">
        <f t="array" ref="T178">IFERROR(VLOOKUP($A178,'The List'!$B1:$AS671,27,FALSE)," ")</f>
        <v xml:space="preserve"> </v>
      </c>
      <c r="U178" s="84" t="str" cm="1">
        <f t="array" ref="U178">IFERROR(VLOOKUP($A178,'The List'!$B1:$AS671,28,FALSE)," ")</f>
        <v xml:space="preserve"> </v>
      </c>
      <c r="V178" s="84" t="str" cm="1">
        <f t="array" ref="V178">IFERROR(VLOOKUP($A178,'The List'!$B1:$AS671,29,FALSE)," ")</f>
        <v xml:space="preserve"> </v>
      </c>
      <c r="W178" s="84" t="str" cm="1">
        <f t="array" ref="W178">IFERROR(VLOOKUP($A178,'The List'!$B1:$AS671,30,FALSE)," ")</f>
        <v xml:space="preserve"> </v>
      </c>
      <c r="X178" s="84" t="str" cm="1">
        <f t="array" ref="X178">IFERROR(VLOOKUP($A178,'The List'!$B1:$AS671,31,FALSE)," ")</f>
        <v xml:space="preserve"> </v>
      </c>
      <c r="Y178" s="84" t="str" cm="1">
        <f t="array" ref="Y178">IFERROR(VLOOKUP($A178,'The List'!$B1:$AS671,32,FALSE)," ")</f>
        <v xml:space="preserve"> </v>
      </c>
      <c r="Z178" s="84" t="str" cm="1">
        <f t="array" ref="Z178">IFERROR(VLOOKUP($A178,'The List'!$B1:$AS671,33,FALSE)," ")</f>
        <v xml:space="preserve"> </v>
      </c>
      <c r="AA178" s="85"/>
      <c r="AB178" s="90"/>
      <c r="AC178" s="90"/>
      <c r="AD178" s="90"/>
      <c r="AE178" s="90"/>
      <c r="AF178" s="90"/>
    </row>
    <row r="179" spans="1:32" ht="21.25" customHeight="1" x14ac:dyDescent="0.15">
      <c r="A179" s="24"/>
      <c r="B179" s="87" t="str" cm="1">
        <f t="array" ref="B179">IFERROR(VLOOKUP($A179,'The List'!$B1:$AS671,3,FALSE)," ")</f>
        <v xml:space="preserve"> </v>
      </c>
      <c r="C179" s="91" t="str" cm="1">
        <f t="array" ref="C179">IFERROR(VLOOKUP($A179,'The List'!$B1:$AS671,4,FALSE)," ")</f>
        <v xml:space="preserve"> </v>
      </c>
      <c r="D179" s="18" t="str" cm="1">
        <f t="array" ref="D179">IFERROR(VLOOKUP($A179,'The List'!$B1:$AS671,5,FALSE)," ")</f>
        <v xml:space="preserve"> </v>
      </c>
      <c r="E179" s="18" t="str" cm="1">
        <f t="array" ref="E179">IFERROR(VLOOKUP($A179,'The List'!$B1:$AS671,6,FALSE)," ")</f>
        <v xml:space="preserve"> </v>
      </c>
      <c r="F179" s="92" t="str" cm="1">
        <f t="array" ref="F179">IFERROR(VLOOKUP($A179,'The List'!$B1:$AS671,8,FALSE)," ")</f>
        <v xml:space="preserve"> </v>
      </c>
      <c r="G179" s="92" t="str" cm="1">
        <f t="array" ref="G179">IFERROR(VLOOKUP($A179,'The List'!$B1:$AS671,10,FALSE)," ")</f>
        <v xml:space="preserve"> </v>
      </c>
      <c r="H179" s="55"/>
      <c r="I179" s="84" t="str" cm="1">
        <f t="array" ref="I179">IFERROR(VLOOKUP($A179,'The List'!$B1:$AS671,16,FALSE)," ")</f>
        <v xml:space="preserve"> </v>
      </c>
      <c r="J179" s="84" t="str" cm="1">
        <f t="array" ref="J179">IFERROR(VLOOKUP($A179,'The List'!$B1:$AS671,17,FALSE)," ")</f>
        <v xml:space="preserve"> </v>
      </c>
      <c r="K179" s="84" t="str" cm="1">
        <f t="array" ref="K179">IFERROR(VLOOKUP($A179,'The List'!$B1:$AS671,18,FALSE)," ")</f>
        <v xml:space="preserve"> </v>
      </c>
      <c r="L179" s="84" t="str" cm="1">
        <f t="array" ref="L179">IFERROR(VLOOKUP($A179,'The List'!$B1:$AS671,19,FALSE)," ")</f>
        <v xml:space="preserve"> </v>
      </c>
      <c r="M179" s="84" t="str" cm="1">
        <f t="array" ref="M179">IFERROR(VLOOKUP($A179,'The List'!$B1:$AS671,20,FALSE)," ")</f>
        <v xml:space="preserve"> </v>
      </c>
      <c r="N179" s="84" t="str" cm="1">
        <f t="array" ref="N179">IFERROR(VLOOKUP($A179,'The List'!$B1:$AS671,21,FALSE)," ")</f>
        <v xml:space="preserve"> </v>
      </c>
      <c r="O179" s="84" t="str" cm="1">
        <f t="array" ref="O179">IFERROR(VLOOKUP($A179,'The List'!$B1:$AS671,22,FALSE)," ")</f>
        <v xml:space="preserve"> </v>
      </c>
      <c r="P179" s="84" t="str" cm="1">
        <f t="array" ref="P179">IFERROR(VLOOKUP($A179,'The List'!$B1:$AS671,23,FALSE)," ")</f>
        <v xml:space="preserve"> </v>
      </c>
      <c r="Q179" s="84" t="str" cm="1">
        <f t="array" ref="Q179">IFERROR(VLOOKUP($A179,'The List'!$B1:$AS671,24,FALSE)," ")</f>
        <v xml:space="preserve"> </v>
      </c>
      <c r="R179" s="84" t="str" cm="1">
        <f t="array" ref="R179">IFERROR(VLOOKUP($A179,'The List'!$B1:$AS671,25,FALSE)," ")</f>
        <v xml:space="preserve"> </v>
      </c>
      <c r="S179" s="84" t="str" cm="1">
        <f t="array" ref="S179">IFERROR(VLOOKUP($A179,'The List'!$B1:$AS671,26,FALSE)," ")</f>
        <v xml:space="preserve"> </v>
      </c>
      <c r="T179" s="84" t="str" cm="1">
        <f t="array" ref="T179">IFERROR(VLOOKUP($A179,'The List'!$B1:$AS671,27,FALSE)," ")</f>
        <v xml:space="preserve"> </v>
      </c>
      <c r="U179" s="84" t="str" cm="1">
        <f t="array" ref="U179">IFERROR(VLOOKUP($A179,'The List'!$B1:$AS671,28,FALSE)," ")</f>
        <v xml:space="preserve"> </v>
      </c>
      <c r="V179" s="84" t="str" cm="1">
        <f t="array" ref="V179">IFERROR(VLOOKUP($A179,'The List'!$B1:$AS671,29,FALSE)," ")</f>
        <v xml:space="preserve"> </v>
      </c>
      <c r="W179" s="84" t="str" cm="1">
        <f t="array" ref="W179">IFERROR(VLOOKUP($A179,'The List'!$B1:$AS671,30,FALSE)," ")</f>
        <v xml:space="preserve"> </v>
      </c>
      <c r="X179" s="84" t="str" cm="1">
        <f t="array" ref="X179">IFERROR(VLOOKUP($A179,'The List'!$B1:$AS671,31,FALSE)," ")</f>
        <v xml:space="preserve"> </v>
      </c>
      <c r="Y179" s="84" t="str" cm="1">
        <f t="array" ref="Y179">IFERROR(VLOOKUP($A179,'The List'!$B1:$AS671,32,FALSE)," ")</f>
        <v xml:space="preserve"> </v>
      </c>
      <c r="Z179" s="84" t="str" cm="1">
        <f t="array" ref="Z179">IFERROR(VLOOKUP($A179,'The List'!$B1:$AS671,33,FALSE)," ")</f>
        <v xml:space="preserve"> </v>
      </c>
      <c r="AA179" s="85"/>
      <c r="AB179" s="90"/>
      <c r="AC179" s="90"/>
      <c r="AD179" s="90"/>
      <c r="AE179" s="90"/>
      <c r="AF179" s="90"/>
    </row>
    <row r="180" spans="1:32" ht="21.25" customHeight="1" x14ac:dyDescent="0.15">
      <c r="A180" s="24"/>
      <c r="B180" s="93" t="str" cm="1">
        <f t="array" ref="B180">IFERROR(VLOOKUP($A180,'The List'!$B1:$AS671,3,FALSE)," ")</f>
        <v xml:space="preserve"> </v>
      </c>
      <c r="C180" s="95" t="str" cm="1">
        <f t="array" ref="C180">IFERROR(VLOOKUP($A180,'The List'!$B1:$AS671,4,FALSE)," ")</f>
        <v xml:space="preserve"> </v>
      </c>
      <c r="D180" s="18" t="str" cm="1">
        <f t="array" ref="D180">IFERROR(VLOOKUP($A180,'The List'!$B1:$AS671,5,FALSE)," ")</f>
        <v xml:space="preserve"> </v>
      </c>
      <c r="E180" s="18" t="str" cm="1">
        <f t="array" ref="E180">IFERROR(VLOOKUP($A180,'The List'!$B1:$AS671,6,FALSE)," ")</f>
        <v xml:space="preserve"> </v>
      </c>
      <c r="F180" s="92" t="str" cm="1">
        <f t="array" ref="F180">IFERROR(VLOOKUP($A180,'The List'!$B1:$AS671,8,FALSE)," ")</f>
        <v xml:space="preserve"> </v>
      </c>
      <c r="G180" s="92" t="str" cm="1">
        <f t="array" ref="G180">IFERROR(VLOOKUP($A180,'The List'!$B1:$AS671,10,FALSE)," ")</f>
        <v xml:space="preserve"> </v>
      </c>
      <c r="H180" s="55"/>
      <c r="I180" s="84" t="str" cm="1">
        <f t="array" ref="I180">IFERROR(VLOOKUP($A180,'The List'!$B1:$AS671,16,FALSE)," ")</f>
        <v xml:space="preserve"> </v>
      </c>
      <c r="J180" s="84" t="str" cm="1">
        <f t="array" ref="J180">IFERROR(VLOOKUP($A180,'The List'!$B1:$AS671,17,FALSE)," ")</f>
        <v xml:space="preserve"> </v>
      </c>
      <c r="K180" s="84" t="str" cm="1">
        <f t="array" ref="K180">IFERROR(VLOOKUP($A180,'The List'!$B1:$AS671,18,FALSE)," ")</f>
        <v xml:space="preserve"> </v>
      </c>
      <c r="L180" s="84" t="str" cm="1">
        <f t="array" ref="L180">IFERROR(VLOOKUP($A180,'The List'!$B1:$AS671,19,FALSE)," ")</f>
        <v xml:space="preserve"> </v>
      </c>
      <c r="M180" s="84" t="str" cm="1">
        <f t="array" ref="M180">IFERROR(VLOOKUP($A180,'The List'!$B1:$AS671,20,FALSE)," ")</f>
        <v xml:space="preserve"> </v>
      </c>
      <c r="N180" s="84" t="str" cm="1">
        <f t="array" ref="N180">IFERROR(VLOOKUP($A180,'The List'!$B1:$AS671,21,FALSE)," ")</f>
        <v xml:space="preserve"> </v>
      </c>
      <c r="O180" s="84" t="str" cm="1">
        <f t="array" ref="O180">IFERROR(VLOOKUP($A180,'The List'!$B1:$AS671,22,FALSE)," ")</f>
        <v xml:space="preserve"> </v>
      </c>
      <c r="P180" s="84" t="str" cm="1">
        <f t="array" ref="P180">IFERROR(VLOOKUP($A180,'The List'!$B1:$AS671,23,FALSE)," ")</f>
        <v xml:space="preserve"> </v>
      </c>
      <c r="Q180" s="84" t="str" cm="1">
        <f t="array" ref="Q180">IFERROR(VLOOKUP($A180,'The List'!$B1:$AS671,24,FALSE)," ")</f>
        <v xml:space="preserve"> </v>
      </c>
      <c r="R180" s="84" t="str" cm="1">
        <f t="array" ref="R180">IFERROR(VLOOKUP($A180,'The List'!$B1:$AS671,25,FALSE)," ")</f>
        <v xml:space="preserve"> </v>
      </c>
      <c r="S180" s="84" t="str" cm="1">
        <f t="array" ref="S180">IFERROR(VLOOKUP($A180,'The List'!$B1:$AS671,26,FALSE)," ")</f>
        <v xml:space="preserve"> </v>
      </c>
      <c r="T180" s="84" t="str" cm="1">
        <f t="array" ref="T180">IFERROR(VLOOKUP($A180,'The List'!$B1:$AS671,27,FALSE)," ")</f>
        <v xml:space="preserve"> </v>
      </c>
      <c r="U180" s="84" t="str" cm="1">
        <f t="array" ref="U180">IFERROR(VLOOKUP($A180,'The List'!$B1:$AS671,28,FALSE)," ")</f>
        <v xml:space="preserve"> </v>
      </c>
      <c r="V180" s="84" t="str" cm="1">
        <f t="array" ref="V180">IFERROR(VLOOKUP($A180,'The List'!$B1:$AS671,29,FALSE)," ")</f>
        <v xml:space="preserve"> </v>
      </c>
      <c r="W180" s="84" t="str" cm="1">
        <f t="array" ref="W180">IFERROR(VLOOKUP($A180,'The List'!$B1:$AS671,30,FALSE)," ")</f>
        <v xml:space="preserve"> </v>
      </c>
      <c r="X180" s="84" t="str" cm="1">
        <f t="array" ref="X180">IFERROR(VLOOKUP($A180,'The List'!$B1:$AS671,31,FALSE)," ")</f>
        <v xml:space="preserve"> </v>
      </c>
      <c r="Y180" s="84" t="str" cm="1">
        <f t="array" ref="Y180">IFERROR(VLOOKUP($A180,'The List'!$B1:$AS671,32,FALSE)," ")</f>
        <v xml:space="preserve"> </v>
      </c>
      <c r="Z180" s="84" t="str" cm="1">
        <f t="array" ref="Z180">IFERROR(VLOOKUP($A180,'The List'!$B1:$AS671,33,FALSE)," ")</f>
        <v xml:space="preserve"> </v>
      </c>
      <c r="AA180" s="85"/>
      <c r="AB180" s="90"/>
      <c r="AC180" s="90"/>
      <c r="AD180" s="90"/>
      <c r="AE180" s="90"/>
      <c r="AF180" s="90"/>
    </row>
    <row r="181" spans="1:32" ht="21.25" customHeight="1" x14ac:dyDescent="0.15">
      <c r="A181" s="24"/>
      <c r="B181" s="93" t="str" cm="1">
        <f t="array" ref="B181">IFERROR(VLOOKUP($A181,'The List'!$B1:$AS671,3,FALSE)," ")</f>
        <v xml:space="preserve"> </v>
      </c>
      <c r="C181" s="95" t="str" cm="1">
        <f t="array" ref="C181">IFERROR(VLOOKUP($A181,'The List'!$B1:$AS671,4,FALSE)," ")</f>
        <v xml:space="preserve"> </v>
      </c>
      <c r="D181" s="18" t="str" cm="1">
        <f t="array" ref="D181">IFERROR(VLOOKUP($A181,'The List'!$B1:$AS671,5,FALSE)," ")</f>
        <v xml:space="preserve"> </v>
      </c>
      <c r="E181" s="18" t="str" cm="1">
        <f t="array" ref="E181">IFERROR(VLOOKUP($A181,'The List'!$B1:$AS671,6,FALSE)," ")</f>
        <v xml:space="preserve"> </v>
      </c>
      <c r="F181" s="92" t="str" cm="1">
        <f t="array" ref="F181">IFERROR(VLOOKUP($A181,'The List'!$B1:$AS671,8,FALSE)," ")</f>
        <v xml:space="preserve"> </v>
      </c>
      <c r="G181" s="92" t="str" cm="1">
        <f t="array" ref="G181">IFERROR(VLOOKUP($A181,'The List'!$B1:$AS671,10,FALSE)," ")</f>
        <v xml:space="preserve"> </v>
      </c>
      <c r="H181" s="55"/>
      <c r="I181" s="84" t="str" cm="1">
        <f t="array" ref="I181">IFERROR(VLOOKUP($A181,'The List'!$B1:$AS671,16,FALSE)," ")</f>
        <v xml:space="preserve"> </v>
      </c>
      <c r="J181" s="84" t="str" cm="1">
        <f t="array" ref="J181">IFERROR(VLOOKUP($A181,'The List'!$B1:$AS671,17,FALSE)," ")</f>
        <v xml:space="preserve"> </v>
      </c>
      <c r="K181" s="84" t="str" cm="1">
        <f t="array" ref="K181">IFERROR(VLOOKUP($A181,'The List'!$B1:$AS671,18,FALSE)," ")</f>
        <v xml:space="preserve"> </v>
      </c>
      <c r="L181" s="84" t="str" cm="1">
        <f t="array" ref="L181">IFERROR(VLOOKUP($A181,'The List'!$B1:$AS671,19,FALSE)," ")</f>
        <v xml:space="preserve"> </v>
      </c>
      <c r="M181" s="84" t="str" cm="1">
        <f t="array" ref="M181">IFERROR(VLOOKUP($A181,'The List'!$B1:$AS671,20,FALSE)," ")</f>
        <v xml:space="preserve"> </v>
      </c>
      <c r="N181" s="84" t="str" cm="1">
        <f t="array" ref="N181">IFERROR(VLOOKUP($A181,'The List'!$B1:$AS671,21,FALSE)," ")</f>
        <v xml:space="preserve"> </v>
      </c>
      <c r="O181" s="84" t="str" cm="1">
        <f t="array" ref="O181">IFERROR(VLOOKUP($A181,'The List'!$B1:$AS671,22,FALSE)," ")</f>
        <v xml:space="preserve"> </v>
      </c>
      <c r="P181" s="84" t="str" cm="1">
        <f t="array" ref="P181">IFERROR(VLOOKUP($A181,'The List'!$B1:$AS671,23,FALSE)," ")</f>
        <v xml:space="preserve"> </v>
      </c>
      <c r="Q181" s="84" t="str" cm="1">
        <f t="array" ref="Q181">IFERROR(VLOOKUP($A181,'The List'!$B1:$AS671,24,FALSE)," ")</f>
        <v xml:space="preserve"> </v>
      </c>
      <c r="R181" s="84" t="str" cm="1">
        <f t="array" ref="R181">IFERROR(VLOOKUP($A181,'The List'!$B1:$AS671,25,FALSE)," ")</f>
        <v xml:space="preserve"> </v>
      </c>
      <c r="S181" s="84" t="str" cm="1">
        <f t="array" ref="S181">IFERROR(VLOOKUP($A181,'The List'!$B1:$AS671,26,FALSE)," ")</f>
        <v xml:space="preserve"> </v>
      </c>
      <c r="T181" s="84" t="str" cm="1">
        <f t="array" ref="T181">IFERROR(VLOOKUP($A181,'The List'!$B1:$AS671,27,FALSE)," ")</f>
        <v xml:space="preserve"> </v>
      </c>
      <c r="U181" s="84" t="str" cm="1">
        <f t="array" ref="U181">IFERROR(VLOOKUP($A181,'The List'!$B1:$AS671,28,FALSE)," ")</f>
        <v xml:space="preserve"> </v>
      </c>
      <c r="V181" s="84" t="str" cm="1">
        <f t="array" ref="V181">IFERROR(VLOOKUP($A181,'The List'!$B1:$AS671,29,FALSE)," ")</f>
        <v xml:space="preserve"> </v>
      </c>
      <c r="W181" s="84" t="str" cm="1">
        <f t="array" ref="W181">IFERROR(VLOOKUP($A181,'The List'!$B1:$AS671,30,FALSE)," ")</f>
        <v xml:space="preserve"> </v>
      </c>
      <c r="X181" s="84" t="str" cm="1">
        <f t="array" ref="X181">IFERROR(VLOOKUP($A181,'The List'!$B1:$AS671,31,FALSE)," ")</f>
        <v xml:space="preserve"> </v>
      </c>
      <c r="Y181" s="84" t="str" cm="1">
        <f t="array" ref="Y181">IFERROR(VLOOKUP($A181,'The List'!$B1:$AS671,32,FALSE)," ")</f>
        <v xml:space="preserve"> </v>
      </c>
      <c r="Z181" s="84" t="str" cm="1">
        <f t="array" ref="Z181">IFERROR(VLOOKUP($A181,'The List'!$B1:$AS671,33,FALSE)," ")</f>
        <v xml:space="preserve"> </v>
      </c>
      <c r="AA181" s="85"/>
      <c r="AB181" s="90"/>
      <c r="AC181" s="90"/>
      <c r="AD181" s="90"/>
      <c r="AE181" s="90"/>
      <c r="AF181" s="90"/>
    </row>
    <row r="182" spans="1:32" ht="21.25" customHeight="1" x14ac:dyDescent="0.15">
      <c r="A182" s="24"/>
      <c r="B182" s="93" t="str" cm="1">
        <f t="array" ref="B182">IFERROR(VLOOKUP($A182,'The List'!$B1:$AS671,3,FALSE)," ")</f>
        <v xml:space="preserve"> </v>
      </c>
      <c r="C182" s="95" t="str" cm="1">
        <f t="array" ref="C182">IFERROR(VLOOKUP($A182,'The List'!$B1:$AS671,4,FALSE)," ")</f>
        <v xml:space="preserve"> </v>
      </c>
      <c r="D182" s="18" t="str" cm="1">
        <f t="array" ref="D182">IFERROR(VLOOKUP($A182,'The List'!$B1:$AS671,5,FALSE)," ")</f>
        <v xml:space="preserve"> </v>
      </c>
      <c r="E182" s="18" t="str" cm="1">
        <f t="array" ref="E182">IFERROR(VLOOKUP($A182,'The List'!$B1:$AS671,6,FALSE)," ")</f>
        <v xml:space="preserve"> </v>
      </c>
      <c r="F182" s="92" t="str" cm="1">
        <f t="array" ref="F182">IFERROR(VLOOKUP($A182,'The List'!$B1:$AS671,8,FALSE)," ")</f>
        <v xml:space="preserve"> </v>
      </c>
      <c r="G182" s="92" t="str" cm="1">
        <f t="array" ref="G182">IFERROR(VLOOKUP($A182,'The List'!$B1:$AS671,10,FALSE)," ")</f>
        <v xml:space="preserve"> </v>
      </c>
      <c r="H182" s="55"/>
      <c r="I182" s="84" t="str" cm="1">
        <f t="array" ref="I182">IFERROR(VLOOKUP($A182,'The List'!$B1:$AS671,16,FALSE)," ")</f>
        <v xml:space="preserve"> </v>
      </c>
      <c r="J182" s="84" t="str" cm="1">
        <f t="array" ref="J182">IFERROR(VLOOKUP($A182,'The List'!$B1:$AS671,17,FALSE)," ")</f>
        <v xml:space="preserve"> </v>
      </c>
      <c r="K182" s="84" t="str" cm="1">
        <f t="array" ref="K182">IFERROR(VLOOKUP($A182,'The List'!$B1:$AS671,18,FALSE)," ")</f>
        <v xml:space="preserve"> </v>
      </c>
      <c r="L182" s="84" t="str" cm="1">
        <f t="array" ref="L182">IFERROR(VLOOKUP($A182,'The List'!$B1:$AS671,19,FALSE)," ")</f>
        <v xml:space="preserve"> </v>
      </c>
      <c r="M182" s="84" t="str" cm="1">
        <f t="array" ref="M182">IFERROR(VLOOKUP($A182,'The List'!$B1:$AS671,20,FALSE)," ")</f>
        <v xml:space="preserve"> </v>
      </c>
      <c r="N182" s="84" t="str" cm="1">
        <f t="array" ref="N182">IFERROR(VLOOKUP($A182,'The List'!$B1:$AS671,21,FALSE)," ")</f>
        <v xml:space="preserve"> </v>
      </c>
      <c r="O182" s="84" t="str" cm="1">
        <f t="array" ref="O182">IFERROR(VLOOKUP($A182,'The List'!$B1:$AS671,22,FALSE)," ")</f>
        <v xml:space="preserve"> </v>
      </c>
      <c r="P182" s="84" t="str" cm="1">
        <f t="array" ref="P182">IFERROR(VLOOKUP($A182,'The List'!$B1:$AS671,23,FALSE)," ")</f>
        <v xml:space="preserve"> </v>
      </c>
      <c r="Q182" s="84" t="str" cm="1">
        <f t="array" ref="Q182">IFERROR(VLOOKUP($A182,'The List'!$B1:$AS671,24,FALSE)," ")</f>
        <v xml:space="preserve"> </v>
      </c>
      <c r="R182" s="84" t="str" cm="1">
        <f t="array" ref="R182">IFERROR(VLOOKUP($A182,'The List'!$B1:$AS671,25,FALSE)," ")</f>
        <v xml:space="preserve"> </v>
      </c>
      <c r="S182" s="84" t="str" cm="1">
        <f t="array" ref="S182">IFERROR(VLOOKUP($A182,'The List'!$B1:$AS671,26,FALSE)," ")</f>
        <v xml:space="preserve"> </v>
      </c>
      <c r="T182" s="84" t="str" cm="1">
        <f t="array" ref="T182">IFERROR(VLOOKUP($A182,'The List'!$B1:$AS671,27,FALSE)," ")</f>
        <v xml:space="preserve"> </v>
      </c>
      <c r="U182" s="84" t="str" cm="1">
        <f t="array" ref="U182">IFERROR(VLOOKUP($A182,'The List'!$B1:$AS671,28,FALSE)," ")</f>
        <v xml:space="preserve"> </v>
      </c>
      <c r="V182" s="84" t="str" cm="1">
        <f t="array" ref="V182">IFERROR(VLOOKUP($A182,'The List'!$B1:$AS671,29,FALSE)," ")</f>
        <v xml:space="preserve"> </v>
      </c>
      <c r="W182" s="84" t="str" cm="1">
        <f t="array" ref="W182">IFERROR(VLOOKUP($A182,'The List'!$B1:$AS671,30,FALSE)," ")</f>
        <v xml:space="preserve"> </v>
      </c>
      <c r="X182" s="84" t="str" cm="1">
        <f t="array" ref="X182">IFERROR(VLOOKUP($A182,'The List'!$B1:$AS671,31,FALSE)," ")</f>
        <v xml:space="preserve"> </v>
      </c>
      <c r="Y182" s="84" t="str" cm="1">
        <f t="array" ref="Y182">IFERROR(VLOOKUP($A182,'The List'!$B1:$AS671,32,FALSE)," ")</f>
        <v xml:space="preserve"> </v>
      </c>
      <c r="Z182" s="84" t="str" cm="1">
        <f t="array" ref="Z182">IFERROR(VLOOKUP($A182,'The List'!$B1:$AS671,33,FALSE)," ")</f>
        <v xml:space="preserve"> </v>
      </c>
      <c r="AA182" s="85"/>
      <c r="AB182" s="90"/>
      <c r="AC182" s="90"/>
      <c r="AD182" s="90"/>
      <c r="AE182" s="90"/>
      <c r="AF182" s="90"/>
    </row>
    <row r="183" spans="1:32" ht="21.25" customHeight="1" x14ac:dyDescent="0.15">
      <c r="A183" s="24"/>
      <c r="B183" s="93" t="str" cm="1">
        <f t="array" ref="B183">IFERROR(VLOOKUP($A183,'The List'!$B1:$AS671,3,FALSE)," ")</f>
        <v xml:space="preserve"> </v>
      </c>
      <c r="C183" s="95" t="str" cm="1">
        <f t="array" ref="C183">IFERROR(VLOOKUP($A183,'The List'!$B1:$AS671,4,FALSE)," ")</f>
        <v xml:space="preserve"> </v>
      </c>
      <c r="D183" s="18" t="str" cm="1">
        <f t="array" ref="D183">IFERROR(VLOOKUP($A183,'The List'!$B1:$AS671,5,FALSE)," ")</f>
        <v xml:space="preserve"> </v>
      </c>
      <c r="E183" s="18" t="str" cm="1">
        <f t="array" ref="E183">IFERROR(VLOOKUP($A183,'The List'!$B1:$AS671,6,FALSE)," ")</f>
        <v xml:space="preserve"> </v>
      </c>
      <c r="F183" s="92" t="str" cm="1">
        <f t="array" ref="F183">IFERROR(VLOOKUP($A183,'The List'!$B1:$AS671,8,FALSE)," ")</f>
        <v xml:space="preserve"> </v>
      </c>
      <c r="G183" s="92" t="str" cm="1">
        <f t="array" ref="G183">IFERROR(VLOOKUP($A183,'The List'!$B1:$AS671,10,FALSE)," ")</f>
        <v xml:space="preserve"> </v>
      </c>
      <c r="H183" s="55"/>
      <c r="I183" s="84" t="str" cm="1">
        <f t="array" ref="I183">IFERROR(VLOOKUP($A183,'The List'!$B1:$AS671,16,FALSE)," ")</f>
        <v xml:space="preserve"> </v>
      </c>
      <c r="J183" s="84" t="str" cm="1">
        <f t="array" ref="J183">IFERROR(VLOOKUP($A183,'The List'!$B1:$AS671,17,FALSE)," ")</f>
        <v xml:space="preserve"> </v>
      </c>
      <c r="K183" s="84" t="str" cm="1">
        <f t="array" ref="K183">IFERROR(VLOOKUP($A183,'The List'!$B1:$AS671,18,FALSE)," ")</f>
        <v xml:space="preserve"> </v>
      </c>
      <c r="L183" s="84" t="str" cm="1">
        <f t="array" ref="L183">IFERROR(VLOOKUP($A183,'The List'!$B1:$AS671,19,FALSE)," ")</f>
        <v xml:space="preserve"> </v>
      </c>
      <c r="M183" s="84" t="str" cm="1">
        <f t="array" ref="M183">IFERROR(VLOOKUP($A183,'The List'!$B1:$AS671,20,FALSE)," ")</f>
        <v xml:space="preserve"> </v>
      </c>
      <c r="N183" s="84" t="str" cm="1">
        <f t="array" ref="N183">IFERROR(VLOOKUP($A183,'The List'!$B1:$AS671,21,FALSE)," ")</f>
        <v xml:space="preserve"> </v>
      </c>
      <c r="O183" s="84" t="str" cm="1">
        <f t="array" ref="O183">IFERROR(VLOOKUP($A183,'The List'!$B1:$AS671,22,FALSE)," ")</f>
        <v xml:space="preserve"> </v>
      </c>
      <c r="P183" s="84" t="str" cm="1">
        <f t="array" ref="P183">IFERROR(VLOOKUP($A183,'The List'!$B1:$AS671,23,FALSE)," ")</f>
        <v xml:space="preserve"> </v>
      </c>
      <c r="Q183" s="84" t="str" cm="1">
        <f t="array" ref="Q183">IFERROR(VLOOKUP($A183,'The List'!$B1:$AS671,24,FALSE)," ")</f>
        <v xml:space="preserve"> </v>
      </c>
      <c r="R183" s="84" t="str" cm="1">
        <f t="array" ref="R183">IFERROR(VLOOKUP($A183,'The List'!$B1:$AS671,25,FALSE)," ")</f>
        <v xml:space="preserve"> </v>
      </c>
      <c r="S183" s="84" t="str" cm="1">
        <f t="array" ref="S183">IFERROR(VLOOKUP($A183,'The List'!$B1:$AS671,26,FALSE)," ")</f>
        <v xml:space="preserve"> </v>
      </c>
      <c r="T183" s="84" t="str" cm="1">
        <f t="array" ref="T183">IFERROR(VLOOKUP($A183,'The List'!$B1:$AS671,27,FALSE)," ")</f>
        <v xml:space="preserve"> </v>
      </c>
      <c r="U183" s="84" t="str" cm="1">
        <f t="array" ref="U183">IFERROR(VLOOKUP($A183,'The List'!$B1:$AS671,28,FALSE)," ")</f>
        <v xml:space="preserve"> </v>
      </c>
      <c r="V183" s="84" t="str" cm="1">
        <f t="array" ref="V183">IFERROR(VLOOKUP($A183,'The List'!$B1:$AS671,29,FALSE)," ")</f>
        <v xml:space="preserve"> </v>
      </c>
      <c r="W183" s="84" t="str" cm="1">
        <f t="array" ref="W183">IFERROR(VLOOKUP($A183,'The List'!$B1:$AS671,30,FALSE)," ")</f>
        <v xml:space="preserve"> </v>
      </c>
      <c r="X183" s="84" t="str" cm="1">
        <f t="array" ref="X183">IFERROR(VLOOKUP($A183,'The List'!$B1:$AS671,31,FALSE)," ")</f>
        <v xml:space="preserve"> </v>
      </c>
      <c r="Y183" s="84" t="str" cm="1">
        <f t="array" ref="Y183">IFERROR(VLOOKUP($A183,'The List'!$B1:$AS671,32,FALSE)," ")</f>
        <v xml:space="preserve"> </v>
      </c>
      <c r="Z183" s="84" t="str" cm="1">
        <f t="array" ref="Z183">IFERROR(VLOOKUP($A183,'The List'!$B1:$AS671,33,FALSE)," ")</f>
        <v xml:space="preserve"> </v>
      </c>
      <c r="AA183" s="85"/>
      <c r="AB183" s="90"/>
      <c r="AC183" s="90"/>
      <c r="AD183" s="90"/>
      <c r="AE183" s="90"/>
      <c r="AF183" s="90"/>
    </row>
    <row r="184" spans="1:32" ht="21.25" customHeight="1" x14ac:dyDescent="0.15">
      <c r="A184" s="24"/>
      <c r="B184" s="96" t="str" cm="1">
        <f t="array" ref="B184">IFERROR(VLOOKUP($A184,'The List'!$B1:$AS671,3,FALSE)," ")</f>
        <v xml:space="preserve"> </v>
      </c>
      <c r="C184" s="98" t="str" cm="1">
        <f t="array" ref="C184">IFERROR(VLOOKUP($A184,'The List'!$B1:$AS671,4,FALSE)," ")</f>
        <v xml:space="preserve"> </v>
      </c>
      <c r="D184" s="18" t="str" cm="1">
        <f t="array" ref="D184">IFERROR(VLOOKUP($A184,'The List'!$B1:$AS671,5,FALSE)," ")</f>
        <v xml:space="preserve"> </v>
      </c>
      <c r="E184" s="18" t="str" cm="1">
        <f t="array" ref="E184">IFERROR(VLOOKUP($A184,'The List'!$B1:$AS671,6,FALSE)," ")</f>
        <v xml:space="preserve"> </v>
      </c>
      <c r="F184" s="92" t="str" cm="1">
        <f t="array" ref="F184">IFERROR(VLOOKUP($A184,'The List'!$B1:$AS671,8,FALSE)," ")</f>
        <v xml:space="preserve"> </v>
      </c>
      <c r="G184" s="92" t="str" cm="1">
        <f t="array" ref="G184">IFERROR(VLOOKUP($A184,'The List'!$B1:$AS671,10,FALSE)," ")</f>
        <v xml:space="preserve"> </v>
      </c>
      <c r="H184" s="55"/>
      <c r="I184" s="84" t="str" cm="1">
        <f t="array" ref="I184">IFERROR(VLOOKUP($A184,'The List'!$B1:$AS671,16,FALSE)," ")</f>
        <v xml:space="preserve"> </v>
      </c>
      <c r="J184" s="84" t="str" cm="1">
        <f t="array" ref="J184">IFERROR(VLOOKUP($A184,'The List'!$B1:$AS671,17,FALSE)," ")</f>
        <v xml:space="preserve"> </v>
      </c>
      <c r="K184" s="84" t="str" cm="1">
        <f t="array" ref="K184">IFERROR(VLOOKUP($A184,'The List'!$B1:$AS671,18,FALSE)," ")</f>
        <v xml:space="preserve"> </v>
      </c>
      <c r="L184" s="84" t="str" cm="1">
        <f t="array" ref="L184">IFERROR(VLOOKUP($A184,'The List'!$B1:$AS671,19,FALSE)," ")</f>
        <v xml:space="preserve"> </v>
      </c>
      <c r="M184" s="84" t="str" cm="1">
        <f t="array" ref="M184">IFERROR(VLOOKUP($A184,'The List'!$B1:$AS671,20,FALSE)," ")</f>
        <v xml:space="preserve"> </v>
      </c>
      <c r="N184" s="84" t="str" cm="1">
        <f t="array" ref="N184">IFERROR(VLOOKUP($A184,'The List'!$B1:$AS671,21,FALSE)," ")</f>
        <v xml:space="preserve"> </v>
      </c>
      <c r="O184" s="84" t="str" cm="1">
        <f t="array" ref="O184">IFERROR(VLOOKUP($A184,'The List'!$B1:$AS671,22,FALSE)," ")</f>
        <v xml:space="preserve"> </v>
      </c>
      <c r="P184" s="84" t="str" cm="1">
        <f t="array" ref="P184">IFERROR(VLOOKUP($A184,'The List'!$B1:$AS671,23,FALSE)," ")</f>
        <v xml:space="preserve"> </v>
      </c>
      <c r="Q184" s="84" t="str" cm="1">
        <f t="array" ref="Q184">IFERROR(VLOOKUP($A184,'The List'!$B1:$AS671,24,FALSE)," ")</f>
        <v xml:space="preserve"> </v>
      </c>
      <c r="R184" s="84" t="str" cm="1">
        <f t="array" ref="R184">IFERROR(VLOOKUP($A184,'The List'!$B1:$AS671,25,FALSE)," ")</f>
        <v xml:space="preserve"> </v>
      </c>
      <c r="S184" s="84" t="str" cm="1">
        <f t="array" ref="S184">IFERROR(VLOOKUP($A184,'The List'!$B1:$AS671,26,FALSE)," ")</f>
        <v xml:space="preserve"> </v>
      </c>
      <c r="T184" s="84" t="str" cm="1">
        <f t="array" ref="T184">IFERROR(VLOOKUP($A184,'The List'!$B1:$AS671,27,FALSE)," ")</f>
        <v xml:space="preserve"> </v>
      </c>
      <c r="U184" s="84" t="str" cm="1">
        <f t="array" ref="U184">IFERROR(VLOOKUP($A184,'The List'!$B1:$AS671,28,FALSE)," ")</f>
        <v xml:space="preserve"> </v>
      </c>
      <c r="V184" s="84" t="str" cm="1">
        <f t="array" ref="V184">IFERROR(VLOOKUP($A184,'The List'!$B1:$AS671,29,FALSE)," ")</f>
        <v xml:space="preserve"> </v>
      </c>
      <c r="W184" s="84" t="str" cm="1">
        <f t="array" ref="W184">IFERROR(VLOOKUP($A184,'The List'!$B1:$AS671,30,FALSE)," ")</f>
        <v xml:space="preserve"> </v>
      </c>
      <c r="X184" s="84" t="str" cm="1">
        <f t="array" ref="X184">IFERROR(VLOOKUP($A184,'The List'!$B1:$AS671,31,FALSE)," ")</f>
        <v xml:space="preserve"> </v>
      </c>
      <c r="Y184" s="84" t="str" cm="1">
        <f t="array" ref="Y184">IFERROR(VLOOKUP($A184,'The List'!$B1:$AS671,32,FALSE)," ")</f>
        <v xml:space="preserve"> </v>
      </c>
      <c r="Z184" s="84" t="str" cm="1">
        <f t="array" ref="Z184">IFERROR(VLOOKUP($A184,'The List'!$B1:$AS671,33,FALSE)," ")</f>
        <v xml:space="preserve"> </v>
      </c>
      <c r="AA184" s="85"/>
      <c r="AB184" s="90"/>
      <c r="AC184" s="90"/>
      <c r="AD184" s="90"/>
      <c r="AE184" s="90"/>
      <c r="AF184" s="90"/>
    </row>
    <row r="185" spans="1:32" ht="21.25" customHeight="1" x14ac:dyDescent="0.15">
      <c r="A185" s="24"/>
      <c r="B185" s="96" t="str" cm="1">
        <f t="array" ref="B185">IFERROR(VLOOKUP($A185,'The List'!$B1:$AS671,3,FALSE)," ")</f>
        <v xml:space="preserve"> </v>
      </c>
      <c r="C185" s="98" t="str" cm="1">
        <f t="array" ref="C185">IFERROR(VLOOKUP($A185,'The List'!$B1:$AS671,4,FALSE)," ")</f>
        <v xml:space="preserve"> </v>
      </c>
      <c r="D185" s="18" t="str" cm="1">
        <f t="array" ref="D185">IFERROR(VLOOKUP($A185,'The List'!$B1:$AS671,5,FALSE)," ")</f>
        <v xml:space="preserve"> </v>
      </c>
      <c r="E185" s="18" t="str" cm="1">
        <f t="array" ref="E185">IFERROR(VLOOKUP($A185,'The List'!$B1:$AS671,6,FALSE)," ")</f>
        <v xml:space="preserve"> </v>
      </c>
      <c r="F185" s="92" t="str" cm="1">
        <f t="array" ref="F185">IFERROR(VLOOKUP($A185,'The List'!$B1:$AS671,8,FALSE)," ")</f>
        <v xml:space="preserve"> </v>
      </c>
      <c r="G185" s="92" t="str" cm="1">
        <f t="array" ref="G185">IFERROR(VLOOKUP($A185,'The List'!$B1:$AS671,10,FALSE)," ")</f>
        <v xml:space="preserve"> </v>
      </c>
      <c r="H185" s="55"/>
      <c r="I185" s="84" t="str" cm="1">
        <f t="array" ref="I185">IFERROR(VLOOKUP($A185,'The List'!$B1:$AS671,16,FALSE)," ")</f>
        <v xml:space="preserve"> </v>
      </c>
      <c r="J185" s="84" t="str" cm="1">
        <f t="array" ref="J185">IFERROR(VLOOKUP($A185,'The List'!$B1:$AS671,17,FALSE)," ")</f>
        <v xml:space="preserve"> </v>
      </c>
      <c r="K185" s="84" t="str" cm="1">
        <f t="array" ref="K185">IFERROR(VLOOKUP($A185,'The List'!$B1:$AS671,18,FALSE)," ")</f>
        <v xml:space="preserve"> </v>
      </c>
      <c r="L185" s="84" t="str" cm="1">
        <f t="array" ref="L185">IFERROR(VLOOKUP($A185,'The List'!$B1:$AS671,19,FALSE)," ")</f>
        <v xml:space="preserve"> </v>
      </c>
      <c r="M185" s="84" t="str" cm="1">
        <f t="array" ref="M185">IFERROR(VLOOKUP($A185,'The List'!$B1:$AS671,20,FALSE)," ")</f>
        <v xml:space="preserve"> </v>
      </c>
      <c r="N185" s="84" t="str" cm="1">
        <f t="array" ref="N185">IFERROR(VLOOKUP($A185,'The List'!$B1:$AS671,21,FALSE)," ")</f>
        <v xml:space="preserve"> </v>
      </c>
      <c r="O185" s="84" t="str" cm="1">
        <f t="array" ref="O185">IFERROR(VLOOKUP($A185,'The List'!$B1:$AS671,22,FALSE)," ")</f>
        <v xml:space="preserve"> </v>
      </c>
      <c r="P185" s="84" t="str" cm="1">
        <f t="array" ref="P185">IFERROR(VLOOKUP($A185,'The List'!$B1:$AS671,23,FALSE)," ")</f>
        <v xml:space="preserve"> </v>
      </c>
      <c r="Q185" s="84" t="str" cm="1">
        <f t="array" ref="Q185">IFERROR(VLOOKUP($A185,'The List'!$B1:$AS671,24,FALSE)," ")</f>
        <v xml:space="preserve"> </v>
      </c>
      <c r="R185" s="84" t="str" cm="1">
        <f t="array" ref="R185">IFERROR(VLOOKUP($A185,'The List'!$B1:$AS671,25,FALSE)," ")</f>
        <v xml:space="preserve"> </v>
      </c>
      <c r="S185" s="84" t="str" cm="1">
        <f t="array" ref="S185">IFERROR(VLOOKUP($A185,'The List'!$B1:$AS671,26,FALSE)," ")</f>
        <v xml:space="preserve"> </v>
      </c>
      <c r="T185" s="84" t="str" cm="1">
        <f t="array" ref="T185">IFERROR(VLOOKUP($A185,'The List'!$B1:$AS671,27,FALSE)," ")</f>
        <v xml:space="preserve"> </v>
      </c>
      <c r="U185" s="84" t="str" cm="1">
        <f t="array" ref="U185">IFERROR(VLOOKUP($A185,'The List'!$B1:$AS671,28,FALSE)," ")</f>
        <v xml:space="preserve"> </v>
      </c>
      <c r="V185" s="84" t="str" cm="1">
        <f t="array" ref="V185">IFERROR(VLOOKUP($A185,'The List'!$B1:$AS671,29,FALSE)," ")</f>
        <v xml:space="preserve"> </v>
      </c>
      <c r="W185" s="84" t="str" cm="1">
        <f t="array" ref="W185">IFERROR(VLOOKUP($A185,'The List'!$B1:$AS671,30,FALSE)," ")</f>
        <v xml:space="preserve"> </v>
      </c>
      <c r="X185" s="84" t="str" cm="1">
        <f t="array" ref="X185">IFERROR(VLOOKUP($A185,'The List'!$B1:$AS671,31,FALSE)," ")</f>
        <v xml:space="preserve"> </v>
      </c>
      <c r="Y185" s="84" t="str" cm="1">
        <f t="array" ref="Y185">IFERROR(VLOOKUP($A185,'The List'!$B1:$AS671,32,FALSE)," ")</f>
        <v xml:space="preserve"> </v>
      </c>
      <c r="Z185" s="84" t="str" cm="1">
        <f t="array" ref="Z185">IFERROR(VLOOKUP($A185,'The List'!$B1:$AS671,33,FALSE)," ")</f>
        <v xml:space="preserve"> </v>
      </c>
      <c r="AA185" s="85"/>
      <c r="AB185" s="90"/>
      <c r="AC185" s="90"/>
      <c r="AD185" s="90"/>
      <c r="AE185" s="90"/>
      <c r="AF185" s="90"/>
    </row>
    <row r="186" spans="1:32" ht="21.25" customHeight="1" x14ac:dyDescent="0.15">
      <c r="A186" s="24"/>
      <c r="B186" s="96" t="str" cm="1">
        <f t="array" ref="B186">IFERROR(VLOOKUP($A186,'The List'!$B1:$AS671,3,FALSE)," ")</f>
        <v xml:space="preserve"> </v>
      </c>
      <c r="C186" s="98" t="str" cm="1">
        <f t="array" ref="C186">IFERROR(VLOOKUP($A186,'The List'!$B1:$AS671,4,FALSE)," ")</f>
        <v xml:space="preserve"> </v>
      </c>
      <c r="D186" s="18" t="str" cm="1">
        <f t="array" ref="D186">IFERROR(VLOOKUP($A186,'The List'!$B1:$AS671,5,FALSE)," ")</f>
        <v xml:space="preserve"> </v>
      </c>
      <c r="E186" s="18" t="str" cm="1">
        <f t="array" ref="E186">IFERROR(VLOOKUP($A186,'The List'!$B1:$AS671,6,FALSE)," ")</f>
        <v xml:space="preserve"> </v>
      </c>
      <c r="F186" s="92" t="str" cm="1">
        <f t="array" ref="F186">IFERROR(VLOOKUP($A186,'The List'!$B1:$AS671,8,FALSE)," ")</f>
        <v xml:space="preserve"> </v>
      </c>
      <c r="G186" s="92" t="str" cm="1">
        <f t="array" ref="G186">IFERROR(VLOOKUP($A186,'The List'!$B1:$AS671,10,FALSE)," ")</f>
        <v xml:space="preserve"> </v>
      </c>
      <c r="H186" s="55"/>
      <c r="I186" s="84" t="str" cm="1">
        <f t="array" ref="I186">IFERROR(VLOOKUP($A186,'The List'!$B1:$AS671,16,FALSE)," ")</f>
        <v xml:space="preserve"> </v>
      </c>
      <c r="J186" s="84" t="str" cm="1">
        <f t="array" ref="J186">IFERROR(VLOOKUP($A186,'The List'!$B1:$AS671,17,FALSE)," ")</f>
        <v xml:space="preserve"> </v>
      </c>
      <c r="K186" s="84" t="str" cm="1">
        <f t="array" ref="K186">IFERROR(VLOOKUP($A186,'The List'!$B1:$AS671,18,FALSE)," ")</f>
        <v xml:space="preserve"> </v>
      </c>
      <c r="L186" s="84" t="str" cm="1">
        <f t="array" ref="L186">IFERROR(VLOOKUP($A186,'The List'!$B1:$AS671,19,FALSE)," ")</f>
        <v xml:space="preserve"> </v>
      </c>
      <c r="M186" s="84" t="str" cm="1">
        <f t="array" ref="M186">IFERROR(VLOOKUP($A186,'The List'!$B1:$AS671,20,FALSE)," ")</f>
        <v xml:space="preserve"> </v>
      </c>
      <c r="N186" s="84" t="str" cm="1">
        <f t="array" ref="N186">IFERROR(VLOOKUP($A186,'The List'!$B1:$AS671,21,FALSE)," ")</f>
        <v xml:space="preserve"> </v>
      </c>
      <c r="O186" s="84" t="str" cm="1">
        <f t="array" ref="O186">IFERROR(VLOOKUP($A186,'The List'!$B1:$AS671,22,FALSE)," ")</f>
        <v xml:space="preserve"> </v>
      </c>
      <c r="P186" s="84" t="str" cm="1">
        <f t="array" ref="P186">IFERROR(VLOOKUP($A186,'The List'!$B1:$AS671,23,FALSE)," ")</f>
        <v xml:space="preserve"> </v>
      </c>
      <c r="Q186" s="84" t="str" cm="1">
        <f t="array" ref="Q186">IFERROR(VLOOKUP($A186,'The List'!$B1:$AS671,24,FALSE)," ")</f>
        <v xml:space="preserve"> </v>
      </c>
      <c r="R186" s="84" t="str" cm="1">
        <f t="array" ref="R186">IFERROR(VLOOKUP($A186,'The List'!$B1:$AS671,25,FALSE)," ")</f>
        <v xml:space="preserve"> </v>
      </c>
      <c r="S186" s="84" t="str" cm="1">
        <f t="array" ref="S186">IFERROR(VLOOKUP($A186,'The List'!$B1:$AS671,26,FALSE)," ")</f>
        <v xml:space="preserve"> </v>
      </c>
      <c r="T186" s="84" t="str" cm="1">
        <f t="array" ref="T186">IFERROR(VLOOKUP($A186,'The List'!$B1:$AS671,27,FALSE)," ")</f>
        <v xml:space="preserve"> </v>
      </c>
      <c r="U186" s="84" t="str" cm="1">
        <f t="array" ref="U186">IFERROR(VLOOKUP($A186,'The List'!$B1:$AS671,28,FALSE)," ")</f>
        <v xml:space="preserve"> </v>
      </c>
      <c r="V186" s="84" t="str" cm="1">
        <f t="array" ref="V186">IFERROR(VLOOKUP($A186,'The List'!$B1:$AS671,29,FALSE)," ")</f>
        <v xml:space="preserve"> </v>
      </c>
      <c r="W186" s="84" t="str" cm="1">
        <f t="array" ref="W186">IFERROR(VLOOKUP($A186,'The List'!$B1:$AS671,30,FALSE)," ")</f>
        <v xml:space="preserve"> </v>
      </c>
      <c r="X186" s="84" t="str" cm="1">
        <f t="array" ref="X186">IFERROR(VLOOKUP($A186,'The List'!$B1:$AS671,31,FALSE)," ")</f>
        <v xml:space="preserve"> </v>
      </c>
      <c r="Y186" s="84" t="str" cm="1">
        <f t="array" ref="Y186">IFERROR(VLOOKUP($A186,'The List'!$B1:$AS671,32,FALSE)," ")</f>
        <v xml:space="preserve"> </v>
      </c>
      <c r="Z186" s="84" t="str" cm="1">
        <f t="array" ref="Z186">IFERROR(VLOOKUP($A186,'The List'!$B1:$AS671,33,FALSE)," ")</f>
        <v xml:space="preserve"> </v>
      </c>
      <c r="AA186" s="85"/>
      <c r="AB186" s="90"/>
      <c r="AC186" s="90"/>
      <c r="AD186" s="90"/>
      <c r="AE186" s="90"/>
      <c r="AF186" s="90"/>
    </row>
    <row r="187" spans="1:32" ht="21.25" customHeight="1" x14ac:dyDescent="0.15">
      <c r="A187" s="24"/>
      <c r="B187" s="96" t="str" cm="1">
        <f t="array" ref="B187">IFERROR(VLOOKUP($A187,'The List'!$B1:$AS671,3,FALSE)," ")</f>
        <v xml:space="preserve"> </v>
      </c>
      <c r="C187" s="98" t="str" cm="1">
        <f t="array" ref="C187">IFERROR(VLOOKUP($A187,'The List'!$B1:$AS671,4,FALSE)," ")</f>
        <v xml:space="preserve"> </v>
      </c>
      <c r="D187" s="18" t="str" cm="1">
        <f t="array" ref="D187">IFERROR(VLOOKUP($A187,'The List'!$B1:$AS671,5,FALSE)," ")</f>
        <v xml:space="preserve"> </v>
      </c>
      <c r="E187" s="18" t="str" cm="1">
        <f t="array" ref="E187">IFERROR(VLOOKUP($A187,'The List'!$B1:$AS671,6,FALSE)," ")</f>
        <v xml:space="preserve"> </v>
      </c>
      <c r="F187" s="92" t="str" cm="1">
        <f t="array" ref="F187">IFERROR(VLOOKUP($A187,'The List'!$B1:$AS671,8,FALSE)," ")</f>
        <v xml:space="preserve"> </v>
      </c>
      <c r="G187" s="92" t="str" cm="1">
        <f t="array" ref="G187">IFERROR(VLOOKUP($A187,'The List'!$B1:$AS671,10,FALSE)," ")</f>
        <v xml:space="preserve"> </v>
      </c>
      <c r="H187" s="55"/>
      <c r="I187" s="84" t="str" cm="1">
        <f t="array" ref="I187">IFERROR(VLOOKUP($A187,'The List'!$B1:$AS671,16,FALSE)," ")</f>
        <v xml:space="preserve"> </v>
      </c>
      <c r="J187" s="84" t="str" cm="1">
        <f t="array" ref="J187">IFERROR(VLOOKUP($A187,'The List'!$B1:$AS671,17,FALSE)," ")</f>
        <v xml:space="preserve"> </v>
      </c>
      <c r="K187" s="84" t="str" cm="1">
        <f t="array" ref="K187">IFERROR(VLOOKUP($A187,'The List'!$B1:$AS671,18,FALSE)," ")</f>
        <v xml:space="preserve"> </v>
      </c>
      <c r="L187" s="84" t="str" cm="1">
        <f t="array" ref="L187">IFERROR(VLOOKUP($A187,'The List'!$B1:$AS671,19,FALSE)," ")</f>
        <v xml:space="preserve"> </v>
      </c>
      <c r="M187" s="84" t="str" cm="1">
        <f t="array" ref="M187">IFERROR(VLOOKUP($A187,'The List'!$B1:$AS671,20,FALSE)," ")</f>
        <v xml:space="preserve"> </v>
      </c>
      <c r="N187" s="84" t="str" cm="1">
        <f t="array" ref="N187">IFERROR(VLOOKUP($A187,'The List'!$B1:$AS671,21,FALSE)," ")</f>
        <v xml:space="preserve"> </v>
      </c>
      <c r="O187" s="84" t="str" cm="1">
        <f t="array" ref="O187">IFERROR(VLOOKUP($A187,'The List'!$B1:$AS671,22,FALSE)," ")</f>
        <v xml:space="preserve"> </v>
      </c>
      <c r="P187" s="84" t="str" cm="1">
        <f t="array" ref="P187">IFERROR(VLOOKUP($A187,'The List'!$B1:$AS671,23,FALSE)," ")</f>
        <v xml:space="preserve"> </v>
      </c>
      <c r="Q187" s="84" t="str" cm="1">
        <f t="array" ref="Q187">IFERROR(VLOOKUP($A187,'The List'!$B1:$AS671,24,FALSE)," ")</f>
        <v xml:space="preserve"> </v>
      </c>
      <c r="R187" s="84" t="str" cm="1">
        <f t="array" ref="R187">IFERROR(VLOOKUP($A187,'The List'!$B1:$AS671,25,FALSE)," ")</f>
        <v xml:space="preserve"> </v>
      </c>
      <c r="S187" s="84" t="str" cm="1">
        <f t="array" ref="S187">IFERROR(VLOOKUP($A187,'The List'!$B1:$AS671,26,FALSE)," ")</f>
        <v xml:space="preserve"> </v>
      </c>
      <c r="T187" s="84" t="str" cm="1">
        <f t="array" ref="T187">IFERROR(VLOOKUP($A187,'The List'!$B1:$AS671,27,FALSE)," ")</f>
        <v xml:space="preserve"> </v>
      </c>
      <c r="U187" s="84" t="str" cm="1">
        <f t="array" ref="U187">IFERROR(VLOOKUP($A187,'The List'!$B1:$AS671,28,FALSE)," ")</f>
        <v xml:space="preserve"> </v>
      </c>
      <c r="V187" s="84" t="str" cm="1">
        <f t="array" ref="V187">IFERROR(VLOOKUP($A187,'The List'!$B1:$AS671,29,FALSE)," ")</f>
        <v xml:space="preserve"> </v>
      </c>
      <c r="W187" s="84" t="str" cm="1">
        <f t="array" ref="W187">IFERROR(VLOOKUP($A187,'The List'!$B1:$AS671,30,FALSE)," ")</f>
        <v xml:space="preserve"> </v>
      </c>
      <c r="X187" s="84" t="str" cm="1">
        <f t="array" ref="X187">IFERROR(VLOOKUP($A187,'The List'!$B1:$AS671,31,FALSE)," ")</f>
        <v xml:space="preserve"> </v>
      </c>
      <c r="Y187" s="84" t="str" cm="1">
        <f t="array" ref="Y187">IFERROR(VLOOKUP($A187,'The List'!$B1:$AS671,32,FALSE)," ")</f>
        <v xml:space="preserve"> </v>
      </c>
      <c r="Z187" s="84" t="str" cm="1">
        <f t="array" ref="Z187">IFERROR(VLOOKUP($A187,'The List'!$B1:$AS671,33,FALSE)," ")</f>
        <v xml:space="preserve"> </v>
      </c>
      <c r="AA187" s="85"/>
      <c r="AB187" s="90"/>
      <c r="AC187" s="90"/>
      <c r="AD187" s="90"/>
      <c r="AE187" s="90"/>
      <c r="AF187" s="90"/>
    </row>
    <row r="188" spans="1:32" ht="21.25" customHeight="1" x14ac:dyDescent="0.15">
      <c r="A188" s="24"/>
      <c r="B188" s="99" t="str" cm="1">
        <f t="array" ref="B188">IFERROR(VLOOKUP($A188,'The List'!$B1:$AS671,3,FALSE)," ")</f>
        <v xml:space="preserve"> </v>
      </c>
      <c r="C188" s="101" t="str" cm="1">
        <f t="array" ref="C188">IFERROR(VLOOKUP($A188,'The List'!$B1:$AS671,4,FALSE)," ")</f>
        <v xml:space="preserve"> </v>
      </c>
      <c r="D188" s="18" t="str" cm="1">
        <f t="array" ref="D188">IFERROR(VLOOKUP($A188,'The List'!$B1:$AS671,5,FALSE)," ")</f>
        <v xml:space="preserve"> </v>
      </c>
      <c r="E188" s="18" t="str" cm="1">
        <f t="array" ref="E188">IFERROR(VLOOKUP($A188,'The List'!$B1:$AS671,6,FALSE)," ")</f>
        <v xml:space="preserve"> </v>
      </c>
      <c r="F188" s="92" t="str" cm="1">
        <f t="array" ref="F188">IFERROR(VLOOKUP($A188,'The List'!$B1:$AS671,8,FALSE)," ")</f>
        <v xml:space="preserve"> </v>
      </c>
      <c r="G188" s="92" t="str" cm="1">
        <f t="array" ref="G188">IFERROR(VLOOKUP($A188,'The List'!$B1:$AS671,10,FALSE)," ")</f>
        <v xml:space="preserve"> </v>
      </c>
      <c r="H188" s="55"/>
      <c r="I188" s="84" t="str" cm="1">
        <f t="array" ref="I188">IFERROR(VLOOKUP($A188,'The List'!$B1:$AS671,16,FALSE)," ")</f>
        <v xml:space="preserve"> </v>
      </c>
      <c r="J188" s="84" t="str" cm="1">
        <f t="array" ref="J188">IFERROR(VLOOKUP($A188,'The List'!$B1:$AS671,17,FALSE)," ")</f>
        <v xml:space="preserve"> </v>
      </c>
      <c r="K188" s="84" t="str" cm="1">
        <f t="array" ref="K188">IFERROR(VLOOKUP($A188,'The List'!$B1:$AS671,18,FALSE)," ")</f>
        <v xml:space="preserve"> </v>
      </c>
      <c r="L188" s="84" t="str" cm="1">
        <f t="array" ref="L188">IFERROR(VLOOKUP($A188,'The List'!$B1:$AS671,19,FALSE)," ")</f>
        <v xml:space="preserve"> </v>
      </c>
      <c r="M188" s="84" t="str" cm="1">
        <f t="array" ref="M188">IFERROR(VLOOKUP($A188,'The List'!$B1:$AS671,20,FALSE)," ")</f>
        <v xml:space="preserve"> </v>
      </c>
      <c r="N188" s="84" t="str" cm="1">
        <f t="array" ref="N188">IFERROR(VLOOKUP($A188,'The List'!$B1:$AS671,21,FALSE)," ")</f>
        <v xml:space="preserve"> </v>
      </c>
      <c r="O188" s="84" t="str" cm="1">
        <f t="array" ref="O188">IFERROR(VLOOKUP($A188,'The List'!$B1:$AS671,22,FALSE)," ")</f>
        <v xml:space="preserve"> </v>
      </c>
      <c r="P188" s="84" t="str" cm="1">
        <f t="array" ref="P188">IFERROR(VLOOKUP($A188,'The List'!$B1:$AS671,23,FALSE)," ")</f>
        <v xml:space="preserve"> </v>
      </c>
      <c r="Q188" s="84" t="str" cm="1">
        <f t="array" ref="Q188">IFERROR(VLOOKUP($A188,'The List'!$B1:$AS671,24,FALSE)," ")</f>
        <v xml:space="preserve"> </v>
      </c>
      <c r="R188" s="84" t="str" cm="1">
        <f t="array" ref="R188">IFERROR(VLOOKUP($A188,'The List'!$B1:$AS671,25,FALSE)," ")</f>
        <v xml:space="preserve"> </v>
      </c>
      <c r="S188" s="84" t="str" cm="1">
        <f t="array" ref="S188">IFERROR(VLOOKUP($A188,'The List'!$B1:$AS671,26,FALSE)," ")</f>
        <v xml:space="preserve"> </v>
      </c>
      <c r="T188" s="84" t="str" cm="1">
        <f t="array" ref="T188">IFERROR(VLOOKUP($A188,'The List'!$B1:$AS671,27,FALSE)," ")</f>
        <v xml:space="preserve"> </v>
      </c>
      <c r="U188" s="84" t="str" cm="1">
        <f t="array" ref="U188">IFERROR(VLOOKUP($A188,'The List'!$B1:$AS671,28,FALSE)," ")</f>
        <v xml:space="preserve"> </v>
      </c>
      <c r="V188" s="84" t="str" cm="1">
        <f t="array" ref="V188">IFERROR(VLOOKUP($A188,'The List'!$B1:$AS671,29,FALSE)," ")</f>
        <v xml:space="preserve"> </v>
      </c>
      <c r="W188" s="84" t="str" cm="1">
        <f t="array" ref="W188">IFERROR(VLOOKUP($A188,'The List'!$B1:$AS671,30,FALSE)," ")</f>
        <v xml:space="preserve"> </v>
      </c>
      <c r="X188" s="84" t="str" cm="1">
        <f t="array" ref="X188">IFERROR(VLOOKUP($A188,'The List'!$B1:$AS671,31,FALSE)," ")</f>
        <v xml:space="preserve"> </v>
      </c>
      <c r="Y188" s="84" t="str" cm="1">
        <f t="array" ref="Y188">IFERROR(VLOOKUP($A188,'The List'!$B1:$AS671,32,FALSE)," ")</f>
        <v xml:space="preserve"> </v>
      </c>
      <c r="Z188" s="84" t="str" cm="1">
        <f t="array" ref="Z188">IFERROR(VLOOKUP($A188,'The List'!$B1:$AS671,33,FALSE)," ")</f>
        <v xml:space="preserve"> </v>
      </c>
      <c r="AA188" s="85"/>
      <c r="AB188" s="90"/>
      <c r="AC188" s="90"/>
      <c r="AD188" s="90"/>
      <c r="AE188" s="90"/>
      <c r="AF188" s="90"/>
    </row>
    <row r="189" spans="1:32" ht="21.25" customHeight="1" x14ac:dyDescent="0.15">
      <c r="A189" s="24"/>
      <c r="B189" s="99" t="str" cm="1">
        <f t="array" ref="B189">IFERROR(VLOOKUP($A189,'The List'!$B1:$AS671,3,FALSE)," ")</f>
        <v xml:space="preserve"> </v>
      </c>
      <c r="C189" s="101" t="str" cm="1">
        <f t="array" ref="C189">IFERROR(VLOOKUP($A189,'The List'!$B1:$AS671,4,FALSE)," ")</f>
        <v xml:space="preserve"> </v>
      </c>
      <c r="D189" s="18" t="str" cm="1">
        <f t="array" ref="D189">IFERROR(VLOOKUP($A189,'The List'!$B1:$AS671,5,FALSE)," ")</f>
        <v xml:space="preserve"> </v>
      </c>
      <c r="E189" s="18" t="str" cm="1">
        <f t="array" ref="E189">IFERROR(VLOOKUP($A189,'The List'!$B1:$AS671,6,FALSE)," ")</f>
        <v xml:space="preserve"> </v>
      </c>
      <c r="F189" s="92" t="str" cm="1">
        <f t="array" ref="F189">IFERROR(VLOOKUP($A189,'The List'!$B1:$AS671,8,FALSE)," ")</f>
        <v xml:space="preserve"> </v>
      </c>
      <c r="G189" s="92" t="str" cm="1">
        <f t="array" ref="G189">IFERROR(VLOOKUP($A189,'The List'!$B1:$AS671,10,FALSE)," ")</f>
        <v xml:space="preserve"> </v>
      </c>
      <c r="H189" s="55"/>
      <c r="I189" s="84" t="str" cm="1">
        <f t="array" ref="I189">IFERROR(VLOOKUP($A189,'The List'!$B1:$AS671,16,FALSE)," ")</f>
        <v xml:space="preserve"> </v>
      </c>
      <c r="J189" s="84" t="str" cm="1">
        <f t="array" ref="J189">IFERROR(VLOOKUP($A189,'The List'!$B1:$AS671,17,FALSE)," ")</f>
        <v xml:space="preserve"> </v>
      </c>
      <c r="K189" s="84" t="str" cm="1">
        <f t="array" ref="K189">IFERROR(VLOOKUP($A189,'The List'!$B1:$AS671,18,FALSE)," ")</f>
        <v xml:space="preserve"> </v>
      </c>
      <c r="L189" s="84" t="str" cm="1">
        <f t="array" ref="L189">IFERROR(VLOOKUP($A189,'The List'!$B1:$AS671,19,FALSE)," ")</f>
        <v xml:space="preserve"> </v>
      </c>
      <c r="M189" s="84" t="str" cm="1">
        <f t="array" ref="M189">IFERROR(VLOOKUP($A189,'The List'!$B1:$AS671,20,FALSE)," ")</f>
        <v xml:space="preserve"> </v>
      </c>
      <c r="N189" s="84" t="str" cm="1">
        <f t="array" ref="N189">IFERROR(VLOOKUP($A189,'The List'!$B1:$AS671,21,FALSE)," ")</f>
        <v xml:space="preserve"> </v>
      </c>
      <c r="O189" s="84" t="str" cm="1">
        <f t="array" ref="O189">IFERROR(VLOOKUP($A189,'The List'!$B1:$AS671,22,FALSE)," ")</f>
        <v xml:space="preserve"> </v>
      </c>
      <c r="P189" s="84" t="str" cm="1">
        <f t="array" ref="P189">IFERROR(VLOOKUP($A189,'The List'!$B1:$AS671,23,FALSE)," ")</f>
        <v xml:space="preserve"> </v>
      </c>
      <c r="Q189" s="84" t="str" cm="1">
        <f t="array" ref="Q189">IFERROR(VLOOKUP($A189,'The List'!$B1:$AS671,24,FALSE)," ")</f>
        <v xml:space="preserve"> </v>
      </c>
      <c r="R189" s="84" t="str" cm="1">
        <f t="array" ref="R189">IFERROR(VLOOKUP($A189,'The List'!$B1:$AS671,25,FALSE)," ")</f>
        <v xml:space="preserve"> </v>
      </c>
      <c r="S189" s="84" t="str" cm="1">
        <f t="array" ref="S189">IFERROR(VLOOKUP($A189,'The List'!$B1:$AS671,26,FALSE)," ")</f>
        <v xml:space="preserve"> </v>
      </c>
      <c r="T189" s="84" t="str" cm="1">
        <f t="array" ref="T189">IFERROR(VLOOKUP($A189,'The List'!$B1:$AS671,27,FALSE)," ")</f>
        <v xml:space="preserve"> </v>
      </c>
      <c r="U189" s="84" t="str" cm="1">
        <f t="array" ref="U189">IFERROR(VLOOKUP($A189,'The List'!$B1:$AS671,28,FALSE)," ")</f>
        <v xml:space="preserve"> </v>
      </c>
      <c r="V189" s="84" t="str" cm="1">
        <f t="array" ref="V189">IFERROR(VLOOKUP($A189,'The List'!$B1:$AS671,29,FALSE)," ")</f>
        <v xml:space="preserve"> </v>
      </c>
      <c r="W189" s="84" t="str" cm="1">
        <f t="array" ref="W189">IFERROR(VLOOKUP($A189,'The List'!$B1:$AS671,30,FALSE)," ")</f>
        <v xml:space="preserve"> </v>
      </c>
      <c r="X189" s="84" t="str" cm="1">
        <f t="array" ref="X189">IFERROR(VLOOKUP($A189,'The List'!$B1:$AS671,31,FALSE)," ")</f>
        <v xml:space="preserve"> </v>
      </c>
      <c r="Y189" s="84" t="str" cm="1">
        <f t="array" ref="Y189">IFERROR(VLOOKUP($A189,'The List'!$B1:$AS671,32,FALSE)," ")</f>
        <v xml:space="preserve"> </v>
      </c>
      <c r="Z189" s="84" t="str" cm="1">
        <f t="array" ref="Z189">IFERROR(VLOOKUP($A189,'The List'!$B1:$AS671,33,FALSE)," ")</f>
        <v xml:space="preserve"> </v>
      </c>
      <c r="AA189" s="85"/>
      <c r="AB189" s="90"/>
      <c r="AC189" s="90"/>
      <c r="AD189" s="90"/>
      <c r="AE189" s="90"/>
      <c r="AF189" s="90"/>
    </row>
    <row r="190" spans="1:32" ht="21.25" customHeight="1" x14ac:dyDescent="0.15">
      <c r="A190" s="24"/>
      <c r="B190" s="99" t="str" cm="1">
        <f t="array" ref="B190">IFERROR(VLOOKUP($A190,'The List'!$B1:$AS671,3,FALSE)," ")</f>
        <v xml:space="preserve"> </v>
      </c>
      <c r="C190" s="101" t="str" cm="1">
        <f t="array" ref="C190">IFERROR(VLOOKUP($A190,'The List'!$B1:$AS671,4,FALSE)," ")</f>
        <v xml:space="preserve"> </v>
      </c>
      <c r="D190" s="18" t="str" cm="1">
        <f t="array" ref="D190">IFERROR(VLOOKUP($A190,'The List'!$B1:$AS671,5,FALSE)," ")</f>
        <v xml:space="preserve"> </v>
      </c>
      <c r="E190" s="18" t="str" cm="1">
        <f t="array" ref="E190">IFERROR(VLOOKUP($A190,'The List'!$B1:$AS671,6,FALSE)," ")</f>
        <v xml:space="preserve"> </v>
      </c>
      <c r="F190" s="92" t="str" cm="1">
        <f t="array" ref="F190">IFERROR(VLOOKUP($A190,'The List'!$B1:$AS671,8,FALSE)," ")</f>
        <v xml:space="preserve"> </v>
      </c>
      <c r="G190" s="92" t="str" cm="1">
        <f t="array" ref="G190">IFERROR(VLOOKUP($A190,'The List'!$B1:$AS671,10,FALSE)," ")</f>
        <v xml:space="preserve"> </v>
      </c>
      <c r="H190" s="55"/>
      <c r="I190" s="84" t="str" cm="1">
        <f t="array" ref="I190">IFERROR(VLOOKUP($A190,'The List'!$B1:$AS671,16,FALSE)," ")</f>
        <v xml:space="preserve"> </v>
      </c>
      <c r="J190" s="84" t="str" cm="1">
        <f t="array" ref="J190">IFERROR(VLOOKUP($A190,'The List'!$B1:$AS671,17,FALSE)," ")</f>
        <v xml:space="preserve"> </v>
      </c>
      <c r="K190" s="84" t="str" cm="1">
        <f t="array" ref="K190">IFERROR(VLOOKUP($A190,'The List'!$B1:$AS671,18,FALSE)," ")</f>
        <v xml:space="preserve"> </v>
      </c>
      <c r="L190" s="84" t="str" cm="1">
        <f t="array" ref="L190">IFERROR(VLOOKUP($A190,'The List'!$B1:$AS671,19,FALSE)," ")</f>
        <v xml:space="preserve"> </v>
      </c>
      <c r="M190" s="84" t="str" cm="1">
        <f t="array" ref="M190">IFERROR(VLOOKUP($A190,'The List'!$B1:$AS671,20,FALSE)," ")</f>
        <v xml:space="preserve"> </v>
      </c>
      <c r="N190" s="84" t="str" cm="1">
        <f t="array" ref="N190">IFERROR(VLOOKUP($A190,'The List'!$B1:$AS671,21,FALSE)," ")</f>
        <v xml:space="preserve"> </v>
      </c>
      <c r="O190" s="84" t="str" cm="1">
        <f t="array" ref="O190">IFERROR(VLOOKUP($A190,'The List'!$B1:$AS671,22,FALSE)," ")</f>
        <v xml:space="preserve"> </v>
      </c>
      <c r="P190" s="84" t="str" cm="1">
        <f t="array" ref="P190">IFERROR(VLOOKUP($A190,'The List'!$B1:$AS671,23,FALSE)," ")</f>
        <v xml:space="preserve"> </v>
      </c>
      <c r="Q190" s="84" t="str" cm="1">
        <f t="array" ref="Q190">IFERROR(VLOOKUP($A190,'The List'!$B1:$AS671,24,FALSE)," ")</f>
        <v xml:space="preserve"> </v>
      </c>
      <c r="R190" s="84" t="str" cm="1">
        <f t="array" ref="R190">IFERROR(VLOOKUP($A190,'The List'!$B1:$AS671,25,FALSE)," ")</f>
        <v xml:space="preserve"> </v>
      </c>
      <c r="S190" s="84" t="str" cm="1">
        <f t="array" ref="S190">IFERROR(VLOOKUP($A190,'The List'!$B1:$AS671,26,FALSE)," ")</f>
        <v xml:space="preserve"> </v>
      </c>
      <c r="T190" s="84" t="str" cm="1">
        <f t="array" ref="T190">IFERROR(VLOOKUP($A190,'The List'!$B1:$AS671,27,FALSE)," ")</f>
        <v xml:space="preserve"> </v>
      </c>
      <c r="U190" s="84" t="str" cm="1">
        <f t="array" ref="U190">IFERROR(VLOOKUP($A190,'The List'!$B1:$AS671,28,FALSE)," ")</f>
        <v xml:space="preserve"> </v>
      </c>
      <c r="V190" s="84" t="str" cm="1">
        <f t="array" ref="V190">IFERROR(VLOOKUP($A190,'The List'!$B1:$AS671,29,FALSE)," ")</f>
        <v xml:space="preserve"> </v>
      </c>
      <c r="W190" s="84" t="str" cm="1">
        <f t="array" ref="W190">IFERROR(VLOOKUP($A190,'The List'!$B1:$AS671,30,FALSE)," ")</f>
        <v xml:space="preserve"> </v>
      </c>
      <c r="X190" s="84" t="str" cm="1">
        <f t="array" ref="X190">IFERROR(VLOOKUP($A190,'The List'!$B1:$AS671,31,FALSE)," ")</f>
        <v xml:space="preserve"> </v>
      </c>
      <c r="Y190" s="84" t="str" cm="1">
        <f t="array" ref="Y190">IFERROR(VLOOKUP($A190,'The List'!$B1:$AS671,32,FALSE)," ")</f>
        <v xml:space="preserve"> </v>
      </c>
      <c r="Z190" s="84" t="str" cm="1">
        <f t="array" ref="Z190">IFERROR(VLOOKUP($A190,'The List'!$B1:$AS671,33,FALSE)," ")</f>
        <v xml:space="preserve"> </v>
      </c>
      <c r="AA190" s="85"/>
      <c r="AB190" s="90"/>
      <c r="AC190" s="90"/>
      <c r="AD190" s="90"/>
      <c r="AE190" s="90"/>
      <c r="AF190" s="90"/>
    </row>
    <row r="191" spans="1:32" ht="21.25" customHeight="1" x14ac:dyDescent="0.15">
      <c r="A191" s="24"/>
      <c r="B191" s="99" t="str" cm="1">
        <f t="array" ref="B191">IFERROR(VLOOKUP($A191,'The List'!$B1:$AS671,3,FALSE)," ")</f>
        <v xml:space="preserve"> </v>
      </c>
      <c r="C191" s="101" t="str" cm="1">
        <f t="array" ref="C191">IFERROR(VLOOKUP($A191,'The List'!$B1:$AS671,4,FALSE)," ")</f>
        <v xml:space="preserve"> </v>
      </c>
      <c r="D191" s="18" t="str" cm="1">
        <f t="array" ref="D191">IFERROR(VLOOKUP($A191,'The List'!$B1:$AS671,5,FALSE)," ")</f>
        <v xml:space="preserve"> </v>
      </c>
      <c r="E191" s="18" t="str" cm="1">
        <f t="array" ref="E191">IFERROR(VLOOKUP($A191,'The List'!$B1:$AS671,6,FALSE)," ")</f>
        <v xml:space="preserve"> </v>
      </c>
      <c r="F191" s="92" t="str" cm="1">
        <f t="array" ref="F191">IFERROR(VLOOKUP($A191,'The List'!$B1:$AS671,8,FALSE)," ")</f>
        <v xml:space="preserve"> </v>
      </c>
      <c r="G191" s="92" t="str" cm="1">
        <f t="array" ref="G191">IFERROR(VLOOKUP($A191,'The List'!$B1:$AS671,10,FALSE)," ")</f>
        <v xml:space="preserve"> </v>
      </c>
      <c r="H191" s="55"/>
      <c r="I191" s="84" t="str" cm="1">
        <f t="array" ref="I191">IFERROR(VLOOKUP($A191,'The List'!$B1:$AS671,16,FALSE)," ")</f>
        <v xml:space="preserve"> </v>
      </c>
      <c r="J191" s="84" t="str" cm="1">
        <f t="array" ref="J191">IFERROR(VLOOKUP($A191,'The List'!$B1:$AS671,17,FALSE)," ")</f>
        <v xml:space="preserve"> </v>
      </c>
      <c r="K191" s="84" t="str" cm="1">
        <f t="array" ref="K191">IFERROR(VLOOKUP($A191,'The List'!$B1:$AS671,18,FALSE)," ")</f>
        <v xml:space="preserve"> </v>
      </c>
      <c r="L191" s="84" t="str" cm="1">
        <f t="array" ref="L191">IFERROR(VLOOKUP($A191,'The List'!$B1:$AS671,19,FALSE)," ")</f>
        <v xml:space="preserve"> </v>
      </c>
      <c r="M191" s="84" t="str" cm="1">
        <f t="array" ref="M191">IFERROR(VLOOKUP($A191,'The List'!$B1:$AS671,20,FALSE)," ")</f>
        <v xml:space="preserve"> </v>
      </c>
      <c r="N191" s="84" t="str" cm="1">
        <f t="array" ref="N191">IFERROR(VLOOKUP($A191,'The List'!$B1:$AS671,21,FALSE)," ")</f>
        <v xml:space="preserve"> </v>
      </c>
      <c r="O191" s="84" t="str" cm="1">
        <f t="array" ref="O191">IFERROR(VLOOKUP($A191,'The List'!$B1:$AS671,22,FALSE)," ")</f>
        <v xml:space="preserve"> </v>
      </c>
      <c r="P191" s="84" t="str" cm="1">
        <f t="array" ref="P191">IFERROR(VLOOKUP($A191,'The List'!$B1:$AS671,23,FALSE)," ")</f>
        <v xml:space="preserve"> </v>
      </c>
      <c r="Q191" s="84" t="str" cm="1">
        <f t="array" ref="Q191">IFERROR(VLOOKUP($A191,'The List'!$B1:$AS671,24,FALSE)," ")</f>
        <v xml:space="preserve"> </v>
      </c>
      <c r="R191" s="84" t="str" cm="1">
        <f t="array" ref="R191">IFERROR(VLOOKUP($A191,'The List'!$B1:$AS671,25,FALSE)," ")</f>
        <v xml:space="preserve"> </v>
      </c>
      <c r="S191" s="84" t="str" cm="1">
        <f t="array" ref="S191">IFERROR(VLOOKUP($A191,'The List'!$B1:$AS671,26,FALSE)," ")</f>
        <v xml:space="preserve"> </v>
      </c>
      <c r="T191" s="84" t="str" cm="1">
        <f t="array" ref="T191">IFERROR(VLOOKUP($A191,'The List'!$B1:$AS671,27,FALSE)," ")</f>
        <v xml:space="preserve"> </v>
      </c>
      <c r="U191" s="84" t="str" cm="1">
        <f t="array" ref="U191">IFERROR(VLOOKUP($A191,'The List'!$B1:$AS671,28,FALSE)," ")</f>
        <v xml:space="preserve"> </v>
      </c>
      <c r="V191" s="84" t="str" cm="1">
        <f t="array" ref="V191">IFERROR(VLOOKUP($A191,'The List'!$B1:$AS671,29,FALSE)," ")</f>
        <v xml:space="preserve"> </v>
      </c>
      <c r="W191" s="84" t="str" cm="1">
        <f t="array" ref="W191">IFERROR(VLOOKUP($A191,'The List'!$B1:$AS671,30,FALSE)," ")</f>
        <v xml:space="preserve"> </v>
      </c>
      <c r="X191" s="84" t="str" cm="1">
        <f t="array" ref="X191">IFERROR(VLOOKUP($A191,'The List'!$B1:$AS671,31,FALSE)," ")</f>
        <v xml:space="preserve"> </v>
      </c>
      <c r="Y191" s="84" t="str" cm="1">
        <f t="array" ref="Y191">IFERROR(VLOOKUP($A191,'The List'!$B1:$AS671,32,FALSE)," ")</f>
        <v xml:space="preserve"> </v>
      </c>
      <c r="Z191" s="84" t="str" cm="1">
        <f t="array" ref="Z191">IFERROR(VLOOKUP($A191,'The List'!$B1:$AS671,33,FALSE)," ")</f>
        <v xml:space="preserve"> </v>
      </c>
      <c r="AA191" s="85"/>
      <c r="AB191" s="90"/>
      <c r="AC191" s="90"/>
      <c r="AD191" s="90"/>
      <c r="AE191" s="90"/>
      <c r="AF191" s="90"/>
    </row>
    <row r="192" spans="1:32" ht="21.25" customHeight="1" x14ac:dyDescent="0.15">
      <c r="A192" s="24"/>
      <c r="B192" s="99" t="str" cm="1">
        <f t="array" ref="B192">IFERROR(VLOOKUP($A192,'The List'!$B1:$AS671,3,FALSE)," ")</f>
        <v xml:space="preserve"> </v>
      </c>
      <c r="C192" s="101" t="str" cm="1">
        <f t="array" ref="C192">IFERROR(VLOOKUP($A192,'The List'!$B1:$AS671,4,FALSE)," ")</f>
        <v xml:space="preserve"> </v>
      </c>
      <c r="D192" s="18" t="str" cm="1">
        <f t="array" ref="D192">IFERROR(VLOOKUP($A192,'The List'!$B1:$AS671,5,FALSE)," ")</f>
        <v xml:space="preserve"> </v>
      </c>
      <c r="E192" s="18" t="str" cm="1">
        <f t="array" ref="E192">IFERROR(VLOOKUP($A192,'The List'!$B1:$AS671,6,FALSE)," ")</f>
        <v xml:space="preserve"> </v>
      </c>
      <c r="F192" s="92" t="str" cm="1">
        <f t="array" ref="F192">IFERROR(VLOOKUP($A192,'The List'!$B1:$AS671,8,FALSE)," ")</f>
        <v xml:space="preserve"> </v>
      </c>
      <c r="G192" s="92" t="str" cm="1">
        <f t="array" ref="G192">IFERROR(VLOOKUP($A192,'The List'!$B1:$AS671,10,FALSE)," ")</f>
        <v xml:space="preserve"> </v>
      </c>
      <c r="H192" s="55"/>
      <c r="I192" s="84" t="str" cm="1">
        <f t="array" ref="I192">IFERROR(VLOOKUP($A192,'The List'!$B1:$AS671,16,FALSE)," ")</f>
        <v xml:space="preserve"> </v>
      </c>
      <c r="J192" s="84" t="str" cm="1">
        <f t="array" ref="J192">IFERROR(VLOOKUP($A192,'The List'!$B1:$AS671,17,FALSE)," ")</f>
        <v xml:space="preserve"> </v>
      </c>
      <c r="K192" s="84" t="str" cm="1">
        <f t="array" ref="K192">IFERROR(VLOOKUP($A192,'The List'!$B1:$AS671,18,FALSE)," ")</f>
        <v xml:space="preserve"> </v>
      </c>
      <c r="L192" s="84" t="str" cm="1">
        <f t="array" ref="L192">IFERROR(VLOOKUP($A192,'The List'!$B1:$AS671,19,FALSE)," ")</f>
        <v xml:space="preserve"> </v>
      </c>
      <c r="M192" s="84" t="str" cm="1">
        <f t="array" ref="M192">IFERROR(VLOOKUP($A192,'The List'!$B1:$AS671,20,FALSE)," ")</f>
        <v xml:space="preserve"> </v>
      </c>
      <c r="N192" s="84" t="str" cm="1">
        <f t="array" ref="N192">IFERROR(VLOOKUP($A192,'The List'!$B1:$AS671,21,FALSE)," ")</f>
        <v xml:space="preserve"> </v>
      </c>
      <c r="O192" s="84" t="str" cm="1">
        <f t="array" ref="O192">IFERROR(VLOOKUP($A192,'The List'!$B1:$AS671,22,FALSE)," ")</f>
        <v xml:space="preserve"> </v>
      </c>
      <c r="P192" s="84" t="str" cm="1">
        <f t="array" ref="P192">IFERROR(VLOOKUP($A192,'The List'!$B1:$AS671,23,FALSE)," ")</f>
        <v xml:space="preserve"> </v>
      </c>
      <c r="Q192" s="84" t="str" cm="1">
        <f t="array" ref="Q192">IFERROR(VLOOKUP($A192,'The List'!$B1:$AS671,24,FALSE)," ")</f>
        <v xml:space="preserve"> </v>
      </c>
      <c r="R192" s="84" t="str" cm="1">
        <f t="array" ref="R192">IFERROR(VLOOKUP($A192,'The List'!$B1:$AS671,25,FALSE)," ")</f>
        <v xml:space="preserve"> </v>
      </c>
      <c r="S192" s="84" t="str" cm="1">
        <f t="array" ref="S192">IFERROR(VLOOKUP($A192,'The List'!$B1:$AS671,26,FALSE)," ")</f>
        <v xml:space="preserve"> </v>
      </c>
      <c r="T192" s="84" t="str" cm="1">
        <f t="array" ref="T192">IFERROR(VLOOKUP($A192,'The List'!$B1:$AS671,27,FALSE)," ")</f>
        <v xml:space="preserve"> </v>
      </c>
      <c r="U192" s="84" t="str" cm="1">
        <f t="array" ref="U192">IFERROR(VLOOKUP($A192,'The List'!$B1:$AS671,28,FALSE)," ")</f>
        <v xml:space="preserve"> </v>
      </c>
      <c r="V192" s="84" t="str" cm="1">
        <f t="array" ref="V192">IFERROR(VLOOKUP($A192,'The List'!$B1:$AS671,29,FALSE)," ")</f>
        <v xml:space="preserve"> </v>
      </c>
      <c r="W192" s="84" t="str" cm="1">
        <f t="array" ref="W192">IFERROR(VLOOKUP($A192,'The List'!$B1:$AS671,30,FALSE)," ")</f>
        <v xml:space="preserve"> </v>
      </c>
      <c r="X192" s="84" t="str" cm="1">
        <f t="array" ref="X192">IFERROR(VLOOKUP($A192,'The List'!$B1:$AS671,31,FALSE)," ")</f>
        <v xml:space="preserve"> </v>
      </c>
      <c r="Y192" s="84" t="str" cm="1">
        <f t="array" ref="Y192">IFERROR(VLOOKUP($A192,'The List'!$B1:$AS671,32,FALSE)," ")</f>
        <v xml:space="preserve"> </v>
      </c>
      <c r="Z192" s="84" t="str" cm="1">
        <f t="array" ref="Z192">IFERROR(VLOOKUP($A192,'The List'!$B1:$AS671,33,FALSE)," ")</f>
        <v xml:space="preserve"> </v>
      </c>
      <c r="AA192" s="85"/>
      <c r="AB192" s="90"/>
      <c r="AC192" s="90"/>
      <c r="AD192" s="90"/>
      <c r="AE192" s="90"/>
      <c r="AF192" s="90"/>
    </row>
    <row r="193" spans="1:32" ht="21.25" customHeight="1" x14ac:dyDescent="0.15">
      <c r="A193" s="24"/>
      <c r="B193" s="99" t="str" cm="1">
        <f t="array" ref="B193">IFERROR(VLOOKUP($A193,'The List'!$B1:$AS671,3,FALSE)," ")</f>
        <v xml:space="preserve"> </v>
      </c>
      <c r="C193" s="101" t="str" cm="1">
        <f t="array" ref="C193">IFERROR(VLOOKUP($A193,'The List'!$B1:$AS671,4,FALSE)," ")</f>
        <v xml:space="preserve"> </v>
      </c>
      <c r="D193" s="18" t="str" cm="1">
        <f t="array" ref="D193">IFERROR(VLOOKUP($A193,'The List'!$B1:$AS671,5,FALSE)," ")</f>
        <v xml:space="preserve"> </v>
      </c>
      <c r="E193" s="18" t="str" cm="1">
        <f t="array" ref="E193">IFERROR(VLOOKUP($A193,'The List'!$B1:$AS671,6,FALSE)," ")</f>
        <v xml:space="preserve"> </v>
      </c>
      <c r="F193" s="92" t="str" cm="1">
        <f t="array" ref="F193">IFERROR(VLOOKUP($A193,'The List'!$B1:$AS671,8,FALSE)," ")</f>
        <v xml:space="preserve"> </v>
      </c>
      <c r="G193" s="92" t="str" cm="1">
        <f t="array" ref="G193">IFERROR(VLOOKUP($A193,'The List'!$B1:$AS671,10,FALSE)," ")</f>
        <v xml:space="preserve"> </v>
      </c>
      <c r="H193" s="55"/>
      <c r="I193" s="84" t="str" cm="1">
        <f t="array" ref="I193">IFERROR(VLOOKUP($A193,'The List'!$B1:$AS671,16,FALSE)," ")</f>
        <v xml:space="preserve"> </v>
      </c>
      <c r="J193" s="84" t="str" cm="1">
        <f t="array" ref="J193">IFERROR(VLOOKUP($A193,'The List'!$B1:$AS671,17,FALSE)," ")</f>
        <v xml:space="preserve"> </v>
      </c>
      <c r="K193" s="84" t="str" cm="1">
        <f t="array" ref="K193">IFERROR(VLOOKUP($A193,'The List'!$B1:$AS671,18,FALSE)," ")</f>
        <v xml:space="preserve"> </v>
      </c>
      <c r="L193" s="84" t="str" cm="1">
        <f t="array" ref="L193">IFERROR(VLOOKUP($A193,'The List'!$B1:$AS671,19,FALSE)," ")</f>
        <v xml:space="preserve"> </v>
      </c>
      <c r="M193" s="84" t="str" cm="1">
        <f t="array" ref="M193">IFERROR(VLOOKUP($A193,'The List'!$B1:$AS671,20,FALSE)," ")</f>
        <v xml:space="preserve"> </v>
      </c>
      <c r="N193" s="84" t="str" cm="1">
        <f t="array" ref="N193">IFERROR(VLOOKUP($A193,'The List'!$B1:$AS671,21,FALSE)," ")</f>
        <v xml:space="preserve"> </v>
      </c>
      <c r="O193" s="84" t="str" cm="1">
        <f t="array" ref="O193">IFERROR(VLOOKUP($A193,'The List'!$B1:$AS671,22,FALSE)," ")</f>
        <v xml:space="preserve"> </v>
      </c>
      <c r="P193" s="84" t="str" cm="1">
        <f t="array" ref="P193">IFERROR(VLOOKUP($A193,'The List'!$B1:$AS671,23,FALSE)," ")</f>
        <v xml:space="preserve"> </v>
      </c>
      <c r="Q193" s="84" t="str" cm="1">
        <f t="array" ref="Q193">IFERROR(VLOOKUP($A193,'The List'!$B1:$AS671,24,FALSE)," ")</f>
        <v xml:space="preserve"> </v>
      </c>
      <c r="R193" s="84" t="str" cm="1">
        <f t="array" ref="R193">IFERROR(VLOOKUP($A193,'The List'!$B1:$AS671,25,FALSE)," ")</f>
        <v xml:space="preserve"> </v>
      </c>
      <c r="S193" s="84" t="str" cm="1">
        <f t="array" ref="S193">IFERROR(VLOOKUP($A193,'The List'!$B1:$AS671,26,FALSE)," ")</f>
        <v xml:space="preserve"> </v>
      </c>
      <c r="T193" s="84" t="str" cm="1">
        <f t="array" ref="T193">IFERROR(VLOOKUP($A193,'The List'!$B1:$AS671,27,FALSE)," ")</f>
        <v xml:space="preserve"> </v>
      </c>
      <c r="U193" s="84" t="str" cm="1">
        <f t="array" ref="U193">IFERROR(VLOOKUP($A193,'The List'!$B1:$AS671,28,FALSE)," ")</f>
        <v xml:space="preserve"> </v>
      </c>
      <c r="V193" s="84" t="str" cm="1">
        <f t="array" ref="V193">IFERROR(VLOOKUP($A193,'The List'!$B1:$AS671,29,FALSE)," ")</f>
        <v xml:space="preserve"> </v>
      </c>
      <c r="W193" s="84" t="str" cm="1">
        <f t="array" ref="W193">IFERROR(VLOOKUP($A193,'The List'!$B1:$AS671,30,FALSE)," ")</f>
        <v xml:space="preserve"> </v>
      </c>
      <c r="X193" s="84" t="str" cm="1">
        <f t="array" ref="X193">IFERROR(VLOOKUP($A193,'The List'!$B1:$AS671,31,FALSE)," ")</f>
        <v xml:space="preserve"> </v>
      </c>
      <c r="Y193" s="84" t="str" cm="1">
        <f t="array" ref="Y193">IFERROR(VLOOKUP($A193,'The List'!$B1:$AS671,32,FALSE)," ")</f>
        <v xml:space="preserve"> </v>
      </c>
      <c r="Z193" s="84" t="str" cm="1">
        <f t="array" ref="Z193">IFERROR(VLOOKUP($A193,'The List'!$B1:$AS671,33,FALSE)," ")</f>
        <v xml:space="preserve"> </v>
      </c>
      <c r="AA193" s="85"/>
      <c r="AB193" s="90"/>
      <c r="AC193" s="90"/>
      <c r="AD193" s="90"/>
      <c r="AE193" s="90"/>
      <c r="AF193" s="90"/>
    </row>
    <row r="194" spans="1:32" ht="21.25" customHeight="1" x14ac:dyDescent="0.15">
      <c r="A194" s="24"/>
      <c r="B194" s="99" t="str" cm="1">
        <f t="array" ref="B194">IFERROR(VLOOKUP($A194,'The List'!$B1:$AS671,3,FALSE)," ")</f>
        <v xml:space="preserve"> </v>
      </c>
      <c r="C194" s="101" t="str" cm="1">
        <f t="array" ref="C194">IFERROR(VLOOKUP($A194,'The List'!$B1:$AS671,4,FALSE)," ")</f>
        <v xml:space="preserve"> </v>
      </c>
      <c r="D194" s="18" t="str" cm="1">
        <f t="array" ref="D194">IFERROR(VLOOKUP($A194,'The List'!$B1:$AS671,5,FALSE)," ")</f>
        <v xml:space="preserve"> </v>
      </c>
      <c r="E194" s="18" t="str" cm="1">
        <f t="array" ref="E194">IFERROR(VLOOKUP($A194,'The List'!$B1:$AS671,6,FALSE)," ")</f>
        <v xml:space="preserve"> </v>
      </c>
      <c r="F194" s="92" t="str" cm="1">
        <f t="array" ref="F194">IFERROR(VLOOKUP($A194,'The List'!$B1:$AS671,8,FALSE)," ")</f>
        <v xml:space="preserve"> </v>
      </c>
      <c r="G194" s="92" t="str" cm="1">
        <f t="array" ref="G194">IFERROR(VLOOKUP($A194,'The List'!$B1:$AS671,10,FALSE)," ")</f>
        <v xml:space="preserve"> </v>
      </c>
      <c r="H194" s="55"/>
      <c r="I194" s="84" t="str" cm="1">
        <f t="array" ref="I194">IFERROR(VLOOKUP($A194,'The List'!$B1:$AS671,16,FALSE)," ")</f>
        <v xml:space="preserve"> </v>
      </c>
      <c r="J194" s="84" t="str" cm="1">
        <f t="array" ref="J194">IFERROR(VLOOKUP($A194,'The List'!$B1:$AS671,17,FALSE)," ")</f>
        <v xml:space="preserve"> </v>
      </c>
      <c r="K194" s="84" t="str" cm="1">
        <f t="array" ref="K194">IFERROR(VLOOKUP($A194,'The List'!$B1:$AS671,18,FALSE)," ")</f>
        <v xml:space="preserve"> </v>
      </c>
      <c r="L194" s="84" t="str" cm="1">
        <f t="array" ref="L194">IFERROR(VLOOKUP($A194,'The List'!$B1:$AS671,19,FALSE)," ")</f>
        <v xml:space="preserve"> </v>
      </c>
      <c r="M194" s="84" t="str" cm="1">
        <f t="array" ref="M194">IFERROR(VLOOKUP($A194,'The List'!$B1:$AS671,20,FALSE)," ")</f>
        <v xml:space="preserve"> </v>
      </c>
      <c r="N194" s="84" t="str" cm="1">
        <f t="array" ref="N194">IFERROR(VLOOKUP($A194,'The List'!$B1:$AS671,21,FALSE)," ")</f>
        <v xml:space="preserve"> </v>
      </c>
      <c r="O194" s="84" t="str" cm="1">
        <f t="array" ref="O194">IFERROR(VLOOKUP($A194,'The List'!$B1:$AS671,22,FALSE)," ")</f>
        <v xml:space="preserve"> </v>
      </c>
      <c r="P194" s="84" t="str" cm="1">
        <f t="array" ref="P194">IFERROR(VLOOKUP($A194,'The List'!$B1:$AS671,23,FALSE)," ")</f>
        <v xml:space="preserve"> </v>
      </c>
      <c r="Q194" s="84" t="str" cm="1">
        <f t="array" ref="Q194">IFERROR(VLOOKUP($A194,'The List'!$B1:$AS671,24,FALSE)," ")</f>
        <v xml:space="preserve"> </v>
      </c>
      <c r="R194" s="84" t="str" cm="1">
        <f t="array" ref="R194">IFERROR(VLOOKUP($A194,'The List'!$B1:$AS671,25,FALSE)," ")</f>
        <v xml:space="preserve"> </v>
      </c>
      <c r="S194" s="84" t="str" cm="1">
        <f t="array" ref="S194">IFERROR(VLOOKUP($A194,'The List'!$B1:$AS671,26,FALSE)," ")</f>
        <v xml:space="preserve"> </v>
      </c>
      <c r="T194" s="84" t="str" cm="1">
        <f t="array" ref="T194">IFERROR(VLOOKUP($A194,'The List'!$B1:$AS671,27,FALSE)," ")</f>
        <v xml:space="preserve"> </v>
      </c>
      <c r="U194" s="84" t="str" cm="1">
        <f t="array" ref="U194">IFERROR(VLOOKUP($A194,'The List'!$B1:$AS671,28,FALSE)," ")</f>
        <v xml:space="preserve"> </v>
      </c>
      <c r="V194" s="84" t="str" cm="1">
        <f t="array" ref="V194">IFERROR(VLOOKUP($A194,'The List'!$B1:$AS671,29,FALSE)," ")</f>
        <v xml:space="preserve"> </v>
      </c>
      <c r="W194" s="84" t="str" cm="1">
        <f t="array" ref="W194">IFERROR(VLOOKUP($A194,'The List'!$B1:$AS671,30,FALSE)," ")</f>
        <v xml:space="preserve"> </v>
      </c>
      <c r="X194" s="84" t="str" cm="1">
        <f t="array" ref="X194">IFERROR(VLOOKUP($A194,'The List'!$B1:$AS671,31,FALSE)," ")</f>
        <v xml:space="preserve"> </v>
      </c>
      <c r="Y194" s="84" t="str" cm="1">
        <f t="array" ref="Y194">IFERROR(VLOOKUP($A194,'The List'!$B1:$AS671,32,FALSE)," ")</f>
        <v xml:space="preserve"> </v>
      </c>
      <c r="Z194" s="84" t="str" cm="1">
        <f t="array" ref="Z194">IFERROR(VLOOKUP($A194,'The List'!$B1:$AS671,33,FALSE)," ")</f>
        <v xml:space="preserve"> </v>
      </c>
      <c r="AA194" s="85"/>
      <c r="AB194" s="90"/>
      <c r="AC194" s="90"/>
      <c r="AD194" s="90"/>
      <c r="AE194" s="90"/>
      <c r="AF194" s="90"/>
    </row>
    <row r="195" spans="1:32" ht="21.25" customHeight="1" x14ac:dyDescent="0.15">
      <c r="A195" s="103"/>
      <c r="B195" s="104" t="str" cm="1">
        <f t="array" ref="B195">IFERROR(VLOOKUP($A195,'The List'!$B1:$AS671,3,FALSE)," ")</f>
        <v xml:space="preserve"> </v>
      </c>
      <c r="C195" s="105" t="str" cm="1">
        <f t="array" ref="C195">IFERROR(VLOOKUP($A195,'The List'!$B1:$AS671,4,FALSE)," ")</f>
        <v xml:space="preserve"> </v>
      </c>
      <c r="D195" s="106" t="str" cm="1">
        <f t="array" ref="D195">IFERROR(VLOOKUP($A195,'The List'!$B1:$AS671,5,FALSE)," ")</f>
        <v xml:space="preserve"> </v>
      </c>
      <c r="E195" s="106" t="str" cm="1">
        <f t="array" ref="E195">IFERROR(VLOOKUP($A195,'The List'!$B1:$AS671,6,FALSE)," ")</f>
        <v xml:space="preserve"> </v>
      </c>
      <c r="F195" s="107" t="str" cm="1">
        <f t="array" ref="F195">IFERROR(VLOOKUP($A195,'The List'!$B1:$AS671,8,FALSE)," ")</f>
        <v xml:space="preserve"> </v>
      </c>
      <c r="G195" s="107" t="str" cm="1">
        <f t="array" ref="G195">IFERROR(VLOOKUP($A195,'The List'!$B1:$AS671,10,FALSE)," ")</f>
        <v xml:space="preserve"> </v>
      </c>
      <c r="H195" s="108"/>
      <c r="I195" s="109" t="str" cm="1">
        <f t="array" ref="I195">IFERROR(VLOOKUP($A195,'The List'!$B1:$AS671,16,FALSE)," ")</f>
        <v xml:space="preserve"> </v>
      </c>
      <c r="J195" s="109" t="str" cm="1">
        <f t="array" ref="J195">IFERROR(VLOOKUP($A195,'The List'!$B1:$AS671,17,FALSE)," ")</f>
        <v xml:space="preserve"> </v>
      </c>
      <c r="K195" s="109" t="str" cm="1">
        <f t="array" ref="K195">IFERROR(VLOOKUP($A195,'The List'!$B1:$AS671,18,FALSE)," ")</f>
        <v xml:space="preserve"> </v>
      </c>
      <c r="L195" s="109" t="str" cm="1">
        <f t="array" ref="L195">IFERROR(VLOOKUP($A195,'The List'!$B1:$AS671,19,FALSE)," ")</f>
        <v xml:space="preserve"> </v>
      </c>
      <c r="M195" s="109" t="str" cm="1">
        <f t="array" ref="M195">IFERROR(VLOOKUP($A195,'The List'!$B1:$AS671,20,FALSE)," ")</f>
        <v xml:space="preserve"> </v>
      </c>
      <c r="N195" s="109" t="str" cm="1">
        <f t="array" ref="N195">IFERROR(VLOOKUP($A195,'The List'!$B1:$AS671,21,FALSE)," ")</f>
        <v xml:space="preserve"> </v>
      </c>
      <c r="O195" s="109" t="str" cm="1">
        <f t="array" ref="O195">IFERROR(VLOOKUP($A195,'The List'!$B1:$AS671,22,FALSE)," ")</f>
        <v xml:space="preserve"> </v>
      </c>
      <c r="P195" s="109" t="str" cm="1">
        <f t="array" ref="P195">IFERROR(VLOOKUP($A195,'The List'!$B1:$AS671,23,FALSE)," ")</f>
        <v xml:space="preserve"> </v>
      </c>
      <c r="Q195" s="109" t="str" cm="1">
        <f t="array" ref="Q195">IFERROR(VLOOKUP($A195,'The List'!$B1:$AS671,24,FALSE)," ")</f>
        <v xml:space="preserve"> </v>
      </c>
      <c r="R195" s="109" t="str" cm="1">
        <f t="array" ref="R195">IFERROR(VLOOKUP($A195,'The List'!$B1:$AS671,25,FALSE)," ")</f>
        <v xml:space="preserve"> </v>
      </c>
      <c r="S195" s="109" t="str" cm="1">
        <f t="array" ref="S195">IFERROR(VLOOKUP($A195,'The List'!$B1:$AS671,26,FALSE)," ")</f>
        <v xml:space="preserve"> </v>
      </c>
      <c r="T195" s="109" t="str" cm="1">
        <f t="array" ref="T195">IFERROR(VLOOKUP($A195,'The List'!$B1:$AS671,27,FALSE)," ")</f>
        <v xml:space="preserve"> </v>
      </c>
      <c r="U195" s="109" t="str" cm="1">
        <f t="array" ref="U195">IFERROR(VLOOKUP($A195,'The List'!$B1:$AS671,28,FALSE)," ")</f>
        <v xml:space="preserve"> </v>
      </c>
      <c r="V195" s="109" t="str" cm="1">
        <f t="array" ref="V195">IFERROR(VLOOKUP($A195,'The List'!$B1:$AS671,29,FALSE)," ")</f>
        <v xml:space="preserve"> </v>
      </c>
      <c r="W195" s="109" t="str" cm="1">
        <f t="array" ref="W195">IFERROR(VLOOKUP($A195,'The List'!$B1:$AS671,30,FALSE)," ")</f>
        <v xml:space="preserve"> </v>
      </c>
      <c r="X195" s="109" t="str" cm="1">
        <f t="array" ref="X195">IFERROR(VLOOKUP($A195,'The List'!$B1:$AS671,31,FALSE)," ")</f>
        <v xml:space="preserve"> </v>
      </c>
      <c r="Y195" s="109" t="str" cm="1">
        <f t="array" ref="Y195">IFERROR(VLOOKUP($A195,'The List'!$B1:$AS671,32,FALSE)," ")</f>
        <v xml:space="preserve"> </v>
      </c>
      <c r="Z195" s="109" t="str" cm="1">
        <f t="array" ref="Z195">IFERROR(VLOOKUP($A195,'The List'!$B1:$AS671,33,FALSE)," ")</f>
        <v xml:space="preserve"> </v>
      </c>
      <c r="AA195" s="85"/>
      <c r="AB195" s="90"/>
      <c r="AC195" s="90"/>
      <c r="AD195" s="90"/>
      <c r="AE195" s="90"/>
      <c r="AF195" s="90"/>
    </row>
    <row r="196" spans="1:32" ht="21.25" customHeight="1" x14ac:dyDescent="0.15">
      <c r="A196" s="110"/>
      <c r="B196" s="111"/>
      <c r="C196" s="112"/>
      <c r="D196" s="113"/>
      <c r="E196" s="113" t="str" cm="1">
        <f t="array" ref="E196">IFERROR(AVERAGE(E176:E195)," ")</f>
        <v xml:space="preserve"> </v>
      </c>
      <c r="F196" s="115" cm="1">
        <f t="array" ref="F196">SUM(F176:F195)</f>
        <v>0</v>
      </c>
      <c r="G196" s="115" cm="1">
        <f t="array" ref="G196">SUM(G176:G195)</f>
        <v>0</v>
      </c>
      <c r="H196" s="116"/>
      <c r="I196" s="117" cm="1">
        <f t="array" ref="I196">SUM(I176:I195)</f>
        <v>0</v>
      </c>
      <c r="J196" s="116" t="e" cm="1">
        <f t="array" ref="J196">AVERAGE(J176:J195)</f>
        <v>#DIV/0!</v>
      </c>
      <c r="K196" s="117" cm="1">
        <f t="array" ref="K196">SUM(K176:K195)</f>
        <v>0</v>
      </c>
      <c r="L196" s="117" cm="1">
        <f t="array" ref="L196">SUM(L176:L195)</f>
        <v>0</v>
      </c>
      <c r="M196" s="117" cm="1">
        <f t="array" ref="M196">SUM(M176:M195)</f>
        <v>0</v>
      </c>
      <c r="N196" s="117" cm="1">
        <f t="array" ref="N196">SUM(N176:N195)</f>
        <v>0</v>
      </c>
      <c r="O196" s="117" cm="1">
        <f t="array" ref="O196">SUM(O176:O195)</f>
        <v>0</v>
      </c>
      <c r="P196" s="117" cm="1">
        <f t="array" ref="P196">SUM(P176:P195)</f>
        <v>0</v>
      </c>
      <c r="Q196" s="117" cm="1">
        <f t="array" ref="Q196">SUM(Q176:Q195)</f>
        <v>0</v>
      </c>
      <c r="R196" s="117" cm="1">
        <f t="array" ref="R196">SUM(R176:R195)</f>
        <v>0</v>
      </c>
      <c r="S196" s="117" cm="1">
        <f t="array" ref="S196">SUM(S176:S195)</f>
        <v>0</v>
      </c>
      <c r="T196" s="117" cm="1">
        <f t="array" ref="T196">SUM(T176:T195)</f>
        <v>0</v>
      </c>
      <c r="U196" s="117" cm="1">
        <f t="array" ref="U196">SUM(U176:U195)</f>
        <v>0</v>
      </c>
      <c r="V196" s="117" cm="1">
        <f t="array" ref="V196">SUM(V176:V195)</f>
        <v>0</v>
      </c>
      <c r="W196" s="117" cm="1">
        <f t="array" ref="W196">SUM(W176:W195)</f>
        <v>0</v>
      </c>
      <c r="X196" s="117" cm="1">
        <f t="array" ref="X196">SUM(X176:X195)</f>
        <v>0</v>
      </c>
      <c r="Y196" s="117" cm="1">
        <f t="array" ref="Y196">SUM(Y176:Y195)</f>
        <v>0</v>
      </c>
      <c r="Z196" s="118" cm="1">
        <f t="array" ref="Z196">IFERROR(X196/(X196+Y196),0)</f>
        <v>0</v>
      </c>
      <c r="AA196" s="85"/>
      <c r="AB196" s="119"/>
      <c r="AC196" s="119"/>
      <c r="AD196" s="119"/>
      <c r="AE196" s="119"/>
      <c r="AF196" s="119"/>
    </row>
    <row r="197" spans="1:32" ht="21.25" customHeight="1" x14ac:dyDescent="0.15">
      <c r="A197" s="37"/>
      <c r="B197" s="120"/>
      <c r="C197" s="121"/>
      <c r="D197" s="13"/>
      <c r="E197" s="13"/>
      <c r="F197" s="122"/>
      <c r="G197" s="123"/>
      <c r="H197" s="124"/>
      <c r="I197" s="12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90"/>
      <c r="AC197" s="90"/>
      <c r="AD197" s="90"/>
      <c r="AE197" s="90"/>
      <c r="AF197" s="90"/>
    </row>
    <row r="198" spans="1:32" ht="21.25" customHeight="1" x14ac:dyDescent="0.15">
      <c r="A198" s="40" t="s">
        <v>90</v>
      </c>
      <c r="B198" s="204" t="s">
        <v>92</v>
      </c>
      <c r="C198" s="194"/>
      <c r="D198" s="126" t="s">
        <v>93</v>
      </c>
      <c r="E198" s="126" t="s">
        <v>94</v>
      </c>
      <c r="F198" s="127" t="s">
        <v>96</v>
      </c>
      <c r="G198" s="127" t="s">
        <v>98</v>
      </c>
      <c r="H198" s="128"/>
      <c r="I198" s="129" t="s">
        <v>103</v>
      </c>
      <c r="J198" s="129" t="s">
        <v>118</v>
      </c>
      <c r="K198" s="129" t="s">
        <v>119</v>
      </c>
      <c r="L198" s="129" t="s">
        <v>120</v>
      </c>
      <c r="M198" s="129" t="s">
        <v>121</v>
      </c>
      <c r="N198" s="129" t="s">
        <v>122</v>
      </c>
      <c r="O198" s="129" t="s">
        <v>123</v>
      </c>
      <c r="P198" s="129" t="s">
        <v>124</v>
      </c>
      <c r="Q198" s="129" t="s">
        <v>125</v>
      </c>
      <c r="R198" s="85"/>
      <c r="S198" s="85"/>
      <c r="T198" s="85"/>
      <c r="U198" s="204" t="s">
        <v>814</v>
      </c>
      <c r="V198" s="205"/>
      <c r="W198" s="205"/>
      <c r="X198" s="204" t="s">
        <v>815</v>
      </c>
      <c r="Y198" s="205"/>
      <c r="Z198" s="205"/>
      <c r="AA198" s="85"/>
      <c r="AB198" s="85"/>
      <c r="AC198" s="85"/>
      <c r="AD198" s="85"/>
      <c r="AE198" s="85"/>
      <c r="AF198" s="85"/>
    </row>
    <row r="199" spans="1:32" ht="21.25" customHeight="1" x14ac:dyDescent="0.15">
      <c r="A199" s="146"/>
      <c r="B199" s="131" t="str" cm="1">
        <f t="array" ref="B199">IFERROR(VLOOKUP($A199,'The List'!$B1:$AS671,3,FALSE)," ")</f>
        <v xml:space="preserve"> </v>
      </c>
      <c r="C199" s="147" t="str" cm="1">
        <f t="array" ref="C199">IFERROR(VLOOKUP($A199,'The List'!$B1:$AS671,4,FALSE)," ")</f>
        <v xml:space="preserve"> </v>
      </c>
      <c r="D199" s="133" t="str" cm="1">
        <f t="array" ref="D199">IFERROR(VLOOKUP($A199,'The List'!$B1:$AS671,5,FALSE)," ")</f>
        <v xml:space="preserve"> </v>
      </c>
      <c r="E199" s="133" t="str" cm="1">
        <f t="array" ref="E199">IFERROR(VLOOKUP($A199,'The List'!$B1:$AS671,6,FALSE)," ")</f>
        <v xml:space="preserve"> </v>
      </c>
      <c r="F199" s="148" t="str" cm="1">
        <f t="array" ref="F199">IFERROR(VLOOKUP($A199,'The List'!$B1:$AS671,8,FALSE)," ")</f>
        <v xml:space="preserve"> </v>
      </c>
      <c r="G199" s="148" t="str" cm="1">
        <f t="array" ref="G199">IFERROR(VLOOKUP($A199,'The List'!$B1:$AS671,10,FALSE)," ")</f>
        <v xml:space="preserve"> </v>
      </c>
      <c r="H199" s="82"/>
      <c r="I199" s="149" t="str" cm="1">
        <f t="array" ref="I199">IFERROR(VLOOKUP($A199,'The List'!$B1:$AS671,35,FALSE)," ")</f>
        <v xml:space="preserve"> </v>
      </c>
      <c r="J199" s="149" t="str" cm="1">
        <f t="array" ref="J199">IFERROR(VLOOKUP($A199,'The List'!$B1:$AS671,36,FALSE)," ")</f>
        <v xml:space="preserve"> </v>
      </c>
      <c r="K199" s="149" t="str" cm="1">
        <f t="array" ref="K199">IFERROR(VLOOKUP($A199,'The List'!$B1:$AS671,37,FALSE)," ")</f>
        <v xml:space="preserve"> </v>
      </c>
      <c r="L199" s="149" t="str" cm="1">
        <f t="array" ref="L199">IFERROR(VLOOKUP($A199,'The List'!$B1:$AS671,38,FALSE)," ")</f>
        <v xml:space="preserve"> </v>
      </c>
      <c r="M199" s="149" t="str" cm="1">
        <f t="array" ref="M199">IFERROR(VLOOKUP($A199,'The List'!$B1:$AS671,39,FALSE)," ")</f>
        <v xml:space="preserve"> </v>
      </c>
      <c r="N199" s="149" t="str" cm="1">
        <f t="array" ref="N199">IFERROR(VLOOKUP($A199,'The List'!$B1:$AS671,40,FALSE)," ")</f>
        <v xml:space="preserve"> </v>
      </c>
      <c r="O199" s="149" t="str" cm="1">
        <f t="array" ref="O199">IFERROR(VLOOKUP($A199,'The List'!$B1:$AS671,41,FALSE)," ")</f>
        <v xml:space="preserve"> </v>
      </c>
      <c r="P199" s="149" t="str" cm="1">
        <f t="array" ref="P199">IFERROR(VLOOKUP($A199,'The List'!$B1:$AS671,42,FALSE)," ")</f>
        <v xml:space="preserve"> </v>
      </c>
      <c r="Q199" s="149" t="str" cm="1">
        <f t="array" ref="Q199">IFERROR(VLOOKUP($A199,'The List'!$B1:$AS671,43,FALSE)," ")</f>
        <v xml:space="preserve"> </v>
      </c>
      <c r="R199" s="85"/>
      <c r="S199" s="85"/>
      <c r="T199" s="139" t="str" cm="1">
        <f t="array" ref="T199">A175</f>
        <v>TEAM 7</v>
      </c>
      <c r="U199" s="206" cm="1">
        <f t="array" ref="U199">F196+F202</f>
        <v>0</v>
      </c>
      <c r="V199" s="194"/>
      <c r="W199" s="194"/>
      <c r="X199" s="206" cm="1">
        <f t="array" ref="X199">G202+G196</f>
        <v>0</v>
      </c>
      <c r="Y199" s="194"/>
      <c r="Z199" s="194"/>
      <c r="AA199" s="85"/>
      <c r="AB199" s="85"/>
      <c r="AC199" s="85"/>
      <c r="AD199" s="85"/>
      <c r="AE199" s="85"/>
      <c r="AF199" s="85"/>
    </row>
    <row r="200" spans="1:32" ht="21.25" customHeight="1" x14ac:dyDescent="0.15">
      <c r="A200" s="24"/>
      <c r="B200" s="140" t="str" cm="1">
        <f t="array" ref="B200">IFERROR(VLOOKUP($A200,'The List'!$B1:$AS671,3,FALSE)," ")</f>
        <v xml:space="preserve"> </v>
      </c>
      <c r="C200" s="141" t="str" cm="1">
        <f t="array" ref="C200">IFERROR(VLOOKUP($A200,'The List'!$B1:$AS671,4,FALSE)," ")</f>
        <v xml:space="preserve"> </v>
      </c>
      <c r="D200" s="18" t="str" cm="1">
        <f t="array" ref="D200">IFERROR(VLOOKUP($A200,'The List'!$B1:$AS671,5,FALSE)," ")</f>
        <v xml:space="preserve"> </v>
      </c>
      <c r="E200" s="18" t="str" cm="1">
        <f t="array" ref="E200">IFERROR(VLOOKUP($A200,'The List'!$B1:$AS671,6,FALSE)," ")</f>
        <v xml:space="preserve"> </v>
      </c>
      <c r="F200" s="92" t="str" cm="1">
        <f t="array" ref="F200">IFERROR(VLOOKUP($A200,'The List'!$B1:$AS671,8,FALSE)," ")</f>
        <v xml:space="preserve"> </v>
      </c>
      <c r="G200" s="92" t="str" cm="1">
        <f t="array" ref="G200">IFERROR(VLOOKUP($A200,'The List'!$B1:$AS671,10,FALSE)," ")</f>
        <v xml:space="preserve"> </v>
      </c>
      <c r="H200" s="55"/>
      <c r="I200" s="84" t="str" cm="1">
        <f t="array" ref="I200">IFERROR(VLOOKUP($A200,'The List'!$B1:$AS671,35,FALSE)," ")</f>
        <v xml:space="preserve"> </v>
      </c>
      <c r="J200" s="84" t="str" cm="1">
        <f t="array" ref="J200">IFERROR(VLOOKUP($A200,'The List'!$B1:$AS671,36,FALSE)," ")</f>
        <v xml:space="preserve"> </v>
      </c>
      <c r="K200" s="84" t="str" cm="1">
        <f t="array" ref="K200">IFERROR(VLOOKUP($A200,'The List'!$B1:$AS671,37,FALSE)," ")</f>
        <v xml:space="preserve"> </v>
      </c>
      <c r="L200" s="84" t="str" cm="1">
        <f t="array" ref="L200">IFERROR(VLOOKUP($A200,'The List'!$B1:$AS671,38,FALSE)," ")</f>
        <v xml:space="preserve"> </v>
      </c>
      <c r="M200" s="84" t="str" cm="1">
        <f t="array" ref="M200">IFERROR(VLOOKUP($A200,'The List'!$B1:$AS671,39,FALSE)," ")</f>
        <v xml:space="preserve"> </v>
      </c>
      <c r="N200" s="84" t="str" cm="1">
        <f t="array" ref="N200">IFERROR(VLOOKUP($A200,'The List'!$B1:$AS671,40,FALSE)," ")</f>
        <v xml:space="preserve"> </v>
      </c>
      <c r="O200" s="84" t="str" cm="1">
        <f t="array" ref="O200">IFERROR(VLOOKUP($A200,'The List'!$B1:$AS671,41,FALSE)," ")</f>
        <v xml:space="preserve"> </v>
      </c>
      <c r="P200" s="84" t="str" cm="1">
        <f t="array" ref="P200">IFERROR(VLOOKUP($A200,'The List'!$B1:$AS671,42,FALSE)," ")</f>
        <v xml:space="preserve"> </v>
      </c>
      <c r="Q200" s="84" t="str" cm="1">
        <f t="array" ref="Q200">IFERROR(VLOOKUP($A200,'The List'!$B1:$AS671,43,FALSE)," ")</f>
        <v xml:space="preserve"> </v>
      </c>
      <c r="R200" s="85"/>
      <c r="S200" s="85"/>
      <c r="T200" s="85"/>
      <c r="U200" s="194"/>
      <c r="V200" s="194"/>
      <c r="W200" s="194"/>
      <c r="X200" s="194"/>
      <c r="Y200" s="194"/>
      <c r="Z200" s="194"/>
      <c r="AA200" s="85"/>
      <c r="AB200" s="85"/>
      <c r="AC200" s="85"/>
      <c r="AD200" s="85"/>
      <c r="AE200" s="85"/>
      <c r="AF200" s="85"/>
    </row>
    <row r="201" spans="1:32" ht="21.25" customHeight="1" x14ac:dyDescent="0.15">
      <c r="A201" s="103"/>
      <c r="B201" s="142" t="str" cm="1">
        <f t="array" ref="B201">IFERROR(VLOOKUP($A201,'The List'!$B1:$AS671,3,FALSE)," ")</f>
        <v xml:space="preserve"> </v>
      </c>
      <c r="C201" s="143" t="str" cm="1">
        <f t="array" ref="C201">IFERROR(VLOOKUP($A201,'The List'!$B1:$AS671,4,FALSE)," ")</f>
        <v xml:space="preserve"> </v>
      </c>
      <c r="D201" s="106" t="str" cm="1">
        <f t="array" ref="D201">IFERROR(VLOOKUP($A201,'The List'!$B1:$AS671,5,FALSE)," ")</f>
        <v xml:space="preserve"> </v>
      </c>
      <c r="E201" s="106" t="str" cm="1">
        <f t="array" ref="E201">IFERROR(VLOOKUP($A201,'The List'!$B1:$AS671,6,FALSE)," ")</f>
        <v xml:space="preserve"> </v>
      </c>
      <c r="F201" s="107" t="str" cm="1">
        <f t="array" ref="F201">IFERROR(VLOOKUP($A201,'The List'!$B1:$AS671,8,FALSE)," ")</f>
        <v xml:space="preserve"> </v>
      </c>
      <c r="G201" s="107" t="str" cm="1">
        <f t="array" ref="G201">IFERROR(VLOOKUP($A201,'The List'!$B1:$AS671,10,FALSE)," ")</f>
        <v xml:space="preserve"> </v>
      </c>
      <c r="H201" s="108"/>
      <c r="I201" s="109" t="str" cm="1">
        <f t="array" ref="I201">IFERROR(VLOOKUP($A201,'The List'!$B1:$AS671,35,FALSE)," ")</f>
        <v xml:space="preserve"> </v>
      </c>
      <c r="J201" s="109" t="str" cm="1">
        <f t="array" ref="J201">IFERROR(VLOOKUP($A201,'The List'!$B1:$AS671,36,FALSE)," ")</f>
        <v xml:space="preserve"> </v>
      </c>
      <c r="K201" s="109" t="str" cm="1">
        <f t="array" ref="K201">IFERROR(VLOOKUP($A201,'The List'!$B1:$AS671,37,FALSE)," ")</f>
        <v xml:space="preserve"> </v>
      </c>
      <c r="L201" s="109" t="str" cm="1">
        <f t="array" ref="L201">IFERROR(VLOOKUP($A201,'The List'!$B1:$AS671,38,FALSE)," ")</f>
        <v xml:space="preserve"> </v>
      </c>
      <c r="M201" s="109" t="str" cm="1">
        <f t="array" ref="M201">IFERROR(VLOOKUP($A201,'The List'!$B1:$AS671,39,FALSE)," ")</f>
        <v xml:space="preserve"> </v>
      </c>
      <c r="N201" s="109" t="str" cm="1">
        <f t="array" ref="N201">IFERROR(VLOOKUP($A201,'The List'!$B1:$AS671,40,FALSE)," ")</f>
        <v xml:space="preserve"> </v>
      </c>
      <c r="O201" s="109" t="str" cm="1">
        <f t="array" ref="O201">IFERROR(VLOOKUP($A201,'The List'!$B1:$AS671,41,FALSE)," ")</f>
        <v xml:space="preserve"> </v>
      </c>
      <c r="P201" s="109" t="str" cm="1">
        <f t="array" ref="P201">IFERROR(VLOOKUP($A201,'The List'!$B1:$AS671,42,FALSE)," ")</f>
        <v xml:space="preserve"> </v>
      </c>
      <c r="Q201" s="109" t="str" cm="1">
        <f t="array" ref="Q201">IFERROR(VLOOKUP($A201,'The List'!$B1:$AS671,43,FALSE)," ")</f>
        <v xml:space="preserve"> </v>
      </c>
      <c r="R201" s="85"/>
      <c r="S201" s="85"/>
      <c r="T201" s="85"/>
      <c r="U201" s="194"/>
      <c r="V201" s="194"/>
      <c r="W201" s="194"/>
      <c r="X201" s="194"/>
      <c r="Y201" s="194"/>
      <c r="Z201" s="194"/>
      <c r="AA201" s="85"/>
      <c r="AB201" s="85"/>
      <c r="AC201" s="85"/>
      <c r="AD201" s="85"/>
      <c r="AE201" s="85"/>
      <c r="AF201" s="85"/>
    </row>
    <row r="202" spans="1:32" ht="21.25" customHeight="1" x14ac:dyDescent="0.15">
      <c r="A202" s="110"/>
      <c r="B202" s="111"/>
      <c r="C202" s="112"/>
      <c r="D202" s="113"/>
      <c r="E202" s="113" t="str" cm="1">
        <f t="array" ref="E202">IFERROR(AVERAGE(E199:E201)," ")</f>
        <v xml:space="preserve"> </v>
      </c>
      <c r="F202" s="115" cm="1">
        <f t="array" ref="F202">SUM(F199:F201)</f>
        <v>0</v>
      </c>
      <c r="G202" s="115" cm="1">
        <f t="array" ref="G202">SUM(G199:G201)</f>
        <v>0</v>
      </c>
      <c r="H202" s="116"/>
      <c r="I202" s="117" cm="1">
        <f t="array" ref="I202">SUM(I199:I201)</f>
        <v>0</v>
      </c>
      <c r="J202" s="116" cm="1">
        <f t="array" ref="J202">SUM(J199:J201)</f>
        <v>0</v>
      </c>
      <c r="K202" s="117" cm="1">
        <f t="array" ref="K202">SUM(K199:K201)</f>
        <v>0</v>
      </c>
      <c r="L202" s="117" cm="1">
        <f t="array" ref="L202">SUM(L199:L201)</f>
        <v>0</v>
      </c>
      <c r="M202" s="117" cm="1">
        <f t="array" ref="M202">SUM(M199:M201)</f>
        <v>0</v>
      </c>
      <c r="N202" s="117" cm="1">
        <f t="array" ref="N202">SUM(N199:N201)</f>
        <v>0</v>
      </c>
      <c r="O202" s="117" cm="1">
        <f t="array" ref="O202">SUM(O199:O201)</f>
        <v>0</v>
      </c>
      <c r="P202" s="144" t="e" cm="1">
        <f t="array" ref="P202">1-(O202/(N202+O202))</f>
        <v>#DIV/0!</v>
      </c>
      <c r="Q202" s="145" t="e" cm="1">
        <f t="array" ref="Q202">O202/I202</f>
        <v>#DIV/0!</v>
      </c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</row>
    <row r="203" spans="1:32" ht="70.75" customHeight="1" x14ac:dyDescent="0.15">
      <c r="A203" s="37"/>
      <c r="B203" s="120"/>
      <c r="C203" s="121"/>
      <c r="D203" s="13"/>
      <c r="E203" s="13"/>
      <c r="F203" s="122"/>
      <c r="G203" s="123"/>
      <c r="H203" s="124"/>
      <c r="I203" s="12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90"/>
      <c r="AB203" s="90"/>
      <c r="AC203" s="90"/>
      <c r="AD203" s="90"/>
      <c r="AE203" s="90"/>
      <c r="AF203" s="90"/>
    </row>
    <row r="204" spans="1:32" ht="21.25" customHeight="1" x14ac:dyDescent="0.15">
      <c r="A204" s="41" t="s">
        <v>805</v>
      </c>
      <c r="B204" s="203" t="s">
        <v>92</v>
      </c>
      <c r="C204" s="200"/>
      <c r="D204" s="42" t="s">
        <v>93</v>
      </c>
      <c r="E204" s="42" t="s">
        <v>94</v>
      </c>
      <c r="F204" s="43" t="s">
        <v>96</v>
      </c>
      <c r="G204" s="43" t="s">
        <v>98</v>
      </c>
      <c r="H204" s="44"/>
      <c r="I204" s="46" t="s">
        <v>103</v>
      </c>
      <c r="J204" s="46" t="s">
        <v>56</v>
      </c>
      <c r="K204" s="46" t="s">
        <v>104</v>
      </c>
      <c r="L204" s="46" t="s">
        <v>105</v>
      </c>
      <c r="M204" s="46" t="s">
        <v>106</v>
      </c>
      <c r="N204" s="46" t="s">
        <v>107</v>
      </c>
      <c r="O204" s="46" t="s">
        <v>64</v>
      </c>
      <c r="P204" s="46" t="s">
        <v>67</v>
      </c>
      <c r="Q204" s="46" t="s">
        <v>108</v>
      </c>
      <c r="R204" s="46" t="s">
        <v>109</v>
      </c>
      <c r="S204" s="46" t="s">
        <v>110</v>
      </c>
      <c r="T204" s="46" t="s">
        <v>111</v>
      </c>
      <c r="U204" s="46" t="s">
        <v>112</v>
      </c>
      <c r="V204" s="46" t="s">
        <v>113</v>
      </c>
      <c r="W204" s="46" t="s">
        <v>114</v>
      </c>
      <c r="X204" s="46" t="s">
        <v>115</v>
      </c>
      <c r="Y204" s="46" t="s">
        <v>116</v>
      </c>
      <c r="Z204" s="46" t="s">
        <v>117</v>
      </c>
      <c r="AA204" s="85"/>
      <c r="AB204" s="86"/>
      <c r="AC204" s="86"/>
      <c r="AD204" s="86"/>
      <c r="AE204" s="86"/>
      <c r="AF204" s="86"/>
    </row>
    <row r="205" spans="1:32" ht="21.25" customHeight="1" x14ac:dyDescent="0.15">
      <c r="A205" s="24"/>
      <c r="B205" s="87" t="str" cm="1">
        <f t="array" ref="B205">IFERROR(VLOOKUP($A205,'The List'!$B1:$AS671,3,FALSE)," ")</f>
        <v xml:space="preserve"> </v>
      </c>
      <c r="C205" s="91" t="str" cm="1">
        <f t="array" ref="C205">IFERROR(VLOOKUP($A205,'The List'!$B1:$AS671,4,FALSE)," ")</f>
        <v xml:space="preserve"> </v>
      </c>
      <c r="D205" s="18" t="str" cm="1">
        <f t="array" ref="D205">IFERROR(VLOOKUP($A205,'The List'!$B1:$AS671,5,FALSE)," ")</f>
        <v xml:space="preserve"> </v>
      </c>
      <c r="E205" s="18" t="str" cm="1">
        <f t="array" ref="E205">IFERROR(VLOOKUP($A205,'The List'!$B1:$AS671,6,FALSE)," ")</f>
        <v xml:space="preserve"> </v>
      </c>
      <c r="F205" s="92" t="str" cm="1">
        <f t="array" ref="F205">IFERROR(VLOOKUP($A205,'The List'!$B1:$AS671,8,FALSE)," ")</f>
        <v xml:space="preserve"> </v>
      </c>
      <c r="G205" s="92" t="str" cm="1">
        <f t="array" ref="G205">IFERROR(VLOOKUP($A205,'The List'!$B1:$AS671,10,FALSE)," ")</f>
        <v xml:space="preserve"> </v>
      </c>
      <c r="H205" s="55"/>
      <c r="I205" s="84" t="str" cm="1">
        <f t="array" ref="I205">IFERROR(VLOOKUP($A205,'The List'!$B1:$AS671,16,FALSE)," ")</f>
        <v xml:space="preserve"> </v>
      </c>
      <c r="J205" s="84" t="str" cm="1">
        <f t="array" ref="J205">IFERROR(VLOOKUP($A205,'The List'!$B1:$AS671,17,FALSE)," ")</f>
        <v xml:space="preserve"> </v>
      </c>
      <c r="K205" s="84" t="str" cm="1">
        <f t="array" ref="K205">IFERROR(VLOOKUP($A205,'The List'!$B1:$AS671,18,FALSE)," ")</f>
        <v xml:space="preserve"> </v>
      </c>
      <c r="L205" s="84" t="str" cm="1">
        <f t="array" ref="L205">IFERROR(VLOOKUP($A205,'The List'!$B1:$AS671,19,FALSE)," ")</f>
        <v xml:space="preserve"> </v>
      </c>
      <c r="M205" s="84" t="str" cm="1">
        <f t="array" ref="M205">IFERROR(VLOOKUP($A205,'The List'!$B1:$AS671,20,FALSE)," ")</f>
        <v xml:space="preserve"> </v>
      </c>
      <c r="N205" s="84" t="str" cm="1">
        <f t="array" ref="N205">IFERROR(VLOOKUP($A205,'The List'!$B1:$AS671,21,FALSE)," ")</f>
        <v xml:space="preserve"> </v>
      </c>
      <c r="O205" s="84" t="str" cm="1">
        <f t="array" ref="O205">IFERROR(VLOOKUP($A205,'The List'!$B1:$AS671,22,FALSE)," ")</f>
        <v xml:space="preserve"> </v>
      </c>
      <c r="P205" s="84" t="str" cm="1">
        <f t="array" ref="P205">IFERROR(VLOOKUP($A205,'The List'!$B1:$AS671,23,FALSE)," ")</f>
        <v xml:space="preserve"> </v>
      </c>
      <c r="Q205" s="84" t="str" cm="1">
        <f t="array" ref="Q205">IFERROR(VLOOKUP($A205,'The List'!$B1:$AS671,24,FALSE)," ")</f>
        <v xml:space="preserve"> </v>
      </c>
      <c r="R205" s="84" t="str" cm="1">
        <f t="array" ref="R205">IFERROR(VLOOKUP($A205,'The List'!$B1:$AS671,25,FALSE)," ")</f>
        <v xml:space="preserve"> </v>
      </c>
      <c r="S205" s="84" t="str" cm="1">
        <f t="array" ref="S205">IFERROR(VLOOKUP($A205,'The List'!$B1:$AS671,26,FALSE)," ")</f>
        <v xml:space="preserve"> </v>
      </c>
      <c r="T205" s="84" t="str" cm="1">
        <f t="array" ref="T205">IFERROR(VLOOKUP($A205,'The List'!$B1:$AS671,27,FALSE)," ")</f>
        <v xml:space="preserve"> </v>
      </c>
      <c r="U205" s="84" t="str" cm="1">
        <f t="array" ref="U205">IFERROR(VLOOKUP($A205,'The List'!$B1:$AS671,28,FALSE)," ")</f>
        <v xml:space="preserve"> </v>
      </c>
      <c r="V205" s="84" t="str" cm="1">
        <f t="array" ref="V205">IFERROR(VLOOKUP($A205,'The List'!$B1:$AS671,29,FALSE)," ")</f>
        <v xml:space="preserve"> </v>
      </c>
      <c r="W205" s="84" t="str" cm="1">
        <f t="array" ref="W205">IFERROR(VLOOKUP($A205,'The List'!$B1:$AS671,30,FALSE)," ")</f>
        <v xml:space="preserve"> </v>
      </c>
      <c r="X205" s="84" t="str" cm="1">
        <f t="array" ref="X205">IFERROR(VLOOKUP($A205,'The List'!$B1:$AS671,31,FALSE)," ")</f>
        <v xml:space="preserve"> </v>
      </c>
      <c r="Y205" s="84" t="str" cm="1">
        <f t="array" ref="Y205">IFERROR(VLOOKUP($A205,'The List'!$B1:$AS671,32,FALSE)," ")</f>
        <v xml:space="preserve"> </v>
      </c>
      <c r="Z205" s="84" t="str" cm="1">
        <f t="array" ref="Z205">IFERROR(VLOOKUP($A205,'The List'!$B1:$AS671,33,FALSE)," ")</f>
        <v xml:space="preserve"> </v>
      </c>
      <c r="AA205" s="85"/>
      <c r="AB205" s="90"/>
      <c r="AC205" s="90"/>
      <c r="AD205" s="90"/>
      <c r="AE205" s="90"/>
      <c r="AF205" s="90"/>
    </row>
    <row r="206" spans="1:32" ht="21.25" customHeight="1" x14ac:dyDescent="0.15">
      <c r="A206" s="24"/>
      <c r="B206" s="87" t="str" cm="1">
        <f t="array" ref="B206">IFERROR(VLOOKUP($A206,'The List'!$B1:$AS671,3,FALSE)," ")</f>
        <v xml:space="preserve"> </v>
      </c>
      <c r="C206" s="91" t="str" cm="1">
        <f t="array" ref="C206">IFERROR(VLOOKUP($A206,'The List'!$B1:$AS671,4,FALSE)," ")</f>
        <v xml:space="preserve"> </v>
      </c>
      <c r="D206" s="18" t="str" cm="1">
        <f t="array" ref="D206">IFERROR(VLOOKUP($A206,'The List'!$B1:$AS671,5,FALSE)," ")</f>
        <v xml:space="preserve"> </v>
      </c>
      <c r="E206" s="18" t="str" cm="1">
        <f t="array" ref="E206">IFERROR(VLOOKUP($A206,'The List'!$B1:$AS671,6,FALSE)," ")</f>
        <v xml:space="preserve"> </v>
      </c>
      <c r="F206" s="92" t="str" cm="1">
        <f t="array" ref="F206">IFERROR(VLOOKUP($A206,'The List'!$B1:$AS671,8,FALSE)," ")</f>
        <v xml:space="preserve"> </v>
      </c>
      <c r="G206" s="92" t="str" cm="1">
        <f t="array" ref="G206">IFERROR(VLOOKUP($A206,'The List'!$B1:$AS671,10,FALSE)," ")</f>
        <v xml:space="preserve"> </v>
      </c>
      <c r="H206" s="55"/>
      <c r="I206" s="84" t="str" cm="1">
        <f t="array" ref="I206">IFERROR(VLOOKUP($A206,'The List'!$B1:$AS671,16,FALSE)," ")</f>
        <v xml:space="preserve"> </v>
      </c>
      <c r="J206" s="84" t="str" cm="1">
        <f t="array" ref="J206">IFERROR(VLOOKUP($A206,'The List'!$B1:$AS671,17,FALSE)," ")</f>
        <v xml:space="preserve"> </v>
      </c>
      <c r="K206" s="84" t="str" cm="1">
        <f t="array" ref="K206">IFERROR(VLOOKUP($A206,'The List'!$B1:$AS671,18,FALSE)," ")</f>
        <v xml:space="preserve"> </v>
      </c>
      <c r="L206" s="84" t="str" cm="1">
        <f t="array" ref="L206">IFERROR(VLOOKUP($A206,'The List'!$B1:$AS671,19,FALSE)," ")</f>
        <v xml:space="preserve"> </v>
      </c>
      <c r="M206" s="84" t="str" cm="1">
        <f t="array" ref="M206">IFERROR(VLOOKUP($A206,'The List'!$B1:$AS671,20,FALSE)," ")</f>
        <v xml:space="preserve"> </v>
      </c>
      <c r="N206" s="84" t="str" cm="1">
        <f t="array" ref="N206">IFERROR(VLOOKUP($A206,'The List'!$B1:$AS671,21,FALSE)," ")</f>
        <v xml:space="preserve"> </v>
      </c>
      <c r="O206" s="84" t="str" cm="1">
        <f t="array" ref="O206">IFERROR(VLOOKUP($A206,'The List'!$B1:$AS671,22,FALSE)," ")</f>
        <v xml:space="preserve"> </v>
      </c>
      <c r="P206" s="84" t="str" cm="1">
        <f t="array" ref="P206">IFERROR(VLOOKUP($A206,'The List'!$B1:$AS671,23,FALSE)," ")</f>
        <v xml:space="preserve"> </v>
      </c>
      <c r="Q206" s="84" t="str" cm="1">
        <f t="array" ref="Q206">IFERROR(VLOOKUP($A206,'The List'!$B1:$AS671,24,FALSE)," ")</f>
        <v xml:space="preserve"> </v>
      </c>
      <c r="R206" s="84" t="str" cm="1">
        <f t="array" ref="R206">IFERROR(VLOOKUP($A206,'The List'!$B1:$AS671,25,FALSE)," ")</f>
        <v xml:space="preserve"> </v>
      </c>
      <c r="S206" s="84" t="str" cm="1">
        <f t="array" ref="S206">IFERROR(VLOOKUP($A206,'The List'!$B1:$AS671,26,FALSE)," ")</f>
        <v xml:space="preserve"> </v>
      </c>
      <c r="T206" s="84" t="str" cm="1">
        <f t="array" ref="T206">IFERROR(VLOOKUP($A206,'The List'!$B1:$AS671,27,FALSE)," ")</f>
        <v xml:space="preserve"> </v>
      </c>
      <c r="U206" s="84" t="str" cm="1">
        <f t="array" ref="U206">IFERROR(VLOOKUP($A206,'The List'!$B1:$AS671,28,FALSE)," ")</f>
        <v xml:space="preserve"> </v>
      </c>
      <c r="V206" s="84" t="str" cm="1">
        <f t="array" ref="V206">IFERROR(VLOOKUP($A206,'The List'!$B1:$AS671,29,FALSE)," ")</f>
        <v xml:space="preserve"> </v>
      </c>
      <c r="W206" s="84" t="str" cm="1">
        <f t="array" ref="W206">IFERROR(VLOOKUP($A206,'The List'!$B1:$AS671,30,FALSE)," ")</f>
        <v xml:space="preserve"> </v>
      </c>
      <c r="X206" s="84" t="str" cm="1">
        <f t="array" ref="X206">IFERROR(VLOOKUP($A206,'The List'!$B1:$AS671,31,FALSE)," ")</f>
        <v xml:space="preserve"> </v>
      </c>
      <c r="Y206" s="84" t="str" cm="1">
        <f t="array" ref="Y206">IFERROR(VLOOKUP($A206,'The List'!$B1:$AS671,32,FALSE)," ")</f>
        <v xml:space="preserve"> </v>
      </c>
      <c r="Z206" s="84" t="str" cm="1">
        <f t="array" ref="Z206">IFERROR(VLOOKUP($A206,'The List'!$B1:$AS671,33,FALSE)," ")</f>
        <v xml:space="preserve"> </v>
      </c>
      <c r="AA206" s="85"/>
      <c r="AB206" s="90"/>
      <c r="AC206" s="90"/>
      <c r="AD206" s="90"/>
      <c r="AE206" s="90"/>
      <c r="AF206" s="90"/>
    </row>
    <row r="207" spans="1:32" ht="21.25" customHeight="1" x14ac:dyDescent="0.15">
      <c r="A207" s="24"/>
      <c r="B207" s="87" t="str" cm="1">
        <f t="array" ref="B207">IFERROR(VLOOKUP($A207,'The List'!$B1:$AS671,3,FALSE)," ")</f>
        <v xml:space="preserve"> </v>
      </c>
      <c r="C207" s="91" t="str" cm="1">
        <f t="array" ref="C207">IFERROR(VLOOKUP($A207,'The List'!$B1:$AS671,4,FALSE)," ")</f>
        <v xml:space="preserve"> </v>
      </c>
      <c r="D207" s="18" t="str" cm="1">
        <f t="array" ref="D207">IFERROR(VLOOKUP($A207,'The List'!$B1:$AS671,5,FALSE)," ")</f>
        <v xml:space="preserve"> </v>
      </c>
      <c r="E207" s="18" t="str" cm="1">
        <f t="array" ref="E207">IFERROR(VLOOKUP($A207,'The List'!$B1:$AS671,6,FALSE)," ")</f>
        <v xml:space="preserve"> </v>
      </c>
      <c r="F207" s="92" t="str" cm="1">
        <f t="array" ref="F207">IFERROR(VLOOKUP($A207,'The List'!$B1:$AS671,8,FALSE)," ")</f>
        <v xml:space="preserve"> </v>
      </c>
      <c r="G207" s="92" t="str" cm="1">
        <f t="array" ref="G207">IFERROR(VLOOKUP($A207,'The List'!$B1:$AS671,10,FALSE)," ")</f>
        <v xml:space="preserve"> </v>
      </c>
      <c r="H207" s="55"/>
      <c r="I207" s="84" t="str" cm="1">
        <f t="array" ref="I207">IFERROR(VLOOKUP($A207,'The List'!$B1:$AS671,16,FALSE)," ")</f>
        <v xml:space="preserve"> </v>
      </c>
      <c r="J207" s="84" t="str" cm="1">
        <f t="array" ref="J207">IFERROR(VLOOKUP($A207,'The List'!$B1:$AS671,17,FALSE)," ")</f>
        <v xml:space="preserve"> </v>
      </c>
      <c r="K207" s="84" t="str" cm="1">
        <f t="array" ref="K207">IFERROR(VLOOKUP($A207,'The List'!$B1:$AS671,18,FALSE)," ")</f>
        <v xml:space="preserve"> </v>
      </c>
      <c r="L207" s="84" t="str" cm="1">
        <f t="array" ref="L207">IFERROR(VLOOKUP($A207,'The List'!$B1:$AS671,19,FALSE)," ")</f>
        <v xml:space="preserve"> </v>
      </c>
      <c r="M207" s="84" t="str" cm="1">
        <f t="array" ref="M207">IFERROR(VLOOKUP($A207,'The List'!$B1:$AS671,20,FALSE)," ")</f>
        <v xml:space="preserve"> </v>
      </c>
      <c r="N207" s="84" t="str" cm="1">
        <f t="array" ref="N207">IFERROR(VLOOKUP($A207,'The List'!$B1:$AS671,21,FALSE)," ")</f>
        <v xml:space="preserve"> </v>
      </c>
      <c r="O207" s="84" t="str" cm="1">
        <f t="array" ref="O207">IFERROR(VLOOKUP($A207,'The List'!$B1:$AS671,22,FALSE)," ")</f>
        <v xml:space="preserve"> </v>
      </c>
      <c r="P207" s="84" t="str" cm="1">
        <f t="array" ref="P207">IFERROR(VLOOKUP($A207,'The List'!$B1:$AS671,23,FALSE)," ")</f>
        <v xml:space="preserve"> </v>
      </c>
      <c r="Q207" s="84" t="str" cm="1">
        <f t="array" ref="Q207">IFERROR(VLOOKUP($A207,'The List'!$B1:$AS671,24,FALSE)," ")</f>
        <v xml:space="preserve"> </v>
      </c>
      <c r="R207" s="84" t="str" cm="1">
        <f t="array" ref="R207">IFERROR(VLOOKUP($A207,'The List'!$B1:$AS671,25,FALSE)," ")</f>
        <v xml:space="preserve"> </v>
      </c>
      <c r="S207" s="84" t="str" cm="1">
        <f t="array" ref="S207">IFERROR(VLOOKUP($A207,'The List'!$B1:$AS671,26,FALSE)," ")</f>
        <v xml:space="preserve"> </v>
      </c>
      <c r="T207" s="84" t="str" cm="1">
        <f t="array" ref="T207">IFERROR(VLOOKUP($A207,'The List'!$B1:$AS671,27,FALSE)," ")</f>
        <v xml:space="preserve"> </v>
      </c>
      <c r="U207" s="84" t="str" cm="1">
        <f t="array" ref="U207">IFERROR(VLOOKUP($A207,'The List'!$B1:$AS671,28,FALSE)," ")</f>
        <v xml:space="preserve"> </v>
      </c>
      <c r="V207" s="84" t="str" cm="1">
        <f t="array" ref="V207">IFERROR(VLOOKUP($A207,'The List'!$B1:$AS671,29,FALSE)," ")</f>
        <v xml:space="preserve"> </v>
      </c>
      <c r="W207" s="84" t="str" cm="1">
        <f t="array" ref="W207">IFERROR(VLOOKUP($A207,'The List'!$B1:$AS671,30,FALSE)," ")</f>
        <v xml:space="preserve"> </v>
      </c>
      <c r="X207" s="84" t="str" cm="1">
        <f t="array" ref="X207">IFERROR(VLOOKUP($A207,'The List'!$B1:$AS671,31,FALSE)," ")</f>
        <v xml:space="preserve"> </v>
      </c>
      <c r="Y207" s="84" t="str" cm="1">
        <f t="array" ref="Y207">IFERROR(VLOOKUP($A207,'The List'!$B1:$AS671,32,FALSE)," ")</f>
        <v xml:space="preserve"> </v>
      </c>
      <c r="Z207" s="84" t="str" cm="1">
        <f t="array" ref="Z207">IFERROR(VLOOKUP($A207,'The List'!$B1:$AS671,33,FALSE)," ")</f>
        <v xml:space="preserve"> </v>
      </c>
      <c r="AA207" s="85"/>
      <c r="AB207" s="90"/>
      <c r="AC207" s="90"/>
      <c r="AD207" s="90"/>
      <c r="AE207" s="90"/>
      <c r="AF207" s="90"/>
    </row>
    <row r="208" spans="1:32" ht="21.25" customHeight="1" x14ac:dyDescent="0.15">
      <c r="A208" s="24"/>
      <c r="B208" s="87" t="str" cm="1">
        <f t="array" ref="B208">IFERROR(VLOOKUP($A208,'The List'!$B1:$AS671,3,FALSE)," ")</f>
        <v xml:space="preserve"> </v>
      </c>
      <c r="C208" s="91" t="str" cm="1">
        <f t="array" ref="C208">IFERROR(VLOOKUP($A208,'The List'!$B1:$AS671,4,FALSE)," ")</f>
        <v xml:space="preserve"> </v>
      </c>
      <c r="D208" s="18" t="str" cm="1">
        <f t="array" ref="D208">IFERROR(VLOOKUP($A208,'The List'!$B1:$AS671,5,FALSE)," ")</f>
        <v xml:space="preserve"> </v>
      </c>
      <c r="E208" s="18" t="str" cm="1">
        <f t="array" ref="E208">IFERROR(VLOOKUP($A208,'The List'!$B1:$AS671,6,FALSE)," ")</f>
        <v xml:space="preserve"> </v>
      </c>
      <c r="F208" s="92" t="str" cm="1">
        <f t="array" ref="F208">IFERROR(VLOOKUP($A208,'The List'!$B1:$AS671,8,FALSE)," ")</f>
        <v xml:space="preserve"> </v>
      </c>
      <c r="G208" s="92" t="str" cm="1">
        <f t="array" ref="G208">IFERROR(VLOOKUP($A208,'The List'!$B1:$AS671,10,FALSE)," ")</f>
        <v xml:space="preserve"> </v>
      </c>
      <c r="H208" s="55"/>
      <c r="I208" s="84" t="str" cm="1">
        <f t="array" ref="I208">IFERROR(VLOOKUP($A208,'The List'!$B1:$AS671,16,FALSE)," ")</f>
        <v xml:space="preserve"> </v>
      </c>
      <c r="J208" s="84" t="str" cm="1">
        <f t="array" ref="J208">IFERROR(VLOOKUP($A208,'The List'!$B1:$AS671,17,FALSE)," ")</f>
        <v xml:space="preserve"> </v>
      </c>
      <c r="K208" s="84" t="str" cm="1">
        <f t="array" ref="K208">IFERROR(VLOOKUP($A208,'The List'!$B1:$AS671,18,FALSE)," ")</f>
        <v xml:space="preserve"> </v>
      </c>
      <c r="L208" s="84" t="str" cm="1">
        <f t="array" ref="L208">IFERROR(VLOOKUP($A208,'The List'!$B1:$AS671,19,FALSE)," ")</f>
        <v xml:space="preserve"> </v>
      </c>
      <c r="M208" s="84" t="str" cm="1">
        <f t="array" ref="M208">IFERROR(VLOOKUP($A208,'The List'!$B1:$AS671,20,FALSE)," ")</f>
        <v xml:space="preserve"> </v>
      </c>
      <c r="N208" s="84" t="str" cm="1">
        <f t="array" ref="N208">IFERROR(VLOOKUP($A208,'The List'!$B1:$AS671,21,FALSE)," ")</f>
        <v xml:space="preserve"> </v>
      </c>
      <c r="O208" s="84" t="str" cm="1">
        <f t="array" ref="O208">IFERROR(VLOOKUP($A208,'The List'!$B1:$AS671,22,FALSE)," ")</f>
        <v xml:space="preserve"> </v>
      </c>
      <c r="P208" s="84" t="str" cm="1">
        <f t="array" ref="P208">IFERROR(VLOOKUP($A208,'The List'!$B1:$AS671,23,FALSE)," ")</f>
        <v xml:space="preserve"> </v>
      </c>
      <c r="Q208" s="84" t="str" cm="1">
        <f t="array" ref="Q208">IFERROR(VLOOKUP($A208,'The List'!$B1:$AS671,24,FALSE)," ")</f>
        <v xml:space="preserve"> </v>
      </c>
      <c r="R208" s="84" t="str" cm="1">
        <f t="array" ref="R208">IFERROR(VLOOKUP($A208,'The List'!$B1:$AS671,25,FALSE)," ")</f>
        <v xml:space="preserve"> </v>
      </c>
      <c r="S208" s="84" t="str" cm="1">
        <f t="array" ref="S208">IFERROR(VLOOKUP($A208,'The List'!$B1:$AS671,26,FALSE)," ")</f>
        <v xml:space="preserve"> </v>
      </c>
      <c r="T208" s="84" t="str" cm="1">
        <f t="array" ref="T208">IFERROR(VLOOKUP($A208,'The List'!$B1:$AS671,27,FALSE)," ")</f>
        <v xml:space="preserve"> </v>
      </c>
      <c r="U208" s="84" t="str" cm="1">
        <f t="array" ref="U208">IFERROR(VLOOKUP($A208,'The List'!$B1:$AS671,28,FALSE)," ")</f>
        <v xml:space="preserve"> </v>
      </c>
      <c r="V208" s="84" t="str" cm="1">
        <f t="array" ref="V208">IFERROR(VLOOKUP($A208,'The List'!$B1:$AS671,29,FALSE)," ")</f>
        <v xml:space="preserve"> </v>
      </c>
      <c r="W208" s="84" t="str" cm="1">
        <f t="array" ref="W208">IFERROR(VLOOKUP($A208,'The List'!$B1:$AS671,30,FALSE)," ")</f>
        <v xml:space="preserve"> </v>
      </c>
      <c r="X208" s="84" t="str" cm="1">
        <f t="array" ref="X208">IFERROR(VLOOKUP($A208,'The List'!$B1:$AS671,31,FALSE)," ")</f>
        <v xml:space="preserve"> </v>
      </c>
      <c r="Y208" s="84" t="str" cm="1">
        <f t="array" ref="Y208">IFERROR(VLOOKUP($A208,'The List'!$B1:$AS671,32,FALSE)," ")</f>
        <v xml:space="preserve"> </v>
      </c>
      <c r="Z208" s="84" t="str" cm="1">
        <f t="array" ref="Z208">IFERROR(VLOOKUP($A208,'The List'!$B1:$AS671,33,FALSE)," ")</f>
        <v xml:space="preserve"> </v>
      </c>
      <c r="AA208" s="85"/>
      <c r="AB208" s="90"/>
      <c r="AC208" s="90"/>
      <c r="AD208" s="90"/>
      <c r="AE208" s="90"/>
      <c r="AF208" s="90"/>
    </row>
    <row r="209" spans="1:32" ht="21.25" customHeight="1" x14ac:dyDescent="0.15">
      <c r="A209" s="24"/>
      <c r="B209" s="93" t="str" cm="1">
        <f t="array" ref="B209">IFERROR(VLOOKUP($A209,'The List'!$B1:$AS671,3,FALSE)," ")</f>
        <v xml:space="preserve"> </v>
      </c>
      <c r="C209" s="95" t="str" cm="1">
        <f t="array" ref="C209">IFERROR(VLOOKUP($A209,'The List'!$B1:$AS671,4,FALSE)," ")</f>
        <v xml:space="preserve"> </v>
      </c>
      <c r="D209" s="18" t="str" cm="1">
        <f t="array" ref="D209">IFERROR(VLOOKUP($A209,'The List'!$B1:$AS671,5,FALSE)," ")</f>
        <v xml:space="preserve"> </v>
      </c>
      <c r="E209" s="18" t="str" cm="1">
        <f t="array" ref="E209">IFERROR(VLOOKUP($A209,'The List'!$B1:$AS671,6,FALSE)," ")</f>
        <v xml:space="preserve"> </v>
      </c>
      <c r="F209" s="92" t="str" cm="1">
        <f t="array" ref="F209">IFERROR(VLOOKUP($A209,'The List'!$B1:$AS671,8,FALSE)," ")</f>
        <v xml:space="preserve"> </v>
      </c>
      <c r="G209" s="92" t="str" cm="1">
        <f t="array" ref="G209">IFERROR(VLOOKUP($A209,'The List'!$B1:$AS671,10,FALSE)," ")</f>
        <v xml:space="preserve"> </v>
      </c>
      <c r="H209" s="55"/>
      <c r="I209" s="84" t="str" cm="1">
        <f t="array" ref="I209">IFERROR(VLOOKUP($A209,'The List'!$B1:$AS671,16,FALSE)," ")</f>
        <v xml:space="preserve"> </v>
      </c>
      <c r="J209" s="84" t="str" cm="1">
        <f t="array" ref="J209">IFERROR(VLOOKUP($A209,'The List'!$B1:$AS671,17,FALSE)," ")</f>
        <v xml:space="preserve"> </v>
      </c>
      <c r="K209" s="84" t="str" cm="1">
        <f t="array" ref="K209">IFERROR(VLOOKUP($A209,'The List'!$B1:$AS671,18,FALSE)," ")</f>
        <v xml:space="preserve"> </v>
      </c>
      <c r="L209" s="84" t="str" cm="1">
        <f t="array" ref="L209">IFERROR(VLOOKUP($A209,'The List'!$B1:$AS671,19,FALSE)," ")</f>
        <v xml:space="preserve"> </v>
      </c>
      <c r="M209" s="84" t="str" cm="1">
        <f t="array" ref="M209">IFERROR(VLOOKUP($A209,'The List'!$B1:$AS671,20,FALSE)," ")</f>
        <v xml:space="preserve"> </v>
      </c>
      <c r="N209" s="84" t="str" cm="1">
        <f t="array" ref="N209">IFERROR(VLOOKUP($A209,'The List'!$B1:$AS671,21,FALSE)," ")</f>
        <v xml:space="preserve"> </v>
      </c>
      <c r="O209" s="84" t="str" cm="1">
        <f t="array" ref="O209">IFERROR(VLOOKUP($A209,'The List'!$B1:$AS671,22,FALSE)," ")</f>
        <v xml:space="preserve"> </v>
      </c>
      <c r="P209" s="84" t="str" cm="1">
        <f t="array" ref="P209">IFERROR(VLOOKUP($A209,'The List'!$B1:$AS671,23,FALSE)," ")</f>
        <v xml:space="preserve"> </v>
      </c>
      <c r="Q209" s="84" t="str" cm="1">
        <f t="array" ref="Q209">IFERROR(VLOOKUP($A209,'The List'!$B1:$AS671,24,FALSE)," ")</f>
        <v xml:space="preserve"> </v>
      </c>
      <c r="R209" s="84" t="str" cm="1">
        <f t="array" ref="R209">IFERROR(VLOOKUP($A209,'The List'!$B1:$AS671,25,FALSE)," ")</f>
        <v xml:space="preserve"> </v>
      </c>
      <c r="S209" s="84" t="str" cm="1">
        <f t="array" ref="S209">IFERROR(VLOOKUP($A209,'The List'!$B1:$AS671,26,FALSE)," ")</f>
        <v xml:space="preserve"> </v>
      </c>
      <c r="T209" s="84" t="str" cm="1">
        <f t="array" ref="T209">IFERROR(VLOOKUP($A209,'The List'!$B1:$AS671,27,FALSE)," ")</f>
        <v xml:space="preserve"> </v>
      </c>
      <c r="U209" s="84" t="str" cm="1">
        <f t="array" ref="U209">IFERROR(VLOOKUP($A209,'The List'!$B1:$AS671,28,FALSE)," ")</f>
        <v xml:space="preserve"> </v>
      </c>
      <c r="V209" s="84" t="str" cm="1">
        <f t="array" ref="V209">IFERROR(VLOOKUP($A209,'The List'!$B1:$AS671,29,FALSE)," ")</f>
        <v xml:space="preserve"> </v>
      </c>
      <c r="W209" s="84" t="str" cm="1">
        <f t="array" ref="W209">IFERROR(VLOOKUP($A209,'The List'!$B1:$AS671,30,FALSE)," ")</f>
        <v xml:space="preserve"> </v>
      </c>
      <c r="X209" s="84" t="str" cm="1">
        <f t="array" ref="X209">IFERROR(VLOOKUP($A209,'The List'!$B1:$AS671,31,FALSE)," ")</f>
        <v xml:space="preserve"> </v>
      </c>
      <c r="Y209" s="84" t="str" cm="1">
        <f t="array" ref="Y209">IFERROR(VLOOKUP($A209,'The List'!$B1:$AS671,32,FALSE)," ")</f>
        <v xml:space="preserve"> </v>
      </c>
      <c r="Z209" s="84" t="str" cm="1">
        <f t="array" ref="Z209">IFERROR(VLOOKUP($A209,'The List'!$B1:$AS671,33,FALSE)," ")</f>
        <v xml:space="preserve"> </v>
      </c>
      <c r="AA209" s="85"/>
      <c r="AB209" s="90"/>
      <c r="AC209" s="90"/>
      <c r="AD209" s="90"/>
      <c r="AE209" s="90"/>
      <c r="AF209" s="90"/>
    </row>
    <row r="210" spans="1:32" ht="21.25" customHeight="1" x14ac:dyDescent="0.15">
      <c r="A210" s="24"/>
      <c r="B210" s="93" t="str" cm="1">
        <f t="array" ref="B210">IFERROR(VLOOKUP($A210,'The List'!$B1:$AS671,3,FALSE)," ")</f>
        <v xml:space="preserve"> </v>
      </c>
      <c r="C210" s="95" t="str" cm="1">
        <f t="array" ref="C210">IFERROR(VLOOKUP($A210,'The List'!$B1:$AS671,4,FALSE)," ")</f>
        <v xml:space="preserve"> </v>
      </c>
      <c r="D210" s="18" t="str" cm="1">
        <f t="array" ref="D210">IFERROR(VLOOKUP($A210,'The List'!$B1:$AS671,5,FALSE)," ")</f>
        <v xml:space="preserve"> </v>
      </c>
      <c r="E210" s="18" t="str" cm="1">
        <f t="array" ref="E210">IFERROR(VLOOKUP($A210,'The List'!$B1:$AS671,6,FALSE)," ")</f>
        <v xml:space="preserve"> </v>
      </c>
      <c r="F210" s="92" t="str" cm="1">
        <f t="array" ref="F210">IFERROR(VLOOKUP($A210,'The List'!$B1:$AS671,8,FALSE)," ")</f>
        <v xml:space="preserve"> </v>
      </c>
      <c r="G210" s="92" t="str" cm="1">
        <f t="array" ref="G210">IFERROR(VLOOKUP($A210,'The List'!$B1:$AS671,10,FALSE)," ")</f>
        <v xml:space="preserve"> </v>
      </c>
      <c r="H210" s="55"/>
      <c r="I210" s="84" t="str" cm="1">
        <f t="array" ref="I210">IFERROR(VLOOKUP($A210,'The List'!$B1:$AS671,16,FALSE)," ")</f>
        <v xml:space="preserve"> </v>
      </c>
      <c r="J210" s="84" t="str" cm="1">
        <f t="array" ref="J210">IFERROR(VLOOKUP($A210,'The List'!$B1:$AS671,17,FALSE)," ")</f>
        <v xml:space="preserve"> </v>
      </c>
      <c r="K210" s="84" t="str" cm="1">
        <f t="array" ref="K210">IFERROR(VLOOKUP($A210,'The List'!$B1:$AS671,18,FALSE)," ")</f>
        <v xml:space="preserve"> </v>
      </c>
      <c r="L210" s="84" t="str" cm="1">
        <f t="array" ref="L210">IFERROR(VLOOKUP($A210,'The List'!$B1:$AS671,19,FALSE)," ")</f>
        <v xml:space="preserve"> </v>
      </c>
      <c r="M210" s="84" t="str" cm="1">
        <f t="array" ref="M210">IFERROR(VLOOKUP($A210,'The List'!$B1:$AS671,20,FALSE)," ")</f>
        <v xml:space="preserve"> </v>
      </c>
      <c r="N210" s="84" t="str" cm="1">
        <f t="array" ref="N210">IFERROR(VLOOKUP($A210,'The List'!$B1:$AS671,21,FALSE)," ")</f>
        <v xml:space="preserve"> </v>
      </c>
      <c r="O210" s="84" t="str" cm="1">
        <f t="array" ref="O210">IFERROR(VLOOKUP($A210,'The List'!$B1:$AS671,22,FALSE)," ")</f>
        <v xml:space="preserve"> </v>
      </c>
      <c r="P210" s="84" t="str" cm="1">
        <f t="array" ref="P210">IFERROR(VLOOKUP($A210,'The List'!$B1:$AS671,23,FALSE)," ")</f>
        <v xml:space="preserve"> </v>
      </c>
      <c r="Q210" s="84" t="str" cm="1">
        <f t="array" ref="Q210">IFERROR(VLOOKUP($A210,'The List'!$B1:$AS671,24,FALSE)," ")</f>
        <v xml:space="preserve"> </v>
      </c>
      <c r="R210" s="84" t="str" cm="1">
        <f t="array" ref="R210">IFERROR(VLOOKUP($A210,'The List'!$B1:$AS671,25,FALSE)," ")</f>
        <v xml:space="preserve"> </v>
      </c>
      <c r="S210" s="84" t="str" cm="1">
        <f t="array" ref="S210">IFERROR(VLOOKUP($A210,'The List'!$B1:$AS671,26,FALSE)," ")</f>
        <v xml:space="preserve"> </v>
      </c>
      <c r="T210" s="84" t="str" cm="1">
        <f t="array" ref="T210">IFERROR(VLOOKUP($A210,'The List'!$B1:$AS671,27,FALSE)," ")</f>
        <v xml:space="preserve"> </v>
      </c>
      <c r="U210" s="84" t="str" cm="1">
        <f t="array" ref="U210">IFERROR(VLOOKUP($A210,'The List'!$B1:$AS671,28,FALSE)," ")</f>
        <v xml:space="preserve"> </v>
      </c>
      <c r="V210" s="84" t="str" cm="1">
        <f t="array" ref="V210">IFERROR(VLOOKUP($A210,'The List'!$B1:$AS671,29,FALSE)," ")</f>
        <v xml:space="preserve"> </v>
      </c>
      <c r="W210" s="84" t="str" cm="1">
        <f t="array" ref="W210">IFERROR(VLOOKUP($A210,'The List'!$B1:$AS671,30,FALSE)," ")</f>
        <v xml:space="preserve"> </v>
      </c>
      <c r="X210" s="84" t="str" cm="1">
        <f t="array" ref="X210">IFERROR(VLOOKUP($A210,'The List'!$B1:$AS671,31,FALSE)," ")</f>
        <v xml:space="preserve"> </v>
      </c>
      <c r="Y210" s="84" t="str" cm="1">
        <f t="array" ref="Y210">IFERROR(VLOOKUP($A210,'The List'!$B1:$AS671,32,FALSE)," ")</f>
        <v xml:space="preserve"> </v>
      </c>
      <c r="Z210" s="84" t="str" cm="1">
        <f t="array" ref="Z210">IFERROR(VLOOKUP($A210,'The List'!$B1:$AS671,33,FALSE)," ")</f>
        <v xml:space="preserve"> </v>
      </c>
      <c r="AA210" s="85"/>
      <c r="AB210" s="90"/>
      <c r="AC210" s="90"/>
      <c r="AD210" s="90"/>
      <c r="AE210" s="90"/>
      <c r="AF210" s="90"/>
    </row>
    <row r="211" spans="1:32" ht="21.25" customHeight="1" x14ac:dyDescent="0.15">
      <c r="A211" s="24"/>
      <c r="B211" s="93" t="str" cm="1">
        <f t="array" ref="B211">IFERROR(VLOOKUP($A211,'The List'!$B1:$AS671,3,FALSE)," ")</f>
        <v xml:space="preserve"> </v>
      </c>
      <c r="C211" s="95" t="str" cm="1">
        <f t="array" ref="C211">IFERROR(VLOOKUP($A211,'The List'!$B1:$AS671,4,FALSE)," ")</f>
        <v xml:space="preserve"> </v>
      </c>
      <c r="D211" s="18" t="str" cm="1">
        <f t="array" ref="D211">IFERROR(VLOOKUP($A211,'The List'!$B1:$AS671,5,FALSE)," ")</f>
        <v xml:space="preserve"> </v>
      </c>
      <c r="E211" s="18" t="str" cm="1">
        <f t="array" ref="E211">IFERROR(VLOOKUP($A211,'The List'!$B1:$AS671,6,FALSE)," ")</f>
        <v xml:space="preserve"> </v>
      </c>
      <c r="F211" s="92" t="str" cm="1">
        <f t="array" ref="F211">IFERROR(VLOOKUP($A211,'The List'!$B1:$AS671,8,FALSE)," ")</f>
        <v xml:space="preserve"> </v>
      </c>
      <c r="G211" s="92" t="str" cm="1">
        <f t="array" ref="G211">IFERROR(VLOOKUP($A211,'The List'!$B1:$AS671,10,FALSE)," ")</f>
        <v xml:space="preserve"> </v>
      </c>
      <c r="H211" s="55"/>
      <c r="I211" s="84" t="str" cm="1">
        <f t="array" ref="I211">IFERROR(VLOOKUP($A211,'The List'!$B1:$AS671,16,FALSE)," ")</f>
        <v xml:space="preserve"> </v>
      </c>
      <c r="J211" s="84" t="str" cm="1">
        <f t="array" ref="J211">IFERROR(VLOOKUP($A211,'The List'!$B1:$AS671,17,FALSE)," ")</f>
        <v xml:space="preserve"> </v>
      </c>
      <c r="K211" s="84" t="str" cm="1">
        <f t="array" ref="K211">IFERROR(VLOOKUP($A211,'The List'!$B1:$AS671,18,FALSE)," ")</f>
        <v xml:space="preserve"> </v>
      </c>
      <c r="L211" s="84" t="str" cm="1">
        <f t="array" ref="L211">IFERROR(VLOOKUP($A211,'The List'!$B1:$AS671,19,FALSE)," ")</f>
        <v xml:space="preserve"> </v>
      </c>
      <c r="M211" s="84" t="str" cm="1">
        <f t="array" ref="M211">IFERROR(VLOOKUP($A211,'The List'!$B1:$AS671,20,FALSE)," ")</f>
        <v xml:space="preserve"> </v>
      </c>
      <c r="N211" s="84" t="str" cm="1">
        <f t="array" ref="N211">IFERROR(VLOOKUP($A211,'The List'!$B1:$AS671,21,FALSE)," ")</f>
        <v xml:space="preserve"> </v>
      </c>
      <c r="O211" s="84" t="str" cm="1">
        <f t="array" ref="O211">IFERROR(VLOOKUP($A211,'The List'!$B1:$AS671,22,FALSE)," ")</f>
        <v xml:space="preserve"> </v>
      </c>
      <c r="P211" s="84" t="str" cm="1">
        <f t="array" ref="P211">IFERROR(VLOOKUP($A211,'The List'!$B1:$AS671,23,FALSE)," ")</f>
        <v xml:space="preserve"> </v>
      </c>
      <c r="Q211" s="84" t="str" cm="1">
        <f t="array" ref="Q211">IFERROR(VLOOKUP($A211,'The List'!$B1:$AS671,24,FALSE)," ")</f>
        <v xml:space="preserve"> </v>
      </c>
      <c r="R211" s="84" t="str" cm="1">
        <f t="array" ref="R211">IFERROR(VLOOKUP($A211,'The List'!$B1:$AS671,25,FALSE)," ")</f>
        <v xml:space="preserve"> </v>
      </c>
      <c r="S211" s="84" t="str" cm="1">
        <f t="array" ref="S211">IFERROR(VLOOKUP($A211,'The List'!$B1:$AS671,26,FALSE)," ")</f>
        <v xml:space="preserve"> </v>
      </c>
      <c r="T211" s="84" t="str" cm="1">
        <f t="array" ref="T211">IFERROR(VLOOKUP($A211,'The List'!$B1:$AS671,27,FALSE)," ")</f>
        <v xml:space="preserve"> </v>
      </c>
      <c r="U211" s="84" t="str" cm="1">
        <f t="array" ref="U211">IFERROR(VLOOKUP($A211,'The List'!$B1:$AS671,28,FALSE)," ")</f>
        <v xml:space="preserve"> </v>
      </c>
      <c r="V211" s="84" t="str" cm="1">
        <f t="array" ref="V211">IFERROR(VLOOKUP($A211,'The List'!$B1:$AS671,29,FALSE)," ")</f>
        <v xml:space="preserve"> </v>
      </c>
      <c r="W211" s="84" t="str" cm="1">
        <f t="array" ref="W211">IFERROR(VLOOKUP($A211,'The List'!$B1:$AS671,30,FALSE)," ")</f>
        <v xml:space="preserve"> </v>
      </c>
      <c r="X211" s="84" t="str" cm="1">
        <f t="array" ref="X211">IFERROR(VLOOKUP($A211,'The List'!$B1:$AS671,31,FALSE)," ")</f>
        <v xml:space="preserve"> </v>
      </c>
      <c r="Y211" s="84" t="str" cm="1">
        <f t="array" ref="Y211">IFERROR(VLOOKUP($A211,'The List'!$B1:$AS671,32,FALSE)," ")</f>
        <v xml:space="preserve"> </v>
      </c>
      <c r="Z211" s="84" t="str" cm="1">
        <f t="array" ref="Z211">IFERROR(VLOOKUP($A211,'The List'!$B1:$AS671,33,FALSE)," ")</f>
        <v xml:space="preserve"> </v>
      </c>
      <c r="AA211" s="85"/>
      <c r="AB211" s="90"/>
      <c r="AC211" s="90"/>
      <c r="AD211" s="90"/>
      <c r="AE211" s="90"/>
      <c r="AF211" s="90"/>
    </row>
    <row r="212" spans="1:32" ht="21.25" customHeight="1" x14ac:dyDescent="0.15">
      <c r="A212" s="24"/>
      <c r="B212" s="93" t="str" cm="1">
        <f t="array" ref="B212">IFERROR(VLOOKUP($A212,'The List'!$B1:$AS671,3,FALSE)," ")</f>
        <v xml:space="preserve"> </v>
      </c>
      <c r="C212" s="95" t="str" cm="1">
        <f t="array" ref="C212">IFERROR(VLOOKUP($A212,'The List'!$B1:$AS671,4,FALSE)," ")</f>
        <v xml:space="preserve"> </v>
      </c>
      <c r="D212" s="18" t="str" cm="1">
        <f t="array" ref="D212">IFERROR(VLOOKUP($A212,'The List'!$B1:$AS671,5,FALSE)," ")</f>
        <v xml:space="preserve"> </v>
      </c>
      <c r="E212" s="18" t="str" cm="1">
        <f t="array" ref="E212">IFERROR(VLOOKUP($A212,'The List'!$B1:$AS671,6,FALSE)," ")</f>
        <v xml:space="preserve"> </v>
      </c>
      <c r="F212" s="92" t="str" cm="1">
        <f t="array" ref="F212">IFERROR(VLOOKUP($A212,'The List'!$B1:$AS671,8,FALSE)," ")</f>
        <v xml:space="preserve"> </v>
      </c>
      <c r="G212" s="92" t="str" cm="1">
        <f t="array" ref="G212">IFERROR(VLOOKUP($A212,'The List'!$B1:$AS671,10,FALSE)," ")</f>
        <v xml:space="preserve"> </v>
      </c>
      <c r="H212" s="55"/>
      <c r="I212" s="84" t="str" cm="1">
        <f t="array" ref="I212">IFERROR(VLOOKUP($A212,'The List'!$B1:$AS671,16,FALSE)," ")</f>
        <v xml:space="preserve"> </v>
      </c>
      <c r="J212" s="84" t="str" cm="1">
        <f t="array" ref="J212">IFERROR(VLOOKUP($A212,'The List'!$B1:$AS671,17,FALSE)," ")</f>
        <v xml:space="preserve"> </v>
      </c>
      <c r="K212" s="84" t="str" cm="1">
        <f t="array" ref="K212">IFERROR(VLOOKUP($A212,'The List'!$B1:$AS671,18,FALSE)," ")</f>
        <v xml:space="preserve"> </v>
      </c>
      <c r="L212" s="84" t="str" cm="1">
        <f t="array" ref="L212">IFERROR(VLOOKUP($A212,'The List'!$B1:$AS671,19,FALSE)," ")</f>
        <v xml:space="preserve"> </v>
      </c>
      <c r="M212" s="84" t="str" cm="1">
        <f t="array" ref="M212">IFERROR(VLOOKUP($A212,'The List'!$B1:$AS671,20,FALSE)," ")</f>
        <v xml:space="preserve"> </v>
      </c>
      <c r="N212" s="84" t="str" cm="1">
        <f t="array" ref="N212">IFERROR(VLOOKUP($A212,'The List'!$B1:$AS671,21,FALSE)," ")</f>
        <v xml:space="preserve"> </v>
      </c>
      <c r="O212" s="84" t="str" cm="1">
        <f t="array" ref="O212">IFERROR(VLOOKUP($A212,'The List'!$B1:$AS671,22,FALSE)," ")</f>
        <v xml:space="preserve"> </v>
      </c>
      <c r="P212" s="84" t="str" cm="1">
        <f t="array" ref="P212">IFERROR(VLOOKUP($A212,'The List'!$B1:$AS671,23,FALSE)," ")</f>
        <v xml:space="preserve"> </v>
      </c>
      <c r="Q212" s="84" t="str" cm="1">
        <f t="array" ref="Q212">IFERROR(VLOOKUP($A212,'The List'!$B1:$AS671,24,FALSE)," ")</f>
        <v xml:space="preserve"> </v>
      </c>
      <c r="R212" s="84" t="str" cm="1">
        <f t="array" ref="R212">IFERROR(VLOOKUP($A212,'The List'!$B1:$AS671,25,FALSE)," ")</f>
        <v xml:space="preserve"> </v>
      </c>
      <c r="S212" s="84" t="str" cm="1">
        <f t="array" ref="S212">IFERROR(VLOOKUP($A212,'The List'!$B1:$AS671,26,FALSE)," ")</f>
        <v xml:space="preserve"> </v>
      </c>
      <c r="T212" s="84" t="str" cm="1">
        <f t="array" ref="T212">IFERROR(VLOOKUP($A212,'The List'!$B1:$AS671,27,FALSE)," ")</f>
        <v xml:space="preserve"> </v>
      </c>
      <c r="U212" s="84" t="str" cm="1">
        <f t="array" ref="U212">IFERROR(VLOOKUP($A212,'The List'!$B1:$AS671,28,FALSE)," ")</f>
        <v xml:space="preserve"> </v>
      </c>
      <c r="V212" s="84" t="str" cm="1">
        <f t="array" ref="V212">IFERROR(VLOOKUP($A212,'The List'!$B1:$AS671,29,FALSE)," ")</f>
        <v xml:space="preserve"> </v>
      </c>
      <c r="W212" s="84" t="str" cm="1">
        <f t="array" ref="W212">IFERROR(VLOOKUP($A212,'The List'!$B1:$AS671,30,FALSE)," ")</f>
        <v xml:space="preserve"> </v>
      </c>
      <c r="X212" s="84" t="str" cm="1">
        <f t="array" ref="X212">IFERROR(VLOOKUP($A212,'The List'!$B1:$AS671,31,FALSE)," ")</f>
        <v xml:space="preserve"> </v>
      </c>
      <c r="Y212" s="84" t="str" cm="1">
        <f t="array" ref="Y212">IFERROR(VLOOKUP($A212,'The List'!$B1:$AS671,32,FALSE)," ")</f>
        <v xml:space="preserve"> </v>
      </c>
      <c r="Z212" s="84" t="str" cm="1">
        <f t="array" ref="Z212">IFERROR(VLOOKUP($A212,'The List'!$B1:$AS671,33,FALSE)," ")</f>
        <v xml:space="preserve"> </v>
      </c>
      <c r="AA212" s="85"/>
      <c r="AB212" s="90"/>
      <c r="AC212" s="90"/>
      <c r="AD212" s="90"/>
      <c r="AE212" s="90"/>
      <c r="AF212" s="90"/>
    </row>
    <row r="213" spans="1:32" ht="21.25" customHeight="1" x14ac:dyDescent="0.15">
      <c r="A213" s="24"/>
      <c r="B213" s="96" t="str" cm="1">
        <f t="array" ref="B213">IFERROR(VLOOKUP($A213,'The List'!$B1:$AS671,3,FALSE)," ")</f>
        <v xml:space="preserve"> </v>
      </c>
      <c r="C213" s="98" t="str" cm="1">
        <f t="array" ref="C213">IFERROR(VLOOKUP($A213,'The List'!$B1:$AS671,4,FALSE)," ")</f>
        <v xml:space="preserve"> </v>
      </c>
      <c r="D213" s="18" t="str" cm="1">
        <f t="array" ref="D213">IFERROR(VLOOKUP($A213,'The List'!$B1:$AS671,5,FALSE)," ")</f>
        <v xml:space="preserve"> </v>
      </c>
      <c r="E213" s="18" t="str" cm="1">
        <f t="array" ref="E213">IFERROR(VLOOKUP($A213,'The List'!$B1:$AS671,6,FALSE)," ")</f>
        <v xml:space="preserve"> </v>
      </c>
      <c r="F213" s="92" t="str" cm="1">
        <f t="array" ref="F213">IFERROR(VLOOKUP($A213,'The List'!$B1:$AS671,8,FALSE)," ")</f>
        <v xml:space="preserve"> </v>
      </c>
      <c r="G213" s="92" t="str" cm="1">
        <f t="array" ref="G213">IFERROR(VLOOKUP($A213,'The List'!$B1:$AS671,10,FALSE)," ")</f>
        <v xml:space="preserve"> </v>
      </c>
      <c r="H213" s="55"/>
      <c r="I213" s="84" t="str" cm="1">
        <f t="array" ref="I213">IFERROR(VLOOKUP($A213,'The List'!$B1:$AS671,16,FALSE)," ")</f>
        <v xml:space="preserve"> </v>
      </c>
      <c r="J213" s="84" t="str" cm="1">
        <f t="array" ref="J213">IFERROR(VLOOKUP($A213,'The List'!$B1:$AS671,17,FALSE)," ")</f>
        <v xml:space="preserve"> </v>
      </c>
      <c r="K213" s="84" t="str" cm="1">
        <f t="array" ref="K213">IFERROR(VLOOKUP($A213,'The List'!$B1:$AS671,18,FALSE)," ")</f>
        <v xml:space="preserve"> </v>
      </c>
      <c r="L213" s="84" t="str" cm="1">
        <f t="array" ref="L213">IFERROR(VLOOKUP($A213,'The List'!$B1:$AS671,19,FALSE)," ")</f>
        <v xml:space="preserve"> </v>
      </c>
      <c r="M213" s="84" t="str" cm="1">
        <f t="array" ref="M213">IFERROR(VLOOKUP($A213,'The List'!$B1:$AS671,20,FALSE)," ")</f>
        <v xml:space="preserve"> </v>
      </c>
      <c r="N213" s="84" t="str" cm="1">
        <f t="array" ref="N213">IFERROR(VLOOKUP($A213,'The List'!$B1:$AS671,21,FALSE)," ")</f>
        <v xml:space="preserve"> </v>
      </c>
      <c r="O213" s="84" t="str" cm="1">
        <f t="array" ref="O213">IFERROR(VLOOKUP($A213,'The List'!$B1:$AS671,22,FALSE)," ")</f>
        <v xml:space="preserve"> </v>
      </c>
      <c r="P213" s="84" t="str" cm="1">
        <f t="array" ref="P213">IFERROR(VLOOKUP($A213,'The List'!$B1:$AS671,23,FALSE)," ")</f>
        <v xml:space="preserve"> </v>
      </c>
      <c r="Q213" s="84" t="str" cm="1">
        <f t="array" ref="Q213">IFERROR(VLOOKUP($A213,'The List'!$B1:$AS671,24,FALSE)," ")</f>
        <v xml:space="preserve"> </v>
      </c>
      <c r="R213" s="84" t="str" cm="1">
        <f t="array" ref="R213">IFERROR(VLOOKUP($A213,'The List'!$B1:$AS671,25,FALSE)," ")</f>
        <v xml:space="preserve"> </v>
      </c>
      <c r="S213" s="84" t="str" cm="1">
        <f t="array" ref="S213">IFERROR(VLOOKUP($A213,'The List'!$B1:$AS671,26,FALSE)," ")</f>
        <v xml:space="preserve"> </v>
      </c>
      <c r="T213" s="84" t="str" cm="1">
        <f t="array" ref="T213">IFERROR(VLOOKUP($A213,'The List'!$B1:$AS671,27,FALSE)," ")</f>
        <v xml:space="preserve"> </v>
      </c>
      <c r="U213" s="84" t="str" cm="1">
        <f t="array" ref="U213">IFERROR(VLOOKUP($A213,'The List'!$B1:$AS671,28,FALSE)," ")</f>
        <v xml:space="preserve"> </v>
      </c>
      <c r="V213" s="84" t="str" cm="1">
        <f t="array" ref="V213">IFERROR(VLOOKUP($A213,'The List'!$B1:$AS671,29,FALSE)," ")</f>
        <v xml:space="preserve"> </v>
      </c>
      <c r="W213" s="84" t="str" cm="1">
        <f t="array" ref="W213">IFERROR(VLOOKUP($A213,'The List'!$B1:$AS671,30,FALSE)," ")</f>
        <v xml:space="preserve"> </v>
      </c>
      <c r="X213" s="84" t="str" cm="1">
        <f t="array" ref="X213">IFERROR(VLOOKUP($A213,'The List'!$B1:$AS671,31,FALSE)," ")</f>
        <v xml:space="preserve"> </v>
      </c>
      <c r="Y213" s="84" t="str" cm="1">
        <f t="array" ref="Y213">IFERROR(VLOOKUP($A213,'The List'!$B1:$AS671,32,FALSE)," ")</f>
        <v xml:space="preserve"> </v>
      </c>
      <c r="Z213" s="84" t="str" cm="1">
        <f t="array" ref="Z213">IFERROR(VLOOKUP($A213,'The List'!$B1:$AS671,33,FALSE)," ")</f>
        <v xml:space="preserve"> </v>
      </c>
      <c r="AA213" s="85"/>
      <c r="AB213" s="90"/>
      <c r="AC213" s="90"/>
      <c r="AD213" s="90"/>
      <c r="AE213" s="90"/>
      <c r="AF213" s="90"/>
    </row>
    <row r="214" spans="1:32" ht="21.25" customHeight="1" x14ac:dyDescent="0.15">
      <c r="A214" s="24"/>
      <c r="B214" s="96" t="str" cm="1">
        <f t="array" ref="B214">IFERROR(VLOOKUP($A214,'The List'!$B1:$AS671,3,FALSE)," ")</f>
        <v xml:space="preserve"> </v>
      </c>
      <c r="C214" s="98" t="str" cm="1">
        <f t="array" ref="C214">IFERROR(VLOOKUP($A214,'The List'!$B1:$AS671,4,FALSE)," ")</f>
        <v xml:space="preserve"> </v>
      </c>
      <c r="D214" s="18" t="str" cm="1">
        <f t="array" ref="D214">IFERROR(VLOOKUP($A214,'The List'!$B1:$AS671,5,FALSE)," ")</f>
        <v xml:space="preserve"> </v>
      </c>
      <c r="E214" s="18" t="str" cm="1">
        <f t="array" ref="E214">IFERROR(VLOOKUP($A214,'The List'!$B1:$AS671,6,FALSE)," ")</f>
        <v xml:space="preserve"> </v>
      </c>
      <c r="F214" s="92" t="str" cm="1">
        <f t="array" ref="F214">IFERROR(VLOOKUP($A214,'The List'!$B1:$AS671,8,FALSE)," ")</f>
        <v xml:space="preserve"> </v>
      </c>
      <c r="G214" s="92" t="str" cm="1">
        <f t="array" ref="G214">IFERROR(VLOOKUP($A214,'The List'!$B1:$AS671,10,FALSE)," ")</f>
        <v xml:space="preserve"> </v>
      </c>
      <c r="H214" s="55"/>
      <c r="I214" s="84" t="str" cm="1">
        <f t="array" ref="I214">IFERROR(VLOOKUP($A214,'The List'!$B1:$AS671,16,FALSE)," ")</f>
        <v xml:space="preserve"> </v>
      </c>
      <c r="J214" s="84" t="str" cm="1">
        <f t="array" ref="J214">IFERROR(VLOOKUP($A214,'The List'!$B1:$AS671,17,FALSE)," ")</f>
        <v xml:space="preserve"> </v>
      </c>
      <c r="K214" s="84" t="str" cm="1">
        <f t="array" ref="K214">IFERROR(VLOOKUP($A214,'The List'!$B1:$AS671,18,FALSE)," ")</f>
        <v xml:space="preserve"> </v>
      </c>
      <c r="L214" s="84" t="str" cm="1">
        <f t="array" ref="L214">IFERROR(VLOOKUP($A214,'The List'!$B1:$AS671,19,FALSE)," ")</f>
        <v xml:space="preserve"> </v>
      </c>
      <c r="M214" s="84" t="str" cm="1">
        <f t="array" ref="M214">IFERROR(VLOOKUP($A214,'The List'!$B1:$AS671,20,FALSE)," ")</f>
        <v xml:space="preserve"> </v>
      </c>
      <c r="N214" s="84" t="str" cm="1">
        <f t="array" ref="N214">IFERROR(VLOOKUP($A214,'The List'!$B1:$AS671,21,FALSE)," ")</f>
        <v xml:space="preserve"> </v>
      </c>
      <c r="O214" s="84" t="str" cm="1">
        <f t="array" ref="O214">IFERROR(VLOOKUP($A214,'The List'!$B1:$AS671,22,FALSE)," ")</f>
        <v xml:space="preserve"> </v>
      </c>
      <c r="P214" s="84" t="str" cm="1">
        <f t="array" ref="P214">IFERROR(VLOOKUP($A214,'The List'!$B1:$AS671,23,FALSE)," ")</f>
        <v xml:space="preserve"> </v>
      </c>
      <c r="Q214" s="84" t="str" cm="1">
        <f t="array" ref="Q214">IFERROR(VLOOKUP($A214,'The List'!$B1:$AS671,24,FALSE)," ")</f>
        <v xml:space="preserve"> </v>
      </c>
      <c r="R214" s="84" t="str" cm="1">
        <f t="array" ref="R214">IFERROR(VLOOKUP($A214,'The List'!$B1:$AS671,25,FALSE)," ")</f>
        <v xml:space="preserve"> </v>
      </c>
      <c r="S214" s="84" t="str" cm="1">
        <f t="array" ref="S214">IFERROR(VLOOKUP($A214,'The List'!$B1:$AS671,26,FALSE)," ")</f>
        <v xml:space="preserve"> </v>
      </c>
      <c r="T214" s="84" t="str" cm="1">
        <f t="array" ref="T214">IFERROR(VLOOKUP($A214,'The List'!$B1:$AS671,27,FALSE)," ")</f>
        <v xml:space="preserve"> </v>
      </c>
      <c r="U214" s="84" t="str" cm="1">
        <f t="array" ref="U214">IFERROR(VLOOKUP($A214,'The List'!$B1:$AS671,28,FALSE)," ")</f>
        <v xml:space="preserve"> </v>
      </c>
      <c r="V214" s="84" t="str" cm="1">
        <f t="array" ref="V214">IFERROR(VLOOKUP($A214,'The List'!$B1:$AS671,29,FALSE)," ")</f>
        <v xml:space="preserve"> </v>
      </c>
      <c r="W214" s="84" t="str" cm="1">
        <f t="array" ref="W214">IFERROR(VLOOKUP($A214,'The List'!$B1:$AS671,30,FALSE)," ")</f>
        <v xml:space="preserve"> </v>
      </c>
      <c r="X214" s="84" t="str" cm="1">
        <f t="array" ref="X214">IFERROR(VLOOKUP($A214,'The List'!$B1:$AS671,31,FALSE)," ")</f>
        <v xml:space="preserve"> </v>
      </c>
      <c r="Y214" s="84" t="str" cm="1">
        <f t="array" ref="Y214">IFERROR(VLOOKUP($A214,'The List'!$B1:$AS671,32,FALSE)," ")</f>
        <v xml:space="preserve"> </v>
      </c>
      <c r="Z214" s="84" t="str" cm="1">
        <f t="array" ref="Z214">IFERROR(VLOOKUP($A214,'The List'!$B1:$AS671,33,FALSE)," ")</f>
        <v xml:space="preserve"> </v>
      </c>
      <c r="AA214" s="85"/>
      <c r="AB214" s="90"/>
      <c r="AC214" s="90"/>
      <c r="AD214" s="90"/>
      <c r="AE214" s="90"/>
      <c r="AF214" s="90"/>
    </row>
    <row r="215" spans="1:32" ht="21.25" customHeight="1" x14ac:dyDescent="0.15">
      <c r="A215" s="24"/>
      <c r="B215" s="96" t="str" cm="1">
        <f t="array" ref="B215">IFERROR(VLOOKUP($A215,'The List'!$B1:$AS671,3,FALSE)," ")</f>
        <v xml:space="preserve"> </v>
      </c>
      <c r="C215" s="98" t="str" cm="1">
        <f t="array" ref="C215">IFERROR(VLOOKUP($A215,'The List'!$B1:$AS671,4,FALSE)," ")</f>
        <v xml:space="preserve"> </v>
      </c>
      <c r="D215" s="18" t="str" cm="1">
        <f t="array" ref="D215">IFERROR(VLOOKUP($A215,'The List'!$B1:$AS671,5,FALSE)," ")</f>
        <v xml:space="preserve"> </v>
      </c>
      <c r="E215" s="18" t="str" cm="1">
        <f t="array" ref="E215">IFERROR(VLOOKUP($A215,'The List'!$B1:$AS671,6,FALSE)," ")</f>
        <v xml:space="preserve"> </v>
      </c>
      <c r="F215" s="92" t="str" cm="1">
        <f t="array" ref="F215">IFERROR(VLOOKUP($A215,'The List'!$B1:$AS671,8,FALSE)," ")</f>
        <v xml:space="preserve"> </v>
      </c>
      <c r="G215" s="92" t="str" cm="1">
        <f t="array" ref="G215">IFERROR(VLOOKUP($A215,'The List'!$B1:$AS671,10,FALSE)," ")</f>
        <v xml:space="preserve"> </v>
      </c>
      <c r="H215" s="55"/>
      <c r="I215" s="84" t="str" cm="1">
        <f t="array" ref="I215">IFERROR(VLOOKUP($A215,'The List'!$B1:$AS671,16,FALSE)," ")</f>
        <v xml:space="preserve"> </v>
      </c>
      <c r="J215" s="84" t="str" cm="1">
        <f t="array" ref="J215">IFERROR(VLOOKUP($A215,'The List'!$B1:$AS671,17,FALSE)," ")</f>
        <v xml:space="preserve"> </v>
      </c>
      <c r="K215" s="84" t="str" cm="1">
        <f t="array" ref="K215">IFERROR(VLOOKUP($A215,'The List'!$B1:$AS671,18,FALSE)," ")</f>
        <v xml:space="preserve"> </v>
      </c>
      <c r="L215" s="84" t="str" cm="1">
        <f t="array" ref="L215">IFERROR(VLOOKUP($A215,'The List'!$B1:$AS671,19,FALSE)," ")</f>
        <v xml:space="preserve"> </v>
      </c>
      <c r="M215" s="84" t="str" cm="1">
        <f t="array" ref="M215">IFERROR(VLOOKUP($A215,'The List'!$B1:$AS671,20,FALSE)," ")</f>
        <v xml:space="preserve"> </v>
      </c>
      <c r="N215" s="84" t="str" cm="1">
        <f t="array" ref="N215">IFERROR(VLOOKUP($A215,'The List'!$B1:$AS671,21,FALSE)," ")</f>
        <v xml:space="preserve"> </v>
      </c>
      <c r="O215" s="84" t="str" cm="1">
        <f t="array" ref="O215">IFERROR(VLOOKUP($A215,'The List'!$B1:$AS671,22,FALSE)," ")</f>
        <v xml:space="preserve"> </v>
      </c>
      <c r="P215" s="84" t="str" cm="1">
        <f t="array" ref="P215">IFERROR(VLOOKUP($A215,'The List'!$B1:$AS671,23,FALSE)," ")</f>
        <v xml:space="preserve"> </v>
      </c>
      <c r="Q215" s="84" t="str" cm="1">
        <f t="array" ref="Q215">IFERROR(VLOOKUP($A215,'The List'!$B1:$AS671,24,FALSE)," ")</f>
        <v xml:space="preserve"> </v>
      </c>
      <c r="R215" s="84" t="str" cm="1">
        <f t="array" ref="R215">IFERROR(VLOOKUP($A215,'The List'!$B1:$AS671,25,FALSE)," ")</f>
        <v xml:space="preserve"> </v>
      </c>
      <c r="S215" s="84" t="str" cm="1">
        <f t="array" ref="S215">IFERROR(VLOOKUP($A215,'The List'!$B1:$AS671,26,FALSE)," ")</f>
        <v xml:space="preserve"> </v>
      </c>
      <c r="T215" s="84" t="str" cm="1">
        <f t="array" ref="T215">IFERROR(VLOOKUP($A215,'The List'!$B1:$AS671,27,FALSE)," ")</f>
        <v xml:space="preserve"> </v>
      </c>
      <c r="U215" s="84" t="str" cm="1">
        <f t="array" ref="U215">IFERROR(VLOOKUP($A215,'The List'!$B1:$AS671,28,FALSE)," ")</f>
        <v xml:space="preserve"> </v>
      </c>
      <c r="V215" s="84" t="str" cm="1">
        <f t="array" ref="V215">IFERROR(VLOOKUP($A215,'The List'!$B1:$AS671,29,FALSE)," ")</f>
        <v xml:space="preserve"> </v>
      </c>
      <c r="W215" s="84" t="str" cm="1">
        <f t="array" ref="W215">IFERROR(VLOOKUP($A215,'The List'!$B1:$AS671,30,FALSE)," ")</f>
        <v xml:space="preserve"> </v>
      </c>
      <c r="X215" s="84" t="str" cm="1">
        <f t="array" ref="X215">IFERROR(VLOOKUP($A215,'The List'!$B1:$AS671,31,FALSE)," ")</f>
        <v xml:space="preserve"> </v>
      </c>
      <c r="Y215" s="84" t="str" cm="1">
        <f t="array" ref="Y215">IFERROR(VLOOKUP($A215,'The List'!$B1:$AS671,32,FALSE)," ")</f>
        <v xml:space="preserve"> </v>
      </c>
      <c r="Z215" s="84" t="str" cm="1">
        <f t="array" ref="Z215">IFERROR(VLOOKUP($A215,'The List'!$B1:$AS671,33,FALSE)," ")</f>
        <v xml:space="preserve"> </v>
      </c>
      <c r="AA215" s="85"/>
      <c r="AB215" s="90"/>
      <c r="AC215" s="90"/>
      <c r="AD215" s="90"/>
      <c r="AE215" s="90"/>
      <c r="AF215" s="90"/>
    </row>
    <row r="216" spans="1:32" ht="21.25" customHeight="1" x14ac:dyDescent="0.15">
      <c r="A216" s="24"/>
      <c r="B216" s="96" t="str" cm="1">
        <f t="array" ref="B216">IFERROR(VLOOKUP($A216,'The List'!$B1:$AS671,3,FALSE)," ")</f>
        <v xml:space="preserve"> </v>
      </c>
      <c r="C216" s="98" t="str" cm="1">
        <f t="array" ref="C216">IFERROR(VLOOKUP($A216,'The List'!$B1:$AS671,4,FALSE)," ")</f>
        <v xml:space="preserve"> </v>
      </c>
      <c r="D216" s="18" t="str" cm="1">
        <f t="array" ref="D216">IFERROR(VLOOKUP($A216,'The List'!$B1:$AS671,5,FALSE)," ")</f>
        <v xml:space="preserve"> </v>
      </c>
      <c r="E216" s="18" t="str" cm="1">
        <f t="array" ref="E216">IFERROR(VLOOKUP($A216,'The List'!$B1:$AS671,6,FALSE)," ")</f>
        <v xml:space="preserve"> </v>
      </c>
      <c r="F216" s="92" t="str" cm="1">
        <f t="array" ref="F216">IFERROR(VLOOKUP($A216,'The List'!$B1:$AS671,8,FALSE)," ")</f>
        <v xml:space="preserve"> </v>
      </c>
      <c r="G216" s="92" t="str" cm="1">
        <f t="array" ref="G216">IFERROR(VLOOKUP($A216,'The List'!$B1:$AS671,10,FALSE)," ")</f>
        <v xml:space="preserve"> </v>
      </c>
      <c r="H216" s="55"/>
      <c r="I216" s="84" t="str" cm="1">
        <f t="array" ref="I216">IFERROR(VLOOKUP($A216,'The List'!$B1:$AS671,16,FALSE)," ")</f>
        <v xml:space="preserve"> </v>
      </c>
      <c r="J216" s="84" t="str" cm="1">
        <f t="array" ref="J216">IFERROR(VLOOKUP($A216,'The List'!$B1:$AS671,17,FALSE)," ")</f>
        <v xml:space="preserve"> </v>
      </c>
      <c r="K216" s="84" t="str" cm="1">
        <f t="array" ref="K216">IFERROR(VLOOKUP($A216,'The List'!$B1:$AS671,18,FALSE)," ")</f>
        <v xml:space="preserve"> </v>
      </c>
      <c r="L216" s="84" t="str" cm="1">
        <f t="array" ref="L216">IFERROR(VLOOKUP($A216,'The List'!$B1:$AS671,19,FALSE)," ")</f>
        <v xml:space="preserve"> </v>
      </c>
      <c r="M216" s="84" t="str" cm="1">
        <f t="array" ref="M216">IFERROR(VLOOKUP($A216,'The List'!$B1:$AS671,20,FALSE)," ")</f>
        <v xml:space="preserve"> </v>
      </c>
      <c r="N216" s="84" t="str" cm="1">
        <f t="array" ref="N216">IFERROR(VLOOKUP($A216,'The List'!$B1:$AS671,21,FALSE)," ")</f>
        <v xml:space="preserve"> </v>
      </c>
      <c r="O216" s="84" t="str" cm="1">
        <f t="array" ref="O216">IFERROR(VLOOKUP($A216,'The List'!$B1:$AS671,22,FALSE)," ")</f>
        <v xml:space="preserve"> </v>
      </c>
      <c r="P216" s="84" t="str" cm="1">
        <f t="array" ref="P216">IFERROR(VLOOKUP($A216,'The List'!$B1:$AS671,23,FALSE)," ")</f>
        <v xml:space="preserve"> </v>
      </c>
      <c r="Q216" s="84" t="str" cm="1">
        <f t="array" ref="Q216">IFERROR(VLOOKUP($A216,'The List'!$B1:$AS671,24,FALSE)," ")</f>
        <v xml:space="preserve"> </v>
      </c>
      <c r="R216" s="84" t="str" cm="1">
        <f t="array" ref="R216">IFERROR(VLOOKUP($A216,'The List'!$B1:$AS671,25,FALSE)," ")</f>
        <v xml:space="preserve"> </v>
      </c>
      <c r="S216" s="84" t="str" cm="1">
        <f t="array" ref="S216">IFERROR(VLOOKUP($A216,'The List'!$B1:$AS671,26,FALSE)," ")</f>
        <v xml:space="preserve"> </v>
      </c>
      <c r="T216" s="84" t="str" cm="1">
        <f t="array" ref="T216">IFERROR(VLOOKUP($A216,'The List'!$B1:$AS671,27,FALSE)," ")</f>
        <v xml:space="preserve"> </v>
      </c>
      <c r="U216" s="84" t="str" cm="1">
        <f t="array" ref="U216">IFERROR(VLOOKUP($A216,'The List'!$B1:$AS671,28,FALSE)," ")</f>
        <v xml:space="preserve"> </v>
      </c>
      <c r="V216" s="84" t="str" cm="1">
        <f t="array" ref="V216">IFERROR(VLOOKUP($A216,'The List'!$B1:$AS671,29,FALSE)," ")</f>
        <v xml:space="preserve"> </v>
      </c>
      <c r="W216" s="84" t="str" cm="1">
        <f t="array" ref="W216">IFERROR(VLOOKUP($A216,'The List'!$B1:$AS671,30,FALSE)," ")</f>
        <v xml:space="preserve"> </v>
      </c>
      <c r="X216" s="84" t="str" cm="1">
        <f t="array" ref="X216">IFERROR(VLOOKUP($A216,'The List'!$B1:$AS671,31,FALSE)," ")</f>
        <v xml:space="preserve"> </v>
      </c>
      <c r="Y216" s="84" t="str" cm="1">
        <f t="array" ref="Y216">IFERROR(VLOOKUP($A216,'The List'!$B1:$AS671,32,FALSE)," ")</f>
        <v xml:space="preserve"> </v>
      </c>
      <c r="Z216" s="84" t="str" cm="1">
        <f t="array" ref="Z216">IFERROR(VLOOKUP($A216,'The List'!$B1:$AS671,33,FALSE)," ")</f>
        <v xml:space="preserve"> </v>
      </c>
      <c r="AA216" s="85"/>
      <c r="AB216" s="90"/>
      <c r="AC216" s="90"/>
      <c r="AD216" s="90"/>
      <c r="AE216" s="90"/>
      <c r="AF216" s="90"/>
    </row>
    <row r="217" spans="1:32" ht="21.25" customHeight="1" x14ac:dyDescent="0.15">
      <c r="A217" s="24"/>
      <c r="B217" s="99" t="str" cm="1">
        <f t="array" ref="B217">IFERROR(VLOOKUP($A217,'The List'!$B1:$AS671,3,FALSE)," ")</f>
        <v xml:space="preserve"> </v>
      </c>
      <c r="C217" s="101" t="str" cm="1">
        <f t="array" ref="C217">IFERROR(VLOOKUP($A217,'The List'!$B1:$AS671,4,FALSE)," ")</f>
        <v xml:space="preserve"> </v>
      </c>
      <c r="D217" s="18" t="str" cm="1">
        <f t="array" ref="D217">IFERROR(VLOOKUP($A217,'The List'!$B1:$AS671,5,FALSE)," ")</f>
        <v xml:space="preserve"> </v>
      </c>
      <c r="E217" s="18" t="str" cm="1">
        <f t="array" ref="E217">IFERROR(VLOOKUP($A217,'The List'!$B1:$AS671,6,FALSE)," ")</f>
        <v xml:space="preserve"> </v>
      </c>
      <c r="F217" s="92" t="str" cm="1">
        <f t="array" ref="F217">IFERROR(VLOOKUP($A217,'The List'!$B1:$AS671,8,FALSE)," ")</f>
        <v xml:space="preserve"> </v>
      </c>
      <c r="G217" s="92" t="str" cm="1">
        <f t="array" ref="G217">IFERROR(VLOOKUP($A217,'The List'!$B1:$AS671,10,FALSE)," ")</f>
        <v xml:space="preserve"> </v>
      </c>
      <c r="H217" s="55"/>
      <c r="I217" s="84" t="str" cm="1">
        <f t="array" ref="I217">IFERROR(VLOOKUP($A217,'The List'!$B1:$AS671,16,FALSE)," ")</f>
        <v xml:space="preserve"> </v>
      </c>
      <c r="J217" s="84" t="str" cm="1">
        <f t="array" ref="J217">IFERROR(VLOOKUP($A217,'The List'!$B1:$AS671,17,FALSE)," ")</f>
        <v xml:space="preserve"> </v>
      </c>
      <c r="K217" s="84" t="str" cm="1">
        <f t="array" ref="K217">IFERROR(VLOOKUP($A217,'The List'!$B1:$AS671,18,FALSE)," ")</f>
        <v xml:space="preserve"> </v>
      </c>
      <c r="L217" s="84" t="str" cm="1">
        <f t="array" ref="L217">IFERROR(VLOOKUP($A217,'The List'!$B1:$AS671,19,FALSE)," ")</f>
        <v xml:space="preserve"> </v>
      </c>
      <c r="M217" s="84" t="str" cm="1">
        <f t="array" ref="M217">IFERROR(VLOOKUP($A217,'The List'!$B1:$AS671,20,FALSE)," ")</f>
        <v xml:space="preserve"> </v>
      </c>
      <c r="N217" s="84" t="str" cm="1">
        <f t="array" ref="N217">IFERROR(VLOOKUP($A217,'The List'!$B1:$AS671,21,FALSE)," ")</f>
        <v xml:space="preserve"> </v>
      </c>
      <c r="O217" s="84" t="str" cm="1">
        <f t="array" ref="O217">IFERROR(VLOOKUP($A217,'The List'!$B1:$AS671,22,FALSE)," ")</f>
        <v xml:space="preserve"> </v>
      </c>
      <c r="P217" s="84" t="str" cm="1">
        <f t="array" ref="P217">IFERROR(VLOOKUP($A217,'The List'!$B1:$AS671,23,FALSE)," ")</f>
        <v xml:space="preserve"> </v>
      </c>
      <c r="Q217" s="84" t="str" cm="1">
        <f t="array" ref="Q217">IFERROR(VLOOKUP($A217,'The List'!$B1:$AS671,24,FALSE)," ")</f>
        <v xml:space="preserve"> </v>
      </c>
      <c r="R217" s="84" t="str" cm="1">
        <f t="array" ref="R217">IFERROR(VLOOKUP($A217,'The List'!$B1:$AS671,25,FALSE)," ")</f>
        <v xml:space="preserve"> </v>
      </c>
      <c r="S217" s="84" t="str" cm="1">
        <f t="array" ref="S217">IFERROR(VLOOKUP($A217,'The List'!$B1:$AS671,26,FALSE)," ")</f>
        <v xml:space="preserve"> </v>
      </c>
      <c r="T217" s="84" t="str" cm="1">
        <f t="array" ref="T217">IFERROR(VLOOKUP($A217,'The List'!$B1:$AS671,27,FALSE)," ")</f>
        <v xml:space="preserve"> </v>
      </c>
      <c r="U217" s="84" t="str" cm="1">
        <f t="array" ref="U217">IFERROR(VLOOKUP($A217,'The List'!$B1:$AS671,28,FALSE)," ")</f>
        <v xml:space="preserve"> </v>
      </c>
      <c r="V217" s="84" t="str" cm="1">
        <f t="array" ref="V217">IFERROR(VLOOKUP($A217,'The List'!$B1:$AS671,29,FALSE)," ")</f>
        <v xml:space="preserve"> </v>
      </c>
      <c r="W217" s="84" t="str" cm="1">
        <f t="array" ref="W217">IFERROR(VLOOKUP($A217,'The List'!$B1:$AS671,30,FALSE)," ")</f>
        <v xml:space="preserve"> </v>
      </c>
      <c r="X217" s="84" t="str" cm="1">
        <f t="array" ref="X217">IFERROR(VLOOKUP($A217,'The List'!$B1:$AS671,31,FALSE)," ")</f>
        <v xml:space="preserve"> </v>
      </c>
      <c r="Y217" s="84" t="str" cm="1">
        <f t="array" ref="Y217">IFERROR(VLOOKUP($A217,'The List'!$B1:$AS671,32,FALSE)," ")</f>
        <v xml:space="preserve"> </v>
      </c>
      <c r="Z217" s="84" t="str" cm="1">
        <f t="array" ref="Z217">IFERROR(VLOOKUP($A217,'The List'!$B1:$AS671,33,FALSE)," ")</f>
        <v xml:space="preserve"> </v>
      </c>
      <c r="AA217" s="85"/>
      <c r="AB217" s="90"/>
      <c r="AC217" s="90"/>
      <c r="AD217" s="90"/>
      <c r="AE217" s="90"/>
      <c r="AF217" s="90"/>
    </row>
    <row r="218" spans="1:32" ht="21.25" customHeight="1" x14ac:dyDescent="0.15">
      <c r="A218" s="24"/>
      <c r="B218" s="99" t="str" cm="1">
        <f t="array" ref="B218">IFERROR(VLOOKUP($A218,'The List'!$B1:$AS671,3,FALSE)," ")</f>
        <v xml:space="preserve"> </v>
      </c>
      <c r="C218" s="101" t="str" cm="1">
        <f t="array" ref="C218">IFERROR(VLOOKUP($A218,'The List'!$B1:$AS671,4,FALSE)," ")</f>
        <v xml:space="preserve"> </v>
      </c>
      <c r="D218" s="18" t="str" cm="1">
        <f t="array" ref="D218">IFERROR(VLOOKUP($A218,'The List'!$B1:$AS671,5,FALSE)," ")</f>
        <v xml:space="preserve"> </v>
      </c>
      <c r="E218" s="18" t="str" cm="1">
        <f t="array" ref="E218">IFERROR(VLOOKUP($A218,'The List'!$B1:$AS671,6,FALSE)," ")</f>
        <v xml:space="preserve"> </v>
      </c>
      <c r="F218" s="92" t="str" cm="1">
        <f t="array" ref="F218">IFERROR(VLOOKUP($A218,'The List'!$B1:$AS671,8,FALSE)," ")</f>
        <v xml:space="preserve"> </v>
      </c>
      <c r="G218" s="92" t="str" cm="1">
        <f t="array" ref="G218">IFERROR(VLOOKUP($A218,'The List'!$B1:$AS671,10,FALSE)," ")</f>
        <v xml:space="preserve"> </v>
      </c>
      <c r="H218" s="55"/>
      <c r="I218" s="84" t="str" cm="1">
        <f t="array" ref="I218">IFERROR(VLOOKUP($A218,'The List'!$B1:$AS671,16,FALSE)," ")</f>
        <v xml:space="preserve"> </v>
      </c>
      <c r="J218" s="84" t="str" cm="1">
        <f t="array" ref="J218">IFERROR(VLOOKUP($A218,'The List'!$B1:$AS671,17,FALSE)," ")</f>
        <v xml:space="preserve"> </v>
      </c>
      <c r="K218" s="84" t="str" cm="1">
        <f t="array" ref="K218">IFERROR(VLOOKUP($A218,'The List'!$B1:$AS671,18,FALSE)," ")</f>
        <v xml:space="preserve"> </v>
      </c>
      <c r="L218" s="84" t="str" cm="1">
        <f t="array" ref="L218">IFERROR(VLOOKUP($A218,'The List'!$B1:$AS671,19,FALSE)," ")</f>
        <v xml:space="preserve"> </v>
      </c>
      <c r="M218" s="84" t="str" cm="1">
        <f t="array" ref="M218">IFERROR(VLOOKUP($A218,'The List'!$B1:$AS671,20,FALSE)," ")</f>
        <v xml:space="preserve"> </v>
      </c>
      <c r="N218" s="84" t="str" cm="1">
        <f t="array" ref="N218">IFERROR(VLOOKUP($A218,'The List'!$B1:$AS671,21,FALSE)," ")</f>
        <v xml:space="preserve"> </v>
      </c>
      <c r="O218" s="84" t="str" cm="1">
        <f t="array" ref="O218">IFERROR(VLOOKUP($A218,'The List'!$B1:$AS671,22,FALSE)," ")</f>
        <v xml:space="preserve"> </v>
      </c>
      <c r="P218" s="84" t="str" cm="1">
        <f t="array" ref="P218">IFERROR(VLOOKUP($A218,'The List'!$B1:$AS671,23,FALSE)," ")</f>
        <v xml:space="preserve"> </v>
      </c>
      <c r="Q218" s="84" t="str" cm="1">
        <f t="array" ref="Q218">IFERROR(VLOOKUP($A218,'The List'!$B1:$AS671,24,FALSE)," ")</f>
        <v xml:space="preserve"> </v>
      </c>
      <c r="R218" s="84" t="str" cm="1">
        <f t="array" ref="R218">IFERROR(VLOOKUP($A218,'The List'!$B1:$AS671,25,FALSE)," ")</f>
        <v xml:space="preserve"> </v>
      </c>
      <c r="S218" s="84" t="str" cm="1">
        <f t="array" ref="S218">IFERROR(VLOOKUP($A218,'The List'!$B1:$AS671,26,FALSE)," ")</f>
        <v xml:space="preserve"> </v>
      </c>
      <c r="T218" s="84" t="str" cm="1">
        <f t="array" ref="T218">IFERROR(VLOOKUP($A218,'The List'!$B1:$AS671,27,FALSE)," ")</f>
        <v xml:space="preserve"> </v>
      </c>
      <c r="U218" s="84" t="str" cm="1">
        <f t="array" ref="U218">IFERROR(VLOOKUP($A218,'The List'!$B1:$AS671,28,FALSE)," ")</f>
        <v xml:space="preserve"> </v>
      </c>
      <c r="V218" s="84" t="str" cm="1">
        <f t="array" ref="V218">IFERROR(VLOOKUP($A218,'The List'!$B1:$AS671,29,FALSE)," ")</f>
        <v xml:space="preserve"> </v>
      </c>
      <c r="W218" s="84" t="str" cm="1">
        <f t="array" ref="W218">IFERROR(VLOOKUP($A218,'The List'!$B1:$AS671,30,FALSE)," ")</f>
        <v xml:space="preserve"> </v>
      </c>
      <c r="X218" s="84" t="str" cm="1">
        <f t="array" ref="X218">IFERROR(VLOOKUP($A218,'The List'!$B1:$AS671,31,FALSE)," ")</f>
        <v xml:space="preserve"> </v>
      </c>
      <c r="Y218" s="84" t="str" cm="1">
        <f t="array" ref="Y218">IFERROR(VLOOKUP($A218,'The List'!$B1:$AS671,32,FALSE)," ")</f>
        <v xml:space="preserve"> </v>
      </c>
      <c r="Z218" s="84" t="str" cm="1">
        <f t="array" ref="Z218">IFERROR(VLOOKUP($A218,'The List'!$B1:$AS671,33,FALSE)," ")</f>
        <v xml:space="preserve"> </v>
      </c>
      <c r="AA218" s="85"/>
      <c r="AB218" s="90"/>
      <c r="AC218" s="90"/>
      <c r="AD218" s="90"/>
      <c r="AE218" s="90"/>
      <c r="AF218" s="90"/>
    </row>
    <row r="219" spans="1:32" ht="21.25" customHeight="1" x14ac:dyDescent="0.15">
      <c r="A219" s="24"/>
      <c r="B219" s="99" t="str" cm="1">
        <f t="array" ref="B219">IFERROR(VLOOKUP($A219,'The List'!$B1:$AS671,3,FALSE)," ")</f>
        <v xml:space="preserve"> </v>
      </c>
      <c r="C219" s="101" t="str" cm="1">
        <f t="array" ref="C219">IFERROR(VLOOKUP($A219,'The List'!$B1:$AS671,4,FALSE)," ")</f>
        <v xml:space="preserve"> </v>
      </c>
      <c r="D219" s="18" t="str" cm="1">
        <f t="array" ref="D219">IFERROR(VLOOKUP($A219,'The List'!$B1:$AS671,5,FALSE)," ")</f>
        <v xml:space="preserve"> </v>
      </c>
      <c r="E219" s="18" t="str" cm="1">
        <f t="array" ref="E219">IFERROR(VLOOKUP($A219,'The List'!$B1:$AS671,6,FALSE)," ")</f>
        <v xml:space="preserve"> </v>
      </c>
      <c r="F219" s="92" t="str" cm="1">
        <f t="array" ref="F219">IFERROR(VLOOKUP($A219,'The List'!$B1:$AS671,8,FALSE)," ")</f>
        <v xml:space="preserve"> </v>
      </c>
      <c r="G219" s="92" t="str" cm="1">
        <f t="array" ref="G219">IFERROR(VLOOKUP($A219,'The List'!$B1:$AS671,10,FALSE)," ")</f>
        <v xml:space="preserve"> </v>
      </c>
      <c r="H219" s="55"/>
      <c r="I219" s="84" t="str" cm="1">
        <f t="array" ref="I219">IFERROR(VLOOKUP($A219,'The List'!$B1:$AS671,16,FALSE)," ")</f>
        <v xml:space="preserve"> </v>
      </c>
      <c r="J219" s="84" t="str" cm="1">
        <f t="array" ref="J219">IFERROR(VLOOKUP($A219,'The List'!$B1:$AS671,17,FALSE)," ")</f>
        <v xml:space="preserve"> </v>
      </c>
      <c r="K219" s="84" t="str" cm="1">
        <f t="array" ref="K219">IFERROR(VLOOKUP($A219,'The List'!$B1:$AS671,18,FALSE)," ")</f>
        <v xml:space="preserve"> </v>
      </c>
      <c r="L219" s="84" t="str" cm="1">
        <f t="array" ref="L219">IFERROR(VLOOKUP($A219,'The List'!$B1:$AS671,19,FALSE)," ")</f>
        <v xml:space="preserve"> </v>
      </c>
      <c r="M219" s="84" t="str" cm="1">
        <f t="array" ref="M219">IFERROR(VLOOKUP($A219,'The List'!$B1:$AS671,20,FALSE)," ")</f>
        <v xml:space="preserve"> </v>
      </c>
      <c r="N219" s="84" t="str" cm="1">
        <f t="array" ref="N219">IFERROR(VLOOKUP($A219,'The List'!$B1:$AS671,21,FALSE)," ")</f>
        <v xml:space="preserve"> </v>
      </c>
      <c r="O219" s="84" t="str" cm="1">
        <f t="array" ref="O219">IFERROR(VLOOKUP($A219,'The List'!$B1:$AS671,22,FALSE)," ")</f>
        <v xml:space="preserve"> </v>
      </c>
      <c r="P219" s="84" t="str" cm="1">
        <f t="array" ref="P219">IFERROR(VLOOKUP($A219,'The List'!$B1:$AS671,23,FALSE)," ")</f>
        <v xml:space="preserve"> </v>
      </c>
      <c r="Q219" s="84" t="str" cm="1">
        <f t="array" ref="Q219">IFERROR(VLOOKUP($A219,'The List'!$B1:$AS671,24,FALSE)," ")</f>
        <v xml:space="preserve"> </v>
      </c>
      <c r="R219" s="84" t="str" cm="1">
        <f t="array" ref="R219">IFERROR(VLOOKUP($A219,'The List'!$B1:$AS671,25,FALSE)," ")</f>
        <v xml:space="preserve"> </v>
      </c>
      <c r="S219" s="84" t="str" cm="1">
        <f t="array" ref="S219">IFERROR(VLOOKUP($A219,'The List'!$B1:$AS671,26,FALSE)," ")</f>
        <v xml:space="preserve"> </v>
      </c>
      <c r="T219" s="84" t="str" cm="1">
        <f t="array" ref="T219">IFERROR(VLOOKUP($A219,'The List'!$B1:$AS671,27,FALSE)," ")</f>
        <v xml:space="preserve"> </v>
      </c>
      <c r="U219" s="84" t="str" cm="1">
        <f t="array" ref="U219">IFERROR(VLOOKUP($A219,'The List'!$B1:$AS671,28,FALSE)," ")</f>
        <v xml:space="preserve"> </v>
      </c>
      <c r="V219" s="84" t="str" cm="1">
        <f t="array" ref="V219">IFERROR(VLOOKUP($A219,'The List'!$B1:$AS671,29,FALSE)," ")</f>
        <v xml:space="preserve"> </v>
      </c>
      <c r="W219" s="84" t="str" cm="1">
        <f t="array" ref="W219">IFERROR(VLOOKUP($A219,'The List'!$B1:$AS671,30,FALSE)," ")</f>
        <v xml:space="preserve"> </v>
      </c>
      <c r="X219" s="84" t="str" cm="1">
        <f t="array" ref="X219">IFERROR(VLOOKUP($A219,'The List'!$B1:$AS671,31,FALSE)," ")</f>
        <v xml:space="preserve"> </v>
      </c>
      <c r="Y219" s="84" t="str" cm="1">
        <f t="array" ref="Y219">IFERROR(VLOOKUP($A219,'The List'!$B1:$AS671,32,FALSE)," ")</f>
        <v xml:space="preserve"> </v>
      </c>
      <c r="Z219" s="84" t="str" cm="1">
        <f t="array" ref="Z219">IFERROR(VLOOKUP($A219,'The List'!$B1:$AS671,33,FALSE)," ")</f>
        <v xml:space="preserve"> </v>
      </c>
      <c r="AA219" s="85"/>
      <c r="AB219" s="90"/>
      <c r="AC219" s="90"/>
      <c r="AD219" s="90"/>
      <c r="AE219" s="90"/>
      <c r="AF219" s="90"/>
    </row>
    <row r="220" spans="1:32" ht="21.25" customHeight="1" x14ac:dyDescent="0.15">
      <c r="A220" s="24"/>
      <c r="B220" s="99" t="str" cm="1">
        <f t="array" ref="B220">IFERROR(VLOOKUP($A220,'The List'!$B1:$AS671,3,FALSE)," ")</f>
        <v xml:space="preserve"> </v>
      </c>
      <c r="C220" s="101" t="str" cm="1">
        <f t="array" ref="C220">IFERROR(VLOOKUP($A220,'The List'!$B1:$AS671,4,FALSE)," ")</f>
        <v xml:space="preserve"> </v>
      </c>
      <c r="D220" s="18" t="str" cm="1">
        <f t="array" ref="D220">IFERROR(VLOOKUP($A220,'The List'!$B1:$AS671,5,FALSE)," ")</f>
        <v xml:space="preserve"> </v>
      </c>
      <c r="E220" s="18" t="str" cm="1">
        <f t="array" ref="E220">IFERROR(VLOOKUP($A220,'The List'!$B1:$AS671,6,FALSE)," ")</f>
        <v xml:space="preserve"> </v>
      </c>
      <c r="F220" s="92" t="str" cm="1">
        <f t="array" ref="F220">IFERROR(VLOOKUP($A220,'The List'!$B1:$AS671,8,FALSE)," ")</f>
        <v xml:space="preserve"> </v>
      </c>
      <c r="G220" s="92" t="str" cm="1">
        <f t="array" ref="G220">IFERROR(VLOOKUP($A220,'The List'!$B1:$AS671,10,FALSE)," ")</f>
        <v xml:space="preserve"> </v>
      </c>
      <c r="H220" s="55"/>
      <c r="I220" s="84" t="str" cm="1">
        <f t="array" ref="I220">IFERROR(VLOOKUP($A220,'The List'!$B1:$AS671,16,FALSE)," ")</f>
        <v xml:space="preserve"> </v>
      </c>
      <c r="J220" s="84" t="str" cm="1">
        <f t="array" ref="J220">IFERROR(VLOOKUP($A220,'The List'!$B1:$AS671,17,FALSE)," ")</f>
        <v xml:space="preserve"> </v>
      </c>
      <c r="K220" s="84" t="str" cm="1">
        <f t="array" ref="K220">IFERROR(VLOOKUP($A220,'The List'!$B1:$AS671,18,FALSE)," ")</f>
        <v xml:space="preserve"> </v>
      </c>
      <c r="L220" s="84" t="str" cm="1">
        <f t="array" ref="L220">IFERROR(VLOOKUP($A220,'The List'!$B1:$AS671,19,FALSE)," ")</f>
        <v xml:space="preserve"> </v>
      </c>
      <c r="M220" s="84" t="str" cm="1">
        <f t="array" ref="M220">IFERROR(VLOOKUP($A220,'The List'!$B1:$AS671,20,FALSE)," ")</f>
        <v xml:space="preserve"> </v>
      </c>
      <c r="N220" s="84" t="str" cm="1">
        <f t="array" ref="N220">IFERROR(VLOOKUP($A220,'The List'!$B1:$AS671,21,FALSE)," ")</f>
        <v xml:space="preserve"> </v>
      </c>
      <c r="O220" s="84" t="str" cm="1">
        <f t="array" ref="O220">IFERROR(VLOOKUP($A220,'The List'!$B1:$AS671,22,FALSE)," ")</f>
        <v xml:space="preserve"> </v>
      </c>
      <c r="P220" s="84" t="str" cm="1">
        <f t="array" ref="P220">IFERROR(VLOOKUP($A220,'The List'!$B1:$AS671,23,FALSE)," ")</f>
        <v xml:space="preserve"> </v>
      </c>
      <c r="Q220" s="84" t="str" cm="1">
        <f t="array" ref="Q220">IFERROR(VLOOKUP($A220,'The List'!$B1:$AS671,24,FALSE)," ")</f>
        <v xml:space="preserve"> </v>
      </c>
      <c r="R220" s="84" t="str" cm="1">
        <f t="array" ref="R220">IFERROR(VLOOKUP($A220,'The List'!$B1:$AS671,25,FALSE)," ")</f>
        <v xml:space="preserve"> </v>
      </c>
      <c r="S220" s="84" t="str" cm="1">
        <f t="array" ref="S220">IFERROR(VLOOKUP($A220,'The List'!$B1:$AS671,26,FALSE)," ")</f>
        <v xml:space="preserve"> </v>
      </c>
      <c r="T220" s="84" t="str" cm="1">
        <f t="array" ref="T220">IFERROR(VLOOKUP($A220,'The List'!$B1:$AS671,27,FALSE)," ")</f>
        <v xml:space="preserve"> </v>
      </c>
      <c r="U220" s="84" t="str" cm="1">
        <f t="array" ref="U220">IFERROR(VLOOKUP($A220,'The List'!$B1:$AS671,28,FALSE)," ")</f>
        <v xml:space="preserve"> </v>
      </c>
      <c r="V220" s="84" t="str" cm="1">
        <f t="array" ref="V220">IFERROR(VLOOKUP($A220,'The List'!$B1:$AS671,29,FALSE)," ")</f>
        <v xml:space="preserve"> </v>
      </c>
      <c r="W220" s="84" t="str" cm="1">
        <f t="array" ref="W220">IFERROR(VLOOKUP($A220,'The List'!$B1:$AS671,30,FALSE)," ")</f>
        <v xml:space="preserve"> </v>
      </c>
      <c r="X220" s="84" t="str" cm="1">
        <f t="array" ref="X220">IFERROR(VLOOKUP($A220,'The List'!$B1:$AS671,31,FALSE)," ")</f>
        <v xml:space="preserve"> </v>
      </c>
      <c r="Y220" s="84" t="str" cm="1">
        <f t="array" ref="Y220">IFERROR(VLOOKUP($A220,'The List'!$B1:$AS671,32,FALSE)," ")</f>
        <v xml:space="preserve"> </v>
      </c>
      <c r="Z220" s="84" t="str" cm="1">
        <f t="array" ref="Z220">IFERROR(VLOOKUP($A220,'The List'!$B1:$AS671,33,FALSE)," ")</f>
        <v xml:space="preserve"> </v>
      </c>
      <c r="AA220" s="85"/>
      <c r="AB220" s="90"/>
      <c r="AC220" s="90"/>
      <c r="AD220" s="90"/>
      <c r="AE220" s="90"/>
      <c r="AF220" s="90"/>
    </row>
    <row r="221" spans="1:32" ht="21.25" customHeight="1" x14ac:dyDescent="0.15">
      <c r="A221" s="24"/>
      <c r="B221" s="99" t="str" cm="1">
        <f t="array" ref="B221">IFERROR(VLOOKUP($A221,'The List'!$B1:$AS671,3,FALSE)," ")</f>
        <v xml:space="preserve"> </v>
      </c>
      <c r="C221" s="101" t="str" cm="1">
        <f t="array" ref="C221">IFERROR(VLOOKUP($A221,'The List'!$B1:$AS671,4,FALSE)," ")</f>
        <v xml:space="preserve"> </v>
      </c>
      <c r="D221" s="18" t="str" cm="1">
        <f t="array" ref="D221">IFERROR(VLOOKUP($A221,'The List'!$B1:$AS671,5,FALSE)," ")</f>
        <v xml:space="preserve"> </v>
      </c>
      <c r="E221" s="18" t="str" cm="1">
        <f t="array" ref="E221">IFERROR(VLOOKUP($A221,'The List'!$B1:$AS671,6,FALSE)," ")</f>
        <v xml:space="preserve"> </v>
      </c>
      <c r="F221" s="92" t="str" cm="1">
        <f t="array" ref="F221">IFERROR(VLOOKUP($A221,'The List'!$B1:$AS671,8,FALSE)," ")</f>
        <v xml:space="preserve"> </v>
      </c>
      <c r="G221" s="92" t="str" cm="1">
        <f t="array" ref="G221">IFERROR(VLOOKUP($A221,'The List'!$B1:$AS671,10,FALSE)," ")</f>
        <v xml:space="preserve"> </v>
      </c>
      <c r="H221" s="55"/>
      <c r="I221" s="84" t="str" cm="1">
        <f t="array" ref="I221">IFERROR(VLOOKUP($A221,'The List'!$B1:$AS671,16,FALSE)," ")</f>
        <v xml:space="preserve"> </v>
      </c>
      <c r="J221" s="84" t="str" cm="1">
        <f t="array" ref="J221">IFERROR(VLOOKUP($A221,'The List'!$B1:$AS671,17,FALSE)," ")</f>
        <v xml:space="preserve"> </v>
      </c>
      <c r="K221" s="84" t="str" cm="1">
        <f t="array" ref="K221">IFERROR(VLOOKUP($A221,'The List'!$B1:$AS671,18,FALSE)," ")</f>
        <v xml:space="preserve"> </v>
      </c>
      <c r="L221" s="84" t="str" cm="1">
        <f t="array" ref="L221">IFERROR(VLOOKUP($A221,'The List'!$B1:$AS671,19,FALSE)," ")</f>
        <v xml:space="preserve"> </v>
      </c>
      <c r="M221" s="84" t="str" cm="1">
        <f t="array" ref="M221">IFERROR(VLOOKUP($A221,'The List'!$B1:$AS671,20,FALSE)," ")</f>
        <v xml:space="preserve"> </v>
      </c>
      <c r="N221" s="84" t="str" cm="1">
        <f t="array" ref="N221">IFERROR(VLOOKUP($A221,'The List'!$B1:$AS671,21,FALSE)," ")</f>
        <v xml:space="preserve"> </v>
      </c>
      <c r="O221" s="84" t="str" cm="1">
        <f t="array" ref="O221">IFERROR(VLOOKUP($A221,'The List'!$B1:$AS671,22,FALSE)," ")</f>
        <v xml:space="preserve"> </v>
      </c>
      <c r="P221" s="84" t="str" cm="1">
        <f t="array" ref="P221">IFERROR(VLOOKUP($A221,'The List'!$B1:$AS671,23,FALSE)," ")</f>
        <v xml:space="preserve"> </v>
      </c>
      <c r="Q221" s="84" t="str" cm="1">
        <f t="array" ref="Q221">IFERROR(VLOOKUP($A221,'The List'!$B1:$AS671,24,FALSE)," ")</f>
        <v xml:space="preserve"> </v>
      </c>
      <c r="R221" s="84" t="str" cm="1">
        <f t="array" ref="R221">IFERROR(VLOOKUP($A221,'The List'!$B1:$AS671,25,FALSE)," ")</f>
        <v xml:space="preserve"> </v>
      </c>
      <c r="S221" s="84" t="str" cm="1">
        <f t="array" ref="S221">IFERROR(VLOOKUP($A221,'The List'!$B1:$AS671,26,FALSE)," ")</f>
        <v xml:space="preserve"> </v>
      </c>
      <c r="T221" s="84" t="str" cm="1">
        <f t="array" ref="T221">IFERROR(VLOOKUP($A221,'The List'!$B1:$AS671,27,FALSE)," ")</f>
        <v xml:space="preserve"> </v>
      </c>
      <c r="U221" s="84" t="str" cm="1">
        <f t="array" ref="U221">IFERROR(VLOOKUP($A221,'The List'!$B1:$AS671,28,FALSE)," ")</f>
        <v xml:space="preserve"> </v>
      </c>
      <c r="V221" s="84" t="str" cm="1">
        <f t="array" ref="V221">IFERROR(VLOOKUP($A221,'The List'!$B1:$AS671,29,FALSE)," ")</f>
        <v xml:space="preserve"> </v>
      </c>
      <c r="W221" s="84" t="str" cm="1">
        <f t="array" ref="W221">IFERROR(VLOOKUP($A221,'The List'!$B1:$AS671,30,FALSE)," ")</f>
        <v xml:space="preserve"> </v>
      </c>
      <c r="X221" s="84" t="str" cm="1">
        <f t="array" ref="X221">IFERROR(VLOOKUP($A221,'The List'!$B1:$AS671,31,FALSE)," ")</f>
        <v xml:space="preserve"> </v>
      </c>
      <c r="Y221" s="84" t="str" cm="1">
        <f t="array" ref="Y221">IFERROR(VLOOKUP($A221,'The List'!$B1:$AS671,32,FALSE)," ")</f>
        <v xml:space="preserve"> </v>
      </c>
      <c r="Z221" s="84" t="str" cm="1">
        <f t="array" ref="Z221">IFERROR(VLOOKUP($A221,'The List'!$B1:$AS671,33,FALSE)," ")</f>
        <v xml:space="preserve"> </v>
      </c>
      <c r="AA221" s="85"/>
      <c r="AB221" s="90"/>
      <c r="AC221" s="90"/>
      <c r="AD221" s="90"/>
      <c r="AE221" s="90"/>
      <c r="AF221" s="90"/>
    </row>
    <row r="222" spans="1:32" ht="21.25" customHeight="1" x14ac:dyDescent="0.15">
      <c r="A222" s="24"/>
      <c r="B222" s="99" t="str" cm="1">
        <f t="array" ref="B222">IFERROR(VLOOKUP($A222,'The List'!$B1:$AS671,3,FALSE)," ")</f>
        <v xml:space="preserve"> </v>
      </c>
      <c r="C222" s="101" t="str" cm="1">
        <f t="array" ref="C222">IFERROR(VLOOKUP($A222,'The List'!$B1:$AS671,4,FALSE)," ")</f>
        <v xml:space="preserve"> </v>
      </c>
      <c r="D222" s="18" t="str" cm="1">
        <f t="array" ref="D222">IFERROR(VLOOKUP($A222,'The List'!$B1:$AS671,5,FALSE)," ")</f>
        <v xml:space="preserve"> </v>
      </c>
      <c r="E222" s="18" t="str" cm="1">
        <f t="array" ref="E222">IFERROR(VLOOKUP($A222,'The List'!$B1:$AS671,6,FALSE)," ")</f>
        <v xml:space="preserve"> </v>
      </c>
      <c r="F222" s="92" t="str" cm="1">
        <f t="array" ref="F222">IFERROR(VLOOKUP($A222,'The List'!$B1:$AS671,8,FALSE)," ")</f>
        <v xml:space="preserve"> </v>
      </c>
      <c r="G222" s="92" t="str" cm="1">
        <f t="array" ref="G222">IFERROR(VLOOKUP($A222,'The List'!$B1:$AS671,10,FALSE)," ")</f>
        <v xml:space="preserve"> </v>
      </c>
      <c r="H222" s="55"/>
      <c r="I222" s="84" t="str" cm="1">
        <f t="array" ref="I222">IFERROR(VLOOKUP($A222,'The List'!$B1:$AS671,16,FALSE)," ")</f>
        <v xml:space="preserve"> </v>
      </c>
      <c r="J222" s="84" t="str" cm="1">
        <f t="array" ref="J222">IFERROR(VLOOKUP($A222,'The List'!$B1:$AS671,17,FALSE)," ")</f>
        <v xml:space="preserve"> </v>
      </c>
      <c r="K222" s="84" t="str" cm="1">
        <f t="array" ref="K222">IFERROR(VLOOKUP($A222,'The List'!$B1:$AS671,18,FALSE)," ")</f>
        <v xml:space="preserve"> </v>
      </c>
      <c r="L222" s="84" t="str" cm="1">
        <f t="array" ref="L222">IFERROR(VLOOKUP($A222,'The List'!$B1:$AS671,19,FALSE)," ")</f>
        <v xml:space="preserve"> </v>
      </c>
      <c r="M222" s="84" t="str" cm="1">
        <f t="array" ref="M222">IFERROR(VLOOKUP($A222,'The List'!$B1:$AS671,20,FALSE)," ")</f>
        <v xml:space="preserve"> </v>
      </c>
      <c r="N222" s="84" t="str" cm="1">
        <f t="array" ref="N222">IFERROR(VLOOKUP($A222,'The List'!$B1:$AS671,21,FALSE)," ")</f>
        <v xml:space="preserve"> </v>
      </c>
      <c r="O222" s="84" t="str" cm="1">
        <f t="array" ref="O222">IFERROR(VLOOKUP($A222,'The List'!$B1:$AS671,22,FALSE)," ")</f>
        <v xml:space="preserve"> </v>
      </c>
      <c r="P222" s="84" t="str" cm="1">
        <f t="array" ref="P222">IFERROR(VLOOKUP($A222,'The List'!$B1:$AS671,23,FALSE)," ")</f>
        <v xml:space="preserve"> </v>
      </c>
      <c r="Q222" s="84" t="str" cm="1">
        <f t="array" ref="Q222">IFERROR(VLOOKUP($A222,'The List'!$B1:$AS671,24,FALSE)," ")</f>
        <v xml:space="preserve"> </v>
      </c>
      <c r="R222" s="84" t="str" cm="1">
        <f t="array" ref="R222">IFERROR(VLOOKUP($A222,'The List'!$B1:$AS671,25,FALSE)," ")</f>
        <v xml:space="preserve"> </v>
      </c>
      <c r="S222" s="84" t="str" cm="1">
        <f t="array" ref="S222">IFERROR(VLOOKUP($A222,'The List'!$B1:$AS671,26,FALSE)," ")</f>
        <v xml:space="preserve"> </v>
      </c>
      <c r="T222" s="84" t="str" cm="1">
        <f t="array" ref="T222">IFERROR(VLOOKUP($A222,'The List'!$B1:$AS671,27,FALSE)," ")</f>
        <v xml:space="preserve"> </v>
      </c>
      <c r="U222" s="84" t="str" cm="1">
        <f t="array" ref="U222">IFERROR(VLOOKUP($A222,'The List'!$B1:$AS671,28,FALSE)," ")</f>
        <v xml:space="preserve"> </v>
      </c>
      <c r="V222" s="84" t="str" cm="1">
        <f t="array" ref="V222">IFERROR(VLOOKUP($A222,'The List'!$B1:$AS671,29,FALSE)," ")</f>
        <v xml:space="preserve"> </v>
      </c>
      <c r="W222" s="84" t="str" cm="1">
        <f t="array" ref="W222">IFERROR(VLOOKUP($A222,'The List'!$B1:$AS671,30,FALSE)," ")</f>
        <v xml:space="preserve"> </v>
      </c>
      <c r="X222" s="84" t="str" cm="1">
        <f t="array" ref="X222">IFERROR(VLOOKUP($A222,'The List'!$B1:$AS671,31,FALSE)," ")</f>
        <v xml:space="preserve"> </v>
      </c>
      <c r="Y222" s="84" t="str" cm="1">
        <f t="array" ref="Y222">IFERROR(VLOOKUP($A222,'The List'!$B1:$AS671,32,FALSE)," ")</f>
        <v xml:space="preserve"> </v>
      </c>
      <c r="Z222" s="84" t="str" cm="1">
        <f t="array" ref="Z222">IFERROR(VLOOKUP($A222,'The List'!$B1:$AS671,33,FALSE)," ")</f>
        <v xml:space="preserve"> </v>
      </c>
      <c r="AA222" s="85"/>
      <c r="AB222" s="90"/>
      <c r="AC222" s="90"/>
      <c r="AD222" s="90"/>
      <c r="AE222" s="90"/>
      <c r="AF222" s="90"/>
    </row>
    <row r="223" spans="1:32" ht="21.25" customHeight="1" x14ac:dyDescent="0.15">
      <c r="A223" s="24"/>
      <c r="B223" s="99" t="str" cm="1">
        <f t="array" ref="B223">IFERROR(VLOOKUP($A223,'The List'!$B1:$AS671,3,FALSE)," ")</f>
        <v xml:space="preserve"> </v>
      </c>
      <c r="C223" s="101" t="str" cm="1">
        <f t="array" ref="C223">IFERROR(VLOOKUP($A223,'The List'!$B1:$AS671,4,FALSE)," ")</f>
        <v xml:space="preserve"> </v>
      </c>
      <c r="D223" s="18" t="str" cm="1">
        <f t="array" ref="D223">IFERROR(VLOOKUP($A223,'The List'!$B1:$AS671,5,FALSE)," ")</f>
        <v xml:space="preserve"> </v>
      </c>
      <c r="E223" s="18" t="str" cm="1">
        <f t="array" ref="E223">IFERROR(VLOOKUP($A223,'The List'!$B1:$AS671,6,FALSE)," ")</f>
        <v xml:space="preserve"> </v>
      </c>
      <c r="F223" s="92" t="str" cm="1">
        <f t="array" ref="F223">IFERROR(VLOOKUP($A223,'The List'!$B1:$AS671,8,FALSE)," ")</f>
        <v xml:space="preserve"> </v>
      </c>
      <c r="G223" s="92" t="str" cm="1">
        <f t="array" ref="G223">IFERROR(VLOOKUP($A223,'The List'!$B1:$AS671,10,FALSE)," ")</f>
        <v xml:space="preserve"> </v>
      </c>
      <c r="H223" s="55"/>
      <c r="I223" s="84" t="str" cm="1">
        <f t="array" ref="I223">IFERROR(VLOOKUP($A223,'The List'!$B1:$AS671,16,FALSE)," ")</f>
        <v xml:space="preserve"> </v>
      </c>
      <c r="J223" s="84" t="str" cm="1">
        <f t="array" ref="J223">IFERROR(VLOOKUP($A223,'The List'!$B1:$AS671,17,FALSE)," ")</f>
        <v xml:space="preserve"> </v>
      </c>
      <c r="K223" s="84" t="str" cm="1">
        <f t="array" ref="K223">IFERROR(VLOOKUP($A223,'The List'!$B1:$AS671,18,FALSE)," ")</f>
        <v xml:space="preserve"> </v>
      </c>
      <c r="L223" s="84" t="str" cm="1">
        <f t="array" ref="L223">IFERROR(VLOOKUP($A223,'The List'!$B1:$AS671,19,FALSE)," ")</f>
        <v xml:space="preserve"> </v>
      </c>
      <c r="M223" s="84" t="str" cm="1">
        <f t="array" ref="M223">IFERROR(VLOOKUP($A223,'The List'!$B1:$AS671,20,FALSE)," ")</f>
        <v xml:space="preserve"> </v>
      </c>
      <c r="N223" s="84" t="str" cm="1">
        <f t="array" ref="N223">IFERROR(VLOOKUP($A223,'The List'!$B1:$AS671,21,FALSE)," ")</f>
        <v xml:space="preserve"> </v>
      </c>
      <c r="O223" s="84" t="str" cm="1">
        <f t="array" ref="O223">IFERROR(VLOOKUP($A223,'The List'!$B1:$AS671,22,FALSE)," ")</f>
        <v xml:space="preserve"> </v>
      </c>
      <c r="P223" s="84" t="str" cm="1">
        <f t="array" ref="P223">IFERROR(VLOOKUP($A223,'The List'!$B1:$AS671,23,FALSE)," ")</f>
        <v xml:space="preserve"> </v>
      </c>
      <c r="Q223" s="84" t="str" cm="1">
        <f t="array" ref="Q223">IFERROR(VLOOKUP($A223,'The List'!$B1:$AS671,24,FALSE)," ")</f>
        <v xml:space="preserve"> </v>
      </c>
      <c r="R223" s="84" t="str" cm="1">
        <f t="array" ref="R223">IFERROR(VLOOKUP($A223,'The List'!$B1:$AS671,25,FALSE)," ")</f>
        <v xml:space="preserve"> </v>
      </c>
      <c r="S223" s="84" t="str" cm="1">
        <f t="array" ref="S223">IFERROR(VLOOKUP($A223,'The List'!$B1:$AS671,26,FALSE)," ")</f>
        <v xml:space="preserve"> </v>
      </c>
      <c r="T223" s="84" t="str" cm="1">
        <f t="array" ref="T223">IFERROR(VLOOKUP($A223,'The List'!$B1:$AS671,27,FALSE)," ")</f>
        <v xml:space="preserve"> </v>
      </c>
      <c r="U223" s="84" t="str" cm="1">
        <f t="array" ref="U223">IFERROR(VLOOKUP($A223,'The List'!$B1:$AS671,28,FALSE)," ")</f>
        <v xml:space="preserve"> </v>
      </c>
      <c r="V223" s="84" t="str" cm="1">
        <f t="array" ref="V223">IFERROR(VLOOKUP($A223,'The List'!$B1:$AS671,29,FALSE)," ")</f>
        <v xml:space="preserve"> </v>
      </c>
      <c r="W223" s="84" t="str" cm="1">
        <f t="array" ref="W223">IFERROR(VLOOKUP($A223,'The List'!$B1:$AS671,30,FALSE)," ")</f>
        <v xml:space="preserve"> </v>
      </c>
      <c r="X223" s="84" t="str" cm="1">
        <f t="array" ref="X223">IFERROR(VLOOKUP($A223,'The List'!$B1:$AS671,31,FALSE)," ")</f>
        <v xml:space="preserve"> </v>
      </c>
      <c r="Y223" s="84" t="str" cm="1">
        <f t="array" ref="Y223">IFERROR(VLOOKUP($A223,'The List'!$B1:$AS671,32,FALSE)," ")</f>
        <v xml:space="preserve"> </v>
      </c>
      <c r="Z223" s="84" t="str" cm="1">
        <f t="array" ref="Z223">IFERROR(VLOOKUP($A223,'The List'!$B1:$AS671,33,FALSE)," ")</f>
        <v xml:space="preserve"> </v>
      </c>
      <c r="AA223" s="85"/>
      <c r="AB223" s="90"/>
      <c r="AC223" s="90"/>
      <c r="AD223" s="90"/>
      <c r="AE223" s="90"/>
      <c r="AF223" s="90"/>
    </row>
    <row r="224" spans="1:32" ht="21.25" customHeight="1" x14ac:dyDescent="0.15">
      <c r="A224" s="103"/>
      <c r="B224" s="104" t="str" cm="1">
        <f t="array" ref="B224">IFERROR(VLOOKUP($A224,'The List'!$B1:$AS671,3,FALSE)," ")</f>
        <v xml:space="preserve"> </v>
      </c>
      <c r="C224" s="105" t="str" cm="1">
        <f t="array" ref="C224">IFERROR(VLOOKUP($A224,'The List'!$B1:$AS671,4,FALSE)," ")</f>
        <v xml:space="preserve"> </v>
      </c>
      <c r="D224" s="106" t="str" cm="1">
        <f t="array" ref="D224">IFERROR(VLOOKUP($A224,'The List'!$B1:$AS671,5,FALSE)," ")</f>
        <v xml:space="preserve"> </v>
      </c>
      <c r="E224" s="106" t="str" cm="1">
        <f t="array" ref="E224">IFERROR(VLOOKUP($A224,'The List'!$B1:$AS671,6,FALSE)," ")</f>
        <v xml:space="preserve"> </v>
      </c>
      <c r="F224" s="107" t="str" cm="1">
        <f t="array" ref="F224">IFERROR(VLOOKUP($A224,'The List'!$B1:$AS671,8,FALSE)," ")</f>
        <v xml:space="preserve"> </v>
      </c>
      <c r="G224" s="107" t="str" cm="1">
        <f t="array" ref="G224">IFERROR(VLOOKUP($A224,'The List'!$B1:$AS671,10,FALSE)," ")</f>
        <v xml:space="preserve"> </v>
      </c>
      <c r="H224" s="108"/>
      <c r="I224" s="109" t="str" cm="1">
        <f t="array" ref="I224">IFERROR(VLOOKUP($A224,'The List'!$B1:$AS671,16,FALSE)," ")</f>
        <v xml:space="preserve"> </v>
      </c>
      <c r="J224" s="109" t="str" cm="1">
        <f t="array" ref="J224">IFERROR(VLOOKUP($A224,'The List'!$B1:$AS671,17,FALSE)," ")</f>
        <v xml:space="preserve"> </v>
      </c>
      <c r="K224" s="109" t="str" cm="1">
        <f t="array" ref="K224">IFERROR(VLOOKUP($A224,'The List'!$B1:$AS671,18,FALSE)," ")</f>
        <v xml:space="preserve"> </v>
      </c>
      <c r="L224" s="109" t="str" cm="1">
        <f t="array" ref="L224">IFERROR(VLOOKUP($A224,'The List'!$B1:$AS671,19,FALSE)," ")</f>
        <v xml:space="preserve"> </v>
      </c>
      <c r="M224" s="109" t="str" cm="1">
        <f t="array" ref="M224">IFERROR(VLOOKUP($A224,'The List'!$B1:$AS671,20,FALSE)," ")</f>
        <v xml:space="preserve"> </v>
      </c>
      <c r="N224" s="109" t="str" cm="1">
        <f t="array" ref="N224">IFERROR(VLOOKUP($A224,'The List'!$B1:$AS671,21,FALSE)," ")</f>
        <v xml:space="preserve"> </v>
      </c>
      <c r="O224" s="109" t="str" cm="1">
        <f t="array" ref="O224">IFERROR(VLOOKUP($A224,'The List'!$B1:$AS671,22,FALSE)," ")</f>
        <v xml:space="preserve"> </v>
      </c>
      <c r="P224" s="109" t="str" cm="1">
        <f t="array" ref="P224">IFERROR(VLOOKUP($A224,'The List'!$B1:$AS671,23,FALSE)," ")</f>
        <v xml:space="preserve"> </v>
      </c>
      <c r="Q224" s="109" t="str" cm="1">
        <f t="array" ref="Q224">IFERROR(VLOOKUP($A224,'The List'!$B1:$AS671,24,FALSE)," ")</f>
        <v xml:space="preserve"> </v>
      </c>
      <c r="R224" s="109" t="str" cm="1">
        <f t="array" ref="R224">IFERROR(VLOOKUP($A224,'The List'!$B1:$AS671,25,FALSE)," ")</f>
        <v xml:space="preserve"> </v>
      </c>
      <c r="S224" s="109" t="str" cm="1">
        <f t="array" ref="S224">IFERROR(VLOOKUP($A224,'The List'!$B1:$AS671,26,FALSE)," ")</f>
        <v xml:space="preserve"> </v>
      </c>
      <c r="T224" s="109" t="str" cm="1">
        <f t="array" ref="T224">IFERROR(VLOOKUP($A224,'The List'!$B1:$AS671,27,FALSE)," ")</f>
        <v xml:space="preserve"> </v>
      </c>
      <c r="U224" s="109" t="str" cm="1">
        <f t="array" ref="U224">IFERROR(VLOOKUP($A224,'The List'!$B1:$AS671,28,FALSE)," ")</f>
        <v xml:space="preserve"> </v>
      </c>
      <c r="V224" s="109" t="str" cm="1">
        <f t="array" ref="V224">IFERROR(VLOOKUP($A224,'The List'!$B1:$AS671,29,FALSE)," ")</f>
        <v xml:space="preserve"> </v>
      </c>
      <c r="W224" s="109" t="str" cm="1">
        <f t="array" ref="W224">IFERROR(VLOOKUP($A224,'The List'!$B1:$AS671,30,FALSE)," ")</f>
        <v xml:space="preserve"> </v>
      </c>
      <c r="X224" s="109" t="str" cm="1">
        <f t="array" ref="X224">IFERROR(VLOOKUP($A224,'The List'!$B1:$AS671,31,FALSE)," ")</f>
        <v xml:space="preserve"> </v>
      </c>
      <c r="Y224" s="109" t="str" cm="1">
        <f t="array" ref="Y224">IFERROR(VLOOKUP($A224,'The List'!$B1:$AS671,32,FALSE)," ")</f>
        <v xml:space="preserve"> </v>
      </c>
      <c r="Z224" s="109" t="str" cm="1">
        <f t="array" ref="Z224">IFERROR(VLOOKUP($A224,'The List'!$B1:$AS671,33,FALSE)," ")</f>
        <v xml:space="preserve"> </v>
      </c>
      <c r="AA224" s="85"/>
      <c r="AB224" s="90"/>
      <c r="AC224" s="90"/>
      <c r="AD224" s="90"/>
      <c r="AE224" s="90"/>
      <c r="AF224" s="90"/>
    </row>
    <row r="225" spans="1:32" ht="21.25" customHeight="1" x14ac:dyDescent="0.15">
      <c r="A225" s="110"/>
      <c r="B225" s="111"/>
      <c r="C225" s="112"/>
      <c r="D225" s="113"/>
      <c r="E225" s="113" t="str" cm="1">
        <f t="array" ref="E225">IFERROR(AVERAGE(E205:E224)," ")</f>
        <v xml:space="preserve"> </v>
      </c>
      <c r="F225" s="115" cm="1">
        <f t="array" ref="F225">SUM(F205:F224)</f>
        <v>0</v>
      </c>
      <c r="G225" s="115" cm="1">
        <f t="array" ref="G225">SUM(G205:G224)</f>
        <v>0</v>
      </c>
      <c r="H225" s="116"/>
      <c r="I225" s="117" cm="1">
        <f t="array" ref="I225">SUM(I205:I224)</f>
        <v>0</v>
      </c>
      <c r="J225" s="116" t="e" cm="1">
        <f t="array" ref="J225">AVERAGE(J205:J224)</f>
        <v>#DIV/0!</v>
      </c>
      <c r="K225" s="117" cm="1">
        <f t="array" ref="K225">SUM(K205:K224)</f>
        <v>0</v>
      </c>
      <c r="L225" s="117" cm="1">
        <f t="array" ref="L225">SUM(L205:L224)</f>
        <v>0</v>
      </c>
      <c r="M225" s="117" cm="1">
        <f t="array" ref="M225">SUM(M205:M224)</f>
        <v>0</v>
      </c>
      <c r="N225" s="117" cm="1">
        <f t="array" ref="N225">SUM(N205:N224)</f>
        <v>0</v>
      </c>
      <c r="O225" s="117" cm="1">
        <f t="array" ref="O225">SUM(O205:O224)</f>
        <v>0</v>
      </c>
      <c r="P225" s="117" cm="1">
        <f t="array" ref="P225">SUM(P205:P224)</f>
        <v>0</v>
      </c>
      <c r="Q225" s="117" cm="1">
        <f t="array" ref="Q225">SUM(Q205:Q224)</f>
        <v>0</v>
      </c>
      <c r="R225" s="117" cm="1">
        <f t="array" ref="R225">SUM(R205:R224)</f>
        <v>0</v>
      </c>
      <c r="S225" s="117" cm="1">
        <f t="array" ref="S225">SUM(S205:S224)</f>
        <v>0</v>
      </c>
      <c r="T225" s="117" cm="1">
        <f t="array" ref="T225">SUM(T205:T224)</f>
        <v>0</v>
      </c>
      <c r="U225" s="117" cm="1">
        <f t="array" ref="U225">SUM(U205:U224)</f>
        <v>0</v>
      </c>
      <c r="V225" s="117" cm="1">
        <f t="array" ref="V225">SUM(V205:V224)</f>
        <v>0</v>
      </c>
      <c r="W225" s="117" cm="1">
        <f t="array" ref="W225">SUM(W205:W224)</f>
        <v>0</v>
      </c>
      <c r="X225" s="117" cm="1">
        <f t="array" ref="X225">SUM(X205:X224)</f>
        <v>0</v>
      </c>
      <c r="Y225" s="117" cm="1">
        <f t="array" ref="Y225">SUM(Y205:Y224)</f>
        <v>0</v>
      </c>
      <c r="Z225" s="118" cm="1">
        <f t="array" ref="Z225">IFERROR(X225/(X225+Y225),0)</f>
        <v>0</v>
      </c>
      <c r="AA225" s="85"/>
      <c r="AB225" s="119"/>
      <c r="AC225" s="119"/>
      <c r="AD225" s="119"/>
      <c r="AE225" s="119"/>
      <c r="AF225" s="119"/>
    </row>
    <row r="226" spans="1:32" ht="21.25" customHeight="1" x14ac:dyDescent="0.15">
      <c r="A226" s="37"/>
      <c r="B226" s="120"/>
      <c r="C226" s="121"/>
      <c r="D226" s="13"/>
      <c r="E226" s="13"/>
      <c r="F226" s="122"/>
      <c r="G226" s="123"/>
      <c r="H226" s="124"/>
      <c r="I226" s="12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90"/>
      <c r="AC226" s="90"/>
      <c r="AD226" s="90"/>
      <c r="AE226" s="90"/>
      <c r="AF226" s="90"/>
    </row>
    <row r="227" spans="1:32" ht="21.25" customHeight="1" x14ac:dyDescent="0.15">
      <c r="A227" s="40" t="s">
        <v>90</v>
      </c>
      <c r="B227" s="204" t="s">
        <v>92</v>
      </c>
      <c r="C227" s="194"/>
      <c r="D227" s="126" t="s">
        <v>93</v>
      </c>
      <c r="E227" s="126" t="s">
        <v>94</v>
      </c>
      <c r="F227" s="127" t="s">
        <v>96</v>
      </c>
      <c r="G227" s="127" t="s">
        <v>98</v>
      </c>
      <c r="H227" s="128"/>
      <c r="I227" s="129" t="s">
        <v>103</v>
      </c>
      <c r="J227" s="129" t="s">
        <v>118</v>
      </c>
      <c r="K227" s="129" t="s">
        <v>119</v>
      </c>
      <c r="L227" s="129" t="s">
        <v>120</v>
      </c>
      <c r="M227" s="129" t="s">
        <v>121</v>
      </c>
      <c r="N227" s="129" t="s">
        <v>122</v>
      </c>
      <c r="O227" s="129" t="s">
        <v>123</v>
      </c>
      <c r="P227" s="129" t="s">
        <v>124</v>
      </c>
      <c r="Q227" s="129" t="s">
        <v>125</v>
      </c>
      <c r="R227" s="85"/>
      <c r="S227" s="85"/>
      <c r="T227" s="85"/>
      <c r="U227" s="204" t="s">
        <v>814</v>
      </c>
      <c r="V227" s="205"/>
      <c r="W227" s="205"/>
      <c r="X227" s="204" t="s">
        <v>815</v>
      </c>
      <c r="Y227" s="205"/>
      <c r="Z227" s="205"/>
      <c r="AA227" s="85"/>
      <c r="AB227" s="85"/>
      <c r="AC227" s="85"/>
      <c r="AD227" s="85"/>
      <c r="AE227" s="85"/>
      <c r="AF227" s="85"/>
    </row>
    <row r="228" spans="1:32" ht="21.25" customHeight="1" x14ac:dyDescent="0.15">
      <c r="A228" s="146"/>
      <c r="B228" s="131" t="str" cm="1">
        <f t="array" ref="B228">IFERROR(VLOOKUP($A228,'The List'!$B1:$AS671,3,FALSE)," ")</f>
        <v xml:space="preserve"> </v>
      </c>
      <c r="C228" s="147" t="str" cm="1">
        <f t="array" ref="C228">IFERROR(VLOOKUP($A228,'The List'!$B1:$AS671,4,FALSE)," ")</f>
        <v xml:space="preserve"> </v>
      </c>
      <c r="D228" s="133" t="str" cm="1">
        <f t="array" ref="D228">IFERROR(VLOOKUP($A228,'The List'!$B1:$AS671,5,FALSE)," ")</f>
        <v xml:space="preserve"> </v>
      </c>
      <c r="E228" s="133" t="str" cm="1">
        <f t="array" ref="E228">IFERROR(VLOOKUP($A228,'The List'!$B1:$AS671,6,FALSE)," ")</f>
        <v xml:space="preserve"> </v>
      </c>
      <c r="F228" s="148" t="str" cm="1">
        <f t="array" ref="F228">IFERROR(VLOOKUP($A228,'The List'!$B1:$AS671,8,FALSE)," ")</f>
        <v xml:space="preserve"> </v>
      </c>
      <c r="G228" s="148" t="str" cm="1">
        <f t="array" ref="G228">IFERROR(VLOOKUP($A228,'The List'!$B1:$AS671,10,FALSE)," ")</f>
        <v xml:space="preserve"> </v>
      </c>
      <c r="H228" s="82"/>
      <c r="I228" s="149" t="str" cm="1">
        <f t="array" ref="I228">IFERROR(VLOOKUP($A228,'The List'!$B1:$AS671,35,FALSE)," ")</f>
        <v xml:space="preserve"> </v>
      </c>
      <c r="J228" s="149" t="str" cm="1">
        <f t="array" ref="J228">IFERROR(VLOOKUP($A228,'The List'!$B1:$AS671,36,FALSE)," ")</f>
        <v xml:space="preserve"> </v>
      </c>
      <c r="K228" s="149" t="str" cm="1">
        <f t="array" ref="K228">IFERROR(VLOOKUP($A228,'The List'!$B1:$AS671,37,FALSE)," ")</f>
        <v xml:space="preserve"> </v>
      </c>
      <c r="L228" s="149" t="str" cm="1">
        <f t="array" ref="L228">IFERROR(VLOOKUP($A228,'The List'!$B1:$AS671,38,FALSE)," ")</f>
        <v xml:space="preserve"> </v>
      </c>
      <c r="M228" s="149" t="str" cm="1">
        <f t="array" ref="M228">IFERROR(VLOOKUP($A228,'The List'!$B1:$AS671,39,FALSE)," ")</f>
        <v xml:space="preserve"> </v>
      </c>
      <c r="N228" s="149" t="str" cm="1">
        <f t="array" ref="N228">IFERROR(VLOOKUP($A228,'The List'!$B1:$AS671,40,FALSE)," ")</f>
        <v xml:space="preserve"> </v>
      </c>
      <c r="O228" s="149" t="str" cm="1">
        <f t="array" ref="O228">IFERROR(VLOOKUP($A228,'The List'!$B1:$AS671,41,FALSE)," ")</f>
        <v xml:space="preserve"> </v>
      </c>
      <c r="P228" s="149" t="str" cm="1">
        <f t="array" ref="P228">IFERROR(VLOOKUP($A228,'The List'!$B1:$AS671,42,FALSE)," ")</f>
        <v xml:space="preserve"> </v>
      </c>
      <c r="Q228" s="149" t="str" cm="1">
        <f t="array" ref="Q228">IFERROR(VLOOKUP($A228,'The List'!$B1:$AS671,43,FALSE)," ")</f>
        <v xml:space="preserve"> </v>
      </c>
      <c r="R228" s="85"/>
      <c r="S228" s="85"/>
      <c r="T228" s="139" t="str" cm="1">
        <f t="array" ref="T228">A204</f>
        <v>TEAM 8</v>
      </c>
      <c r="U228" s="206" cm="1">
        <f t="array" ref="U228">F225+F231</f>
        <v>0</v>
      </c>
      <c r="V228" s="194"/>
      <c r="W228" s="194"/>
      <c r="X228" s="206" cm="1">
        <f t="array" ref="X228">G231+G225</f>
        <v>0</v>
      </c>
      <c r="Y228" s="194"/>
      <c r="Z228" s="194"/>
      <c r="AA228" s="85"/>
      <c r="AB228" s="85"/>
      <c r="AC228" s="85"/>
      <c r="AD228" s="85"/>
      <c r="AE228" s="85"/>
      <c r="AF228" s="85"/>
    </row>
    <row r="229" spans="1:32" ht="21.25" customHeight="1" x14ac:dyDescent="0.15">
      <c r="A229" s="24"/>
      <c r="B229" s="140" t="str" cm="1">
        <f t="array" ref="B229">IFERROR(VLOOKUP($A229,'The List'!$B1:$AS671,3,FALSE)," ")</f>
        <v xml:space="preserve"> </v>
      </c>
      <c r="C229" s="141" t="str" cm="1">
        <f t="array" ref="C229">IFERROR(VLOOKUP($A229,'The List'!$B1:$AS671,4,FALSE)," ")</f>
        <v xml:space="preserve"> </v>
      </c>
      <c r="D229" s="18" t="str" cm="1">
        <f t="array" ref="D229">IFERROR(VLOOKUP($A229,'The List'!$B1:$AS671,5,FALSE)," ")</f>
        <v xml:space="preserve"> </v>
      </c>
      <c r="E229" s="18" t="str" cm="1">
        <f t="array" ref="E229">IFERROR(VLOOKUP($A229,'The List'!$B1:$AS671,6,FALSE)," ")</f>
        <v xml:space="preserve"> </v>
      </c>
      <c r="F229" s="92" t="str" cm="1">
        <f t="array" ref="F229">IFERROR(VLOOKUP($A229,'The List'!$B1:$AS671,8,FALSE)," ")</f>
        <v xml:space="preserve"> </v>
      </c>
      <c r="G229" s="92" t="str" cm="1">
        <f t="array" ref="G229">IFERROR(VLOOKUP($A229,'The List'!$B1:$AS671,10,FALSE)," ")</f>
        <v xml:space="preserve"> </v>
      </c>
      <c r="H229" s="55"/>
      <c r="I229" s="84" t="str" cm="1">
        <f t="array" ref="I229">IFERROR(VLOOKUP($A229,'The List'!$B1:$AS671,35,FALSE)," ")</f>
        <v xml:space="preserve"> </v>
      </c>
      <c r="J229" s="84" t="str" cm="1">
        <f t="array" ref="J229">IFERROR(VLOOKUP($A229,'The List'!$B1:$AS671,36,FALSE)," ")</f>
        <v xml:space="preserve"> </v>
      </c>
      <c r="K229" s="84" t="str" cm="1">
        <f t="array" ref="K229">IFERROR(VLOOKUP($A229,'The List'!$B1:$AS671,37,FALSE)," ")</f>
        <v xml:space="preserve"> </v>
      </c>
      <c r="L229" s="84" t="str" cm="1">
        <f t="array" ref="L229">IFERROR(VLOOKUP($A229,'The List'!$B1:$AS671,38,FALSE)," ")</f>
        <v xml:space="preserve"> </v>
      </c>
      <c r="M229" s="84" t="str" cm="1">
        <f t="array" ref="M229">IFERROR(VLOOKUP($A229,'The List'!$B1:$AS671,39,FALSE)," ")</f>
        <v xml:space="preserve"> </v>
      </c>
      <c r="N229" s="84" t="str" cm="1">
        <f t="array" ref="N229">IFERROR(VLOOKUP($A229,'The List'!$B1:$AS671,40,FALSE)," ")</f>
        <v xml:space="preserve"> </v>
      </c>
      <c r="O229" s="84" t="str" cm="1">
        <f t="array" ref="O229">IFERROR(VLOOKUP($A229,'The List'!$B1:$AS671,41,FALSE)," ")</f>
        <v xml:space="preserve"> </v>
      </c>
      <c r="P229" s="84" t="str" cm="1">
        <f t="array" ref="P229">IFERROR(VLOOKUP($A229,'The List'!$B1:$AS671,42,FALSE)," ")</f>
        <v xml:space="preserve"> </v>
      </c>
      <c r="Q229" s="84" t="str" cm="1">
        <f t="array" ref="Q229">IFERROR(VLOOKUP($A229,'The List'!$B1:$AS671,43,FALSE)," ")</f>
        <v xml:space="preserve"> </v>
      </c>
      <c r="R229" s="85"/>
      <c r="S229" s="85"/>
      <c r="T229" s="85"/>
      <c r="U229" s="194"/>
      <c r="V229" s="194"/>
      <c r="W229" s="194"/>
      <c r="X229" s="194"/>
      <c r="Y229" s="194"/>
      <c r="Z229" s="194"/>
      <c r="AA229" s="85"/>
      <c r="AB229" s="85"/>
      <c r="AC229" s="85"/>
      <c r="AD229" s="85"/>
      <c r="AE229" s="85"/>
      <c r="AF229" s="85"/>
    </row>
    <row r="230" spans="1:32" ht="21.25" customHeight="1" x14ac:dyDescent="0.15">
      <c r="A230" s="103"/>
      <c r="B230" s="142" t="str" cm="1">
        <f t="array" ref="B230">IFERROR(VLOOKUP($A230,'The List'!$B1:$AS671,3,FALSE)," ")</f>
        <v xml:space="preserve"> </v>
      </c>
      <c r="C230" s="143" t="str" cm="1">
        <f t="array" ref="C230">IFERROR(VLOOKUP($A230,'The List'!$B1:$AS671,4,FALSE)," ")</f>
        <v xml:space="preserve"> </v>
      </c>
      <c r="D230" s="106" t="str" cm="1">
        <f t="array" ref="D230">IFERROR(VLOOKUP($A230,'The List'!$B1:$AS671,5,FALSE)," ")</f>
        <v xml:space="preserve"> </v>
      </c>
      <c r="E230" s="106" t="str" cm="1">
        <f t="array" ref="E230">IFERROR(VLOOKUP($A230,'The List'!$B1:$AS671,6,FALSE)," ")</f>
        <v xml:space="preserve"> </v>
      </c>
      <c r="F230" s="107" t="str" cm="1">
        <f t="array" ref="F230">IFERROR(VLOOKUP($A230,'The List'!$B1:$AS671,8,FALSE)," ")</f>
        <v xml:space="preserve"> </v>
      </c>
      <c r="G230" s="107" t="str" cm="1">
        <f t="array" ref="G230">IFERROR(VLOOKUP($A230,'The List'!$B1:$AS671,10,FALSE)," ")</f>
        <v xml:space="preserve"> </v>
      </c>
      <c r="H230" s="108"/>
      <c r="I230" s="109" t="str" cm="1">
        <f t="array" ref="I230">IFERROR(VLOOKUP($A230,'The List'!$B1:$AS671,35,FALSE)," ")</f>
        <v xml:space="preserve"> </v>
      </c>
      <c r="J230" s="109" t="str" cm="1">
        <f t="array" ref="J230">IFERROR(VLOOKUP($A230,'The List'!$B1:$AS671,36,FALSE)," ")</f>
        <v xml:space="preserve"> </v>
      </c>
      <c r="K230" s="109" t="str" cm="1">
        <f t="array" ref="K230">IFERROR(VLOOKUP($A230,'The List'!$B1:$AS671,37,FALSE)," ")</f>
        <v xml:space="preserve"> </v>
      </c>
      <c r="L230" s="109" t="str" cm="1">
        <f t="array" ref="L230">IFERROR(VLOOKUP($A230,'The List'!$B1:$AS671,38,FALSE)," ")</f>
        <v xml:space="preserve"> </v>
      </c>
      <c r="M230" s="109" t="str" cm="1">
        <f t="array" ref="M230">IFERROR(VLOOKUP($A230,'The List'!$B1:$AS671,39,FALSE)," ")</f>
        <v xml:space="preserve"> </v>
      </c>
      <c r="N230" s="109" t="str" cm="1">
        <f t="array" ref="N230">IFERROR(VLOOKUP($A230,'The List'!$B1:$AS671,40,FALSE)," ")</f>
        <v xml:space="preserve"> </v>
      </c>
      <c r="O230" s="109" t="str" cm="1">
        <f t="array" ref="O230">IFERROR(VLOOKUP($A230,'The List'!$B1:$AS671,41,FALSE)," ")</f>
        <v xml:space="preserve"> </v>
      </c>
      <c r="P230" s="109" t="str" cm="1">
        <f t="array" ref="P230">IFERROR(VLOOKUP($A230,'The List'!$B1:$AS671,42,FALSE)," ")</f>
        <v xml:space="preserve"> </v>
      </c>
      <c r="Q230" s="109" t="str" cm="1">
        <f t="array" ref="Q230">IFERROR(VLOOKUP($A230,'The List'!$B1:$AS671,43,FALSE)," ")</f>
        <v xml:space="preserve"> </v>
      </c>
      <c r="R230" s="85"/>
      <c r="S230" s="85"/>
      <c r="T230" s="85"/>
      <c r="U230" s="194"/>
      <c r="V230" s="194"/>
      <c r="W230" s="194"/>
      <c r="X230" s="194"/>
      <c r="Y230" s="194"/>
      <c r="Z230" s="194"/>
      <c r="AA230" s="85"/>
      <c r="AB230" s="85"/>
      <c r="AC230" s="85"/>
      <c r="AD230" s="85"/>
      <c r="AE230" s="85"/>
      <c r="AF230" s="85"/>
    </row>
    <row r="231" spans="1:32" ht="21.25" customHeight="1" x14ac:dyDescent="0.15">
      <c r="A231" s="110"/>
      <c r="B231" s="111"/>
      <c r="C231" s="112"/>
      <c r="D231" s="113"/>
      <c r="E231" s="113" t="str" cm="1">
        <f t="array" ref="E231">IFERROR(AVERAGE(E228:E230)," ")</f>
        <v xml:space="preserve"> </v>
      </c>
      <c r="F231" s="115" cm="1">
        <f t="array" ref="F231">SUM(F228:F230)</f>
        <v>0</v>
      </c>
      <c r="G231" s="115" cm="1">
        <f t="array" ref="G231">SUM(G228:G230)</f>
        <v>0</v>
      </c>
      <c r="H231" s="116"/>
      <c r="I231" s="117" cm="1">
        <f t="array" ref="I231">SUM(I228:I230)</f>
        <v>0</v>
      </c>
      <c r="J231" s="116" cm="1">
        <f t="array" ref="J231">SUM(J228:J230)</f>
        <v>0</v>
      </c>
      <c r="K231" s="117" cm="1">
        <f t="array" ref="K231">SUM(K228:K230)</f>
        <v>0</v>
      </c>
      <c r="L231" s="117" cm="1">
        <f t="array" ref="L231">SUM(L228:L230)</f>
        <v>0</v>
      </c>
      <c r="M231" s="117" cm="1">
        <f t="array" ref="M231">SUM(M228:M230)</f>
        <v>0</v>
      </c>
      <c r="N231" s="117" cm="1">
        <f t="array" ref="N231">SUM(N228:N230)</f>
        <v>0</v>
      </c>
      <c r="O231" s="117" cm="1">
        <f t="array" ref="O231">SUM(O228:O230)</f>
        <v>0</v>
      </c>
      <c r="P231" s="144" t="e" cm="1">
        <f t="array" ref="P231">1-(O231/(N231+O231))</f>
        <v>#DIV/0!</v>
      </c>
      <c r="Q231" s="145" t="e" cm="1">
        <f t="array" ref="Q231">O231/I231</f>
        <v>#DIV/0!</v>
      </c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</row>
    <row r="232" spans="1:32" ht="70.75" customHeight="1" x14ac:dyDescent="0.15">
      <c r="A232" s="37"/>
      <c r="B232" s="120"/>
      <c r="C232" s="121"/>
      <c r="D232" s="13"/>
      <c r="E232" s="13"/>
      <c r="F232" s="122"/>
      <c r="G232" s="123"/>
      <c r="H232" s="124"/>
      <c r="I232" s="12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90"/>
      <c r="AB232" s="90"/>
      <c r="AC232" s="90"/>
      <c r="AD232" s="90"/>
      <c r="AE232" s="90"/>
      <c r="AF232" s="90"/>
    </row>
    <row r="233" spans="1:32" ht="21.25" customHeight="1" x14ac:dyDescent="0.15">
      <c r="A233" s="41" t="s">
        <v>806</v>
      </c>
      <c r="B233" s="203" t="s">
        <v>92</v>
      </c>
      <c r="C233" s="200"/>
      <c r="D233" s="42" t="s">
        <v>93</v>
      </c>
      <c r="E233" s="42" t="s">
        <v>94</v>
      </c>
      <c r="F233" s="43" t="s">
        <v>96</v>
      </c>
      <c r="G233" s="43" t="s">
        <v>98</v>
      </c>
      <c r="H233" s="44"/>
      <c r="I233" s="46" t="s">
        <v>103</v>
      </c>
      <c r="J233" s="46" t="s">
        <v>56</v>
      </c>
      <c r="K233" s="46" t="s">
        <v>104</v>
      </c>
      <c r="L233" s="46" t="s">
        <v>105</v>
      </c>
      <c r="M233" s="46" t="s">
        <v>106</v>
      </c>
      <c r="N233" s="46" t="s">
        <v>107</v>
      </c>
      <c r="O233" s="46" t="s">
        <v>64</v>
      </c>
      <c r="P233" s="46" t="s">
        <v>67</v>
      </c>
      <c r="Q233" s="46" t="s">
        <v>108</v>
      </c>
      <c r="R233" s="46" t="s">
        <v>109</v>
      </c>
      <c r="S233" s="46" t="s">
        <v>110</v>
      </c>
      <c r="T233" s="46" t="s">
        <v>111</v>
      </c>
      <c r="U233" s="46" t="s">
        <v>112</v>
      </c>
      <c r="V233" s="46" t="s">
        <v>113</v>
      </c>
      <c r="W233" s="46" t="s">
        <v>114</v>
      </c>
      <c r="X233" s="46" t="s">
        <v>115</v>
      </c>
      <c r="Y233" s="46" t="s">
        <v>116</v>
      </c>
      <c r="Z233" s="46" t="s">
        <v>117</v>
      </c>
      <c r="AA233" s="85"/>
      <c r="AB233" s="86"/>
      <c r="AC233" s="86"/>
      <c r="AD233" s="86"/>
      <c r="AE233" s="86"/>
      <c r="AF233" s="86"/>
    </row>
    <row r="234" spans="1:32" ht="21.25" customHeight="1" x14ac:dyDescent="0.15">
      <c r="A234" s="24"/>
      <c r="B234" s="87" t="str" cm="1">
        <f t="array" ref="B234">IFERROR(VLOOKUP($A234,'The List'!$B1:$AS671,3,FALSE)," ")</f>
        <v xml:space="preserve"> </v>
      </c>
      <c r="C234" s="91" t="str" cm="1">
        <f t="array" ref="C234">IFERROR(VLOOKUP($A234,'The List'!$B1:$AS671,4,FALSE)," ")</f>
        <v xml:space="preserve"> </v>
      </c>
      <c r="D234" s="18" t="str" cm="1">
        <f t="array" ref="D234">IFERROR(VLOOKUP($A234,'The List'!$B1:$AS671,5,FALSE)," ")</f>
        <v xml:space="preserve"> </v>
      </c>
      <c r="E234" s="18" t="str" cm="1">
        <f t="array" ref="E234">IFERROR(VLOOKUP($A234,'The List'!$B1:$AS671,6,FALSE)," ")</f>
        <v xml:space="preserve"> </v>
      </c>
      <c r="F234" s="92" t="str" cm="1">
        <f t="array" ref="F234">IFERROR(VLOOKUP($A234,'The List'!$B1:$AS671,8,FALSE)," ")</f>
        <v xml:space="preserve"> </v>
      </c>
      <c r="G234" s="92" t="str" cm="1">
        <f t="array" ref="G234">IFERROR(VLOOKUP($A234,'The List'!$B1:$AS671,10,FALSE)," ")</f>
        <v xml:space="preserve"> </v>
      </c>
      <c r="H234" s="55"/>
      <c r="I234" s="84" t="str" cm="1">
        <f t="array" ref="I234">IFERROR(VLOOKUP($A234,'The List'!$B1:$AS671,16,FALSE)," ")</f>
        <v xml:space="preserve"> </v>
      </c>
      <c r="J234" s="84" t="str" cm="1">
        <f t="array" ref="J234">IFERROR(VLOOKUP($A234,'The List'!$B1:$AS671,17,FALSE)," ")</f>
        <v xml:space="preserve"> </v>
      </c>
      <c r="K234" s="84" t="str" cm="1">
        <f t="array" ref="K234">IFERROR(VLOOKUP($A234,'The List'!$B1:$AS671,18,FALSE)," ")</f>
        <v xml:space="preserve"> </v>
      </c>
      <c r="L234" s="84" t="str" cm="1">
        <f t="array" ref="L234">IFERROR(VLOOKUP($A234,'The List'!$B1:$AS671,19,FALSE)," ")</f>
        <v xml:space="preserve"> </v>
      </c>
      <c r="M234" s="84" t="str" cm="1">
        <f t="array" ref="M234">IFERROR(VLOOKUP($A234,'The List'!$B1:$AS671,20,FALSE)," ")</f>
        <v xml:space="preserve"> </v>
      </c>
      <c r="N234" s="84" t="str" cm="1">
        <f t="array" ref="N234">IFERROR(VLOOKUP($A234,'The List'!$B1:$AS671,21,FALSE)," ")</f>
        <v xml:space="preserve"> </v>
      </c>
      <c r="O234" s="84" t="str" cm="1">
        <f t="array" ref="O234">IFERROR(VLOOKUP($A234,'The List'!$B1:$AS671,22,FALSE)," ")</f>
        <v xml:space="preserve"> </v>
      </c>
      <c r="P234" s="84" t="str" cm="1">
        <f t="array" ref="P234">IFERROR(VLOOKUP($A234,'The List'!$B1:$AS671,23,FALSE)," ")</f>
        <v xml:space="preserve"> </v>
      </c>
      <c r="Q234" s="84" t="str" cm="1">
        <f t="array" ref="Q234">IFERROR(VLOOKUP($A234,'The List'!$B1:$AS671,24,FALSE)," ")</f>
        <v xml:space="preserve"> </v>
      </c>
      <c r="R234" s="84" t="str" cm="1">
        <f t="array" ref="R234">IFERROR(VLOOKUP($A234,'The List'!$B1:$AS671,25,FALSE)," ")</f>
        <v xml:space="preserve"> </v>
      </c>
      <c r="S234" s="84" t="str" cm="1">
        <f t="array" ref="S234">IFERROR(VLOOKUP($A234,'The List'!$B1:$AS671,26,FALSE)," ")</f>
        <v xml:space="preserve"> </v>
      </c>
      <c r="T234" s="84" t="str" cm="1">
        <f t="array" ref="T234">IFERROR(VLOOKUP($A234,'The List'!$B1:$AS671,27,FALSE)," ")</f>
        <v xml:space="preserve"> </v>
      </c>
      <c r="U234" s="84" t="str" cm="1">
        <f t="array" ref="U234">IFERROR(VLOOKUP($A234,'The List'!$B1:$AS671,28,FALSE)," ")</f>
        <v xml:space="preserve"> </v>
      </c>
      <c r="V234" s="84" t="str" cm="1">
        <f t="array" ref="V234">IFERROR(VLOOKUP($A234,'The List'!$B1:$AS671,29,FALSE)," ")</f>
        <v xml:space="preserve"> </v>
      </c>
      <c r="W234" s="84" t="str" cm="1">
        <f t="array" ref="W234">IFERROR(VLOOKUP($A234,'The List'!$B1:$AS671,30,FALSE)," ")</f>
        <v xml:space="preserve"> </v>
      </c>
      <c r="X234" s="84" t="str" cm="1">
        <f t="array" ref="X234">IFERROR(VLOOKUP($A234,'The List'!$B1:$AS671,31,FALSE)," ")</f>
        <v xml:space="preserve"> </v>
      </c>
      <c r="Y234" s="84" t="str" cm="1">
        <f t="array" ref="Y234">IFERROR(VLOOKUP($A234,'The List'!$B1:$AS671,32,FALSE)," ")</f>
        <v xml:space="preserve"> </v>
      </c>
      <c r="Z234" s="84" t="str" cm="1">
        <f t="array" ref="Z234">IFERROR(VLOOKUP($A234,'The List'!$B1:$AS671,33,FALSE)," ")</f>
        <v xml:space="preserve"> </v>
      </c>
      <c r="AA234" s="85"/>
      <c r="AB234" s="90"/>
      <c r="AC234" s="90"/>
      <c r="AD234" s="90"/>
      <c r="AE234" s="90"/>
      <c r="AF234" s="90"/>
    </row>
    <row r="235" spans="1:32" ht="21.25" customHeight="1" x14ac:dyDescent="0.15">
      <c r="A235" s="24"/>
      <c r="B235" s="87" t="str" cm="1">
        <f t="array" ref="B235">IFERROR(VLOOKUP($A235,'The List'!$B1:$AS671,3,FALSE)," ")</f>
        <v xml:space="preserve"> </v>
      </c>
      <c r="C235" s="91" t="str" cm="1">
        <f t="array" ref="C235">IFERROR(VLOOKUP($A235,'The List'!$B1:$AS671,4,FALSE)," ")</f>
        <v xml:space="preserve"> </v>
      </c>
      <c r="D235" s="18" t="str" cm="1">
        <f t="array" ref="D235">IFERROR(VLOOKUP($A235,'The List'!$B1:$AS671,5,FALSE)," ")</f>
        <v xml:space="preserve"> </v>
      </c>
      <c r="E235" s="18" t="str" cm="1">
        <f t="array" ref="E235">IFERROR(VLOOKUP($A235,'The List'!$B1:$AS671,6,FALSE)," ")</f>
        <v xml:space="preserve"> </v>
      </c>
      <c r="F235" s="92" t="str" cm="1">
        <f t="array" ref="F235">IFERROR(VLOOKUP($A235,'The List'!$B1:$AS671,8,FALSE)," ")</f>
        <v xml:space="preserve"> </v>
      </c>
      <c r="G235" s="92" t="str" cm="1">
        <f t="array" ref="G235">IFERROR(VLOOKUP($A235,'The List'!$B1:$AS671,10,FALSE)," ")</f>
        <v xml:space="preserve"> </v>
      </c>
      <c r="H235" s="55"/>
      <c r="I235" s="84" t="str" cm="1">
        <f t="array" ref="I235">IFERROR(VLOOKUP($A235,'The List'!$B1:$AS671,16,FALSE)," ")</f>
        <v xml:space="preserve"> </v>
      </c>
      <c r="J235" s="84" t="str" cm="1">
        <f t="array" ref="J235">IFERROR(VLOOKUP($A235,'The List'!$B1:$AS671,17,FALSE)," ")</f>
        <v xml:space="preserve"> </v>
      </c>
      <c r="K235" s="84" t="str" cm="1">
        <f t="array" ref="K235">IFERROR(VLOOKUP($A235,'The List'!$B1:$AS671,18,FALSE)," ")</f>
        <v xml:space="preserve"> </v>
      </c>
      <c r="L235" s="84" t="str" cm="1">
        <f t="array" ref="L235">IFERROR(VLOOKUP($A235,'The List'!$B1:$AS671,19,FALSE)," ")</f>
        <v xml:space="preserve"> </v>
      </c>
      <c r="M235" s="84" t="str" cm="1">
        <f t="array" ref="M235">IFERROR(VLOOKUP($A235,'The List'!$B1:$AS671,20,FALSE)," ")</f>
        <v xml:space="preserve"> </v>
      </c>
      <c r="N235" s="84" t="str" cm="1">
        <f t="array" ref="N235">IFERROR(VLOOKUP($A235,'The List'!$B1:$AS671,21,FALSE)," ")</f>
        <v xml:space="preserve"> </v>
      </c>
      <c r="O235" s="84" t="str" cm="1">
        <f t="array" ref="O235">IFERROR(VLOOKUP($A235,'The List'!$B1:$AS671,22,FALSE)," ")</f>
        <v xml:space="preserve"> </v>
      </c>
      <c r="P235" s="84" t="str" cm="1">
        <f t="array" ref="P235">IFERROR(VLOOKUP($A235,'The List'!$B1:$AS671,23,FALSE)," ")</f>
        <v xml:space="preserve"> </v>
      </c>
      <c r="Q235" s="84" t="str" cm="1">
        <f t="array" ref="Q235">IFERROR(VLOOKUP($A235,'The List'!$B1:$AS671,24,FALSE)," ")</f>
        <v xml:space="preserve"> </v>
      </c>
      <c r="R235" s="84" t="str" cm="1">
        <f t="array" ref="R235">IFERROR(VLOOKUP($A235,'The List'!$B1:$AS671,25,FALSE)," ")</f>
        <v xml:space="preserve"> </v>
      </c>
      <c r="S235" s="84" t="str" cm="1">
        <f t="array" ref="S235">IFERROR(VLOOKUP($A235,'The List'!$B1:$AS671,26,FALSE)," ")</f>
        <v xml:space="preserve"> </v>
      </c>
      <c r="T235" s="84" t="str" cm="1">
        <f t="array" ref="T235">IFERROR(VLOOKUP($A235,'The List'!$B1:$AS671,27,FALSE)," ")</f>
        <v xml:space="preserve"> </v>
      </c>
      <c r="U235" s="84" t="str" cm="1">
        <f t="array" ref="U235">IFERROR(VLOOKUP($A235,'The List'!$B1:$AS671,28,FALSE)," ")</f>
        <v xml:space="preserve"> </v>
      </c>
      <c r="V235" s="84" t="str" cm="1">
        <f t="array" ref="V235">IFERROR(VLOOKUP($A235,'The List'!$B1:$AS671,29,FALSE)," ")</f>
        <v xml:space="preserve"> </v>
      </c>
      <c r="W235" s="84" t="str" cm="1">
        <f t="array" ref="W235">IFERROR(VLOOKUP($A235,'The List'!$B1:$AS671,30,FALSE)," ")</f>
        <v xml:space="preserve"> </v>
      </c>
      <c r="X235" s="84" t="str" cm="1">
        <f t="array" ref="X235">IFERROR(VLOOKUP($A235,'The List'!$B1:$AS671,31,FALSE)," ")</f>
        <v xml:space="preserve"> </v>
      </c>
      <c r="Y235" s="84" t="str" cm="1">
        <f t="array" ref="Y235">IFERROR(VLOOKUP($A235,'The List'!$B1:$AS671,32,FALSE)," ")</f>
        <v xml:space="preserve"> </v>
      </c>
      <c r="Z235" s="84" t="str" cm="1">
        <f t="array" ref="Z235">IFERROR(VLOOKUP($A235,'The List'!$B1:$AS671,33,FALSE)," ")</f>
        <v xml:space="preserve"> </v>
      </c>
      <c r="AA235" s="85"/>
      <c r="AB235" s="90"/>
      <c r="AC235" s="90"/>
      <c r="AD235" s="90"/>
      <c r="AE235" s="90"/>
      <c r="AF235" s="90"/>
    </row>
    <row r="236" spans="1:32" ht="21.25" customHeight="1" x14ac:dyDescent="0.15">
      <c r="A236" s="24"/>
      <c r="B236" s="87" t="str" cm="1">
        <f t="array" ref="B236">IFERROR(VLOOKUP($A236,'The List'!$B1:$AS671,3,FALSE)," ")</f>
        <v xml:space="preserve"> </v>
      </c>
      <c r="C236" s="91" t="str" cm="1">
        <f t="array" ref="C236">IFERROR(VLOOKUP($A236,'The List'!$B1:$AS671,4,FALSE)," ")</f>
        <v xml:space="preserve"> </v>
      </c>
      <c r="D236" s="18" t="str" cm="1">
        <f t="array" ref="D236">IFERROR(VLOOKUP($A236,'The List'!$B1:$AS671,5,FALSE)," ")</f>
        <v xml:space="preserve"> </v>
      </c>
      <c r="E236" s="18" t="str" cm="1">
        <f t="array" ref="E236">IFERROR(VLOOKUP($A236,'The List'!$B1:$AS671,6,FALSE)," ")</f>
        <v xml:space="preserve"> </v>
      </c>
      <c r="F236" s="92" t="str" cm="1">
        <f t="array" ref="F236">IFERROR(VLOOKUP($A236,'The List'!$B1:$AS671,8,FALSE)," ")</f>
        <v xml:space="preserve"> </v>
      </c>
      <c r="G236" s="92" t="str" cm="1">
        <f t="array" ref="G236">IFERROR(VLOOKUP($A236,'The List'!$B1:$AS671,10,FALSE)," ")</f>
        <v xml:space="preserve"> </v>
      </c>
      <c r="H236" s="55"/>
      <c r="I236" s="84" t="str" cm="1">
        <f t="array" ref="I236">IFERROR(VLOOKUP($A236,'The List'!$B1:$AS671,16,FALSE)," ")</f>
        <v xml:space="preserve"> </v>
      </c>
      <c r="J236" s="84" t="str" cm="1">
        <f t="array" ref="J236">IFERROR(VLOOKUP($A236,'The List'!$B1:$AS671,17,FALSE)," ")</f>
        <v xml:space="preserve"> </v>
      </c>
      <c r="K236" s="84" t="str" cm="1">
        <f t="array" ref="K236">IFERROR(VLOOKUP($A236,'The List'!$B1:$AS671,18,FALSE)," ")</f>
        <v xml:space="preserve"> </v>
      </c>
      <c r="L236" s="84" t="str" cm="1">
        <f t="array" ref="L236">IFERROR(VLOOKUP($A236,'The List'!$B1:$AS671,19,FALSE)," ")</f>
        <v xml:space="preserve"> </v>
      </c>
      <c r="M236" s="84" t="str" cm="1">
        <f t="array" ref="M236">IFERROR(VLOOKUP($A236,'The List'!$B1:$AS671,20,FALSE)," ")</f>
        <v xml:space="preserve"> </v>
      </c>
      <c r="N236" s="84" t="str" cm="1">
        <f t="array" ref="N236">IFERROR(VLOOKUP($A236,'The List'!$B1:$AS671,21,FALSE)," ")</f>
        <v xml:space="preserve"> </v>
      </c>
      <c r="O236" s="84" t="str" cm="1">
        <f t="array" ref="O236">IFERROR(VLOOKUP($A236,'The List'!$B1:$AS671,22,FALSE)," ")</f>
        <v xml:space="preserve"> </v>
      </c>
      <c r="P236" s="84" t="str" cm="1">
        <f t="array" ref="P236">IFERROR(VLOOKUP($A236,'The List'!$B1:$AS671,23,FALSE)," ")</f>
        <v xml:space="preserve"> </v>
      </c>
      <c r="Q236" s="84" t="str" cm="1">
        <f t="array" ref="Q236">IFERROR(VLOOKUP($A236,'The List'!$B1:$AS671,24,FALSE)," ")</f>
        <v xml:space="preserve"> </v>
      </c>
      <c r="R236" s="84" t="str" cm="1">
        <f t="array" ref="R236">IFERROR(VLOOKUP($A236,'The List'!$B1:$AS671,25,FALSE)," ")</f>
        <v xml:space="preserve"> </v>
      </c>
      <c r="S236" s="84" t="str" cm="1">
        <f t="array" ref="S236">IFERROR(VLOOKUP($A236,'The List'!$B1:$AS671,26,FALSE)," ")</f>
        <v xml:space="preserve"> </v>
      </c>
      <c r="T236" s="84" t="str" cm="1">
        <f t="array" ref="T236">IFERROR(VLOOKUP($A236,'The List'!$B1:$AS671,27,FALSE)," ")</f>
        <v xml:space="preserve"> </v>
      </c>
      <c r="U236" s="84" t="str" cm="1">
        <f t="array" ref="U236">IFERROR(VLOOKUP($A236,'The List'!$B1:$AS671,28,FALSE)," ")</f>
        <v xml:space="preserve"> </v>
      </c>
      <c r="V236" s="84" t="str" cm="1">
        <f t="array" ref="V236">IFERROR(VLOOKUP($A236,'The List'!$B1:$AS671,29,FALSE)," ")</f>
        <v xml:space="preserve"> </v>
      </c>
      <c r="W236" s="84" t="str" cm="1">
        <f t="array" ref="W236">IFERROR(VLOOKUP($A236,'The List'!$B1:$AS671,30,FALSE)," ")</f>
        <v xml:space="preserve"> </v>
      </c>
      <c r="X236" s="84" t="str" cm="1">
        <f t="array" ref="X236">IFERROR(VLOOKUP($A236,'The List'!$B1:$AS671,31,FALSE)," ")</f>
        <v xml:space="preserve"> </v>
      </c>
      <c r="Y236" s="84" t="str" cm="1">
        <f t="array" ref="Y236">IFERROR(VLOOKUP($A236,'The List'!$B1:$AS671,32,FALSE)," ")</f>
        <v xml:space="preserve"> </v>
      </c>
      <c r="Z236" s="84" t="str" cm="1">
        <f t="array" ref="Z236">IFERROR(VLOOKUP($A236,'The List'!$B1:$AS671,33,FALSE)," ")</f>
        <v xml:space="preserve"> </v>
      </c>
      <c r="AA236" s="85"/>
      <c r="AB236" s="90"/>
      <c r="AC236" s="90"/>
      <c r="AD236" s="90"/>
      <c r="AE236" s="90"/>
      <c r="AF236" s="90"/>
    </row>
    <row r="237" spans="1:32" ht="21.25" customHeight="1" x14ac:dyDescent="0.15">
      <c r="A237" s="24"/>
      <c r="B237" s="87" t="str" cm="1">
        <f t="array" ref="B237">IFERROR(VLOOKUP($A237,'The List'!$B1:$AS671,3,FALSE)," ")</f>
        <v xml:space="preserve"> </v>
      </c>
      <c r="C237" s="91" t="str" cm="1">
        <f t="array" ref="C237">IFERROR(VLOOKUP($A237,'The List'!$B1:$AS671,4,FALSE)," ")</f>
        <v xml:space="preserve"> </v>
      </c>
      <c r="D237" s="18" t="str" cm="1">
        <f t="array" ref="D237">IFERROR(VLOOKUP($A237,'The List'!$B1:$AS671,5,FALSE)," ")</f>
        <v xml:space="preserve"> </v>
      </c>
      <c r="E237" s="18" t="str" cm="1">
        <f t="array" ref="E237">IFERROR(VLOOKUP($A237,'The List'!$B1:$AS671,6,FALSE)," ")</f>
        <v xml:space="preserve"> </v>
      </c>
      <c r="F237" s="92" t="str" cm="1">
        <f t="array" ref="F237">IFERROR(VLOOKUP($A237,'The List'!$B1:$AS671,8,FALSE)," ")</f>
        <v xml:space="preserve"> </v>
      </c>
      <c r="G237" s="92" t="str" cm="1">
        <f t="array" ref="G237">IFERROR(VLOOKUP($A237,'The List'!$B1:$AS671,10,FALSE)," ")</f>
        <v xml:space="preserve"> </v>
      </c>
      <c r="H237" s="55"/>
      <c r="I237" s="84" t="str" cm="1">
        <f t="array" ref="I237">IFERROR(VLOOKUP($A237,'The List'!$B1:$AS671,16,FALSE)," ")</f>
        <v xml:space="preserve"> </v>
      </c>
      <c r="J237" s="84" t="str" cm="1">
        <f t="array" ref="J237">IFERROR(VLOOKUP($A237,'The List'!$B1:$AS671,17,FALSE)," ")</f>
        <v xml:space="preserve"> </v>
      </c>
      <c r="K237" s="84" t="str" cm="1">
        <f t="array" ref="K237">IFERROR(VLOOKUP($A237,'The List'!$B1:$AS671,18,FALSE)," ")</f>
        <v xml:space="preserve"> </v>
      </c>
      <c r="L237" s="84" t="str" cm="1">
        <f t="array" ref="L237">IFERROR(VLOOKUP($A237,'The List'!$B1:$AS671,19,FALSE)," ")</f>
        <v xml:space="preserve"> </v>
      </c>
      <c r="M237" s="84" t="str" cm="1">
        <f t="array" ref="M237">IFERROR(VLOOKUP($A237,'The List'!$B1:$AS671,20,FALSE)," ")</f>
        <v xml:space="preserve"> </v>
      </c>
      <c r="N237" s="84" t="str" cm="1">
        <f t="array" ref="N237">IFERROR(VLOOKUP($A237,'The List'!$B1:$AS671,21,FALSE)," ")</f>
        <v xml:space="preserve"> </v>
      </c>
      <c r="O237" s="84" t="str" cm="1">
        <f t="array" ref="O237">IFERROR(VLOOKUP($A237,'The List'!$B1:$AS671,22,FALSE)," ")</f>
        <v xml:space="preserve"> </v>
      </c>
      <c r="P237" s="84" t="str" cm="1">
        <f t="array" ref="P237">IFERROR(VLOOKUP($A237,'The List'!$B1:$AS671,23,FALSE)," ")</f>
        <v xml:space="preserve"> </v>
      </c>
      <c r="Q237" s="84" t="str" cm="1">
        <f t="array" ref="Q237">IFERROR(VLOOKUP($A237,'The List'!$B1:$AS671,24,FALSE)," ")</f>
        <v xml:space="preserve"> </v>
      </c>
      <c r="R237" s="84" t="str" cm="1">
        <f t="array" ref="R237">IFERROR(VLOOKUP($A237,'The List'!$B1:$AS671,25,FALSE)," ")</f>
        <v xml:space="preserve"> </v>
      </c>
      <c r="S237" s="84" t="str" cm="1">
        <f t="array" ref="S237">IFERROR(VLOOKUP($A237,'The List'!$B1:$AS671,26,FALSE)," ")</f>
        <v xml:space="preserve"> </v>
      </c>
      <c r="T237" s="84" t="str" cm="1">
        <f t="array" ref="T237">IFERROR(VLOOKUP($A237,'The List'!$B1:$AS671,27,FALSE)," ")</f>
        <v xml:space="preserve"> </v>
      </c>
      <c r="U237" s="84" t="str" cm="1">
        <f t="array" ref="U237">IFERROR(VLOOKUP($A237,'The List'!$B1:$AS671,28,FALSE)," ")</f>
        <v xml:space="preserve"> </v>
      </c>
      <c r="V237" s="84" t="str" cm="1">
        <f t="array" ref="V237">IFERROR(VLOOKUP($A237,'The List'!$B1:$AS671,29,FALSE)," ")</f>
        <v xml:space="preserve"> </v>
      </c>
      <c r="W237" s="84" t="str" cm="1">
        <f t="array" ref="W237">IFERROR(VLOOKUP($A237,'The List'!$B1:$AS671,30,FALSE)," ")</f>
        <v xml:space="preserve"> </v>
      </c>
      <c r="X237" s="84" t="str" cm="1">
        <f t="array" ref="X237">IFERROR(VLOOKUP($A237,'The List'!$B1:$AS671,31,FALSE)," ")</f>
        <v xml:space="preserve"> </v>
      </c>
      <c r="Y237" s="84" t="str" cm="1">
        <f t="array" ref="Y237">IFERROR(VLOOKUP($A237,'The List'!$B1:$AS671,32,FALSE)," ")</f>
        <v xml:space="preserve"> </v>
      </c>
      <c r="Z237" s="84" t="str" cm="1">
        <f t="array" ref="Z237">IFERROR(VLOOKUP($A237,'The List'!$B1:$AS671,33,FALSE)," ")</f>
        <v xml:space="preserve"> </v>
      </c>
      <c r="AA237" s="85"/>
      <c r="AB237" s="90"/>
      <c r="AC237" s="90"/>
      <c r="AD237" s="90"/>
      <c r="AE237" s="90"/>
      <c r="AF237" s="90"/>
    </row>
    <row r="238" spans="1:32" ht="21.25" customHeight="1" x14ac:dyDescent="0.15">
      <c r="A238" s="24"/>
      <c r="B238" s="93" t="str" cm="1">
        <f t="array" ref="B238">IFERROR(VLOOKUP($A238,'The List'!$B1:$AS671,3,FALSE)," ")</f>
        <v xml:space="preserve"> </v>
      </c>
      <c r="C238" s="95" t="str" cm="1">
        <f t="array" ref="C238">IFERROR(VLOOKUP($A238,'The List'!$B1:$AS671,4,FALSE)," ")</f>
        <v xml:space="preserve"> </v>
      </c>
      <c r="D238" s="18" t="str" cm="1">
        <f t="array" ref="D238">IFERROR(VLOOKUP($A238,'The List'!$B1:$AS671,5,FALSE)," ")</f>
        <v xml:space="preserve"> </v>
      </c>
      <c r="E238" s="18" t="str" cm="1">
        <f t="array" ref="E238">IFERROR(VLOOKUP($A238,'The List'!$B1:$AS671,6,FALSE)," ")</f>
        <v xml:space="preserve"> </v>
      </c>
      <c r="F238" s="92" t="str" cm="1">
        <f t="array" ref="F238">IFERROR(VLOOKUP($A238,'The List'!$B1:$AS671,8,FALSE)," ")</f>
        <v xml:space="preserve"> </v>
      </c>
      <c r="G238" s="92" t="str" cm="1">
        <f t="array" ref="G238">IFERROR(VLOOKUP($A238,'The List'!$B1:$AS671,10,FALSE)," ")</f>
        <v xml:space="preserve"> </v>
      </c>
      <c r="H238" s="55"/>
      <c r="I238" s="84" t="str" cm="1">
        <f t="array" ref="I238">IFERROR(VLOOKUP($A238,'The List'!$B1:$AS671,16,FALSE)," ")</f>
        <v xml:space="preserve"> </v>
      </c>
      <c r="J238" s="84" t="str" cm="1">
        <f t="array" ref="J238">IFERROR(VLOOKUP($A238,'The List'!$B1:$AS671,17,FALSE)," ")</f>
        <v xml:space="preserve"> </v>
      </c>
      <c r="K238" s="84" t="str" cm="1">
        <f t="array" ref="K238">IFERROR(VLOOKUP($A238,'The List'!$B1:$AS671,18,FALSE)," ")</f>
        <v xml:space="preserve"> </v>
      </c>
      <c r="L238" s="84" t="str" cm="1">
        <f t="array" ref="L238">IFERROR(VLOOKUP($A238,'The List'!$B1:$AS671,19,FALSE)," ")</f>
        <v xml:space="preserve"> </v>
      </c>
      <c r="M238" s="84" t="str" cm="1">
        <f t="array" ref="M238">IFERROR(VLOOKUP($A238,'The List'!$B1:$AS671,20,FALSE)," ")</f>
        <v xml:space="preserve"> </v>
      </c>
      <c r="N238" s="84" t="str" cm="1">
        <f t="array" ref="N238">IFERROR(VLOOKUP($A238,'The List'!$B1:$AS671,21,FALSE)," ")</f>
        <v xml:space="preserve"> </v>
      </c>
      <c r="O238" s="84" t="str" cm="1">
        <f t="array" ref="O238">IFERROR(VLOOKUP($A238,'The List'!$B1:$AS671,22,FALSE)," ")</f>
        <v xml:space="preserve"> </v>
      </c>
      <c r="P238" s="84" t="str" cm="1">
        <f t="array" ref="P238">IFERROR(VLOOKUP($A238,'The List'!$B1:$AS671,23,FALSE)," ")</f>
        <v xml:space="preserve"> </v>
      </c>
      <c r="Q238" s="84" t="str" cm="1">
        <f t="array" ref="Q238">IFERROR(VLOOKUP($A238,'The List'!$B1:$AS671,24,FALSE)," ")</f>
        <v xml:space="preserve"> </v>
      </c>
      <c r="R238" s="84" t="str" cm="1">
        <f t="array" ref="R238">IFERROR(VLOOKUP($A238,'The List'!$B1:$AS671,25,FALSE)," ")</f>
        <v xml:space="preserve"> </v>
      </c>
      <c r="S238" s="84" t="str" cm="1">
        <f t="array" ref="S238">IFERROR(VLOOKUP($A238,'The List'!$B1:$AS671,26,FALSE)," ")</f>
        <v xml:space="preserve"> </v>
      </c>
      <c r="T238" s="84" t="str" cm="1">
        <f t="array" ref="T238">IFERROR(VLOOKUP($A238,'The List'!$B1:$AS671,27,FALSE)," ")</f>
        <v xml:space="preserve"> </v>
      </c>
      <c r="U238" s="84" t="str" cm="1">
        <f t="array" ref="U238">IFERROR(VLOOKUP($A238,'The List'!$B1:$AS671,28,FALSE)," ")</f>
        <v xml:space="preserve"> </v>
      </c>
      <c r="V238" s="84" t="str" cm="1">
        <f t="array" ref="V238">IFERROR(VLOOKUP($A238,'The List'!$B1:$AS671,29,FALSE)," ")</f>
        <v xml:space="preserve"> </v>
      </c>
      <c r="W238" s="84" t="str" cm="1">
        <f t="array" ref="W238">IFERROR(VLOOKUP($A238,'The List'!$B1:$AS671,30,FALSE)," ")</f>
        <v xml:space="preserve"> </v>
      </c>
      <c r="X238" s="84" t="str" cm="1">
        <f t="array" ref="X238">IFERROR(VLOOKUP($A238,'The List'!$B1:$AS671,31,FALSE)," ")</f>
        <v xml:space="preserve"> </v>
      </c>
      <c r="Y238" s="84" t="str" cm="1">
        <f t="array" ref="Y238">IFERROR(VLOOKUP($A238,'The List'!$B1:$AS671,32,FALSE)," ")</f>
        <v xml:space="preserve"> </v>
      </c>
      <c r="Z238" s="84" t="str" cm="1">
        <f t="array" ref="Z238">IFERROR(VLOOKUP($A238,'The List'!$B1:$AS671,33,FALSE)," ")</f>
        <v xml:space="preserve"> </v>
      </c>
      <c r="AA238" s="85"/>
      <c r="AB238" s="90"/>
      <c r="AC238" s="90"/>
      <c r="AD238" s="90"/>
      <c r="AE238" s="90"/>
      <c r="AF238" s="90"/>
    </row>
    <row r="239" spans="1:32" ht="21.25" customHeight="1" x14ac:dyDescent="0.15">
      <c r="A239" s="24"/>
      <c r="B239" s="93" t="str" cm="1">
        <f t="array" ref="B239">IFERROR(VLOOKUP($A239,'The List'!$B1:$AS671,3,FALSE)," ")</f>
        <v xml:space="preserve"> </v>
      </c>
      <c r="C239" s="95" t="str" cm="1">
        <f t="array" ref="C239">IFERROR(VLOOKUP($A239,'The List'!$B1:$AS671,4,FALSE)," ")</f>
        <v xml:space="preserve"> </v>
      </c>
      <c r="D239" s="18" t="str" cm="1">
        <f t="array" ref="D239">IFERROR(VLOOKUP($A239,'The List'!$B1:$AS671,5,FALSE)," ")</f>
        <v xml:space="preserve"> </v>
      </c>
      <c r="E239" s="18" t="str" cm="1">
        <f t="array" ref="E239">IFERROR(VLOOKUP($A239,'The List'!$B1:$AS671,6,FALSE)," ")</f>
        <v xml:space="preserve"> </v>
      </c>
      <c r="F239" s="92" t="str" cm="1">
        <f t="array" ref="F239">IFERROR(VLOOKUP($A239,'The List'!$B1:$AS671,8,FALSE)," ")</f>
        <v xml:space="preserve"> </v>
      </c>
      <c r="G239" s="92" t="str" cm="1">
        <f t="array" ref="G239">IFERROR(VLOOKUP($A239,'The List'!$B1:$AS671,10,FALSE)," ")</f>
        <v xml:space="preserve"> </v>
      </c>
      <c r="H239" s="55"/>
      <c r="I239" s="84" t="str" cm="1">
        <f t="array" ref="I239">IFERROR(VLOOKUP($A239,'The List'!$B1:$AS671,16,FALSE)," ")</f>
        <v xml:space="preserve"> </v>
      </c>
      <c r="J239" s="84" t="str" cm="1">
        <f t="array" ref="J239">IFERROR(VLOOKUP($A239,'The List'!$B1:$AS671,17,FALSE)," ")</f>
        <v xml:space="preserve"> </v>
      </c>
      <c r="K239" s="84" t="str" cm="1">
        <f t="array" ref="K239">IFERROR(VLOOKUP($A239,'The List'!$B1:$AS671,18,FALSE)," ")</f>
        <v xml:space="preserve"> </v>
      </c>
      <c r="L239" s="84" t="str" cm="1">
        <f t="array" ref="L239">IFERROR(VLOOKUP($A239,'The List'!$B1:$AS671,19,FALSE)," ")</f>
        <v xml:space="preserve"> </v>
      </c>
      <c r="M239" s="84" t="str" cm="1">
        <f t="array" ref="M239">IFERROR(VLOOKUP($A239,'The List'!$B1:$AS671,20,FALSE)," ")</f>
        <v xml:space="preserve"> </v>
      </c>
      <c r="N239" s="84" t="str" cm="1">
        <f t="array" ref="N239">IFERROR(VLOOKUP($A239,'The List'!$B1:$AS671,21,FALSE)," ")</f>
        <v xml:space="preserve"> </v>
      </c>
      <c r="O239" s="84" t="str" cm="1">
        <f t="array" ref="O239">IFERROR(VLOOKUP($A239,'The List'!$B1:$AS671,22,FALSE)," ")</f>
        <v xml:space="preserve"> </v>
      </c>
      <c r="P239" s="84" t="str" cm="1">
        <f t="array" ref="P239">IFERROR(VLOOKUP($A239,'The List'!$B1:$AS671,23,FALSE)," ")</f>
        <v xml:space="preserve"> </v>
      </c>
      <c r="Q239" s="84" t="str" cm="1">
        <f t="array" ref="Q239">IFERROR(VLOOKUP($A239,'The List'!$B1:$AS671,24,FALSE)," ")</f>
        <v xml:space="preserve"> </v>
      </c>
      <c r="R239" s="84" t="str" cm="1">
        <f t="array" ref="R239">IFERROR(VLOOKUP($A239,'The List'!$B1:$AS671,25,FALSE)," ")</f>
        <v xml:space="preserve"> </v>
      </c>
      <c r="S239" s="84" t="str" cm="1">
        <f t="array" ref="S239">IFERROR(VLOOKUP($A239,'The List'!$B1:$AS671,26,FALSE)," ")</f>
        <v xml:space="preserve"> </v>
      </c>
      <c r="T239" s="84" t="str" cm="1">
        <f t="array" ref="T239">IFERROR(VLOOKUP($A239,'The List'!$B1:$AS671,27,FALSE)," ")</f>
        <v xml:space="preserve"> </v>
      </c>
      <c r="U239" s="84" t="str" cm="1">
        <f t="array" ref="U239">IFERROR(VLOOKUP($A239,'The List'!$B1:$AS671,28,FALSE)," ")</f>
        <v xml:space="preserve"> </v>
      </c>
      <c r="V239" s="84" t="str" cm="1">
        <f t="array" ref="V239">IFERROR(VLOOKUP($A239,'The List'!$B1:$AS671,29,FALSE)," ")</f>
        <v xml:space="preserve"> </v>
      </c>
      <c r="W239" s="84" t="str" cm="1">
        <f t="array" ref="W239">IFERROR(VLOOKUP($A239,'The List'!$B1:$AS671,30,FALSE)," ")</f>
        <v xml:space="preserve"> </v>
      </c>
      <c r="X239" s="84" t="str" cm="1">
        <f t="array" ref="X239">IFERROR(VLOOKUP($A239,'The List'!$B1:$AS671,31,FALSE)," ")</f>
        <v xml:space="preserve"> </v>
      </c>
      <c r="Y239" s="84" t="str" cm="1">
        <f t="array" ref="Y239">IFERROR(VLOOKUP($A239,'The List'!$B1:$AS671,32,FALSE)," ")</f>
        <v xml:space="preserve"> </v>
      </c>
      <c r="Z239" s="84" t="str" cm="1">
        <f t="array" ref="Z239">IFERROR(VLOOKUP($A239,'The List'!$B1:$AS671,33,FALSE)," ")</f>
        <v xml:space="preserve"> </v>
      </c>
      <c r="AA239" s="85"/>
      <c r="AB239" s="90"/>
      <c r="AC239" s="90"/>
      <c r="AD239" s="90"/>
      <c r="AE239" s="90"/>
      <c r="AF239" s="90"/>
    </row>
    <row r="240" spans="1:32" ht="21.25" customHeight="1" x14ac:dyDescent="0.15">
      <c r="A240" s="24"/>
      <c r="B240" s="93" t="str" cm="1">
        <f t="array" ref="B240">IFERROR(VLOOKUP($A240,'The List'!$B1:$AS671,3,FALSE)," ")</f>
        <v xml:space="preserve"> </v>
      </c>
      <c r="C240" s="95" t="str" cm="1">
        <f t="array" ref="C240">IFERROR(VLOOKUP($A240,'The List'!$B1:$AS671,4,FALSE)," ")</f>
        <v xml:space="preserve"> </v>
      </c>
      <c r="D240" s="18" t="str" cm="1">
        <f t="array" ref="D240">IFERROR(VLOOKUP($A240,'The List'!$B1:$AS671,5,FALSE)," ")</f>
        <v xml:space="preserve"> </v>
      </c>
      <c r="E240" s="18" t="str" cm="1">
        <f t="array" ref="E240">IFERROR(VLOOKUP($A240,'The List'!$B1:$AS671,6,FALSE)," ")</f>
        <v xml:space="preserve"> </v>
      </c>
      <c r="F240" s="92" t="str" cm="1">
        <f t="array" ref="F240">IFERROR(VLOOKUP($A240,'The List'!$B1:$AS671,8,FALSE)," ")</f>
        <v xml:space="preserve"> </v>
      </c>
      <c r="G240" s="92" t="str" cm="1">
        <f t="array" ref="G240">IFERROR(VLOOKUP($A240,'The List'!$B1:$AS671,10,FALSE)," ")</f>
        <v xml:space="preserve"> </v>
      </c>
      <c r="H240" s="55"/>
      <c r="I240" s="84" t="str" cm="1">
        <f t="array" ref="I240">IFERROR(VLOOKUP($A240,'The List'!$B1:$AS671,16,FALSE)," ")</f>
        <v xml:space="preserve"> </v>
      </c>
      <c r="J240" s="84" t="str" cm="1">
        <f t="array" ref="J240">IFERROR(VLOOKUP($A240,'The List'!$B1:$AS671,17,FALSE)," ")</f>
        <v xml:space="preserve"> </v>
      </c>
      <c r="K240" s="84" t="str" cm="1">
        <f t="array" ref="K240">IFERROR(VLOOKUP($A240,'The List'!$B1:$AS671,18,FALSE)," ")</f>
        <v xml:space="preserve"> </v>
      </c>
      <c r="L240" s="84" t="str" cm="1">
        <f t="array" ref="L240">IFERROR(VLOOKUP($A240,'The List'!$B1:$AS671,19,FALSE)," ")</f>
        <v xml:space="preserve"> </v>
      </c>
      <c r="M240" s="84" t="str" cm="1">
        <f t="array" ref="M240">IFERROR(VLOOKUP($A240,'The List'!$B1:$AS671,20,FALSE)," ")</f>
        <v xml:space="preserve"> </v>
      </c>
      <c r="N240" s="84" t="str" cm="1">
        <f t="array" ref="N240">IFERROR(VLOOKUP($A240,'The List'!$B1:$AS671,21,FALSE)," ")</f>
        <v xml:space="preserve"> </v>
      </c>
      <c r="O240" s="84" t="str" cm="1">
        <f t="array" ref="O240">IFERROR(VLOOKUP($A240,'The List'!$B1:$AS671,22,FALSE)," ")</f>
        <v xml:space="preserve"> </v>
      </c>
      <c r="P240" s="84" t="str" cm="1">
        <f t="array" ref="P240">IFERROR(VLOOKUP($A240,'The List'!$B1:$AS671,23,FALSE)," ")</f>
        <v xml:space="preserve"> </v>
      </c>
      <c r="Q240" s="84" t="str" cm="1">
        <f t="array" ref="Q240">IFERROR(VLOOKUP($A240,'The List'!$B1:$AS671,24,FALSE)," ")</f>
        <v xml:space="preserve"> </v>
      </c>
      <c r="R240" s="84" t="str" cm="1">
        <f t="array" ref="R240">IFERROR(VLOOKUP($A240,'The List'!$B1:$AS671,25,FALSE)," ")</f>
        <v xml:space="preserve"> </v>
      </c>
      <c r="S240" s="84" t="str" cm="1">
        <f t="array" ref="S240">IFERROR(VLOOKUP($A240,'The List'!$B1:$AS671,26,FALSE)," ")</f>
        <v xml:space="preserve"> </v>
      </c>
      <c r="T240" s="84" t="str" cm="1">
        <f t="array" ref="T240">IFERROR(VLOOKUP($A240,'The List'!$B1:$AS671,27,FALSE)," ")</f>
        <v xml:space="preserve"> </v>
      </c>
      <c r="U240" s="84" t="str" cm="1">
        <f t="array" ref="U240">IFERROR(VLOOKUP($A240,'The List'!$B1:$AS671,28,FALSE)," ")</f>
        <v xml:space="preserve"> </v>
      </c>
      <c r="V240" s="84" t="str" cm="1">
        <f t="array" ref="V240">IFERROR(VLOOKUP($A240,'The List'!$B1:$AS671,29,FALSE)," ")</f>
        <v xml:space="preserve"> </v>
      </c>
      <c r="W240" s="84" t="str" cm="1">
        <f t="array" ref="W240">IFERROR(VLOOKUP($A240,'The List'!$B1:$AS671,30,FALSE)," ")</f>
        <v xml:space="preserve"> </v>
      </c>
      <c r="X240" s="84" t="str" cm="1">
        <f t="array" ref="X240">IFERROR(VLOOKUP($A240,'The List'!$B1:$AS671,31,FALSE)," ")</f>
        <v xml:space="preserve"> </v>
      </c>
      <c r="Y240" s="84" t="str" cm="1">
        <f t="array" ref="Y240">IFERROR(VLOOKUP($A240,'The List'!$B1:$AS671,32,FALSE)," ")</f>
        <v xml:space="preserve"> </v>
      </c>
      <c r="Z240" s="84" t="str" cm="1">
        <f t="array" ref="Z240">IFERROR(VLOOKUP($A240,'The List'!$B1:$AS671,33,FALSE)," ")</f>
        <v xml:space="preserve"> </v>
      </c>
      <c r="AA240" s="85"/>
      <c r="AB240" s="90"/>
      <c r="AC240" s="90"/>
      <c r="AD240" s="90"/>
      <c r="AE240" s="90"/>
      <c r="AF240" s="90"/>
    </row>
    <row r="241" spans="1:32" ht="21.25" customHeight="1" x14ac:dyDescent="0.15">
      <c r="A241" s="24"/>
      <c r="B241" s="93" t="str" cm="1">
        <f t="array" ref="B241">IFERROR(VLOOKUP($A241,'The List'!$B1:$AS671,3,FALSE)," ")</f>
        <v xml:space="preserve"> </v>
      </c>
      <c r="C241" s="95" t="str" cm="1">
        <f t="array" ref="C241">IFERROR(VLOOKUP($A241,'The List'!$B1:$AS671,4,FALSE)," ")</f>
        <v xml:space="preserve"> </v>
      </c>
      <c r="D241" s="18" t="str" cm="1">
        <f t="array" ref="D241">IFERROR(VLOOKUP($A241,'The List'!$B1:$AS671,5,FALSE)," ")</f>
        <v xml:space="preserve"> </v>
      </c>
      <c r="E241" s="18" t="str" cm="1">
        <f t="array" ref="E241">IFERROR(VLOOKUP($A241,'The List'!$B1:$AS671,6,FALSE)," ")</f>
        <v xml:space="preserve"> </v>
      </c>
      <c r="F241" s="92" t="str" cm="1">
        <f t="array" ref="F241">IFERROR(VLOOKUP($A241,'The List'!$B1:$AS671,8,FALSE)," ")</f>
        <v xml:space="preserve"> </v>
      </c>
      <c r="G241" s="92" t="str" cm="1">
        <f t="array" ref="G241">IFERROR(VLOOKUP($A241,'The List'!$B1:$AS671,10,FALSE)," ")</f>
        <v xml:space="preserve"> </v>
      </c>
      <c r="H241" s="55"/>
      <c r="I241" s="84" t="str" cm="1">
        <f t="array" ref="I241">IFERROR(VLOOKUP($A241,'The List'!$B1:$AS671,16,FALSE)," ")</f>
        <v xml:space="preserve"> </v>
      </c>
      <c r="J241" s="84" t="str" cm="1">
        <f t="array" ref="J241">IFERROR(VLOOKUP($A241,'The List'!$B1:$AS671,17,FALSE)," ")</f>
        <v xml:space="preserve"> </v>
      </c>
      <c r="K241" s="84" t="str" cm="1">
        <f t="array" ref="K241">IFERROR(VLOOKUP($A241,'The List'!$B1:$AS671,18,FALSE)," ")</f>
        <v xml:space="preserve"> </v>
      </c>
      <c r="L241" s="84" t="str" cm="1">
        <f t="array" ref="L241">IFERROR(VLOOKUP($A241,'The List'!$B1:$AS671,19,FALSE)," ")</f>
        <v xml:space="preserve"> </v>
      </c>
      <c r="M241" s="84" t="str" cm="1">
        <f t="array" ref="M241">IFERROR(VLOOKUP($A241,'The List'!$B1:$AS671,20,FALSE)," ")</f>
        <v xml:space="preserve"> </v>
      </c>
      <c r="N241" s="84" t="str" cm="1">
        <f t="array" ref="N241">IFERROR(VLOOKUP($A241,'The List'!$B1:$AS671,21,FALSE)," ")</f>
        <v xml:space="preserve"> </v>
      </c>
      <c r="O241" s="84" t="str" cm="1">
        <f t="array" ref="O241">IFERROR(VLOOKUP($A241,'The List'!$B1:$AS671,22,FALSE)," ")</f>
        <v xml:space="preserve"> </v>
      </c>
      <c r="P241" s="84" t="str" cm="1">
        <f t="array" ref="P241">IFERROR(VLOOKUP($A241,'The List'!$B1:$AS671,23,FALSE)," ")</f>
        <v xml:space="preserve"> </v>
      </c>
      <c r="Q241" s="84" t="str" cm="1">
        <f t="array" ref="Q241">IFERROR(VLOOKUP($A241,'The List'!$B1:$AS671,24,FALSE)," ")</f>
        <v xml:space="preserve"> </v>
      </c>
      <c r="R241" s="84" t="str" cm="1">
        <f t="array" ref="R241">IFERROR(VLOOKUP($A241,'The List'!$B1:$AS671,25,FALSE)," ")</f>
        <v xml:space="preserve"> </v>
      </c>
      <c r="S241" s="84" t="str" cm="1">
        <f t="array" ref="S241">IFERROR(VLOOKUP($A241,'The List'!$B1:$AS671,26,FALSE)," ")</f>
        <v xml:space="preserve"> </v>
      </c>
      <c r="T241" s="84" t="str" cm="1">
        <f t="array" ref="T241">IFERROR(VLOOKUP($A241,'The List'!$B1:$AS671,27,FALSE)," ")</f>
        <v xml:space="preserve"> </v>
      </c>
      <c r="U241" s="84" t="str" cm="1">
        <f t="array" ref="U241">IFERROR(VLOOKUP($A241,'The List'!$B1:$AS671,28,FALSE)," ")</f>
        <v xml:space="preserve"> </v>
      </c>
      <c r="V241" s="84" t="str" cm="1">
        <f t="array" ref="V241">IFERROR(VLOOKUP($A241,'The List'!$B1:$AS671,29,FALSE)," ")</f>
        <v xml:space="preserve"> </v>
      </c>
      <c r="W241" s="84" t="str" cm="1">
        <f t="array" ref="W241">IFERROR(VLOOKUP($A241,'The List'!$B1:$AS671,30,FALSE)," ")</f>
        <v xml:space="preserve"> </v>
      </c>
      <c r="X241" s="84" t="str" cm="1">
        <f t="array" ref="X241">IFERROR(VLOOKUP($A241,'The List'!$B1:$AS671,31,FALSE)," ")</f>
        <v xml:space="preserve"> </v>
      </c>
      <c r="Y241" s="84" t="str" cm="1">
        <f t="array" ref="Y241">IFERROR(VLOOKUP($A241,'The List'!$B1:$AS671,32,FALSE)," ")</f>
        <v xml:space="preserve"> </v>
      </c>
      <c r="Z241" s="84" t="str" cm="1">
        <f t="array" ref="Z241">IFERROR(VLOOKUP($A241,'The List'!$B1:$AS671,33,FALSE)," ")</f>
        <v xml:space="preserve"> </v>
      </c>
      <c r="AA241" s="85"/>
      <c r="AB241" s="90"/>
      <c r="AC241" s="90"/>
      <c r="AD241" s="90"/>
      <c r="AE241" s="90"/>
      <c r="AF241" s="90"/>
    </row>
    <row r="242" spans="1:32" ht="21.25" customHeight="1" x14ac:dyDescent="0.15">
      <c r="A242" s="24"/>
      <c r="B242" s="96" t="str" cm="1">
        <f t="array" ref="B242">IFERROR(VLOOKUP($A242,'The List'!$B1:$AS671,3,FALSE)," ")</f>
        <v xml:space="preserve"> </v>
      </c>
      <c r="C242" s="98" t="str" cm="1">
        <f t="array" ref="C242">IFERROR(VLOOKUP($A242,'The List'!$B1:$AS671,4,FALSE)," ")</f>
        <v xml:space="preserve"> </v>
      </c>
      <c r="D242" s="18" t="str" cm="1">
        <f t="array" ref="D242">IFERROR(VLOOKUP($A242,'The List'!$B1:$AS671,5,FALSE)," ")</f>
        <v xml:space="preserve"> </v>
      </c>
      <c r="E242" s="18" t="str" cm="1">
        <f t="array" ref="E242">IFERROR(VLOOKUP($A242,'The List'!$B1:$AS671,6,FALSE)," ")</f>
        <v xml:space="preserve"> </v>
      </c>
      <c r="F242" s="92" t="str" cm="1">
        <f t="array" ref="F242">IFERROR(VLOOKUP($A242,'The List'!$B1:$AS671,8,FALSE)," ")</f>
        <v xml:space="preserve"> </v>
      </c>
      <c r="G242" s="92" t="str" cm="1">
        <f t="array" ref="G242">IFERROR(VLOOKUP($A242,'The List'!$B1:$AS671,10,FALSE)," ")</f>
        <v xml:space="preserve"> </v>
      </c>
      <c r="H242" s="55"/>
      <c r="I242" s="84" t="str" cm="1">
        <f t="array" ref="I242">IFERROR(VLOOKUP($A242,'The List'!$B1:$AS671,16,FALSE)," ")</f>
        <v xml:space="preserve"> </v>
      </c>
      <c r="J242" s="84" t="str" cm="1">
        <f t="array" ref="J242">IFERROR(VLOOKUP($A242,'The List'!$B1:$AS671,17,FALSE)," ")</f>
        <v xml:space="preserve"> </v>
      </c>
      <c r="K242" s="84" t="str" cm="1">
        <f t="array" ref="K242">IFERROR(VLOOKUP($A242,'The List'!$B1:$AS671,18,FALSE)," ")</f>
        <v xml:space="preserve"> </v>
      </c>
      <c r="L242" s="84" t="str" cm="1">
        <f t="array" ref="L242">IFERROR(VLOOKUP($A242,'The List'!$B1:$AS671,19,FALSE)," ")</f>
        <v xml:space="preserve"> </v>
      </c>
      <c r="M242" s="84" t="str" cm="1">
        <f t="array" ref="M242">IFERROR(VLOOKUP($A242,'The List'!$B1:$AS671,20,FALSE)," ")</f>
        <v xml:space="preserve"> </v>
      </c>
      <c r="N242" s="84" t="str" cm="1">
        <f t="array" ref="N242">IFERROR(VLOOKUP($A242,'The List'!$B1:$AS671,21,FALSE)," ")</f>
        <v xml:space="preserve"> </v>
      </c>
      <c r="O242" s="84" t="str" cm="1">
        <f t="array" ref="O242">IFERROR(VLOOKUP($A242,'The List'!$B1:$AS671,22,FALSE)," ")</f>
        <v xml:space="preserve"> </v>
      </c>
      <c r="P242" s="84" t="str" cm="1">
        <f t="array" ref="P242">IFERROR(VLOOKUP($A242,'The List'!$B1:$AS671,23,FALSE)," ")</f>
        <v xml:space="preserve"> </v>
      </c>
      <c r="Q242" s="84" t="str" cm="1">
        <f t="array" ref="Q242">IFERROR(VLOOKUP($A242,'The List'!$B1:$AS671,24,FALSE)," ")</f>
        <v xml:space="preserve"> </v>
      </c>
      <c r="R242" s="84" t="str" cm="1">
        <f t="array" ref="R242">IFERROR(VLOOKUP($A242,'The List'!$B1:$AS671,25,FALSE)," ")</f>
        <v xml:space="preserve"> </v>
      </c>
      <c r="S242" s="84" t="str" cm="1">
        <f t="array" ref="S242">IFERROR(VLOOKUP($A242,'The List'!$B1:$AS671,26,FALSE)," ")</f>
        <v xml:space="preserve"> </v>
      </c>
      <c r="T242" s="84" t="str" cm="1">
        <f t="array" ref="T242">IFERROR(VLOOKUP($A242,'The List'!$B1:$AS671,27,FALSE)," ")</f>
        <v xml:space="preserve"> </v>
      </c>
      <c r="U242" s="84" t="str" cm="1">
        <f t="array" ref="U242">IFERROR(VLOOKUP($A242,'The List'!$B1:$AS671,28,FALSE)," ")</f>
        <v xml:space="preserve"> </v>
      </c>
      <c r="V242" s="84" t="str" cm="1">
        <f t="array" ref="V242">IFERROR(VLOOKUP($A242,'The List'!$B1:$AS671,29,FALSE)," ")</f>
        <v xml:space="preserve"> </v>
      </c>
      <c r="W242" s="84" t="str" cm="1">
        <f t="array" ref="W242">IFERROR(VLOOKUP($A242,'The List'!$B1:$AS671,30,FALSE)," ")</f>
        <v xml:space="preserve"> </v>
      </c>
      <c r="X242" s="84" t="str" cm="1">
        <f t="array" ref="X242">IFERROR(VLOOKUP($A242,'The List'!$B1:$AS671,31,FALSE)," ")</f>
        <v xml:space="preserve"> </v>
      </c>
      <c r="Y242" s="84" t="str" cm="1">
        <f t="array" ref="Y242">IFERROR(VLOOKUP($A242,'The List'!$B1:$AS671,32,FALSE)," ")</f>
        <v xml:space="preserve"> </v>
      </c>
      <c r="Z242" s="84" t="str" cm="1">
        <f t="array" ref="Z242">IFERROR(VLOOKUP($A242,'The List'!$B1:$AS671,33,FALSE)," ")</f>
        <v xml:space="preserve"> </v>
      </c>
      <c r="AA242" s="85"/>
      <c r="AB242" s="90"/>
      <c r="AC242" s="90"/>
      <c r="AD242" s="90"/>
      <c r="AE242" s="90"/>
      <c r="AF242" s="90"/>
    </row>
    <row r="243" spans="1:32" ht="21.25" customHeight="1" x14ac:dyDescent="0.15">
      <c r="A243" s="24"/>
      <c r="B243" s="96" t="str" cm="1">
        <f t="array" ref="B243">IFERROR(VLOOKUP($A243,'The List'!$B1:$AS671,3,FALSE)," ")</f>
        <v xml:space="preserve"> </v>
      </c>
      <c r="C243" s="98" t="str" cm="1">
        <f t="array" ref="C243">IFERROR(VLOOKUP($A243,'The List'!$B1:$AS671,4,FALSE)," ")</f>
        <v xml:space="preserve"> </v>
      </c>
      <c r="D243" s="18" t="str" cm="1">
        <f t="array" ref="D243">IFERROR(VLOOKUP($A243,'The List'!$B1:$AS671,5,FALSE)," ")</f>
        <v xml:space="preserve"> </v>
      </c>
      <c r="E243" s="18" t="str" cm="1">
        <f t="array" ref="E243">IFERROR(VLOOKUP($A243,'The List'!$B1:$AS671,6,FALSE)," ")</f>
        <v xml:space="preserve"> </v>
      </c>
      <c r="F243" s="92" t="str" cm="1">
        <f t="array" ref="F243">IFERROR(VLOOKUP($A243,'The List'!$B1:$AS671,8,FALSE)," ")</f>
        <v xml:space="preserve"> </v>
      </c>
      <c r="G243" s="92" t="str" cm="1">
        <f t="array" ref="G243">IFERROR(VLOOKUP($A243,'The List'!$B1:$AS671,10,FALSE)," ")</f>
        <v xml:space="preserve"> </v>
      </c>
      <c r="H243" s="55"/>
      <c r="I243" s="84" t="str" cm="1">
        <f t="array" ref="I243">IFERROR(VLOOKUP($A243,'The List'!$B1:$AS671,16,FALSE)," ")</f>
        <v xml:space="preserve"> </v>
      </c>
      <c r="J243" s="84" t="str" cm="1">
        <f t="array" ref="J243">IFERROR(VLOOKUP($A243,'The List'!$B1:$AS671,17,FALSE)," ")</f>
        <v xml:space="preserve"> </v>
      </c>
      <c r="K243" s="84" t="str" cm="1">
        <f t="array" ref="K243">IFERROR(VLOOKUP($A243,'The List'!$B1:$AS671,18,FALSE)," ")</f>
        <v xml:space="preserve"> </v>
      </c>
      <c r="L243" s="84" t="str" cm="1">
        <f t="array" ref="L243">IFERROR(VLOOKUP($A243,'The List'!$B1:$AS671,19,FALSE)," ")</f>
        <v xml:space="preserve"> </v>
      </c>
      <c r="M243" s="84" t="str" cm="1">
        <f t="array" ref="M243">IFERROR(VLOOKUP($A243,'The List'!$B1:$AS671,20,FALSE)," ")</f>
        <v xml:space="preserve"> </v>
      </c>
      <c r="N243" s="84" t="str" cm="1">
        <f t="array" ref="N243">IFERROR(VLOOKUP($A243,'The List'!$B1:$AS671,21,FALSE)," ")</f>
        <v xml:space="preserve"> </v>
      </c>
      <c r="O243" s="84" t="str" cm="1">
        <f t="array" ref="O243">IFERROR(VLOOKUP($A243,'The List'!$B1:$AS671,22,FALSE)," ")</f>
        <v xml:space="preserve"> </v>
      </c>
      <c r="P243" s="84" t="str" cm="1">
        <f t="array" ref="P243">IFERROR(VLOOKUP($A243,'The List'!$B1:$AS671,23,FALSE)," ")</f>
        <v xml:space="preserve"> </v>
      </c>
      <c r="Q243" s="84" t="str" cm="1">
        <f t="array" ref="Q243">IFERROR(VLOOKUP($A243,'The List'!$B1:$AS671,24,FALSE)," ")</f>
        <v xml:space="preserve"> </v>
      </c>
      <c r="R243" s="84" t="str" cm="1">
        <f t="array" ref="R243">IFERROR(VLOOKUP($A243,'The List'!$B1:$AS671,25,FALSE)," ")</f>
        <v xml:space="preserve"> </v>
      </c>
      <c r="S243" s="84" t="str" cm="1">
        <f t="array" ref="S243">IFERROR(VLOOKUP($A243,'The List'!$B1:$AS671,26,FALSE)," ")</f>
        <v xml:space="preserve"> </v>
      </c>
      <c r="T243" s="84" t="str" cm="1">
        <f t="array" ref="T243">IFERROR(VLOOKUP($A243,'The List'!$B1:$AS671,27,FALSE)," ")</f>
        <v xml:space="preserve"> </v>
      </c>
      <c r="U243" s="84" t="str" cm="1">
        <f t="array" ref="U243">IFERROR(VLOOKUP($A243,'The List'!$B1:$AS671,28,FALSE)," ")</f>
        <v xml:space="preserve"> </v>
      </c>
      <c r="V243" s="84" t="str" cm="1">
        <f t="array" ref="V243">IFERROR(VLOOKUP($A243,'The List'!$B1:$AS671,29,FALSE)," ")</f>
        <v xml:space="preserve"> </v>
      </c>
      <c r="W243" s="84" t="str" cm="1">
        <f t="array" ref="W243">IFERROR(VLOOKUP($A243,'The List'!$B1:$AS671,30,FALSE)," ")</f>
        <v xml:space="preserve"> </v>
      </c>
      <c r="X243" s="84" t="str" cm="1">
        <f t="array" ref="X243">IFERROR(VLOOKUP($A243,'The List'!$B1:$AS671,31,FALSE)," ")</f>
        <v xml:space="preserve"> </v>
      </c>
      <c r="Y243" s="84" t="str" cm="1">
        <f t="array" ref="Y243">IFERROR(VLOOKUP($A243,'The List'!$B1:$AS671,32,FALSE)," ")</f>
        <v xml:space="preserve"> </v>
      </c>
      <c r="Z243" s="84" t="str" cm="1">
        <f t="array" ref="Z243">IFERROR(VLOOKUP($A243,'The List'!$B1:$AS671,33,FALSE)," ")</f>
        <v xml:space="preserve"> </v>
      </c>
      <c r="AA243" s="85"/>
      <c r="AB243" s="90"/>
      <c r="AC243" s="90"/>
      <c r="AD243" s="90"/>
      <c r="AE243" s="90"/>
      <c r="AF243" s="90"/>
    </row>
    <row r="244" spans="1:32" ht="21.25" customHeight="1" x14ac:dyDescent="0.15">
      <c r="A244" s="24"/>
      <c r="B244" s="96" t="str" cm="1">
        <f t="array" ref="B244">IFERROR(VLOOKUP($A244,'The List'!$B1:$AS671,3,FALSE)," ")</f>
        <v xml:space="preserve"> </v>
      </c>
      <c r="C244" s="98" t="str" cm="1">
        <f t="array" ref="C244">IFERROR(VLOOKUP($A244,'The List'!$B1:$AS671,4,FALSE)," ")</f>
        <v xml:space="preserve"> </v>
      </c>
      <c r="D244" s="18" t="str" cm="1">
        <f t="array" ref="D244">IFERROR(VLOOKUP($A244,'The List'!$B1:$AS671,5,FALSE)," ")</f>
        <v xml:space="preserve"> </v>
      </c>
      <c r="E244" s="18" t="str" cm="1">
        <f t="array" ref="E244">IFERROR(VLOOKUP($A244,'The List'!$B1:$AS671,6,FALSE)," ")</f>
        <v xml:space="preserve"> </v>
      </c>
      <c r="F244" s="92" t="str" cm="1">
        <f t="array" ref="F244">IFERROR(VLOOKUP($A244,'The List'!$B1:$AS671,8,FALSE)," ")</f>
        <v xml:space="preserve"> </v>
      </c>
      <c r="G244" s="92" t="str" cm="1">
        <f t="array" ref="G244">IFERROR(VLOOKUP($A244,'The List'!$B1:$AS671,10,FALSE)," ")</f>
        <v xml:space="preserve"> </v>
      </c>
      <c r="H244" s="55"/>
      <c r="I244" s="84" t="str" cm="1">
        <f t="array" ref="I244">IFERROR(VLOOKUP($A244,'The List'!$B1:$AS671,16,FALSE)," ")</f>
        <v xml:space="preserve"> </v>
      </c>
      <c r="J244" s="84" t="str" cm="1">
        <f t="array" ref="J244">IFERROR(VLOOKUP($A244,'The List'!$B1:$AS671,17,FALSE)," ")</f>
        <v xml:space="preserve"> </v>
      </c>
      <c r="K244" s="84" t="str" cm="1">
        <f t="array" ref="K244">IFERROR(VLOOKUP($A244,'The List'!$B1:$AS671,18,FALSE)," ")</f>
        <v xml:space="preserve"> </v>
      </c>
      <c r="L244" s="84" t="str" cm="1">
        <f t="array" ref="L244">IFERROR(VLOOKUP($A244,'The List'!$B1:$AS671,19,FALSE)," ")</f>
        <v xml:space="preserve"> </v>
      </c>
      <c r="M244" s="84" t="str" cm="1">
        <f t="array" ref="M244">IFERROR(VLOOKUP($A244,'The List'!$B1:$AS671,20,FALSE)," ")</f>
        <v xml:space="preserve"> </v>
      </c>
      <c r="N244" s="84" t="str" cm="1">
        <f t="array" ref="N244">IFERROR(VLOOKUP($A244,'The List'!$B1:$AS671,21,FALSE)," ")</f>
        <v xml:space="preserve"> </v>
      </c>
      <c r="O244" s="84" t="str" cm="1">
        <f t="array" ref="O244">IFERROR(VLOOKUP($A244,'The List'!$B1:$AS671,22,FALSE)," ")</f>
        <v xml:space="preserve"> </v>
      </c>
      <c r="P244" s="84" t="str" cm="1">
        <f t="array" ref="P244">IFERROR(VLOOKUP($A244,'The List'!$B1:$AS671,23,FALSE)," ")</f>
        <v xml:space="preserve"> </v>
      </c>
      <c r="Q244" s="84" t="str" cm="1">
        <f t="array" ref="Q244">IFERROR(VLOOKUP($A244,'The List'!$B1:$AS671,24,FALSE)," ")</f>
        <v xml:space="preserve"> </v>
      </c>
      <c r="R244" s="84" t="str" cm="1">
        <f t="array" ref="R244">IFERROR(VLOOKUP($A244,'The List'!$B1:$AS671,25,FALSE)," ")</f>
        <v xml:space="preserve"> </v>
      </c>
      <c r="S244" s="84" t="str" cm="1">
        <f t="array" ref="S244">IFERROR(VLOOKUP($A244,'The List'!$B1:$AS671,26,FALSE)," ")</f>
        <v xml:space="preserve"> </v>
      </c>
      <c r="T244" s="84" t="str" cm="1">
        <f t="array" ref="T244">IFERROR(VLOOKUP($A244,'The List'!$B1:$AS671,27,FALSE)," ")</f>
        <v xml:space="preserve"> </v>
      </c>
      <c r="U244" s="84" t="str" cm="1">
        <f t="array" ref="U244">IFERROR(VLOOKUP($A244,'The List'!$B1:$AS671,28,FALSE)," ")</f>
        <v xml:space="preserve"> </v>
      </c>
      <c r="V244" s="84" t="str" cm="1">
        <f t="array" ref="V244">IFERROR(VLOOKUP($A244,'The List'!$B1:$AS671,29,FALSE)," ")</f>
        <v xml:space="preserve"> </v>
      </c>
      <c r="W244" s="84" t="str" cm="1">
        <f t="array" ref="W244">IFERROR(VLOOKUP($A244,'The List'!$B1:$AS671,30,FALSE)," ")</f>
        <v xml:space="preserve"> </v>
      </c>
      <c r="X244" s="84" t="str" cm="1">
        <f t="array" ref="X244">IFERROR(VLOOKUP($A244,'The List'!$B1:$AS671,31,FALSE)," ")</f>
        <v xml:space="preserve"> </v>
      </c>
      <c r="Y244" s="84" t="str" cm="1">
        <f t="array" ref="Y244">IFERROR(VLOOKUP($A244,'The List'!$B1:$AS671,32,FALSE)," ")</f>
        <v xml:space="preserve"> </v>
      </c>
      <c r="Z244" s="84" t="str" cm="1">
        <f t="array" ref="Z244">IFERROR(VLOOKUP($A244,'The List'!$B1:$AS671,33,FALSE)," ")</f>
        <v xml:space="preserve"> </v>
      </c>
      <c r="AA244" s="85"/>
      <c r="AB244" s="90"/>
      <c r="AC244" s="90"/>
      <c r="AD244" s="90"/>
      <c r="AE244" s="90"/>
      <c r="AF244" s="90"/>
    </row>
    <row r="245" spans="1:32" ht="21.25" customHeight="1" x14ac:dyDescent="0.15">
      <c r="A245" s="24"/>
      <c r="B245" s="96" t="str" cm="1">
        <f t="array" ref="B245">IFERROR(VLOOKUP($A245,'The List'!$B1:$AS671,3,FALSE)," ")</f>
        <v xml:space="preserve"> </v>
      </c>
      <c r="C245" s="98" t="str" cm="1">
        <f t="array" ref="C245">IFERROR(VLOOKUP($A245,'The List'!$B1:$AS671,4,FALSE)," ")</f>
        <v xml:space="preserve"> </v>
      </c>
      <c r="D245" s="18" t="str" cm="1">
        <f t="array" ref="D245">IFERROR(VLOOKUP($A245,'The List'!$B1:$AS671,5,FALSE)," ")</f>
        <v xml:space="preserve"> </v>
      </c>
      <c r="E245" s="18" t="str" cm="1">
        <f t="array" ref="E245">IFERROR(VLOOKUP($A245,'The List'!$B1:$AS671,6,FALSE)," ")</f>
        <v xml:space="preserve"> </v>
      </c>
      <c r="F245" s="92" t="str" cm="1">
        <f t="array" ref="F245">IFERROR(VLOOKUP($A245,'The List'!$B1:$AS671,8,FALSE)," ")</f>
        <v xml:space="preserve"> </v>
      </c>
      <c r="G245" s="92" t="str" cm="1">
        <f t="array" ref="G245">IFERROR(VLOOKUP($A245,'The List'!$B1:$AS671,10,FALSE)," ")</f>
        <v xml:space="preserve"> </v>
      </c>
      <c r="H245" s="55"/>
      <c r="I245" s="84" t="str" cm="1">
        <f t="array" ref="I245">IFERROR(VLOOKUP($A245,'The List'!$B1:$AS671,16,FALSE)," ")</f>
        <v xml:space="preserve"> </v>
      </c>
      <c r="J245" s="84" t="str" cm="1">
        <f t="array" ref="J245">IFERROR(VLOOKUP($A245,'The List'!$B1:$AS671,17,FALSE)," ")</f>
        <v xml:space="preserve"> </v>
      </c>
      <c r="K245" s="84" t="str" cm="1">
        <f t="array" ref="K245">IFERROR(VLOOKUP($A245,'The List'!$B1:$AS671,18,FALSE)," ")</f>
        <v xml:space="preserve"> </v>
      </c>
      <c r="L245" s="84" t="str" cm="1">
        <f t="array" ref="L245">IFERROR(VLOOKUP($A245,'The List'!$B1:$AS671,19,FALSE)," ")</f>
        <v xml:space="preserve"> </v>
      </c>
      <c r="M245" s="84" t="str" cm="1">
        <f t="array" ref="M245">IFERROR(VLOOKUP($A245,'The List'!$B1:$AS671,20,FALSE)," ")</f>
        <v xml:space="preserve"> </v>
      </c>
      <c r="N245" s="84" t="str" cm="1">
        <f t="array" ref="N245">IFERROR(VLOOKUP($A245,'The List'!$B1:$AS671,21,FALSE)," ")</f>
        <v xml:space="preserve"> </v>
      </c>
      <c r="O245" s="84" t="str" cm="1">
        <f t="array" ref="O245">IFERROR(VLOOKUP($A245,'The List'!$B1:$AS671,22,FALSE)," ")</f>
        <v xml:space="preserve"> </v>
      </c>
      <c r="P245" s="84" t="str" cm="1">
        <f t="array" ref="P245">IFERROR(VLOOKUP($A245,'The List'!$B1:$AS671,23,FALSE)," ")</f>
        <v xml:space="preserve"> </v>
      </c>
      <c r="Q245" s="84" t="str" cm="1">
        <f t="array" ref="Q245">IFERROR(VLOOKUP($A245,'The List'!$B1:$AS671,24,FALSE)," ")</f>
        <v xml:space="preserve"> </v>
      </c>
      <c r="R245" s="84" t="str" cm="1">
        <f t="array" ref="R245">IFERROR(VLOOKUP($A245,'The List'!$B1:$AS671,25,FALSE)," ")</f>
        <v xml:space="preserve"> </v>
      </c>
      <c r="S245" s="84" t="str" cm="1">
        <f t="array" ref="S245">IFERROR(VLOOKUP($A245,'The List'!$B1:$AS671,26,FALSE)," ")</f>
        <v xml:space="preserve"> </v>
      </c>
      <c r="T245" s="84" t="str" cm="1">
        <f t="array" ref="T245">IFERROR(VLOOKUP($A245,'The List'!$B1:$AS671,27,FALSE)," ")</f>
        <v xml:space="preserve"> </v>
      </c>
      <c r="U245" s="84" t="str" cm="1">
        <f t="array" ref="U245">IFERROR(VLOOKUP($A245,'The List'!$B1:$AS671,28,FALSE)," ")</f>
        <v xml:space="preserve"> </v>
      </c>
      <c r="V245" s="84" t="str" cm="1">
        <f t="array" ref="V245">IFERROR(VLOOKUP($A245,'The List'!$B1:$AS671,29,FALSE)," ")</f>
        <v xml:space="preserve"> </v>
      </c>
      <c r="W245" s="84" t="str" cm="1">
        <f t="array" ref="W245">IFERROR(VLOOKUP($A245,'The List'!$B1:$AS671,30,FALSE)," ")</f>
        <v xml:space="preserve"> </v>
      </c>
      <c r="X245" s="84" t="str" cm="1">
        <f t="array" ref="X245">IFERROR(VLOOKUP($A245,'The List'!$B1:$AS671,31,FALSE)," ")</f>
        <v xml:space="preserve"> </v>
      </c>
      <c r="Y245" s="84" t="str" cm="1">
        <f t="array" ref="Y245">IFERROR(VLOOKUP($A245,'The List'!$B1:$AS671,32,FALSE)," ")</f>
        <v xml:space="preserve"> </v>
      </c>
      <c r="Z245" s="84" t="str" cm="1">
        <f t="array" ref="Z245">IFERROR(VLOOKUP($A245,'The List'!$B1:$AS671,33,FALSE)," ")</f>
        <v xml:space="preserve"> </v>
      </c>
      <c r="AA245" s="85"/>
      <c r="AB245" s="90"/>
      <c r="AC245" s="90"/>
      <c r="AD245" s="90"/>
      <c r="AE245" s="90"/>
      <c r="AF245" s="90"/>
    </row>
    <row r="246" spans="1:32" ht="21.25" customHeight="1" x14ac:dyDescent="0.15">
      <c r="A246" s="24"/>
      <c r="B246" s="99" t="str" cm="1">
        <f t="array" ref="B246">IFERROR(VLOOKUP($A246,'The List'!$B1:$AS671,3,FALSE)," ")</f>
        <v xml:space="preserve"> </v>
      </c>
      <c r="C246" s="101" t="str" cm="1">
        <f t="array" ref="C246">IFERROR(VLOOKUP($A246,'The List'!$B1:$AS671,4,FALSE)," ")</f>
        <v xml:space="preserve"> </v>
      </c>
      <c r="D246" s="18" t="str" cm="1">
        <f t="array" ref="D246">IFERROR(VLOOKUP($A246,'The List'!$B1:$AS671,5,FALSE)," ")</f>
        <v xml:space="preserve"> </v>
      </c>
      <c r="E246" s="18" t="str" cm="1">
        <f t="array" ref="E246">IFERROR(VLOOKUP($A246,'The List'!$B1:$AS671,6,FALSE)," ")</f>
        <v xml:space="preserve"> </v>
      </c>
      <c r="F246" s="92" t="str" cm="1">
        <f t="array" ref="F246">IFERROR(VLOOKUP($A246,'The List'!$B1:$AS671,8,FALSE)," ")</f>
        <v xml:space="preserve"> </v>
      </c>
      <c r="G246" s="92" t="str" cm="1">
        <f t="array" ref="G246">IFERROR(VLOOKUP($A246,'The List'!$B1:$AS671,10,FALSE)," ")</f>
        <v xml:space="preserve"> </v>
      </c>
      <c r="H246" s="55"/>
      <c r="I246" s="84" t="str" cm="1">
        <f t="array" ref="I246">IFERROR(VLOOKUP($A246,'The List'!$B1:$AS671,16,FALSE)," ")</f>
        <v xml:space="preserve"> </v>
      </c>
      <c r="J246" s="84" t="str" cm="1">
        <f t="array" ref="J246">IFERROR(VLOOKUP($A246,'The List'!$B1:$AS671,17,FALSE)," ")</f>
        <v xml:space="preserve"> </v>
      </c>
      <c r="K246" s="84" t="str" cm="1">
        <f t="array" ref="K246">IFERROR(VLOOKUP($A246,'The List'!$B1:$AS671,18,FALSE)," ")</f>
        <v xml:space="preserve"> </v>
      </c>
      <c r="L246" s="84" t="str" cm="1">
        <f t="array" ref="L246">IFERROR(VLOOKUP($A246,'The List'!$B1:$AS671,19,FALSE)," ")</f>
        <v xml:space="preserve"> </v>
      </c>
      <c r="M246" s="84" t="str" cm="1">
        <f t="array" ref="M246">IFERROR(VLOOKUP($A246,'The List'!$B1:$AS671,20,FALSE)," ")</f>
        <v xml:space="preserve"> </v>
      </c>
      <c r="N246" s="84" t="str" cm="1">
        <f t="array" ref="N246">IFERROR(VLOOKUP($A246,'The List'!$B1:$AS671,21,FALSE)," ")</f>
        <v xml:space="preserve"> </v>
      </c>
      <c r="O246" s="84" t="str" cm="1">
        <f t="array" ref="O246">IFERROR(VLOOKUP($A246,'The List'!$B1:$AS671,22,FALSE)," ")</f>
        <v xml:space="preserve"> </v>
      </c>
      <c r="P246" s="84" t="str" cm="1">
        <f t="array" ref="P246">IFERROR(VLOOKUP($A246,'The List'!$B1:$AS671,23,FALSE)," ")</f>
        <v xml:space="preserve"> </v>
      </c>
      <c r="Q246" s="84" t="str" cm="1">
        <f t="array" ref="Q246">IFERROR(VLOOKUP($A246,'The List'!$B1:$AS671,24,FALSE)," ")</f>
        <v xml:space="preserve"> </v>
      </c>
      <c r="R246" s="84" t="str" cm="1">
        <f t="array" ref="R246">IFERROR(VLOOKUP($A246,'The List'!$B1:$AS671,25,FALSE)," ")</f>
        <v xml:space="preserve"> </v>
      </c>
      <c r="S246" s="84" t="str" cm="1">
        <f t="array" ref="S246">IFERROR(VLOOKUP($A246,'The List'!$B1:$AS671,26,FALSE)," ")</f>
        <v xml:space="preserve"> </v>
      </c>
      <c r="T246" s="84" t="str" cm="1">
        <f t="array" ref="T246">IFERROR(VLOOKUP($A246,'The List'!$B1:$AS671,27,FALSE)," ")</f>
        <v xml:space="preserve"> </v>
      </c>
      <c r="U246" s="84" t="str" cm="1">
        <f t="array" ref="U246">IFERROR(VLOOKUP($A246,'The List'!$B1:$AS671,28,FALSE)," ")</f>
        <v xml:space="preserve"> </v>
      </c>
      <c r="V246" s="84" t="str" cm="1">
        <f t="array" ref="V246">IFERROR(VLOOKUP($A246,'The List'!$B1:$AS671,29,FALSE)," ")</f>
        <v xml:space="preserve"> </v>
      </c>
      <c r="W246" s="84" t="str" cm="1">
        <f t="array" ref="W246">IFERROR(VLOOKUP($A246,'The List'!$B1:$AS671,30,FALSE)," ")</f>
        <v xml:space="preserve"> </v>
      </c>
      <c r="X246" s="84" t="str" cm="1">
        <f t="array" ref="X246">IFERROR(VLOOKUP($A246,'The List'!$B1:$AS671,31,FALSE)," ")</f>
        <v xml:space="preserve"> </v>
      </c>
      <c r="Y246" s="84" t="str" cm="1">
        <f t="array" ref="Y246">IFERROR(VLOOKUP($A246,'The List'!$B1:$AS671,32,FALSE)," ")</f>
        <v xml:space="preserve"> </v>
      </c>
      <c r="Z246" s="84" t="str" cm="1">
        <f t="array" ref="Z246">IFERROR(VLOOKUP($A246,'The List'!$B1:$AS671,33,FALSE)," ")</f>
        <v xml:space="preserve"> </v>
      </c>
      <c r="AA246" s="85"/>
      <c r="AB246" s="90"/>
      <c r="AC246" s="90"/>
      <c r="AD246" s="90"/>
      <c r="AE246" s="90"/>
      <c r="AF246" s="90"/>
    </row>
    <row r="247" spans="1:32" ht="21.25" customHeight="1" x14ac:dyDescent="0.15">
      <c r="A247" s="24"/>
      <c r="B247" s="99" t="str" cm="1">
        <f t="array" ref="B247">IFERROR(VLOOKUP($A247,'The List'!$B1:$AS671,3,FALSE)," ")</f>
        <v xml:space="preserve"> </v>
      </c>
      <c r="C247" s="101" t="str" cm="1">
        <f t="array" ref="C247">IFERROR(VLOOKUP($A247,'The List'!$B1:$AS671,4,FALSE)," ")</f>
        <v xml:space="preserve"> </v>
      </c>
      <c r="D247" s="18" t="str" cm="1">
        <f t="array" ref="D247">IFERROR(VLOOKUP($A247,'The List'!$B1:$AS671,5,FALSE)," ")</f>
        <v xml:space="preserve"> </v>
      </c>
      <c r="E247" s="18" t="str" cm="1">
        <f t="array" ref="E247">IFERROR(VLOOKUP($A247,'The List'!$B1:$AS671,6,FALSE)," ")</f>
        <v xml:space="preserve"> </v>
      </c>
      <c r="F247" s="92" t="str" cm="1">
        <f t="array" ref="F247">IFERROR(VLOOKUP($A247,'The List'!$B1:$AS671,8,FALSE)," ")</f>
        <v xml:space="preserve"> </v>
      </c>
      <c r="G247" s="92" t="str" cm="1">
        <f t="array" ref="G247">IFERROR(VLOOKUP($A247,'The List'!$B1:$AS671,10,FALSE)," ")</f>
        <v xml:space="preserve"> </v>
      </c>
      <c r="H247" s="55"/>
      <c r="I247" s="84" t="str" cm="1">
        <f t="array" ref="I247">IFERROR(VLOOKUP($A247,'The List'!$B1:$AS671,16,FALSE)," ")</f>
        <v xml:space="preserve"> </v>
      </c>
      <c r="J247" s="84" t="str" cm="1">
        <f t="array" ref="J247">IFERROR(VLOOKUP($A247,'The List'!$B1:$AS671,17,FALSE)," ")</f>
        <v xml:space="preserve"> </v>
      </c>
      <c r="K247" s="84" t="str" cm="1">
        <f t="array" ref="K247">IFERROR(VLOOKUP($A247,'The List'!$B1:$AS671,18,FALSE)," ")</f>
        <v xml:space="preserve"> </v>
      </c>
      <c r="L247" s="84" t="str" cm="1">
        <f t="array" ref="L247">IFERROR(VLOOKUP($A247,'The List'!$B1:$AS671,19,FALSE)," ")</f>
        <v xml:space="preserve"> </v>
      </c>
      <c r="M247" s="84" t="str" cm="1">
        <f t="array" ref="M247">IFERROR(VLOOKUP($A247,'The List'!$B1:$AS671,20,FALSE)," ")</f>
        <v xml:space="preserve"> </v>
      </c>
      <c r="N247" s="84" t="str" cm="1">
        <f t="array" ref="N247">IFERROR(VLOOKUP($A247,'The List'!$B1:$AS671,21,FALSE)," ")</f>
        <v xml:space="preserve"> </v>
      </c>
      <c r="O247" s="84" t="str" cm="1">
        <f t="array" ref="O247">IFERROR(VLOOKUP($A247,'The List'!$B1:$AS671,22,FALSE)," ")</f>
        <v xml:space="preserve"> </v>
      </c>
      <c r="P247" s="84" t="str" cm="1">
        <f t="array" ref="P247">IFERROR(VLOOKUP($A247,'The List'!$B1:$AS671,23,FALSE)," ")</f>
        <v xml:space="preserve"> </v>
      </c>
      <c r="Q247" s="84" t="str" cm="1">
        <f t="array" ref="Q247">IFERROR(VLOOKUP($A247,'The List'!$B1:$AS671,24,FALSE)," ")</f>
        <v xml:space="preserve"> </v>
      </c>
      <c r="R247" s="84" t="str" cm="1">
        <f t="array" ref="R247">IFERROR(VLOOKUP($A247,'The List'!$B1:$AS671,25,FALSE)," ")</f>
        <v xml:space="preserve"> </v>
      </c>
      <c r="S247" s="84" t="str" cm="1">
        <f t="array" ref="S247">IFERROR(VLOOKUP($A247,'The List'!$B1:$AS671,26,FALSE)," ")</f>
        <v xml:space="preserve"> </v>
      </c>
      <c r="T247" s="84" t="str" cm="1">
        <f t="array" ref="T247">IFERROR(VLOOKUP($A247,'The List'!$B1:$AS671,27,FALSE)," ")</f>
        <v xml:space="preserve"> </v>
      </c>
      <c r="U247" s="84" t="str" cm="1">
        <f t="array" ref="U247">IFERROR(VLOOKUP($A247,'The List'!$B1:$AS671,28,FALSE)," ")</f>
        <v xml:space="preserve"> </v>
      </c>
      <c r="V247" s="84" t="str" cm="1">
        <f t="array" ref="V247">IFERROR(VLOOKUP($A247,'The List'!$B1:$AS671,29,FALSE)," ")</f>
        <v xml:space="preserve"> </v>
      </c>
      <c r="W247" s="84" t="str" cm="1">
        <f t="array" ref="W247">IFERROR(VLOOKUP($A247,'The List'!$B1:$AS671,30,FALSE)," ")</f>
        <v xml:space="preserve"> </v>
      </c>
      <c r="X247" s="84" t="str" cm="1">
        <f t="array" ref="X247">IFERROR(VLOOKUP($A247,'The List'!$B1:$AS671,31,FALSE)," ")</f>
        <v xml:space="preserve"> </v>
      </c>
      <c r="Y247" s="84" t="str" cm="1">
        <f t="array" ref="Y247">IFERROR(VLOOKUP($A247,'The List'!$B1:$AS671,32,FALSE)," ")</f>
        <v xml:space="preserve"> </v>
      </c>
      <c r="Z247" s="84" t="str" cm="1">
        <f t="array" ref="Z247">IFERROR(VLOOKUP($A247,'The List'!$B1:$AS671,33,FALSE)," ")</f>
        <v xml:space="preserve"> </v>
      </c>
      <c r="AA247" s="85"/>
      <c r="AB247" s="90"/>
      <c r="AC247" s="90"/>
      <c r="AD247" s="90"/>
      <c r="AE247" s="90"/>
      <c r="AF247" s="90"/>
    </row>
    <row r="248" spans="1:32" ht="21.25" customHeight="1" x14ac:dyDescent="0.15">
      <c r="A248" s="24"/>
      <c r="B248" s="99" t="str" cm="1">
        <f t="array" ref="B248">IFERROR(VLOOKUP($A248,'The List'!$B1:$AS671,3,FALSE)," ")</f>
        <v xml:space="preserve"> </v>
      </c>
      <c r="C248" s="101" t="str" cm="1">
        <f t="array" ref="C248">IFERROR(VLOOKUP($A248,'The List'!$B1:$AS671,4,FALSE)," ")</f>
        <v xml:space="preserve"> </v>
      </c>
      <c r="D248" s="18" t="str" cm="1">
        <f t="array" ref="D248">IFERROR(VLOOKUP($A248,'The List'!$B1:$AS671,5,FALSE)," ")</f>
        <v xml:space="preserve"> </v>
      </c>
      <c r="E248" s="18" t="str" cm="1">
        <f t="array" ref="E248">IFERROR(VLOOKUP($A248,'The List'!$B1:$AS671,6,FALSE)," ")</f>
        <v xml:space="preserve"> </v>
      </c>
      <c r="F248" s="92" t="str" cm="1">
        <f t="array" ref="F248">IFERROR(VLOOKUP($A248,'The List'!$B1:$AS671,8,FALSE)," ")</f>
        <v xml:space="preserve"> </v>
      </c>
      <c r="G248" s="92" t="str" cm="1">
        <f t="array" ref="G248">IFERROR(VLOOKUP($A248,'The List'!$B1:$AS671,10,FALSE)," ")</f>
        <v xml:space="preserve"> </v>
      </c>
      <c r="H248" s="55"/>
      <c r="I248" s="84" t="str" cm="1">
        <f t="array" ref="I248">IFERROR(VLOOKUP($A248,'The List'!$B1:$AS671,16,FALSE)," ")</f>
        <v xml:space="preserve"> </v>
      </c>
      <c r="J248" s="84" t="str" cm="1">
        <f t="array" ref="J248">IFERROR(VLOOKUP($A248,'The List'!$B1:$AS671,17,FALSE)," ")</f>
        <v xml:space="preserve"> </v>
      </c>
      <c r="K248" s="84" t="str" cm="1">
        <f t="array" ref="K248">IFERROR(VLOOKUP($A248,'The List'!$B1:$AS671,18,FALSE)," ")</f>
        <v xml:space="preserve"> </v>
      </c>
      <c r="L248" s="84" t="str" cm="1">
        <f t="array" ref="L248">IFERROR(VLOOKUP($A248,'The List'!$B1:$AS671,19,FALSE)," ")</f>
        <v xml:space="preserve"> </v>
      </c>
      <c r="M248" s="84" t="str" cm="1">
        <f t="array" ref="M248">IFERROR(VLOOKUP($A248,'The List'!$B1:$AS671,20,FALSE)," ")</f>
        <v xml:space="preserve"> </v>
      </c>
      <c r="N248" s="84" t="str" cm="1">
        <f t="array" ref="N248">IFERROR(VLOOKUP($A248,'The List'!$B1:$AS671,21,FALSE)," ")</f>
        <v xml:space="preserve"> </v>
      </c>
      <c r="O248" s="84" t="str" cm="1">
        <f t="array" ref="O248">IFERROR(VLOOKUP($A248,'The List'!$B1:$AS671,22,FALSE)," ")</f>
        <v xml:space="preserve"> </v>
      </c>
      <c r="P248" s="84" t="str" cm="1">
        <f t="array" ref="P248">IFERROR(VLOOKUP($A248,'The List'!$B1:$AS671,23,FALSE)," ")</f>
        <v xml:space="preserve"> </v>
      </c>
      <c r="Q248" s="84" t="str" cm="1">
        <f t="array" ref="Q248">IFERROR(VLOOKUP($A248,'The List'!$B1:$AS671,24,FALSE)," ")</f>
        <v xml:space="preserve"> </v>
      </c>
      <c r="R248" s="84" t="str" cm="1">
        <f t="array" ref="R248">IFERROR(VLOOKUP($A248,'The List'!$B1:$AS671,25,FALSE)," ")</f>
        <v xml:space="preserve"> </v>
      </c>
      <c r="S248" s="84" t="str" cm="1">
        <f t="array" ref="S248">IFERROR(VLOOKUP($A248,'The List'!$B1:$AS671,26,FALSE)," ")</f>
        <v xml:space="preserve"> </v>
      </c>
      <c r="T248" s="84" t="str" cm="1">
        <f t="array" ref="T248">IFERROR(VLOOKUP($A248,'The List'!$B1:$AS671,27,FALSE)," ")</f>
        <v xml:space="preserve"> </v>
      </c>
      <c r="U248" s="84" t="str" cm="1">
        <f t="array" ref="U248">IFERROR(VLOOKUP($A248,'The List'!$B1:$AS671,28,FALSE)," ")</f>
        <v xml:space="preserve"> </v>
      </c>
      <c r="V248" s="84" t="str" cm="1">
        <f t="array" ref="V248">IFERROR(VLOOKUP($A248,'The List'!$B1:$AS671,29,FALSE)," ")</f>
        <v xml:space="preserve"> </v>
      </c>
      <c r="W248" s="84" t="str" cm="1">
        <f t="array" ref="W248">IFERROR(VLOOKUP($A248,'The List'!$B1:$AS671,30,FALSE)," ")</f>
        <v xml:space="preserve"> </v>
      </c>
      <c r="X248" s="84" t="str" cm="1">
        <f t="array" ref="X248">IFERROR(VLOOKUP($A248,'The List'!$B1:$AS671,31,FALSE)," ")</f>
        <v xml:space="preserve"> </v>
      </c>
      <c r="Y248" s="84" t="str" cm="1">
        <f t="array" ref="Y248">IFERROR(VLOOKUP($A248,'The List'!$B1:$AS671,32,FALSE)," ")</f>
        <v xml:space="preserve"> </v>
      </c>
      <c r="Z248" s="84" t="str" cm="1">
        <f t="array" ref="Z248">IFERROR(VLOOKUP($A248,'The List'!$B1:$AS671,33,FALSE)," ")</f>
        <v xml:space="preserve"> </v>
      </c>
      <c r="AA248" s="85"/>
      <c r="AB248" s="90"/>
      <c r="AC248" s="90"/>
      <c r="AD248" s="90"/>
      <c r="AE248" s="90"/>
      <c r="AF248" s="90"/>
    </row>
    <row r="249" spans="1:32" ht="21.25" customHeight="1" x14ac:dyDescent="0.15">
      <c r="A249" s="24"/>
      <c r="B249" s="99" t="str" cm="1">
        <f t="array" ref="B249">IFERROR(VLOOKUP($A249,'The List'!$B1:$AS671,3,FALSE)," ")</f>
        <v xml:space="preserve"> </v>
      </c>
      <c r="C249" s="101" t="str" cm="1">
        <f t="array" ref="C249">IFERROR(VLOOKUP($A249,'The List'!$B1:$AS671,4,FALSE)," ")</f>
        <v xml:space="preserve"> </v>
      </c>
      <c r="D249" s="18" t="str" cm="1">
        <f t="array" ref="D249">IFERROR(VLOOKUP($A249,'The List'!$B1:$AS671,5,FALSE)," ")</f>
        <v xml:space="preserve"> </v>
      </c>
      <c r="E249" s="18" t="str" cm="1">
        <f t="array" ref="E249">IFERROR(VLOOKUP($A249,'The List'!$B1:$AS671,6,FALSE)," ")</f>
        <v xml:space="preserve"> </v>
      </c>
      <c r="F249" s="92" t="str" cm="1">
        <f t="array" ref="F249">IFERROR(VLOOKUP($A249,'The List'!$B1:$AS671,8,FALSE)," ")</f>
        <v xml:space="preserve"> </v>
      </c>
      <c r="G249" s="92" t="str" cm="1">
        <f t="array" ref="G249">IFERROR(VLOOKUP($A249,'The List'!$B1:$AS671,10,FALSE)," ")</f>
        <v xml:space="preserve"> </v>
      </c>
      <c r="H249" s="55"/>
      <c r="I249" s="84" t="str" cm="1">
        <f t="array" ref="I249">IFERROR(VLOOKUP($A249,'The List'!$B1:$AS671,16,FALSE)," ")</f>
        <v xml:space="preserve"> </v>
      </c>
      <c r="J249" s="84" t="str" cm="1">
        <f t="array" ref="J249">IFERROR(VLOOKUP($A249,'The List'!$B1:$AS671,17,FALSE)," ")</f>
        <v xml:space="preserve"> </v>
      </c>
      <c r="K249" s="84" t="str" cm="1">
        <f t="array" ref="K249">IFERROR(VLOOKUP($A249,'The List'!$B1:$AS671,18,FALSE)," ")</f>
        <v xml:space="preserve"> </v>
      </c>
      <c r="L249" s="84" t="str" cm="1">
        <f t="array" ref="L249">IFERROR(VLOOKUP($A249,'The List'!$B1:$AS671,19,FALSE)," ")</f>
        <v xml:space="preserve"> </v>
      </c>
      <c r="M249" s="84" t="str" cm="1">
        <f t="array" ref="M249">IFERROR(VLOOKUP($A249,'The List'!$B1:$AS671,20,FALSE)," ")</f>
        <v xml:space="preserve"> </v>
      </c>
      <c r="N249" s="84" t="str" cm="1">
        <f t="array" ref="N249">IFERROR(VLOOKUP($A249,'The List'!$B1:$AS671,21,FALSE)," ")</f>
        <v xml:space="preserve"> </v>
      </c>
      <c r="O249" s="84" t="str" cm="1">
        <f t="array" ref="O249">IFERROR(VLOOKUP($A249,'The List'!$B1:$AS671,22,FALSE)," ")</f>
        <v xml:space="preserve"> </v>
      </c>
      <c r="P249" s="84" t="str" cm="1">
        <f t="array" ref="P249">IFERROR(VLOOKUP($A249,'The List'!$B1:$AS671,23,FALSE)," ")</f>
        <v xml:space="preserve"> </v>
      </c>
      <c r="Q249" s="84" t="str" cm="1">
        <f t="array" ref="Q249">IFERROR(VLOOKUP($A249,'The List'!$B1:$AS671,24,FALSE)," ")</f>
        <v xml:space="preserve"> </v>
      </c>
      <c r="R249" s="84" t="str" cm="1">
        <f t="array" ref="R249">IFERROR(VLOOKUP($A249,'The List'!$B1:$AS671,25,FALSE)," ")</f>
        <v xml:space="preserve"> </v>
      </c>
      <c r="S249" s="84" t="str" cm="1">
        <f t="array" ref="S249">IFERROR(VLOOKUP($A249,'The List'!$B1:$AS671,26,FALSE)," ")</f>
        <v xml:space="preserve"> </v>
      </c>
      <c r="T249" s="84" t="str" cm="1">
        <f t="array" ref="T249">IFERROR(VLOOKUP($A249,'The List'!$B1:$AS671,27,FALSE)," ")</f>
        <v xml:space="preserve"> </v>
      </c>
      <c r="U249" s="84" t="str" cm="1">
        <f t="array" ref="U249">IFERROR(VLOOKUP($A249,'The List'!$B1:$AS671,28,FALSE)," ")</f>
        <v xml:space="preserve"> </v>
      </c>
      <c r="V249" s="84" t="str" cm="1">
        <f t="array" ref="V249">IFERROR(VLOOKUP($A249,'The List'!$B1:$AS671,29,FALSE)," ")</f>
        <v xml:space="preserve"> </v>
      </c>
      <c r="W249" s="84" t="str" cm="1">
        <f t="array" ref="W249">IFERROR(VLOOKUP($A249,'The List'!$B1:$AS671,30,FALSE)," ")</f>
        <v xml:space="preserve"> </v>
      </c>
      <c r="X249" s="84" t="str" cm="1">
        <f t="array" ref="X249">IFERROR(VLOOKUP($A249,'The List'!$B1:$AS671,31,FALSE)," ")</f>
        <v xml:space="preserve"> </v>
      </c>
      <c r="Y249" s="84" t="str" cm="1">
        <f t="array" ref="Y249">IFERROR(VLOOKUP($A249,'The List'!$B1:$AS671,32,FALSE)," ")</f>
        <v xml:space="preserve"> </v>
      </c>
      <c r="Z249" s="84" t="str" cm="1">
        <f t="array" ref="Z249">IFERROR(VLOOKUP($A249,'The List'!$B1:$AS671,33,FALSE)," ")</f>
        <v xml:space="preserve"> </v>
      </c>
      <c r="AA249" s="85"/>
      <c r="AB249" s="90"/>
      <c r="AC249" s="90"/>
      <c r="AD249" s="90"/>
      <c r="AE249" s="90"/>
      <c r="AF249" s="90"/>
    </row>
    <row r="250" spans="1:32" ht="21.25" customHeight="1" x14ac:dyDescent="0.15">
      <c r="A250" s="24"/>
      <c r="B250" s="99" t="str" cm="1">
        <f t="array" ref="B250">IFERROR(VLOOKUP($A250,'The List'!$B1:$AS671,3,FALSE)," ")</f>
        <v xml:space="preserve"> </v>
      </c>
      <c r="C250" s="101" t="str" cm="1">
        <f t="array" ref="C250">IFERROR(VLOOKUP($A250,'The List'!$B1:$AS671,4,FALSE)," ")</f>
        <v xml:space="preserve"> </v>
      </c>
      <c r="D250" s="18" t="str" cm="1">
        <f t="array" ref="D250">IFERROR(VLOOKUP($A250,'The List'!$B1:$AS671,5,FALSE)," ")</f>
        <v xml:space="preserve"> </v>
      </c>
      <c r="E250" s="18" t="str" cm="1">
        <f t="array" ref="E250">IFERROR(VLOOKUP($A250,'The List'!$B1:$AS671,6,FALSE)," ")</f>
        <v xml:space="preserve"> </v>
      </c>
      <c r="F250" s="92" t="str" cm="1">
        <f t="array" ref="F250">IFERROR(VLOOKUP($A250,'The List'!$B1:$AS671,8,FALSE)," ")</f>
        <v xml:space="preserve"> </v>
      </c>
      <c r="G250" s="92" t="str" cm="1">
        <f t="array" ref="G250">IFERROR(VLOOKUP($A250,'The List'!$B1:$AS671,10,FALSE)," ")</f>
        <v xml:space="preserve"> </v>
      </c>
      <c r="H250" s="55"/>
      <c r="I250" s="84" t="str" cm="1">
        <f t="array" ref="I250">IFERROR(VLOOKUP($A250,'The List'!$B1:$AS671,16,FALSE)," ")</f>
        <v xml:space="preserve"> </v>
      </c>
      <c r="J250" s="84" t="str" cm="1">
        <f t="array" ref="J250">IFERROR(VLOOKUP($A250,'The List'!$B1:$AS671,17,FALSE)," ")</f>
        <v xml:space="preserve"> </v>
      </c>
      <c r="K250" s="84" t="str" cm="1">
        <f t="array" ref="K250">IFERROR(VLOOKUP($A250,'The List'!$B1:$AS671,18,FALSE)," ")</f>
        <v xml:space="preserve"> </v>
      </c>
      <c r="L250" s="84" t="str" cm="1">
        <f t="array" ref="L250">IFERROR(VLOOKUP($A250,'The List'!$B1:$AS671,19,FALSE)," ")</f>
        <v xml:space="preserve"> </v>
      </c>
      <c r="M250" s="84" t="str" cm="1">
        <f t="array" ref="M250">IFERROR(VLOOKUP($A250,'The List'!$B1:$AS671,20,FALSE)," ")</f>
        <v xml:space="preserve"> </v>
      </c>
      <c r="N250" s="84" t="str" cm="1">
        <f t="array" ref="N250">IFERROR(VLOOKUP($A250,'The List'!$B1:$AS671,21,FALSE)," ")</f>
        <v xml:space="preserve"> </v>
      </c>
      <c r="O250" s="84" t="str" cm="1">
        <f t="array" ref="O250">IFERROR(VLOOKUP($A250,'The List'!$B1:$AS671,22,FALSE)," ")</f>
        <v xml:space="preserve"> </v>
      </c>
      <c r="P250" s="84" t="str" cm="1">
        <f t="array" ref="P250">IFERROR(VLOOKUP($A250,'The List'!$B1:$AS671,23,FALSE)," ")</f>
        <v xml:space="preserve"> </v>
      </c>
      <c r="Q250" s="84" t="str" cm="1">
        <f t="array" ref="Q250">IFERROR(VLOOKUP($A250,'The List'!$B1:$AS671,24,FALSE)," ")</f>
        <v xml:space="preserve"> </v>
      </c>
      <c r="R250" s="84" t="str" cm="1">
        <f t="array" ref="R250">IFERROR(VLOOKUP($A250,'The List'!$B1:$AS671,25,FALSE)," ")</f>
        <v xml:space="preserve"> </v>
      </c>
      <c r="S250" s="84" t="str" cm="1">
        <f t="array" ref="S250">IFERROR(VLOOKUP($A250,'The List'!$B1:$AS671,26,FALSE)," ")</f>
        <v xml:space="preserve"> </v>
      </c>
      <c r="T250" s="84" t="str" cm="1">
        <f t="array" ref="T250">IFERROR(VLOOKUP($A250,'The List'!$B1:$AS671,27,FALSE)," ")</f>
        <v xml:space="preserve"> </v>
      </c>
      <c r="U250" s="84" t="str" cm="1">
        <f t="array" ref="U250">IFERROR(VLOOKUP($A250,'The List'!$B1:$AS671,28,FALSE)," ")</f>
        <v xml:space="preserve"> </v>
      </c>
      <c r="V250" s="84" t="str" cm="1">
        <f t="array" ref="V250">IFERROR(VLOOKUP($A250,'The List'!$B1:$AS671,29,FALSE)," ")</f>
        <v xml:space="preserve"> </v>
      </c>
      <c r="W250" s="84" t="str" cm="1">
        <f t="array" ref="W250">IFERROR(VLOOKUP($A250,'The List'!$B1:$AS671,30,FALSE)," ")</f>
        <v xml:space="preserve"> </v>
      </c>
      <c r="X250" s="84" t="str" cm="1">
        <f t="array" ref="X250">IFERROR(VLOOKUP($A250,'The List'!$B1:$AS671,31,FALSE)," ")</f>
        <v xml:space="preserve"> </v>
      </c>
      <c r="Y250" s="84" t="str" cm="1">
        <f t="array" ref="Y250">IFERROR(VLOOKUP($A250,'The List'!$B1:$AS671,32,FALSE)," ")</f>
        <v xml:space="preserve"> </v>
      </c>
      <c r="Z250" s="84" t="str" cm="1">
        <f t="array" ref="Z250">IFERROR(VLOOKUP($A250,'The List'!$B1:$AS671,33,FALSE)," ")</f>
        <v xml:space="preserve"> </v>
      </c>
      <c r="AA250" s="85"/>
      <c r="AB250" s="90"/>
      <c r="AC250" s="90"/>
      <c r="AD250" s="90"/>
      <c r="AE250" s="90"/>
      <c r="AF250" s="90"/>
    </row>
    <row r="251" spans="1:32" ht="21.25" customHeight="1" x14ac:dyDescent="0.15">
      <c r="A251" s="24"/>
      <c r="B251" s="99" t="str" cm="1">
        <f t="array" ref="B251">IFERROR(VLOOKUP($A251,'The List'!$B1:$AS671,3,FALSE)," ")</f>
        <v xml:space="preserve"> </v>
      </c>
      <c r="C251" s="101" t="str" cm="1">
        <f t="array" ref="C251">IFERROR(VLOOKUP($A251,'The List'!$B1:$AS671,4,FALSE)," ")</f>
        <v xml:space="preserve"> </v>
      </c>
      <c r="D251" s="18" t="str" cm="1">
        <f t="array" ref="D251">IFERROR(VLOOKUP($A251,'The List'!$B1:$AS671,5,FALSE)," ")</f>
        <v xml:space="preserve"> </v>
      </c>
      <c r="E251" s="18" t="str" cm="1">
        <f t="array" ref="E251">IFERROR(VLOOKUP($A251,'The List'!$B1:$AS671,6,FALSE)," ")</f>
        <v xml:space="preserve"> </v>
      </c>
      <c r="F251" s="92" t="str" cm="1">
        <f t="array" ref="F251">IFERROR(VLOOKUP($A251,'The List'!$B1:$AS671,8,FALSE)," ")</f>
        <v xml:space="preserve"> </v>
      </c>
      <c r="G251" s="92" t="str" cm="1">
        <f t="array" ref="G251">IFERROR(VLOOKUP($A251,'The List'!$B1:$AS671,10,FALSE)," ")</f>
        <v xml:space="preserve"> </v>
      </c>
      <c r="H251" s="55"/>
      <c r="I251" s="84" t="str" cm="1">
        <f t="array" ref="I251">IFERROR(VLOOKUP($A251,'The List'!$B1:$AS671,16,FALSE)," ")</f>
        <v xml:space="preserve"> </v>
      </c>
      <c r="J251" s="84" t="str" cm="1">
        <f t="array" ref="J251">IFERROR(VLOOKUP($A251,'The List'!$B1:$AS671,17,FALSE)," ")</f>
        <v xml:space="preserve"> </v>
      </c>
      <c r="K251" s="84" t="str" cm="1">
        <f t="array" ref="K251">IFERROR(VLOOKUP($A251,'The List'!$B1:$AS671,18,FALSE)," ")</f>
        <v xml:space="preserve"> </v>
      </c>
      <c r="L251" s="84" t="str" cm="1">
        <f t="array" ref="L251">IFERROR(VLOOKUP($A251,'The List'!$B1:$AS671,19,FALSE)," ")</f>
        <v xml:space="preserve"> </v>
      </c>
      <c r="M251" s="84" t="str" cm="1">
        <f t="array" ref="M251">IFERROR(VLOOKUP($A251,'The List'!$B1:$AS671,20,FALSE)," ")</f>
        <v xml:space="preserve"> </v>
      </c>
      <c r="N251" s="84" t="str" cm="1">
        <f t="array" ref="N251">IFERROR(VLOOKUP($A251,'The List'!$B1:$AS671,21,FALSE)," ")</f>
        <v xml:space="preserve"> </v>
      </c>
      <c r="O251" s="84" t="str" cm="1">
        <f t="array" ref="O251">IFERROR(VLOOKUP($A251,'The List'!$B1:$AS671,22,FALSE)," ")</f>
        <v xml:space="preserve"> </v>
      </c>
      <c r="P251" s="84" t="str" cm="1">
        <f t="array" ref="P251">IFERROR(VLOOKUP($A251,'The List'!$B1:$AS671,23,FALSE)," ")</f>
        <v xml:space="preserve"> </v>
      </c>
      <c r="Q251" s="84" t="str" cm="1">
        <f t="array" ref="Q251">IFERROR(VLOOKUP($A251,'The List'!$B1:$AS671,24,FALSE)," ")</f>
        <v xml:space="preserve"> </v>
      </c>
      <c r="R251" s="84" t="str" cm="1">
        <f t="array" ref="R251">IFERROR(VLOOKUP($A251,'The List'!$B1:$AS671,25,FALSE)," ")</f>
        <v xml:space="preserve"> </v>
      </c>
      <c r="S251" s="84" t="str" cm="1">
        <f t="array" ref="S251">IFERROR(VLOOKUP($A251,'The List'!$B1:$AS671,26,FALSE)," ")</f>
        <v xml:space="preserve"> </v>
      </c>
      <c r="T251" s="84" t="str" cm="1">
        <f t="array" ref="T251">IFERROR(VLOOKUP($A251,'The List'!$B1:$AS671,27,FALSE)," ")</f>
        <v xml:space="preserve"> </v>
      </c>
      <c r="U251" s="84" t="str" cm="1">
        <f t="array" ref="U251">IFERROR(VLOOKUP($A251,'The List'!$B1:$AS671,28,FALSE)," ")</f>
        <v xml:space="preserve"> </v>
      </c>
      <c r="V251" s="84" t="str" cm="1">
        <f t="array" ref="V251">IFERROR(VLOOKUP($A251,'The List'!$B1:$AS671,29,FALSE)," ")</f>
        <v xml:space="preserve"> </v>
      </c>
      <c r="W251" s="84" t="str" cm="1">
        <f t="array" ref="W251">IFERROR(VLOOKUP($A251,'The List'!$B1:$AS671,30,FALSE)," ")</f>
        <v xml:space="preserve"> </v>
      </c>
      <c r="X251" s="84" t="str" cm="1">
        <f t="array" ref="X251">IFERROR(VLOOKUP($A251,'The List'!$B1:$AS671,31,FALSE)," ")</f>
        <v xml:space="preserve"> </v>
      </c>
      <c r="Y251" s="84" t="str" cm="1">
        <f t="array" ref="Y251">IFERROR(VLOOKUP($A251,'The List'!$B1:$AS671,32,FALSE)," ")</f>
        <v xml:space="preserve"> </v>
      </c>
      <c r="Z251" s="84" t="str" cm="1">
        <f t="array" ref="Z251">IFERROR(VLOOKUP($A251,'The List'!$B1:$AS671,33,FALSE)," ")</f>
        <v xml:space="preserve"> </v>
      </c>
      <c r="AA251" s="85"/>
      <c r="AB251" s="90"/>
      <c r="AC251" s="90"/>
      <c r="AD251" s="90"/>
      <c r="AE251" s="90"/>
      <c r="AF251" s="90"/>
    </row>
    <row r="252" spans="1:32" ht="21.25" customHeight="1" x14ac:dyDescent="0.15">
      <c r="A252" s="24"/>
      <c r="B252" s="99" t="str" cm="1">
        <f t="array" ref="B252">IFERROR(VLOOKUP($A252,'The List'!$B1:$AS671,3,FALSE)," ")</f>
        <v xml:space="preserve"> </v>
      </c>
      <c r="C252" s="101" t="str" cm="1">
        <f t="array" ref="C252">IFERROR(VLOOKUP($A252,'The List'!$B1:$AS671,4,FALSE)," ")</f>
        <v xml:space="preserve"> </v>
      </c>
      <c r="D252" s="18" t="str" cm="1">
        <f t="array" ref="D252">IFERROR(VLOOKUP($A252,'The List'!$B1:$AS671,5,FALSE)," ")</f>
        <v xml:space="preserve"> </v>
      </c>
      <c r="E252" s="18" t="str" cm="1">
        <f t="array" ref="E252">IFERROR(VLOOKUP($A252,'The List'!$B1:$AS671,6,FALSE)," ")</f>
        <v xml:space="preserve"> </v>
      </c>
      <c r="F252" s="92" t="str" cm="1">
        <f t="array" ref="F252">IFERROR(VLOOKUP($A252,'The List'!$B1:$AS671,8,FALSE)," ")</f>
        <v xml:space="preserve"> </v>
      </c>
      <c r="G252" s="92" t="str" cm="1">
        <f t="array" ref="G252">IFERROR(VLOOKUP($A252,'The List'!$B1:$AS671,10,FALSE)," ")</f>
        <v xml:space="preserve"> </v>
      </c>
      <c r="H252" s="55"/>
      <c r="I252" s="84" t="str" cm="1">
        <f t="array" ref="I252">IFERROR(VLOOKUP($A252,'The List'!$B1:$AS671,16,FALSE)," ")</f>
        <v xml:space="preserve"> </v>
      </c>
      <c r="J252" s="84" t="str" cm="1">
        <f t="array" ref="J252">IFERROR(VLOOKUP($A252,'The List'!$B1:$AS671,17,FALSE)," ")</f>
        <v xml:space="preserve"> </v>
      </c>
      <c r="K252" s="84" t="str" cm="1">
        <f t="array" ref="K252">IFERROR(VLOOKUP($A252,'The List'!$B1:$AS671,18,FALSE)," ")</f>
        <v xml:space="preserve"> </v>
      </c>
      <c r="L252" s="84" t="str" cm="1">
        <f t="array" ref="L252">IFERROR(VLOOKUP($A252,'The List'!$B1:$AS671,19,FALSE)," ")</f>
        <v xml:space="preserve"> </v>
      </c>
      <c r="M252" s="84" t="str" cm="1">
        <f t="array" ref="M252">IFERROR(VLOOKUP($A252,'The List'!$B1:$AS671,20,FALSE)," ")</f>
        <v xml:space="preserve"> </v>
      </c>
      <c r="N252" s="84" t="str" cm="1">
        <f t="array" ref="N252">IFERROR(VLOOKUP($A252,'The List'!$B1:$AS671,21,FALSE)," ")</f>
        <v xml:space="preserve"> </v>
      </c>
      <c r="O252" s="84" t="str" cm="1">
        <f t="array" ref="O252">IFERROR(VLOOKUP($A252,'The List'!$B1:$AS671,22,FALSE)," ")</f>
        <v xml:space="preserve"> </v>
      </c>
      <c r="P252" s="84" t="str" cm="1">
        <f t="array" ref="P252">IFERROR(VLOOKUP($A252,'The List'!$B1:$AS671,23,FALSE)," ")</f>
        <v xml:space="preserve"> </v>
      </c>
      <c r="Q252" s="84" t="str" cm="1">
        <f t="array" ref="Q252">IFERROR(VLOOKUP($A252,'The List'!$B1:$AS671,24,FALSE)," ")</f>
        <v xml:space="preserve"> </v>
      </c>
      <c r="R252" s="84" t="str" cm="1">
        <f t="array" ref="R252">IFERROR(VLOOKUP($A252,'The List'!$B1:$AS671,25,FALSE)," ")</f>
        <v xml:space="preserve"> </v>
      </c>
      <c r="S252" s="84" t="str" cm="1">
        <f t="array" ref="S252">IFERROR(VLOOKUP($A252,'The List'!$B1:$AS671,26,FALSE)," ")</f>
        <v xml:space="preserve"> </v>
      </c>
      <c r="T252" s="84" t="str" cm="1">
        <f t="array" ref="T252">IFERROR(VLOOKUP($A252,'The List'!$B1:$AS671,27,FALSE)," ")</f>
        <v xml:space="preserve"> </v>
      </c>
      <c r="U252" s="84" t="str" cm="1">
        <f t="array" ref="U252">IFERROR(VLOOKUP($A252,'The List'!$B1:$AS671,28,FALSE)," ")</f>
        <v xml:space="preserve"> </v>
      </c>
      <c r="V252" s="84" t="str" cm="1">
        <f t="array" ref="V252">IFERROR(VLOOKUP($A252,'The List'!$B1:$AS671,29,FALSE)," ")</f>
        <v xml:space="preserve"> </v>
      </c>
      <c r="W252" s="84" t="str" cm="1">
        <f t="array" ref="W252">IFERROR(VLOOKUP($A252,'The List'!$B1:$AS671,30,FALSE)," ")</f>
        <v xml:space="preserve"> </v>
      </c>
      <c r="X252" s="84" t="str" cm="1">
        <f t="array" ref="X252">IFERROR(VLOOKUP($A252,'The List'!$B1:$AS671,31,FALSE)," ")</f>
        <v xml:space="preserve"> </v>
      </c>
      <c r="Y252" s="84" t="str" cm="1">
        <f t="array" ref="Y252">IFERROR(VLOOKUP($A252,'The List'!$B1:$AS671,32,FALSE)," ")</f>
        <v xml:space="preserve"> </v>
      </c>
      <c r="Z252" s="84" t="str" cm="1">
        <f t="array" ref="Z252">IFERROR(VLOOKUP($A252,'The List'!$B1:$AS671,33,FALSE)," ")</f>
        <v xml:space="preserve"> </v>
      </c>
      <c r="AA252" s="85"/>
      <c r="AB252" s="90"/>
      <c r="AC252" s="90"/>
      <c r="AD252" s="90"/>
      <c r="AE252" s="90"/>
      <c r="AF252" s="90"/>
    </row>
    <row r="253" spans="1:32" ht="21.25" customHeight="1" x14ac:dyDescent="0.15">
      <c r="A253" s="103"/>
      <c r="B253" s="104" t="str" cm="1">
        <f t="array" ref="B253">IFERROR(VLOOKUP($A253,'The List'!$B1:$AS671,3,FALSE)," ")</f>
        <v xml:space="preserve"> </v>
      </c>
      <c r="C253" s="105" t="str" cm="1">
        <f t="array" ref="C253">IFERROR(VLOOKUP($A253,'The List'!$B1:$AS671,4,FALSE)," ")</f>
        <v xml:space="preserve"> </v>
      </c>
      <c r="D253" s="106" t="str" cm="1">
        <f t="array" ref="D253">IFERROR(VLOOKUP($A253,'The List'!$B1:$AS671,5,FALSE)," ")</f>
        <v xml:space="preserve"> </v>
      </c>
      <c r="E253" s="106" t="str" cm="1">
        <f t="array" ref="E253">IFERROR(VLOOKUP($A253,'The List'!$B1:$AS671,6,FALSE)," ")</f>
        <v xml:space="preserve"> </v>
      </c>
      <c r="F253" s="107" t="str" cm="1">
        <f t="array" ref="F253">IFERROR(VLOOKUP($A253,'The List'!$B1:$AS671,8,FALSE)," ")</f>
        <v xml:space="preserve"> </v>
      </c>
      <c r="G253" s="107" t="str" cm="1">
        <f t="array" ref="G253">IFERROR(VLOOKUP($A253,'The List'!$B1:$AS671,10,FALSE)," ")</f>
        <v xml:space="preserve"> </v>
      </c>
      <c r="H253" s="108"/>
      <c r="I253" s="109" t="str" cm="1">
        <f t="array" ref="I253">IFERROR(VLOOKUP($A253,'The List'!$B1:$AS671,16,FALSE)," ")</f>
        <v xml:space="preserve"> </v>
      </c>
      <c r="J253" s="109" t="str" cm="1">
        <f t="array" ref="J253">IFERROR(VLOOKUP($A253,'The List'!$B1:$AS671,17,FALSE)," ")</f>
        <v xml:space="preserve"> </v>
      </c>
      <c r="K253" s="109" t="str" cm="1">
        <f t="array" ref="K253">IFERROR(VLOOKUP($A253,'The List'!$B1:$AS671,18,FALSE)," ")</f>
        <v xml:space="preserve"> </v>
      </c>
      <c r="L253" s="109" t="str" cm="1">
        <f t="array" ref="L253">IFERROR(VLOOKUP($A253,'The List'!$B1:$AS671,19,FALSE)," ")</f>
        <v xml:space="preserve"> </v>
      </c>
      <c r="M253" s="109" t="str" cm="1">
        <f t="array" ref="M253">IFERROR(VLOOKUP($A253,'The List'!$B1:$AS671,20,FALSE)," ")</f>
        <v xml:space="preserve"> </v>
      </c>
      <c r="N253" s="109" t="str" cm="1">
        <f t="array" ref="N253">IFERROR(VLOOKUP($A253,'The List'!$B1:$AS671,21,FALSE)," ")</f>
        <v xml:space="preserve"> </v>
      </c>
      <c r="O253" s="109" t="str" cm="1">
        <f t="array" ref="O253">IFERROR(VLOOKUP($A253,'The List'!$B1:$AS671,22,FALSE)," ")</f>
        <v xml:space="preserve"> </v>
      </c>
      <c r="P253" s="109" t="str" cm="1">
        <f t="array" ref="P253">IFERROR(VLOOKUP($A253,'The List'!$B1:$AS671,23,FALSE)," ")</f>
        <v xml:space="preserve"> </v>
      </c>
      <c r="Q253" s="109" t="str" cm="1">
        <f t="array" ref="Q253">IFERROR(VLOOKUP($A253,'The List'!$B1:$AS671,24,FALSE)," ")</f>
        <v xml:space="preserve"> </v>
      </c>
      <c r="R253" s="109" t="str" cm="1">
        <f t="array" ref="R253">IFERROR(VLOOKUP($A253,'The List'!$B1:$AS671,25,FALSE)," ")</f>
        <v xml:space="preserve"> </v>
      </c>
      <c r="S253" s="109" t="str" cm="1">
        <f t="array" ref="S253">IFERROR(VLOOKUP($A253,'The List'!$B1:$AS671,26,FALSE)," ")</f>
        <v xml:space="preserve"> </v>
      </c>
      <c r="T253" s="109" t="str" cm="1">
        <f t="array" ref="T253">IFERROR(VLOOKUP($A253,'The List'!$B1:$AS671,27,FALSE)," ")</f>
        <v xml:space="preserve"> </v>
      </c>
      <c r="U253" s="109" t="str" cm="1">
        <f t="array" ref="U253">IFERROR(VLOOKUP($A253,'The List'!$B1:$AS671,28,FALSE)," ")</f>
        <v xml:space="preserve"> </v>
      </c>
      <c r="V253" s="109" t="str" cm="1">
        <f t="array" ref="V253">IFERROR(VLOOKUP($A253,'The List'!$B1:$AS671,29,FALSE)," ")</f>
        <v xml:space="preserve"> </v>
      </c>
      <c r="W253" s="109" t="str" cm="1">
        <f t="array" ref="W253">IFERROR(VLOOKUP($A253,'The List'!$B1:$AS671,30,FALSE)," ")</f>
        <v xml:space="preserve"> </v>
      </c>
      <c r="X253" s="109" t="str" cm="1">
        <f t="array" ref="X253">IFERROR(VLOOKUP($A253,'The List'!$B1:$AS671,31,FALSE)," ")</f>
        <v xml:space="preserve"> </v>
      </c>
      <c r="Y253" s="109" t="str" cm="1">
        <f t="array" ref="Y253">IFERROR(VLOOKUP($A253,'The List'!$B1:$AS671,32,FALSE)," ")</f>
        <v xml:space="preserve"> </v>
      </c>
      <c r="Z253" s="109" t="str" cm="1">
        <f t="array" ref="Z253">IFERROR(VLOOKUP($A253,'The List'!$B1:$AS671,33,FALSE)," ")</f>
        <v xml:space="preserve"> </v>
      </c>
      <c r="AA253" s="85"/>
      <c r="AB253" s="90"/>
      <c r="AC253" s="90"/>
      <c r="AD253" s="90"/>
      <c r="AE253" s="90"/>
      <c r="AF253" s="90"/>
    </row>
    <row r="254" spans="1:32" ht="21.25" customHeight="1" x14ac:dyDescent="0.15">
      <c r="A254" s="110"/>
      <c r="B254" s="111"/>
      <c r="C254" s="112"/>
      <c r="D254" s="113"/>
      <c r="E254" s="113" t="str" cm="1">
        <f t="array" ref="E254">IFERROR(AVERAGE(E234:E253)," ")</f>
        <v xml:space="preserve"> </v>
      </c>
      <c r="F254" s="115" cm="1">
        <f t="array" ref="F254">SUM(F234:F253)</f>
        <v>0</v>
      </c>
      <c r="G254" s="115" cm="1">
        <f t="array" ref="G254">SUM(G234:G253)</f>
        <v>0</v>
      </c>
      <c r="H254" s="116"/>
      <c r="I254" s="117" cm="1">
        <f t="array" ref="I254">SUM(I234:I253)</f>
        <v>0</v>
      </c>
      <c r="J254" s="116" t="e" cm="1">
        <f t="array" ref="J254">AVERAGE(J234:J253)</f>
        <v>#DIV/0!</v>
      </c>
      <c r="K254" s="117" cm="1">
        <f t="array" ref="K254">SUM(K234:K253)</f>
        <v>0</v>
      </c>
      <c r="L254" s="117" cm="1">
        <f t="array" ref="L254">SUM(L234:L253)</f>
        <v>0</v>
      </c>
      <c r="M254" s="117" cm="1">
        <f t="array" ref="M254">SUM(M234:M253)</f>
        <v>0</v>
      </c>
      <c r="N254" s="117" cm="1">
        <f t="array" ref="N254">SUM(N234:N253)</f>
        <v>0</v>
      </c>
      <c r="O254" s="117" cm="1">
        <f t="array" ref="O254">SUM(O234:O253)</f>
        <v>0</v>
      </c>
      <c r="P254" s="117" cm="1">
        <f t="array" ref="P254">SUM(P234:P253)</f>
        <v>0</v>
      </c>
      <c r="Q254" s="117" cm="1">
        <f t="array" ref="Q254">SUM(Q234:Q253)</f>
        <v>0</v>
      </c>
      <c r="R254" s="117" cm="1">
        <f t="array" ref="R254">SUM(R234:R253)</f>
        <v>0</v>
      </c>
      <c r="S254" s="117" cm="1">
        <f t="array" ref="S254">SUM(S234:S253)</f>
        <v>0</v>
      </c>
      <c r="T254" s="117" cm="1">
        <f t="array" ref="T254">SUM(T234:T253)</f>
        <v>0</v>
      </c>
      <c r="U254" s="117" cm="1">
        <f t="array" ref="U254">SUM(U234:U253)</f>
        <v>0</v>
      </c>
      <c r="V254" s="117" cm="1">
        <f t="array" ref="V254">SUM(V234:V253)</f>
        <v>0</v>
      </c>
      <c r="W254" s="117" cm="1">
        <f t="array" ref="W254">SUM(W234:W253)</f>
        <v>0</v>
      </c>
      <c r="X254" s="117" cm="1">
        <f t="array" ref="X254">SUM(X234:X253)</f>
        <v>0</v>
      </c>
      <c r="Y254" s="117" cm="1">
        <f t="array" ref="Y254">SUM(Y234:Y253)</f>
        <v>0</v>
      </c>
      <c r="Z254" s="118" cm="1">
        <f t="array" ref="Z254">IFERROR(X254/(X254+Y254),0)</f>
        <v>0</v>
      </c>
      <c r="AA254" s="85"/>
      <c r="AB254" s="119"/>
      <c r="AC254" s="119"/>
      <c r="AD254" s="119"/>
      <c r="AE254" s="119"/>
      <c r="AF254" s="119"/>
    </row>
    <row r="255" spans="1:32" ht="21.25" customHeight="1" x14ac:dyDescent="0.15">
      <c r="A255" s="37"/>
      <c r="B255" s="120"/>
      <c r="C255" s="121"/>
      <c r="D255" s="13"/>
      <c r="E255" s="13"/>
      <c r="F255" s="122"/>
      <c r="G255" s="123"/>
      <c r="H255" s="124"/>
      <c r="I255" s="12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90"/>
      <c r="AC255" s="90"/>
      <c r="AD255" s="90"/>
      <c r="AE255" s="90"/>
      <c r="AF255" s="90"/>
    </row>
    <row r="256" spans="1:32" ht="21.25" customHeight="1" x14ac:dyDescent="0.15">
      <c r="A256" s="40" t="s">
        <v>90</v>
      </c>
      <c r="B256" s="204" t="s">
        <v>92</v>
      </c>
      <c r="C256" s="194"/>
      <c r="D256" s="126" t="s">
        <v>93</v>
      </c>
      <c r="E256" s="126" t="s">
        <v>94</v>
      </c>
      <c r="F256" s="127" t="s">
        <v>96</v>
      </c>
      <c r="G256" s="127" t="s">
        <v>98</v>
      </c>
      <c r="H256" s="128"/>
      <c r="I256" s="129" t="s">
        <v>103</v>
      </c>
      <c r="J256" s="129" t="s">
        <v>118</v>
      </c>
      <c r="K256" s="129" t="s">
        <v>119</v>
      </c>
      <c r="L256" s="129" t="s">
        <v>120</v>
      </c>
      <c r="M256" s="129" t="s">
        <v>121</v>
      </c>
      <c r="N256" s="129" t="s">
        <v>122</v>
      </c>
      <c r="O256" s="129" t="s">
        <v>123</v>
      </c>
      <c r="P256" s="129" t="s">
        <v>124</v>
      </c>
      <c r="Q256" s="129" t="s">
        <v>125</v>
      </c>
      <c r="R256" s="85"/>
      <c r="S256" s="85"/>
      <c r="T256" s="85"/>
      <c r="U256" s="204" t="s">
        <v>814</v>
      </c>
      <c r="V256" s="205"/>
      <c r="W256" s="205"/>
      <c r="X256" s="204" t="s">
        <v>815</v>
      </c>
      <c r="Y256" s="205"/>
      <c r="Z256" s="205"/>
      <c r="AA256" s="85"/>
      <c r="AB256" s="85"/>
      <c r="AC256" s="85"/>
      <c r="AD256" s="85"/>
      <c r="AE256" s="85"/>
      <c r="AF256" s="85"/>
    </row>
    <row r="257" spans="1:32" ht="21.25" customHeight="1" x14ac:dyDescent="0.15">
      <c r="A257" s="146"/>
      <c r="B257" s="131" t="str" cm="1">
        <f t="array" ref="B257">IFERROR(VLOOKUP($A257,'The List'!$B1:$AS671,3,FALSE)," ")</f>
        <v xml:space="preserve"> </v>
      </c>
      <c r="C257" s="147" t="str" cm="1">
        <f t="array" ref="C257">IFERROR(VLOOKUP($A257,'The List'!$B1:$AS671,4,FALSE)," ")</f>
        <v xml:space="preserve"> </v>
      </c>
      <c r="D257" s="133" t="str" cm="1">
        <f t="array" ref="D257">IFERROR(VLOOKUP($A257,'The List'!$B1:$AS671,5,FALSE)," ")</f>
        <v xml:space="preserve"> </v>
      </c>
      <c r="E257" s="133" t="str" cm="1">
        <f t="array" ref="E257">IFERROR(VLOOKUP($A257,'The List'!$B1:$AS671,6,FALSE)," ")</f>
        <v xml:space="preserve"> </v>
      </c>
      <c r="F257" s="148" t="str" cm="1">
        <f t="array" ref="F257">IFERROR(VLOOKUP($A257,'The List'!$B1:$AS671,8,FALSE)," ")</f>
        <v xml:space="preserve"> </v>
      </c>
      <c r="G257" s="148" t="str" cm="1">
        <f t="array" ref="G257">IFERROR(VLOOKUP($A257,'The List'!$B1:$AS671,10,FALSE)," ")</f>
        <v xml:space="preserve"> </v>
      </c>
      <c r="H257" s="82"/>
      <c r="I257" s="149" t="str" cm="1">
        <f t="array" ref="I257">IFERROR(VLOOKUP($A257,'The List'!$B1:$AS671,35,FALSE)," ")</f>
        <v xml:space="preserve"> </v>
      </c>
      <c r="J257" s="149" t="str" cm="1">
        <f t="array" ref="J257">IFERROR(VLOOKUP($A257,'The List'!$B1:$AS671,36,FALSE)," ")</f>
        <v xml:space="preserve"> </v>
      </c>
      <c r="K257" s="149" t="str" cm="1">
        <f t="array" ref="K257">IFERROR(VLOOKUP($A257,'The List'!$B1:$AS671,37,FALSE)," ")</f>
        <v xml:space="preserve"> </v>
      </c>
      <c r="L257" s="149" t="str" cm="1">
        <f t="array" ref="L257">IFERROR(VLOOKUP($A257,'The List'!$B1:$AS671,38,FALSE)," ")</f>
        <v xml:space="preserve"> </v>
      </c>
      <c r="M257" s="149" t="str" cm="1">
        <f t="array" ref="M257">IFERROR(VLOOKUP($A257,'The List'!$B1:$AS671,39,FALSE)," ")</f>
        <v xml:space="preserve"> </v>
      </c>
      <c r="N257" s="149" t="str" cm="1">
        <f t="array" ref="N257">IFERROR(VLOOKUP($A257,'The List'!$B1:$AS671,40,FALSE)," ")</f>
        <v xml:space="preserve"> </v>
      </c>
      <c r="O257" s="149" t="str" cm="1">
        <f t="array" ref="O257">IFERROR(VLOOKUP($A257,'The List'!$B1:$AS671,41,FALSE)," ")</f>
        <v xml:space="preserve"> </v>
      </c>
      <c r="P257" s="149" t="str" cm="1">
        <f t="array" ref="P257">IFERROR(VLOOKUP($A257,'The List'!$B1:$AS671,42,FALSE)," ")</f>
        <v xml:space="preserve"> </v>
      </c>
      <c r="Q257" s="149" t="str" cm="1">
        <f t="array" ref="Q257">IFERROR(VLOOKUP($A257,'The List'!$B1:$AS671,43,FALSE)," ")</f>
        <v xml:space="preserve"> </v>
      </c>
      <c r="R257" s="85"/>
      <c r="S257" s="85"/>
      <c r="T257" s="139" t="str" cm="1">
        <f t="array" ref="T257">A233</f>
        <v>TEAM 9</v>
      </c>
      <c r="U257" s="206" cm="1">
        <f t="array" ref="U257">F254+F260</f>
        <v>0</v>
      </c>
      <c r="V257" s="194"/>
      <c r="W257" s="194"/>
      <c r="X257" s="206" cm="1">
        <f t="array" ref="X257">G260+G254</f>
        <v>0</v>
      </c>
      <c r="Y257" s="194"/>
      <c r="Z257" s="194"/>
      <c r="AA257" s="85"/>
      <c r="AB257" s="85"/>
      <c r="AC257" s="85"/>
      <c r="AD257" s="85"/>
      <c r="AE257" s="85"/>
      <c r="AF257" s="85"/>
    </row>
    <row r="258" spans="1:32" ht="21.25" customHeight="1" x14ac:dyDescent="0.15">
      <c r="A258" s="24"/>
      <c r="B258" s="140" t="str" cm="1">
        <f t="array" ref="B258">IFERROR(VLOOKUP($A258,'The List'!$B1:$AS671,3,FALSE)," ")</f>
        <v xml:space="preserve"> </v>
      </c>
      <c r="C258" s="141" t="str" cm="1">
        <f t="array" ref="C258">IFERROR(VLOOKUP($A258,'The List'!$B1:$AS671,4,FALSE)," ")</f>
        <v xml:space="preserve"> </v>
      </c>
      <c r="D258" s="18" t="str" cm="1">
        <f t="array" ref="D258">IFERROR(VLOOKUP($A258,'The List'!$B1:$AS671,5,FALSE)," ")</f>
        <v xml:space="preserve"> </v>
      </c>
      <c r="E258" s="18" t="str" cm="1">
        <f t="array" ref="E258">IFERROR(VLOOKUP($A258,'The List'!$B1:$AS671,6,FALSE)," ")</f>
        <v xml:space="preserve"> </v>
      </c>
      <c r="F258" s="92" t="str" cm="1">
        <f t="array" ref="F258">IFERROR(VLOOKUP($A258,'The List'!$B1:$AS671,8,FALSE)," ")</f>
        <v xml:space="preserve"> </v>
      </c>
      <c r="G258" s="92" t="str" cm="1">
        <f t="array" ref="G258">IFERROR(VLOOKUP($A258,'The List'!$B1:$AS671,10,FALSE)," ")</f>
        <v xml:space="preserve"> </v>
      </c>
      <c r="H258" s="55"/>
      <c r="I258" s="84" t="str" cm="1">
        <f t="array" ref="I258">IFERROR(VLOOKUP($A258,'The List'!$B1:$AS671,35,FALSE)," ")</f>
        <v xml:space="preserve"> </v>
      </c>
      <c r="J258" s="84" t="str" cm="1">
        <f t="array" ref="J258">IFERROR(VLOOKUP($A258,'The List'!$B1:$AS671,36,FALSE)," ")</f>
        <v xml:space="preserve"> </v>
      </c>
      <c r="K258" s="84" t="str" cm="1">
        <f t="array" ref="K258">IFERROR(VLOOKUP($A258,'The List'!$B1:$AS671,37,FALSE)," ")</f>
        <v xml:space="preserve"> </v>
      </c>
      <c r="L258" s="84" t="str" cm="1">
        <f t="array" ref="L258">IFERROR(VLOOKUP($A258,'The List'!$B1:$AS671,38,FALSE)," ")</f>
        <v xml:space="preserve"> </v>
      </c>
      <c r="M258" s="84" t="str" cm="1">
        <f t="array" ref="M258">IFERROR(VLOOKUP($A258,'The List'!$B1:$AS671,39,FALSE)," ")</f>
        <v xml:space="preserve"> </v>
      </c>
      <c r="N258" s="84" t="str" cm="1">
        <f t="array" ref="N258">IFERROR(VLOOKUP($A258,'The List'!$B1:$AS671,40,FALSE)," ")</f>
        <v xml:space="preserve"> </v>
      </c>
      <c r="O258" s="84" t="str" cm="1">
        <f t="array" ref="O258">IFERROR(VLOOKUP($A258,'The List'!$B1:$AS671,41,FALSE)," ")</f>
        <v xml:space="preserve"> </v>
      </c>
      <c r="P258" s="84" t="str" cm="1">
        <f t="array" ref="P258">IFERROR(VLOOKUP($A258,'The List'!$B1:$AS671,42,FALSE)," ")</f>
        <v xml:space="preserve"> </v>
      </c>
      <c r="Q258" s="84" t="str" cm="1">
        <f t="array" ref="Q258">IFERROR(VLOOKUP($A258,'The List'!$B1:$AS671,43,FALSE)," ")</f>
        <v xml:space="preserve"> </v>
      </c>
      <c r="R258" s="85"/>
      <c r="S258" s="85"/>
      <c r="T258" s="85"/>
      <c r="U258" s="194"/>
      <c r="V258" s="194"/>
      <c r="W258" s="194"/>
      <c r="X258" s="194"/>
      <c r="Y258" s="194"/>
      <c r="Z258" s="194"/>
      <c r="AA258" s="85"/>
      <c r="AB258" s="85"/>
      <c r="AC258" s="85"/>
      <c r="AD258" s="85"/>
      <c r="AE258" s="85"/>
      <c r="AF258" s="85"/>
    </row>
    <row r="259" spans="1:32" ht="21.25" customHeight="1" x14ac:dyDescent="0.15">
      <c r="A259" s="103"/>
      <c r="B259" s="142" t="str" cm="1">
        <f t="array" ref="B259">IFERROR(VLOOKUP($A259,'The List'!$B1:$AS671,3,FALSE)," ")</f>
        <v xml:space="preserve"> </v>
      </c>
      <c r="C259" s="143" t="str" cm="1">
        <f t="array" ref="C259">IFERROR(VLOOKUP($A259,'The List'!$B1:$AS671,4,FALSE)," ")</f>
        <v xml:space="preserve"> </v>
      </c>
      <c r="D259" s="106" t="str" cm="1">
        <f t="array" ref="D259">IFERROR(VLOOKUP($A259,'The List'!$B1:$AS671,5,FALSE)," ")</f>
        <v xml:space="preserve"> </v>
      </c>
      <c r="E259" s="106" t="str" cm="1">
        <f t="array" ref="E259">IFERROR(VLOOKUP($A259,'The List'!$B1:$AS671,6,FALSE)," ")</f>
        <v xml:space="preserve"> </v>
      </c>
      <c r="F259" s="107" t="str" cm="1">
        <f t="array" ref="F259">IFERROR(VLOOKUP($A259,'The List'!$B1:$AS671,8,FALSE)," ")</f>
        <v xml:space="preserve"> </v>
      </c>
      <c r="G259" s="107" t="str" cm="1">
        <f t="array" ref="G259">IFERROR(VLOOKUP($A259,'The List'!$B1:$AS671,10,FALSE)," ")</f>
        <v xml:space="preserve"> </v>
      </c>
      <c r="H259" s="108"/>
      <c r="I259" s="109" t="str" cm="1">
        <f t="array" ref="I259">IFERROR(VLOOKUP($A259,'The List'!$B1:$AS671,35,FALSE)," ")</f>
        <v xml:space="preserve"> </v>
      </c>
      <c r="J259" s="109" t="str" cm="1">
        <f t="array" ref="J259">IFERROR(VLOOKUP($A259,'The List'!$B1:$AS671,36,FALSE)," ")</f>
        <v xml:space="preserve"> </v>
      </c>
      <c r="K259" s="109" t="str" cm="1">
        <f t="array" ref="K259">IFERROR(VLOOKUP($A259,'The List'!$B1:$AS671,37,FALSE)," ")</f>
        <v xml:space="preserve"> </v>
      </c>
      <c r="L259" s="109" t="str" cm="1">
        <f t="array" ref="L259">IFERROR(VLOOKUP($A259,'The List'!$B1:$AS671,38,FALSE)," ")</f>
        <v xml:space="preserve"> </v>
      </c>
      <c r="M259" s="109" t="str" cm="1">
        <f t="array" ref="M259">IFERROR(VLOOKUP($A259,'The List'!$B1:$AS671,39,FALSE)," ")</f>
        <v xml:space="preserve"> </v>
      </c>
      <c r="N259" s="109" t="str" cm="1">
        <f t="array" ref="N259">IFERROR(VLOOKUP($A259,'The List'!$B1:$AS671,40,FALSE)," ")</f>
        <v xml:space="preserve"> </v>
      </c>
      <c r="O259" s="109" t="str" cm="1">
        <f t="array" ref="O259">IFERROR(VLOOKUP($A259,'The List'!$B1:$AS671,41,FALSE)," ")</f>
        <v xml:space="preserve"> </v>
      </c>
      <c r="P259" s="109" t="str" cm="1">
        <f t="array" ref="P259">IFERROR(VLOOKUP($A259,'The List'!$B1:$AS671,42,FALSE)," ")</f>
        <v xml:space="preserve"> </v>
      </c>
      <c r="Q259" s="109" t="str" cm="1">
        <f t="array" ref="Q259">IFERROR(VLOOKUP($A259,'The List'!$B1:$AS671,43,FALSE)," ")</f>
        <v xml:space="preserve"> </v>
      </c>
      <c r="R259" s="85"/>
      <c r="S259" s="85"/>
      <c r="T259" s="85"/>
      <c r="U259" s="194"/>
      <c r="V259" s="194"/>
      <c r="W259" s="194"/>
      <c r="X259" s="194"/>
      <c r="Y259" s="194"/>
      <c r="Z259" s="194"/>
      <c r="AA259" s="85"/>
      <c r="AB259" s="85"/>
      <c r="AC259" s="85"/>
      <c r="AD259" s="85"/>
      <c r="AE259" s="85"/>
      <c r="AF259" s="85"/>
    </row>
    <row r="260" spans="1:32" ht="21.25" customHeight="1" x14ac:dyDescent="0.15">
      <c r="A260" s="110"/>
      <c r="B260" s="111"/>
      <c r="C260" s="112"/>
      <c r="D260" s="113"/>
      <c r="E260" s="113" t="str" cm="1">
        <f t="array" ref="E260">IFERROR(AVERAGE(E257:E259)," ")</f>
        <v xml:space="preserve"> </v>
      </c>
      <c r="F260" s="115" cm="1">
        <f t="array" ref="F260">SUM(F257:F259)</f>
        <v>0</v>
      </c>
      <c r="G260" s="115" cm="1">
        <f t="array" ref="G260">SUM(G257:G259)</f>
        <v>0</v>
      </c>
      <c r="H260" s="116"/>
      <c r="I260" s="117" cm="1">
        <f t="array" ref="I260">SUM(I257:I259)</f>
        <v>0</v>
      </c>
      <c r="J260" s="116" cm="1">
        <f t="array" ref="J260">SUM(J257:J259)</f>
        <v>0</v>
      </c>
      <c r="K260" s="117" cm="1">
        <f t="array" ref="K260">SUM(K257:K259)</f>
        <v>0</v>
      </c>
      <c r="L260" s="117" cm="1">
        <f t="array" ref="L260">SUM(L257:L259)</f>
        <v>0</v>
      </c>
      <c r="M260" s="117" cm="1">
        <f t="array" ref="M260">SUM(M257:M259)</f>
        <v>0</v>
      </c>
      <c r="N260" s="117" cm="1">
        <f t="array" ref="N260">SUM(N257:N259)</f>
        <v>0</v>
      </c>
      <c r="O260" s="117" cm="1">
        <f t="array" ref="O260">SUM(O257:O259)</f>
        <v>0</v>
      </c>
      <c r="P260" s="144" t="e" cm="1">
        <f t="array" ref="P260">1-(O260/(N260+O260))</f>
        <v>#DIV/0!</v>
      </c>
      <c r="Q260" s="145" t="e" cm="1">
        <f t="array" ref="Q260">O260/I260</f>
        <v>#DIV/0!</v>
      </c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</row>
    <row r="261" spans="1:32" ht="70.75" customHeight="1" x14ac:dyDescent="0.15">
      <c r="A261" s="37"/>
      <c r="B261" s="120"/>
      <c r="C261" s="121"/>
      <c r="D261" s="13"/>
      <c r="E261" s="13"/>
      <c r="F261" s="122"/>
      <c r="G261" s="123"/>
      <c r="H261" s="124"/>
      <c r="I261" s="12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90"/>
      <c r="AB261" s="90"/>
      <c r="AC261" s="90"/>
      <c r="AD261" s="90"/>
      <c r="AE261" s="90"/>
      <c r="AF261" s="90"/>
    </row>
    <row r="262" spans="1:32" ht="21.25" customHeight="1" x14ac:dyDescent="0.15">
      <c r="A262" s="41" t="s">
        <v>807</v>
      </c>
      <c r="B262" s="203" t="s">
        <v>92</v>
      </c>
      <c r="C262" s="200"/>
      <c r="D262" s="42" t="s">
        <v>93</v>
      </c>
      <c r="E262" s="42" t="s">
        <v>94</v>
      </c>
      <c r="F262" s="43" t="s">
        <v>96</v>
      </c>
      <c r="G262" s="43" t="s">
        <v>98</v>
      </c>
      <c r="H262" s="44"/>
      <c r="I262" s="46" t="s">
        <v>103</v>
      </c>
      <c r="J262" s="46" t="s">
        <v>56</v>
      </c>
      <c r="K262" s="46" t="s">
        <v>104</v>
      </c>
      <c r="L262" s="46" t="s">
        <v>105</v>
      </c>
      <c r="M262" s="46" t="s">
        <v>106</v>
      </c>
      <c r="N262" s="46" t="s">
        <v>107</v>
      </c>
      <c r="O262" s="46" t="s">
        <v>64</v>
      </c>
      <c r="P262" s="46" t="s">
        <v>67</v>
      </c>
      <c r="Q262" s="46" t="s">
        <v>108</v>
      </c>
      <c r="R262" s="46" t="s">
        <v>109</v>
      </c>
      <c r="S262" s="46" t="s">
        <v>110</v>
      </c>
      <c r="T262" s="46" t="s">
        <v>111</v>
      </c>
      <c r="U262" s="46" t="s">
        <v>112</v>
      </c>
      <c r="V262" s="46" t="s">
        <v>113</v>
      </c>
      <c r="W262" s="46" t="s">
        <v>114</v>
      </c>
      <c r="X262" s="46" t="s">
        <v>115</v>
      </c>
      <c r="Y262" s="46" t="s">
        <v>116</v>
      </c>
      <c r="Z262" s="46" t="s">
        <v>117</v>
      </c>
      <c r="AA262" s="85"/>
      <c r="AB262" s="86"/>
      <c r="AC262" s="86"/>
      <c r="AD262" s="86"/>
      <c r="AE262" s="86"/>
      <c r="AF262" s="86"/>
    </row>
    <row r="263" spans="1:32" ht="21.25" customHeight="1" x14ac:dyDescent="0.15">
      <c r="A263" s="24"/>
      <c r="B263" s="87" t="str" cm="1">
        <f t="array" ref="B263">IFERROR(VLOOKUP($A263,'The List'!$B1:$AS671,3,FALSE)," ")</f>
        <v xml:space="preserve"> </v>
      </c>
      <c r="C263" s="91" t="str" cm="1">
        <f t="array" ref="C263">IFERROR(VLOOKUP($A263,'The List'!$B1:$AS671,4,FALSE)," ")</f>
        <v xml:space="preserve"> </v>
      </c>
      <c r="D263" s="18" t="str" cm="1">
        <f t="array" ref="D263">IFERROR(VLOOKUP($A263,'The List'!$B1:$AS671,5,FALSE)," ")</f>
        <v xml:space="preserve"> </v>
      </c>
      <c r="E263" s="18" t="str" cm="1">
        <f t="array" ref="E263">IFERROR(VLOOKUP($A263,'The List'!$B1:$AS671,6,FALSE)," ")</f>
        <v xml:space="preserve"> </v>
      </c>
      <c r="F263" s="92" t="str" cm="1">
        <f t="array" ref="F263">IFERROR(VLOOKUP($A263,'The List'!$B1:$AS671,8,FALSE)," ")</f>
        <v xml:space="preserve"> </v>
      </c>
      <c r="G263" s="92" t="str" cm="1">
        <f t="array" ref="G263">IFERROR(VLOOKUP($A263,'The List'!$B1:$AS671,10,FALSE)," ")</f>
        <v xml:space="preserve"> </v>
      </c>
      <c r="H263" s="55"/>
      <c r="I263" s="84" t="str" cm="1">
        <f t="array" ref="I263">IFERROR(VLOOKUP($A263,'The List'!$B1:$AS671,16,FALSE)," ")</f>
        <v xml:space="preserve"> </v>
      </c>
      <c r="J263" s="84" t="str" cm="1">
        <f t="array" ref="J263">IFERROR(VLOOKUP($A263,'The List'!$B1:$AS671,17,FALSE)," ")</f>
        <v xml:space="preserve"> </v>
      </c>
      <c r="K263" s="84" t="str" cm="1">
        <f t="array" ref="K263">IFERROR(VLOOKUP($A263,'The List'!$B1:$AS671,18,FALSE)," ")</f>
        <v xml:space="preserve"> </v>
      </c>
      <c r="L263" s="84" t="str" cm="1">
        <f t="array" ref="L263">IFERROR(VLOOKUP($A263,'The List'!$B1:$AS671,19,FALSE)," ")</f>
        <v xml:space="preserve"> </v>
      </c>
      <c r="M263" s="84" t="str" cm="1">
        <f t="array" ref="M263">IFERROR(VLOOKUP($A263,'The List'!$B1:$AS671,20,FALSE)," ")</f>
        <v xml:space="preserve"> </v>
      </c>
      <c r="N263" s="84" t="str" cm="1">
        <f t="array" ref="N263">IFERROR(VLOOKUP($A263,'The List'!$B1:$AS671,21,FALSE)," ")</f>
        <v xml:space="preserve"> </v>
      </c>
      <c r="O263" s="84" t="str" cm="1">
        <f t="array" ref="O263">IFERROR(VLOOKUP($A263,'The List'!$B1:$AS671,22,FALSE)," ")</f>
        <v xml:space="preserve"> </v>
      </c>
      <c r="P263" s="84" t="str" cm="1">
        <f t="array" ref="P263">IFERROR(VLOOKUP($A263,'The List'!$B1:$AS671,23,FALSE)," ")</f>
        <v xml:space="preserve"> </v>
      </c>
      <c r="Q263" s="84" t="str" cm="1">
        <f t="array" ref="Q263">IFERROR(VLOOKUP($A263,'The List'!$B1:$AS671,24,FALSE)," ")</f>
        <v xml:space="preserve"> </v>
      </c>
      <c r="R263" s="84" t="str" cm="1">
        <f t="array" ref="R263">IFERROR(VLOOKUP($A263,'The List'!$B1:$AS671,25,FALSE)," ")</f>
        <v xml:space="preserve"> </v>
      </c>
      <c r="S263" s="84" t="str" cm="1">
        <f t="array" ref="S263">IFERROR(VLOOKUP($A263,'The List'!$B1:$AS671,26,FALSE)," ")</f>
        <v xml:space="preserve"> </v>
      </c>
      <c r="T263" s="84" t="str" cm="1">
        <f t="array" ref="T263">IFERROR(VLOOKUP($A263,'The List'!$B1:$AS671,27,FALSE)," ")</f>
        <v xml:space="preserve"> </v>
      </c>
      <c r="U263" s="84" t="str" cm="1">
        <f t="array" ref="U263">IFERROR(VLOOKUP($A263,'The List'!$B1:$AS671,28,FALSE)," ")</f>
        <v xml:space="preserve"> </v>
      </c>
      <c r="V263" s="84" t="str" cm="1">
        <f t="array" ref="V263">IFERROR(VLOOKUP($A263,'The List'!$B1:$AS671,29,FALSE)," ")</f>
        <v xml:space="preserve"> </v>
      </c>
      <c r="W263" s="84" t="str" cm="1">
        <f t="array" ref="W263">IFERROR(VLOOKUP($A263,'The List'!$B1:$AS671,30,FALSE)," ")</f>
        <v xml:space="preserve"> </v>
      </c>
      <c r="X263" s="84" t="str" cm="1">
        <f t="array" ref="X263">IFERROR(VLOOKUP($A263,'The List'!$B1:$AS671,31,FALSE)," ")</f>
        <v xml:space="preserve"> </v>
      </c>
      <c r="Y263" s="84" t="str" cm="1">
        <f t="array" ref="Y263">IFERROR(VLOOKUP($A263,'The List'!$B1:$AS671,32,FALSE)," ")</f>
        <v xml:space="preserve"> </v>
      </c>
      <c r="Z263" s="84" t="str" cm="1">
        <f t="array" ref="Z263">IFERROR(VLOOKUP($A263,'The List'!$B1:$AS671,33,FALSE)," ")</f>
        <v xml:space="preserve"> </v>
      </c>
      <c r="AA263" s="85"/>
      <c r="AB263" s="90"/>
      <c r="AC263" s="90"/>
      <c r="AD263" s="90"/>
      <c r="AE263" s="90"/>
      <c r="AF263" s="90"/>
    </row>
    <row r="264" spans="1:32" ht="21.25" customHeight="1" x14ac:dyDescent="0.15">
      <c r="A264" s="24"/>
      <c r="B264" s="87" t="str" cm="1">
        <f t="array" ref="B264">IFERROR(VLOOKUP($A264,'The List'!$B1:$AS671,3,FALSE)," ")</f>
        <v xml:space="preserve"> </v>
      </c>
      <c r="C264" s="91" t="str" cm="1">
        <f t="array" ref="C264">IFERROR(VLOOKUP($A264,'The List'!$B1:$AS671,4,FALSE)," ")</f>
        <v xml:space="preserve"> </v>
      </c>
      <c r="D264" s="18" t="str" cm="1">
        <f t="array" ref="D264">IFERROR(VLOOKUP($A264,'The List'!$B1:$AS671,5,FALSE)," ")</f>
        <v xml:space="preserve"> </v>
      </c>
      <c r="E264" s="18" t="str" cm="1">
        <f t="array" ref="E264">IFERROR(VLOOKUP($A264,'The List'!$B1:$AS671,6,FALSE)," ")</f>
        <v xml:space="preserve"> </v>
      </c>
      <c r="F264" s="92" t="str" cm="1">
        <f t="array" ref="F264">IFERROR(VLOOKUP($A264,'The List'!$B1:$AS671,8,FALSE)," ")</f>
        <v xml:space="preserve"> </v>
      </c>
      <c r="G264" s="92" t="str" cm="1">
        <f t="array" ref="G264">IFERROR(VLOOKUP($A264,'The List'!$B1:$AS671,10,FALSE)," ")</f>
        <v xml:space="preserve"> </v>
      </c>
      <c r="H264" s="55"/>
      <c r="I264" s="84" t="str" cm="1">
        <f t="array" ref="I264">IFERROR(VLOOKUP($A264,'The List'!$B1:$AS671,16,FALSE)," ")</f>
        <v xml:space="preserve"> </v>
      </c>
      <c r="J264" s="84" t="str" cm="1">
        <f t="array" ref="J264">IFERROR(VLOOKUP($A264,'The List'!$B1:$AS671,17,FALSE)," ")</f>
        <v xml:space="preserve"> </v>
      </c>
      <c r="K264" s="84" t="str" cm="1">
        <f t="array" ref="K264">IFERROR(VLOOKUP($A264,'The List'!$B1:$AS671,18,FALSE)," ")</f>
        <v xml:space="preserve"> </v>
      </c>
      <c r="L264" s="84" t="str" cm="1">
        <f t="array" ref="L264">IFERROR(VLOOKUP($A264,'The List'!$B1:$AS671,19,FALSE)," ")</f>
        <v xml:space="preserve"> </v>
      </c>
      <c r="M264" s="84" t="str" cm="1">
        <f t="array" ref="M264">IFERROR(VLOOKUP($A264,'The List'!$B1:$AS671,20,FALSE)," ")</f>
        <v xml:space="preserve"> </v>
      </c>
      <c r="N264" s="84" t="str" cm="1">
        <f t="array" ref="N264">IFERROR(VLOOKUP($A264,'The List'!$B1:$AS671,21,FALSE)," ")</f>
        <v xml:space="preserve"> </v>
      </c>
      <c r="O264" s="84" t="str" cm="1">
        <f t="array" ref="O264">IFERROR(VLOOKUP($A264,'The List'!$B1:$AS671,22,FALSE)," ")</f>
        <v xml:space="preserve"> </v>
      </c>
      <c r="P264" s="84" t="str" cm="1">
        <f t="array" ref="P264">IFERROR(VLOOKUP($A264,'The List'!$B1:$AS671,23,FALSE)," ")</f>
        <v xml:space="preserve"> </v>
      </c>
      <c r="Q264" s="84" t="str" cm="1">
        <f t="array" ref="Q264">IFERROR(VLOOKUP($A264,'The List'!$B1:$AS671,24,FALSE)," ")</f>
        <v xml:space="preserve"> </v>
      </c>
      <c r="R264" s="84" t="str" cm="1">
        <f t="array" ref="R264">IFERROR(VLOOKUP($A264,'The List'!$B1:$AS671,25,FALSE)," ")</f>
        <v xml:space="preserve"> </v>
      </c>
      <c r="S264" s="84" t="str" cm="1">
        <f t="array" ref="S264">IFERROR(VLOOKUP($A264,'The List'!$B1:$AS671,26,FALSE)," ")</f>
        <v xml:space="preserve"> </v>
      </c>
      <c r="T264" s="84" t="str" cm="1">
        <f t="array" ref="T264">IFERROR(VLOOKUP($A264,'The List'!$B1:$AS671,27,FALSE)," ")</f>
        <v xml:space="preserve"> </v>
      </c>
      <c r="U264" s="84" t="str" cm="1">
        <f t="array" ref="U264">IFERROR(VLOOKUP($A264,'The List'!$B1:$AS671,28,FALSE)," ")</f>
        <v xml:space="preserve"> </v>
      </c>
      <c r="V264" s="84" t="str" cm="1">
        <f t="array" ref="V264">IFERROR(VLOOKUP($A264,'The List'!$B1:$AS671,29,FALSE)," ")</f>
        <v xml:space="preserve"> </v>
      </c>
      <c r="W264" s="84" t="str" cm="1">
        <f t="array" ref="W264">IFERROR(VLOOKUP($A264,'The List'!$B1:$AS671,30,FALSE)," ")</f>
        <v xml:space="preserve"> </v>
      </c>
      <c r="X264" s="84" t="str" cm="1">
        <f t="array" ref="X264">IFERROR(VLOOKUP($A264,'The List'!$B1:$AS671,31,FALSE)," ")</f>
        <v xml:space="preserve"> </v>
      </c>
      <c r="Y264" s="84" t="str" cm="1">
        <f t="array" ref="Y264">IFERROR(VLOOKUP($A264,'The List'!$B1:$AS671,32,FALSE)," ")</f>
        <v xml:space="preserve"> </v>
      </c>
      <c r="Z264" s="84" t="str" cm="1">
        <f t="array" ref="Z264">IFERROR(VLOOKUP($A264,'The List'!$B1:$AS671,33,FALSE)," ")</f>
        <v xml:space="preserve"> </v>
      </c>
      <c r="AA264" s="85"/>
      <c r="AB264" s="90"/>
      <c r="AC264" s="90"/>
      <c r="AD264" s="90"/>
      <c r="AE264" s="90"/>
      <c r="AF264" s="90"/>
    </row>
    <row r="265" spans="1:32" ht="21.25" customHeight="1" x14ac:dyDescent="0.15">
      <c r="A265" s="24"/>
      <c r="B265" s="87" t="str" cm="1">
        <f t="array" ref="B265">IFERROR(VLOOKUP($A265,'The List'!$B1:$AS671,3,FALSE)," ")</f>
        <v xml:space="preserve"> </v>
      </c>
      <c r="C265" s="91" t="str" cm="1">
        <f t="array" ref="C265">IFERROR(VLOOKUP($A265,'The List'!$B1:$AS671,4,FALSE)," ")</f>
        <v xml:space="preserve"> </v>
      </c>
      <c r="D265" s="18" t="str" cm="1">
        <f t="array" ref="D265">IFERROR(VLOOKUP($A265,'The List'!$B1:$AS671,5,FALSE)," ")</f>
        <v xml:space="preserve"> </v>
      </c>
      <c r="E265" s="18" t="str" cm="1">
        <f t="array" ref="E265">IFERROR(VLOOKUP($A265,'The List'!$B1:$AS671,6,FALSE)," ")</f>
        <v xml:space="preserve"> </v>
      </c>
      <c r="F265" s="92" t="str" cm="1">
        <f t="array" ref="F265">IFERROR(VLOOKUP($A265,'The List'!$B1:$AS671,8,FALSE)," ")</f>
        <v xml:space="preserve"> </v>
      </c>
      <c r="G265" s="92" t="str" cm="1">
        <f t="array" ref="G265">IFERROR(VLOOKUP($A265,'The List'!$B1:$AS671,10,FALSE)," ")</f>
        <v xml:space="preserve"> </v>
      </c>
      <c r="H265" s="55"/>
      <c r="I265" s="84" t="str" cm="1">
        <f t="array" ref="I265">IFERROR(VLOOKUP($A265,'The List'!$B1:$AS671,16,FALSE)," ")</f>
        <v xml:space="preserve"> </v>
      </c>
      <c r="J265" s="84" t="str" cm="1">
        <f t="array" ref="J265">IFERROR(VLOOKUP($A265,'The List'!$B1:$AS671,17,FALSE)," ")</f>
        <v xml:space="preserve"> </v>
      </c>
      <c r="K265" s="84" t="str" cm="1">
        <f t="array" ref="K265">IFERROR(VLOOKUP($A265,'The List'!$B1:$AS671,18,FALSE)," ")</f>
        <v xml:space="preserve"> </v>
      </c>
      <c r="L265" s="84" t="str" cm="1">
        <f t="array" ref="L265">IFERROR(VLOOKUP($A265,'The List'!$B1:$AS671,19,FALSE)," ")</f>
        <v xml:space="preserve"> </v>
      </c>
      <c r="M265" s="84" t="str" cm="1">
        <f t="array" ref="M265">IFERROR(VLOOKUP($A265,'The List'!$B1:$AS671,20,FALSE)," ")</f>
        <v xml:space="preserve"> </v>
      </c>
      <c r="N265" s="84" t="str" cm="1">
        <f t="array" ref="N265">IFERROR(VLOOKUP($A265,'The List'!$B1:$AS671,21,FALSE)," ")</f>
        <v xml:space="preserve"> </v>
      </c>
      <c r="O265" s="84" t="str" cm="1">
        <f t="array" ref="O265">IFERROR(VLOOKUP($A265,'The List'!$B1:$AS671,22,FALSE)," ")</f>
        <v xml:space="preserve"> </v>
      </c>
      <c r="P265" s="84" t="str" cm="1">
        <f t="array" ref="P265">IFERROR(VLOOKUP($A265,'The List'!$B1:$AS671,23,FALSE)," ")</f>
        <v xml:space="preserve"> </v>
      </c>
      <c r="Q265" s="84" t="str" cm="1">
        <f t="array" ref="Q265">IFERROR(VLOOKUP($A265,'The List'!$B1:$AS671,24,FALSE)," ")</f>
        <v xml:space="preserve"> </v>
      </c>
      <c r="R265" s="84" t="str" cm="1">
        <f t="array" ref="R265">IFERROR(VLOOKUP($A265,'The List'!$B1:$AS671,25,FALSE)," ")</f>
        <v xml:space="preserve"> </v>
      </c>
      <c r="S265" s="84" t="str" cm="1">
        <f t="array" ref="S265">IFERROR(VLOOKUP($A265,'The List'!$B1:$AS671,26,FALSE)," ")</f>
        <v xml:space="preserve"> </v>
      </c>
      <c r="T265" s="84" t="str" cm="1">
        <f t="array" ref="T265">IFERROR(VLOOKUP($A265,'The List'!$B1:$AS671,27,FALSE)," ")</f>
        <v xml:space="preserve"> </v>
      </c>
      <c r="U265" s="84" t="str" cm="1">
        <f t="array" ref="U265">IFERROR(VLOOKUP($A265,'The List'!$B1:$AS671,28,FALSE)," ")</f>
        <v xml:space="preserve"> </v>
      </c>
      <c r="V265" s="84" t="str" cm="1">
        <f t="array" ref="V265">IFERROR(VLOOKUP($A265,'The List'!$B1:$AS671,29,FALSE)," ")</f>
        <v xml:space="preserve"> </v>
      </c>
      <c r="W265" s="84" t="str" cm="1">
        <f t="array" ref="W265">IFERROR(VLOOKUP($A265,'The List'!$B1:$AS671,30,FALSE)," ")</f>
        <v xml:space="preserve"> </v>
      </c>
      <c r="X265" s="84" t="str" cm="1">
        <f t="array" ref="X265">IFERROR(VLOOKUP($A265,'The List'!$B1:$AS671,31,FALSE)," ")</f>
        <v xml:space="preserve"> </v>
      </c>
      <c r="Y265" s="84" t="str" cm="1">
        <f t="array" ref="Y265">IFERROR(VLOOKUP($A265,'The List'!$B1:$AS671,32,FALSE)," ")</f>
        <v xml:space="preserve"> </v>
      </c>
      <c r="Z265" s="84" t="str" cm="1">
        <f t="array" ref="Z265">IFERROR(VLOOKUP($A265,'The List'!$B1:$AS671,33,FALSE)," ")</f>
        <v xml:space="preserve"> </v>
      </c>
      <c r="AA265" s="85"/>
      <c r="AB265" s="90"/>
      <c r="AC265" s="90"/>
      <c r="AD265" s="90"/>
      <c r="AE265" s="90"/>
      <c r="AF265" s="90"/>
    </row>
    <row r="266" spans="1:32" ht="21.25" customHeight="1" x14ac:dyDescent="0.15">
      <c r="A266" s="24"/>
      <c r="B266" s="87" t="str" cm="1">
        <f t="array" ref="B266">IFERROR(VLOOKUP($A266,'The List'!$B1:$AS671,3,FALSE)," ")</f>
        <v xml:space="preserve"> </v>
      </c>
      <c r="C266" s="91" t="str" cm="1">
        <f t="array" ref="C266">IFERROR(VLOOKUP($A266,'The List'!$B1:$AS671,4,FALSE)," ")</f>
        <v xml:space="preserve"> </v>
      </c>
      <c r="D266" s="18" t="str" cm="1">
        <f t="array" ref="D266">IFERROR(VLOOKUP($A266,'The List'!$B1:$AS671,5,FALSE)," ")</f>
        <v xml:space="preserve"> </v>
      </c>
      <c r="E266" s="18" t="str" cm="1">
        <f t="array" ref="E266">IFERROR(VLOOKUP($A266,'The List'!$B1:$AS671,6,FALSE)," ")</f>
        <v xml:space="preserve"> </v>
      </c>
      <c r="F266" s="92" t="str" cm="1">
        <f t="array" ref="F266">IFERROR(VLOOKUP($A266,'The List'!$B1:$AS671,8,FALSE)," ")</f>
        <v xml:space="preserve"> </v>
      </c>
      <c r="G266" s="92" t="str" cm="1">
        <f t="array" ref="G266">IFERROR(VLOOKUP($A266,'The List'!$B1:$AS671,10,FALSE)," ")</f>
        <v xml:space="preserve"> </v>
      </c>
      <c r="H266" s="55"/>
      <c r="I266" s="84" t="str" cm="1">
        <f t="array" ref="I266">IFERROR(VLOOKUP($A266,'The List'!$B1:$AS671,16,FALSE)," ")</f>
        <v xml:space="preserve"> </v>
      </c>
      <c r="J266" s="84" t="str" cm="1">
        <f t="array" ref="J266">IFERROR(VLOOKUP($A266,'The List'!$B1:$AS671,17,FALSE)," ")</f>
        <v xml:space="preserve"> </v>
      </c>
      <c r="K266" s="84" t="str" cm="1">
        <f t="array" ref="K266">IFERROR(VLOOKUP($A266,'The List'!$B1:$AS671,18,FALSE)," ")</f>
        <v xml:space="preserve"> </v>
      </c>
      <c r="L266" s="84" t="str" cm="1">
        <f t="array" ref="L266">IFERROR(VLOOKUP($A266,'The List'!$B1:$AS671,19,FALSE)," ")</f>
        <v xml:space="preserve"> </v>
      </c>
      <c r="M266" s="84" t="str" cm="1">
        <f t="array" ref="M266">IFERROR(VLOOKUP($A266,'The List'!$B1:$AS671,20,FALSE)," ")</f>
        <v xml:space="preserve"> </v>
      </c>
      <c r="N266" s="84" t="str" cm="1">
        <f t="array" ref="N266">IFERROR(VLOOKUP($A266,'The List'!$B1:$AS671,21,FALSE)," ")</f>
        <v xml:space="preserve"> </v>
      </c>
      <c r="O266" s="84" t="str" cm="1">
        <f t="array" ref="O266">IFERROR(VLOOKUP($A266,'The List'!$B1:$AS671,22,FALSE)," ")</f>
        <v xml:space="preserve"> </v>
      </c>
      <c r="P266" s="84" t="str" cm="1">
        <f t="array" ref="P266">IFERROR(VLOOKUP($A266,'The List'!$B1:$AS671,23,FALSE)," ")</f>
        <v xml:space="preserve"> </v>
      </c>
      <c r="Q266" s="84" t="str" cm="1">
        <f t="array" ref="Q266">IFERROR(VLOOKUP($A266,'The List'!$B1:$AS671,24,FALSE)," ")</f>
        <v xml:space="preserve"> </v>
      </c>
      <c r="R266" s="84" t="str" cm="1">
        <f t="array" ref="R266">IFERROR(VLOOKUP($A266,'The List'!$B1:$AS671,25,FALSE)," ")</f>
        <v xml:space="preserve"> </v>
      </c>
      <c r="S266" s="84" t="str" cm="1">
        <f t="array" ref="S266">IFERROR(VLOOKUP($A266,'The List'!$B1:$AS671,26,FALSE)," ")</f>
        <v xml:space="preserve"> </v>
      </c>
      <c r="T266" s="84" t="str" cm="1">
        <f t="array" ref="T266">IFERROR(VLOOKUP($A266,'The List'!$B1:$AS671,27,FALSE)," ")</f>
        <v xml:space="preserve"> </v>
      </c>
      <c r="U266" s="84" t="str" cm="1">
        <f t="array" ref="U266">IFERROR(VLOOKUP($A266,'The List'!$B1:$AS671,28,FALSE)," ")</f>
        <v xml:space="preserve"> </v>
      </c>
      <c r="V266" s="84" t="str" cm="1">
        <f t="array" ref="V266">IFERROR(VLOOKUP($A266,'The List'!$B1:$AS671,29,FALSE)," ")</f>
        <v xml:space="preserve"> </v>
      </c>
      <c r="W266" s="84" t="str" cm="1">
        <f t="array" ref="W266">IFERROR(VLOOKUP($A266,'The List'!$B1:$AS671,30,FALSE)," ")</f>
        <v xml:space="preserve"> </v>
      </c>
      <c r="X266" s="84" t="str" cm="1">
        <f t="array" ref="X266">IFERROR(VLOOKUP($A266,'The List'!$B1:$AS671,31,FALSE)," ")</f>
        <v xml:space="preserve"> </v>
      </c>
      <c r="Y266" s="84" t="str" cm="1">
        <f t="array" ref="Y266">IFERROR(VLOOKUP($A266,'The List'!$B1:$AS671,32,FALSE)," ")</f>
        <v xml:space="preserve"> </v>
      </c>
      <c r="Z266" s="84" t="str" cm="1">
        <f t="array" ref="Z266">IFERROR(VLOOKUP($A266,'The List'!$B1:$AS671,33,FALSE)," ")</f>
        <v xml:space="preserve"> </v>
      </c>
      <c r="AA266" s="85"/>
      <c r="AB266" s="90"/>
      <c r="AC266" s="90"/>
      <c r="AD266" s="90"/>
      <c r="AE266" s="90"/>
      <c r="AF266" s="90"/>
    </row>
    <row r="267" spans="1:32" ht="21.25" customHeight="1" x14ac:dyDescent="0.15">
      <c r="A267" s="24"/>
      <c r="B267" s="93" t="str" cm="1">
        <f t="array" ref="B267">IFERROR(VLOOKUP($A267,'The List'!$B1:$AS671,3,FALSE)," ")</f>
        <v xml:space="preserve"> </v>
      </c>
      <c r="C267" s="95" t="str" cm="1">
        <f t="array" ref="C267">IFERROR(VLOOKUP($A267,'The List'!$B1:$AS671,4,FALSE)," ")</f>
        <v xml:space="preserve"> </v>
      </c>
      <c r="D267" s="18" t="str" cm="1">
        <f t="array" ref="D267">IFERROR(VLOOKUP($A267,'The List'!$B1:$AS671,5,FALSE)," ")</f>
        <v xml:space="preserve"> </v>
      </c>
      <c r="E267" s="18" t="str" cm="1">
        <f t="array" ref="E267">IFERROR(VLOOKUP($A267,'The List'!$B1:$AS671,6,FALSE)," ")</f>
        <v xml:space="preserve"> </v>
      </c>
      <c r="F267" s="92" t="str" cm="1">
        <f t="array" ref="F267">IFERROR(VLOOKUP($A267,'The List'!$B1:$AS671,8,FALSE)," ")</f>
        <v xml:space="preserve"> </v>
      </c>
      <c r="G267" s="92" t="str" cm="1">
        <f t="array" ref="G267">IFERROR(VLOOKUP($A267,'The List'!$B1:$AS671,10,FALSE)," ")</f>
        <v xml:space="preserve"> </v>
      </c>
      <c r="H267" s="55"/>
      <c r="I267" s="84" t="str" cm="1">
        <f t="array" ref="I267">IFERROR(VLOOKUP($A267,'The List'!$B1:$AS671,16,FALSE)," ")</f>
        <v xml:space="preserve"> </v>
      </c>
      <c r="J267" s="84" t="str" cm="1">
        <f t="array" ref="J267">IFERROR(VLOOKUP($A267,'The List'!$B1:$AS671,17,FALSE)," ")</f>
        <v xml:space="preserve"> </v>
      </c>
      <c r="K267" s="84" t="str" cm="1">
        <f t="array" ref="K267">IFERROR(VLOOKUP($A267,'The List'!$B1:$AS671,18,FALSE)," ")</f>
        <v xml:space="preserve"> </v>
      </c>
      <c r="L267" s="84" t="str" cm="1">
        <f t="array" ref="L267">IFERROR(VLOOKUP($A267,'The List'!$B1:$AS671,19,FALSE)," ")</f>
        <v xml:space="preserve"> </v>
      </c>
      <c r="M267" s="84" t="str" cm="1">
        <f t="array" ref="M267">IFERROR(VLOOKUP($A267,'The List'!$B1:$AS671,20,FALSE)," ")</f>
        <v xml:space="preserve"> </v>
      </c>
      <c r="N267" s="84" t="str" cm="1">
        <f t="array" ref="N267">IFERROR(VLOOKUP($A267,'The List'!$B1:$AS671,21,FALSE)," ")</f>
        <v xml:space="preserve"> </v>
      </c>
      <c r="O267" s="84" t="str" cm="1">
        <f t="array" ref="O267">IFERROR(VLOOKUP($A267,'The List'!$B1:$AS671,22,FALSE)," ")</f>
        <v xml:space="preserve"> </v>
      </c>
      <c r="P267" s="84" t="str" cm="1">
        <f t="array" ref="P267">IFERROR(VLOOKUP($A267,'The List'!$B1:$AS671,23,FALSE)," ")</f>
        <v xml:space="preserve"> </v>
      </c>
      <c r="Q267" s="84" t="str" cm="1">
        <f t="array" ref="Q267">IFERROR(VLOOKUP($A267,'The List'!$B1:$AS671,24,FALSE)," ")</f>
        <v xml:space="preserve"> </v>
      </c>
      <c r="R267" s="84" t="str" cm="1">
        <f t="array" ref="R267">IFERROR(VLOOKUP($A267,'The List'!$B1:$AS671,25,FALSE)," ")</f>
        <v xml:space="preserve"> </v>
      </c>
      <c r="S267" s="84" t="str" cm="1">
        <f t="array" ref="S267">IFERROR(VLOOKUP($A267,'The List'!$B1:$AS671,26,FALSE)," ")</f>
        <v xml:space="preserve"> </v>
      </c>
      <c r="T267" s="84" t="str" cm="1">
        <f t="array" ref="T267">IFERROR(VLOOKUP($A267,'The List'!$B1:$AS671,27,FALSE)," ")</f>
        <v xml:space="preserve"> </v>
      </c>
      <c r="U267" s="84" t="str" cm="1">
        <f t="array" ref="U267">IFERROR(VLOOKUP($A267,'The List'!$B1:$AS671,28,FALSE)," ")</f>
        <v xml:space="preserve"> </v>
      </c>
      <c r="V267" s="84" t="str" cm="1">
        <f t="array" ref="V267">IFERROR(VLOOKUP($A267,'The List'!$B1:$AS671,29,FALSE)," ")</f>
        <v xml:space="preserve"> </v>
      </c>
      <c r="W267" s="84" t="str" cm="1">
        <f t="array" ref="W267">IFERROR(VLOOKUP($A267,'The List'!$B1:$AS671,30,FALSE)," ")</f>
        <v xml:space="preserve"> </v>
      </c>
      <c r="X267" s="84" t="str" cm="1">
        <f t="array" ref="X267">IFERROR(VLOOKUP($A267,'The List'!$B1:$AS671,31,FALSE)," ")</f>
        <v xml:space="preserve"> </v>
      </c>
      <c r="Y267" s="84" t="str" cm="1">
        <f t="array" ref="Y267">IFERROR(VLOOKUP($A267,'The List'!$B1:$AS671,32,FALSE)," ")</f>
        <v xml:space="preserve"> </v>
      </c>
      <c r="Z267" s="84" t="str" cm="1">
        <f t="array" ref="Z267">IFERROR(VLOOKUP($A267,'The List'!$B1:$AS671,33,FALSE)," ")</f>
        <v xml:space="preserve"> </v>
      </c>
      <c r="AA267" s="85"/>
      <c r="AB267" s="90"/>
      <c r="AC267" s="90"/>
      <c r="AD267" s="90"/>
      <c r="AE267" s="90"/>
      <c r="AF267" s="90"/>
    </row>
    <row r="268" spans="1:32" ht="21.25" customHeight="1" x14ac:dyDescent="0.15">
      <c r="A268" s="24"/>
      <c r="B268" s="93" t="str" cm="1">
        <f t="array" ref="B268">IFERROR(VLOOKUP($A268,'The List'!$B1:$AS671,3,FALSE)," ")</f>
        <v xml:space="preserve"> </v>
      </c>
      <c r="C268" s="95" t="str" cm="1">
        <f t="array" ref="C268">IFERROR(VLOOKUP($A268,'The List'!$B1:$AS671,4,FALSE)," ")</f>
        <v xml:space="preserve"> </v>
      </c>
      <c r="D268" s="18" t="str" cm="1">
        <f t="array" ref="D268">IFERROR(VLOOKUP($A268,'The List'!$B1:$AS671,5,FALSE)," ")</f>
        <v xml:space="preserve"> </v>
      </c>
      <c r="E268" s="18" t="str" cm="1">
        <f t="array" ref="E268">IFERROR(VLOOKUP($A268,'The List'!$B1:$AS671,6,FALSE)," ")</f>
        <v xml:space="preserve"> </v>
      </c>
      <c r="F268" s="92" t="str" cm="1">
        <f t="array" ref="F268">IFERROR(VLOOKUP($A268,'The List'!$B1:$AS671,8,FALSE)," ")</f>
        <v xml:space="preserve"> </v>
      </c>
      <c r="G268" s="92" t="str" cm="1">
        <f t="array" ref="G268">IFERROR(VLOOKUP($A268,'The List'!$B1:$AS671,10,FALSE)," ")</f>
        <v xml:space="preserve"> </v>
      </c>
      <c r="H268" s="55"/>
      <c r="I268" s="84" t="str" cm="1">
        <f t="array" ref="I268">IFERROR(VLOOKUP($A268,'The List'!$B1:$AS671,16,FALSE)," ")</f>
        <v xml:space="preserve"> </v>
      </c>
      <c r="J268" s="84" t="str" cm="1">
        <f t="array" ref="J268">IFERROR(VLOOKUP($A268,'The List'!$B1:$AS671,17,FALSE)," ")</f>
        <v xml:space="preserve"> </v>
      </c>
      <c r="K268" s="84" t="str" cm="1">
        <f t="array" ref="K268">IFERROR(VLOOKUP($A268,'The List'!$B1:$AS671,18,FALSE)," ")</f>
        <v xml:space="preserve"> </v>
      </c>
      <c r="L268" s="84" t="str" cm="1">
        <f t="array" ref="L268">IFERROR(VLOOKUP($A268,'The List'!$B1:$AS671,19,FALSE)," ")</f>
        <v xml:space="preserve"> </v>
      </c>
      <c r="M268" s="84" t="str" cm="1">
        <f t="array" ref="M268">IFERROR(VLOOKUP($A268,'The List'!$B1:$AS671,20,FALSE)," ")</f>
        <v xml:space="preserve"> </v>
      </c>
      <c r="N268" s="84" t="str" cm="1">
        <f t="array" ref="N268">IFERROR(VLOOKUP($A268,'The List'!$B1:$AS671,21,FALSE)," ")</f>
        <v xml:space="preserve"> </v>
      </c>
      <c r="O268" s="84" t="str" cm="1">
        <f t="array" ref="O268">IFERROR(VLOOKUP($A268,'The List'!$B1:$AS671,22,FALSE)," ")</f>
        <v xml:space="preserve"> </v>
      </c>
      <c r="P268" s="84" t="str" cm="1">
        <f t="array" ref="P268">IFERROR(VLOOKUP($A268,'The List'!$B1:$AS671,23,FALSE)," ")</f>
        <v xml:space="preserve"> </v>
      </c>
      <c r="Q268" s="84" t="str" cm="1">
        <f t="array" ref="Q268">IFERROR(VLOOKUP($A268,'The List'!$B1:$AS671,24,FALSE)," ")</f>
        <v xml:space="preserve"> </v>
      </c>
      <c r="R268" s="84" t="str" cm="1">
        <f t="array" ref="R268">IFERROR(VLOOKUP($A268,'The List'!$B1:$AS671,25,FALSE)," ")</f>
        <v xml:space="preserve"> </v>
      </c>
      <c r="S268" s="84" t="str" cm="1">
        <f t="array" ref="S268">IFERROR(VLOOKUP($A268,'The List'!$B1:$AS671,26,FALSE)," ")</f>
        <v xml:space="preserve"> </v>
      </c>
      <c r="T268" s="84" t="str" cm="1">
        <f t="array" ref="T268">IFERROR(VLOOKUP($A268,'The List'!$B1:$AS671,27,FALSE)," ")</f>
        <v xml:space="preserve"> </v>
      </c>
      <c r="U268" s="84" t="str" cm="1">
        <f t="array" ref="U268">IFERROR(VLOOKUP($A268,'The List'!$B1:$AS671,28,FALSE)," ")</f>
        <v xml:space="preserve"> </v>
      </c>
      <c r="V268" s="84" t="str" cm="1">
        <f t="array" ref="V268">IFERROR(VLOOKUP($A268,'The List'!$B1:$AS671,29,FALSE)," ")</f>
        <v xml:space="preserve"> </v>
      </c>
      <c r="W268" s="84" t="str" cm="1">
        <f t="array" ref="W268">IFERROR(VLOOKUP($A268,'The List'!$B1:$AS671,30,FALSE)," ")</f>
        <v xml:space="preserve"> </v>
      </c>
      <c r="X268" s="84" t="str" cm="1">
        <f t="array" ref="X268">IFERROR(VLOOKUP($A268,'The List'!$B1:$AS671,31,FALSE)," ")</f>
        <v xml:space="preserve"> </v>
      </c>
      <c r="Y268" s="84" t="str" cm="1">
        <f t="array" ref="Y268">IFERROR(VLOOKUP($A268,'The List'!$B1:$AS671,32,FALSE)," ")</f>
        <v xml:space="preserve"> </v>
      </c>
      <c r="Z268" s="84" t="str" cm="1">
        <f t="array" ref="Z268">IFERROR(VLOOKUP($A268,'The List'!$B1:$AS671,33,FALSE)," ")</f>
        <v xml:space="preserve"> </v>
      </c>
      <c r="AA268" s="85"/>
      <c r="AB268" s="90"/>
      <c r="AC268" s="90"/>
      <c r="AD268" s="90"/>
      <c r="AE268" s="90"/>
      <c r="AF268" s="90"/>
    </row>
    <row r="269" spans="1:32" ht="21.25" customHeight="1" x14ac:dyDescent="0.15">
      <c r="A269" s="24"/>
      <c r="B269" s="93" t="str" cm="1">
        <f t="array" ref="B269">IFERROR(VLOOKUP($A269,'The List'!$B1:$AS671,3,FALSE)," ")</f>
        <v xml:space="preserve"> </v>
      </c>
      <c r="C269" s="95" t="str" cm="1">
        <f t="array" ref="C269">IFERROR(VLOOKUP($A269,'The List'!$B1:$AS671,4,FALSE)," ")</f>
        <v xml:space="preserve"> </v>
      </c>
      <c r="D269" s="18" t="str" cm="1">
        <f t="array" ref="D269">IFERROR(VLOOKUP($A269,'The List'!$B1:$AS671,5,FALSE)," ")</f>
        <v xml:space="preserve"> </v>
      </c>
      <c r="E269" s="18" t="str" cm="1">
        <f t="array" ref="E269">IFERROR(VLOOKUP($A269,'The List'!$B1:$AS671,6,FALSE)," ")</f>
        <v xml:space="preserve"> </v>
      </c>
      <c r="F269" s="92" t="str" cm="1">
        <f t="array" ref="F269">IFERROR(VLOOKUP($A269,'The List'!$B1:$AS671,8,FALSE)," ")</f>
        <v xml:space="preserve"> </v>
      </c>
      <c r="G269" s="92" t="str" cm="1">
        <f t="array" ref="G269">IFERROR(VLOOKUP($A269,'The List'!$B1:$AS671,10,FALSE)," ")</f>
        <v xml:space="preserve"> </v>
      </c>
      <c r="H269" s="55"/>
      <c r="I269" s="84" t="str" cm="1">
        <f t="array" ref="I269">IFERROR(VLOOKUP($A269,'The List'!$B1:$AS671,16,FALSE)," ")</f>
        <v xml:space="preserve"> </v>
      </c>
      <c r="J269" s="84" t="str" cm="1">
        <f t="array" ref="J269">IFERROR(VLOOKUP($A269,'The List'!$B1:$AS671,17,FALSE)," ")</f>
        <v xml:space="preserve"> </v>
      </c>
      <c r="K269" s="84" t="str" cm="1">
        <f t="array" ref="K269">IFERROR(VLOOKUP($A269,'The List'!$B1:$AS671,18,FALSE)," ")</f>
        <v xml:space="preserve"> </v>
      </c>
      <c r="L269" s="84" t="str" cm="1">
        <f t="array" ref="L269">IFERROR(VLOOKUP($A269,'The List'!$B1:$AS671,19,FALSE)," ")</f>
        <v xml:space="preserve"> </v>
      </c>
      <c r="M269" s="84" t="str" cm="1">
        <f t="array" ref="M269">IFERROR(VLOOKUP($A269,'The List'!$B1:$AS671,20,FALSE)," ")</f>
        <v xml:space="preserve"> </v>
      </c>
      <c r="N269" s="84" t="str" cm="1">
        <f t="array" ref="N269">IFERROR(VLOOKUP($A269,'The List'!$B1:$AS671,21,FALSE)," ")</f>
        <v xml:space="preserve"> </v>
      </c>
      <c r="O269" s="84" t="str" cm="1">
        <f t="array" ref="O269">IFERROR(VLOOKUP($A269,'The List'!$B1:$AS671,22,FALSE)," ")</f>
        <v xml:space="preserve"> </v>
      </c>
      <c r="P269" s="84" t="str" cm="1">
        <f t="array" ref="P269">IFERROR(VLOOKUP($A269,'The List'!$B1:$AS671,23,FALSE)," ")</f>
        <v xml:space="preserve"> </v>
      </c>
      <c r="Q269" s="84" t="str" cm="1">
        <f t="array" ref="Q269">IFERROR(VLOOKUP($A269,'The List'!$B1:$AS671,24,FALSE)," ")</f>
        <v xml:space="preserve"> </v>
      </c>
      <c r="R269" s="84" t="str" cm="1">
        <f t="array" ref="R269">IFERROR(VLOOKUP($A269,'The List'!$B1:$AS671,25,FALSE)," ")</f>
        <v xml:space="preserve"> </v>
      </c>
      <c r="S269" s="84" t="str" cm="1">
        <f t="array" ref="S269">IFERROR(VLOOKUP($A269,'The List'!$B1:$AS671,26,FALSE)," ")</f>
        <v xml:space="preserve"> </v>
      </c>
      <c r="T269" s="84" t="str" cm="1">
        <f t="array" ref="T269">IFERROR(VLOOKUP($A269,'The List'!$B1:$AS671,27,FALSE)," ")</f>
        <v xml:space="preserve"> </v>
      </c>
      <c r="U269" s="84" t="str" cm="1">
        <f t="array" ref="U269">IFERROR(VLOOKUP($A269,'The List'!$B1:$AS671,28,FALSE)," ")</f>
        <v xml:space="preserve"> </v>
      </c>
      <c r="V269" s="84" t="str" cm="1">
        <f t="array" ref="V269">IFERROR(VLOOKUP($A269,'The List'!$B1:$AS671,29,FALSE)," ")</f>
        <v xml:space="preserve"> </v>
      </c>
      <c r="W269" s="84" t="str" cm="1">
        <f t="array" ref="W269">IFERROR(VLOOKUP($A269,'The List'!$B1:$AS671,30,FALSE)," ")</f>
        <v xml:space="preserve"> </v>
      </c>
      <c r="X269" s="84" t="str" cm="1">
        <f t="array" ref="X269">IFERROR(VLOOKUP($A269,'The List'!$B1:$AS671,31,FALSE)," ")</f>
        <v xml:space="preserve"> </v>
      </c>
      <c r="Y269" s="84" t="str" cm="1">
        <f t="array" ref="Y269">IFERROR(VLOOKUP($A269,'The List'!$B1:$AS671,32,FALSE)," ")</f>
        <v xml:space="preserve"> </v>
      </c>
      <c r="Z269" s="84" t="str" cm="1">
        <f t="array" ref="Z269">IFERROR(VLOOKUP($A269,'The List'!$B1:$AS671,33,FALSE)," ")</f>
        <v xml:space="preserve"> </v>
      </c>
      <c r="AA269" s="85"/>
      <c r="AB269" s="90"/>
      <c r="AC269" s="90"/>
      <c r="AD269" s="90"/>
      <c r="AE269" s="90"/>
      <c r="AF269" s="90"/>
    </row>
    <row r="270" spans="1:32" ht="21.25" customHeight="1" x14ac:dyDescent="0.15">
      <c r="A270" s="24"/>
      <c r="B270" s="93" t="str" cm="1">
        <f t="array" ref="B270">IFERROR(VLOOKUP($A270,'The List'!$B1:$AS671,3,FALSE)," ")</f>
        <v xml:space="preserve"> </v>
      </c>
      <c r="C270" s="95" t="str" cm="1">
        <f t="array" ref="C270">IFERROR(VLOOKUP($A270,'The List'!$B1:$AS671,4,FALSE)," ")</f>
        <v xml:space="preserve"> </v>
      </c>
      <c r="D270" s="18" t="str" cm="1">
        <f t="array" ref="D270">IFERROR(VLOOKUP($A270,'The List'!$B1:$AS671,5,FALSE)," ")</f>
        <v xml:space="preserve"> </v>
      </c>
      <c r="E270" s="18" t="str" cm="1">
        <f t="array" ref="E270">IFERROR(VLOOKUP($A270,'The List'!$B1:$AS671,6,FALSE)," ")</f>
        <v xml:space="preserve"> </v>
      </c>
      <c r="F270" s="92" t="str" cm="1">
        <f t="array" ref="F270">IFERROR(VLOOKUP($A270,'The List'!$B1:$AS671,8,FALSE)," ")</f>
        <v xml:space="preserve"> </v>
      </c>
      <c r="G270" s="92" t="str" cm="1">
        <f t="array" ref="G270">IFERROR(VLOOKUP($A270,'The List'!$B1:$AS671,10,FALSE)," ")</f>
        <v xml:space="preserve"> </v>
      </c>
      <c r="H270" s="55"/>
      <c r="I270" s="84" t="str" cm="1">
        <f t="array" ref="I270">IFERROR(VLOOKUP($A270,'The List'!$B1:$AS671,16,FALSE)," ")</f>
        <v xml:space="preserve"> </v>
      </c>
      <c r="J270" s="84" t="str" cm="1">
        <f t="array" ref="J270">IFERROR(VLOOKUP($A270,'The List'!$B1:$AS671,17,FALSE)," ")</f>
        <v xml:space="preserve"> </v>
      </c>
      <c r="K270" s="84" t="str" cm="1">
        <f t="array" ref="K270">IFERROR(VLOOKUP($A270,'The List'!$B1:$AS671,18,FALSE)," ")</f>
        <v xml:space="preserve"> </v>
      </c>
      <c r="L270" s="84" t="str" cm="1">
        <f t="array" ref="L270">IFERROR(VLOOKUP($A270,'The List'!$B1:$AS671,19,FALSE)," ")</f>
        <v xml:space="preserve"> </v>
      </c>
      <c r="M270" s="84" t="str" cm="1">
        <f t="array" ref="M270">IFERROR(VLOOKUP($A270,'The List'!$B1:$AS671,20,FALSE)," ")</f>
        <v xml:space="preserve"> </v>
      </c>
      <c r="N270" s="84" t="str" cm="1">
        <f t="array" ref="N270">IFERROR(VLOOKUP($A270,'The List'!$B1:$AS671,21,FALSE)," ")</f>
        <v xml:space="preserve"> </v>
      </c>
      <c r="O270" s="84" t="str" cm="1">
        <f t="array" ref="O270">IFERROR(VLOOKUP($A270,'The List'!$B1:$AS671,22,FALSE)," ")</f>
        <v xml:space="preserve"> </v>
      </c>
      <c r="P270" s="84" t="str" cm="1">
        <f t="array" ref="P270">IFERROR(VLOOKUP($A270,'The List'!$B1:$AS671,23,FALSE)," ")</f>
        <v xml:space="preserve"> </v>
      </c>
      <c r="Q270" s="84" t="str" cm="1">
        <f t="array" ref="Q270">IFERROR(VLOOKUP($A270,'The List'!$B1:$AS671,24,FALSE)," ")</f>
        <v xml:space="preserve"> </v>
      </c>
      <c r="R270" s="84" t="str" cm="1">
        <f t="array" ref="R270">IFERROR(VLOOKUP($A270,'The List'!$B1:$AS671,25,FALSE)," ")</f>
        <v xml:space="preserve"> </v>
      </c>
      <c r="S270" s="84" t="str" cm="1">
        <f t="array" ref="S270">IFERROR(VLOOKUP($A270,'The List'!$B1:$AS671,26,FALSE)," ")</f>
        <v xml:space="preserve"> </v>
      </c>
      <c r="T270" s="84" t="str" cm="1">
        <f t="array" ref="T270">IFERROR(VLOOKUP($A270,'The List'!$B1:$AS671,27,FALSE)," ")</f>
        <v xml:space="preserve"> </v>
      </c>
      <c r="U270" s="84" t="str" cm="1">
        <f t="array" ref="U270">IFERROR(VLOOKUP($A270,'The List'!$B1:$AS671,28,FALSE)," ")</f>
        <v xml:space="preserve"> </v>
      </c>
      <c r="V270" s="84" t="str" cm="1">
        <f t="array" ref="V270">IFERROR(VLOOKUP($A270,'The List'!$B1:$AS671,29,FALSE)," ")</f>
        <v xml:space="preserve"> </v>
      </c>
      <c r="W270" s="84" t="str" cm="1">
        <f t="array" ref="W270">IFERROR(VLOOKUP($A270,'The List'!$B1:$AS671,30,FALSE)," ")</f>
        <v xml:space="preserve"> </v>
      </c>
      <c r="X270" s="84" t="str" cm="1">
        <f t="array" ref="X270">IFERROR(VLOOKUP($A270,'The List'!$B1:$AS671,31,FALSE)," ")</f>
        <v xml:space="preserve"> </v>
      </c>
      <c r="Y270" s="84" t="str" cm="1">
        <f t="array" ref="Y270">IFERROR(VLOOKUP($A270,'The List'!$B1:$AS671,32,FALSE)," ")</f>
        <v xml:space="preserve"> </v>
      </c>
      <c r="Z270" s="84" t="str" cm="1">
        <f t="array" ref="Z270">IFERROR(VLOOKUP($A270,'The List'!$B1:$AS671,33,FALSE)," ")</f>
        <v xml:space="preserve"> </v>
      </c>
      <c r="AA270" s="85"/>
      <c r="AB270" s="90"/>
      <c r="AC270" s="90"/>
      <c r="AD270" s="90"/>
      <c r="AE270" s="90"/>
      <c r="AF270" s="90"/>
    </row>
    <row r="271" spans="1:32" ht="21.25" customHeight="1" x14ac:dyDescent="0.15">
      <c r="A271" s="24"/>
      <c r="B271" s="96" t="str" cm="1">
        <f t="array" ref="B271">IFERROR(VLOOKUP($A271,'The List'!$B1:$AS671,3,FALSE)," ")</f>
        <v xml:space="preserve"> </v>
      </c>
      <c r="C271" s="98" t="str" cm="1">
        <f t="array" ref="C271">IFERROR(VLOOKUP($A271,'The List'!$B1:$AS671,4,FALSE)," ")</f>
        <v xml:space="preserve"> </v>
      </c>
      <c r="D271" s="18" t="str" cm="1">
        <f t="array" ref="D271">IFERROR(VLOOKUP($A271,'The List'!$B1:$AS671,5,FALSE)," ")</f>
        <v xml:space="preserve"> </v>
      </c>
      <c r="E271" s="18" t="str" cm="1">
        <f t="array" ref="E271">IFERROR(VLOOKUP($A271,'The List'!$B1:$AS671,6,FALSE)," ")</f>
        <v xml:space="preserve"> </v>
      </c>
      <c r="F271" s="92" t="str" cm="1">
        <f t="array" ref="F271">IFERROR(VLOOKUP($A271,'The List'!$B1:$AS671,8,FALSE)," ")</f>
        <v xml:space="preserve"> </v>
      </c>
      <c r="G271" s="92" t="str" cm="1">
        <f t="array" ref="G271">IFERROR(VLOOKUP($A271,'The List'!$B1:$AS671,10,FALSE)," ")</f>
        <v xml:space="preserve"> </v>
      </c>
      <c r="H271" s="55"/>
      <c r="I271" s="84" t="str" cm="1">
        <f t="array" ref="I271">IFERROR(VLOOKUP($A271,'The List'!$B1:$AS671,16,FALSE)," ")</f>
        <v xml:space="preserve"> </v>
      </c>
      <c r="J271" s="84" t="str" cm="1">
        <f t="array" ref="J271">IFERROR(VLOOKUP($A271,'The List'!$B1:$AS671,17,FALSE)," ")</f>
        <v xml:space="preserve"> </v>
      </c>
      <c r="K271" s="84" t="str" cm="1">
        <f t="array" ref="K271">IFERROR(VLOOKUP($A271,'The List'!$B1:$AS671,18,FALSE)," ")</f>
        <v xml:space="preserve"> </v>
      </c>
      <c r="L271" s="84" t="str" cm="1">
        <f t="array" ref="L271">IFERROR(VLOOKUP($A271,'The List'!$B1:$AS671,19,FALSE)," ")</f>
        <v xml:space="preserve"> </v>
      </c>
      <c r="M271" s="84" t="str" cm="1">
        <f t="array" ref="M271">IFERROR(VLOOKUP($A271,'The List'!$B1:$AS671,20,FALSE)," ")</f>
        <v xml:space="preserve"> </v>
      </c>
      <c r="N271" s="84" t="str" cm="1">
        <f t="array" ref="N271">IFERROR(VLOOKUP($A271,'The List'!$B1:$AS671,21,FALSE)," ")</f>
        <v xml:space="preserve"> </v>
      </c>
      <c r="O271" s="84" t="str" cm="1">
        <f t="array" ref="O271">IFERROR(VLOOKUP($A271,'The List'!$B1:$AS671,22,FALSE)," ")</f>
        <v xml:space="preserve"> </v>
      </c>
      <c r="P271" s="84" t="str" cm="1">
        <f t="array" ref="P271">IFERROR(VLOOKUP($A271,'The List'!$B1:$AS671,23,FALSE)," ")</f>
        <v xml:space="preserve"> </v>
      </c>
      <c r="Q271" s="84" t="str" cm="1">
        <f t="array" ref="Q271">IFERROR(VLOOKUP($A271,'The List'!$B1:$AS671,24,FALSE)," ")</f>
        <v xml:space="preserve"> </v>
      </c>
      <c r="R271" s="84" t="str" cm="1">
        <f t="array" ref="R271">IFERROR(VLOOKUP($A271,'The List'!$B1:$AS671,25,FALSE)," ")</f>
        <v xml:space="preserve"> </v>
      </c>
      <c r="S271" s="84" t="str" cm="1">
        <f t="array" ref="S271">IFERROR(VLOOKUP($A271,'The List'!$B1:$AS671,26,FALSE)," ")</f>
        <v xml:space="preserve"> </v>
      </c>
      <c r="T271" s="84" t="str" cm="1">
        <f t="array" ref="T271">IFERROR(VLOOKUP($A271,'The List'!$B1:$AS671,27,FALSE)," ")</f>
        <v xml:space="preserve"> </v>
      </c>
      <c r="U271" s="84" t="str" cm="1">
        <f t="array" ref="U271">IFERROR(VLOOKUP($A271,'The List'!$B1:$AS671,28,FALSE)," ")</f>
        <v xml:space="preserve"> </v>
      </c>
      <c r="V271" s="84" t="str" cm="1">
        <f t="array" ref="V271">IFERROR(VLOOKUP($A271,'The List'!$B1:$AS671,29,FALSE)," ")</f>
        <v xml:space="preserve"> </v>
      </c>
      <c r="W271" s="84" t="str" cm="1">
        <f t="array" ref="W271">IFERROR(VLOOKUP($A271,'The List'!$B1:$AS671,30,FALSE)," ")</f>
        <v xml:space="preserve"> </v>
      </c>
      <c r="X271" s="84" t="str" cm="1">
        <f t="array" ref="X271">IFERROR(VLOOKUP($A271,'The List'!$B1:$AS671,31,FALSE)," ")</f>
        <v xml:space="preserve"> </v>
      </c>
      <c r="Y271" s="84" t="str" cm="1">
        <f t="array" ref="Y271">IFERROR(VLOOKUP($A271,'The List'!$B1:$AS671,32,FALSE)," ")</f>
        <v xml:space="preserve"> </v>
      </c>
      <c r="Z271" s="84" t="str" cm="1">
        <f t="array" ref="Z271">IFERROR(VLOOKUP($A271,'The List'!$B1:$AS671,33,FALSE)," ")</f>
        <v xml:space="preserve"> </v>
      </c>
      <c r="AA271" s="85"/>
      <c r="AB271" s="90"/>
      <c r="AC271" s="90"/>
      <c r="AD271" s="90"/>
      <c r="AE271" s="90"/>
      <c r="AF271" s="90"/>
    </row>
    <row r="272" spans="1:32" ht="21.25" customHeight="1" x14ac:dyDescent="0.15">
      <c r="A272" s="24"/>
      <c r="B272" s="96" t="str" cm="1">
        <f t="array" ref="B272">IFERROR(VLOOKUP($A272,'The List'!$B1:$AS671,3,FALSE)," ")</f>
        <v xml:space="preserve"> </v>
      </c>
      <c r="C272" s="98" t="str" cm="1">
        <f t="array" ref="C272">IFERROR(VLOOKUP($A272,'The List'!$B1:$AS671,4,FALSE)," ")</f>
        <v xml:space="preserve"> </v>
      </c>
      <c r="D272" s="18" t="str" cm="1">
        <f t="array" ref="D272">IFERROR(VLOOKUP($A272,'The List'!$B1:$AS671,5,FALSE)," ")</f>
        <v xml:space="preserve"> </v>
      </c>
      <c r="E272" s="18" t="str" cm="1">
        <f t="array" ref="E272">IFERROR(VLOOKUP($A272,'The List'!$B1:$AS671,6,FALSE)," ")</f>
        <v xml:space="preserve"> </v>
      </c>
      <c r="F272" s="92" t="str" cm="1">
        <f t="array" ref="F272">IFERROR(VLOOKUP($A272,'The List'!$B1:$AS671,8,FALSE)," ")</f>
        <v xml:space="preserve"> </v>
      </c>
      <c r="G272" s="92" t="str" cm="1">
        <f t="array" ref="G272">IFERROR(VLOOKUP($A272,'The List'!$B1:$AS671,10,FALSE)," ")</f>
        <v xml:space="preserve"> </v>
      </c>
      <c r="H272" s="55"/>
      <c r="I272" s="84" t="str" cm="1">
        <f t="array" ref="I272">IFERROR(VLOOKUP($A272,'The List'!$B1:$AS671,16,FALSE)," ")</f>
        <v xml:space="preserve"> </v>
      </c>
      <c r="J272" s="84" t="str" cm="1">
        <f t="array" ref="J272">IFERROR(VLOOKUP($A272,'The List'!$B1:$AS671,17,FALSE)," ")</f>
        <v xml:space="preserve"> </v>
      </c>
      <c r="K272" s="84" t="str" cm="1">
        <f t="array" ref="K272">IFERROR(VLOOKUP($A272,'The List'!$B1:$AS671,18,FALSE)," ")</f>
        <v xml:space="preserve"> </v>
      </c>
      <c r="L272" s="84" t="str" cm="1">
        <f t="array" ref="L272">IFERROR(VLOOKUP($A272,'The List'!$B1:$AS671,19,FALSE)," ")</f>
        <v xml:space="preserve"> </v>
      </c>
      <c r="M272" s="84" t="str" cm="1">
        <f t="array" ref="M272">IFERROR(VLOOKUP($A272,'The List'!$B1:$AS671,20,FALSE)," ")</f>
        <v xml:space="preserve"> </v>
      </c>
      <c r="N272" s="84" t="str" cm="1">
        <f t="array" ref="N272">IFERROR(VLOOKUP($A272,'The List'!$B1:$AS671,21,FALSE)," ")</f>
        <v xml:space="preserve"> </v>
      </c>
      <c r="O272" s="84" t="str" cm="1">
        <f t="array" ref="O272">IFERROR(VLOOKUP($A272,'The List'!$B1:$AS671,22,FALSE)," ")</f>
        <v xml:space="preserve"> </v>
      </c>
      <c r="P272" s="84" t="str" cm="1">
        <f t="array" ref="P272">IFERROR(VLOOKUP($A272,'The List'!$B1:$AS671,23,FALSE)," ")</f>
        <v xml:space="preserve"> </v>
      </c>
      <c r="Q272" s="84" t="str" cm="1">
        <f t="array" ref="Q272">IFERROR(VLOOKUP($A272,'The List'!$B1:$AS671,24,FALSE)," ")</f>
        <v xml:space="preserve"> </v>
      </c>
      <c r="R272" s="84" t="str" cm="1">
        <f t="array" ref="R272">IFERROR(VLOOKUP($A272,'The List'!$B1:$AS671,25,FALSE)," ")</f>
        <v xml:space="preserve"> </v>
      </c>
      <c r="S272" s="84" t="str" cm="1">
        <f t="array" ref="S272">IFERROR(VLOOKUP($A272,'The List'!$B1:$AS671,26,FALSE)," ")</f>
        <v xml:space="preserve"> </v>
      </c>
      <c r="T272" s="84" t="str" cm="1">
        <f t="array" ref="T272">IFERROR(VLOOKUP($A272,'The List'!$B1:$AS671,27,FALSE)," ")</f>
        <v xml:space="preserve"> </v>
      </c>
      <c r="U272" s="84" t="str" cm="1">
        <f t="array" ref="U272">IFERROR(VLOOKUP($A272,'The List'!$B1:$AS671,28,FALSE)," ")</f>
        <v xml:space="preserve"> </v>
      </c>
      <c r="V272" s="84" t="str" cm="1">
        <f t="array" ref="V272">IFERROR(VLOOKUP($A272,'The List'!$B1:$AS671,29,FALSE)," ")</f>
        <v xml:space="preserve"> </v>
      </c>
      <c r="W272" s="84" t="str" cm="1">
        <f t="array" ref="W272">IFERROR(VLOOKUP($A272,'The List'!$B1:$AS671,30,FALSE)," ")</f>
        <v xml:space="preserve"> </v>
      </c>
      <c r="X272" s="84" t="str" cm="1">
        <f t="array" ref="X272">IFERROR(VLOOKUP($A272,'The List'!$B1:$AS671,31,FALSE)," ")</f>
        <v xml:space="preserve"> </v>
      </c>
      <c r="Y272" s="84" t="str" cm="1">
        <f t="array" ref="Y272">IFERROR(VLOOKUP($A272,'The List'!$B1:$AS671,32,FALSE)," ")</f>
        <v xml:space="preserve"> </v>
      </c>
      <c r="Z272" s="84" t="str" cm="1">
        <f t="array" ref="Z272">IFERROR(VLOOKUP($A272,'The List'!$B1:$AS671,33,FALSE)," ")</f>
        <v xml:space="preserve"> </v>
      </c>
      <c r="AA272" s="85"/>
      <c r="AB272" s="90"/>
      <c r="AC272" s="90"/>
      <c r="AD272" s="90"/>
      <c r="AE272" s="90"/>
      <c r="AF272" s="90"/>
    </row>
    <row r="273" spans="1:32" ht="21.25" customHeight="1" x14ac:dyDescent="0.15">
      <c r="A273" s="24"/>
      <c r="B273" s="96" t="str" cm="1">
        <f t="array" ref="B273">IFERROR(VLOOKUP($A273,'The List'!$B1:$AS671,3,FALSE)," ")</f>
        <v xml:space="preserve"> </v>
      </c>
      <c r="C273" s="98" t="str" cm="1">
        <f t="array" ref="C273">IFERROR(VLOOKUP($A273,'The List'!$B1:$AS671,4,FALSE)," ")</f>
        <v xml:space="preserve"> </v>
      </c>
      <c r="D273" s="18" t="str" cm="1">
        <f t="array" ref="D273">IFERROR(VLOOKUP($A273,'The List'!$B1:$AS671,5,FALSE)," ")</f>
        <v xml:space="preserve"> </v>
      </c>
      <c r="E273" s="18" t="str" cm="1">
        <f t="array" ref="E273">IFERROR(VLOOKUP($A273,'The List'!$B1:$AS671,6,FALSE)," ")</f>
        <v xml:space="preserve"> </v>
      </c>
      <c r="F273" s="92" t="str" cm="1">
        <f t="array" ref="F273">IFERROR(VLOOKUP($A273,'The List'!$B1:$AS671,8,FALSE)," ")</f>
        <v xml:space="preserve"> </v>
      </c>
      <c r="G273" s="92" t="str" cm="1">
        <f t="array" ref="G273">IFERROR(VLOOKUP($A273,'The List'!$B1:$AS671,10,FALSE)," ")</f>
        <v xml:space="preserve"> </v>
      </c>
      <c r="H273" s="55"/>
      <c r="I273" s="84" t="str" cm="1">
        <f t="array" ref="I273">IFERROR(VLOOKUP($A273,'The List'!$B1:$AS671,16,FALSE)," ")</f>
        <v xml:space="preserve"> </v>
      </c>
      <c r="J273" s="84" t="str" cm="1">
        <f t="array" ref="J273">IFERROR(VLOOKUP($A273,'The List'!$B1:$AS671,17,FALSE)," ")</f>
        <v xml:space="preserve"> </v>
      </c>
      <c r="K273" s="84" t="str" cm="1">
        <f t="array" ref="K273">IFERROR(VLOOKUP($A273,'The List'!$B1:$AS671,18,FALSE)," ")</f>
        <v xml:space="preserve"> </v>
      </c>
      <c r="L273" s="84" t="str" cm="1">
        <f t="array" ref="L273">IFERROR(VLOOKUP($A273,'The List'!$B1:$AS671,19,FALSE)," ")</f>
        <v xml:space="preserve"> </v>
      </c>
      <c r="M273" s="84" t="str" cm="1">
        <f t="array" ref="M273">IFERROR(VLOOKUP($A273,'The List'!$B1:$AS671,20,FALSE)," ")</f>
        <v xml:space="preserve"> </v>
      </c>
      <c r="N273" s="84" t="str" cm="1">
        <f t="array" ref="N273">IFERROR(VLOOKUP($A273,'The List'!$B1:$AS671,21,FALSE)," ")</f>
        <v xml:space="preserve"> </v>
      </c>
      <c r="O273" s="84" t="str" cm="1">
        <f t="array" ref="O273">IFERROR(VLOOKUP($A273,'The List'!$B1:$AS671,22,FALSE)," ")</f>
        <v xml:space="preserve"> </v>
      </c>
      <c r="P273" s="84" t="str" cm="1">
        <f t="array" ref="P273">IFERROR(VLOOKUP($A273,'The List'!$B1:$AS671,23,FALSE)," ")</f>
        <v xml:space="preserve"> </v>
      </c>
      <c r="Q273" s="84" t="str" cm="1">
        <f t="array" ref="Q273">IFERROR(VLOOKUP($A273,'The List'!$B1:$AS671,24,FALSE)," ")</f>
        <v xml:space="preserve"> </v>
      </c>
      <c r="R273" s="84" t="str" cm="1">
        <f t="array" ref="R273">IFERROR(VLOOKUP($A273,'The List'!$B1:$AS671,25,FALSE)," ")</f>
        <v xml:space="preserve"> </v>
      </c>
      <c r="S273" s="84" t="str" cm="1">
        <f t="array" ref="S273">IFERROR(VLOOKUP($A273,'The List'!$B1:$AS671,26,FALSE)," ")</f>
        <v xml:space="preserve"> </v>
      </c>
      <c r="T273" s="84" t="str" cm="1">
        <f t="array" ref="T273">IFERROR(VLOOKUP($A273,'The List'!$B1:$AS671,27,FALSE)," ")</f>
        <v xml:space="preserve"> </v>
      </c>
      <c r="U273" s="84" t="str" cm="1">
        <f t="array" ref="U273">IFERROR(VLOOKUP($A273,'The List'!$B1:$AS671,28,FALSE)," ")</f>
        <v xml:space="preserve"> </v>
      </c>
      <c r="V273" s="84" t="str" cm="1">
        <f t="array" ref="V273">IFERROR(VLOOKUP($A273,'The List'!$B1:$AS671,29,FALSE)," ")</f>
        <v xml:space="preserve"> </v>
      </c>
      <c r="W273" s="84" t="str" cm="1">
        <f t="array" ref="W273">IFERROR(VLOOKUP($A273,'The List'!$B1:$AS671,30,FALSE)," ")</f>
        <v xml:space="preserve"> </v>
      </c>
      <c r="X273" s="84" t="str" cm="1">
        <f t="array" ref="X273">IFERROR(VLOOKUP($A273,'The List'!$B1:$AS671,31,FALSE)," ")</f>
        <v xml:space="preserve"> </v>
      </c>
      <c r="Y273" s="84" t="str" cm="1">
        <f t="array" ref="Y273">IFERROR(VLOOKUP($A273,'The List'!$B1:$AS671,32,FALSE)," ")</f>
        <v xml:space="preserve"> </v>
      </c>
      <c r="Z273" s="84" t="str" cm="1">
        <f t="array" ref="Z273">IFERROR(VLOOKUP($A273,'The List'!$B1:$AS671,33,FALSE)," ")</f>
        <v xml:space="preserve"> </v>
      </c>
      <c r="AA273" s="85"/>
      <c r="AB273" s="90"/>
      <c r="AC273" s="90"/>
      <c r="AD273" s="90"/>
      <c r="AE273" s="90"/>
      <c r="AF273" s="90"/>
    </row>
    <row r="274" spans="1:32" ht="21.25" customHeight="1" x14ac:dyDescent="0.15">
      <c r="A274" s="24"/>
      <c r="B274" s="96" t="str" cm="1">
        <f t="array" ref="B274">IFERROR(VLOOKUP($A274,'The List'!$B1:$AS671,3,FALSE)," ")</f>
        <v xml:space="preserve"> </v>
      </c>
      <c r="C274" s="98" t="str" cm="1">
        <f t="array" ref="C274">IFERROR(VLOOKUP($A274,'The List'!$B1:$AS671,4,FALSE)," ")</f>
        <v xml:space="preserve"> </v>
      </c>
      <c r="D274" s="18" t="str" cm="1">
        <f t="array" ref="D274">IFERROR(VLOOKUP($A274,'The List'!$B1:$AS671,5,FALSE)," ")</f>
        <v xml:space="preserve"> </v>
      </c>
      <c r="E274" s="18" t="str" cm="1">
        <f t="array" ref="E274">IFERROR(VLOOKUP($A274,'The List'!$B1:$AS671,6,FALSE)," ")</f>
        <v xml:space="preserve"> </v>
      </c>
      <c r="F274" s="92" t="str" cm="1">
        <f t="array" ref="F274">IFERROR(VLOOKUP($A274,'The List'!$B1:$AS671,8,FALSE)," ")</f>
        <v xml:space="preserve"> </v>
      </c>
      <c r="G274" s="92" t="str" cm="1">
        <f t="array" ref="G274">IFERROR(VLOOKUP($A274,'The List'!$B1:$AS671,10,FALSE)," ")</f>
        <v xml:space="preserve"> </v>
      </c>
      <c r="H274" s="55"/>
      <c r="I274" s="84" t="str" cm="1">
        <f t="array" ref="I274">IFERROR(VLOOKUP($A274,'The List'!$B1:$AS671,16,FALSE)," ")</f>
        <v xml:space="preserve"> </v>
      </c>
      <c r="J274" s="84" t="str" cm="1">
        <f t="array" ref="J274">IFERROR(VLOOKUP($A274,'The List'!$B1:$AS671,17,FALSE)," ")</f>
        <v xml:space="preserve"> </v>
      </c>
      <c r="K274" s="84" t="str" cm="1">
        <f t="array" ref="K274">IFERROR(VLOOKUP($A274,'The List'!$B1:$AS671,18,FALSE)," ")</f>
        <v xml:space="preserve"> </v>
      </c>
      <c r="L274" s="84" t="str" cm="1">
        <f t="array" ref="L274">IFERROR(VLOOKUP($A274,'The List'!$B1:$AS671,19,FALSE)," ")</f>
        <v xml:space="preserve"> </v>
      </c>
      <c r="M274" s="84" t="str" cm="1">
        <f t="array" ref="M274">IFERROR(VLOOKUP($A274,'The List'!$B1:$AS671,20,FALSE)," ")</f>
        <v xml:space="preserve"> </v>
      </c>
      <c r="N274" s="84" t="str" cm="1">
        <f t="array" ref="N274">IFERROR(VLOOKUP($A274,'The List'!$B1:$AS671,21,FALSE)," ")</f>
        <v xml:space="preserve"> </v>
      </c>
      <c r="O274" s="84" t="str" cm="1">
        <f t="array" ref="O274">IFERROR(VLOOKUP($A274,'The List'!$B1:$AS671,22,FALSE)," ")</f>
        <v xml:space="preserve"> </v>
      </c>
      <c r="P274" s="84" t="str" cm="1">
        <f t="array" ref="P274">IFERROR(VLOOKUP($A274,'The List'!$B1:$AS671,23,FALSE)," ")</f>
        <v xml:space="preserve"> </v>
      </c>
      <c r="Q274" s="84" t="str" cm="1">
        <f t="array" ref="Q274">IFERROR(VLOOKUP($A274,'The List'!$B1:$AS671,24,FALSE)," ")</f>
        <v xml:space="preserve"> </v>
      </c>
      <c r="R274" s="84" t="str" cm="1">
        <f t="array" ref="R274">IFERROR(VLOOKUP($A274,'The List'!$B1:$AS671,25,FALSE)," ")</f>
        <v xml:space="preserve"> </v>
      </c>
      <c r="S274" s="84" t="str" cm="1">
        <f t="array" ref="S274">IFERROR(VLOOKUP($A274,'The List'!$B1:$AS671,26,FALSE)," ")</f>
        <v xml:space="preserve"> </v>
      </c>
      <c r="T274" s="84" t="str" cm="1">
        <f t="array" ref="T274">IFERROR(VLOOKUP($A274,'The List'!$B1:$AS671,27,FALSE)," ")</f>
        <v xml:space="preserve"> </v>
      </c>
      <c r="U274" s="84" t="str" cm="1">
        <f t="array" ref="U274">IFERROR(VLOOKUP($A274,'The List'!$B1:$AS671,28,FALSE)," ")</f>
        <v xml:space="preserve"> </v>
      </c>
      <c r="V274" s="84" t="str" cm="1">
        <f t="array" ref="V274">IFERROR(VLOOKUP($A274,'The List'!$B1:$AS671,29,FALSE)," ")</f>
        <v xml:space="preserve"> </v>
      </c>
      <c r="W274" s="84" t="str" cm="1">
        <f t="array" ref="W274">IFERROR(VLOOKUP($A274,'The List'!$B1:$AS671,30,FALSE)," ")</f>
        <v xml:space="preserve"> </v>
      </c>
      <c r="X274" s="84" t="str" cm="1">
        <f t="array" ref="X274">IFERROR(VLOOKUP($A274,'The List'!$B1:$AS671,31,FALSE)," ")</f>
        <v xml:space="preserve"> </v>
      </c>
      <c r="Y274" s="84" t="str" cm="1">
        <f t="array" ref="Y274">IFERROR(VLOOKUP($A274,'The List'!$B1:$AS671,32,FALSE)," ")</f>
        <v xml:space="preserve"> </v>
      </c>
      <c r="Z274" s="84" t="str" cm="1">
        <f t="array" ref="Z274">IFERROR(VLOOKUP($A274,'The List'!$B1:$AS671,33,FALSE)," ")</f>
        <v xml:space="preserve"> </v>
      </c>
      <c r="AA274" s="85"/>
      <c r="AB274" s="90"/>
      <c r="AC274" s="90"/>
      <c r="AD274" s="90"/>
      <c r="AE274" s="90"/>
      <c r="AF274" s="90"/>
    </row>
    <row r="275" spans="1:32" ht="21.25" customHeight="1" x14ac:dyDescent="0.15">
      <c r="A275" s="24"/>
      <c r="B275" s="99" t="str" cm="1">
        <f t="array" ref="B275">IFERROR(VLOOKUP($A275,'The List'!$B1:$AS671,3,FALSE)," ")</f>
        <v xml:space="preserve"> </v>
      </c>
      <c r="C275" s="101" t="str" cm="1">
        <f t="array" ref="C275">IFERROR(VLOOKUP($A275,'The List'!$B1:$AS671,4,FALSE)," ")</f>
        <v xml:space="preserve"> </v>
      </c>
      <c r="D275" s="18" t="str" cm="1">
        <f t="array" ref="D275">IFERROR(VLOOKUP($A275,'The List'!$B1:$AS671,5,FALSE)," ")</f>
        <v xml:space="preserve"> </v>
      </c>
      <c r="E275" s="18" t="str" cm="1">
        <f t="array" ref="E275">IFERROR(VLOOKUP($A275,'The List'!$B1:$AS671,6,FALSE)," ")</f>
        <v xml:space="preserve"> </v>
      </c>
      <c r="F275" s="92" t="str" cm="1">
        <f t="array" ref="F275">IFERROR(VLOOKUP($A275,'The List'!$B1:$AS671,8,FALSE)," ")</f>
        <v xml:space="preserve"> </v>
      </c>
      <c r="G275" s="92" t="str" cm="1">
        <f t="array" ref="G275">IFERROR(VLOOKUP($A275,'The List'!$B1:$AS671,10,FALSE)," ")</f>
        <v xml:space="preserve"> </v>
      </c>
      <c r="H275" s="55"/>
      <c r="I275" s="84" t="str" cm="1">
        <f t="array" ref="I275">IFERROR(VLOOKUP($A275,'The List'!$B1:$AS671,16,FALSE)," ")</f>
        <v xml:space="preserve"> </v>
      </c>
      <c r="J275" s="84" t="str" cm="1">
        <f t="array" ref="J275">IFERROR(VLOOKUP($A275,'The List'!$B1:$AS671,17,FALSE)," ")</f>
        <v xml:space="preserve"> </v>
      </c>
      <c r="K275" s="84" t="str" cm="1">
        <f t="array" ref="K275">IFERROR(VLOOKUP($A275,'The List'!$B1:$AS671,18,FALSE)," ")</f>
        <v xml:space="preserve"> </v>
      </c>
      <c r="L275" s="84" t="str" cm="1">
        <f t="array" ref="L275">IFERROR(VLOOKUP($A275,'The List'!$B1:$AS671,19,FALSE)," ")</f>
        <v xml:space="preserve"> </v>
      </c>
      <c r="M275" s="84" t="str" cm="1">
        <f t="array" ref="M275">IFERROR(VLOOKUP($A275,'The List'!$B1:$AS671,20,FALSE)," ")</f>
        <v xml:space="preserve"> </v>
      </c>
      <c r="N275" s="84" t="str" cm="1">
        <f t="array" ref="N275">IFERROR(VLOOKUP($A275,'The List'!$B1:$AS671,21,FALSE)," ")</f>
        <v xml:space="preserve"> </v>
      </c>
      <c r="O275" s="84" t="str" cm="1">
        <f t="array" ref="O275">IFERROR(VLOOKUP($A275,'The List'!$B1:$AS671,22,FALSE)," ")</f>
        <v xml:space="preserve"> </v>
      </c>
      <c r="P275" s="84" t="str" cm="1">
        <f t="array" ref="P275">IFERROR(VLOOKUP($A275,'The List'!$B1:$AS671,23,FALSE)," ")</f>
        <v xml:space="preserve"> </v>
      </c>
      <c r="Q275" s="84" t="str" cm="1">
        <f t="array" ref="Q275">IFERROR(VLOOKUP($A275,'The List'!$B1:$AS671,24,FALSE)," ")</f>
        <v xml:space="preserve"> </v>
      </c>
      <c r="R275" s="84" t="str" cm="1">
        <f t="array" ref="R275">IFERROR(VLOOKUP($A275,'The List'!$B1:$AS671,25,FALSE)," ")</f>
        <v xml:space="preserve"> </v>
      </c>
      <c r="S275" s="84" t="str" cm="1">
        <f t="array" ref="S275">IFERROR(VLOOKUP($A275,'The List'!$B1:$AS671,26,FALSE)," ")</f>
        <v xml:space="preserve"> </v>
      </c>
      <c r="T275" s="84" t="str" cm="1">
        <f t="array" ref="T275">IFERROR(VLOOKUP($A275,'The List'!$B1:$AS671,27,FALSE)," ")</f>
        <v xml:space="preserve"> </v>
      </c>
      <c r="U275" s="84" t="str" cm="1">
        <f t="array" ref="U275">IFERROR(VLOOKUP($A275,'The List'!$B1:$AS671,28,FALSE)," ")</f>
        <v xml:space="preserve"> </v>
      </c>
      <c r="V275" s="84" t="str" cm="1">
        <f t="array" ref="V275">IFERROR(VLOOKUP($A275,'The List'!$B1:$AS671,29,FALSE)," ")</f>
        <v xml:space="preserve"> </v>
      </c>
      <c r="W275" s="84" t="str" cm="1">
        <f t="array" ref="W275">IFERROR(VLOOKUP($A275,'The List'!$B1:$AS671,30,FALSE)," ")</f>
        <v xml:space="preserve"> </v>
      </c>
      <c r="X275" s="84" t="str" cm="1">
        <f t="array" ref="X275">IFERROR(VLOOKUP($A275,'The List'!$B1:$AS671,31,FALSE)," ")</f>
        <v xml:space="preserve"> </v>
      </c>
      <c r="Y275" s="84" t="str" cm="1">
        <f t="array" ref="Y275">IFERROR(VLOOKUP($A275,'The List'!$B1:$AS671,32,FALSE)," ")</f>
        <v xml:space="preserve"> </v>
      </c>
      <c r="Z275" s="84" t="str" cm="1">
        <f t="array" ref="Z275">IFERROR(VLOOKUP($A275,'The List'!$B1:$AS671,33,FALSE)," ")</f>
        <v xml:space="preserve"> </v>
      </c>
      <c r="AA275" s="85"/>
      <c r="AB275" s="90"/>
      <c r="AC275" s="90"/>
      <c r="AD275" s="90"/>
      <c r="AE275" s="90"/>
      <c r="AF275" s="90"/>
    </row>
    <row r="276" spans="1:32" ht="21.25" customHeight="1" x14ac:dyDescent="0.15">
      <c r="A276" s="24"/>
      <c r="B276" s="99" t="str" cm="1">
        <f t="array" ref="B276">IFERROR(VLOOKUP($A276,'The List'!$B1:$AS671,3,FALSE)," ")</f>
        <v xml:space="preserve"> </v>
      </c>
      <c r="C276" s="101" t="str" cm="1">
        <f t="array" ref="C276">IFERROR(VLOOKUP($A276,'The List'!$B1:$AS671,4,FALSE)," ")</f>
        <v xml:space="preserve"> </v>
      </c>
      <c r="D276" s="18" t="str" cm="1">
        <f t="array" ref="D276">IFERROR(VLOOKUP($A276,'The List'!$B1:$AS671,5,FALSE)," ")</f>
        <v xml:space="preserve"> </v>
      </c>
      <c r="E276" s="18" t="str" cm="1">
        <f t="array" ref="E276">IFERROR(VLOOKUP($A276,'The List'!$B1:$AS671,6,FALSE)," ")</f>
        <v xml:space="preserve"> </v>
      </c>
      <c r="F276" s="92" t="str" cm="1">
        <f t="array" ref="F276">IFERROR(VLOOKUP($A276,'The List'!$B1:$AS671,8,FALSE)," ")</f>
        <v xml:space="preserve"> </v>
      </c>
      <c r="G276" s="92" t="str" cm="1">
        <f t="array" ref="G276">IFERROR(VLOOKUP($A276,'The List'!$B1:$AS671,10,FALSE)," ")</f>
        <v xml:space="preserve"> </v>
      </c>
      <c r="H276" s="55"/>
      <c r="I276" s="84" t="str" cm="1">
        <f t="array" ref="I276">IFERROR(VLOOKUP($A276,'The List'!$B1:$AS671,16,FALSE)," ")</f>
        <v xml:space="preserve"> </v>
      </c>
      <c r="J276" s="84" t="str" cm="1">
        <f t="array" ref="J276">IFERROR(VLOOKUP($A276,'The List'!$B1:$AS671,17,FALSE)," ")</f>
        <v xml:space="preserve"> </v>
      </c>
      <c r="K276" s="84" t="str" cm="1">
        <f t="array" ref="K276">IFERROR(VLOOKUP($A276,'The List'!$B1:$AS671,18,FALSE)," ")</f>
        <v xml:space="preserve"> </v>
      </c>
      <c r="L276" s="84" t="str" cm="1">
        <f t="array" ref="L276">IFERROR(VLOOKUP($A276,'The List'!$B1:$AS671,19,FALSE)," ")</f>
        <v xml:space="preserve"> </v>
      </c>
      <c r="M276" s="84" t="str" cm="1">
        <f t="array" ref="M276">IFERROR(VLOOKUP($A276,'The List'!$B1:$AS671,20,FALSE)," ")</f>
        <v xml:space="preserve"> </v>
      </c>
      <c r="N276" s="84" t="str" cm="1">
        <f t="array" ref="N276">IFERROR(VLOOKUP($A276,'The List'!$B1:$AS671,21,FALSE)," ")</f>
        <v xml:space="preserve"> </v>
      </c>
      <c r="O276" s="84" t="str" cm="1">
        <f t="array" ref="O276">IFERROR(VLOOKUP($A276,'The List'!$B1:$AS671,22,FALSE)," ")</f>
        <v xml:space="preserve"> </v>
      </c>
      <c r="P276" s="84" t="str" cm="1">
        <f t="array" ref="P276">IFERROR(VLOOKUP($A276,'The List'!$B1:$AS671,23,FALSE)," ")</f>
        <v xml:space="preserve"> </v>
      </c>
      <c r="Q276" s="84" t="str" cm="1">
        <f t="array" ref="Q276">IFERROR(VLOOKUP($A276,'The List'!$B1:$AS671,24,FALSE)," ")</f>
        <v xml:space="preserve"> </v>
      </c>
      <c r="R276" s="84" t="str" cm="1">
        <f t="array" ref="R276">IFERROR(VLOOKUP($A276,'The List'!$B1:$AS671,25,FALSE)," ")</f>
        <v xml:space="preserve"> </v>
      </c>
      <c r="S276" s="84" t="str" cm="1">
        <f t="array" ref="S276">IFERROR(VLOOKUP($A276,'The List'!$B1:$AS671,26,FALSE)," ")</f>
        <v xml:space="preserve"> </v>
      </c>
      <c r="T276" s="84" t="str" cm="1">
        <f t="array" ref="T276">IFERROR(VLOOKUP($A276,'The List'!$B1:$AS671,27,FALSE)," ")</f>
        <v xml:space="preserve"> </v>
      </c>
      <c r="U276" s="84" t="str" cm="1">
        <f t="array" ref="U276">IFERROR(VLOOKUP($A276,'The List'!$B1:$AS671,28,FALSE)," ")</f>
        <v xml:space="preserve"> </v>
      </c>
      <c r="V276" s="84" t="str" cm="1">
        <f t="array" ref="V276">IFERROR(VLOOKUP($A276,'The List'!$B1:$AS671,29,FALSE)," ")</f>
        <v xml:space="preserve"> </v>
      </c>
      <c r="W276" s="84" t="str" cm="1">
        <f t="array" ref="W276">IFERROR(VLOOKUP($A276,'The List'!$B1:$AS671,30,FALSE)," ")</f>
        <v xml:space="preserve"> </v>
      </c>
      <c r="X276" s="84" t="str" cm="1">
        <f t="array" ref="X276">IFERROR(VLOOKUP($A276,'The List'!$B1:$AS671,31,FALSE)," ")</f>
        <v xml:space="preserve"> </v>
      </c>
      <c r="Y276" s="84" t="str" cm="1">
        <f t="array" ref="Y276">IFERROR(VLOOKUP($A276,'The List'!$B1:$AS671,32,FALSE)," ")</f>
        <v xml:space="preserve"> </v>
      </c>
      <c r="Z276" s="84" t="str" cm="1">
        <f t="array" ref="Z276">IFERROR(VLOOKUP($A276,'The List'!$B1:$AS671,33,FALSE)," ")</f>
        <v xml:space="preserve"> </v>
      </c>
      <c r="AA276" s="85"/>
      <c r="AB276" s="90"/>
      <c r="AC276" s="90"/>
      <c r="AD276" s="90"/>
      <c r="AE276" s="90"/>
      <c r="AF276" s="90"/>
    </row>
    <row r="277" spans="1:32" ht="21.25" customHeight="1" x14ac:dyDescent="0.15">
      <c r="A277" s="24"/>
      <c r="B277" s="99" t="str" cm="1">
        <f t="array" ref="B277">IFERROR(VLOOKUP($A277,'The List'!$B1:$AS671,3,FALSE)," ")</f>
        <v xml:space="preserve"> </v>
      </c>
      <c r="C277" s="101" t="str" cm="1">
        <f t="array" ref="C277">IFERROR(VLOOKUP($A277,'The List'!$B1:$AS671,4,FALSE)," ")</f>
        <v xml:space="preserve"> </v>
      </c>
      <c r="D277" s="18" t="str" cm="1">
        <f t="array" ref="D277">IFERROR(VLOOKUP($A277,'The List'!$B1:$AS671,5,FALSE)," ")</f>
        <v xml:space="preserve"> </v>
      </c>
      <c r="E277" s="18" t="str" cm="1">
        <f t="array" ref="E277">IFERROR(VLOOKUP($A277,'The List'!$B1:$AS671,6,FALSE)," ")</f>
        <v xml:space="preserve"> </v>
      </c>
      <c r="F277" s="92" t="str" cm="1">
        <f t="array" ref="F277">IFERROR(VLOOKUP($A277,'The List'!$B1:$AS671,8,FALSE)," ")</f>
        <v xml:space="preserve"> </v>
      </c>
      <c r="G277" s="92" t="str" cm="1">
        <f t="array" ref="G277">IFERROR(VLOOKUP($A277,'The List'!$B1:$AS671,10,FALSE)," ")</f>
        <v xml:space="preserve"> </v>
      </c>
      <c r="H277" s="55"/>
      <c r="I277" s="84" t="str" cm="1">
        <f t="array" ref="I277">IFERROR(VLOOKUP($A277,'The List'!$B1:$AS671,16,FALSE)," ")</f>
        <v xml:space="preserve"> </v>
      </c>
      <c r="J277" s="84" t="str" cm="1">
        <f t="array" ref="J277">IFERROR(VLOOKUP($A277,'The List'!$B1:$AS671,17,FALSE)," ")</f>
        <v xml:space="preserve"> </v>
      </c>
      <c r="K277" s="84" t="str" cm="1">
        <f t="array" ref="K277">IFERROR(VLOOKUP($A277,'The List'!$B1:$AS671,18,FALSE)," ")</f>
        <v xml:space="preserve"> </v>
      </c>
      <c r="L277" s="84" t="str" cm="1">
        <f t="array" ref="L277">IFERROR(VLOOKUP($A277,'The List'!$B1:$AS671,19,FALSE)," ")</f>
        <v xml:space="preserve"> </v>
      </c>
      <c r="M277" s="84" t="str" cm="1">
        <f t="array" ref="M277">IFERROR(VLOOKUP($A277,'The List'!$B1:$AS671,20,FALSE)," ")</f>
        <v xml:space="preserve"> </v>
      </c>
      <c r="N277" s="84" t="str" cm="1">
        <f t="array" ref="N277">IFERROR(VLOOKUP($A277,'The List'!$B1:$AS671,21,FALSE)," ")</f>
        <v xml:space="preserve"> </v>
      </c>
      <c r="O277" s="84" t="str" cm="1">
        <f t="array" ref="O277">IFERROR(VLOOKUP($A277,'The List'!$B1:$AS671,22,FALSE)," ")</f>
        <v xml:space="preserve"> </v>
      </c>
      <c r="P277" s="84" t="str" cm="1">
        <f t="array" ref="P277">IFERROR(VLOOKUP($A277,'The List'!$B1:$AS671,23,FALSE)," ")</f>
        <v xml:space="preserve"> </v>
      </c>
      <c r="Q277" s="84" t="str" cm="1">
        <f t="array" ref="Q277">IFERROR(VLOOKUP($A277,'The List'!$B1:$AS671,24,FALSE)," ")</f>
        <v xml:space="preserve"> </v>
      </c>
      <c r="R277" s="84" t="str" cm="1">
        <f t="array" ref="R277">IFERROR(VLOOKUP($A277,'The List'!$B1:$AS671,25,FALSE)," ")</f>
        <v xml:space="preserve"> </v>
      </c>
      <c r="S277" s="84" t="str" cm="1">
        <f t="array" ref="S277">IFERROR(VLOOKUP($A277,'The List'!$B1:$AS671,26,FALSE)," ")</f>
        <v xml:space="preserve"> </v>
      </c>
      <c r="T277" s="84" t="str" cm="1">
        <f t="array" ref="T277">IFERROR(VLOOKUP($A277,'The List'!$B1:$AS671,27,FALSE)," ")</f>
        <v xml:space="preserve"> </v>
      </c>
      <c r="U277" s="84" t="str" cm="1">
        <f t="array" ref="U277">IFERROR(VLOOKUP($A277,'The List'!$B1:$AS671,28,FALSE)," ")</f>
        <v xml:space="preserve"> </v>
      </c>
      <c r="V277" s="84" t="str" cm="1">
        <f t="array" ref="V277">IFERROR(VLOOKUP($A277,'The List'!$B1:$AS671,29,FALSE)," ")</f>
        <v xml:space="preserve"> </v>
      </c>
      <c r="W277" s="84" t="str" cm="1">
        <f t="array" ref="W277">IFERROR(VLOOKUP($A277,'The List'!$B1:$AS671,30,FALSE)," ")</f>
        <v xml:space="preserve"> </v>
      </c>
      <c r="X277" s="84" t="str" cm="1">
        <f t="array" ref="X277">IFERROR(VLOOKUP($A277,'The List'!$B1:$AS671,31,FALSE)," ")</f>
        <v xml:space="preserve"> </v>
      </c>
      <c r="Y277" s="84" t="str" cm="1">
        <f t="array" ref="Y277">IFERROR(VLOOKUP($A277,'The List'!$B1:$AS671,32,FALSE)," ")</f>
        <v xml:space="preserve"> </v>
      </c>
      <c r="Z277" s="84" t="str" cm="1">
        <f t="array" ref="Z277">IFERROR(VLOOKUP($A277,'The List'!$B1:$AS671,33,FALSE)," ")</f>
        <v xml:space="preserve"> </v>
      </c>
      <c r="AA277" s="85"/>
      <c r="AB277" s="90"/>
      <c r="AC277" s="90"/>
      <c r="AD277" s="90"/>
      <c r="AE277" s="90"/>
      <c r="AF277" s="90"/>
    </row>
    <row r="278" spans="1:32" ht="21.25" customHeight="1" x14ac:dyDescent="0.15">
      <c r="A278" s="24"/>
      <c r="B278" s="99" t="str" cm="1">
        <f t="array" ref="B278">IFERROR(VLOOKUP($A278,'The List'!$B1:$AS671,3,FALSE)," ")</f>
        <v xml:space="preserve"> </v>
      </c>
      <c r="C278" s="101" t="str" cm="1">
        <f t="array" ref="C278">IFERROR(VLOOKUP($A278,'The List'!$B1:$AS671,4,FALSE)," ")</f>
        <v xml:space="preserve"> </v>
      </c>
      <c r="D278" s="18" t="str" cm="1">
        <f t="array" ref="D278">IFERROR(VLOOKUP($A278,'The List'!$B1:$AS671,5,FALSE)," ")</f>
        <v xml:space="preserve"> </v>
      </c>
      <c r="E278" s="18" t="str" cm="1">
        <f t="array" ref="E278">IFERROR(VLOOKUP($A278,'The List'!$B1:$AS671,6,FALSE)," ")</f>
        <v xml:space="preserve"> </v>
      </c>
      <c r="F278" s="92" t="str" cm="1">
        <f t="array" ref="F278">IFERROR(VLOOKUP($A278,'The List'!$B1:$AS671,8,FALSE)," ")</f>
        <v xml:space="preserve"> </v>
      </c>
      <c r="G278" s="92" t="str" cm="1">
        <f t="array" ref="G278">IFERROR(VLOOKUP($A278,'The List'!$B1:$AS671,10,FALSE)," ")</f>
        <v xml:space="preserve"> </v>
      </c>
      <c r="H278" s="55"/>
      <c r="I278" s="84" t="str" cm="1">
        <f t="array" ref="I278">IFERROR(VLOOKUP($A278,'The List'!$B1:$AS671,16,FALSE)," ")</f>
        <v xml:space="preserve"> </v>
      </c>
      <c r="J278" s="84" t="str" cm="1">
        <f t="array" ref="J278">IFERROR(VLOOKUP($A278,'The List'!$B1:$AS671,17,FALSE)," ")</f>
        <v xml:space="preserve"> </v>
      </c>
      <c r="K278" s="84" t="str" cm="1">
        <f t="array" ref="K278">IFERROR(VLOOKUP($A278,'The List'!$B1:$AS671,18,FALSE)," ")</f>
        <v xml:space="preserve"> </v>
      </c>
      <c r="L278" s="84" t="str" cm="1">
        <f t="array" ref="L278">IFERROR(VLOOKUP($A278,'The List'!$B1:$AS671,19,FALSE)," ")</f>
        <v xml:space="preserve"> </v>
      </c>
      <c r="M278" s="84" t="str" cm="1">
        <f t="array" ref="M278">IFERROR(VLOOKUP($A278,'The List'!$B1:$AS671,20,FALSE)," ")</f>
        <v xml:space="preserve"> </v>
      </c>
      <c r="N278" s="84" t="str" cm="1">
        <f t="array" ref="N278">IFERROR(VLOOKUP($A278,'The List'!$B1:$AS671,21,FALSE)," ")</f>
        <v xml:space="preserve"> </v>
      </c>
      <c r="O278" s="84" t="str" cm="1">
        <f t="array" ref="O278">IFERROR(VLOOKUP($A278,'The List'!$B1:$AS671,22,FALSE)," ")</f>
        <v xml:space="preserve"> </v>
      </c>
      <c r="P278" s="84" t="str" cm="1">
        <f t="array" ref="P278">IFERROR(VLOOKUP($A278,'The List'!$B1:$AS671,23,FALSE)," ")</f>
        <v xml:space="preserve"> </v>
      </c>
      <c r="Q278" s="84" t="str" cm="1">
        <f t="array" ref="Q278">IFERROR(VLOOKUP($A278,'The List'!$B1:$AS671,24,FALSE)," ")</f>
        <v xml:space="preserve"> </v>
      </c>
      <c r="R278" s="84" t="str" cm="1">
        <f t="array" ref="R278">IFERROR(VLOOKUP($A278,'The List'!$B1:$AS671,25,FALSE)," ")</f>
        <v xml:space="preserve"> </v>
      </c>
      <c r="S278" s="84" t="str" cm="1">
        <f t="array" ref="S278">IFERROR(VLOOKUP($A278,'The List'!$B1:$AS671,26,FALSE)," ")</f>
        <v xml:space="preserve"> </v>
      </c>
      <c r="T278" s="84" t="str" cm="1">
        <f t="array" ref="T278">IFERROR(VLOOKUP($A278,'The List'!$B1:$AS671,27,FALSE)," ")</f>
        <v xml:space="preserve"> </v>
      </c>
      <c r="U278" s="84" t="str" cm="1">
        <f t="array" ref="U278">IFERROR(VLOOKUP($A278,'The List'!$B1:$AS671,28,FALSE)," ")</f>
        <v xml:space="preserve"> </v>
      </c>
      <c r="V278" s="84" t="str" cm="1">
        <f t="array" ref="V278">IFERROR(VLOOKUP($A278,'The List'!$B1:$AS671,29,FALSE)," ")</f>
        <v xml:space="preserve"> </v>
      </c>
      <c r="W278" s="84" t="str" cm="1">
        <f t="array" ref="W278">IFERROR(VLOOKUP($A278,'The List'!$B1:$AS671,30,FALSE)," ")</f>
        <v xml:space="preserve"> </v>
      </c>
      <c r="X278" s="84" t="str" cm="1">
        <f t="array" ref="X278">IFERROR(VLOOKUP($A278,'The List'!$B1:$AS671,31,FALSE)," ")</f>
        <v xml:space="preserve"> </v>
      </c>
      <c r="Y278" s="84" t="str" cm="1">
        <f t="array" ref="Y278">IFERROR(VLOOKUP($A278,'The List'!$B1:$AS671,32,FALSE)," ")</f>
        <v xml:space="preserve"> </v>
      </c>
      <c r="Z278" s="84" t="str" cm="1">
        <f t="array" ref="Z278">IFERROR(VLOOKUP($A278,'The List'!$B1:$AS671,33,FALSE)," ")</f>
        <v xml:space="preserve"> </v>
      </c>
      <c r="AA278" s="85"/>
      <c r="AB278" s="90"/>
      <c r="AC278" s="90"/>
      <c r="AD278" s="90"/>
      <c r="AE278" s="90"/>
      <c r="AF278" s="90"/>
    </row>
    <row r="279" spans="1:32" ht="21.25" customHeight="1" x14ac:dyDescent="0.15">
      <c r="A279" s="24"/>
      <c r="B279" s="99" t="str" cm="1">
        <f t="array" ref="B279">IFERROR(VLOOKUP($A279,'The List'!$B1:$AS671,3,FALSE)," ")</f>
        <v xml:space="preserve"> </v>
      </c>
      <c r="C279" s="101" t="str" cm="1">
        <f t="array" ref="C279">IFERROR(VLOOKUP($A279,'The List'!$B1:$AS671,4,FALSE)," ")</f>
        <v xml:space="preserve"> </v>
      </c>
      <c r="D279" s="18" t="str" cm="1">
        <f t="array" ref="D279">IFERROR(VLOOKUP($A279,'The List'!$B1:$AS671,5,FALSE)," ")</f>
        <v xml:space="preserve"> </v>
      </c>
      <c r="E279" s="18" t="str" cm="1">
        <f t="array" ref="E279">IFERROR(VLOOKUP($A279,'The List'!$B1:$AS671,6,FALSE)," ")</f>
        <v xml:space="preserve"> </v>
      </c>
      <c r="F279" s="92" t="str" cm="1">
        <f t="array" ref="F279">IFERROR(VLOOKUP($A279,'The List'!$B1:$AS671,8,FALSE)," ")</f>
        <v xml:space="preserve"> </v>
      </c>
      <c r="G279" s="92" t="str" cm="1">
        <f t="array" ref="G279">IFERROR(VLOOKUP($A279,'The List'!$B1:$AS671,10,FALSE)," ")</f>
        <v xml:space="preserve"> </v>
      </c>
      <c r="H279" s="55"/>
      <c r="I279" s="84" t="str" cm="1">
        <f t="array" ref="I279">IFERROR(VLOOKUP($A279,'The List'!$B1:$AS671,16,FALSE)," ")</f>
        <v xml:space="preserve"> </v>
      </c>
      <c r="J279" s="84" t="str" cm="1">
        <f t="array" ref="J279">IFERROR(VLOOKUP($A279,'The List'!$B1:$AS671,17,FALSE)," ")</f>
        <v xml:space="preserve"> </v>
      </c>
      <c r="K279" s="84" t="str" cm="1">
        <f t="array" ref="K279">IFERROR(VLOOKUP($A279,'The List'!$B1:$AS671,18,FALSE)," ")</f>
        <v xml:space="preserve"> </v>
      </c>
      <c r="L279" s="84" t="str" cm="1">
        <f t="array" ref="L279">IFERROR(VLOOKUP($A279,'The List'!$B1:$AS671,19,FALSE)," ")</f>
        <v xml:space="preserve"> </v>
      </c>
      <c r="M279" s="84" t="str" cm="1">
        <f t="array" ref="M279">IFERROR(VLOOKUP($A279,'The List'!$B1:$AS671,20,FALSE)," ")</f>
        <v xml:space="preserve"> </v>
      </c>
      <c r="N279" s="84" t="str" cm="1">
        <f t="array" ref="N279">IFERROR(VLOOKUP($A279,'The List'!$B1:$AS671,21,FALSE)," ")</f>
        <v xml:space="preserve"> </v>
      </c>
      <c r="O279" s="84" t="str" cm="1">
        <f t="array" ref="O279">IFERROR(VLOOKUP($A279,'The List'!$B1:$AS671,22,FALSE)," ")</f>
        <v xml:space="preserve"> </v>
      </c>
      <c r="P279" s="84" t="str" cm="1">
        <f t="array" ref="P279">IFERROR(VLOOKUP($A279,'The List'!$B1:$AS671,23,FALSE)," ")</f>
        <v xml:space="preserve"> </v>
      </c>
      <c r="Q279" s="84" t="str" cm="1">
        <f t="array" ref="Q279">IFERROR(VLOOKUP($A279,'The List'!$B1:$AS671,24,FALSE)," ")</f>
        <v xml:space="preserve"> </v>
      </c>
      <c r="R279" s="84" t="str" cm="1">
        <f t="array" ref="R279">IFERROR(VLOOKUP($A279,'The List'!$B1:$AS671,25,FALSE)," ")</f>
        <v xml:space="preserve"> </v>
      </c>
      <c r="S279" s="84" t="str" cm="1">
        <f t="array" ref="S279">IFERROR(VLOOKUP($A279,'The List'!$B1:$AS671,26,FALSE)," ")</f>
        <v xml:space="preserve"> </v>
      </c>
      <c r="T279" s="84" t="str" cm="1">
        <f t="array" ref="T279">IFERROR(VLOOKUP($A279,'The List'!$B1:$AS671,27,FALSE)," ")</f>
        <v xml:space="preserve"> </v>
      </c>
      <c r="U279" s="84" t="str" cm="1">
        <f t="array" ref="U279">IFERROR(VLOOKUP($A279,'The List'!$B1:$AS671,28,FALSE)," ")</f>
        <v xml:space="preserve"> </v>
      </c>
      <c r="V279" s="84" t="str" cm="1">
        <f t="array" ref="V279">IFERROR(VLOOKUP($A279,'The List'!$B1:$AS671,29,FALSE)," ")</f>
        <v xml:space="preserve"> </v>
      </c>
      <c r="W279" s="84" t="str" cm="1">
        <f t="array" ref="W279">IFERROR(VLOOKUP($A279,'The List'!$B1:$AS671,30,FALSE)," ")</f>
        <v xml:space="preserve"> </v>
      </c>
      <c r="X279" s="84" t="str" cm="1">
        <f t="array" ref="X279">IFERROR(VLOOKUP($A279,'The List'!$B1:$AS671,31,FALSE)," ")</f>
        <v xml:space="preserve"> </v>
      </c>
      <c r="Y279" s="84" t="str" cm="1">
        <f t="array" ref="Y279">IFERROR(VLOOKUP($A279,'The List'!$B1:$AS671,32,FALSE)," ")</f>
        <v xml:space="preserve"> </v>
      </c>
      <c r="Z279" s="84" t="str" cm="1">
        <f t="array" ref="Z279">IFERROR(VLOOKUP($A279,'The List'!$B1:$AS671,33,FALSE)," ")</f>
        <v xml:space="preserve"> </v>
      </c>
      <c r="AA279" s="85"/>
      <c r="AB279" s="90"/>
      <c r="AC279" s="90"/>
      <c r="AD279" s="90"/>
      <c r="AE279" s="90"/>
      <c r="AF279" s="90"/>
    </row>
    <row r="280" spans="1:32" ht="21.25" customHeight="1" x14ac:dyDescent="0.15">
      <c r="A280" s="24"/>
      <c r="B280" s="99" t="str" cm="1">
        <f t="array" ref="B280">IFERROR(VLOOKUP($A280,'The List'!$B1:$AS671,3,FALSE)," ")</f>
        <v xml:space="preserve"> </v>
      </c>
      <c r="C280" s="101" t="str" cm="1">
        <f t="array" ref="C280">IFERROR(VLOOKUP($A280,'The List'!$B1:$AS671,4,FALSE)," ")</f>
        <v xml:space="preserve"> </v>
      </c>
      <c r="D280" s="18" t="str" cm="1">
        <f t="array" ref="D280">IFERROR(VLOOKUP($A280,'The List'!$B1:$AS671,5,FALSE)," ")</f>
        <v xml:space="preserve"> </v>
      </c>
      <c r="E280" s="18" t="str" cm="1">
        <f t="array" ref="E280">IFERROR(VLOOKUP($A280,'The List'!$B1:$AS671,6,FALSE)," ")</f>
        <v xml:space="preserve"> </v>
      </c>
      <c r="F280" s="92" t="str" cm="1">
        <f t="array" ref="F280">IFERROR(VLOOKUP($A280,'The List'!$B1:$AS671,8,FALSE)," ")</f>
        <v xml:space="preserve"> </v>
      </c>
      <c r="G280" s="92" t="str" cm="1">
        <f t="array" ref="G280">IFERROR(VLOOKUP($A280,'The List'!$B1:$AS671,10,FALSE)," ")</f>
        <v xml:space="preserve"> </v>
      </c>
      <c r="H280" s="55"/>
      <c r="I280" s="84" t="str" cm="1">
        <f t="array" ref="I280">IFERROR(VLOOKUP($A280,'The List'!$B1:$AS671,16,FALSE)," ")</f>
        <v xml:space="preserve"> </v>
      </c>
      <c r="J280" s="84" t="str" cm="1">
        <f t="array" ref="J280">IFERROR(VLOOKUP($A280,'The List'!$B1:$AS671,17,FALSE)," ")</f>
        <v xml:space="preserve"> </v>
      </c>
      <c r="K280" s="84" t="str" cm="1">
        <f t="array" ref="K280">IFERROR(VLOOKUP($A280,'The List'!$B1:$AS671,18,FALSE)," ")</f>
        <v xml:space="preserve"> </v>
      </c>
      <c r="L280" s="84" t="str" cm="1">
        <f t="array" ref="L280">IFERROR(VLOOKUP($A280,'The List'!$B1:$AS671,19,FALSE)," ")</f>
        <v xml:space="preserve"> </v>
      </c>
      <c r="M280" s="84" t="str" cm="1">
        <f t="array" ref="M280">IFERROR(VLOOKUP($A280,'The List'!$B1:$AS671,20,FALSE)," ")</f>
        <v xml:space="preserve"> </v>
      </c>
      <c r="N280" s="84" t="str" cm="1">
        <f t="array" ref="N280">IFERROR(VLOOKUP($A280,'The List'!$B1:$AS671,21,FALSE)," ")</f>
        <v xml:space="preserve"> </v>
      </c>
      <c r="O280" s="84" t="str" cm="1">
        <f t="array" ref="O280">IFERROR(VLOOKUP($A280,'The List'!$B1:$AS671,22,FALSE)," ")</f>
        <v xml:space="preserve"> </v>
      </c>
      <c r="P280" s="84" t="str" cm="1">
        <f t="array" ref="P280">IFERROR(VLOOKUP($A280,'The List'!$B1:$AS671,23,FALSE)," ")</f>
        <v xml:space="preserve"> </v>
      </c>
      <c r="Q280" s="84" t="str" cm="1">
        <f t="array" ref="Q280">IFERROR(VLOOKUP($A280,'The List'!$B1:$AS671,24,FALSE)," ")</f>
        <v xml:space="preserve"> </v>
      </c>
      <c r="R280" s="84" t="str" cm="1">
        <f t="array" ref="R280">IFERROR(VLOOKUP($A280,'The List'!$B1:$AS671,25,FALSE)," ")</f>
        <v xml:space="preserve"> </v>
      </c>
      <c r="S280" s="84" t="str" cm="1">
        <f t="array" ref="S280">IFERROR(VLOOKUP($A280,'The List'!$B1:$AS671,26,FALSE)," ")</f>
        <v xml:space="preserve"> </v>
      </c>
      <c r="T280" s="84" t="str" cm="1">
        <f t="array" ref="T280">IFERROR(VLOOKUP($A280,'The List'!$B1:$AS671,27,FALSE)," ")</f>
        <v xml:space="preserve"> </v>
      </c>
      <c r="U280" s="84" t="str" cm="1">
        <f t="array" ref="U280">IFERROR(VLOOKUP($A280,'The List'!$B1:$AS671,28,FALSE)," ")</f>
        <v xml:space="preserve"> </v>
      </c>
      <c r="V280" s="84" t="str" cm="1">
        <f t="array" ref="V280">IFERROR(VLOOKUP($A280,'The List'!$B1:$AS671,29,FALSE)," ")</f>
        <v xml:space="preserve"> </v>
      </c>
      <c r="W280" s="84" t="str" cm="1">
        <f t="array" ref="W280">IFERROR(VLOOKUP($A280,'The List'!$B1:$AS671,30,FALSE)," ")</f>
        <v xml:space="preserve"> </v>
      </c>
      <c r="X280" s="84" t="str" cm="1">
        <f t="array" ref="X280">IFERROR(VLOOKUP($A280,'The List'!$B1:$AS671,31,FALSE)," ")</f>
        <v xml:space="preserve"> </v>
      </c>
      <c r="Y280" s="84" t="str" cm="1">
        <f t="array" ref="Y280">IFERROR(VLOOKUP($A280,'The List'!$B1:$AS671,32,FALSE)," ")</f>
        <v xml:space="preserve"> </v>
      </c>
      <c r="Z280" s="84" t="str" cm="1">
        <f t="array" ref="Z280">IFERROR(VLOOKUP($A280,'The List'!$B1:$AS671,33,FALSE)," ")</f>
        <v xml:space="preserve"> </v>
      </c>
      <c r="AA280" s="85"/>
      <c r="AB280" s="90"/>
      <c r="AC280" s="90"/>
      <c r="AD280" s="90"/>
      <c r="AE280" s="90"/>
      <c r="AF280" s="90"/>
    </row>
    <row r="281" spans="1:32" ht="21.25" customHeight="1" x14ac:dyDescent="0.15">
      <c r="A281" s="24"/>
      <c r="B281" s="99" t="str" cm="1">
        <f t="array" ref="B281">IFERROR(VLOOKUP($A281,'The List'!$B1:$AS671,3,FALSE)," ")</f>
        <v xml:space="preserve"> </v>
      </c>
      <c r="C281" s="101" t="str" cm="1">
        <f t="array" ref="C281">IFERROR(VLOOKUP($A281,'The List'!$B1:$AS671,4,FALSE)," ")</f>
        <v xml:space="preserve"> </v>
      </c>
      <c r="D281" s="18" t="str" cm="1">
        <f t="array" ref="D281">IFERROR(VLOOKUP($A281,'The List'!$B1:$AS671,5,FALSE)," ")</f>
        <v xml:space="preserve"> </v>
      </c>
      <c r="E281" s="18" t="str" cm="1">
        <f t="array" ref="E281">IFERROR(VLOOKUP($A281,'The List'!$B1:$AS671,6,FALSE)," ")</f>
        <v xml:space="preserve"> </v>
      </c>
      <c r="F281" s="92" t="str" cm="1">
        <f t="array" ref="F281">IFERROR(VLOOKUP($A281,'The List'!$B1:$AS671,8,FALSE)," ")</f>
        <v xml:space="preserve"> </v>
      </c>
      <c r="G281" s="92" t="str" cm="1">
        <f t="array" ref="G281">IFERROR(VLOOKUP($A281,'The List'!$B1:$AS671,10,FALSE)," ")</f>
        <v xml:space="preserve"> </v>
      </c>
      <c r="H281" s="55"/>
      <c r="I281" s="84" t="str" cm="1">
        <f t="array" ref="I281">IFERROR(VLOOKUP($A281,'The List'!$B1:$AS671,16,FALSE)," ")</f>
        <v xml:space="preserve"> </v>
      </c>
      <c r="J281" s="84" t="str" cm="1">
        <f t="array" ref="J281">IFERROR(VLOOKUP($A281,'The List'!$B1:$AS671,17,FALSE)," ")</f>
        <v xml:space="preserve"> </v>
      </c>
      <c r="K281" s="84" t="str" cm="1">
        <f t="array" ref="K281">IFERROR(VLOOKUP($A281,'The List'!$B1:$AS671,18,FALSE)," ")</f>
        <v xml:space="preserve"> </v>
      </c>
      <c r="L281" s="84" t="str" cm="1">
        <f t="array" ref="L281">IFERROR(VLOOKUP($A281,'The List'!$B1:$AS671,19,FALSE)," ")</f>
        <v xml:space="preserve"> </v>
      </c>
      <c r="M281" s="84" t="str" cm="1">
        <f t="array" ref="M281">IFERROR(VLOOKUP($A281,'The List'!$B1:$AS671,20,FALSE)," ")</f>
        <v xml:space="preserve"> </v>
      </c>
      <c r="N281" s="84" t="str" cm="1">
        <f t="array" ref="N281">IFERROR(VLOOKUP($A281,'The List'!$B1:$AS671,21,FALSE)," ")</f>
        <v xml:space="preserve"> </v>
      </c>
      <c r="O281" s="84" t="str" cm="1">
        <f t="array" ref="O281">IFERROR(VLOOKUP($A281,'The List'!$B1:$AS671,22,FALSE)," ")</f>
        <v xml:space="preserve"> </v>
      </c>
      <c r="P281" s="84" t="str" cm="1">
        <f t="array" ref="P281">IFERROR(VLOOKUP($A281,'The List'!$B1:$AS671,23,FALSE)," ")</f>
        <v xml:space="preserve"> </v>
      </c>
      <c r="Q281" s="84" t="str" cm="1">
        <f t="array" ref="Q281">IFERROR(VLOOKUP($A281,'The List'!$B1:$AS671,24,FALSE)," ")</f>
        <v xml:space="preserve"> </v>
      </c>
      <c r="R281" s="84" t="str" cm="1">
        <f t="array" ref="R281">IFERROR(VLOOKUP($A281,'The List'!$B1:$AS671,25,FALSE)," ")</f>
        <v xml:space="preserve"> </v>
      </c>
      <c r="S281" s="84" t="str" cm="1">
        <f t="array" ref="S281">IFERROR(VLOOKUP($A281,'The List'!$B1:$AS671,26,FALSE)," ")</f>
        <v xml:space="preserve"> </v>
      </c>
      <c r="T281" s="84" t="str" cm="1">
        <f t="array" ref="T281">IFERROR(VLOOKUP($A281,'The List'!$B1:$AS671,27,FALSE)," ")</f>
        <v xml:space="preserve"> </v>
      </c>
      <c r="U281" s="84" t="str" cm="1">
        <f t="array" ref="U281">IFERROR(VLOOKUP($A281,'The List'!$B1:$AS671,28,FALSE)," ")</f>
        <v xml:space="preserve"> </v>
      </c>
      <c r="V281" s="84" t="str" cm="1">
        <f t="array" ref="V281">IFERROR(VLOOKUP($A281,'The List'!$B1:$AS671,29,FALSE)," ")</f>
        <v xml:space="preserve"> </v>
      </c>
      <c r="W281" s="84" t="str" cm="1">
        <f t="array" ref="W281">IFERROR(VLOOKUP($A281,'The List'!$B1:$AS671,30,FALSE)," ")</f>
        <v xml:space="preserve"> </v>
      </c>
      <c r="X281" s="84" t="str" cm="1">
        <f t="array" ref="X281">IFERROR(VLOOKUP($A281,'The List'!$B1:$AS671,31,FALSE)," ")</f>
        <v xml:space="preserve"> </v>
      </c>
      <c r="Y281" s="84" t="str" cm="1">
        <f t="array" ref="Y281">IFERROR(VLOOKUP($A281,'The List'!$B1:$AS671,32,FALSE)," ")</f>
        <v xml:space="preserve"> </v>
      </c>
      <c r="Z281" s="84" t="str" cm="1">
        <f t="array" ref="Z281">IFERROR(VLOOKUP($A281,'The List'!$B1:$AS671,33,FALSE)," ")</f>
        <v xml:space="preserve"> </v>
      </c>
      <c r="AA281" s="85"/>
      <c r="AB281" s="90"/>
      <c r="AC281" s="90"/>
      <c r="AD281" s="90"/>
      <c r="AE281" s="90"/>
      <c r="AF281" s="90"/>
    </row>
    <row r="282" spans="1:32" ht="21.25" customHeight="1" x14ac:dyDescent="0.15">
      <c r="A282" s="103"/>
      <c r="B282" s="104" t="str" cm="1">
        <f t="array" ref="B282">IFERROR(VLOOKUP($A282,'The List'!$B1:$AS671,3,FALSE)," ")</f>
        <v xml:space="preserve"> </v>
      </c>
      <c r="C282" s="105" t="str" cm="1">
        <f t="array" ref="C282">IFERROR(VLOOKUP($A282,'The List'!$B1:$AS671,4,FALSE)," ")</f>
        <v xml:space="preserve"> </v>
      </c>
      <c r="D282" s="106" t="str" cm="1">
        <f t="array" ref="D282">IFERROR(VLOOKUP($A282,'The List'!$B1:$AS671,5,FALSE)," ")</f>
        <v xml:space="preserve"> </v>
      </c>
      <c r="E282" s="106" t="str" cm="1">
        <f t="array" ref="E282">IFERROR(VLOOKUP($A282,'The List'!$B1:$AS671,6,FALSE)," ")</f>
        <v xml:space="preserve"> </v>
      </c>
      <c r="F282" s="107" t="str" cm="1">
        <f t="array" ref="F282">IFERROR(VLOOKUP($A282,'The List'!$B1:$AS671,8,FALSE)," ")</f>
        <v xml:space="preserve"> </v>
      </c>
      <c r="G282" s="107" t="str" cm="1">
        <f t="array" ref="G282">IFERROR(VLOOKUP($A282,'The List'!$B1:$AS671,10,FALSE)," ")</f>
        <v xml:space="preserve"> </v>
      </c>
      <c r="H282" s="108"/>
      <c r="I282" s="109" t="str" cm="1">
        <f t="array" ref="I282">IFERROR(VLOOKUP($A282,'The List'!$B1:$AS671,16,FALSE)," ")</f>
        <v xml:space="preserve"> </v>
      </c>
      <c r="J282" s="109" t="str" cm="1">
        <f t="array" ref="J282">IFERROR(VLOOKUP($A282,'The List'!$B1:$AS671,17,FALSE)," ")</f>
        <v xml:space="preserve"> </v>
      </c>
      <c r="K282" s="109" t="str" cm="1">
        <f t="array" ref="K282">IFERROR(VLOOKUP($A282,'The List'!$B1:$AS671,18,FALSE)," ")</f>
        <v xml:space="preserve"> </v>
      </c>
      <c r="L282" s="109" t="str" cm="1">
        <f t="array" ref="L282">IFERROR(VLOOKUP($A282,'The List'!$B1:$AS671,19,FALSE)," ")</f>
        <v xml:space="preserve"> </v>
      </c>
      <c r="M282" s="109" t="str" cm="1">
        <f t="array" ref="M282">IFERROR(VLOOKUP($A282,'The List'!$B1:$AS671,20,FALSE)," ")</f>
        <v xml:space="preserve"> </v>
      </c>
      <c r="N282" s="109" t="str" cm="1">
        <f t="array" ref="N282">IFERROR(VLOOKUP($A282,'The List'!$B1:$AS671,21,FALSE)," ")</f>
        <v xml:space="preserve"> </v>
      </c>
      <c r="O282" s="109" t="str" cm="1">
        <f t="array" ref="O282">IFERROR(VLOOKUP($A282,'The List'!$B1:$AS671,22,FALSE)," ")</f>
        <v xml:space="preserve"> </v>
      </c>
      <c r="P282" s="109" t="str" cm="1">
        <f t="array" ref="P282">IFERROR(VLOOKUP($A282,'The List'!$B1:$AS671,23,FALSE)," ")</f>
        <v xml:space="preserve"> </v>
      </c>
      <c r="Q282" s="109" t="str" cm="1">
        <f t="array" ref="Q282">IFERROR(VLOOKUP($A282,'The List'!$B1:$AS671,24,FALSE)," ")</f>
        <v xml:space="preserve"> </v>
      </c>
      <c r="R282" s="109" t="str" cm="1">
        <f t="array" ref="R282">IFERROR(VLOOKUP($A282,'The List'!$B1:$AS671,25,FALSE)," ")</f>
        <v xml:space="preserve"> </v>
      </c>
      <c r="S282" s="109" t="str" cm="1">
        <f t="array" ref="S282">IFERROR(VLOOKUP($A282,'The List'!$B1:$AS671,26,FALSE)," ")</f>
        <v xml:space="preserve"> </v>
      </c>
      <c r="T282" s="109" t="str" cm="1">
        <f t="array" ref="T282">IFERROR(VLOOKUP($A282,'The List'!$B1:$AS671,27,FALSE)," ")</f>
        <v xml:space="preserve"> </v>
      </c>
      <c r="U282" s="109" t="str" cm="1">
        <f t="array" ref="U282">IFERROR(VLOOKUP($A282,'The List'!$B1:$AS671,28,FALSE)," ")</f>
        <v xml:space="preserve"> </v>
      </c>
      <c r="V282" s="109" t="str" cm="1">
        <f t="array" ref="V282">IFERROR(VLOOKUP($A282,'The List'!$B1:$AS671,29,FALSE)," ")</f>
        <v xml:space="preserve"> </v>
      </c>
      <c r="W282" s="109" t="str" cm="1">
        <f t="array" ref="W282">IFERROR(VLOOKUP($A282,'The List'!$B1:$AS671,30,FALSE)," ")</f>
        <v xml:space="preserve"> </v>
      </c>
      <c r="X282" s="109" t="str" cm="1">
        <f t="array" ref="X282">IFERROR(VLOOKUP($A282,'The List'!$B1:$AS671,31,FALSE)," ")</f>
        <v xml:space="preserve"> </v>
      </c>
      <c r="Y282" s="109" t="str" cm="1">
        <f t="array" ref="Y282">IFERROR(VLOOKUP($A282,'The List'!$B1:$AS671,32,FALSE)," ")</f>
        <v xml:space="preserve"> </v>
      </c>
      <c r="Z282" s="109" t="str" cm="1">
        <f t="array" ref="Z282">IFERROR(VLOOKUP($A282,'The List'!$B1:$AS671,33,FALSE)," ")</f>
        <v xml:space="preserve"> </v>
      </c>
      <c r="AA282" s="85"/>
      <c r="AB282" s="90"/>
      <c r="AC282" s="90"/>
      <c r="AD282" s="90"/>
      <c r="AE282" s="90"/>
      <c r="AF282" s="90"/>
    </row>
    <row r="283" spans="1:32" ht="21.25" customHeight="1" x14ac:dyDescent="0.15">
      <c r="A283" s="110"/>
      <c r="B283" s="111"/>
      <c r="C283" s="112"/>
      <c r="D283" s="113"/>
      <c r="E283" s="113" t="str" cm="1">
        <f t="array" ref="E283">IFERROR(AVERAGE(E263:E282)," ")</f>
        <v xml:space="preserve"> </v>
      </c>
      <c r="F283" s="115" cm="1">
        <f t="array" ref="F283">SUM(F263:F282)</f>
        <v>0</v>
      </c>
      <c r="G283" s="115" cm="1">
        <f t="array" ref="G283">SUM(G263:G282)</f>
        <v>0</v>
      </c>
      <c r="H283" s="116"/>
      <c r="I283" s="117" cm="1">
        <f t="array" ref="I283">SUM(I263:I282)</f>
        <v>0</v>
      </c>
      <c r="J283" s="116" t="e" cm="1">
        <f t="array" ref="J283">AVERAGE(J263:J282)</f>
        <v>#DIV/0!</v>
      </c>
      <c r="K283" s="117" cm="1">
        <f t="array" ref="K283">SUM(K263:K282)</f>
        <v>0</v>
      </c>
      <c r="L283" s="117" cm="1">
        <f t="array" ref="L283">SUM(L263:L282)</f>
        <v>0</v>
      </c>
      <c r="M283" s="117" cm="1">
        <f t="array" ref="M283">SUM(M263:M282)</f>
        <v>0</v>
      </c>
      <c r="N283" s="117" cm="1">
        <f t="array" ref="N283">SUM(N263:N282)</f>
        <v>0</v>
      </c>
      <c r="O283" s="117" cm="1">
        <f t="array" ref="O283">SUM(O263:O282)</f>
        <v>0</v>
      </c>
      <c r="P283" s="117" cm="1">
        <f t="array" ref="P283">SUM(P263:P282)</f>
        <v>0</v>
      </c>
      <c r="Q283" s="117" cm="1">
        <f t="array" ref="Q283">SUM(Q263:Q282)</f>
        <v>0</v>
      </c>
      <c r="R283" s="117" cm="1">
        <f t="array" ref="R283">SUM(R263:R282)</f>
        <v>0</v>
      </c>
      <c r="S283" s="117" cm="1">
        <f t="array" ref="S283">SUM(S263:S282)</f>
        <v>0</v>
      </c>
      <c r="T283" s="117" cm="1">
        <f t="array" ref="T283">SUM(T263:T282)</f>
        <v>0</v>
      </c>
      <c r="U283" s="117" cm="1">
        <f t="array" ref="U283">SUM(U263:U282)</f>
        <v>0</v>
      </c>
      <c r="V283" s="117" cm="1">
        <f t="array" ref="V283">SUM(V263:V282)</f>
        <v>0</v>
      </c>
      <c r="W283" s="117" cm="1">
        <f t="array" ref="W283">SUM(W263:W282)</f>
        <v>0</v>
      </c>
      <c r="X283" s="117" cm="1">
        <f t="array" ref="X283">SUM(X263:X282)</f>
        <v>0</v>
      </c>
      <c r="Y283" s="117" cm="1">
        <f t="array" ref="Y283">SUM(Y263:Y282)</f>
        <v>0</v>
      </c>
      <c r="Z283" s="118" cm="1">
        <f t="array" ref="Z283">IFERROR(X283/(X283+Y283),0)</f>
        <v>0</v>
      </c>
      <c r="AA283" s="85"/>
      <c r="AB283" s="119"/>
      <c r="AC283" s="119"/>
      <c r="AD283" s="119"/>
      <c r="AE283" s="119"/>
      <c r="AF283" s="119"/>
    </row>
    <row r="284" spans="1:32" ht="21.25" customHeight="1" x14ac:dyDescent="0.15">
      <c r="A284" s="37"/>
      <c r="B284" s="120"/>
      <c r="C284" s="121"/>
      <c r="D284" s="13"/>
      <c r="E284" s="13"/>
      <c r="F284" s="122"/>
      <c r="G284" s="123"/>
      <c r="H284" s="124"/>
      <c r="I284" s="12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90"/>
      <c r="AC284" s="90"/>
      <c r="AD284" s="90"/>
      <c r="AE284" s="90"/>
      <c r="AF284" s="90"/>
    </row>
    <row r="285" spans="1:32" ht="21.25" customHeight="1" x14ac:dyDescent="0.15">
      <c r="A285" s="40" t="s">
        <v>90</v>
      </c>
      <c r="B285" s="204" t="s">
        <v>92</v>
      </c>
      <c r="C285" s="194"/>
      <c r="D285" s="126" t="s">
        <v>93</v>
      </c>
      <c r="E285" s="126" t="s">
        <v>94</v>
      </c>
      <c r="F285" s="127" t="s">
        <v>96</v>
      </c>
      <c r="G285" s="127" t="s">
        <v>98</v>
      </c>
      <c r="H285" s="128"/>
      <c r="I285" s="129" t="s">
        <v>103</v>
      </c>
      <c r="J285" s="129" t="s">
        <v>118</v>
      </c>
      <c r="K285" s="129" t="s">
        <v>119</v>
      </c>
      <c r="L285" s="129" t="s">
        <v>120</v>
      </c>
      <c r="M285" s="129" t="s">
        <v>121</v>
      </c>
      <c r="N285" s="129" t="s">
        <v>122</v>
      </c>
      <c r="O285" s="129" t="s">
        <v>123</v>
      </c>
      <c r="P285" s="129" t="s">
        <v>124</v>
      </c>
      <c r="Q285" s="129" t="s">
        <v>125</v>
      </c>
      <c r="R285" s="85"/>
      <c r="S285" s="85"/>
      <c r="T285" s="85"/>
      <c r="U285" s="204" t="s">
        <v>814</v>
      </c>
      <c r="V285" s="205"/>
      <c r="W285" s="205"/>
      <c r="X285" s="204" t="s">
        <v>815</v>
      </c>
      <c r="Y285" s="205"/>
      <c r="Z285" s="205"/>
      <c r="AA285" s="85"/>
      <c r="AB285" s="85"/>
      <c r="AC285" s="85"/>
      <c r="AD285" s="85"/>
      <c r="AE285" s="85"/>
      <c r="AF285" s="85"/>
    </row>
    <row r="286" spans="1:32" ht="21.25" customHeight="1" x14ac:dyDescent="0.15">
      <c r="A286" s="146"/>
      <c r="B286" s="131" t="str" cm="1">
        <f t="array" ref="B286">IFERROR(VLOOKUP($A286,'The List'!$B1:$AS671,3,FALSE)," ")</f>
        <v xml:space="preserve"> </v>
      </c>
      <c r="C286" s="147" t="str" cm="1">
        <f t="array" ref="C286">IFERROR(VLOOKUP($A286,'The List'!$B1:$AS671,4,FALSE)," ")</f>
        <v xml:space="preserve"> </v>
      </c>
      <c r="D286" s="133" t="str" cm="1">
        <f t="array" ref="D286">IFERROR(VLOOKUP($A286,'The List'!$B1:$AS671,5,FALSE)," ")</f>
        <v xml:space="preserve"> </v>
      </c>
      <c r="E286" s="133" t="str" cm="1">
        <f t="array" ref="E286">IFERROR(VLOOKUP($A286,'The List'!$B1:$AS671,6,FALSE)," ")</f>
        <v xml:space="preserve"> </v>
      </c>
      <c r="F286" s="148" t="str" cm="1">
        <f t="array" ref="F286">IFERROR(VLOOKUP($A286,'The List'!$B1:$AS671,8,FALSE)," ")</f>
        <v xml:space="preserve"> </v>
      </c>
      <c r="G286" s="148" t="str" cm="1">
        <f t="array" ref="G286">IFERROR(VLOOKUP($A286,'The List'!$B1:$AS671,10,FALSE)," ")</f>
        <v xml:space="preserve"> </v>
      </c>
      <c r="H286" s="82"/>
      <c r="I286" s="149" t="str" cm="1">
        <f t="array" ref="I286">IFERROR(VLOOKUP($A286,'The List'!$B1:$AS671,35,FALSE)," ")</f>
        <v xml:space="preserve"> </v>
      </c>
      <c r="J286" s="149" t="str" cm="1">
        <f t="array" ref="J286">IFERROR(VLOOKUP($A286,'The List'!$B1:$AS671,36,FALSE)," ")</f>
        <v xml:space="preserve"> </v>
      </c>
      <c r="K286" s="149" t="str" cm="1">
        <f t="array" ref="K286">IFERROR(VLOOKUP($A286,'The List'!$B1:$AS671,37,FALSE)," ")</f>
        <v xml:space="preserve"> </v>
      </c>
      <c r="L286" s="149" t="str" cm="1">
        <f t="array" ref="L286">IFERROR(VLOOKUP($A286,'The List'!$B1:$AS671,38,FALSE)," ")</f>
        <v xml:space="preserve"> </v>
      </c>
      <c r="M286" s="149" t="str" cm="1">
        <f t="array" ref="M286">IFERROR(VLOOKUP($A286,'The List'!$B1:$AS671,39,FALSE)," ")</f>
        <v xml:space="preserve"> </v>
      </c>
      <c r="N286" s="149" t="str" cm="1">
        <f t="array" ref="N286">IFERROR(VLOOKUP($A286,'The List'!$B1:$AS671,40,FALSE)," ")</f>
        <v xml:space="preserve"> </v>
      </c>
      <c r="O286" s="149" t="str" cm="1">
        <f t="array" ref="O286">IFERROR(VLOOKUP($A286,'The List'!$B1:$AS671,41,FALSE)," ")</f>
        <v xml:space="preserve"> </v>
      </c>
      <c r="P286" s="149" t="str" cm="1">
        <f t="array" ref="P286">IFERROR(VLOOKUP($A286,'The List'!$B1:$AS671,42,FALSE)," ")</f>
        <v xml:space="preserve"> </v>
      </c>
      <c r="Q286" s="149" t="str" cm="1">
        <f t="array" ref="Q286">IFERROR(VLOOKUP($A286,'The List'!$B1:$AS671,43,FALSE)," ")</f>
        <v xml:space="preserve"> </v>
      </c>
      <c r="R286" s="85"/>
      <c r="S286" s="85"/>
      <c r="T286" s="139" t="str" cm="1">
        <f t="array" ref="T286">A262</f>
        <v>TEAM 10</v>
      </c>
      <c r="U286" s="206" cm="1">
        <f t="array" ref="U286">F283+F289</f>
        <v>0</v>
      </c>
      <c r="V286" s="194"/>
      <c r="W286" s="194"/>
      <c r="X286" s="206" cm="1">
        <f t="array" ref="X286">G289+G283</f>
        <v>0</v>
      </c>
      <c r="Y286" s="194"/>
      <c r="Z286" s="194"/>
      <c r="AA286" s="85"/>
      <c r="AB286" s="85"/>
      <c r="AC286" s="85"/>
      <c r="AD286" s="85"/>
      <c r="AE286" s="85"/>
      <c r="AF286" s="85"/>
    </row>
    <row r="287" spans="1:32" ht="21.25" customHeight="1" x14ac:dyDescent="0.15">
      <c r="A287" s="24"/>
      <c r="B287" s="140" t="str" cm="1">
        <f t="array" ref="B287">IFERROR(VLOOKUP($A287,'The List'!$B1:$AS671,3,FALSE)," ")</f>
        <v xml:space="preserve"> </v>
      </c>
      <c r="C287" s="141" t="str" cm="1">
        <f t="array" ref="C287">IFERROR(VLOOKUP($A287,'The List'!$B1:$AS671,4,FALSE)," ")</f>
        <v xml:space="preserve"> </v>
      </c>
      <c r="D287" s="18" t="str" cm="1">
        <f t="array" ref="D287">IFERROR(VLOOKUP($A287,'The List'!$B1:$AS671,5,FALSE)," ")</f>
        <v xml:space="preserve"> </v>
      </c>
      <c r="E287" s="18" t="str" cm="1">
        <f t="array" ref="E287">IFERROR(VLOOKUP($A287,'The List'!$B1:$AS671,6,FALSE)," ")</f>
        <v xml:space="preserve"> </v>
      </c>
      <c r="F287" s="92" t="str" cm="1">
        <f t="array" ref="F287">IFERROR(VLOOKUP($A287,'The List'!$B1:$AS671,8,FALSE)," ")</f>
        <v xml:space="preserve"> </v>
      </c>
      <c r="G287" s="92" t="str" cm="1">
        <f t="array" ref="G287">IFERROR(VLOOKUP($A287,'The List'!$B1:$AS671,10,FALSE)," ")</f>
        <v xml:space="preserve"> </v>
      </c>
      <c r="H287" s="55"/>
      <c r="I287" s="84" t="str" cm="1">
        <f t="array" ref="I287">IFERROR(VLOOKUP($A287,'The List'!$B1:$AS671,35,FALSE)," ")</f>
        <v xml:space="preserve"> </v>
      </c>
      <c r="J287" s="84" t="str" cm="1">
        <f t="array" ref="J287">IFERROR(VLOOKUP($A287,'The List'!$B1:$AS671,36,FALSE)," ")</f>
        <v xml:space="preserve"> </v>
      </c>
      <c r="K287" s="84" t="str" cm="1">
        <f t="array" ref="K287">IFERROR(VLOOKUP($A287,'The List'!$B1:$AS671,37,FALSE)," ")</f>
        <v xml:space="preserve"> </v>
      </c>
      <c r="L287" s="84" t="str" cm="1">
        <f t="array" ref="L287">IFERROR(VLOOKUP($A287,'The List'!$B1:$AS671,38,FALSE)," ")</f>
        <v xml:space="preserve"> </v>
      </c>
      <c r="M287" s="84" t="str" cm="1">
        <f t="array" ref="M287">IFERROR(VLOOKUP($A287,'The List'!$B1:$AS671,39,FALSE)," ")</f>
        <v xml:space="preserve"> </v>
      </c>
      <c r="N287" s="84" t="str" cm="1">
        <f t="array" ref="N287">IFERROR(VLOOKUP($A287,'The List'!$B1:$AS671,40,FALSE)," ")</f>
        <v xml:space="preserve"> </v>
      </c>
      <c r="O287" s="84" t="str" cm="1">
        <f t="array" ref="O287">IFERROR(VLOOKUP($A287,'The List'!$B1:$AS671,41,FALSE)," ")</f>
        <v xml:space="preserve"> </v>
      </c>
      <c r="P287" s="84" t="str" cm="1">
        <f t="array" ref="P287">IFERROR(VLOOKUP($A287,'The List'!$B1:$AS671,42,FALSE)," ")</f>
        <v xml:space="preserve"> </v>
      </c>
      <c r="Q287" s="84" t="str" cm="1">
        <f t="array" ref="Q287">IFERROR(VLOOKUP($A287,'The List'!$B1:$AS671,43,FALSE)," ")</f>
        <v xml:space="preserve"> </v>
      </c>
      <c r="R287" s="85"/>
      <c r="S287" s="85"/>
      <c r="T287" s="85"/>
      <c r="U287" s="194"/>
      <c r="V287" s="194"/>
      <c r="W287" s="194"/>
      <c r="X287" s="194"/>
      <c r="Y287" s="194"/>
      <c r="Z287" s="194"/>
      <c r="AA287" s="85"/>
      <c r="AB287" s="85"/>
      <c r="AC287" s="85"/>
      <c r="AD287" s="85"/>
      <c r="AE287" s="85"/>
      <c r="AF287" s="85"/>
    </row>
    <row r="288" spans="1:32" ht="21.25" customHeight="1" x14ac:dyDescent="0.15">
      <c r="A288" s="103"/>
      <c r="B288" s="142" t="str" cm="1">
        <f t="array" ref="B288">IFERROR(VLOOKUP($A288,'The List'!$B1:$AS671,3,FALSE)," ")</f>
        <v xml:space="preserve"> </v>
      </c>
      <c r="C288" s="143" t="str" cm="1">
        <f t="array" ref="C288">IFERROR(VLOOKUP($A288,'The List'!$B1:$AS671,4,FALSE)," ")</f>
        <v xml:space="preserve"> </v>
      </c>
      <c r="D288" s="106" t="str" cm="1">
        <f t="array" ref="D288">IFERROR(VLOOKUP($A288,'The List'!$B1:$AS671,5,FALSE)," ")</f>
        <v xml:space="preserve"> </v>
      </c>
      <c r="E288" s="106" t="str" cm="1">
        <f t="array" ref="E288">IFERROR(VLOOKUP($A288,'The List'!$B1:$AS671,6,FALSE)," ")</f>
        <v xml:space="preserve"> </v>
      </c>
      <c r="F288" s="107" t="str" cm="1">
        <f t="array" ref="F288">IFERROR(VLOOKUP($A288,'The List'!$B1:$AS671,8,FALSE)," ")</f>
        <v xml:space="preserve"> </v>
      </c>
      <c r="G288" s="107" t="str" cm="1">
        <f t="array" ref="G288">IFERROR(VLOOKUP($A288,'The List'!$B1:$AS671,10,FALSE)," ")</f>
        <v xml:space="preserve"> </v>
      </c>
      <c r="H288" s="108"/>
      <c r="I288" s="109" t="str" cm="1">
        <f t="array" ref="I288">IFERROR(VLOOKUP($A288,'The List'!$B1:$AS671,35,FALSE)," ")</f>
        <v xml:space="preserve"> </v>
      </c>
      <c r="J288" s="109" t="str" cm="1">
        <f t="array" ref="J288">IFERROR(VLOOKUP($A288,'The List'!$B1:$AS671,36,FALSE)," ")</f>
        <v xml:space="preserve"> </v>
      </c>
      <c r="K288" s="109" t="str" cm="1">
        <f t="array" ref="K288">IFERROR(VLOOKUP($A288,'The List'!$B1:$AS671,37,FALSE)," ")</f>
        <v xml:space="preserve"> </v>
      </c>
      <c r="L288" s="109" t="str" cm="1">
        <f t="array" ref="L288">IFERROR(VLOOKUP($A288,'The List'!$B1:$AS671,38,FALSE)," ")</f>
        <v xml:space="preserve"> </v>
      </c>
      <c r="M288" s="109" t="str" cm="1">
        <f t="array" ref="M288">IFERROR(VLOOKUP($A288,'The List'!$B1:$AS671,39,FALSE)," ")</f>
        <v xml:space="preserve"> </v>
      </c>
      <c r="N288" s="109" t="str" cm="1">
        <f t="array" ref="N288">IFERROR(VLOOKUP($A288,'The List'!$B1:$AS671,40,FALSE)," ")</f>
        <v xml:space="preserve"> </v>
      </c>
      <c r="O288" s="109" t="str" cm="1">
        <f t="array" ref="O288">IFERROR(VLOOKUP($A288,'The List'!$B1:$AS671,41,FALSE)," ")</f>
        <v xml:space="preserve"> </v>
      </c>
      <c r="P288" s="109" t="str" cm="1">
        <f t="array" ref="P288">IFERROR(VLOOKUP($A288,'The List'!$B1:$AS671,42,FALSE)," ")</f>
        <v xml:space="preserve"> </v>
      </c>
      <c r="Q288" s="109" t="str" cm="1">
        <f t="array" ref="Q288">IFERROR(VLOOKUP($A288,'The List'!$B1:$AS671,43,FALSE)," ")</f>
        <v xml:space="preserve"> </v>
      </c>
      <c r="R288" s="85"/>
      <c r="S288" s="85"/>
      <c r="T288" s="85"/>
      <c r="U288" s="194"/>
      <c r="V288" s="194"/>
      <c r="W288" s="194"/>
      <c r="X288" s="194"/>
      <c r="Y288" s="194"/>
      <c r="Z288" s="194"/>
      <c r="AA288" s="85"/>
      <c r="AB288" s="85"/>
      <c r="AC288" s="85"/>
      <c r="AD288" s="85"/>
      <c r="AE288" s="85"/>
      <c r="AF288" s="85"/>
    </row>
    <row r="289" spans="1:32" ht="21.25" customHeight="1" x14ac:dyDescent="0.15">
      <c r="A289" s="110"/>
      <c r="B289" s="111"/>
      <c r="C289" s="112"/>
      <c r="D289" s="113"/>
      <c r="E289" s="113" t="str" cm="1">
        <f t="array" ref="E289">IFERROR(AVERAGE(E286:E288)," ")</f>
        <v xml:space="preserve"> </v>
      </c>
      <c r="F289" s="115" cm="1">
        <f t="array" ref="F289">SUM(F286:F288)</f>
        <v>0</v>
      </c>
      <c r="G289" s="115" cm="1">
        <f t="array" ref="G289">SUM(G286:G288)</f>
        <v>0</v>
      </c>
      <c r="H289" s="116"/>
      <c r="I289" s="117" cm="1">
        <f t="array" ref="I289">SUM(I286:I288)</f>
        <v>0</v>
      </c>
      <c r="J289" s="116" cm="1">
        <f t="array" ref="J289">SUM(J286:J288)</f>
        <v>0</v>
      </c>
      <c r="K289" s="117" cm="1">
        <f t="array" ref="K289">SUM(K286:K288)</f>
        <v>0</v>
      </c>
      <c r="L289" s="117" cm="1">
        <f t="array" ref="L289">SUM(L286:L288)</f>
        <v>0</v>
      </c>
      <c r="M289" s="117" cm="1">
        <f t="array" ref="M289">SUM(M286:M288)</f>
        <v>0</v>
      </c>
      <c r="N289" s="117" cm="1">
        <f t="array" ref="N289">SUM(N286:N288)</f>
        <v>0</v>
      </c>
      <c r="O289" s="117" cm="1">
        <f t="array" ref="O289">SUM(O286:O288)</f>
        <v>0</v>
      </c>
      <c r="P289" s="144" t="e" cm="1">
        <f t="array" ref="P289">1-(O289/(N289+O289))</f>
        <v>#DIV/0!</v>
      </c>
      <c r="Q289" s="145" t="e" cm="1">
        <f t="array" ref="Q289">O289/I289</f>
        <v>#DIV/0!</v>
      </c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</row>
    <row r="290" spans="1:32" ht="70.75" customHeight="1" x14ac:dyDescent="0.15">
      <c r="A290" s="37"/>
      <c r="B290" s="120"/>
      <c r="C290" s="121"/>
      <c r="D290" s="13"/>
      <c r="E290" s="13"/>
      <c r="F290" s="122"/>
      <c r="G290" s="123"/>
      <c r="H290" s="124"/>
      <c r="I290" s="12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90"/>
      <c r="AB290" s="90"/>
      <c r="AC290" s="90"/>
      <c r="AD290" s="90"/>
      <c r="AE290" s="90"/>
      <c r="AF290" s="90"/>
    </row>
    <row r="291" spans="1:32" ht="21.25" customHeight="1" x14ac:dyDescent="0.15">
      <c r="A291" s="41" t="s">
        <v>808</v>
      </c>
      <c r="B291" s="203" t="s">
        <v>92</v>
      </c>
      <c r="C291" s="200"/>
      <c r="D291" s="42" t="s">
        <v>93</v>
      </c>
      <c r="E291" s="42" t="s">
        <v>94</v>
      </c>
      <c r="F291" s="43" t="s">
        <v>96</v>
      </c>
      <c r="G291" s="43" t="s">
        <v>98</v>
      </c>
      <c r="H291" s="44"/>
      <c r="I291" s="46" t="s">
        <v>103</v>
      </c>
      <c r="J291" s="46" t="s">
        <v>56</v>
      </c>
      <c r="K291" s="46" t="s">
        <v>104</v>
      </c>
      <c r="L291" s="46" t="s">
        <v>105</v>
      </c>
      <c r="M291" s="46" t="s">
        <v>106</v>
      </c>
      <c r="N291" s="46" t="s">
        <v>107</v>
      </c>
      <c r="O291" s="46" t="s">
        <v>64</v>
      </c>
      <c r="P291" s="46" t="s">
        <v>67</v>
      </c>
      <c r="Q291" s="46" t="s">
        <v>108</v>
      </c>
      <c r="R291" s="46" t="s">
        <v>109</v>
      </c>
      <c r="S291" s="46" t="s">
        <v>110</v>
      </c>
      <c r="T291" s="46" t="s">
        <v>111</v>
      </c>
      <c r="U291" s="46" t="s">
        <v>112</v>
      </c>
      <c r="V291" s="46" t="s">
        <v>113</v>
      </c>
      <c r="W291" s="46" t="s">
        <v>114</v>
      </c>
      <c r="X291" s="46" t="s">
        <v>115</v>
      </c>
      <c r="Y291" s="46" t="s">
        <v>116</v>
      </c>
      <c r="Z291" s="46" t="s">
        <v>117</v>
      </c>
      <c r="AA291" s="85"/>
      <c r="AB291" s="86"/>
      <c r="AC291" s="86"/>
      <c r="AD291" s="86"/>
      <c r="AE291" s="86"/>
      <c r="AF291" s="86"/>
    </row>
    <row r="292" spans="1:32" ht="21.25" customHeight="1" x14ac:dyDescent="0.15">
      <c r="A292" s="24"/>
      <c r="B292" s="87" t="str" cm="1">
        <f t="array" ref="B292">IFERROR(VLOOKUP($A292,'The List'!$B1:$AS671,3,FALSE)," ")</f>
        <v xml:space="preserve"> </v>
      </c>
      <c r="C292" s="91" t="str" cm="1">
        <f t="array" ref="C292">IFERROR(VLOOKUP($A292,'The List'!$B1:$AS671,4,FALSE)," ")</f>
        <v xml:space="preserve"> </v>
      </c>
      <c r="D292" s="18" t="str" cm="1">
        <f t="array" ref="D292">IFERROR(VLOOKUP($A292,'The List'!$B1:$AS671,5,FALSE)," ")</f>
        <v xml:space="preserve"> </v>
      </c>
      <c r="E292" s="18" t="str" cm="1">
        <f t="array" ref="E292">IFERROR(VLOOKUP($A292,'The List'!$B1:$AS671,6,FALSE)," ")</f>
        <v xml:space="preserve"> </v>
      </c>
      <c r="F292" s="92" t="str" cm="1">
        <f t="array" ref="F292">IFERROR(VLOOKUP($A292,'The List'!$B1:$AS671,8,FALSE)," ")</f>
        <v xml:space="preserve"> </v>
      </c>
      <c r="G292" s="92" t="str" cm="1">
        <f t="array" ref="G292">IFERROR(VLOOKUP($A292,'The List'!$B1:$AS671,10,FALSE)," ")</f>
        <v xml:space="preserve"> </v>
      </c>
      <c r="H292" s="55"/>
      <c r="I292" s="84" t="str" cm="1">
        <f t="array" ref="I292">IFERROR(VLOOKUP($A292,'The List'!$B1:$AS671,16,FALSE)," ")</f>
        <v xml:space="preserve"> </v>
      </c>
      <c r="J292" s="84" t="str" cm="1">
        <f t="array" ref="J292">IFERROR(VLOOKUP($A292,'The List'!$B1:$AS671,17,FALSE)," ")</f>
        <v xml:space="preserve"> </v>
      </c>
      <c r="K292" s="84" t="str" cm="1">
        <f t="array" ref="K292">IFERROR(VLOOKUP($A292,'The List'!$B1:$AS671,18,FALSE)," ")</f>
        <v xml:space="preserve"> </v>
      </c>
      <c r="L292" s="84" t="str" cm="1">
        <f t="array" ref="L292">IFERROR(VLOOKUP($A292,'The List'!$B1:$AS671,19,FALSE)," ")</f>
        <v xml:space="preserve"> </v>
      </c>
      <c r="M292" s="84" t="str" cm="1">
        <f t="array" ref="M292">IFERROR(VLOOKUP($A292,'The List'!$B1:$AS671,20,FALSE)," ")</f>
        <v xml:space="preserve"> </v>
      </c>
      <c r="N292" s="84" t="str" cm="1">
        <f t="array" ref="N292">IFERROR(VLOOKUP($A292,'The List'!$B1:$AS671,21,FALSE)," ")</f>
        <v xml:space="preserve"> </v>
      </c>
      <c r="O292" s="84" t="str" cm="1">
        <f t="array" ref="O292">IFERROR(VLOOKUP($A292,'The List'!$B1:$AS671,22,FALSE)," ")</f>
        <v xml:space="preserve"> </v>
      </c>
      <c r="P292" s="84" t="str" cm="1">
        <f t="array" ref="P292">IFERROR(VLOOKUP($A292,'The List'!$B1:$AS671,23,FALSE)," ")</f>
        <v xml:space="preserve"> </v>
      </c>
      <c r="Q292" s="84" t="str" cm="1">
        <f t="array" ref="Q292">IFERROR(VLOOKUP($A292,'The List'!$B1:$AS671,24,FALSE)," ")</f>
        <v xml:space="preserve"> </v>
      </c>
      <c r="R292" s="84" t="str" cm="1">
        <f t="array" ref="R292">IFERROR(VLOOKUP($A292,'The List'!$B1:$AS671,25,FALSE)," ")</f>
        <v xml:space="preserve"> </v>
      </c>
      <c r="S292" s="84" t="str" cm="1">
        <f t="array" ref="S292">IFERROR(VLOOKUP($A292,'The List'!$B1:$AS671,26,FALSE)," ")</f>
        <v xml:space="preserve"> </v>
      </c>
      <c r="T292" s="84" t="str" cm="1">
        <f t="array" ref="T292">IFERROR(VLOOKUP($A292,'The List'!$B1:$AS671,27,FALSE)," ")</f>
        <v xml:space="preserve"> </v>
      </c>
      <c r="U292" s="84" t="str" cm="1">
        <f t="array" ref="U292">IFERROR(VLOOKUP($A292,'The List'!$B1:$AS671,28,FALSE)," ")</f>
        <v xml:space="preserve"> </v>
      </c>
      <c r="V292" s="84" t="str" cm="1">
        <f t="array" ref="V292">IFERROR(VLOOKUP($A292,'The List'!$B1:$AS671,29,FALSE)," ")</f>
        <v xml:space="preserve"> </v>
      </c>
      <c r="W292" s="84" t="str" cm="1">
        <f t="array" ref="W292">IFERROR(VLOOKUP($A292,'The List'!$B1:$AS671,30,FALSE)," ")</f>
        <v xml:space="preserve"> </v>
      </c>
      <c r="X292" s="84" t="str" cm="1">
        <f t="array" ref="X292">IFERROR(VLOOKUP($A292,'The List'!$B1:$AS671,31,FALSE)," ")</f>
        <v xml:space="preserve"> </v>
      </c>
      <c r="Y292" s="84" t="str" cm="1">
        <f t="array" ref="Y292">IFERROR(VLOOKUP($A292,'The List'!$B1:$AS671,32,FALSE)," ")</f>
        <v xml:space="preserve"> </v>
      </c>
      <c r="Z292" s="84" t="str" cm="1">
        <f t="array" ref="Z292">IFERROR(VLOOKUP($A292,'The List'!$B1:$AS671,33,FALSE)," ")</f>
        <v xml:space="preserve"> </v>
      </c>
      <c r="AA292" s="85"/>
      <c r="AB292" s="90"/>
      <c r="AC292" s="90"/>
      <c r="AD292" s="90"/>
      <c r="AE292" s="90"/>
      <c r="AF292" s="90"/>
    </row>
    <row r="293" spans="1:32" ht="21.25" customHeight="1" x14ac:dyDescent="0.15">
      <c r="A293" s="24"/>
      <c r="B293" s="87" t="str" cm="1">
        <f t="array" ref="B293">IFERROR(VLOOKUP($A293,'The List'!$B1:$AS671,3,FALSE)," ")</f>
        <v xml:space="preserve"> </v>
      </c>
      <c r="C293" s="91" t="str" cm="1">
        <f t="array" ref="C293">IFERROR(VLOOKUP($A293,'The List'!$B1:$AS671,4,FALSE)," ")</f>
        <v xml:space="preserve"> </v>
      </c>
      <c r="D293" s="18" t="str" cm="1">
        <f t="array" ref="D293">IFERROR(VLOOKUP($A293,'The List'!$B1:$AS671,5,FALSE)," ")</f>
        <v xml:space="preserve"> </v>
      </c>
      <c r="E293" s="18" t="str" cm="1">
        <f t="array" ref="E293">IFERROR(VLOOKUP($A293,'The List'!$B1:$AS671,6,FALSE)," ")</f>
        <v xml:space="preserve"> </v>
      </c>
      <c r="F293" s="92" t="str" cm="1">
        <f t="array" ref="F293">IFERROR(VLOOKUP($A293,'The List'!$B1:$AS671,8,FALSE)," ")</f>
        <v xml:space="preserve"> </v>
      </c>
      <c r="G293" s="92" t="str" cm="1">
        <f t="array" ref="G293">IFERROR(VLOOKUP($A293,'The List'!$B1:$AS671,10,FALSE)," ")</f>
        <v xml:space="preserve"> </v>
      </c>
      <c r="H293" s="55"/>
      <c r="I293" s="84" t="str" cm="1">
        <f t="array" ref="I293">IFERROR(VLOOKUP($A293,'The List'!$B1:$AS671,16,FALSE)," ")</f>
        <v xml:space="preserve"> </v>
      </c>
      <c r="J293" s="84" t="str" cm="1">
        <f t="array" ref="J293">IFERROR(VLOOKUP($A293,'The List'!$B1:$AS671,17,FALSE)," ")</f>
        <v xml:space="preserve"> </v>
      </c>
      <c r="K293" s="84" t="str" cm="1">
        <f t="array" ref="K293">IFERROR(VLOOKUP($A293,'The List'!$B1:$AS671,18,FALSE)," ")</f>
        <v xml:space="preserve"> </v>
      </c>
      <c r="L293" s="84" t="str" cm="1">
        <f t="array" ref="L293">IFERROR(VLOOKUP($A293,'The List'!$B1:$AS671,19,FALSE)," ")</f>
        <v xml:space="preserve"> </v>
      </c>
      <c r="M293" s="84" t="str" cm="1">
        <f t="array" ref="M293">IFERROR(VLOOKUP($A293,'The List'!$B1:$AS671,20,FALSE)," ")</f>
        <v xml:space="preserve"> </v>
      </c>
      <c r="N293" s="84" t="str" cm="1">
        <f t="array" ref="N293">IFERROR(VLOOKUP($A293,'The List'!$B1:$AS671,21,FALSE)," ")</f>
        <v xml:space="preserve"> </v>
      </c>
      <c r="O293" s="84" t="str" cm="1">
        <f t="array" ref="O293">IFERROR(VLOOKUP($A293,'The List'!$B1:$AS671,22,FALSE)," ")</f>
        <v xml:space="preserve"> </v>
      </c>
      <c r="P293" s="84" t="str" cm="1">
        <f t="array" ref="P293">IFERROR(VLOOKUP($A293,'The List'!$B1:$AS671,23,FALSE)," ")</f>
        <v xml:space="preserve"> </v>
      </c>
      <c r="Q293" s="84" t="str" cm="1">
        <f t="array" ref="Q293">IFERROR(VLOOKUP($A293,'The List'!$B1:$AS671,24,FALSE)," ")</f>
        <v xml:space="preserve"> </v>
      </c>
      <c r="R293" s="84" t="str" cm="1">
        <f t="array" ref="R293">IFERROR(VLOOKUP($A293,'The List'!$B1:$AS671,25,FALSE)," ")</f>
        <v xml:space="preserve"> </v>
      </c>
      <c r="S293" s="84" t="str" cm="1">
        <f t="array" ref="S293">IFERROR(VLOOKUP($A293,'The List'!$B1:$AS671,26,FALSE)," ")</f>
        <v xml:space="preserve"> </v>
      </c>
      <c r="T293" s="84" t="str" cm="1">
        <f t="array" ref="T293">IFERROR(VLOOKUP($A293,'The List'!$B1:$AS671,27,FALSE)," ")</f>
        <v xml:space="preserve"> </v>
      </c>
      <c r="U293" s="84" t="str" cm="1">
        <f t="array" ref="U293">IFERROR(VLOOKUP($A293,'The List'!$B1:$AS671,28,FALSE)," ")</f>
        <v xml:space="preserve"> </v>
      </c>
      <c r="V293" s="84" t="str" cm="1">
        <f t="array" ref="V293">IFERROR(VLOOKUP($A293,'The List'!$B1:$AS671,29,FALSE)," ")</f>
        <v xml:space="preserve"> </v>
      </c>
      <c r="W293" s="84" t="str" cm="1">
        <f t="array" ref="W293">IFERROR(VLOOKUP($A293,'The List'!$B1:$AS671,30,FALSE)," ")</f>
        <v xml:space="preserve"> </v>
      </c>
      <c r="X293" s="84" t="str" cm="1">
        <f t="array" ref="X293">IFERROR(VLOOKUP($A293,'The List'!$B1:$AS671,31,FALSE)," ")</f>
        <v xml:space="preserve"> </v>
      </c>
      <c r="Y293" s="84" t="str" cm="1">
        <f t="array" ref="Y293">IFERROR(VLOOKUP($A293,'The List'!$B1:$AS671,32,FALSE)," ")</f>
        <v xml:space="preserve"> </v>
      </c>
      <c r="Z293" s="84" t="str" cm="1">
        <f t="array" ref="Z293">IFERROR(VLOOKUP($A293,'The List'!$B1:$AS671,33,FALSE)," ")</f>
        <v xml:space="preserve"> </v>
      </c>
      <c r="AA293" s="85"/>
      <c r="AB293" s="90"/>
      <c r="AC293" s="90"/>
      <c r="AD293" s="90"/>
      <c r="AE293" s="90"/>
      <c r="AF293" s="90"/>
    </row>
    <row r="294" spans="1:32" ht="21.25" customHeight="1" x14ac:dyDescent="0.15">
      <c r="A294" s="24"/>
      <c r="B294" s="87" t="str" cm="1">
        <f t="array" ref="B294">IFERROR(VLOOKUP($A294,'The List'!$B1:$AS671,3,FALSE)," ")</f>
        <v xml:space="preserve"> </v>
      </c>
      <c r="C294" s="91" t="str" cm="1">
        <f t="array" ref="C294">IFERROR(VLOOKUP($A294,'The List'!$B1:$AS671,4,FALSE)," ")</f>
        <v xml:space="preserve"> </v>
      </c>
      <c r="D294" s="18" t="str" cm="1">
        <f t="array" ref="D294">IFERROR(VLOOKUP($A294,'The List'!$B1:$AS671,5,FALSE)," ")</f>
        <v xml:space="preserve"> </v>
      </c>
      <c r="E294" s="18" t="str" cm="1">
        <f t="array" ref="E294">IFERROR(VLOOKUP($A294,'The List'!$B1:$AS671,6,FALSE)," ")</f>
        <v xml:space="preserve"> </v>
      </c>
      <c r="F294" s="92" t="str" cm="1">
        <f t="array" ref="F294">IFERROR(VLOOKUP($A294,'The List'!$B1:$AS671,8,FALSE)," ")</f>
        <v xml:space="preserve"> </v>
      </c>
      <c r="G294" s="92" t="str" cm="1">
        <f t="array" ref="G294">IFERROR(VLOOKUP($A294,'The List'!$B1:$AS671,10,FALSE)," ")</f>
        <v xml:space="preserve"> </v>
      </c>
      <c r="H294" s="55"/>
      <c r="I294" s="84" t="str" cm="1">
        <f t="array" ref="I294">IFERROR(VLOOKUP($A294,'The List'!$B1:$AS671,16,FALSE)," ")</f>
        <v xml:space="preserve"> </v>
      </c>
      <c r="J294" s="84" t="str" cm="1">
        <f t="array" ref="J294">IFERROR(VLOOKUP($A294,'The List'!$B1:$AS671,17,FALSE)," ")</f>
        <v xml:space="preserve"> </v>
      </c>
      <c r="K294" s="84" t="str" cm="1">
        <f t="array" ref="K294">IFERROR(VLOOKUP($A294,'The List'!$B1:$AS671,18,FALSE)," ")</f>
        <v xml:space="preserve"> </v>
      </c>
      <c r="L294" s="84" t="str" cm="1">
        <f t="array" ref="L294">IFERROR(VLOOKUP($A294,'The List'!$B1:$AS671,19,FALSE)," ")</f>
        <v xml:space="preserve"> </v>
      </c>
      <c r="M294" s="84" t="str" cm="1">
        <f t="array" ref="M294">IFERROR(VLOOKUP($A294,'The List'!$B1:$AS671,20,FALSE)," ")</f>
        <v xml:space="preserve"> </v>
      </c>
      <c r="N294" s="84" t="str" cm="1">
        <f t="array" ref="N294">IFERROR(VLOOKUP($A294,'The List'!$B1:$AS671,21,FALSE)," ")</f>
        <v xml:space="preserve"> </v>
      </c>
      <c r="O294" s="84" t="str" cm="1">
        <f t="array" ref="O294">IFERROR(VLOOKUP($A294,'The List'!$B1:$AS671,22,FALSE)," ")</f>
        <v xml:space="preserve"> </v>
      </c>
      <c r="P294" s="84" t="str" cm="1">
        <f t="array" ref="P294">IFERROR(VLOOKUP($A294,'The List'!$B1:$AS671,23,FALSE)," ")</f>
        <v xml:space="preserve"> </v>
      </c>
      <c r="Q294" s="84" t="str" cm="1">
        <f t="array" ref="Q294">IFERROR(VLOOKUP($A294,'The List'!$B1:$AS671,24,FALSE)," ")</f>
        <v xml:space="preserve"> </v>
      </c>
      <c r="R294" s="84" t="str" cm="1">
        <f t="array" ref="R294">IFERROR(VLOOKUP($A294,'The List'!$B1:$AS671,25,FALSE)," ")</f>
        <v xml:space="preserve"> </v>
      </c>
      <c r="S294" s="84" t="str" cm="1">
        <f t="array" ref="S294">IFERROR(VLOOKUP($A294,'The List'!$B1:$AS671,26,FALSE)," ")</f>
        <v xml:space="preserve"> </v>
      </c>
      <c r="T294" s="84" t="str" cm="1">
        <f t="array" ref="T294">IFERROR(VLOOKUP($A294,'The List'!$B1:$AS671,27,FALSE)," ")</f>
        <v xml:space="preserve"> </v>
      </c>
      <c r="U294" s="84" t="str" cm="1">
        <f t="array" ref="U294">IFERROR(VLOOKUP($A294,'The List'!$B1:$AS671,28,FALSE)," ")</f>
        <v xml:space="preserve"> </v>
      </c>
      <c r="V294" s="84" t="str" cm="1">
        <f t="array" ref="V294">IFERROR(VLOOKUP($A294,'The List'!$B1:$AS671,29,FALSE)," ")</f>
        <v xml:space="preserve"> </v>
      </c>
      <c r="W294" s="84" t="str" cm="1">
        <f t="array" ref="W294">IFERROR(VLOOKUP($A294,'The List'!$B1:$AS671,30,FALSE)," ")</f>
        <v xml:space="preserve"> </v>
      </c>
      <c r="X294" s="84" t="str" cm="1">
        <f t="array" ref="X294">IFERROR(VLOOKUP($A294,'The List'!$B1:$AS671,31,FALSE)," ")</f>
        <v xml:space="preserve"> </v>
      </c>
      <c r="Y294" s="84" t="str" cm="1">
        <f t="array" ref="Y294">IFERROR(VLOOKUP($A294,'The List'!$B1:$AS671,32,FALSE)," ")</f>
        <v xml:space="preserve"> </v>
      </c>
      <c r="Z294" s="84" t="str" cm="1">
        <f t="array" ref="Z294">IFERROR(VLOOKUP($A294,'The List'!$B1:$AS671,33,FALSE)," ")</f>
        <v xml:space="preserve"> </v>
      </c>
      <c r="AA294" s="85"/>
      <c r="AB294" s="90"/>
      <c r="AC294" s="90"/>
      <c r="AD294" s="90"/>
      <c r="AE294" s="90"/>
      <c r="AF294" s="90"/>
    </row>
    <row r="295" spans="1:32" ht="21.25" customHeight="1" x14ac:dyDescent="0.15">
      <c r="A295" s="24"/>
      <c r="B295" s="87" t="str" cm="1">
        <f t="array" ref="B295">IFERROR(VLOOKUP($A295,'The List'!$B1:$AS671,3,FALSE)," ")</f>
        <v xml:space="preserve"> </v>
      </c>
      <c r="C295" s="91" t="str" cm="1">
        <f t="array" ref="C295">IFERROR(VLOOKUP($A295,'The List'!$B1:$AS671,4,FALSE)," ")</f>
        <v xml:space="preserve"> </v>
      </c>
      <c r="D295" s="18" t="str" cm="1">
        <f t="array" ref="D295">IFERROR(VLOOKUP($A295,'The List'!$B1:$AS671,5,FALSE)," ")</f>
        <v xml:space="preserve"> </v>
      </c>
      <c r="E295" s="18" t="str" cm="1">
        <f t="array" ref="E295">IFERROR(VLOOKUP($A295,'The List'!$B1:$AS671,6,FALSE)," ")</f>
        <v xml:space="preserve"> </v>
      </c>
      <c r="F295" s="92" t="str" cm="1">
        <f t="array" ref="F295">IFERROR(VLOOKUP($A295,'The List'!$B1:$AS671,8,FALSE)," ")</f>
        <v xml:space="preserve"> </v>
      </c>
      <c r="G295" s="92" t="str" cm="1">
        <f t="array" ref="G295">IFERROR(VLOOKUP($A295,'The List'!$B1:$AS671,10,FALSE)," ")</f>
        <v xml:space="preserve"> </v>
      </c>
      <c r="H295" s="55"/>
      <c r="I295" s="84" t="str" cm="1">
        <f t="array" ref="I295">IFERROR(VLOOKUP($A295,'The List'!$B1:$AS671,16,FALSE)," ")</f>
        <v xml:space="preserve"> </v>
      </c>
      <c r="J295" s="84" t="str" cm="1">
        <f t="array" ref="J295">IFERROR(VLOOKUP($A295,'The List'!$B1:$AS671,17,FALSE)," ")</f>
        <v xml:space="preserve"> </v>
      </c>
      <c r="K295" s="84" t="str" cm="1">
        <f t="array" ref="K295">IFERROR(VLOOKUP($A295,'The List'!$B1:$AS671,18,FALSE)," ")</f>
        <v xml:space="preserve"> </v>
      </c>
      <c r="L295" s="84" t="str" cm="1">
        <f t="array" ref="L295">IFERROR(VLOOKUP($A295,'The List'!$B1:$AS671,19,FALSE)," ")</f>
        <v xml:space="preserve"> </v>
      </c>
      <c r="M295" s="84" t="str" cm="1">
        <f t="array" ref="M295">IFERROR(VLOOKUP($A295,'The List'!$B1:$AS671,20,FALSE)," ")</f>
        <v xml:space="preserve"> </v>
      </c>
      <c r="N295" s="84" t="str" cm="1">
        <f t="array" ref="N295">IFERROR(VLOOKUP($A295,'The List'!$B1:$AS671,21,FALSE)," ")</f>
        <v xml:space="preserve"> </v>
      </c>
      <c r="O295" s="84" t="str" cm="1">
        <f t="array" ref="O295">IFERROR(VLOOKUP($A295,'The List'!$B1:$AS671,22,FALSE)," ")</f>
        <v xml:space="preserve"> </v>
      </c>
      <c r="P295" s="84" t="str" cm="1">
        <f t="array" ref="P295">IFERROR(VLOOKUP($A295,'The List'!$B1:$AS671,23,FALSE)," ")</f>
        <v xml:space="preserve"> </v>
      </c>
      <c r="Q295" s="84" t="str" cm="1">
        <f t="array" ref="Q295">IFERROR(VLOOKUP($A295,'The List'!$B1:$AS671,24,FALSE)," ")</f>
        <v xml:space="preserve"> </v>
      </c>
      <c r="R295" s="84" t="str" cm="1">
        <f t="array" ref="R295">IFERROR(VLOOKUP($A295,'The List'!$B1:$AS671,25,FALSE)," ")</f>
        <v xml:space="preserve"> </v>
      </c>
      <c r="S295" s="84" t="str" cm="1">
        <f t="array" ref="S295">IFERROR(VLOOKUP($A295,'The List'!$B1:$AS671,26,FALSE)," ")</f>
        <v xml:space="preserve"> </v>
      </c>
      <c r="T295" s="84" t="str" cm="1">
        <f t="array" ref="T295">IFERROR(VLOOKUP($A295,'The List'!$B1:$AS671,27,FALSE)," ")</f>
        <v xml:space="preserve"> </v>
      </c>
      <c r="U295" s="84" t="str" cm="1">
        <f t="array" ref="U295">IFERROR(VLOOKUP($A295,'The List'!$B1:$AS671,28,FALSE)," ")</f>
        <v xml:space="preserve"> </v>
      </c>
      <c r="V295" s="84" t="str" cm="1">
        <f t="array" ref="V295">IFERROR(VLOOKUP($A295,'The List'!$B1:$AS671,29,FALSE)," ")</f>
        <v xml:space="preserve"> </v>
      </c>
      <c r="W295" s="84" t="str" cm="1">
        <f t="array" ref="W295">IFERROR(VLOOKUP($A295,'The List'!$B1:$AS671,30,FALSE)," ")</f>
        <v xml:space="preserve"> </v>
      </c>
      <c r="X295" s="84" t="str" cm="1">
        <f t="array" ref="X295">IFERROR(VLOOKUP($A295,'The List'!$B1:$AS671,31,FALSE)," ")</f>
        <v xml:space="preserve"> </v>
      </c>
      <c r="Y295" s="84" t="str" cm="1">
        <f t="array" ref="Y295">IFERROR(VLOOKUP($A295,'The List'!$B1:$AS671,32,FALSE)," ")</f>
        <v xml:space="preserve"> </v>
      </c>
      <c r="Z295" s="84" t="str" cm="1">
        <f t="array" ref="Z295">IFERROR(VLOOKUP($A295,'The List'!$B1:$AS671,33,FALSE)," ")</f>
        <v xml:space="preserve"> </v>
      </c>
      <c r="AA295" s="85"/>
      <c r="AB295" s="90"/>
      <c r="AC295" s="90"/>
      <c r="AD295" s="90"/>
      <c r="AE295" s="90"/>
      <c r="AF295" s="90"/>
    </row>
    <row r="296" spans="1:32" ht="21.25" customHeight="1" x14ac:dyDescent="0.15">
      <c r="A296" s="24"/>
      <c r="B296" s="93" t="str" cm="1">
        <f t="array" ref="B296">IFERROR(VLOOKUP($A296,'The List'!$B1:$AS671,3,FALSE)," ")</f>
        <v xml:space="preserve"> </v>
      </c>
      <c r="C296" s="95" t="str" cm="1">
        <f t="array" ref="C296">IFERROR(VLOOKUP($A296,'The List'!$B1:$AS671,4,FALSE)," ")</f>
        <v xml:space="preserve"> </v>
      </c>
      <c r="D296" s="18" t="str" cm="1">
        <f t="array" ref="D296">IFERROR(VLOOKUP($A296,'The List'!$B1:$AS671,5,FALSE)," ")</f>
        <v xml:space="preserve"> </v>
      </c>
      <c r="E296" s="18" t="str" cm="1">
        <f t="array" ref="E296">IFERROR(VLOOKUP($A296,'The List'!$B1:$AS671,6,FALSE)," ")</f>
        <v xml:space="preserve"> </v>
      </c>
      <c r="F296" s="92" t="str" cm="1">
        <f t="array" ref="F296">IFERROR(VLOOKUP($A296,'The List'!$B1:$AS671,8,FALSE)," ")</f>
        <v xml:space="preserve"> </v>
      </c>
      <c r="G296" s="92" t="str" cm="1">
        <f t="array" ref="G296">IFERROR(VLOOKUP($A296,'The List'!$B1:$AS671,10,FALSE)," ")</f>
        <v xml:space="preserve"> </v>
      </c>
      <c r="H296" s="55"/>
      <c r="I296" s="84" t="str" cm="1">
        <f t="array" ref="I296">IFERROR(VLOOKUP($A296,'The List'!$B1:$AS671,16,FALSE)," ")</f>
        <v xml:space="preserve"> </v>
      </c>
      <c r="J296" s="84" t="str" cm="1">
        <f t="array" ref="J296">IFERROR(VLOOKUP($A296,'The List'!$B1:$AS671,17,FALSE)," ")</f>
        <v xml:space="preserve"> </v>
      </c>
      <c r="K296" s="84" t="str" cm="1">
        <f t="array" ref="K296">IFERROR(VLOOKUP($A296,'The List'!$B1:$AS671,18,FALSE)," ")</f>
        <v xml:space="preserve"> </v>
      </c>
      <c r="L296" s="84" t="str" cm="1">
        <f t="array" ref="L296">IFERROR(VLOOKUP($A296,'The List'!$B1:$AS671,19,FALSE)," ")</f>
        <v xml:space="preserve"> </v>
      </c>
      <c r="M296" s="84" t="str" cm="1">
        <f t="array" ref="M296">IFERROR(VLOOKUP($A296,'The List'!$B1:$AS671,20,FALSE)," ")</f>
        <v xml:space="preserve"> </v>
      </c>
      <c r="N296" s="84" t="str" cm="1">
        <f t="array" ref="N296">IFERROR(VLOOKUP($A296,'The List'!$B1:$AS671,21,FALSE)," ")</f>
        <v xml:space="preserve"> </v>
      </c>
      <c r="O296" s="84" t="str" cm="1">
        <f t="array" ref="O296">IFERROR(VLOOKUP($A296,'The List'!$B1:$AS671,22,FALSE)," ")</f>
        <v xml:space="preserve"> </v>
      </c>
      <c r="P296" s="84" t="str" cm="1">
        <f t="array" ref="P296">IFERROR(VLOOKUP($A296,'The List'!$B1:$AS671,23,FALSE)," ")</f>
        <v xml:space="preserve"> </v>
      </c>
      <c r="Q296" s="84" t="str" cm="1">
        <f t="array" ref="Q296">IFERROR(VLOOKUP($A296,'The List'!$B1:$AS671,24,FALSE)," ")</f>
        <v xml:space="preserve"> </v>
      </c>
      <c r="R296" s="84" t="str" cm="1">
        <f t="array" ref="R296">IFERROR(VLOOKUP($A296,'The List'!$B1:$AS671,25,FALSE)," ")</f>
        <v xml:space="preserve"> </v>
      </c>
      <c r="S296" s="84" t="str" cm="1">
        <f t="array" ref="S296">IFERROR(VLOOKUP($A296,'The List'!$B1:$AS671,26,FALSE)," ")</f>
        <v xml:space="preserve"> </v>
      </c>
      <c r="T296" s="84" t="str" cm="1">
        <f t="array" ref="T296">IFERROR(VLOOKUP($A296,'The List'!$B1:$AS671,27,FALSE)," ")</f>
        <v xml:space="preserve"> </v>
      </c>
      <c r="U296" s="84" t="str" cm="1">
        <f t="array" ref="U296">IFERROR(VLOOKUP($A296,'The List'!$B1:$AS671,28,FALSE)," ")</f>
        <v xml:space="preserve"> </v>
      </c>
      <c r="V296" s="84" t="str" cm="1">
        <f t="array" ref="V296">IFERROR(VLOOKUP($A296,'The List'!$B1:$AS671,29,FALSE)," ")</f>
        <v xml:space="preserve"> </v>
      </c>
      <c r="W296" s="84" t="str" cm="1">
        <f t="array" ref="W296">IFERROR(VLOOKUP($A296,'The List'!$B1:$AS671,30,FALSE)," ")</f>
        <v xml:space="preserve"> </v>
      </c>
      <c r="X296" s="84" t="str" cm="1">
        <f t="array" ref="X296">IFERROR(VLOOKUP($A296,'The List'!$B1:$AS671,31,FALSE)," ")</f>
        <v xml:space="preserve"> </v>
      </c>
      <c r="Y296" s="84" t="str" cm="1">
        <f t="array" ref="Y296">IFERROR(VLOOKUP($A296,'The List'!$B1:$AS671,32,FALSE)," ")</f>
        <v xml:space="preserve"> </v>
      </c>
      <c r="Z296" s="84" t="str" cm="1">
        <f t="array" ref="Z296">IFERROR(VLOOKUP($A296,'The List'!$B1:$AS671,33,FALSE)," ")</f>
        <v xml:space="preserve"> </v>
      </c>
      <c r="AA296" s="85"/>
      <c r="AB296" s="90"/>
      <c r="AC296" s="90"/>
      <c r="AD296" s="90"/>
      <c r="AE296" s="90"/>
      <c r="AF296" s="90"/>
    </row>
    <row r="297" spans="1:32" ht="21.25" customHeight="1" x14ac:dyDescent="0.15">
      <c r="A297" s="24"/>
      <c r="B297" s="93" t="str" cm="1">
        <f t="array" ref="B297">IFERROR(VLOOKUP($A297,'The List'!$B1:$AS671,3,FALSE)," ")</f>
        <v xml:space="preserve"> </v>
      </c>
      <c r="C297" s="95" t="str" cm="1">
        <f t="array" ref="C297">IFERROR(VLOOKUP($A297,'The List'!$B1:$AS671,4,FALSE)," ")</f>
        <v xml:space="preserve"> </v>
      </c>
      <c r="D297" s="18" t="str" cm="1">
        <f t="array" ref="D297">IFERROR(VLOOKUP($A297,'The List'!$B1:$AS671,5,FALSE)," ")</f>
        <v xml:space="preserve"> </v>
      </c>
      <c r="E297" s="18" t="str" cm="1">
        <f t="array" ref="E297">IFERROR(VLOOKUP($A297,'The List'!$B1:$AS671,6,FALSE)," ")</f>
        <v xml:space="preserve"> </v>
      </c>
      <c r="F297" s="92" t="str" cm="1">
        <f t="array" ref="F297">IFERROR(VLOOKUP($A297,'The List'!$B1:$AS671,8,FALSE)," ")</f>
        <v xml:space="preserve"> </v>
      </c>
      <c r="G297" s="92" t="str" cm="1">
        <f t="array" ref="G297">IFERROR(VLOOKUP($A297,'The List'!$B1:$AS671,10,FALSE)," ")</f>
        <v xml:space="preserve"> </v>
      </c>
      <c r="H297" s="55"/>
      <c r="I297" s="84" t="str" cm="1">
        <f t="array" ref="I297">IFERROR(VLOOKUP($A297,'The List'!$B1:$AS671,16,FALSE)," ")</f>
        <v xml:space="preserve"> </v>
      </c>
      <c r="J297" s="84" t="str" cm="1">
        <f t="array" ref="J297">IFERROR(VLOOKUP($A297,'The List'!$B1:$AS671,17,FALSE)," ")</f>
        <v xml:space="preserve"> </v>
      </c>
      <c r="K297" s="84" t="str" cm="1">
        <f t="array" ref="K297">IFERROR(VLOOKUP($A297,'The List'!$B1:$AS671,18,FALSE)," ")</f>
        <v xml:space="preserve"> </v>
      </c>
      <c r="L297" s="84" t="str" cm="1">
        <f t="array" ref="L297">IFERROR(VLOOKUP($A297,'The List'!$B1:$AS671,19,FALSE)," ")</f>
        <v xml:space="preserve"> </v>
      </c>
      <c r="M297" s="84" t="str" cm="1">
        <f t="array" ref="M297">IFERROR(VLOOKUP($A297,'The List'!$B1:$AS671,20,FALSE)," ")</f>
        <v xml:space="preserve"> </v>
      </c>
      <c r="N297" s="84" t="str" cm="1">
        <f t="array" ref="N297">IFERROR(VLOOKUP($A297,'The List'!$B1:$AS671,21,FALSE)," ")</f>
        <v xml:space="preserve"> </v>
      </c>
      <c r="O297" s="84" t="str" cm="1">
        <f t="array" ref="O297">IFERROR(VLOOKUP($A297,'The List'!$B1:$AS671,22,FALSE)," ")</f>
        <v xml:space="preserve"> </v>
      </c>
      <c r="P297" s="84" t="str" cm="1">
        <f t="array" ref="P297">IFERROR(VLOOKUP($A297,'The List'!$B1:$AS671,23,FALSE)," ")</f>
        <v xml:space="preserve"> </v>
      </c>
      <c r="Q297" s="84" t="str" cm="1">
        <f t="array" ref="Q297">IFERROR(VLOOKUP($A297,'The List'!$B1:$AS671,24,FALSE)," ")</f>
        <v xml:space="preserve"> </v>
      </c>
      <c r="R297" s="84" t="str" cm="1">
        <f t="array" ref="R297">IFERROR(VLOOKUP($A297,'The List'!$B1:$AS671,25,FALSE)," ")</f>
        <v xml:space="preserve"> </v>
      </c>
      <c r="S297" s="84" t="str" cm="1">
        <f t="array" ref="S297">IFERROR(VLOOKUP($A297,'The List'!$B1:$AS671,26,FALSE)," ")</f>
        <v xml:space="preserve"> </v>
      </c>
      <c r="T297" s="84" t="str" cm="1">
        <f t="array" ref="T297">IFERROR(VLOOKUP($A297,'The List'!$B1:$AS671,27,FALSE)," ")</f>
        <v xml:space="preserve"> </v>
      </c>
      <c r="U297" s="84" t="str" cm="1">
        <f t="array" ref="U297">IFERROR(VLOOKUP($A297,'The List'!$B1:$AS671,28,FALSE)," ")</f>
        <v xml:space="preserve"> </v>
      </c>
      <c r="V297" s="84" t="str" cm="1">
        <f t="array" ref="V297">IFERROR(VLOOKUP($A297,'The List'!$B1:$AS671,29,FALSE)," ")</f>
        <v xml:space="preserve"> </v>
      </c>
      <c r="W297" s="84" t="str" cm="1">
        <f t="array" ref="W297">IFERROR(VLOOKUP($A297,'The List'!$B1:$AS671,30,FALSE)," ")</f>
        <v xml:space="preserve"> </v>
      </c>
      <c r="X297" s="84" t="str" cm="1">
        <f t="array" ref="X297">IFERROR(VLOOKUP($A297,'The List'!$B1:$AS671,31,FALSE)," ")</f>
        <v xml:space="preserve"> </v>
      </c>
      <c r="Y297" s="84" t="str" cm="1">
        <f t="array" ref="Y297">IFERROR(VLOOKUP($A297,'The List'!$B1:$AS671,32,FALSE)," ")</f>
        <v xml:space="preserve"> </v>
      </c>
      <c r="Z297" s="84" t="str" cm="1">
        <f t="array" ref="Z297">IFERROR(VLOOKUP($A297,'The List'!$B1:$AS671,33,FALSE)," ")</f>
        <v xml:space="preserve"> </v>
      </c>
      <c r="AA297" s="85"/>
      <c r="AB297" s="90"/>
      <c r="AC297" s="90"/>
      <c r="AD297" s="90"/>
      <c r="AE297" s="90"/>
      <c r="AF297" s="90"/>
    </row>
    <row r="298" spans="1:32" ht="21.25" customHeight="1" x14ac:dyDescent="0.15">
      <c r="A298" s="24"/>
      <c r="B298" s="93" t="str" cm="1">
        <f t="array" ref="B298">IFERROR(VLOOKUP($A298,'The List'!$B1:$AS671,3,FALSE)," ")</f>
        <v xml:space="preserve"> </v>
      </c>
      <c r="C298" s="95" t="str" cm="1">
        <f t="array" ref="C298">IFERROR(VLOOKUP($A298,'The List'!$B1:$AS671,4,FALSE)," ")</f>
        <v xml:space="preserve"> </v>
      </c>
      <c r="D298" s="18" t="str" cm="1">
        <f t="array" ref="D298">IFERROR(VLOOKUP($A298,'The List'!$B1:$AS671,5,FALSE)," ")</f>
        <v xml:space="preserve"> </v>
      </c>
      <c r="E298" s="18" t="str" cm="1">
        <f t="array" ref="E298">IFERROR(VLOOKUP($A298,'The List'!$B1:$AS671,6,FALSE)," ")</f>
        <v xml:space="preserve"> </v>
      </c>
      <c r="F298" s="92" t="str" cm="1">
        <f t="array" ref="F298">IFERROR(VLOOKUP($A298,'The List'!$B1:$AS671,8,FALSE)," ")</f>
        <v xml:space="preserve"> </v>
      </c>
      <c r="G298" s="92" t="str" cm="1">
        <f t="array" ref="G298">IFERROR(VLOOKUP($A298,'The List'!$B1:$AS671,10,FALSE)," ")</f>
        <v xml:space="preserve"> </v>
      </c>
      <c r="H298" s="55"/>
      <c r="I298" s="84" t="str" cm="1">
        <f t="array" ref="I298">IFERROR(VLOOKUP($A298,'The List'!$B1:$AS671,16,FALSE)," ")</f>
        <v xml:space="preserve"> </v>
      </c>
      <c r="J298" s="84" t="str" cm="1">
        <f t="array" ref="J298">IFERROR(VLOOKUP($A298,'The List'!$B1:$AS671,17,FALSE)," ")</f>
        <v xml:space="preserve"> </v>
      </c>
      <c r="K298" s="84" t="str" cm="1">
        <f t="array" ref="K298">IFERROR(VLOOKUP($A298,'The List'!$B1:$AS671,18,FALSE)," ")</f>
        <v xml:space="preserve"> </v>
      </c>
      <c r="L298" s="84" t="str" cm="1">
        <f t="array" ref="L298">IFERROR(VLOOKUP($A298,'The List'!$B1:$AS671,19,FALSE)," ")</f>
        <v xml:space="preserve"> </v>
      </c>
      <c r="M298" s="84" t="str" cm="1">
        <f t="array" ref="M298">IFERROR(VLOOKUP($A298,'The List'!$B1:$AS671,20,FALSE)," ")</f>
        <v xml:space="preserve"> </v>
      </c>
      <c r="N298" s="84" t="str" cm="1">
        <f t="array" ref="N298">IFERROR(VLOOKUP($A298,'The List'!$B1:$AS671,21,FALSE)," ")</f>
        <v xml:space="preserve"> </v>
      </c>
      <c r="O298" s="84" t="str" cm="1">
        <f t="array" ref="O298">IFERROR(VLOOKUP($A298,'The List'!$B1:$AS671,22,FALSE)," ")</f>
        <v xml:space="preserve"> </v>
      </c>
      <c r="P298" s="84" t="str" cm="1">
        <f t="array" ref="P298">IFERROR(VLOOKUP($A298,'The List'!$B1:$AS671,23,FALSE)," ")</f>
        <v xml:space="preserve"> </v>
      </c>
      <c r="Q298" s="84" t="str" cm="1">
        <f t="array" ref="Q298">IFERROR(VLOOKUP($A298,'The List'!$B1:$AS671,24,FALSE)," ")</f>
        <v xml:space="preserve"> </v>
      </c>
      <c r="R298" s="84" t="str" cm="1">
        <f t="array" ref="R298">IFERROR(VLOOKUP($A298,'The List'!$B1:$AS671,25,FALSE)," ")</f>
        <v xml:space="preserve"> </v>
      </c>
      <c r="S298" s="84" t="str" cm="1">
        <f t="array" ref="S298">IFERROR(VLOOKUP($A298,'The List'!$B1:$AS671,26,FALSE)," ")</f>
        <v xml:space="preserve"> </v>
      </c>
      <c r="T298" s="84" t="str" cm="1">
        <f t="array" ref="T298">IFERROR(VLOOKUP($A298,'The List'!$B1:$AS671,27,FALSE)," ")</f>
        <v xml:space="preserve"> </v>
      </c>
      <c r="U298" s="84" t="str" cm="1">
        <f t="array" ref="U298">IFERROR(VLOOKUP($A298,'The List'!$B1:$AS671,28,FALSE)," ")</f>
        <v xml:space="preserve"> </v>
      </c>
      <c r="V298" s="84" t="str" cm="1">
        <f t="array" ref="V298">IFERROR(VLOOKUP($A298,'The List'!$B1:$AS671,29,FALSE)," ")</f>
        <v xml:space="preserve"> </v>
      </c>
      <c r="W298" s="84" t="str" cm="1">
        <f t="array" ref="W298">IFERROR(VLOOKUP($A298,'The List'!$B1:$AS671,30,FALSE)," ")</f>
        <v xml:space="preserve"> </v>
      </c>
      <c r="X298" s="84" t="str" cm="1">
        <f t="array" ref="X298">IFERROR(VLOOKUP($A298,'The List'!$B1:$AS671,31,FALSE)," ")</f>
        <v xml:space="preserve"> </v>
      </c>
      <c r="Y298" s="84" t="str" cm="1">
        <f t="array" ref="Y298">IFERROR(VLOOKUP($A298,'The List'!$B1:$AS671,32,FALSE)," ")</f>
        <v xml:space="preserve"> </v>
      </c>
      <c r="Z298" s="84" t="str" cm="1">
        <f t="array" ref="Z298">IFERROR(VLOOKUP($A298,'The List'!$B1:$AS671,33,FALSE)," ")</f>
        <v xml:space="preserve"> </v>
      </c>
      <c r="AA298" s="85"/>
      <c r="AB298" s="90"/>
      <c r="AC298" s="90"/>
      <c r="AD298" s="90"/>
      <c r="AE298" s="90"/>
      <c r="AF298" s="90"/>
    </row>
    <row r="299" spans="1:32" ht="21.25" customHeight="1" x14ac:dyDescent="0.15">
      <c r="A299" s="24"/>
      <c r="B299" s="93" t="str" cm="1">
        <f t="array" ref="B299">IFERROR(VLOOKUP($A299,'The List'!$B1:$AS671,3,FALSE)," ")</f>
        <v xml:space="preserve"> </v>
      </c>
      <c r="C299" s="95" t="str" cm="1">
        <f t="array" ref="C299">IFERROR(VLOOKUP($A299,'The List'!$B1:$AS671,4,FALSE)," ")</f>
        <v xml:space="preserve"> </v>
      </c>
      <c r="D299" s="18" t="str" cm="1">
        <f t="array" ref="D299">IFERROR(VLOOKUP($A299,'The List'!$B1:$AS671,5,FALSE)," ")</f>
        <v xml:space="preserve"> </v>
      </c>
      <c r="E299" s="18" t="str" cm="1">
        <f t="array" ref="E299">IFERROR(VLOOKUP($A299,'The List'!$B1:$AS671,6,FALSE)," ")</f>
        <v xml:space="preserve"> </v>
      </c>
      <c r="F299" s="92" t="str" cm="1">
        <f t="array" ref="F299">IFERROR(VLOOKUP($A299,'The List'!$B1:$AS671,8,FALSE)," ")</f>
        <v xml:space="preserve"> </v>
      </c>
      <c r="G299" s="92" t="str" cm="1">
        <f t="array" ref="G299">IFERROR(VLOOKUP($A299,'The List'!$B1:$AS671,10,FALSE)," ")</f>
        <v xml:space="preserve"> </v>
      </c>
      <c r="H299" s="55"/>
      <c r="I299" s="84" t="str" cm="1">
        <f t="array" ref="I299">IFERROR(VLOOKUP($A299,'The List'!$B1:$AS671,16,FALSE)," ")</f>
        <v xml:space="preserve"> </v>
      </c>
      <c r="J299" s="84" t="str" cm="1">
        <f t="array" ref="J299">IFERROR(VLOOKUP($A299,'The List'!$B1:$AS671,17,FALSE)," ")</f>
        <v xml:space="preserve"> </v>
      </c>
      <c r="K299" s="84" t="str" cm="1">
        <f t="array" ref="K299">IFERROR(VLOOKUP($A299,'The List'!$B1:$AS671,18,FALSE)," ")</f>
        <v xml:space="preserve"> </v>
      </c>
      <c r="L299" s="84" t="str" cm="1">
        <f t="array" ref="L299">IFERROR(VLOOKUP($A299,'The List'!$B1:$AS671,19,FALSE)," ")</f>
        <v xml:space="preserve"> </v>
      </c>
      <c r="M299" s="84" t="str" cm="1">
        <f t="array" ref="M299">IFERROR(VLOOKUP($A299,'The List'!$B1:$AS671,20,FALSE)," ")</f>
        <v xml:space="preserve"> </v>
      </c>
      <c r="N299" s="84" t="str" cm="1">
        <f t="array" ref="N299">IFERROR(VLOOKUP($A299,'The List'!$B1:$AS671,21,FALSE)," ")</f>
        <v xml:space="preserve"> </v>
      </c>
      <c r="O299" s="84" t="str" cm="1">
        <f t="array" ref="O299">IFERROR(VLOOKUP($A299,'The List'!$B1:$AS671,22,FALSE)," ")</f>
        <v xml:space="preserve"> </v>
      </c>
      <c r="P299" s="84" t="str" cm="1">
        <f t="array" ref="P299">IFERROR(VLOOKUP($A299,'The List'!$B1:$AS671,23,FALSE)," ")</f>
        <v xml:space="preserve"> </v>
      </c>
      <c r="Q299" s="84" t="str" cm="1">
        <f t="array" ref="Q299">IFERROR(VLOOKUP($A299,'The List'!$B1:$AS671,24,FALSE)," ")</f>
        <v xml:space="preserve"> </v>
      </c>
      <c r="R299" s="84" t="str" cm="1">
        <f t="array" ref="R299">IFERROR(VLOOKUP($A299,'The List'!$B1:$AS671,25,FALSE)," ")</f>
        <v xml:space="preserve"> </v>
      </c>
      <c r="S299" s="84" t="str" cm="1">
        <f t="array" ref="S299">IFERROR(VLOOKUP($A299,'The List'!$B1:$AS671,26,FALSE)," ")</f>
        <v xml:space="preserve"> </v>
      </c>
      <c r="T299" s="84" t="str" cm="1">
        <f t="array" ref="T299">IFERROR(VLOOKUP($A299,'The List'!$B1:$AS671,27,FALSE)," ")</f>
        <v xml:space="preserve"> </v>
      </c>
      <c r="U299" s="84" t="str" cm="1">
        <f t="array" ref="U299">IFERROR(VLOOKUP($A299,'The List'!$B1:$AS671,28,FALSE)," ")</f>
        <v xml:space="preserve"> </v>
      </c>
      <c r="V299" s="84" t="str" cm="1">
        <f t="array" ref="V299">IFERROR(VLOOKUP($A299,'The List'!$B1:$AS671,29,FALSE)," ")</f>
        <v xml:space="preserve"> </v>
      </c>
      <c r="W299" s="84" t="str" cm="1">
        <f t="array" ref="W299">IFERROR(VLOOKUP($A299,'The List'!$B1:$AS671,30,FALSE)," ")</f>
        <v xml:space="preserve"> </v>
      </c>
      <c r="X299" s="84" t="str" cm="1">
        <f t="array" ref="X299">IFERROR(VLOOKUP($A299,'The List'!$B1:$AS671,31,FALSE)," ")</f>
        <v xml:space="preserve"> </v>
      </c>
      <c r="Y299" s="84" t="str" cm="1">
        <f t="array" ref="Y299">IFERROR(VLOOKUP($A299,'The List'!$B1:$AS671,32,FALSE)," ")</f>
        <v xml:space="preserve"> </v>
      </c>
      <c r="Z299" s="84" t="str" cm="1">
        <f t="array" ref="Z299">IFERROR(VLOOKUP($A299,'The List'!$B1:$AS671,33,FALSE)," ")</f>
        <v xml:space="preserve"> </v>
      </c>
      <c r="AA299" s="85"/>
      <c r="AB299" s="90"/>
      <c r="AC299" s="90"/>
      <c r="AD299" s="90"/>
      <c r="AE299" s="90"/>
      <c r="AF299" s="90"/>
    </row>
    <row r="300" spans="1:32" ht="21.25" customHeight="1" x14ac:dyDescent="0.15">
      <c r="A300" s="24"/>
      <c r="B300" s="96" t="str" cm="1">
        <f t="array" ref="B300">IFERROR(VLOOKUP($A300,'The List'!$B1:$AS671,3,FALSE)," ")</f>
        <v xml:space="preserve"> </v>
      </c>
      <c r="C300" s="98" t="str" cm="1">
        <f t="array" ref="C300">IFERROR(VLOOKUP($A300,'The List'!$B1:$AS671,4,FALSE)," ")</f>
        <v xml:space="preserve"> </v>
      </c>
      <c r="D300" s="18" t="str" cm="1">
        <f t="array" ref="D300">IFERROR(VLOOKUP($A300,'The List'!$B1:$AS671,5,FALSE)," ")</f>
        <v xml:space="preserve"> </v>
      </c>
      <c r="E300" s="18" t="str" cm="1">
        <f t="array" ref="E300">IFERROR(VLOOKUP($A300,'The List'!$B1:$AS671,6,FALSE)," ")</f>
        <v xml:space="preserve"> </v>
      </c>
      <c r="F300" s="92" t="str" cm="1">
        <f t="array" ref="F300">IFERROR(VLOOKUP($A300,'The List'!$B1:$AS671,8,FALSE)," ")</f>
        <v xml:space="preserve"> </v>
      </c>
      <c r="G300" s="92" t="str" cm="1">
        <f t="array" ref="G300">IFERROR(VLOOKUP($A300,'The List'!$B1:$AS671,10,FALSE)," ")</f>
        <v xml:space="preserve"> </v>
      </c>
      <c r="H300" s="55"/>
      <c r="I300" s="84" t="str" cm="1">
        <f t="array" ref="I300">IFERROR(VLOOKUP($A300,'The List'!$B1:$AS671,16,FALSE)," ")</f>
        <v xml:space="preserve"> </v>
      </c>
      <c r="J300" s="84" t="str" cm="1">
        <f t="array" ref="J300">IFERROR(VLOOKUP($A300,'The List'!$B1:$AS671,17,FALSE)," ")</f>
        <v xml:space="preserve"> </v>
      </c>
      <c r="K300" s="84" t="str" cm="1">
        <f t="array" ref="K300">IFERROR(VLOOKUP($A300,'The List'!$B1:$AS671,18,FALSE)," ")</f>
        <v xml:space="preserve"> </v>
      </c>
      <c r="L300" s="84" t="str" cm="1">
        <f t="array" ref="L300">IFERROR(VLOOKUP($A300,'The List'!$B1:$AS671,19,FALSE)," ")</f>
        <v xml:space="preserve"> </v>
      </c>
      <c r="M300" s="84" t="str" cm="1">
        <f t="array" ref="M300">IFERROR(VLOOKUP($A300,'The List'!$B1:$AS671,20,FALSE)," ")</f>
        <v xml:space="preserve"> </v>
      </c>
      <c r="N300" s="84" t="str" cm="1">
        <f t="array" ref="N300">IFERROR(VLOOKUP($A300,'The List'!$B1:$AS671,21,FALSE)," ")</f>
        <v xml:space="preserve"> </v>
      </c>
      <c r="O300" s="84" t="str" cm="1">
        <f t="array" ref="O300">IFERROR(VLOOKUP($A300,'The List'!$B1:$AS671,22,FALSE)," ")</f>
        <v xml:space="preserve"> </v>
      </c>
      <c r="P300" s="84" t="str" cm="1">
        <f t="array" ref="P300">IFERROR(VLOOKUP($A300,'The List'!$B1:$AS671,23,FALSE)," ")</f>
        <v xml:space="preserve"> </v>
      </c>
      <c r="Q300" s="84" t="str" cm="1">
        <f t="array" ref="Q300">IFERROR(VLOOKUP($A300,'The List'!$B1:$AS671,24,FALSE)," ")</f>
        <v xml:space="preserve"> </v>
      </c>
      <c r="R300" s="84" t="str" cm="1">
        <f t="array" ref="R300">IFERROR(VLOOKUP($A300,'The List'!$B1:$AS671,25,FALSE)," ")</f>
        <v xml:space="preserve"> </v>
      </c>
      <c r="S300" s="84" t="str" cm="1">
        <f t="array" ref="S300">IFERROR(VLOOKUP($A300,'The List'!$B1:$AS671,26,FALSE)," ")</f>
        <v xml:space="preserve"> </v>
      </c>
      <c r="T300" s="84" t="str" cm="1">
        <f t="array" ref="T300">IFERROR(VLOOKUP($A300,'The List'!$B1:$AS671,27,FALSE)," ")</f>
        <v xml:space="preserve"> </v>
      </c>
      <c r="U300" s="84" t="str" cm="1">
        <f t="array" ref="U300">IFERROR(VLOOKUP($A300,'The List'!$B1:$AS671,28,FALSE)," ")</f>
        <v xml:space="preserve"> </v>
      </c>
      <c r="V300" s="84" t="str" cm="1">
        <f t="array" ref="V300">IFERROR(VLOOKUP($A300,'The List'!$B1:$AS671,29,FALSE)," ")</f>
        <v xml:space="preserve"> </v>
      </c>
      <c r="W300" s="84" t="str" cm="1">
        <f t="array" ref="W300">IFERROR(VLOOKUP($A300,'The List'!$B1:$AS671,30,FALSE)," ")</f>
        <v xml:space="preserve"> </v>
      </c>
      <c r="X300" s="84" t="str" cm="1">
        <f t="array" ref="X300">IFERROR(VLOOKUP($A300,'The List'!$B1:$AS671,31,FALSE)," ")</f>
        <v xml:space="preserve"> </v>
      </c>
      <c r="Y300" s="84" t="str" cm="1">
        <f t="array" ref="Y300">IFERROR(VLOOKUP($A300,'The List'!$B1:$AS671,32,FALSE)," ")</f>
        <v xml:space="preserve"> </v>
      </c>
      <c r="Z300" s="84" t="str" cm="1">
        <f t="array" ref="Z300">IFERROR(VLOOKUP($A300,'The List'!$B1:$AS671,33,FALSE)," ")</f>
        <v xml:space="preserve"> </v>
      </c>
      <c r="AA300" s="85"/>
      <c r="AB300" s="90"/>
      <c r="AC300" s="90"/>
      <c r="AD300" s="90"/>
      <c r="AE300" s="90"/>
      <c r="AF300" s="90"/>
    </row>
    <row r="301" spans="1:32" ht="21.25" customHeight="1" x14ac:dyDescent="0.15">
      <c r="A301" s="24"/>
      <c r="B301" s="96" t="str" cm="1">
        <f t="array" ref="B301">IFERROR(VLOOKUP($A301,'The List'!$B1:$AS671,3,FALSE)," ")</f>
        <v xml:space="preserve"> </v>
      </c>
      <c r="C301" s="98" t="str" cm="1">
        <f t="array" ref="C301">IFERROR(VLOOKUP($A301,'The List'!$B1:$AS671,4,FALSE)," ")</f>
        <v xml:space="preserve"> </v>
      </c>
      <c r="D301" s="18" t="str" cm="1">
        <f t="array" ref="D301">IFERROR(VLOOKUP($A301,'The List'!$B1:$AS671,5,FALSE)," ")</f>
        <v xml:space="preserve"> </v>
      </c>
      <c r="E301" s="18" t="str" cm="1">
        <f t="array" ref="E301">IFERROR(VLOOKUP($A301,'The List'!$B1:$AS671,6,FALSE)," ")</f>
        <v xml:space="preserve"> </v>
      </c>
      <c r="F301" s="92" t="str" cm="1">
        <f t="array" ref="F301">IFERROR(VLOOKUP($A301,'The List'!$B1:$AS671,8,FALSE)," ")</f>
        <v xml:space="preserve"> </v>
      </c>
      <c r="G301" s="92" t="str" cm="1">
        <f t="array" ref="G301">IFERROR(VLOOKUP($A301,'The List'!$B1:$AS671,10,FALSE)," ")</f>
        <v xml:space="preserve"> </v>
      </c>
      <c r="H301" s="55"/>
      <c r="I301" s="84" t="str" cm="1">
        <f t="array" ref="I301">IFERROR(VLOOKUP($A301,'The List'!$B1:$AS671,16,FALSE)," ")</f>
        <v xml:space="preserve"> </v>
      </c>
      <c r="J301" s="84" t="str" cm="1">
        <f t="array" ref="J301">IFERROR(VLOOKUP($A301,'The List'!$B1:$AS671,17,FALSE)," ")</f>
        <v xml:space="preserve"> </v>
      </c>
      <c r="K301" s="84" t="str" cm="1">
        <f t="array" ref="K301">IFERROR(VLOOKUP($A301,'The List'!$B1:$AS671,18,FALSE)," ")</f>
        <v xml:space="preserve"> </v>
      </c>
      <c r="L301" s="84" t="str" cm="1">
        <f t="array" ref="L301">IFERROR(VLOOKUP($A301,'The List'!$B1:$AS671,19,FALSE)," ")</f>
        <v xml:space="preserve"> </v>
      </c>
      <c r="M301" s="84" t="str" cm="1">
        <f t="array" ref="M301">IFERROR(VLOOKUP($A301,'The List'!$B1:$AS671,20,FALSE)," ")</f>
        <v xml:space="preserve"> </v>
      </c>
      <c r="N301" s="84" t="str" cm="1">
        <f t="array" ref="N301">IFERROR(VLOOKUP($A301,'The List'!$B1:$AS671,21,FALSE)," ")</f>
        <v xml:space="preserve"> </v>
      </c>
      <c r="O301" s="84" t="str" cm="1">
        <f t="array" ref="O301">IFERROR(VLOOKUP($A301,'The List'!$B1:$AS671,22,FALSE)," ")</f>
        <v xml:space="preserve"> </v>
      </c>
      <c r="P301" s="84" t="str" cm="1">
        <f t="array" ref="P301">IFERROR(VLOOKUP($A301,'The List'!$B1:$AS671,23,FALSE)," ")</f>
        <v xml:space="preserve"> </v>
      </c>
      <c r="Q301" s="84" t="str" cm="1">
        <f t="array" ref="Q301">IFERROR(VLOOKUP($A301,'The List'!$B1:$AS671,24,FALSE)," ")</f>
        <v xml:space="preserve"> </v>
      </c>
      <c r="R301" s="84" t="str" cm="1">
        <f t="array" ref="R301">IFERROR(VLOOKUP($A301,'The List'!$B1:$AS671,25,FALSE)," ")</f>
        <v xml:space="preserve"> </v>
      </c>
      <c r="S301" s="84" t="str" cm="1">
        <f t="array" ref="S301">IFERROR(VLOOKUP($A301,'The List'!$B1:$AS671,26,FALSE)," ")</f>
        <v xml:space="preserve"> </v>
      </c>
      <c r="T301" s="84" t="str" cm="1">
        <f t="array" ref="T301">IFERROR(VLOOKUP($A301,'The List'!$B1:$AS671,27,FALSE)," ")</f>
        <v xml:space="preserve"> </v>
      </c>
      <c r="U301" s="84" t="str" cm="1">
        <f t="array" ref="U301">IFERROR(VLOOKUP($A301,'The List'!$B1:$AS671,28,FALSE)," ")</f>
        <v xml:space="preserve"> </v>
      </c>
      <c r="V301" s="84" t="str" cm="1">
        <f t="array" ref="V301">IFERROR(VLOOKUP($A301,'The List'!$B1:$AS671,29,FALSE)," ")</f>
        <v xml:space="preserve"> </v>
      </c>
      <c r="W301" s="84" t="str" cm="1">
        <f t="array" ref="W301">IFERROR(VLOOKUP($A301,'The List'!$B1:$AS671,30,FALSE)," ")</f>
        <v xml:space="preserve"> </v>
      </c>
      <c r="X301" s="84" t="str" cm="1">
        <f t="array" ref="X301">IFERROR(VLOOKUP($A301,'The List'!$B1:$AS671,31,FALSE)," ")</f>
        <v xml:space="preserve"> </v>
      </c>
      <c r="Y301" s="84" t="str" cm="1">
        <f t="array" ref="Y301">IFERROR(VLOOKUP($A301,'The List'!$B1:$AS671,32,FALSE)," ")</f>
        <v xml:space="preserve"> </v>
      </c>
      <c r="Z301" s="84" t="str" cm="1">
        <f t="array" ref="Z301">IFERROR(VLOOKUP($A301,'The List'!$B1:$AS671,33,FALSE)," ")</f>
        <v xml:space="preserve"> </v>
      </c>
      <c r="AA301" s="85"/>
      <c r="AB301" s="90"/>
      <c r="AC301" s="90"/>
      <c r="AD301" s="90"/>
      <c r="AE301" s="90"/>
      <c r="AF301" s="90"/>
    </row>
    <row r="302" spans="1:32" ht="21.25" customHeight="1" x14ac:dyDescent="0.15">
      <c r="A302" s="24"/>
      <c r="B302" s="96" t="str" cm="1">
        <f t="array" ref="B302">IFERROR(VLOOKUP($A302,'The List'!$B1:$AS671,3,FALSE)," ")</f>
        <v xml:space="preserve"> </v>
      </c>
      <c r="C302" s="98" t="str" cm="1">
        <f t="array" ref="C302">IFERROR(VLOOKUP($A302,'The List'!$B1:$AS671,4,FALSE)," ")</f>
        <v xml:space="preserve"> </v>
      </c>
      <c r="D302" s="18" t="str" cm="1">
        <f t="array" ref="D302">IFERROR(VLOOKUP($A302,'The List'!$B1:$AS671,5,FALSE)," ")</f>
        <v xml:space="preserve"> </v>
      </c>
      <c r="E302" s="18" t="str" cm="1">
        <f t="array" ref="E302">IFERROR(VLOOKUP($A302,'The List'!$B1:$AS671,6,FALSE)," ")</f>
        <v xml:space="preserve"> </v>
      </c>
      <c r="F302" s="92" t="str" cm="1">
        <f t="array" ref="F302">IFERROR(VLOOKUP($A302,'The List'!$B1:$AS671,8,FALSE)," ")</f>
        <v xml:space="preserve"> </v>
      </c>
      <c r="G302" s="92" t="str" cm="1">
        <f t="array" ref="G302">IFERROR(VLOOKUP($A302,'The List'!$B1:$AS671,10,FALSE)," ")</f>
        <v xml:space="preserve"> </v>
      </c>
      <c r="H302" s="55"/>
      <c r="I302" s="84" t="str" cm="1">
        <f t="array" ref="I302">IFERROR(VLOOKUP($A302,'The List'!$B1:$AS671,16,FALSE)," ")</f>
        <v xml:space="preserve"> </v>
      </c>
      <c r="J302" s="84" t="str" cm="1">
        <f t="array" ref="J302">IFERROR(VLOOKUP($A302,'The List'!$B1:$AS671,17,FALSE)," ")</f>
        <v xml:space="preserve"> </v>
      </c>
      <c r="K302" s="84" t="str" cm="1">
        <f t="array" ref="K302">IFERROR(VLOOKUP($A302,'The List'!$B1:$AS671,18,FALSE)," ")</f>
        <v xml:space="preserve"> </v>
      </c>
      <c r="L302" s="84" t="str" cm="1">
        <f t="array" ref="L302">IFERROR(VLOOKUP($A302,'The List'!$B1:$AS671,19,FALSE)," ")</f>
        <v xml:space="preserve"> </v>
      </c>
      <c r="M302" s="84" t="str" cm="1">
        <f t="array" ref="M302">IFERROR(VLOOKUP($A302,'The List'!$B1:$AS671,20,FALSE)," ")</f>
        <v xml:space="preserve"> </v>
      </c>
      <c r="N302" s="84" t="str" cm="1">
        <f t="array" ref="N302">IFERROR(VLOOKUP($A302,'The List'!$B1:$AS671,21,FALSE)," ")</f>
        <v xml:space="preserve"> </v>
      </c>
      <c r="O302" s="84" t="str" cm="1">
        <f t="array" ref="O302">IFERROR(VLOOKUP($A302,'The List'!$B1:$AS671,22,FALSE)," ")</f>
        <v xml:space="preserve"> </v>
      </c>
      <c r="P302" s="84" t="str" cm="1">
        <f t="array" ref="P302">IFERROR(VLOOKUP($A302,'The List'!$B1:$AS671,23,FALSE)," ")</f>
        <v xml:space="preserve"> </v>
      </c>
      <c r="Q302" s="84" t="str" cm="1">
        <f t="array" ref="Q302">IFERROR(VLOOKUP($A302,'The List'!$B1:$AS671,24,FALSE)," ")</f>
        <v xml:space="preserve"> </v>
      </c>
      <c r="R302" s="84" t="str" cm="1">
        <f t="array" ref="R302">IFERROR(VLOOKUP($A302,'The List'!$B1:$AS671,25,FALSE)," ")</f>
        <v xml:space="preserve"> </v>
      </c>
      <c r="S302" s="84" t="str" cm="1">
        <f t="array" ref="S302">IFERROR(VLOOKUP($A302,'The List'!$B1:$AS671,26,FALSE)," ")</f>
        <v xml:space="preserve"> </v>
      </c>
      <c r="T302" s="84" t="str" cm="1">
        <f t="array" ref="T302">IFERROR(VLOOKUP($A302,'The List'!$B1:$AS671,27,FALSE)," ")</f>
        <v xml:space="preserve"> </v>
      </c>
      <c r="U302" s="84" t="str" cm="1">
        <f t="array" ref="U302">IFERROR(VLOOKUP($A302,'The List'!$B1:$AS671,28,FALSE)," ")</f>
        <v xml:space="preserve"> </v>
      </c>
      <c r="V302" s="84" t="str" cm="1">
        <f t="array" ref="V302">IFERROR(VLOOKUP($A302,'The List'!$B1:$AS671,29,FALSE)," ")</f>
        <v xml:space="preserve"> </v>
      </c>
      <c r="W302" s="84" t="str" cm="1">
        <f t="array" ref="W302">IFERROR(VLOOKUP($A302,'The List'!$B1:$AS671,30,FALSE)," ")</f>
        <v xml:space="preserve"> </v>
      </c>
      <c r="X302" s="84" t="str" cm="1">
        <f t="array" ref="X302">IFERROR(VLOOKUP($A302,'The List'!$B1:$AS671,31,FALSE)," ")</f>
        <v xml:space="preserve"> </v>
      </c>
      <c r="Y302" s="84" t="str" cm="1">
        <f t="array" ref="Y302">IFERROR(VLOOKUP($A302,'The List'!$B1:$AS671,32,FALSE)," ")</f>
        <v xml:space="preserve"> </v>
      </c>
      <c r="Z302" s="84" t="str" cm="1">
        <f t="array" ref="Z302">IFERROR(VLOOKUP($A302,'The List'!$B1:$AS671,33,FALSE)," ")</f>
        <v xml:space="preserve"> </v>
      </c>
      <c r="AA302" s="85"/>
      <c r="AB302" s="90"/>
      <c r="AC302" s="90"/>
      <c r="AD302" s="90"/>
      <c r="AE302" s="90"/>
      <c r="AF302" s="90"/>
    </row>
    <row r="303" spans="1:32" ht="21.25" customHeight="1" x14ac:dyDescent="0.15">
      <c r="A303" s="24"/>
      <c r="B303" s="96" t="str" cm="1">
        <f t="array" ref="B303">IFERROR(VLOOKUP($A303,'The List'!$B1:$AS671,3,FALSE)," ")</f>
        <v xml:space="preserve"> </v>
      </c>
      <c r="C303" s="98" t="str" cm="1">
        <f t="array" ref="C303">IFERROR(VLOOKUP($A303,'The List'!$B1:$AS671,4,FALSE)," ")</f>
        <v xml:space="preserve"> </v>
      </c>
      <c r="D303" s="18" t="str" cm="1">
        <f t="array" ref="D303">IFERROR(VLOOKUP($A303,'The List'!$B1:$AS671,5,FALSE)," ")</f>
        <v xml:space="preserve"> </v>
      </c>
      <c r="E303" s="18" t="str" cm="1">
        <f t="array" ref="E303">IFERROR(VLOOKUP($A303,'The List'!$B1:$AS671,6,FALSE)," ")</f>
        <v xml:space="preserve"> </v>
      </c>
      <c r="F303" s="92" t="str" cm="1">
        <f t="array" ref="F303">IFERROR(VLOOKUP($A303,'The List'!$B1:$AS671,8,FALSE)," ")</f>
        <v xml:space="preserve"> </v>
      </c>
      <c r="G303" s="92" t="str" cm="1">
        <f t="array" ref="G303">IFERROR(VLOOKUP($A303,'The List'!$B1:$AS671,10,FALSE)," ")</f>
        <v xml:space="preserve"> </v>
      </c>
      <c r="H303" s="55"/>
      <c r="I303" s="84" t="str" cm="1">
        <f t="array" ref="I303">IFERROR(VLOOKUP($A303,'The List'!$B1:$AS671,16,FALSE)," ")</f>
        <v xml:space="preserve"> </v>
      </c>
      <c r="J303" s="84" t="str" cm="1">
        <f t="array" ref="J303">IFERROR(VLOOKUP($A303,'The List'!$B1:$AS671,17,FALSE)," ")</f>
        <v xml:space="preserve"> </v>
      </c>
      <c r="K303" s="84" t="str" cm="1">
        <f t="array" ref="K303">IFERROR(VLOOKUP($A303,'The List'!$B1:$AS671,18,FALSE)," ")</f>
        <v xml:space="preserve"> </v>
      </c>
      <c r="L303" s="84" t="str" cm="1">
        <f t="array" ref="L303">IFERROR(VLOOKUP($A303,'The List'!$B1:$AS671,19,FALSE)," ")</f>
        <v xml:space="preserve"> </v>
      </c>
      <c r="M303" s="84" t="str" cm="1">
        <f t="array" ref="M303">IFERROR(VLOOKUP($A303,'The List'!$B1:$AS671,20,FALSE)," ")</f>
        <v xml:space="preserve"> </v>
      </c>
      <c r="N303" s="84" t="str" cm="1">
        <f t="array" ref="N303">IFERROR(VLOOKUP($A303,'The List'!$B1:$AS671,21,FALSE)," ")</f>
        <v xml:space="preserve"> </v>
      </c>
      <c r="O303" s="84" t="str" cm="1">
        <f t="array" ref="O303">IFERROR(VLOOKUP($A303,'The List'!$B1:$AS671,22,FALSE)," ")</f>
        <v xml:space="preserve"> </v>
      </c>
      <c r="P303" s="84" t="str" cm="1">
        <f t="array" ref="P303">IFERROR(VLOOKUP($A303,'The List'!$B1:$AS671,23,FALSE)," ")</f>
        <v xml:space="preserve"> </v>
      </c>
      <c r="Q303" s="84" t="str" cm="1">
        <f t="array" ref="Q303">IFERROR(VLOOKUP($A303,'The List'!$B1:$AS671,24,FALSE)," ")</f>
        <v xml:space="preserve"> </v>
      </c>
      <c r="R303" s="84" t="str" cm="1">
        <f t="array" ref="R303">IFERROR(VLOOKUP($A303,'The List'!$B1:$AS671,25,FALSE)," ")</f>
        <v xml:space="preserve"> </v>
      </c>
      <c r="S303" s="84" t="str" cm="1">
        <f t="array" ref="S303">IFERROR(VLOOKUP($A303,'The List'!$B1:$AS671,26,FALSE)," ")</f>
        <v xml:space="preserve"> </v>
      </c>
      <c r="T303" s="84" t="str" cm="1">
        <f t="array" ref="T303">IFERROR(VLOOKUP($A303,'The List'!$B1:$AS671,27,FALSE)," ")</f>
        <v xml:space="preserve"> </v>
      </c>
      <c r="U303" s="84" t="str" cm="1">
        <f t="array" ref="U303">IFERROR(VLOOKUP($A303,'The List'!$B1:$AS671,28,FALSE)," ")</f>
        <v xml:space="preserve"> </v>
      </c>
      <c r="V303" s="84" t="str" cm="1">
        <f t="array" ref="V303">IFERROR(VLOOKUP($A303,'The List'!$B1:$AS671,29,FALSE)," ")</f>
        <v xml:space="preserve"> </v>
      </c>
      <c r="W303" s="84" t="str" cm="1">
        <f t="array" ref="W303">IFERROR(VLOOKUP($A303,'The List'!$B1:$AS671,30,FALSE)," ")</f>
        <v xml:space="preserve"> </v>
      </c>
      <c r="X303" s="84" t="str" cm="1">
        <f t="array" ref="X303">IFERROR(VLOOKUP($A303,'The List'!$B1:$AS671,31,FALSE)," ")</f>
        <v xml:space="preserve"> </v>
      </c>
      <c r="Y303" s="84" t="str" cm="1">
        <f t="array" ref="Y303">IFERROR(VLOOKUP($A303,'The List'!$B1:$AS671,32,FALSE)," ")</f>
        <v xml:space="preserve"> </v>
      </c>
      <c r="Z303" s="84" t="str" cm="1">
        <f t="array" ref="Z303">IFERROR(VLOOKUP($A303,'The List'!$B1:$AS671,33,FALSE)," ")</f>
        <v xml:space="preserve"> </v>
      </c>
      <c r="AA303" s="85"/>
      <c r="AB303" s="90"/>
      <c r="AC303" s="90"/>
      <c r="AD303" s="90"/>
      <c r="AE303" s="90"/>
      <c r="AF303" s="90"/>
    </row>
    <row r="304" spans="1:32" ht="21.25" customHeight="1" x14ac:dyDescent="0.15">
      <c r="A304" s="24"/>
      <c r="B304" s="99" t="str" cm="1">
        <f t="array" ref="B304">IFERROR(VLOOKUP($A304,'The List'!$B1:$AS671,3,FALSE)," ")</f>
        <v xml:space="preserve"> </v>
      </c>
      <c r="C304" s="101" t="str" cm="1">
        <f t="array" ref="C304">IFERROR(VLOOKUP($A304,'The List'!$B1:$AS671,4,FALSE)," ")</f>
        <v xml:space="preserve"> </v>
      </c>
      <c r="D304" s="18" t="str" cm="1">
        <f t="array" ref="D304">IFERROR(VLOOKUP($A304,'The List'!$B1:$AS671,5,FALSE)," ")</f>
        <v xml:space="preserve"> </v>
      </c>
      <c r="E304" s="18" t="str" cm="1">
        <f t="array" ref="E304">IFERROR(VLOOKUP($A304,'The List'!$B1:$AS671,6,FALSE)," ")</f>
        <v xml:space="preserve"> </v>
      </c>
      <c r="F304" s="92" t="str" cm="1">
        <f t="array" ref="F304">IFERROR(VLOOKUP($A304,'The List'!$B1:$AS671,8,FALSE)," ")</f>
        <v xml:space="preserve"> </v>
      </c>
      <c r="G304" s="92" t="str" cm="1">
        <f t="array" ref="G304">IFERROR(VLOOKUP($A304,'The List'!$B1:$AS671,10,FALSE)," ")</f>
        <v xml:space="preserve"> </v>
      </c>
      <c r="H304" s="55"/>
      <c r="I304" s="84" t="str" cm="1">
        <f t="array" ref="I304">IFERROR(VLOOKUP($A304,'The List'!$B1:$AS671,16,FALSE)," ")</f>
        <v xml:space="preserve"> </v>
      </c>
      <c r="J304" s="84" t="str" cm="1">
        <f t="array" ref="J304">IFERROR(VLOOKUP($A304,'The List'!$B1:$AS671,17,FALSE)," ")</f>
        <v xml:space="preserve"> </v>
      </c>
      <c r="K304" s="84" t="str" cm="1">
        <f t="array" ref="K304">IFERROR(VLOOKUP($A304,'The List'!$B1:$AS671,18,FALSE)," ")</f>
        <v xml:space="preserve"> </v>
      </c>
      <c r="L304" s="84" t="str" cm="1">
        <f t="array" ref="L304">IFERROR(VLOOKUP($A304,'The List'!$B1:$AS671,19,FALSE)," ")</f>
        <v xml:space="preserve"> </v>
      </c>
      <c r="M304" s="84" t="str" cm="1">
        <f t="array" ref="M304">IFERROR(VLOOKUP($A304,'The List'!$B1:$AS671,20,FALSE)," ")</f>
        <v xml:space="preserve"> </v>
      </c>
      <c r="N304" s="84" t="str" cm="1">
        <f t="array" ref="N304">IFERROR(VLOOKUP($A304,'The List'!$B1:$AS671,21,FALSE)," ")</f>
        <v xml:space="preserve"> </v>
      </c>
      <c r="O304" s="84" t="str" cm="1">
        <f t="array" ref="O304">IFERROR(VLOOKUP($A304,'The List'!$B1:$AS671,22,FALSE)," ")</f>
        <v xml:space="preserve"> </v>
      </c>
      <c r="P304" s="84" t="str" cm="1">
        <f t="array" ref="P304">IFERROR(VLOOKUP($A304,'The List'!$B1:$AS671,23,FALSE)," ")</f>
        <v xml:space="preserve"> </v>
      </c>
      <c r="Q304" s="84" t="str" cm="1">
        <f t="array" ref="Q304">IFERROR(VLOOKUP($A304,'The List'!$B1:$AS671,24,FALSE)," ")</f>
        <v xml:space="preserve"> </v>
      </c>
      <c r="R304" s="84" t="str" cm="1">
        <f t="array" ref="R304">IFERROR(VLOOKUP($A304,'The List'!$B1:$AS671,25,FALSE)," ")</f>
        <v xml:space="preserve"> </v>
      </c>
      <c r="S304" s="84" t="str" cm="1">
        <f t="array" ref="S304">IFERROR(VLOOKUP($A304,'The List'!$B1:$AS671,26,FALSE)," ")</f>
        <v xml:space="preserve"> </v>
      </c>
      <c r="T304" s="84" t="str" cm="1">
        <f t="array" ref="T304">IFERROR(VLOOKUP($A304,'The List'!$B1:$AS671,27,FALSE)," ")</f>
        <v xml:space="preserve"> </v>
      </c>
      <c r="U304" s="84" t="str" cm="1">
        <f t="array" ref="U304">IFERROR(VLOOKUP($A304,'The List'!$B1:$AS671,28,FALSE)," ")</f>
        <v xml:space="preserve"> </v>
      </c>
      <c r="V304" s="84" t="str" cm="1">
        <f t="array" ref="V304">IFERROR(VLOOKUP($A304,'The List'!$B1:$AS671,29,FALSE)," ")</f>
        <v xml:space="preserve"> </v>
      </c>
      <c r="W304" s="84" t="str" cm="1">
        <f t="array" ref="W304">IFERROR(VLOOKUP($A304,'The List'!$B1:$AS671,30,FALSE)," ")</f>
        <v xml:space="preserve"> </v>
      </c>
      <c r="X304" s="84" t="str" cm="1">
        <f t="array" ref="X304">IFERROR(VLOOKUP($A304,'The List'!$B1:$AS671,31,FALSE)," ")</f>
        <v xml:space="preserve"> </v>
      </c>
      <c r="Y304" s="84" t="str" cm="1">
        <f t="array" ref="Y304">IFERROR(VLOOKUP($A304,'The List'!$B1:$AS671,32,FALSE)," ")</f>
        <v xml:space="preserve"> </v>
      </c>
      <c r="Z304" s="84" t="str" cm="1">
        <f t="array" ref="Z304">IFERROR(VLOOKUP($A304,'The List'!$B1:$AS671,33,FALSE)," ")</f>
        <v xml:space="preserve"> </v>
      </c>
      <c r="AA304" s="85"/>
      <c r="AB304" s="90"/>
      <c r="AC304" s="90"/>
      <c r="AD304" s="90"/>
      <c r="AE304" s="90"/>
      <c r="AF304" s="90"/>
    </row>
    <row r="305" spans="1:32" ht="21.25" customHeight="1" x14ac:dyDescent="0.15">
      <c r="A305" s="24"/>
      <c r="B305" s="99" t="str" cm="1">
        <f t="array" ref="B305">IFERROR(VLOOKUP($A305,'The List'!$B1:$AS671,3,FALSE)," ")</f>
        <v xml:space="preserve"> </v>
      </c>
      <c r="C305" s="101" t="str" cm="1">
        <f t="array" ref="C305">IFERROR(VLOOKUP($A305,'The List'!$B1:$AS671,4,FALSE)," ")</f>
        <v xml:space="preserve"> </v>
      </c>
      <c r="D305" s="18" t="str" cm="1">
        <f t="array" ref="D305">IFERROR(VLOOKUP($A305,'The List'!$B1:$AS671,5,FALSE)," ")</f>
        <v xml:space="preserve"> </v>
      </c>
      <c r="E305" s="18" t="str" cm="1">
        <f t="array" ref="E305">IFERROR(VLOOKUP($A305,'The List'!$B1:$AS671,6,FALSE)," ")</f>
        <v xml:space="preserve"> </v>
      </c>
      <c r="F305" s="92" t="str" cm="1">
        <f t="array" ref="F305">IFERROR(VLOOKUP($A305,'The List'!$B1:$AS671,8,FALSE)," ")</f>
        <v xml:space="preserve"> </v>
      </c>
      <c r="G305" s="92" t="str" cm="1">
        <f t="array" ref="G305">IFERROR(VLOOKUP($A305,'The List'!$B1:$AS671,10,FALSE)," ")</f>
        <v xml:space="preserve"> </v>
      </c>
      <c r="H305" s="55"/>
      <c r="I305" s="84" t="str" cm="1">
        <f t="array" ref="I305">IFERROR(VLOOKUP($A305,'The List'!$B1:$AS671,16,FALSE)," ")</f>
        <v xml:space="preserve"> </v>
      </c>
      <c r="J305" s="84" t="str" cm="1">
        <f t="array" ref="J305">IFERROR(VLOOKUP($A305,'The List'!$B1:$AS671,17,FALSE)," ")</f>
        <v xml:space="preserve"> </v>
      </c>
      <c r="K305" s="84" t="str" cm="1">
        <f t="array" ref="K305">IFERROR(VLOOKUP($A305,'The List'!$B1:$AS671,18,FALSE)," ")</f>
        <v xml:space="preserve"> </v>
      </c>
      <c r="L305" s="84" t="str" cm="1">
        <f t="array" ref="L305">IFERROR(VLOOKUP($A305,'The List'!$B1:$AS671,19,FALSE)," ")</f>
        <v xml:space="preserve"> </v>
      </c>
      <c r="M305" s="84" t="str" cm="1">
        <f t="array" ref="M305">IFERROR(VLOOKUP($A305,'The List'!$B1:$AS671,20,FALSE)," ")</f>
        <v xml:space="preserve"> </v>
      </c>
      <c r="N305" s="84" t="str" cm="1">
        <f t="array" ref="N305">IFERROR(VLOOKUP($A305,'The List'!$B1:$AS671,21,FALSE)," ")</f>
        <v xml:space="preserve"> </v>
      </c>
      <c r="O305" s="84" t="str" cm="1">
        <f t="array" ref="O305">IFERROR(VLOOKUP($A305,'The List'!$B1:$AS671,22,FALSE)," ")</f>
        <v xml:space="preserve"> </v>
      </c>
      <c r="P305" s="84" t="str" cm="1">
        <f t="array" ref="P305">IFERROR(VLOOKUP($A305,'The List'!$B1:$AS671,23,FALSE)," ")</f>
        <v xml:space="preserve"> </v>
      </c>
      <c r="Q305" s="84" t="str" cm="1">
        <f t="array" ref="Q305">IFERROR(VLOOKUP($A305,'The List'!$B1:$AS671,24,FALSE)," ")</f>
        <v xml:space="preserve"> </v>
      </c>
      <c r="R305" s="84" t="str" cm="1">
        <f t="array" ref="R305">IFERROR(VLOOKUP($A305,'The List'!$B1:$AS671,25,FALSE)," ")</f>
        <v xml:space="preserve"> </v>
      </c>
      <c r="S305" s="84" t="str" cm="1">
        <f t="array" ref="S305">IFERROR(VLOOKUP($A305,'The List'!$B1:$AS671,26,FALSE)," ")</f>
        <v xml:space="preserve"> </v>
      </c>
      <c r="T305" s="84" t="str" cm="1">
        <f t="array" ref="T305">IFERROR(VLOOKUP($A305,'The List'!$B1:$AS671,27,FALSE)," ")</f>
        <v xml:space="preserve"> </v>
      </c>
      <c r="U305" s="84" t="str" cm="1">
        <f t="array" ref="U305">IFERROR(VLOOKUP($A305,'The List'!$B1:$AS671,28,FALSE)," ")</f>
        <v xml:space="preserve"> </v>
      </c>
      <c r="V305" s="84" t="str" cm="1">
        <f t="array" ref="V305">IFERROR(VLOOKUP($A305,'The List'!$B1:$AS671,29,FALSE)," ")</f>
        <v xml:space="preserve"> </v>
      </c>
      <c r="W305" s="84" t="str" cm="1">
        <f t="array" ref="W305">IFERROR(VLOOKUP($A305,'The List'!$B1:$AS671,30,FALSE)," ")</f>
        <v xml:space="preserve"> </v>
      </c>
      <c r="X305" s="84" t="str" cm="1">
        <f t="array" ref="X305">IFERROR(VLOOKUP($A305,'The List'!$B1:$AS671,31,FALSE)," ")</f>
        <v xml:space="preserve"> </v>
      </c>
      <c r="Y305" s="84" t="str" cm="1">
        <f t="array" ref="Y305">IFERROR(VLOOKUP($A305,'The List'!$B1:$AS671,32,FALSE)," ")</f>
        <v xml:space="preserve"> </v>
      </c>
      <c r="Z305" s="84" t="str" cm="1">
        <f t="array" ref="Z305">IFERROR(VLOOKUP($A305,'The List'!$B1:$AS671,33,FALSE)," ")</f>
        <v xml:space="preserve"> </v>
      </c>
      <c r="AA305" s="85"/>
      <c r="AB305" s="90"/>
      <c r="AC305" s="90"/>
      <c r="AD305" s="90"/>
      <c r="AE305" s="90"/>
      <c r="AF305" s="90"/>
    </row>
    <row r="306" spans="1:32" ht="21.25" customHeight="1" x14ac:dyDescent="0.15">
      <c r="A306" s="24"/>
      <c r="B306" s="99" t="str" cm="1">
        <f t="array" ref="B306">IFERROR(VLOOKUP($A306,'The List'!$B1:$AS671,3,FALSE)," ")</f>
        <v xml:space="preserve"> </v>
      </c>
      <c r="C306" s="101" t="str" cm="1">
        <f t="array" ref="C306">IFERROR(VLOOKUP($A306,'The List'!$B1:$AS671,4,FALSE)," ")</f>
        <v xml:space="preserve"> </v>
      </c>
      <c r="D306" s="18" t="str" cm="1">
        <f t="array" ref="D306">IFERROR(VLOOKUP($A306,'The List'!$B1:$AS671,5,FALSE)," ")</f>
        <v xml:space="preserve"> </v>
      </c>
      <c r="E306" s="18" t="str" cm="1">
        <f t="array" ref="E306">IFERROR(VLOOKUP($A306,'The List'!$B1:$AS671,6,FALSE)," ")</f>
        <v xml:space="preserve"> </v>
      </c>
      <c r="F306" s="92" t="str" cm="1">
        <f t="array" ref="F306">IFERROR(VLOOKUP($A306,'The List'!$B1:$AS671,8,FALSE)," ")</f>
        <v xml:space="preserve"> </v>
      </c>
      <c r="G306" s="92" t="str" cm="1">
        <f t="array" ref="G306">IFERROR(VLOOKUP($A306,'The List'!$B1:$AS671,10,FALSE)," ")</f>
        <v xml:space="preserve"> </v>
      </c>
      <c r="H306" s="55"/>
      <c r="I306" s="84" t="str" cm="1">
        <f t="array" ref="I306">IFERROR(VLOOKUP($A306,'The List'!$B1:$AS671,16,FALSE)," ")</f>
        <v xml:space="preserve"> </v>
      </c>
      <c r="J306" s="84" t="str" cm="1">
        <f t="array" ref="J306">IFERROR(VLOOKUP($A306,'The List'!$B1:$AS671,17,FALSE)," ")</f>
        <v xml:space="preserve"> </v>
      </c>
      <c r="K306" s="84" t="str" cm="1">
        <f t="array" ref="K306">IFERROR(VLOOKUP($A306,'The List'!$B1:$AS671,18,FALSE)," ")</f>
        <v xml:space="preserve"> </v>
      </c>
      <c r="L306" s="84" t="str" cm="1">
        <f t="array" ref="L306">IFERROR(VLOOKUP($A306,'The List'!$B1:$AS671,19,FALSE)," ")</f>
        <v xml:space="preserve"> </v>
      </c>
      <c r="M306" s="84" t="str" cm="1">
        <f t="array" ref="M306">IFERROR(VLOOKUP($A306,'The List'!$B1:$AS671,20,FALSE)," ")</f>
        <v xml:space="preserve"> </v>
      </c>
      <c r="N306" s="84" t="str" cm="1">
        <f t="array" ref="N306">IFERROR(VLOOKUP($A306,'The List'!$B1:$AS671,21,FALSE)," ")</f>
        <v xml:space="preserve"> </v>
      </c>
      <c r="O306" s="84" t="str" cm="1">
        <f t="array" ref="O306">IFERROR(VLOOKUP($A306,'The List'!$B1:$AS671,22,FALSE)," ")</f>
        <v xml:space="preserve"> </v>
      </c>
      <c r="P306" s="84" t="str" cm="1">
        <f t="array" ref="P306">IFERROR(VLOOKUP($A306,'The List'!$B1:$AS671,23,FALSE)," ")</f>
        <v xml:space="preserve"> </v>
      </c>
      <c r="Q306" s="84" t="str" cm="1">
        <f t="array" ref="Q306">IFERROR(VLOOKUP($A306,'The List'!$B1:$AS671,24,FALSE)," ")</f>
        <v xml:space="preserve"> </v>
      </c>
      <c r="R306" s="84" t="str" cm="1">
        <f t="array" ref="R306">IFERROR(VLOOKUP($A306,'The List'!$B1:$AS671,25,FALSE)," ")</f>
        <v xml:space="preserve"> </v>
      </c>
      <c r="S306" s="84" t="str" cm="1">
        <f t="array" ref="S306">IFERROR(VLOOKUP($A306,'The List'!$B1:$AS671,26,FALSE)," ")</f>
        <v xml:space="preserve"> </v>
      </c>
      <c r="T306" s="84" t="str" cm="1">
        <f t="array" ref="T306">IFERROR(VLOOKUP($A306,'The List'!$B1:$AS671,27,FALSE)," ")</f>
        <v xml:space="preserve"> </v>
      </c>
      <c r="U306" s="84" t="str" cm="1">
        <f t="array" ref="U306">IFERROR(VLOOKUP($A306,'The List'!$B1:$AS671,28,FALSE)," ")</f>
        <v xml:space="preserve"> </v>
      </c>
      <c r="V306" s="84" t="str" cm="1">
        <f t="array" ref="V306">IFERROR(VLOOKUP($A306,'The List'!$B1:$AS671,29,FALSE)," ")</f>
        <v xml:space="preserve"> </v>
      </c>
      <c r="W306" s="84" t="str" cm="1">
        <f t="array" ref="W306">IFERROR(VLOOKUP($A306,'The List'!$B1:$AS671,30,FALSE)," ")</f>
        <v xml:space="preserve"> </v>
      </c>
      <c r="X306" s="84" t="str" cm="1">
        <f t="array" ref="X306">IFERROR(VLOOKUP($A306,'The List'!$B1:$AS671,31,FALSE)," ")</f>
        <v xml:space="preserve"> </v>
      </c>
      <c r="Y306" s="84" t="str" cm="1">
        <f t="array" ref="Y306">IFERROR(VLOOKUP($A306,'The List'!$B1:$AS671,32,FALSE)," ")</f>
        <v xml:space="preserve"> </v>
      </c>
      <c r="Z306" s="84" t="str" cm="1">
        <f t="array" ref="Z306">IFERROR(VLOOKUP($A306,'The List'!$B1:$AS671,33,FALSE)," ")</f>
        <v xml:space="preserve"> </v>
      </c>
      <c r="AA306" s="85"/>
      <c r="AB306" s="90"/>
      <c r="AC306" s="90"/>
      <c r="AD306" s="90"/>
      <c r="AE306" s="90"/>
      <c r="AF306" s="90"/>
    </row>
    <row r="307" spans="1:32" ht="21.25" customHeight="1" x14ac:dyDescent="0.15">
      <c r="A307" s="24"/>
      <c r="B307" s="99" t="str" cm="1">
        <f t="array" ref="B307">IFERROR(VLOOKUP($A307,'The List'!$B1:$AS671,3,FALSE)," ")</f>
        <v xml:space="preserve"> </v>
      </c>
      <c r="C307" s="101" t="str" cm="1">
        <f t="array" ref="C307">IFERROR(VLOOKUP($A307,'The List'!$B1:$AS671,4,FALSE)," ")</f>
        <v xml:space="preserve"> </v>
      </c>
      <c r="D307" s="18" t="str" cm="1">
        <f t="array" ref="D307">IFERROR(VLOOKUP($A307,'The List'!$B1:$AS671,5,FALSE)," ")</f>
        <v xml:space="preserve"> </v>
      </c>
      <c r="E307" s="18" t="str" cm="1">
        <f t="array" ref="E307">IFERROR(VLOOKUP($A307,'The List'!$B1:$AS671,6,FALSE)," ")</f>
        <v xml:space="preserve"> </v>
      </c>
      <c r="F307" s="92" t="str" cm="1">
        <f t="array" ref="F307">IFERROR(VLOOKUP($A307,'The List'!$B1:$AS671,8,FALSE)," ")</f>
        <v xml:space="preserve"> </v>
      </c>
      <c r="G307" s="92" t="str" cm="1">
        <f t="array" ref="G307">IFERROR(VLOOKUP($A307,'The List'!$B1:$AS671,10,FALSE)," ")</f>
        <v xml:space="preserve"> </v>
      </c>
      <c r="H307" s="55"/>
      <c r="I307" s="84" t="str" cm="1">
        <f t="array" ref="I307">IFERROR(VLOOKUP($A307,'The List'!$B1:$AS671,16,FALSE)," ")</f>
        <v xml:space="preserve"> </v>
      </c>
      <c r="J307" s="84" t="str" cm="1">
        <f t="array" ref="J307">IFERROR(VLOOKUP($A307,'The List'!$B1:$AS671,17,FALSE)," ")</f>
        <v xml:space="preserve"> </v>
      </c>
      <c r="K307" s="84" t="str" cm="1">
        <f t="array" ref="K307">IFERROR(VLOOKUP($A307,'The List'!$B1:$AS671,18,FALSE)," ")</f>
        <v xml:space="preserve"> </v>
      </c>
      <c r="L307" s="84" t="str" cm="1">
        <f t="array" ref="L307">IFERROR(VLOOKUP($A307,'The List'!$B1:$AS671,19,FALSE)," ")</f>
        <v xml:space="preserve"> </v>
      </c>
      <c r="M307" s="84" t="str" cm="1">
        <f t="array" ref="M307">IFERROR(VLOOKUP($A307,'The List'!$B1:$AS671,20,FALSE)," ")</f>
        <v xml:space="preserve"> </v>
      </c>
      <c r="N307" s="84" t="str" cm="1">
        <f t="array" ref="N307">IFERROR(VLOOKUP($A307,'The List'!$B1:$AS671,21,FALSE)," ")</f>
        <v xml:space="preserve"> </v>
      </c>
      <c r="O307" s="84" t="str" cm="1">
        <f t="array" ref="O307">IFERROR(VLOOKUP($A307,'The List'!$B1:$AS671,22,FALSE)," ")</f>
        <v xml:space="preserve"> </v>
      </c>
      <c r="P307" s="84" t="str" cm="1">
        <f t="array" ref="P307">IFERROR(VLOOKUP($A307,'The List'!$B1:$AS671,23,FALSE)," ")</f>
        <v xml:space="preserve"> </v>
      </c>
      <c r="Q307" s="84" t="str" cm="1">
        <f t="array" ref="Q307">IFERROR(VLOOKUP($A307,'The List'!$B1:$AS671,24,FALSE)," ")</f>
        <v xml:space="preserve"> </v>
      </c>
      <c r="R307" s="84" t="str" cm="1">
        <f t="array" ref="R307">IFERROR(VLOOKUP($A307,'The List'!$B1:$AS671,25,FALSE)," ")</f>
        <v xml:space="preserve"> </v>
      </c>
      <c r="S307" s="84" t="str" cm="1">
        <f t="array" ref="S307">IFERROR(VLOOKUP($A307,'The List'!$B1:$AS671,26,FALSE)," ")</f>
        <v xml:space="preserve"> </v>
      </c>
      <c r="T307" s="84" t="str" cm="1">
        <f t="array" ref="T307">IFERROR(VLOOKUP($A307,'The List'!$B1:$AS671,27,FALSE)," ")</f>
        <v xml:space="preserve"> </v>
      </c>
      <c r="U307" s="84" t="str" cm="1">
        <f t="array" ref="U307">IFERROR(VLOOKUP($A307,'The List'!$B1:$AS671,28,FALSE)," ")</f>
        <v xml:space="preserve"> </v>
      </c>
      <c r="V307" s="84" t="str" cm="1">
        <f t="array" ref="V307">IFERROR(VLOOKUP($A307,'The List'!$B1:$AS671,29,FALSE)," ")</f>
        <v xml:space="preserve"> </v>
      </c>
      <c r="W307" s="84" t="str" cm="1">
        <f t="array" ref="W307">IFERROR(VLOOKUP($A307,'The List'!$B1:$AS671,30,FALSE)," ")</f>
        <v xml:space="preserve"> </v>
      </c>
      <c r="X307" s="84" t="str" cm="1">
        <f t="array" ref="X307">IFERROR(VLOOKUP($A307,'The List'!$B1:$AS671,31,FALSE)," ")</f>
        <v xml:space="preserve"> </v>
      </c>
      <c r="Y307" s="84" t="str" cm="1">
        <f t="array" ref="Y307">IFERROR(VLOOKUP($A307,'The List'!$B1:$AS671,32,FALSE)," ")</f>
        <v xml:space="preserve"> </v>
      </c>
      <c r="Z307" s="84" t="str" cm="1">
        <f t="array" ref="Z307">IFERROR(VLOOKUP($A307,'The List'!$B1:$AS671,33,FALSE)," ")</f>
        <v xml:space="preserve"> </v>
      </c>
      <c r="AA307" s="85"/>
      <c r="AB307" s="90"/>
      <c r="AC307" s="90"/>
      <c r="AD307" s="90"/>
      <c r="AE307" s="90"/>
      <c r="AF307" s="90"/>
    </row>
    <row r="308" spans="1:32" ht="21.25" customHeight="1" x14ac:dyDescent="0.15">
      <c r="A308" s="24"/>
      <c r="B308" s="99" t="str" cm="1">
        <f t="array" ref="B308">IFERROR(VLOOKUP($A308,'The List'!$B1:$AS671,3,FALSE)," ")</f>
        <v xml:space="preserve"> </v>
      </c>
      <c r="C308" s="101" t="str" cm="1">
        <f t="array" ref="C308">IFERROR(VLOOKUP($A308,'The List'!$B1:$AS671,4,FALSE)," ")</f>
        <v xml:space="preserve"> </v>
      </c>
      <c r="D308" s="18" t="str" cm="1">
        <f t="array" ref="D308">IFERROR(VLOOKUP($A308,'The List'!$B1:$AS671,5,FALSE)," ")</f>
        <v xml:space="preserve"> </v>
      </c>
      <c r="E308" s="18" t="str" cm="1">
        <f t="array" ref="E308">IFERROR(VLOOKUP($A308,'The List'!$B1:$AS671,6,FALSE)," ")</f>
        <v xml:space="preserve"> </v>
      </c>
      <c r="F308" s="92" t="str" cm="1">
        <f t="array" ref="F308">IFERROR(VLOOKUP($A308,'The List'!$B1:$AS671,8,FALSE)," ")</f>
        <v xml:space="preserve"> </v>
      </c>
      <c r="G308" s="92" t="str" cm="1">
        <f t="array" ref="G308">IFERROR(VLOOKUP($A308,'The List'!$B1:$AS671,10,FALSE)," ")</f>
        <v xml:space="preserve"> </v>
      </c>
      <c r="H308" s="55"/>
      <c r="I308" s="84" t="str" cm="1">
        <f t="array" ref="I308">IFERROR(VLOOKUP($A308,'The List'!$B1:$AS671,16,FALSE)," ")</f>
        <v xml:space="preserve"> </v>
      </c>
      <c r="J308" s="84" t="str" cm="1">
        <f t="array" ref="J308">IFERROR(VLOOKUP($A308,'The List'!$B1:$AS671,17,FALSE)," ")</f>
        <v xml:space="preserve"> </v>
      </c>
      <c r="K308" s="84" t="str" cm="1">
        <f t="array" ref="K308">IFERROR(VLOOKUP($A308,'The List'!$B1:$AS671,18,FALSE)," ")</f>
        <v xml:space="preserve"> </v>
      </c>
      <c r="L308" s="84" t="str" cm="1">
        <f t="array" ref="L308">IFERROR(VLOOKUP($A308,'The List'!$B1:$AS671,19,FALSE)," ")</f>
        <v xml:space="preserve"> </v>
      </c>
      <c r="M308" s="84" t="str" cm="1">
        <f t="array" ref="M308">IFERROR(VLOOKUP($A308,'The List'!$B1:$AS671,20,FALSE)," ")</f>
        <v xml:space="preserve"> </v>
      </c>
      <c r="N308" s="84" t="str" cm="1">
        <f t="array" ref="N308">IFERROR(VLOOKUP($A308,'The List'!$B1:$AS671,21,FALSE)," ")</f>
        <v xml:space="preserve"> </v>
      </c>
      <c r="O308" s="84" t="str" cm="1">
        <f t="array" ref="O308">IFERROR(VLOOKUP($A308,'The List'!$B1:$AS671,22,FALSE)," ")</f>
        <v xml:space="preserve"> </v>
      </c>
      <c r="P308" s="84" t="str" cm="1">
        <f t="array" ref="P308">IFERROR(VLOOKUP($A308,'The List'!$B1:$AS671,23,FALSE)," ")</f>
        <v xml:space="preserve"> </v>
      </c>
      <c r="Q308" s="84" t="str" cm="1">
        <f t="array" ref="Q308">IFERROR(VLOOKUP($A308,'The List'!$B1:$AS671,24,FALSE)," ")</f>
        <v xml:space="preserve"> </v>
      </c>
      <c r="R308" s="84" t="str" cm="1">
        <f t="array" ref="R308">IFERROR(VLOOKUP($A308,'The List'!$B1:$AS671,25,FALSE)," ")</f>
        <v xml:space="preserve"> </v>
      </c>
      <c r="S308" s="84" t="str" cm="1">
        <f t="array" ref="S308">IFERROR(VLOOKUP($A308,'The List'!$B1:$AS671,26,FALSE)," ")</f>
        <v xml:space="preserve"> </v>
      </c>
      <c r="T308" s="84" t="str" cm="1">
        <f t="array" ref="T308">IFERROR(VLOOKUP($A308,'The List'!$B1:$AS671,27,FALSE)," ")</f>
        <v xml:space="preserve"> </v>
      </c>
      <c r="U308" s="84" t="str" cm="1">
        <f t="array" ref="U308">IFERROR(VLOOKUP($A308,'The List'!$B1:$AS671,28,FALSE)," ")</f>
        <v xml:space="preserve"> </v>
      </c>
      <c r="V308" s="84" t="str" cm="1">
        <f t="array" ref="V308">IFERROR(VLOOKUP($A308,'The List'!$B1:$AS671,29,FALSE)," ")</f>
        <v xml:space="preserve"> </v>
      </c>
      <c r="W308" s="84" t="str" cm="1">
        <f t="array" ref="W308">IFERROR(VLOOKUP($A308,'The List'!$B1:$AS671,30,FALSE)," ")</f>
        <v xml:space="preserve"> </v>
      </c>
      <c r="X308" s="84" t="str" cm="1">
        <f t="array" ref="X308">IFERROR(VLOOKUP($A308,'The List'!$B1:$AS671,31,FALSE)," ")</f>
        <v xml:space="preserve"> </v>
      </c>
      <c r="Y308" s="84" t="str" cm="1">
        <f t="array" ref="Y308">IFERROR(VLOOKUP($A308,'The List'!$B1:$AS671,32,FALSE)," ")</f>
        <v xml:space="preserve"> </v>
      </c>
      <c r="Z308" s="84" t="str" cm="1">
        <f t="array" ref="Z308">IFERROR(VLOOKUP($A308,'The List'!$B1:$AS671,33,FALSE)," ")</f>
        <v xml:space="preserve"> </v>
      </c>
      <c r="AA308" s="85"/>
      <c r="AB308" s="90"/>
      <c r="AC308" s="90"/>
      <c r="AD308" s="90"/>
      <c r="AE308" s="90"/>
      <c r="AF308" s="90"/>
    </row>
    <row r="309" spans="1:32" ht="21.25" customHeight="1" x14ac:dyDescent="0.15">
      <c r="A309" s="24"/>
      <c r="B309" s="99" t="str" cm="1">
        <f t="array" ref="B309">IFERROR(VLOOKUP($A309,'The List'!$B1:$AS671,3,FALSE)," ")</f>
        <v xml:space="preserve"> </v>
      </c>
      <c r="C309" s="101" t="str" cm="1">
        <f t="array" ref="C309">IFERROR(VLOOKUP($A309,'The List'!$B1:$AS671,4,FALSE)," ")</f>
        <v xml:space="preserve"> </v>
      </c>
      <c r="D309" s="18" t="str" cm="1">
        <f t="array" ref="D309">IFERROR(VLOOKUP($A309,'The List'!$B1:$AS671,5,FALSE)," ")</f>
        <v xml:space="preserve"> </v>
      </c>
      <c r="E309" s="18" t="str" cm="1">
        <f t="array" ref="E309">IFERROR(VLOOKUP($A309,'The List'!$B1:$AS671,6,FALSE)," ")</f>
        <v xml:space="preserve"> </v>
      </c>
      <c r="F309" s="92" t="str" cm="1">
        <f t="array" ref="F309">IFERROR(VLOOKUP($A309,'The List'!$B1:$AS671,8,FALSE)," ")</f>
        <v xml:space="preserve"> </v>
      </c>
      <c r="G309" s="92" t="str" cm="1">
        <f t="array" ref="G309">IFERROR(VLOOKUP($A309,'The List'!$B1:$AS671,10,FALSE)," ")</f>
        <v xml:space="preserve"> </v>
      </c>
      <c r="H309" s="55"/>
      <c r="I309" s="84" t="str" cm="1">
        <f t="array" ref="I309">IFERROR(VLOOKUP($A309,'The List'!$B1:$AS671,16,FALSE)," ")</f>
        <v xml:space="preserve"> </v>
      </c>
      <c r="J309" s="84" t="str" cm="1">
        <f t="array" ref="J309">IFERROR(VLOOKUP($A309,'The List'!$B1:$AS671,17,FALSE)," ")</f>
        <v xml:space="preserve"> </v>
      </c>
      <c r="K309" s="84" t="str" cm="1">
        <f t="array" ref="K309">IFERROR(VLOOKUP($A309,'The List'!$B1:$AS671,18,FALSE)," ")</f>
        <v xml:space="preserve"> </v>
      </c>
      <c r="L309" s="84" t="str" cm="1">
        <f t="array" ref="L309">IFERROR(VLOOKUP($A309,'The List'!$B1:$AS671,19,FALSE)," ")</f>
        <v xml:space="preserve"> </v>
      </c>
      <c r="M309" s="84" t="str" cm="1">
        <f t="array" ref="M309">IFERROR(VLOOKUP($A309,'The List'!$B1:$AS671,20,FALSE)," ")</f>
        <v xml:space="preserve"> </v>
      </c>
      <c r="N309" s="84" t="str" cm="1">
        <f t="array" ref="N309">IFERROR(VLOOKUP($A309,'The List'!$B1:$AS671,21,FALSE)," ")</f>
        <v xml:space="preserve"> </v>
      </c>
      <c r="O309" s="84" t="str" cm="1">
        <f t="array" ref="O309">IFERROR(VLOOKUP($A309,'The List'!$B1:$AS671,22,FALSE)," ")</f>
        <v xml:space="preserve"> </v>
      </c>
      <c r="P309" s="84" t="str" cm="1">
        <f t="array" ref="P309">IFERROR(VLOOKUP($A309,'The List'!$B1:$AS671,23,FALSE)," ")</f>
        <v xml:space="preserve"> </v>
      </c>
      <c r="Q309" s="84" t="str" cm="1">
        <f t="array" ref="Q309">IFERROR(VLOOKUP($A309,'The List'!$B1:$AS671,24,FALSE)," ")</f>
        <v xml:space="preserve"> </v>
      </c>
      <c r="R309" s="84" t="str" cm="1">
        <f t="array" ref="R309">IFERROR(VLOOKUP($A309,'The List'!$B1:$AS671,25,FALSE)," ")</f>
        <v xml:space="preserve"> </v>
      </c>
      <c r="S309" s="84" t="str" cm="1">
        <f t="array" ref="S309">IFERROR(VLOOKUP($A309,'The List'!$B1:$AS671,26,FALSE)," ")</f>
        <v xml:space="preserve"> </v>
      </c>
      <c r="T309" s="84" t="str" cm="1">
        <f t="array" ref="T309">IFERROR(VLOOKUP($A309,'The List'!$B1:$AS671,27,FALSE)," ")</f>
        <v xml:space="preserve"> </v>
      </c>
      <c r="U309" s="84" t="str" cm="1">
        <f t="array" ref="U309">IFERROR(VLOOKUP($A309,'The List'!$B1:$AS671,28,FALSE)," ")</f>
        <v xml:space="preserve"> </v>
      </c>
      <c r="V309" s="84" t="str" cm="1">
        <f t="array" ref="V309">IFERROR(VLOOKUP($A309,'The List'!$B1:$AS671,29,FALSE)," ")</f>
        <v xml:space="preserve"> </v>
      </c>
      <c r="W309" s="84" t="str" cm="1">
        <f t="array" ref="W309">IFERROR(VLOOKUP($A309,'The List'!$B1:$AS671,30,FALSE)," ")</f>
        <v xml:space="preserve"> </v>
      </c>
      <c r="X309" s="84" t="str" cm="1">
        <f t="array" ref="X309">IFERROR(VLOOKUP($A309,'The List'!$B1:$AS671,31,FALSE)," ")</f>
        <v xml:space="preserve"> </v>
      </c>
      <c r="Y309" s="84" t="str" cm="1">
        <f t="array" ref="Y309">IFERROR(VLOOKUP($A309,'The List'!$B1:$AS671,32,FALSE)," ")</f>
        <v xml:space="preserve"> </v>
      </c>
      <c r="Z309" s="84" t="str" cm="1">
        <f t="array" ref="Z309">IFERROR(VLOOKUP($A309,'The List'!$B1:$AS671,33,FALSE)," ")</f>
        <v xml:space="preserve"> </v>
      </c>
      <c r="AA309" s="85"/>
      <c r="AB309" s="90"/>
      <c r="AC309" s="90"/>
      <c r="AD309" s="90"/>
      <c r="AE309" s="90"/>
      <c r="AF309" s="90"/>
    </row>
    <row r="310" spans="1:32" ht="21.25" customHeight="1" x14ac:dyDescent="0.15">
      <c r="A310" s="24"/>
      <c r="B310" s="99" t="str" cm="1">
        <f t="array" ref="B310">IFERROR(VLOOKUP($A310,'The List'!$B1:$AS671,3,FALSE)," ")</f>
        <v xml:space="preserve"> </v>
      </c>
      <c r="C310" s="101" t="str" cm="1">
        <f t="array" ref="C310">IFERROR(VLOOKUP($A310,'The List'!$B1:$AS671,4,FALSE)," ")</f>
        <v xml:space="preserve"> </v>
      </c>
      <c r="D310" s="18" t="str" cm="1">
        <f t="array" ref="D310">IFERROR(VLOOKUP($A310,'The List'!$B1:$AS671,5,FALSE)," ")</f>
        <v xml:space="preserve"> </v>
      </c>
      <c r="E310" s="18" t="str" cm="1">
        <f t="array" ref="E310">IFERROR(VLOOKUP($A310,'The List'!$B1:$AS671,6,FALSE)," ")</f>
        <v xml:space="preserve"> </v>
      </c>
      <c r="F310" s="92" t="str" cm="1">
        <f t="array" ref="F310">IFERROR(VLOOKUP($A310,'The List'!$B1:$AS671,8,FALSE)," ")</f>
        <v xml:space="preserve"> </v>
      </c>
      <c r="G310" s="92" t="str" cm="1">
        <f t="array" ref="G310">IFERROR(VLOOKUP($A310,'The List'!$B1:$AS671,10,FALSE)," ")</f>
        <v xml:space="preserve"> </v>
      </c>
      <c r="H310" s="55"/>
      <c r="I310" s="84" t="str" cm="1">
        <f t="array" ref="I310">IFERROR(VLOOKUP($A310,'The List'!$B1:$AS671,16,FALSE)," ")</f>
        <v xml:space="preserve"> </v>
      </c>
      <c r="J310" s="84" t="str" cm="1">
        <f t="array" ref="J310">IFERROR(VLOOKUP($A310,'The List'!$B1:$AS671,17,FALSE)," ")</f>
        <v xml:space="preserve"> </v>
      </c>
      <c r="K310" s="84" t="str" cm="1">
        <f t="array" ref="K310">IFERROR(VLOOKUP($A310,'The List'!$B1:$AS671,18,FALSE)," ")</f>
        <v xml:space="preserve"> </v>
      </c>
      <c r="L310" s="84" t="str" cm="1">
        <f t="array" ref="L310">IFERROR(VLOOKUP($A310,'The List'!$B1:$AS671,19,FALSE)," ")</f>
        <v xml:space="preserve"> </v>
      </c>
      <c r="M310" s="84" t="str" cm="1">
        <f t="array" ref="M310">IFERROR(VLOOKUP($A310,'The List'!$B1:$AS671,20,FALSE)," ")</f>
        <v xml:space="preserve"> </v>
      </c>
      <c r="N310" s="84" t="str" cm="1">
        <f t="array" ref="N310">IFERROR(VLOOKUP($A310,'The List'!$B1:$AS671,21,FALSE)," ")</f>
        <v xml:space="preserve"> </v>
      </c>
      <c r="O310" s="84" t="str" cm="1">
        <f t="array" ref="O310">IFERROR(VLOOKUP($A310,'The List'!$B1:$AS671,22,FALSE)," ")</f>
        <v xml:space="preserve"> </v>
      </c>
      <c r="P310" s="84" t="str" cm="1">
        <f t="array" ref="P310">IFERROR(VLOOKUP($A310,'The List'!$B1:$AS671,23,FALSE)," ")</f>
        <v xml:space="preserve"> </v>
      </c>
      <c r="Q310" s="84" t="str" cm="1">
        <f t="array" ref="Q310">IFERROR(VLOOKUP($A310,'The List'!$B1:$AS671,24,FALSE)," ")</f>
        <v xml:space="preserve"> </v>
      </c>
      <c r="R310" s="84" t="str" cm="1">
        <f t="array" ref="R310">IFERROR(VLOOKUP($A310,'The List'!$B1:$AS671,25,FALSE)," ")</f>
        <v xml:space="preserve"> </v>
      </c>
      <c r="S310" s="84" t="str" cm="1">
        <f t="array" ref="S310">IFERROR(VLOOKUP($A310,'The List'!$B1:$AS671,26,FALSE)," ")</f>
        <v xml:space="preserve"> </v>
      </c>
      <c r="T310" s="84" t="str" cm="1">
        <f t="array" ref="T310">IFERROR(VLOOKUP($A310,'The List'!$B1:$AS671,27,FALSE)," ")</f>
        <v xml:space="preserve"> </v>
      </c>
      <c r="U310" s="84" t="str" cm="1">
        <f t="array" ref="U310">IFERROR(VLOOKUP($A310,'The List'!$B1:$AS671,28,FALSE)," ")</f>
        <v xml:space="preserve"> </v>
      </c>
      <c r="V310" s="84" t="str" cm="1">
        <f t="array" ref="V310">IFERROR(VLOOKUP($A310,'The List'!$B1:$AS671,29,FALSE)," ")</f>
        <v xml:space="preserve"> </v>
      </c>
      <c r="W310" s="84" t="str" cm="1">
        <f t="array" ref="W310">IFERROR(VLOOKUP($A310,'The List'!$B1:$AS671,30,FALSE)," ")</f>
        <v xml:space="preserve"> </v>
      </c>
      <c r="X310" s="84" t="str" cm="1">
        <f t="array" ref="X310">IFERROR(VLOOKUP($A310,'The List'!$B1:$AS671,31,FALSE)," ")</f>
        <v xml:space="preserve"> </v>
      </c>
      <c r="Y310" s="84" t="str" cm="1">
        <f t="array" ref="Y310">IFERROR(VLOOKUP($A310,'The List'!$B1:$AS671,32,FALSE)," ")</f>
        <v xml:space="preserve"> </v>
      </c>
      <c r="Z310" s="84" t="str" cm="1">
        <f t="array" ref="Z310">IFERROR(VLOOKUP($A310,'The List'!$B1:$AS671,33,FALSE)," ")</f>
        <v xml:space="preserve"> </v>
      </c>
      <c r="AA310" s="85"/>
      <c r="AB310" s="90"/>
      <c r="AC310" s="90"/>
      <c r="AD310" s="90"/>
      <c r="AE310" s="90"/>
      <c r="AF310" s="90"/>
    </row>
    <row r="311" spans="1:32" ht="21.25" customHeight="1" x14ac:dyDescent="0.15">
      <c r="A311" s="103"/>
      <c r="B311" s="104" t="str" cm="1">
        <f t="array" ref="B311">IFERROR(VLOOKUP($A311,'The List'!$B1:$AS671,3,FALSE)," ")</f>
        <v xml:space="preserve"> </v>
      </c>
      <c r="C311" s="105" t="str" cm="1">
        <f t="array" ref="C311">IFERROR(VLOOKUP($A311,'The List'!$B1:$AS671,4,FALSE)," ")</f>
        <v xml:space="preserve"> </v>
      </c>
      <c r="D311" s="106" t="str" cm="1">
        <f t="array" ref="D311">IFERROR(VLOOKUP($A311,'The List'!$B1:$AS671,5,FALSE)," ")</f>
        <v xml:space="preserve"> </v>
      </c>
      <c r="E311" s="106" t="str" cm="1">
        <f t="array" ref="E311">IFERROR(VLOOKUP($A311,'The List'!$B1:$AS671,6,FALSE)," ")</f>
        <v xml:space="preserve"> </v>
      </c>
      <c r="F311" s="107" t="str" cm="1">
        <f t="array" ref="F311">IFERROR(VLOOKUP($A311,'The List'!$B1:$AS671,8,FALSE)," ")</f>
        <v xml:space="preserve"> </v>
      </c>
      <c r="G311" s="107" t="str" cm="1">
        <f t="array" ref="G311">IFERROR(VLOOKUP($A311,'The List'!$B1:$AS671,10,FALSE)," ")</f>
        <v xml:space="preserve"> </v>
      </c>
      <c r="H311" s="108"/>
      <c r="I311" s="109" t="str" cm="1">
        <f t="array" ref="I311">IFERROR(VLOOKUP($A311,'The List'!$B1:$AS671,16,FALSE)," ")</f>
        <v xml:space="preserve"> </v>
      </c>
      <c r="J311" s="109" t="str" cm="1">
        <f t="array" ref="J311">IFERROR(VLOOKUP($A311,'The List'!$B1:$AS671,17,FALSE)," ")</f>
        <v xml:space="preserve"> </v>
      </c>
      <c r="K311" s="109" t="str" cm="1">
        <f t="array" ref="K311">IFERROR(VLOOKUP($A311,'The List'!$B1:$AS671,18,FALSE)," ")</f>
        <v xml:space="preserve"> </v>
      </c>
      <c r="L311" s="109" t="str" cm="1">
        <f t="array" ref="L311">IFERROR(VLOOKUP($A311,'The List'!$B1:$AS671,19,FALSE)," ")</f>
        <v xml:space="preserve"> </v>
      </c>
      <c r="M311" s="109" t="str" cm="1">
        <f t="array" ref="M311">IFERROR(VLOOKUP($A311,'The List'!$B1:$AS671,20,FALSE)," ")</f>
        <v xml:space="preserve"> </v>
      </c>
      <c r="N311" s="109" t="str" cm="1">
        <f t="array" ref="N311">IFERROR(VLOOKUP($A311,'The List'!$B1:$AS671,21,FALSE)," ")</f>
        <v xml:space="preserve"> </v>
      </c>
      <c r="O311" s="109" t="str" cm="1">
        <f t="array" ref="O311">IFERROR(VLOOKUP($A311,'The List'!$B1:$AS671,22,FALSE)," ")</f>
        <v xml:space="preserve"> </v>
      </c>
      <c r="P311" s="109" t="str" cm="1">
        <f t="array" ref="P311">IFERROR(VLOOKUP($A311,'The List'!$B1:$AS671,23,FALSE)," ")</f>
        <v xml:space="preserve"> </v>
      </c>
      <c r="Q311" s="109" t="str" cm="1">
        <f t="array" ref="Q311">IFERROR(VLOOKUP($A311,'The List'!$B1:$AS671,24,FALSE)," ")</f>
        <v xml:space="preserve"> </v>
      </c>
      <c r="R311" s="109" t="str" cm="1">
        <f t="array" ref="R311">IFERROR(VLOOKUP($A311,'The List'!$B1:$AS671,25,FALSE)," ")</f>
        <v xml:space="preserve"> </v>
      </c>
      <c r="S311" s="109" t="str" cm="1">
        <f t="array" ref="S311">IFERROR(VLOOKUP($A311,'The List'!$B1:$AS671,26,FALSE)," ")</f>
        <v xml:space="preserve"> </v>
      </c>
      <c r="T311" s="109" t="str" cm="1">
        <f t="array" ref="T311">IFERROR(VLOOKUP($A311,'The List'!$B1:$AS671,27,FALSE)," ")</f>
        <v xml:space="preserve"> </v>
      </c>
      <c r="U311" s="109" t="str" cm="1">
        <f t="array" ref="U311">IFERROR(VLOOKUP($A311,'The List'!$B1:$AS671,28,FALSE)," ")</f>
        <v xml:space="preserve"> </v>
      </c>
      <c r="V311" s="109" t="str" cm="1">
        <f t="array" ref="V311">IFERROR(VLOOKUP($A311,'The List'!$B1:$AS671,29,FALSE)," ")</f>
        <v xml:space="preserve"> </v>
      </c>
      <c r="W311" s="109" t="str" cm="1">
        <f t="array" ref="W311">IFERROR(VLOOKUP($A311,'The List'!$B1:$AS671,30,FALSE)," ")</f>
        <v xml:space="preserve"> </v>
      </c>
      <c r="X311" s="109" t="str" cm="1">
        <f t="array" ref="X311">IFERROR(VLOOKUP($A311,'The List'!$B1:$AS671,31,FALSE)," ")</f>
        <v xml:space="preserve"> </v>
      </c>
      <c r="Y311" s="109" t="str" cm="1">
        <f t="array" ref="Y311">IFERROR(VLOOKUP($A311,'The List'!$B1:$AS671,32,FALSE)," ")</f>
        <v xml:space="preserve"> </v>
      </c>
      <c r="Z311" s="109" t="str" cm="1">
        <f t="array" ref="Z311">IFERROR(VLOOKUP($A311,'The List'!$B1:$AS671,33,FALSE)," ")</f>
        <v xml:space="preserve"> </v>
      </c>
      <c r="AA311" s="85"/>
      <c r="AB311" s="90"/>
      <c r="AC311" s="90"/>
      <c r="AD311" s="90"/>
      <c r="AE311" s="90"/>
      <c r="AF311" s="90"/>
    </row>
    <row r="312" spans="1:32" ht="21.25" customHeight="1" x14ac:dyDescent="0.15">
      <c r="A312" s="110"/>
      <c r="B312" s="111"/>
      <c r="C312" s="112"/>
      <c r="D312" s="113"/>
      <c r="E312" s="113" t="str" cm="1">
        <f t="array" ref="E312">IFERROR(AVERAGE(E292:E311)," ")</f>
        <v xml:space="preserve"> </v>
      </c>
      <c r="F312" s="115" cm="1">
        <f t="array" ref="F312">SUM(F292:F311)</f>
        <v>0</v>
      </c>
      <c r="G312" s="115" cm="1">
        <f t="array" ref="G312">SUM(G292:G311)</f>
        <v>0</v>
      </c>
      <c r="H312" s="116"/>
      <c r="I312" s="117" cm="1">
        <f t="array" ref="I312">SUM(I292:I311)</f>
        <v>0</v>
      </c>
      <c r="J312" s="116" t="e" cm="1">
        <f t="array" ref="J312">AVERAGE(J292:J311)</f>
        <v>#DIV/0!</v>
      </c>
      <c r="K312" s="117" cm="1">
        <f t="array" ref="K312">SUM(K292:K311)</f>
        <v>0</v>
      </c>
      <c r="L312" s="117" cm="1">
        <f t="array" ref="L312">SUM(L292:L311)</f>
        <v>0</v>
      </c>
      <c r="M312" s="117" cm="1">
        <f t="array" ref="M312">SUM(M292:M311)</f>
        <v>0</v>
      </c>
      <c r="N312" s="117" cm="1">
        <f t="array" ref="N312">SUM(N292:N311)</f>
        <v>0</v>
      </c>
      <c r="O312" s="117" cm="1">
        <f t="array" ref="O312">SUM(O292:O311)</f>
        <v>0</v>
      </c>
      <c r="P312" s="117" cm="1">
        <f t="array" ref="P312">SUM(P292:P311)</f>
        <v>0</v>
      </c>
      <c r="Q312" s="117" cm="1">
        <f t="array" ref="Q312">SUM(Q292:Q311)</f>
        <v>0</v>
      </c>
      <c r="R312" s="117" cm="1">
        <f t="array" ref="R312">SUM(R292:R311)</f>
        <v>0</v>
      </c>
      <c r="S312" s="117" cm="1">
        <f t="array" ref="S312">SUM(S292:S311)</f>
        <v>0</v>
      </c>
      <c r="T312" s="117" cm="1">
        <f t="array" ref="T312">SUM(T292:T311)</f>
        <v>0</v>
      </c>
      <c r="U312" s="117" cm="1">
        <f t="array" ref="U312">SUM(U292:U311)</f>
        <v>0</v>
      </c>
      <c r="V312" s="117" cm="1">
        <f t="array" ref="V312">SUM(V292:V311)</f>
        <v>0</v>
      </c>
      <c r="W312" s="117" cm="1">
        <f t="array" ref="W312">SUM(W292:W311)</f>
        <v>0</v>
      </c>
      <c r="X312" s="117" cm="1">
        <f t="array" ref="X312">SUM(X292:X311)</f>
        <v>0</v>
      </c>
      <c r="Y312" s="117" cm="1">
        <f t="array" ref="Y312">SUM(Y292:Y311)</f>
        <v>0</v>
      </c>
      <c r="Z312" s="118" cm="1">
        <f t="array" ref="Z312">IFERROR(X312/(X312+Y312),0)</f>
        <v>0</v>
      </c>
      <c r="AA312" s="85"/>
      <c r="AB312" s="119"/>
      <c r="AC312" s="119"/>
      <c r="AD312" s="119"/>
      <c r="AE312" s="119"/>
      <c r="AF312" s="119"/>
    </row>
    <row r="313" spans="1:32" ht="21.25" customHeight="1" x14ac:dyDescent="0.15">
      <c r="A313" s="37"/>
      <c r="B313" s="120"/>
      <c r="C313" s="121"/>
      <c r="D313" s="13"/>
      <c r="E313" s="13"/>
      <c r="F313" s="122"/>
      <c r="G313" s="123"/>
      <c r="H313" s="124"/>
      <c r="I313" s="12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90"/>
      <c r="AC313" s="90"/>
      <c r="AD313" s="90"/>
      <c r="AE313" s="90"/>
      <c r="AF313" s="90"/>
    </row>
    <row r="314" spans="1:32" ht="21.25" customHeight="1" x14ac:dyDescent="0.15">
      <c r="A314" s="40" t="s">
        <v>90</v>
      </c>
      <c r="B314" s="204" t="s">
        <v>92</v>
      </c>
      <c r="C314" s="194"/>
      <c r="D314" s="126" t="s">
        <v>93</v>
      </c>
      <c r="E314" s="126" t="s">
        <v>94</v>
      </c>
      <c r="F314" s="127" t="s">
        <v>96</v>
      </c>
      <c r="G314" s="127" t="s">
        <v>98</v>
      </c>
      <c r="H314" s="128"/>
      <c r="I314" s="129" t="s">
        <v>103</v>
      </c>
      <c r="J314" s="129" t="s">
        <v>118</v>
      </c>
      <c r="K314" s="129" t="s">
        <v>119</v>
      </c>
      <c r="L314" s="129" t="s">
        <v>120</v>
      </c>
      <c r="M314" s="129" t="s">
        <v>121</v>
      </c>
      <c r="N314" s="129" t="s">
        <v>122</v>
      </c>
      <c r="O314" s="129" t="s">
        <v>123</v>
      </c>
      <c r="P314" s="129" t="s">
        <v>124</v>
      </c>
      <c r="Q314" s="129" t="s">
        <v>125</v>
      </c>
      <c r="R314" s="85"/>
      <c r="S314" s="85"/>
      <c r="T314" s="85"/>
      <c r="U314" s="204" t="s">
        <v>814</v>
      </c>
      <c r="V314" s="205"/>
      <c r="W314" s="205"/>
      <c r="X314" s="204" t="s">
        <v>815</v>
      </c>
      <c r="Y314" s="205"/>
      <c r="Z314" s="205"/>
      <c r="AA314" s="85"/>
      <c r="AB314" s="85"/>
      <c r="AC314" s="85"/>
      <c r="AD314" s="85"/>
      <c r="AE314" s="85"/>
      <c r="AF314" s="85"/>
    </row>
    <row r="315" spans="1:32" ht="21.25" customHeight="1" x14ac:dyDescent="0.15">
      <c r="A315" s="146"/>
      <c r="B315" s="131" t="str" cm="1">
        <f t="array" ref="B315">IFERROR(VLOOKUP($A315,'The List'!$B1:$AS671,3,FALSE)," ")</f>
        <v xml:space="preserve"> </v>
      </c>
      <c r="C315" s="147" t="str" cm="1">
        <f t="array" ref="C315">IFERROR(VLOOKUP($A315,'The List'!$B1:$AS671,4,FALSE)," ")</f>
        <v xml:space="preserve"> </v>
      </c>
      <c r="D315" s="133" t="str" cm="1">
        <f t="array" ref="D315">IFERROR(VLOOKUP($A315,'The List'!$B1:$AS671,5,FALSE)," ")</f>
        <v xml:space="preserve"> </v>
      </c>
      <c r="E315" s="133" t="str" cm="1">
        <f t="array" ref="E315">IFERROR(VLOOKUP($A315,'The List'!$B1:$AS671,6,FALSE)," ")</f>
        <v xml:space="preserve"> </v>
      </c>
      <c r="F315" s="148" t="str" cm="1">
        <f t="array" ref="F315">IFERROR(VLOOKUP($A315,'The List'!$B1:$AS671,8,FALSE)," ")</f>
        <v xml:space="preserve"> </v>
      </c>
      <c r="G315" s="148" t="str" cm="1">
        <f t="array" ref="G315">IFERROR(VLOOKUP($A315,'The List'!$B1:$AS671,10,FALSE)," ")</f>
        <v xml:space="preserve"> </v>
      </c>
      <c r="H315" s="82"/>
      <c r="I315" s="149" t="str" cm="1">
        <f t="array" ref="I315">IFERROR(VLOOKUP($A315,'The List'!$B1:$AS671,35,FALSE)," ")</f>
        <v xml:space="preserve"> </v>
      </c>
      <c r="J315" s="149" t="str" cm="1">
        <f t="array" ref="J315">IFERROR(VLOOKUP($A315,'The List'!$B1:$AS671,36,FALSE)," ")</f>
        <v xml:space="preserve"> </v>
      </c>
      <c r="K315" s="149" t="str" cm="1">
        <f t="array" ref="K315">IFERROR(VLOOKUP($A315,'The List'!$B1:$AS671,37,FALSE)," ")</f>
        <v xml:space="preserve"> </v>
      </c>
      <c r="L315" s="149" t="str" cm="1">
        <f t="array" ref="L315">IFERROR(VLOOKUP($A315,'The List'!$B1:$AS671,38,FALSE)," ")</f>
        <v xml:space="preserve"> </v>
      </c>
      <c r="M315" s="149" t="str" cm="1">
        <f t="array" ref="M315">IFERROR(VLOOKUP($A315,'The List'!$B1:$AS671,39,FALSE)," ")</f>
        <v xml:space="preserve"> </v>
      </c>
      <c r="N315" s="149" t="str" cm="1">
        <f t="array" ref="N315">IFERROR(VLOOKUP($A315,'The List'!$B1:$AS671,40,FALSE)," ")</f>
        <v xml:space="preserve"> </v>
      </c>
      <c r="O315" s="149" t="str" cm="1">
        <f t="array" ref="O315">IFERROR(VLOOKUP($A315,'The List'!$B1:$AS671,41,FALSE)," ")</f>
        <v xml:space="preserve"> </v>
      </c>
      <c r="P315" s="149" t="str" cm="1">
        <f t="array" ref="P315">IFERROR(VLOOKUP($A315,'The List'!$B1:$AS671,42,FALSE)," ")</f>
        <v xml:space="preserve"> </v>
      </c>
      <c r="Q315" s="149" t="str" cm="1">
        <f t="array" ref="Q315">IFERROR(VLOOKUP($A315,'The List'!$B1:$AS671,43,FALSE)," ")</f>
        <v xml:space="preserve"> </v>
      </c>
      <c r="R315" s="85"/>
      <c r="S315" s="85"/>
      <c r="T315" s="139" t="str" cm="1">
        <f t="array" ref="T315">A291</f>
        <v>TEAM 11</v>
      </c>
      <c r="U315" s="206" cm="1">
        <f t="array" ref="U315">F312+F318</f>
        <v>0</v>
      </c>
      <c r="V315" s="194"/>
      <c r="W315" s="194"/>
      <c r="X315" s="206" cm="1">
        <f t="array" ref="X315">G318+G312</f>
        <v>0</v>
      </c>
      <c r="Y315" s="194"/>
      <c r="Z315" s="194"/>
      <c r="AA315" s="85"/>
      <c r="AB315" s="85"/>
      <c r="AC315" s="85"/>
      <c r="AD315" s="85"/>
      <c r="AE315" s="85"/>
      <c r="AF315" s="85"/>
    </row>
    <row r="316" spans="1:32" ht="21.25" customHeight="1" x14ac:dyDescent="0.15">
      <c r="A316" s="24"/>
      <c r="B316" s="140" t="str" cm="1">
        <f t="array" ref="B316">IFERROR(VLOOKUP($A316,'The List'!$B1:$AS671,3,FALSE)," ")</f>
        <v xml:space="preserve"> </v>
      </c>
      <c r="C316" s="141" t="str" cm="1">
        <f t="array" ref="C316">IFERROR(VLOOKUP($A316,'The List'!$B1:$AS671,4,FALSE)," ")</f>
        <v xml:space="preserve"> </v>
      </c>
      <c r="D316" s="18" t="str" cm="1">
        <f t="array" ref="D316">IFERROR(VLOOKUP($A316,'The List'!$B1:$AS671,5,FALSE)," ")</f>
        <v xml:space="preserve"> </v>
      </c>
      <c r="E316" s="18" t="str" cm="1">
        <f t="array" ref="E316">IFERROR(VLOOKUP($A316,'The List'!$B1:$AS671,6,FALSE)," ")</f>
        <v xml:space="preserve"> </v>
      </c>
      <c r="F316" s="92" t="str" cm="1">
        <f t="array" ref="F316">IFERROR(VLOOKUP($A316,'The List'!$B1:$AS671,8,FALSE)," ")</f>
        <v xml:space="preserve"> </v>
      </c>
      <c r="G316" s="92" t="str" cm="1">
        <f t="array" ref="G316">IFERROR(VLOOKUP($A316,'The List'!$B1:$AS671,10,FALSE)," ")</f>
        <v xml:space="preserve"> </v>
      </c>
      <c r="H316" s="55"/>
      <c r="I316" s="84" t="str" cm="1">
        <f t="array" ref="I316">IFERROR(VLOOKUP($A316,'The List'!$B1:$AS671,35,FALSE)," ")</f>
        <v xml:space="preserve"> </v>
      </c>
      <c r="J316" s="84" t="str" cm="1">
        <f t="array" ref="J316">IFERROR(VLOOKUP($A316,'The List'!$B1:$AS671,36,FALSE)," ")</f>
        <v xml:space="preserve"> </v>
      </c>
      <c r="K316" s="84" t="str" cm="1">
        <f t="array" ref="K316">IFERROR(VLOOKUP($A316,'The List'!$B1:$AS671,37,FALSE)," ")</f>
        <v xml:space="preserve"> </v>
      </c>
      <c r="L316" s="84" t="str" cm="1">
        <f t="array" ref="L316">IFERROR(VLOOKUP($A316,'The List'!$B1:$AS671,38,FALSE)," ")</f>
        <v xml:space="preserve"> </v>
      </c>
      <c r="M316" s="84" t="str" cm="1">
        <f t="array" ref="M316">IFERROR(VLOOKUP($A316,'The List'!$B1:$AS671,39,FALSE)," ")</f>
        <v xml:space="preserve"> </v>
      </c>
      <c r="N316" s="84" t="str" cm="1">
        <f t="array" ref="N316">IFERROR(VLOOKUP($A316,'The List'!$B1:$AS671,40,FALSE)," ")</f>
        <v xml:space="preserve"> </v>
      </c>
      <c r="O316" s="84" t="str" cm="1">
        <f t="array" ref="O316">IFERROR(VLOOKUP($A316,'The List'!$B1:$AS671,41,FALSE)," ")</f>
        <v xml:space="preserve"> </v>
      </c>
      <c r="P316" s="84" t="str" cm="1">
        <f t="array" ref="P316">IFERROR(VLOOKUP($A316,'The List'!$B1:$AS671,42,FALSE)," ")</f>
        <v xml:space="preserve"> </v>
      </c>
      <c r="Q316" s="84" t="str" cm="1">
        <f t="array" ref="Q316">IFERROR(VLOOKUP($A316,'The List'!$B1:$AS671,43,FALSE)," ")</f>
        <v xml:space="preserve"> </v>
      </c>
      <c r="R316" s="85"/>
      <c r="S316" s="85"/>
      <c r="T316" s="85"/>
      <c r="U316" s="194"/>
      <c r="V316" s="194"/>
      <c r="W316" s="194"/>
      <c r="X316" s="194"/>
      <c r="Y316" s="194"/>
      <c r="Z316" s="194"/>
      <c r="AA316" s="85"/>
      <c r="AB316" s="85"/>
      <c r="AC316" s="85"/>
      <c r="AD316" s="85"/>
      <c r="AE316" s="85"/>
      <c r="AF316" s="85"/>
    </row>
    <row r="317" spans="1:32" ht="21.25" customHeight="1" x14ac:dyDescent="0.15">
      <c r="A317" s="103"/>
      <c r="B317" s="142" t="str" cm="1">
        <f t="array" ref="B317">IFERROR(VLOOKUP($A317,'The List'!$B1:$AS671,3,FALSE)," ")</f>
        <v xml:space="preserve"> </v>
      </c>
      <c r="C317" s="143" t="str" cm="1">
        <f t="array" ref="C317">IFERROR(VLOOKUP($A317,'The List'!$B1:$AS671,4,FALSE)," ")</f>
        <v xml:space="preserve"> </v>
      </c>
      <c r="D317" s="106" t="str" cm="1">
        <f t="array" ref="D317">IFERROR(VLOOKUP($A317,'The List'!$B1:$AS671,5,FALSE)," ")</f>
        <v xml:space="preserve"> </v>
      </c>
      <c r="E317" s="106" t="str" cm="1">
        <f t="array" ref="E317">IFERROR(VLOOKUP($A317,'The List'!$B1:$AS671,6,FALSE)," ")</f>
        <v xml:space="preserve"> </v>
      </c>
      <c r="F317" s="107" t="str" cm="1">
        <f t="array" ref="F317">IFERROR(VLOOKUP($A317,'The List'!$B1:$AS671,8,FALSE)," ")</f>
        <v xml:space="preserve"> </v>
      </c>
      <c r="G317" s="107" t="str" cm="1">
        <f t="array" ref="G317">IFERROR(VLOOKUP($A317,'The List'!$B1:$AS671,10,FALSE)," ")</f>
        <v xml:space="preserve"> </v>
      </c>
      <c r="H317" s="108"/>
      <c r="I317" s="109" t="str" cm="1">
        <f t="array" ref="I317">IFERROR(VLOOKUP($A317,'The List'!$B1:$AS671,35,FALSE)," ")</f>
        <v xml:space="preserve"> </v>
      </c>
      <c r="J317" s="109" t="str" cm="1">
        <f t="array" ref="J317">IFERROR(VLOOKUP($A317,'The List'!$B1:$AS671,36,FALSE)," ")</f>
        <v xml:space="preserve"> </v>
      </c>
      <c r="K317" s="109" t="str" cm="1">
        <f t="array" ref="K317">IFERROR(VLOOKUP($A317,'The List'!$B1:$AS671,37,FALSE)," ")</f>
        <v xml:space="preserve"> </v>
      </c>
      <c r="L317" s="109" t="str" cm="1">
        <f t="array" ref="L317">IFERROR(VLOOKUP($A317,'The List'!$B1:$AS671,38,FALSE)," ")</f>
        <v xml:space="preserve"> </v>
      </c>
      <c r="M317" s="109" t="str" cm="1">
        <f t="array" ref="M317">IFERROR(VLOOKUP($A317,'The List'!$B1:$AS671,39,FALSE)," ")</f>
        <v xml:space="preserve"> </v>
      </c>
      <c r="N317" s="109" t="str" cm="1">
        <f t="array" ref="N317">IFERROR(VLOOKUP($A317,'The List'!$B1:$AS671,40,FALSE)," ")</f>
        <v xml:space="preserve"> </v>
      </c>
      <c r="O317" s="109" t="str" cm="1">
        <f t="array" ref="O317">IFERROR(VLOOKUP($A317,'The List'!$B1:$AS671,41,FALSE)," ")</f>
        <v xml:space="preserve"> </v>
      </c>
      <c r="P317" s="109" t="str" cm="1">
        <f t="array" ref="P317">IFERROR(VLOOKUP($A317,'The List'!$B1:$AS671,42,FALSE)," ")</f>
        <v xml:space="preserve"> </v>
      </c>
      <c r="Q317" s="109" t="str" cm="1">
        <f t="array" ref="Q317">IFERROR(VLOOKUP($A317,'The List'!$B1:$AS671,43,FALSE)," ")</f>
        <v xml:space="preserve"> </v>
      </c>
      <c r="R317" s="85"/>
      <c r="S317" s="85"/>
      <c r="T317" s="85"/>
      <c r="U317" s="194"/>
      <c r="V317" s="194"/>
      <c r="W317" s="194"/>
      <c r="X317" s="194"/>
      <c r="Y317" s="194"/>
      <c r="Z317" s="194"/>
      <c r="AA317" s="85"/>
      <c r="AB317" s="85"/>
      <c r="AC317" s="85"/>
      <c r="AD317" s="85"/>
      <c r="AE317" s="85"/>
      <c r="AF317" s="85"/>
    </row>
    <row r="318" spans="1:32" ht="21.25" customHeight="1" x14ac:dyDescent="0.15">
      <c r="A318" s="110"/>
      <c r="B318" s="111"/>
      <c r="C318" s="112"/>
      <c r="D318" s="113"/>
      <c r="E318" s="113" t="str" cm="1">
        <f t="array" ref="E318">IFERROR(AVERAGE(E315:E317)," ")</f>
        <v xml:space="preserve"> </v>
      </c>
      <c r="F318" s="115" cm="1">
        <f t="array" ref="F318">SUM(F315:F317)</f>
        <v>0</v>
      </c>
      <c r="G318" s="115" cm="1">
        <f t="array" ref="G318">SUM(G315:G317)</f>
        <v>0</v>
      </c>
      <c r="H318" s="116"/>
      <c r="I318" s="117" cm="1">
        <f t="array" ref="I318">SUM(I315:I317)</f>
        <v>0</v>
      </c>
      <c r="J318" s="116" cm="1">
        <f t="array" ref="J318">SUM(J315:J317)</f>
        <v>0</v>
      </c>
      <c r="K318" s="117" cm="1">
        <f t="array" ref="K318">SUM(K315:K317)</f>
        <v>0</v>
      </c>
      <c r="L318" s="117" cm="1">
        <f t="array" ref="L318">SUM(L315:L317)</f>
        <v>0</v>
      </c>
      <c r="M318" s="117" cm="1">
        <f t="array" ref="M318">SUM(M315:M317)</f>
        <v>0</v>
      </c>
      <c r="N318" s="117" cm="1">
        <f t="array" ref="N318">SUM(N315:N317)</f>
        <v>0</v>
      </c>
      <c r="O318" s="117" cm="1">
        <f t="array" ref="O318">SUM(O315:O317)</f>
        <v>0</v>
      </c>
      <c r="P318" s="144" t="e" cm="1">
        <f t="array" ref="P318">1-(O318/(N318+O318))</f>
        <v>#DIV/0!</v>
      </c>
      <c r="Q318" s="145" t="e" cm="1">
        <f t="array" ref="Q318">O318/I318</f>
        <v>#DIV/0!</v>
      </c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</row>
    <row r="319" spans="1:32" ht="70.75" customHeight="1" x14ac:dyDescent="0.15">
      <c r="A319" s="37"/>
      <c r="B319" s="120"/>
      <c r="C319" s="121"/>
      <c r="D319" s="13"/>
      <c r="E319" s="13"/>
      <c r="F319" s="122"/>
      <c r="G319" s="123"/>
      <c r="H319" s="124"/>
      <c r="I319" s="12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90"/>
      <c r="AB319" s="90"/>
      <c r="AC319" s="90"/>
      <c r="AD319" s="90"/>
      <c r="AE319" s="90"/>
      <c r="AF319" s="90"/>
    </row>
    <row r="320" spans="1:32" ht="21.25" customHeight="1" x14ac:dyDescent="0.15">
      <c r="A320" s="41" t="s">
        <v>809</v>
      </c>
      <c r="B320" s="203" t="s">
        <v>92</v>
      </c>
      <c r="C320" s="200"/>
      <c r="D320" s="42" t="s">
        <v>93</v>
      </c>
      <c r="E320" s="42" t="s">
        <v>94</v>
      </c>
      <c r="F320" s="43" t="s">
        <v>96</v>
      </c>
      <c r="G320" s="43" t="s">
        <v>98</v>
      </c>
      <c r="H320" s="44"/>
      <c r="I320" s="46" t="s">
        <v>103</v>
      </c>
      <c r="J320" s="46" t="s">
        <v>56</v>
      </c>
      <c r="K320" s="46" t="s">
        <v>104</v>
      </c>
      <c r="L320" s="46" t="s">
        <v>105</v>
      </c>
      <c r="M320" s="46" t="s">
        <v>106</v>
      </c>
      <c r="N320" s="46" t="s">
        <v>107</v>
      </c>
      <c r="O320" s="46" t="s">
        <v>64</v>
      </c>
      <c r="P320" s="46" t="s">
        <v>67</v>
      </c>
      <c r="Q320" s="46" t="s">
        <v>108</v>
      </c>
      <c r="R320" s="46" t="s">
        <v>109</v>
      </c>
      <c r="S320" s="46" t="s">
        <v>110</v>
      </c>
      <c r="T320" s="46" t="s">
        <v>111</v>
      </c>
      <c r="U320" s="46" t="s">
        <v>112</v>
      </c>
      <c r="V320" s="46" t="s">
        <v>113</v>
      </c>
      <c r="W320" s="46" t="s">
        <v>114</v>
      </c>
      <c r="X320" s="46" t="s">
        <v>115</v>
      </c>
      <c r="Y320" s="46" t="s">
        <v>116</v>
      </c>
      <c r="Z320" s="46" t="s">
        <v>117</v>
      </c>
      <c r="AA320" s="85"/>
      <c r="AB320" s="86"/>
      <c r="AC320" s="86"/>
      <c r="AD320" s="86"/>
      <c r="AE320" s="86"/>
      <c r="AF320" s="86"/>
    </row>
    <row r="321" spans="1:32" ht="21.25" customHeight="1" x14ac:dyDescent="0.15">
      <c r="A321" s="24"/>
      <c r="B321" s="87" t="str" cm="1">
        <f t="array" ref="B321">IFERROR(VLOOKUP($A321,'The List'!$B1:$AS671,3,FALSE)," ")</f>
        <v xml:space="preserve"> </v>
      </c>
      <c r="C321" s="91" t="str" cm="1">
        <f t="array" ref="C321">IFERROR(VLOOKUP($A321,'The List'!$B1:$AS671,4,FALSE)," ")</f>
        <v xml:space="preserve"> </v>
      </c>
      <c r="D321" s="18" t="str" cm="1">
        <f t="array" ref="D321">IFERROR(VLOOKUP($A321,'The List'!$B1:$AS671,5,FALSE)," ")</f>
        <v xml:space="preserve"> </v>
      </c>
      <c r="E321" s="18" t="str" cm="1">
        <f t="array" ref="E321">IFERROR(VLOOKUP($A321,'The List'!$B1:$AS671,6,FALSE)," ")</f>
        <v xml:space="preserve"> </v>
      </c>
      <c r="F321" s="92" t="str" cm="1">
        <f t="array" ref="F321">IFERROR(VLOOKUP($A321,'The List'!$B1:$AS671,8,FALSE)," ")</f>
        <v xml:space="preserve"> </v>
      </c>
      <c r="G321" s="92" t="str" cm="1">
        <f t="array" ref="G321">IFERROR(VLOOKUP($A321,'The List'!$B1:$AS671,10,FALSE)," ")</f>
        <v xml:space="preserve"> </v>
      </c>
      <c r="H321" s="55"/>
      <c r="I321" s="84" t="str" cm="1">
        <f t="array" ref="I321">IFERROR(VLOOKUP($A321,'The List'!$B1:$AS671,16,FALSE)," ")</f>
        <v xml:space="preserve"> </v>
      </c>
      <c r="J321" s="84" t="str" cm="1">
        <f t="array" ref="J321">IFERROR(VLOOKUP($A321,'The List'!$B1:$AS671,17,FALSE)," ")</f>
        <v xml:space="preserve"> </v>
      </c>
      <c r="K321" s="84" t="str" cm="1">
        <f t="array" ref="K321">IFERROR(VLOOKUP($A321,'The List'!$B1:$AS671,18,FALSE)," ")</f>
        <v xml:space="preserve"> </v>
      </c>
      <c r="L321" s="84" t="str" cm="1">
        <f t="array" ref="L321">IFERROR(VLOOKUP($A321,'The List'!$B1:$AS671,19,FALSE)," ")</f>
        <v xml:space="preserve"> </v>
      </c>
      <c r="M321" s="84" t="str" cm="1">
        <f t="array" ref="M321">IFERROR(VLOOKUP($A321,'The List'!$B1:$AS671,20,FALSE)," ")</f>
        <v xml:space="preserve"> </v>
      </c>
      <c r="N321" s="84" t="str" cm="1">
        <f t="array" ref="N321">IFERROR(VLOOKUP($A321,'The List'!$B1:$AS671,21,FALSE)," ")</f>
        <v xml:space="preserve"> </v>
      </c>
      <c r="O321" s="84" t="str" cm="1">
        <f t="array" ref="O321">IFERROR(VLOOKUP($A321,'The List'!$B1:$AS671,22,FALSE)," ")</f>
        <v xml:space="preserve"> </v>
      </c>
      <c r="P321" s="84" t="str" cm="1">
        <f t="array" ref="P321">IFERROR(VLOOKUP($A321,'The List'!$B1:$AS671,23,FALSE)," ")</f>
        <v xml:space="preserve"> </v>
      </c>
      <c r="Q321" s="84" t="str" cm="1">
        <f t="array" ref="Q321">IFERROR(VLOOKUP($A321,'The List'!$B1:$AS671,24,FALSE)," ")</f>
        <v xml:space="preserve"> </v>
      </c>
      <c r="R321" s="84" t="str" cm="1">
        <f t="array" ref="R321">IFERROR(VLOOKUP($A321,'The List'!$B1:$AS671,25,FALSE)," ")</f>
        <v xml:space="preserve"> </v>
      </c>
      <c r="S321" s="84" t="str" cm="1">
        <f t="array" ref="S321">IFERROR(VLOOKUP($A321,'The List'!$B1:$AS671,26,FALSE)," ")</f>
        <v xml:space="preserve"> </v>
      </c>
      <c r="T321" s="84" t="str" cm="1">
        <f t="array" ref="T321">IFERROR(VLOOKUP($A321,'The List'!$B1:$AS671,27,FALSE)," ")</f>
        <v xml:space="preserve"> </v>
      </c>
      <c r="U321" s="84" t="str" cm="1">
        <f t="array" ref="U321">IFERROR(VLOOKUP($A321,'The List'!$B1:$AS671,28,FALSE)," ")</f>
        <v xml:space="preserve"> </v>
      </c>
      <c r="V321" s="84" t="str" cm="1">
        <f t="array" ref="V321">IFERROR(VLOOKUP($A321,'The List'!$B1:$AS671,29,FALSE)," ")</f>
        <v xml:space="preserve"> </v>
      </c>
      <c r="W321" s="84" t="str" cm="1">
        <f t="array" ref="W321">IFERROR(VLOOKUP($A321,'The List'!$B1:$AS671,30,FALSE)," ")</f>
        <v xml:space="preserve"> </v>
      </c>
      <c r="X321" s="84" t="str" cm="1">
        <f t="array" ref="X321">IFERROR(VLOOKUP($A321,'The List'!$B1:$AS671,31,FALSE)," ")</f>
        <v xml:space="preserve"> </v>
      </c>
      <c r="Y321" s="84" t="str" cm="1">
        <f t="array" ref="Y321">IFERROR(VLOOKUP($A321,'The List'!$B1:$AS671,32,FALSE)," ")</f>
        <v xml:space="preserve"> </v>
      </c>
      <c r="Z321" s="84" t="str" cm="1">
        <f t="array" ref="Z321">IFERROR(VLOOKUP($A321,'The List'!$B1:$AS671,33,FALSE)," ")</f>
        <v xml:space="preserve"> </v>
      </c>
      <c r="AA321" s="85"/>
      <c r="AB321" s="90"/>
      <c r="AC321" s="90"/>
      <c r="AD321" s="90"/>
      <c r="AE321" s="90"/>
      <c r="AF321" s="90"/>
    </row>
    <row r="322" spans="1:32" ht="21.25" customHeight="1" x14ac:dyDescent="0.15">
      <c r="A322" s="24"/>
      <c r="B322" s="87" t="str" cm="1">
        <f t="array" ref="B322">IFERROR(VLOOKUP($A322,'The List'!$B1:$AS671,3,FALSE)," ")</f>
        <v xml:space="preserve"> </v>
      </c>
      <c r="C322" s="91" t="str" cm="1">
        <f t="array" ref="C322">IFERROR(VLOOKUP($A322,'The List'!$B1:$AS671,4,FALSE)," ")</f>
        <v xml:space="preserve"> </v>
      </c>
      <c r="D322" s="18" t="str" cm="1">
        <f t="array" ref="D322">IFERROR(VLOOKUP($A322,'The List'!$B1:$AS671,5,FALSE)," ")</f>
        <v xml:space="preserve"> </v>
      </c>
      <c r="E322" s="18" t="str" cm="1">
        <f t="array" ref="E322">IFERROR(VLOOKUP($A322,'The List'!$B1:$AS671,6,FALSE)," ")</f>
        <v xml:space="preserve"> </v>
      </c>
      <c r="F322" s="92" t="str" cm="1">
        <f t="array" ref="F322">IFERROR(VLOOKUP($A322,'The List'!$B1:$AS671,8,FALSE)," ")</f>
        <v xml:space="preserve"> </v>
      </c>
      <c r="G322" s="92" t="str" cm="1">
        <f t="array" ref="G322">IFERROR(VLOOKUP($A322,'The List'!$B1:$AS671,10,FALSE)," ")</f>
        <v xml:space="preserve"> </v>
      </c>
      <c r="H322" s="55"/>
      <c r="I322" s="84" t="str" cm="1">
        <f t="array" ref="I322">IFERROR(VLOOKUP($A322,'The List'!$B1:$AS671,16,FALSE)," ")</f>
        <v xml:space="preserve"> </v>
      </c>
      <c r="J322" s="84" t="str" cm="1">
        <f t="array" ref="J322">IFERROR(VLOOKUP($A322,'The List'!$B1:$AS671,17,FALSE)," ")</f>
        <v xml:space="preserve"> </v>
      </c>
      <c r="K322" s="84" t="str" cm="1">
        <f t="array" ref="K322">IFERROR(VLOOKUP($A322,'The List'!$B1:$AS671,18,FALSE)," ")</f>
        <v xml:space="preserve"> </v>
      </c>
      <c r="L322" s="84" t="str" cm="1">
        <f t="array" ref="L322">IFERROR(VLOOKUP($A322,'The List'!$B1:$AS671,19,FALSE)," ")</f>
        <v xml:space="preserve"> </v>
      </c>
      <c r="M322" s="84" t="str" cm="1">
        <f t="array" ref="M322">IFERROR(VLOOKUP($A322,'The List'!$B1:$AS671,20,FALSE)," ")</f>
        <v xml:space="preserve"> </v>
      </c>
      <c r="N322" s="84" t="str" cm="1">
        <f t="array" ref="N322">IFERROR(VLOOKUP($A322,'The List'!$B1:$AS671,21,FALSE)," ")</f>
        <v xml:space="preserve"> </v>
      </c>
      <c r="O322" s="84" t="str" cm="1">
        <f t="array" ref="O322">IFERROR(VLOOKUP($A322,'The List'!$B1:$AS671,22,FALSE)," ")</f>
        <v xml:space="preserve"> </v>
      </c>
      <c r="P322" s="84" t="str" cm="1">
        <f t="array" ref="P322">IFERROR(VLOOKUP($A322,'The List'!$B1:$AS671,23,FALSE)," ")</f>
        <v xml:space="preserve"> </v>
      </c>
      <c r="Q322" s="84" t="str" cm="1">
        <f t="array" ref="Q322">IFERROR(VLOOKUP($A322,'The List'!$B1:$AS671,24,FALSE)," ")</f>
        <v xml:space="preserve"> </v>
      </c>
      <c r="R322" s="84" t="str" cm="1">
        <f t="array" ref="R322">IFERROR(VLOOKUP($A322,'The List'!$B1:$AS671,25,FALSE)," ")</f>
        <v xml:space="preserve"> </v>
      </c>
      <c r="S322" s="84" t="str" cm="1">
        <f t="array" ref="S322">IFERROR(VLOOKUP($A322,'The List'!$B1:$AS671,26,FALSE)," ")</f>
        <v xml:space="preserve"> </v>
      </c>
      <c r="T322" s="84" t="str" cm="1">
        <f t="array" ref="T322">IFERROR(VLOOKUP($A322,'The List'!$B1:$AS671,27,FALSE)," ")</f>
        <v xml:space="preserve"> </v>
      </c>
      <c r="U322" s="84" t="str" cm="1">
        <f t="array" ref="U322">IFERROR(VLOOKUP($A322,'The List'!$B1:$AS671,28,FALSE)," ")</f>
        <v xml:space="preserve"> </v>
      </c>
      <c r="V322" s="84" t="str" cm="1">
        <f t="array" ref="V322">IFERROR(VLOOKUP($A322,'The List'!$B1:$AS671,29,FALSE)," ")</f>
        <v xml:space="preserve"> </v>
      </c>
      <c r="W322" s="84" t="str" cm="1">
        <f t="array" ref="W322">IFERROR(VLOOKUP($A322,'The List'!$B1:$AS671,30,FALSE)," ")</f>
        <v xml:space="preserve"> </v>
      </c>
      <c r="X322" s="84" t="str" cm="1">
        <f t="array" ref="X322">IFERROR(VLOOKUP($A322,'The List'!$B1:$AS671,31,FALSE)," ")</f>
        <v xml:space="preserve"> </v>
      </c>
      <c r="Y322" s="84" t="str" cm="1">
        <f t="array" ref="Y322">IFERROR(VLOOKUP($A322,'The List'!$B1:$AS671,32,FALSE)," ")</f>
        <v xml:space="preserve"> </v>
      </c>
      <c r="Z322" s="84" t="str" cm="1">
        <f t="array" ref="Z322">IFERROR(VLOOKUP($A322,'The List'!$B1:$AS671,33,FALSE)," ")</f>
        <v xml:space="preserve"> </v>
      </c>
      <c r="AA322" s="85"/>
      <c r="AB322" s="90"/>
      <c r="AC322" s="90"/>
      <c r="AD322" s="90"/>
      <c r="AE322" s="90"/>
      <c r="AF322" s="90"/>
    </row>
    <row r="323" spans="1:32" ht="21.25" customHeight="1" x14ac:dyDescent="0.15">
      <c r="A323" s="24"/>
      <c r="B323" s="87" t="str" cm="1">
        <f t="array" ref="B323">IFERROR(VLOOKUP($A323,'The List'!$B1:$AS671,3,FALSE)," ")</f>
        <v xml:space="preserve"> </v>
      </c>
      <c r="C323" s="91" t="str" cm="1">
        <f t="array" ref="C323">IFERROR(VLOOKUP($A323,'The List'!$B1:$AS671,4,FALSE)," ")</f>
        <v xml:space="preserve"> </v>
      </c>
      <c r="D323" s="18" t="str" cm="1">
        <f t="array" ref="D323">IFERROR(VLOOKUP($A323,'The List'!$B1:$AS671,5,FALSE)," ")</f>
        <v xml:space="preserve"> </v>
      </c>
      <c r="E323" s="18" t="str" cm="1">
        <f t="array" ref="E323">IFERROR(VLOOKUP($A323,'The List'!$B1:$AS671,6,FALSE)," ")</f>
        <v xml:space="preserve"> </v>
      </c>
      <c r="F323" s="92" t="str" cm="1">
        <f t="array" ref="F323">IFERROR(VLOOKUP($A323,'The List'!$B1:$AS671,8,FALSE)," ")</f>
        <v xml:space="preserve"> </v>
      </c>
      <c r="G323" s="92" t="str" cm="1">
        <f t="array" ref="G323">IFERROR(VLOOKUP($A323,'The List'!$B1:$AS671,10,FALSE)," ")</f>
        <v xml:space="preserve"> </v>
      </c>
      <c r="H323" s="55"/>
      <c r="I323" s="84" t="str" cm="1">
        <f t="array" ref="I323">IFERROR(VLOOKUP($A323,'The List'!$B1:$AS671,16,FALSE)," ")</f>
        <v xml:space="preserve"> </v>
      </c>
      <c r="J323" s="84" t="str" cm="1">
        <f t="array" ref="J323">IFERROR(VLOOKUP($A323,'The List'!$B1:$AS671,17,FALSE)," ")</f>
        <v xml:space="preserve"> </v>
      </c>
      <c r="K323" s="84" t="str" cm="1">
        <f t="array" ref="K323">IFERROR(VLOOKUP($A323,'The List'!$B1:$AS671,18,FALSE)," ")</f>
        <v xml:space="preserve"> </v>
      </c>
      <c r="L323" s="84" t="str" cm="1">
        <f t="array" ref="L323">IFERROR(VLOOKUP($A323,'The List'!$B1:$AS671,19,FALSE)," ")</f>
        <v xml:space="preserve"> </v>
      </c>
      <c r="M323" s="84" t="str" cm="1">
        <f t="array" ref="M323">IFERROR(VLOOKUP($A323,'The List'!$B1:$AS671,20,FALSE)," ")</f>
        <v xml:space="preserve"> </v>
      </c>
      <c r="N323" s="84" t="str" cm="1">
        <f t="array" ref="N323">IFERROR(VLOOKUP($A323,'The List'!$B1:$AS671,21,FALSE)," ")</f>
        <v xml:space="preserve"> </v>
      </c>
      <c r="O323" s="84" t="str" cm="1">
        <f t="array" ref="O323">IFERROR(VLOOKUP($A323,'The List'!$B1:$AS671,22,FALSE)," ")</f>
        <v xml:space="preserve"> </v>
      </c>
      <c r="P323" s="84" t="str" cm="1">
        <f t="array" ref="P323">IFERROR(VLOOKUP($A323,'The List'!$B1:$AS671,23,FALSE)," ")</f>
        <v xml:space="preserve"> </v>
      </c>
      <c r="Q323" s="84" t="str" cm="1">
        <f t="array" ref="Q323">IFERROR(VLOOKUP($A323,'The List'!$B1:$AS671,24,FALSE)," ")</f>
        <v xml:space="preserve"> </v>
      </c>
      <c r="R323" s="84" t="str" cm="1">
        <f t="array" ref="R323">IFERROR(VLOOKUP($A323,'The List'!$B1:$AS671,25,FALSE)," ")</f>
        <v xml:space="preserve"> </v>
      </c>
      <c r="S323" s="84" t="str" cm="1">
        <f t="array" ref="S323">IFERROR(VLOOKUP($A323,'The List'!$B1:$AS671,26,FALSE)," ")</f>
        <v xml:space="preserve"> </v>
      </c>
      <c r="T323" s="84" t="str" cm="1">
        <f t="array" ref="T323">IFERROR(VLOOKUP($A323,'The List'!$B1:$AS671,27,FALSE)," ")</f>
        <v xml:space="preserve"> </v>
      </c>
      <c r="U323" s="84" t="str" cm="1">
        <f t="array" ref="U323">IFERROR(VLOOKUP($A323,'The List'!$B1:$AS671,28,FALSE)," ")</f>
        <v xml:space="preserve"> </v>
      </c>
      <c r="V323" s="84" t="str" cm="1">
        <f t="array" ref="V323">IFERROR(VLOOKUP($A323,'The List'!$B1:$AS671,29,FALSE)," ")</f>
        <v xml:space="preserve"> </v>
      </c>
      <c r="W323" s="84" t="str" cm="1">
        <f t="array" ref="W323">IFERROR(VLOOKUP($A323,'The List'!$B1:$AS671,30,FALSE)," ")</f>
        <v xml:space="preserve"> </v>
      </c>
      <c r="X323" s="84" t="str" cm="1">
        <f t="array" ref="X323">IFERROR(VLOOKUP($A323,'The List'!$B1:$AS671,31,FALSE)," ")</f>
        <v xml:space="preserve"> </v>
      </c>
      <c r="Y323" s="84" t="str" cm="1">
        <f t="array" ref="Y323">IFERROR(VLOOKUP($A323,'The List'!$B1:$AS671,32,FALSE)," ")</f>
        <v xml:space="preserve"> </v>
      </c>
      <c r="Z323" s="84" t="str" cm="1">
        <f t="array" ref="Z323">IFERROR(VLOOKUP($A323,'The List'!$B1:$AS671,33,FALSE)," ")</f>
        <v xml:space="preserve"> </v>
      </c>
      <c r="AA323" s="85"/>
      <c r="AB323" s="90"/>
      <c r="AC323" s="90"/>
      <c r="AD323" s="90"/>
      <c r="AE323" s="90"/>
      <c r="AF323" s="90"/>
    </row>
    <row r="324" spans="1:32" ht="21.25" customHeight="1" x14ac:dyDescent="0.15">
      <c r="A324" s="24"/>
      <c r="B324" s="87" t="str" cm="1">
        <f t="array" ref="B324">IFERROR(VLOOKUP($A324,'The List'!$B1:$AS671,3,FALSE)," ")</f>
        <v xml:space="preserve"> </v>
      </c>
      <c r="C324" s="91" t="str" cm="1">
        <f t="array" ref="C324">IFERROR(VLOOKUP($A324,'The List'!$B1:$AS671,4,FALSE)," ")</f>
        <v xml:space="preserve"> </v>
      </c>
      <c r="D324" s="18" t="str" cm="1">
        <f t="array" ref="D324">IFERROR(VLOOKUP($A324,'The List'!$B1:$AS671,5,FALSE)," ")</f>
        <v xml:space="preserve"> </v>
      </c>
      <c r="E324" s="18" t="str" cm="1">
        <f t="array" ref="E324">IFERROR(VLOOKUP($A324,'The List'!$B1:$AS671,6,FALSE)," ")</f>
        <v xml:space="preserve"> </v>
      </c>
      <c r="F324" s="92" t="str" cm="1">
        <f t="array" ref="F324">IFERROR(VLOOKUP($A324,'The List'!$B1:$AS671,8,FALSE)," ")</f>
        <v xml:space="preserve"> </v>
      </c>
      <c r="G324" s="92" t="str" cm="1">
        <f t="array" ref="G324">IFERROR(VLOOKUP($A324,'The List'!$B1:$AS671,10,FALSE)," ")</f>
        <v xml:space="preserve"> </v>
      </c>
      <c r="H324" s="55"/>
      <c r="I324" s="84" t="str" cm="1">
        <f t="array" ref="I324">IFERROR(VLOOKUP($A324,'The List'!$B1:$AS671,16,FALSE)," ")</f>
        <v xml:space="preserve"> </v>
      </c>
      <c r="J324" s="84" t="str" cm="1">
        <f t="array" ref="J324">IFERROR(VLOOKUP($A324,'The List'!$B1:$AS671,17,FALSE)," ")</f>
        <v xml:space="preserve"> </v>
      </c>
      <c r="K324" s="84" t="str" cm="1">
        <f t="array" ref="K324">IFERROR(VLOOKUP($A324,'The List'!$B1:$AS671,18,FALSE)," ")</f>
        <v xml:space="preserve"> </v>
      </c>
      <c r="L324" s="84" t="str" cm="1">
        <f t="array" ref="L324">IFERROR(VLOOKUP($A324,'The List'!$B1:$AS671,19,FALSE)," ")</f>
        <v xml:space="preserve"> </v>
      </c>
      <c r="M324" s="84" t="str" cm="1">
        <f t="array" ref="M324">IFERROR(VLOOKUP($A324,'The List'!$B1:$AS671,20,FALSE)," ")</f>
        <v xml:space="preserve"> </v>
      </c>
      <c r="N324" s="84" t="str" cm="1">
        <f t="array" ref="N324">IFERROR(VLOOKUP($A324,'The List'!$B1:$AS671,21,FALSE)," ")</f>
        <v xml:space="preserve"> </v>
      </c>
      <c r="O324" s="84" t="str" cm="1">
        <f t="array" ref="O324">IFERROR(VLOOKUP($A324,'The List'!$B1:$AS671,22,FALSE)," ")</f>
        <v xml:space="preserve"> </v>
      </c>
      <c r="P324" s="84" t="str" cm="1">
        <f t="array" ref="P324">IFERROR(VLOOKUP($A324,'The List'!$B1:$AS671,23,FALSE)," ")</f>
        <v xml:space="preserve"> </v>
      </c>
      <c r="Q324" s="84" t="str" cm="1">
        <f t="array" ref="Q324">IFERROR(VLOOKUP($A324,'The List'!$B1:$AS671,24,FALSE)," ")</f>
        <v xml:space="preserve"> </v>
      </c>
      <c r="R324" s="84" t="str" cm="1">
        <f t="array" ref="R324">IFERROR(VLOOKUP($A324,'The List'!$B1:$AS671,25,FALSE)," ")</f>
        <v xml:space="preserve"> </v>
      </c>
      <c r="S324" s="84" t="str" cm="1">
        <f t="array" ref="S324">IFERROR(VLOOKUP($A324,'The List'!$B1:$AS671,26,FALSE)," ")</f>
        <v xml:space="preserve"> </v>
      </c>
      <c r="T324" s="84" t="str" cm="1">
        <f t="array" ref="T324">IFERROR(VLOOKUP($A324,'The List'!$B1:$AS671,27,FALSE)," ")</f>
        <v xml:space="preserve"> </v>
      </c>
      <c r="U324" s="84" t="str" cm="1">
        <f t="array" ref="U324">IFERROR(VLOOKUP($A324,'The List'!$B1:$AS671,28,FALSE)," ")</f>
        <v xml:space="preserve"> </v>
      </c>
      <c r="V324" s="84" t="str" cm="1">
        <f t="array" ref="V324">IFERROR(VLOOKUP($A324,'The List'!$B1:$AS671,29,FALSE)," ")</f>
        <v xml:space="preserve"> </v>
      </c>
      <c r="W324" s="84" t="str" cm="1">
        <f t="array" ref="W324">IFERROR(VLOOKUP($A324,'The List'!$B1:$AS671,30,FALSE)," ")</f>
        <v xml:space="preserve"> </v>
      </c>
      <c r="X324" s="84" t="str" cm="1">
        <f t="array" ref="X324">IFERROR(VLOOKUP($A324,'The List'!$B1:$AS671,31,FALSE)," ")</f>
        <v xml:space="preserve"> </v>
      </c>
      <c r="Y324" s="84" t="str" cm="1">
        <f t="array" ref="Y324">IFERROR(VLOOKUP($A324,'The List'!$B1:$AS671,32,FALSE)," ")</f>
        <v xml:space="preserve"> </v>
      </c>
      <c r="Z324" s="84" t="str" cm="1">
        <f t="array" ref="Z324">IFERROR(VLOOKUP($A324,'The List'!$B1:$AS671,33,FALSE)," ")</f>
        <v xml:space="preserve"> </v>
      </c>
      <c r="AA324" s="85"/>
      <c r="AB324" s="90"/>
      <c r="AC324" s="90"/>
      <c r="AD324" s="90"/>
      <c r="AE324" s="90"/>
      <c r="AF324" s="90"/>
    </row>
    <row r="325" spans="1:32" ht="21.25" customHeight="1" x14ac:dyDescent="0.15">
      <c r="A325" s="24"/>
      <c r="B325" s="93" t="str" cm="1">
        <f t="array" ref="B325">IFERROR(VLOOKUP($A325,'The List'!$B1:$AS671,3,FALSE)," ")</f>
        <v xml:space="preserve"> </v>
      </c>
      <c r="C325" s="95" t="str" cm="1">
        <f t="array" ref="C325">IFERROR(VLOOKUP($A325,'The List'!$B1:$AS671,4,FALSE)," ")</f>
        <v xml:space="preserve"> </v>
      </c>
      <c r="D325" s="18" t="str" cm="1">
        <f t="array" ref="D325">IFERROR(VLOOKUP($A325,'The List'!$B1:$AS671,5,FALSE)," ")</f>
        <v xml:space="preserve"> </v>
      </c>
      <c r="E325" s="18" t="str" cm="1">
        <f t="array" ref="E325">IFERROR(VLOOKUP($A325,'The List'!$B1:$AS671,6,FALSE)," ")</f>
        <v xml:space="preserve"> </v>
      </c>
      <c r="F325" s="92" t="str" cm="1">
        <f t="array" ref="F325">IFERROR(VLOOKUP($A325,'The List'!$B1:$AS671,8,FALSE)," ")</f>
        <v xml:space="preserve"> </v>
      </c>
      <c r="G325" s="92" t="str" cm="1">
        <f t="array" ref="G325">IFERROR(VLOOKUP($A325,'The List'!$B1:$AS671,10,FALSE)," ")</f>
        <v xml:space="preserve"> </v>
      </c>
      <c r="H325" s="55"/>
      <c r="I325" s="84" t="str" cm="1">
        <f t="array" ref="I325">IFERROR(VLOOKUP($A325,'The List'!$B1:$AS671,16,FALSE)," ")</f>
        <v xml:space="preserve"> </v>
      </c>
      <c r="J325" s="84" t="str" cm="1">
        <f t="array" ref="J325">IFERROR(VLOOKUP($A325,'The List'!$B1:$AS671,17,FALSE)," ")</f>
        <v xml:space="preserve"> </v>
      </c>
      <c r="K325" s="84" t="str" cm="1">
        <f t="array" ref="K325">IFERROR(VLOOKUP($A325,'The List'!$B1:$AS671,18,FALSE)," ")</f>
        <v xml:space="preserve"> </v>
      </c>
      <c r="L325" s="84" t="str" cm="1">
        <f t="array" ref="L325">IFERROR(VLOOKUP($A325,'The List'!$B1:$AS671,19,FALSE)," ")</f>
        <v xml:space="preserve"> </v>
      </c>
      <c r="M325" s="84" t="str" cm="1">
        <f t="array" ref="M325">IFERROR(VLOOKUP($A325,'The List'!$B1:$AS671,20,FALSE)," ")</f>
        <v xml:space="preserve"> </v>
      </c>
      <c r="N325" s="84" t="str" cm="1">
        <f t="array" ref="N325">IFERROR(VLOOKUP($A325,'The List'!$B1:$AS671,21,FALSE)," ")</f>
        <v xml:space="preserve"> </v>
      </c>
      <c r="O325" s="84" t="str" cm="1">
        <f t="array" ref="O325">IFERROR(VLOOKUP($A325,'The List'!$B1:$AS671,22,FALSE)," ")</f>
        <v xml:space="preserve"> </v>
      </c>
      <c r="P325" s="84" t="str" cm="1">
        <f t="array" ref="P325">IFERROR(VLOOKUP($A325,'The List'!$B1:$AS671,23,FALSE)," ")</f>
        <v xml:space="preserve"> </v>
      </c>
      <c r="Q325" s="84" t="str" cm="1">
        <f t="array" ref="Q325">IFERROR(VLOOKUP($A325,'The List'!$B1:$AS671,24,FALSE)," ")</f>
        <v xml:space="preserve"> </v>
      </c>
      <c r="R325" s="84" t="str" cm="1">
        <f t="array" ref="R325">IFERROR(VLOOKUP($A325,'The List'!$B1:$AS671,25,FALSE)," ")</f>
        <v xml:space="preserve"> </v>
      </c>
      <c r="S325" s="84" t="str" cm="1">
        <f t="array" ref="S325">IFERROR(VLOOKUP($A325,'The List'!$B1:$AS671,26,FALSE)," ")</f>
        <v xml:space="preserve"> </v>
      </c>
      <c r="T325" s="84" t="str" cm="1">
        <f t="array" ref="T325">IFERROR(VLOOKUP($A325,'The List'!$B1:$AS671,27,FALSE)," ")</f>
        <v xml:space="preserve"> </v>
      </c>
      <c r="U325" s="84" t="str" cm="1">
        <f t="array" ref="U325">IFERROR(VLOOKUP($A325,'The List'!$B1:$AS671,28,FALSE)," ")</f>
        <v xml:space="preserve"> </v>
      </c>
      <c r="V325" s="84" t="str" cm="1">
        <f t="array" ref="V325">IFERROR(VLOOKUP($A325,'The List'!$B1:$AS671,29,FALSE)," ")</f>
        <v xml:space="preserve"> </v>
      </c>
      <c r="W325" s="84" t="str" cm="1">
        <f t="array" ref="W325">IFERROR(VLOOKUP($A325,'The List'!$B1:$AS671,30,FALSE)," ")</f>
        <v xml:space="preserve"> </v>
      </c>
      <c r="X325" s="84" t="str" cm="1">
        <f t="array" ref="X325">IFERROR(VLOOKUP($A325,'The List'!$B1:$AS671,31,FALSE)," ")</f>
        <v xml:space="preserve"> </v>
      </c>
      <c r="Y325" s="84" t="str" cm="1">
        <f t="array" ref="Y325">IFERROR(VLOOKUP($A325,'The List'!$B1:$AS671,32,FALSE)," ")</f>
        <v xml:space="preserve"> </v>
      </c>
      <c r="Z325" s="84" t="str" cm="1">
        <f t="array" ref="Z325">IFERROR(VLOOKUP($A325,'The List'!$B1:$AS671,33,FALSE)," ")</f>
        <v xml:space="preserve"> </v>
      </c>
      <c r="AA325" s="85"/>
      <c r="AB325" s="90"/>
      <c r="AC325" s="90"/>
      <c r="AD325" s="90"/>
      <c r="AE325" s="90"/>
      <c r="AF325" s="90"/>
    </row>
    <row r="326" spans="1:32" ht="21.25" customHeight="1" x14ac:dyDescent="0.15">
      <c r="A326" s="24"/>
      <c r="B326" s="93" t="str" cm="1">
        <f t="array" ref="B326">IFERROR(VLOOKUP($A326,'The List'!$B1:$AS671,3,FALSE)," ")</f>
        <v xml:space="preserve"> </v>
      </c>
      <c r="C326" s="95" t="str" cm="1">
        <f t="array" ref="C326">IFERROR(VLOOKUP($A326,'The List'!$B1:$AS671,4,FALSE)," ")</f>
        <v xml:space="preserve"> </v>
      </c>
      <c r="D326" s="18" t="str" cm="1">
        <f t="array" ref="D326">IFERROR(VLOOKUP($A326,'The List'!$B1:$AS671,5,FALSE)," ")</f>
        <v xml:space="preserve"> </v>
      </c>
      <c r="E326" s="18" t="str" cm="1">
        <f t="array" ref="E326">IFERROR(VLOOKUP($A326,'The List'!$B1:$AS671,6,FALSE)," ")</f>
        <v xml:space="preserve"> </v>
      </c>
      <c r="F326" s="92" t="str" cm="1">
        <f t="array" ref="F326">IFERROR(VLOOKUP($A326,'The List'!$B1:$AS671,8,FALSE)," ")</f>
        <v xml:space="preserve"> </v>
      </c>
      <c r="G326" s="92" t="str" cm="1">
        <f t="array" ref="G326">IFERROR(VLOOKUP($A326,'The List'!$B1:$AS671,10,FALSE)," ")</f>
        <v xml:space="preserve"> </v>
      </c>
      <c r="H326" s="55"/>
      <c r="I326" s="84" t="str" cm="1">
        <f t="array" ref="I326">IFERROR(VLOOKUP($A326,'The List'!$B1:$AS671,16,FALSE)," ")</f>
        <v xml:space="preserve"> </v>
      </c>
      <c r="J326" s="84" t="str" cm="1">
        <f t="array" ref="J326">IFERROR(VLOOKUP($A326,'The List'!$B1:$AS671,17,FALSE)," ")</f>
        <v xml:space="preserve"> </v>
      </c>
      <c r="K326" s="84" t="str" cm="1">
        <f t="array" ref="K326">IFERROR(VLOOKUP($A326,'The List'!$B1:$AS671,18,FALSE)," ")</f>
        <v xml:space="preserve"> </v>
      </c>
      <c r="L326" s="84" t="str" cm="1">
        <f t="array" ref="L326">IFERROR(VLOOKUP($A326,'The List'!$B1:$AS671,19,FALSE)," ")</f>
        <v xml:space="preserve"> </v>
      </c>
      <c r="M326" s="84" t="str" cm="1">
        <f t="array" ref="M326">IFERROR(VLOOKUP($A326,'The List'!$B1:$AS671,20,FALSE)," ")</f>
        <v xml:space="preserve"> </v>
      </c>
      <c r="N326" s="84" t="str" cm="1">
        <f t="array" ref="N326">IFERROR(VLOOKUP($A326,'The List'!$B1:$AS671,21,FALSE)," ")</f>
        <v xml:space="preserve"> </v>
      </c>
      <c r="O326" s="84" t="str" cm="1">
        <f t="array" ref="O326">IFERROR(VLOOKUP($A326,'The List'!$B1:$AS671,22,FALSE)," ")</f>
        <v xml:space="preserve"> </v>
      </c>
      <c r="P326" s="84" t="str" cm="1">
        <f t="array" ref="P326">IFERROR(VLOOKUP($A326,'The List'!$B1:$AS671,23,FALSE)," ")</f>
        <v xml:space="preserve"> </v>
      </c>
      <c r="Q326" s="84" t="str" cm="1">
        <f t="array" ref="Q326">IFERROR(VLOOKUP($A326,'The List'!$B1:$AS671,24,FALSE)," ")</f>
        <v xml:space="preserve"> </v>
      </c>
      <c r="R326" s="84" t="str" cm="1">
        <f t="array" ref="R326">IFERROR(VLOOKUP($A326,'The List'!$B1:$AS671,25,FALSE)," ")</f>
        <v xml:space="preserve"> </v>
      </c>
      <c r="S326" s="84" t="str" cm="1">
        <f t="array" ref="S326">IFERROR(VLOOKUP($A326,'The List'!$B1:$AS671,26,FALSE)," ")</f>
        <v xml:space="preserve"> </v>
      </c>
      <c r="T326" s="84" t="str" cm="1">
        <f t="array" ref="T326">IFERROR(VLOOKUP($A326,'The List'!$B1:$AS671,27,FALSE)," ")</f>
        <v xml:space="preserve"> </v>
      </c>
      <c r="U326" s="84" t="str" cm="1">
        <f t="array" ref="U326">IFERROR(VLOOKUP($A326,'The List'!$B1:$AS671,28,FALSE)," ")</f>
        <v xml:space="preserve"> </v>
      </c>
      <c r="V326" s="84" t="str" cm="1">
        <f t="array" ref="V326">IFERROR(VLOOKUP($A326,'The List'!$B1:$AS671,29,FALSE)," ")</f>
        <v xml:space="preserve"> </v>
      </c>
      <c r="W326" s="84" t="str" cm="1">
        <f t="array" ref="W326">IFERROR(VLOOKUP($A326,'The List'!$B1:$AS671,30,FALSE)," ")</f>
        <v xml:space="preserve"> </v>
      </c>
      <c r="X326" s="84" t="str" cm="1">
        <f t="array" ref="X326">IFERROR(VLOOKUP($A326,'The List'!$B1:$AS671,31,FALSE)," ")</f>
        <v xml:space="preserve"> </v>
      </c>
      <c r="Y326" s="84" t="str" cm="1">
        <f t="array" ref="Y326">IFERROR(VLOOKUP($A326,'The List'!$B1:$AS671,32,FALSE)," ")</f>
        <v xml:space="preserve"> </v>
      </c>
      <c r="Z326" s="84" t="str" cm="1">
        <f t="array" ref="Z326">IFERROR(VLOOKUP($A326,'The List'!$B1:$AS671,33,FALSE)," ")</f>
        <v xml:space="preserve"> </v>
      </c>
      <c r="AA326" s="85"/>
      <c r="AB326" s="90"/>
      <c r="AC326" s="90"/>
      <c r="AD326" s="90"/>
      <c r="AE326" s="90"/>
      <c r="AF326" s="90"/>
    </row>
    <row r="327" spans="1:32" ht="21.25" customHeight="1" x14ac:dyDescent="0.15">
      <c r="A327" s="24"/>
      <c r="B327" s="93" t="str" cm="1">
        <f t="array" ref="B327">IFERROR(VLOOKUP($A327,'The List'!$B1:$AS671,3,FALSE)," ")</f>
        <v xml:space="preserve"> </v>
      </c>
      <c r="C327" s="95" t="str" cm="1">
        <f t="array" ref="C327">IFERROR(VLOOKUP($A327,'The List'!$B1:$AS671,4,FALSE)," ")</f>
        <v xml:space="preserve"> </v>
      </c>
      <c r="D327" s="18" t="str" cm="1">
        <f t="array" ref="D327">IFERROR(VLOOKUP($A327,'The List'!$B1:$AS671,5,FALSE)," ")</f>
        <v xml:space="preserve"> </v>
      </c>
      <c r="E327" s="18" t="str" cm="1">
        <f t="array" ref="E327">IFERROR(VLOOKUP($A327,'The List'!$B1:$AS671,6,FALSE)," ")</f>
        <v xml:space="preserve"> </v>
      </c>
      <c r="F327" s="92" t="str" cm="1">
        <f t="array" ref="F327">IFERROR(VLOOKUP($A327,'The List'!$B1:$AS671,8,FALSE)," ")</f>
        <v xml:space="preserve"> </v>
      </c>
      <c r="G327" s="92" t="str" cm="1">
        <f t="array" ref="G327">IFERROR(VLOOKUP($A327,'The List'!$B1:$AS671,10,FALSE)," ")</f>
        <v xml:space="preserve"> </v>
      </c>
      <c r="H327" s="55"/>
      <c r="I327" s="84" t="str" cm="1">
        <f t="array" ref="I327">IFERROR(VLOOKUP($A327,'The List'!$B1:$AS671,16,FALSE)," ")</f>
        <v xml:space="preserve"> </v>
      </c>
      <c r="J327" s="84" t="str" cm="1">
        <f t="array" ref="J327">IFERROR(VLOOKUP($A327,'The List'!$B1:$AS671,17,FALSE)," ")</f>
        <v xml:space="preserve"> </v>
      </c>
      <c r="K327" s="84" t="str" cm="1">
        <f t="array" ref="K327">IFERROR(VLOOKUP($A327,'The List'!$B1:$AS671,18,FALSE)," ")</f>
        <v xml:space="preserve"> </v>
      </c>
      <c r="L327" s="84" t="str" cm="1">
        <f t="array" ref="L327">IFERROR(VLOOKUP($A327,'The List'!$B1:$AS671,19,FALSE)," ")</f>
        <v xml:space="preserve"> </v>
      </c>
      <c r="M327" s="84" t="str" cm="1">
        <f t="array" ref="M327">IFERROR(VLOOKUP($A327,'The List'!$B1:$AS671,20,FALSE)," ")</f>
        <v xml:space="preserve"> </v>
      </c>
      <c r="N327" s="84" t="str" cm="1">
        <f t="array" ref="N327">IFERROR(VLOOKUP($A327,'The List'!$B1:$AS671,21,FALSE)," ")</f>
        <v xml:space="preserve"> </v>
      </c>
      <c r="O327" s="84" t="str" cm="1">
        <f t="array" ref="O327">IFERROR(VLOOKUP($A327,'The List'!$B1:$AS671,22,FALSE)," ")</f>
        <v xml:space="preserve"> </v>
      </c>
      <c r="P327" s="84" t="str" cm="1">
        <f t="array" ref="P327">IFERROR(VLOOKUP($A327,'The List'!$B1:$AS671,23,FALSE)," ")</f>
        <v xml:space="preserve"> </v>
      </c>
      <c r="Q327" s="84" t="str" cm="1">
        <f t="array" ref="Q327">IFERROR(VLOOKUP($A327,'The List'!$B1:$AS671,24,FALSE)," ")</f>
        <v xml:space="preserve"> </v>
      </c>
      <c r="R327" s="84" t="str" cm="1">
        <f t="array" ref="R327">IFERROR(VLOOKUP($A327,'The List'!$B1:$AS671,25,FALSE)," ")</f>
        <v xml:space="preserve"> </v>
      </c>
      <c r="S327" s="84" t="str" cm="1">
        <f t="array" ref="S327">IFERROR(VLOOKUP($A327,'The List'!$B1:$AS671,26,FALSE)," ")</f>
        <v xml:space="preserve"> </v>
      </c>
      <c r="T327" s="84" t="str" cm="1">
        <f t="array" ref="T327">IFERROR(VLOOKUP($A327,'The List'!$B1:$AS671,27,FALSE)," ")</f>
        <v xml:space="preserve"> </v>
      </c>
      <c r="U327" s="84" t="str" cm="1">
        <f t="array" ref="U327">IFERROR(VLOOKUP($A327,'The List'!$B1:$AS671,28,FALSE)," ")</f>
        <v xml:space="preserve"> </v>
      </c>
      <c r="V327" s="84" t="str" cm="1">
        <f t="array" ref="V327">IFERROR(VLOOKUP($A327,'The List'!$B1:$AS671,29,FALSE)," ")</f>
        <v xml:space="preserve"> </v>
      </c>
      <c r="W327" s="84" t="str" cm="1">
        <f t="array" ref="W327">IFERROR(VLOOKUP($A327,'The List'!$B1:$AS671,30,FALSE)," ")</f>
        <v xml:space="preserve"> </v>
      </c>
      <c r="X327" s="84" t="str" cm="1">
        <f t="array" ref="X327">IFERROR(VLOOKUP($A327,'The List'!$B1:$AS671,31,FALSE)," ")</f>
        <v xml:space="preserve"> </v>
      </c>
      <c r="Y327" s="84" t="str" cm="1">
        <f t="array" ref="Y327">IFERROR(VLOOKUP($A327,'The List'!$B1:$AS671,32,FALSE)," ")</f>
        <v xml:space="preserve"> </v>
      </c>
      <c r="Z327" s="84" t="str" cm="1">
        <f t="array" ref="Z327">IFERROR(VLOOKUP($A327,'The List'!$B1:$AS671,33,FALSE)," ")</f>
        <v xml:space="preserve"> </v>
      </c>
      <c r="AA327" s="85"/>
      <c r="AB327" s="90"/>
      <c r="AC327" s="90"/>
      <c r="AD327" s="90"/>
      <c r="AE327" s="90"/>
      <c r="AF327" s="90"/>
    </row>
    <row r="328" spans="1:32" ht="21.25" customHeight="1" x14ac:dyDescent="0.15">
      <c r="A328" s="24"/>
      <c r="B328" s="93" t="str" cm="1">
        <f t="array" ref="B328">IFERROR(VLOOKUP($A328,'The List'!$B1:$AS671,3,FALSE)," ")</f>
        <v xml:space="preserve"> </v>
      </c>
      <c r="C328" s="95" t="str" cm="1">
        <f t="array" ref="C328">IFERROR(VLOOKUP($A328,'The List'!$B1:$AS671,4,FALSE)," ")</f>
        <v xml:space="preserve"> </v>
      </c>
      <c r="D328" s="18" t="str" cm="1">
        <f t="array" ref="D328">IFERROR(VLOOKUP($A328,'The List'!$B1:$AS671,5,FALSE)," ")</f>
        <v xml:space="preserve"> </v>
      </c>
      <c r="E328" s="18" t="str" cm="1">
        <f t="array" ref="E328">IFERROR(VLOOKUP($A328,'The List'!$B1:$AS671,6,FALSE)," ")</f>
        <v xml:space="preserve"> </v>
      </c>
      <c r="F328" s="92" t="str" cm="1">
        <f t="array" ref="F328">IFERROR(VLOOKUP($A328,'The List'!$B1:$AS671,8,FALSE)," ")</f>
        <v xml:space="preserve"> </v>
      </c>
      <c r="G328" s="92" t="str" cm="1">
        <f t="array" ref="G328">IFERROR(VLOOKUP($A328,'The List'!$B1:$AS671,10,FALSE)," ")</f>
        <v xml:space="preserve"> </v>
      </c>
      <c r="H328" s="55"/>
      <c r="I328" s="84" t="str" cm="1">
        <f t="array" ref="I328">IFERROR(VLOOKUP($A328,'The List'!$B1:$AS671,16,FALSE)," ")</f>
        <v xml:space="preserve"> </v>
      </c>
      <c r="J328" s="84" t="str" cm="1">
        <f t="array" ref="J328">IFERROR(VLOOKUP($A328,'The List'!$B1:$AS671,17,FALSE)," ")</f>
        <v xml:space="preserve"> </v>
      </c>
      <c r="K328" s="84" t="str" cm="1">
        <f t="array" ref="K328">IFERROR(VLOOKUP($A328,'The List'!$B1:$AS671,18,FALSE)," ")</f>
        <v xml:space="preserve"> </v>
      </c>
      <c r="L328" s="84" t="str" cm="1">
        <f t="array" ref="L328">IFERROR(VLOOKUP($A328,'The List'!$B1:$AS671,19,FALSE)," ")</f>
        <v xml:space="preserve"> </v>
      </c>
      <c r="M328" s="84" t="str" cm="1">
        <f t="array" ref="M328">IFERROR(VLOOKUP($A328,'The List'!$B1:$AS671,20,FALSE)," ")</f>
        <v xml:space="preserve"> </v>
      </c>
      <c r="N328" s="84" t="str" cm="1">
        <f t="array" ref="N328">IFERROR(VLOOKUP($A328,'The List'!$B1:$AS671,21,FALSE)," ")</f>
        <v xml:space="preserve"> </v>
      </c>
      <c r="O328" s="84" t="str" cm="1">
        <f t="array" ref="O328">IFERROR(VLOOKUP($A328,'The List'!$B1:$AS671,22,FALSE)," ")</f>
        <v xml:space="preserve"> </v>
      </c>
      <c r="P328" s="84" t="str" cm="1">
        <f t="array" ref="P328">IFERROR(VLOOKUP($A328,'The List'!$B1:$AS671,23,FALSE)," ")</f>
        <v xml:space="preserve"> </v>
      </c>
      <c r="Q328" s="84" t="str" cm="1">
        <f t="array" ref="Q328">IFERROR(VLOOKUP($A328,'The List'!$B1:$AS671,24,FALSE)," ")</f>
        <v xml:space="preserve"> </v>
      </c>
      <c r="R328" s="84" t="str" cm="1">
        <f t="array" ref="R328">IFERROR(VLOOKUP($A328,'The List'!$B1:$AS671,25,FALSE)," ")</f>
        <v xml:space="preserve"> </v>
      </c>
      <c r="S328" s="84" t="str" cm="1">
        <f t="array" ref="S328">IFERROR(VLOOKUP($A328,'The List'!$B1:$AS671,26,FALSE)," ")</f>
        <v xml:space="preserve"> </v>
      </c>
      <c r="T328" s="84" t="str" cm="1">
        <f t="array" ref="T328">IFERROR(VLOOKUP($A328,'The List'!$B1:$AS671,27,FALSE)," ")</f>
        <v xml:space="preserve"> </v>
      </c>
      <c r="U328" s="84" t="str" cm="1">
        <f t="array" ref="U328">IFERROR(VLOOKUP($A328,'The List'!$B1:$AS671,28,FALSE)," ")</f>
        <v xml:space="preserve"> </v>
      </c>
      <c r="V328" s="84" t="str" cm="1">
        <f t="array" ref="V328">IFERROR(VLOOKUP($A328,'The List'!$B1:$AS671,29,FALSE)," ")</f>
        <v xml:space="preserve"> </v>
      </c>
      <c r="W328" s="84" t="str" cm="1">
        <f t="array" ref="W328">IFERROR(VLOOKUP($A328,'The List'!$B1:$AS671,30,FALSE)," ")</f>
        <v xml:space="preserve"> </v>
      </c>
      <c r="X328" s="84" t="str" cm="1">
        <f t="array" ref="X328">IFERROR(VLOOKUP($A328,'The List'!$B1:$AS671,31,FALSE)," ")</f>
        <v xml:space="preserve"> </v>
      </c>
      <c r="Y328" s="84" t="str" cm="1">
        <f t="array" ref="Y328">IFERROR(VLOOKUP($A328,'The List'!$B1:$AS671,32,FALSE)," ")</f>
        <v xml:space="preserve"> </v>
      </c>
      <c r="Z328" s="84" t="str" cm="1">
        <f t="array" ref="Z328">IFERROR(VLOOKUP($A328,'The List'!$B1:$AS671,33,FALSE)," ")</f>
        <v xml:space="preserve"> </v>
      </c>
      <c r="AA328" s="85"/>
      <c r="AB328" s="90"/>
      <c r="AC328" s="90"/>
      <c r="AD328" s="90"/>
      <c r="AE328" s="90"/>
      <c r="AF328" s="90"/>
    </row>
    <row r="329" spans="1:32" ht="21.25" customHeight="1" x14ac:dyDescent="0.15">
      <c r="A329" s="24"/>
      <c r="B329" s="96" t="str" cm="1">
        <f t="array" ref="B329">IFERROR(VLOOKUP($A329,'The List'!$B1:$AS671,3,FALSE)," ")</f>
        <v xml:space="preserve"> </v>
      </c>
      <c r="C329" s="98" t="str" cm="1">
        <f t="array" ref="C329">IFERROR(VLOOKUP($A329,'The List'!$B1:$AS671,4,FALSE)," ")</f>
        <v xml:space="preserve"> </v>
      </c>
      <c r="D329" s="18" t="str" cm="1">
        <f t="array" ref="D329">IFERROR(VLOOKUP($A329,'The List'!$B1:$AS671,5,FALSE)," ")</f>
        <v xml:space="preserve"> </v>
      </c>
      <c r="E329" s="18" t="str" cm="1">
        <f t="array" ref="E329">IFERROR(VLOOKUP($A329,'The List'!$B1:$AS671,6,FALSE)," ")</f>
        <v xml:space="preserve"> </v>
      </c>
      <c r="F329" s="92" t="str" cm="1">
        <f t="array" ref="F329">IFERROR(VLOOKUP($A329,'The List'!$B1:$AS671,8,FALSE)," ")</f>
        <v xml:space="preserve"> </v>
      </c>
      <c r="G329" s="92" t="str" cm="1">
        <f t="array" ref="G329">IFERROR(VLOOKUP($A329,'The List'!$B1:$AS671,10,FALSE)," ")</f>
        <v xml:space="preserve"> </v>
      </c>
      <c r="H329" s="55"/>
      <c r="I329" s="84" t="str" cm="1">
        <f t="array" ref="I329">IFERROR(VLOOKUP($A329,'The List'!$B1:$AS671,16,FALSE)," ")</f>
        <v xml:space="preserve"> </v>
      </c>
      <c r="J329" s="84" t="str" cm="1">
        <f t="array" ref="J329">IFERROR(VLOOKUP($A329,'The List'!$B1:$AS671,17,FALSE)," ")</f>
        <v xml:space="preserve"> </v>
      </c>
      <c r="K329" s="84" t="str" cm="1">
        <f t="array" ref="K329">IFERROR(VLOOKUP($A329,'The List'!$B1:$AS671,18,FALSE)," ")</f>
        <v xml:space="preserve"> </v>
      </c>
      <c r="L329" s="84" t="str" cm="1">
        <f t="array" ref="L329">IFERROR(VLOOKUP($A329,'The List'!$B1:$AS671,19,FALSE)," ")</f>
        <v xml:space="preserve"> </v>
      </c>
      <c r="M329" s="84" t="str" cm="1">
        <f t="array" ref="M329">IFERROR(VLOOKUP($A329,'The List'!$B1:$AS671,20,FALSE)," ")</f>
        <v xml:space="preserve"> </v>
      </c>
      <c r="N329" s="84" t="str" cm="1">
        <f t="array" ref="N329">IFERROR(VLOOKUP($A329,'The List'!$B1:$AS671,21,FALSE)," ")</f>
        <v xml:space="preserve"> </v>
      </c>
      <c r="O329" s="84" t="str" cm="1">
        <f t="array" ref="O329">IFERROR(VLOOKUP($A329,'The List'!$B1:$AS671,22,FALSE)," ")</f>
        <v xml:space="preserve"> </v>
      </c>
      <c r="P329" s="84" t="str" cm="1">
        <f t="array" ref="P329">IFERROR(VLOOKUP($A329,'The List'!$B1:$AS671,23,FALSE)," ")</f>
        <v xml:space="preserve"> </v>
      </c>
      <c r="Q329" s="84" t="str" cm="1">
        <f t="array" ref="Q329">IFERROR(VLOOKUP($A329,'The List'!$B1:$AS671,24,FALSE)," ")</f>
        <v xml:space="preserve"> </v>
      </c>
      <c r="R329" s="84" t="str" cm="1">
        <f t="array" ref="R329">IFERROR(VLOOKUP($A329,'The List'!$B1:$AS671,25,FALSE)," ")</f>
        <v xml:space="preserve"> </v>
      </c>
      <c r="S329" s="84" t="str" cm="1">
        <f t="array" ref="S329">IFERROR(VLOOKUP($A329,'The List'!$B1:$AS671,26,FALSE)," ")</f>
        <v xml:space="preserve"> </v>
      </c>
      <c r="T329" s="84" t="str" cm="1">
        <f t="array" ref="T329">IFERROR(VLOOKUP($A329,'The List'!$B1:$AS671,27,FALSE)," ")</f>
        <v xml:space="preserve"> </v>
      </c>
      <c r="U329" s="84" t="str" cm="1">
        <f t="array" ref="U329">IFERROR(VLOOKUP($A329,'The List'!$B1:$AS671,28,FALSE)," ")</f>
        <v xml:space="preserve"> </v>
      </c>
      <c r="V329" s="84" t="str" cm="1">
        <f t="array" ref="V329">IFERROR(VLOOKUP($A329,'The List'!$B1:$AS671,29,FALSE)," ")</f>
        <v xml:space="preserve"> </v>
      </c>
      <c r="W329" s="84" t="str" cm="1">
        <f t="array" ref="W329">IFERROR(VLOOKUP($A329,'The List'!$B1:$AS671,30,FALSE)," ")</f>
        <v xml:space="preserve"> </v>
      </c>
      <c r="X329" s="84" t="str" cm="1">
        <f t="array" ref="X329">IFERROR(VLOOKUP($A329,'The List'!$B1:$AS671,31,FALSE)," ")</f>
        <v xml:space="preserve"> </v>
      </c>
      <c r="Y329" s="84" t="str" cm="1">
        <f t="array" ref="Y329">IFERROR(VLOOKUP($A329,'The List'!$B1:$AS671,32,FALSE)," ")</f>
        <v xml:space="preserve"> </v>
      </c>
      <c r="Z329" s="84" t="str" cm="1">
        <f t="array" ref="Z329">IFERROR(VLOOKUP($A329,'The List'!$B1:$AS671,33,FALSE)," ")</f>
        <v xml:space="preserve"> </v>
      </c>
      <c r="AA329" s="85"/>
      <c r="AB329" s="90"/>
      <c r="AC329" s="90"/>
      <c r="AD329" s="90"/>
      <c r="AE329" s="90"/>
      <c r="AF329" s="90"/>
    </row>
    <row r="330" spans="1:32" ht="21.25" customHeight="1" x14ac:dyDescent="0.15">
      <c r="A330" s="24"/>
      <c r="B330" s="96" t="str" cm="1">
        <f t="array" ref="B330">IFERROR(VLOOKUP($A330,'The List'!$B1:$AS671,3,FALSE)," ")</f>
        <v xml:space="preserve"> </v>
      </c>
      <c r="C330" s="98" t="str" cm="1">
        <f t="array" ref="C330">IFERROR(VLOOKUP($A330,'The List'!$B1:$AS671,4,FALSE)," ")</f>
        <v xml:space="preserve"> </v>
      </c>
      <c r="D330" s="18" t="str" cm="1">
        <f t="array" ref="D330">IFERROR(VLOOKUP($A330,'The List'!$B1:$AS671,5,FALSE)," ")</f>
        <v xml:space="preserve"> </v>
      </c>
      <c r="E330" s="18" t="str" cm="1">
        <f t="array" ref="E330">IFERROR(VLOOKUP($A330,'The List'!$B1:$AS671,6,FALSE)," ")</f>
        <v xml:space="preserve"> </v>
      </c>
      <c r="F330" s="92" t="str" cm="1">
        <f t="array" ref="F330">IFERROR(VLOOKUP($A330,'The List'!$B1:$AS671,8,FALSE)," ")</f>
        <v xml:space="preserve"> </v>
      </c>
      <c r="G330" s="92" t="str" cm="1">
        <f t="array" ref="G330">IFERROR(VLOOKUP($A330,'The List'!$B1:$AS671,10,FALSE)," ")</f>
        <v xml:space="preserve"> </v>
      </c>
      <c r="H330" s="55"/>
      <c r="I330" s="84" t="str" cm="1">
        <f t="array" ref="I330">IFERROR(VLOOKUP($A330,'The List'!$B1:$AS671,16,FALSE)," ")</f>
        <v xml:space="preserve"> </v>
      </c>
      <c r="J330" s="84" t="str" cm="1">
        <f t="array" ref="J330">IFERROR(VLOOKUP($A330,'The List'!$B1:$AS671,17,FALSE)," ")</f>
        <v xml:space="preserve"> </v>
      </c>
      <c r="K330" s="84" t="str" cm="1">
        <f t="array" ref="K330">IFERROR(VLOOKUP($A330,'The List'!$B1:$AS671,18,FALSE)," ")</f>
        <v xml:space="preserve"> </v>
      </c>
      <c r="L330" s="84" t="str" cm="1">
        <f t="array" ref="L330">IFERROR(VLOOKUP($A330,'The List'!$B1:$AS671,19,FALSE)," ")</f>
        <v xml:space="preserve"> </v>
      </c>
      <c r="M330" s="84" t="str" cm="1">
        <f t="array" ref="M330">IFERROR(VLOOKUP($A330,'The List'!$B1:$AS671,20,FALSE)," ")</f>
        <v xml:space="preserve"> </v>
      </c>
      <c r="N330" s="84" t="str" cm="1">
        <f t="array" ref="N330">IFERROR(VLOOKUP($A330,'The List'!$B1:$AS671,21,FALSE)," ")</f>
        <v xml:space="preserve"> </v>
      </c>
      <c r="O330" s="84" t="str" cm="1">
        <f t="array" ref="O330">IFERROR(VLOOKUP($A330,'The List'!$B1:$AS671,22,FALSE)," ")</f>
        <v xml:space="preserve"> </v>
      </c>
      <c r="P330" s="84" t="str" cm="1">
        <f t="array" ref="P330">IFERROR(VLOOKUP($A330,'The List'!$B1:$AS671,23,FALSE)," ")</f>
        <v xml:space="preserve"> </v>
      </c>
      <c r="Q330" s="84" t="str" cm="1">
        <f t="array" ref="Q330">IFERROR(VLOOKUP($A330,'The List'!$B1:$AS671,24,FALSE)," ")</f>
        <v xml:space="preserve"> </v>
      </c>
      <c r="R330" s="84" t="str" cm="1">
        <f t="array" ref="R330">IFERROR(VLOOKUP($A330,'The List'!$B1:$AS671,25,FALSE)," ")</f>
        <v xml:space="preserve"> </v>
      </c>
      <c r="S330" s="84" t="str" cm="1">
        <f t="array" ref="S330">IFERROR(VLOOKUP($A330,'The List'!$B1:$AS671,26,FALSE)," ")</f>
        <v xml:space="preserve"> </v>
      </c>
      <c r="T330" s="84" t="str" cm="1">
        <f t="array" ref="T330">IFERROR(VLOOKUP($A330,'The List'!$B1:$AS671,27,FALSE)," ")</f>
        <v xml:space="preserve"> </v>
      </c>
      <c r="U330" s="84" t="str" cm="1">
        <f t="array" ref="U330">IFERROR(VLOOKUP($A330,'The List'!$B1:$AS671,28,FALSE)," ")</f>
        <v xml:space="preserve"> </v>
      </c>
      <c r="V330" s="84" t="str" cm="1">
        <f t="array" ref="V330">IFERROR(VLOOKUP($A330,'The List'!$B1:$AS671,29,FALSE)," ")</f>
        <v xml:space="preserve"> </v>
      </c>
      <c r="W330" s="84" t="str" cm="1">
        <f t="array" ref="W330">IFERROR(VLOOKUP($A330,'The List'!$B1:$AS671,30,FALSE)," ")</f>
        <v xml:space="preserve"> </v>
      </c>
      <c r="X330" s="84" t="str" cm="1">
        <f t="array" ref="X330">IFERROR(VLOOKUP($A330,'The List'!$B1:$AS671,31,FALSE)," ")</f>
        <v xml:space="preserve"> </v>
      </c>
      <c r="Y330" s="84" t="str" cm="1">
        <f t="array" ref="Y330">IFERROR(VLOOKUP($A330,'The List'!$B1:$AS671,32,FALSE)," ")</f>
        <v xml:space="preserve"> </v>
      </c>
      <c r="Z330" s="84" t="str" cm="1">
        <f t="array" ref="Z330">IFERROR(VLOOKUP($A330,'The List'!$B1:$AS671,33,FALSE)," ")</f>
        <v xml:space="preserve"> </v>
      </c>
      <c r="AA330" s="85"/>
      <c r="AB330" s="90"/>
      <c r="AC330" s="90"/>
      <c r="AD330" s="90"/>
      <c r="AE330" s="90"/>
      <c r="AF330" s="90"/>
    </row>
    <row r="331" spans="1:32" ht="21.25" customHeight="1" x14ac:dyDescent="0.15">
      <c r="A331" s="24"/>
      <c r="B331" s="96" t="str" cm="1">
        <f t="array" ref="B331">IFERROR(VLOOKUP($A331,'The List'!$B1:$AS671,3,FALSE)," ")</f>
        <v xml:space="preserve"> </v>
      </c>
      <c r="C331" s="98" t="str" cm="1">
        <f t="array" ref="C331">IFERROR(VLOOKUP($A331,'The List'!$B1:$AS671,4,FALSE)," ")</f>
        <v xml:space="preserve"> </v>
      </c>
      <c r="D331" s="18" t="str" cm="1">
        <f t="array" ref="D331">IFERROR(VLOOKUP($A331,'The List'!$B1:$AS671,5,FALSE)," ")</f>
        <v xml:space="preserve"> </v>
      </c>
      <c r="E331" s="18" t="str" cm="1">
        <f t="array" ref="E331">IFERROR(VLOOKUP($A331,'The List'!$B1:$AS671,6,FALSE)," ")</f>
        <v xml:space="preserve"> </v>
      </c>
      <c r="F331" s="92" t="str" cm="1">
        <f t="array" ref="F331">IFERROR(VLOOKUP($A331,'The List'!$B1:$AS671,8,FALSE)," ")</f>
        <v xml:space="preserve"> </v>
      </c>
      <c r="G331" s="92" t="str" cm="1">
        <f t="array" ref="G331">IFERROR(VLOOKUP($A331,'The List'!$B1:$AS671,10,FALSE)," ")</f>
        <v xml:space="preserve"> </v>
      </c>
      <c r="H331" s="55"/>
      <c r="I331" s="84" t="str" cm="1">
        <f t="array" ref="I331">IFERROR(VLOOKUP($A331,'The List'!$B1:$AS671,16,FALSE)," ")</f>
        <v xml:space="preserve"> </v>
      </c>
      <c r="J331" s="84" t="str" cm="1">
        <f t="array" ref="J331">IFERROR(VLOOKUP($A331,'The List'!$B1:$AS671,17,FALSE)," ")</f>
        <v xml:space="preserve"> </v>
      </c>
      <c r="K331" s="84" t="str" cm="1">
        <f t="array" ref="K331">IFERROR(VLOOKUP($A331,'The List'!$B1:$AS671,18,FALSE)," ")</f>
        <v xml:space="preserve"> </v>
      </c>
      <c r="L331" s="84" t="str" cm="1">
        <f t="array" ref="L331">IFERROR(VLOOKUP($A331,'The List'!$B1:$AS671,19,FALSE)," ")</f>
        <v xml:space="preserve"> </v>
      </c>
      <c r="M331" s="84" t="str" cm="1">
        <f t="array" ref="M331">IFERROR(VLOOKUP($A331,'The List'!$B1:$AS671,20,FALSE)," ")</f>
        <v xml:space="preserve"> </v>
      </c>
      <c r="N331" s="84" t="str" cm="1">
        <f t="array" ref="N331">IFERROR(VLOOKUP($A331,'The List'!$B1:$AS671,21,FALSE)," ")</f>
        <v xml:space="preserve"> </v>
      </c>
      <c r="O331" s="84" t="str" cm="1">
        <f t="array" ref="O331">IFERROR(VLOOKUP($A331,'The List'!$B1:$AS671,22,FALSE)," ")</f>
        <v xml:space="preserve"> </v>
      </c>
      <c r="P331" s="84" t="str" cm="1">
        <f t="array" ref="P331">IFERROR(VLOOKUP($A331,'The List'!$B1:$AS671,23,FALSE)," ")</f>
        <v xml:space="preserve"> </v>
      </c>
      <c r="Q331" s="84" t="str" cm="1">
        <f t="array" ref="Q331">IFERROR(VLOOKUP($A331,'The List'!$B1:$AS671,24,FALSE)," ")</f>
        <v xml:space="preserve"> </v>
      </c>
      <c r="R331" s="84" t="str" cm="1">
        <f t="array" ref="R331">IFERROR(VLOOKUP($A331,'The List'!$B1:$AS671,25,FALSE)," ")</f>
        <v xml:space="preserve"> </v>
      </c>
      <c r="S331" s="84" t="str" cm="1">
        <f t="array" ref="S331">IFERROR(VLOOKUP($A331,'The List'!$B1:$AS671,26,FALSE)," ")</f>
        <v xml:space="preserve"> </v>
      </c>
      <c r="T331" s="84" t="str" cm="1">
        <f t="array" ref="T331">IFERROR(VLOOKUP($A331,'The List'!$B1:$AS671,27,FALSE)," ")</f>
        <v xml:space="preserve"> </v>
      </c>
      <c r="U331" s="84" t="str" cm="1">
        <f t="array" ref="U331">IFERROR(VLOOKUP($A331,'The List'!$B1:$AS671,28,FALSE)," ")</f>
        <v xml:space="preserve"> </v>
      </c>
      <c r="V331" s="84" t="str" cm="1">
        <f t="array" ref="V331">IFERROR(VLOOKUP($A331,'The List'!$B1:$AS671,29,FALSE)," ")</f>
        <v xml:space="preserve"> </v>
      </c>
      <c r="W331" s="84" t="str" cm="1">
        <f t="array" ref="W331">IFERROR(VLOOKUP($A331,'The List'!$B1:$AS671,30,FALSE)," ")</f>
        <v xml:space="preserve"> </v>
      </c>
      <c r="X331" s="84" t="str" cm="1">
        <f t="array" ref="X331">IFERROR(VLOOKUP($A331,'The List'!$B1:$AS671,31,FALSE)," ")</f>
        <v xml:space="preserve"> </v>
      </c>
      <c r="Y331" s="84" t="str" cm="1">
        <f t="array" ref="Y331">IFERROR(VLOOKUP($A331,'The List'!$B1:$AS671,32,FALSE)," ")</f>
        <v xml:space="preserve"> </v>
      </c>
      <c r="Z331" s="84" t="str" cm="1">
        <f t="array" ref="Z331">IFERROR(VLOOKUP($A331,'The List'!$B1:$AS671,33,FALSE)," ")</f>
        <v xml:space="preserve"> </v>
      </c>
      <c r="AA331" s="85"/>
      <c r="AB331" s="90"/>
      <c r="AC331" s="90"/>
      <c r="AD331" s="90"/>
      <c r="AE331" s="90"/>
      <c r="AF331" s="90"/>
    </row>
    <row r="332" spans="1:32" ht="21.25" customHeight="1" x14ac:dyDescent="0.15">
      <c r="A332" s="24"/>
      <c r="B332" s="96" t="str" cm="1">
        <f t="array" ref="B332">IFERROR(VLOOKUP($A332,'The List'!$B1:$AS671,3,FALSE)," ")</f>
        <v xml:space="preserve"> </v>
      </c>
      <c r="C332" s="98" t="str" cm="1">
        <f t="array" ref="C332">IFERROR(VLOOKUP($A332,'The List'!$B1:$AS671,4,FALSE)," ")</f>
        <v xml:space="preserve"> </v>
      </c>
      <c r="D332" s="18" t="str" cm="1">
        <f t="array" ref="D332">IFERROR(VLOOKUP($A332,'The List'!$B1:$AS671,5,FALSE)," ")</f>
        <v xml:space="preserve"> </v>
      </c>
      <c r="E332" s="18" t="str" cm="1">
        <f t="array" ref="E332">IFERROR(VLOOKUP($A332,'The List'!$B1:$AS671,6,FALSE)," ")</f>
        <v xml:space="preserve"> </v>
      </c>
      <c r="F332" s="92" t="str" cm="1">
        <f t="array" ref="F332">IFERROR(VLOOKUP($A332,'The List'!$B1:$AS671,8,FALSE)," ")</f>
        <v xml:space="preserve"> </v>
      </c>
      <c r="G332" s="92" t="str" cm="1">
        <f t="array" ref="G332">IFERROR(VLOOKUP($A332,'The List'!$B1:$AS671,10,FALSE)," ")</f>
        <v xml:space="preserve"> </v>
      </c>
      <c r="H332" s="55"/>
      <c r="I332" s="84" t="str" cm="1">
        <f t="array" ref="I332">IFERROR(VLOOKUP($A332,'The List'!$B1:$AS671,16,FALSE)," ")</f>
        <v xml:space="preserve"> </v>
      </c>
      <c r="J332" s="84" t="str" cm="1">
        <f t="array" ref="J332">IFERROR(VLOOKUP($A332,'The List'!$B1:$AS671,17,FALSE)," ")</f>
        <v xml:space="preserve"> </v>
      </c>
      <c r="K332" s="84" t="str" cm="1">
        <f t="array" ref="K332">IFERROR(VLOOKUP($A332,'The List'!$B1:$AS671,18,FALSE)," ")</f>
        <v xml:space="preserve"> </v>
      </c>
      <c r="L332" s="84" t="str" cm="1">
        <f t="array" ref="L332">IFERROR(VLOOKUP($A332,'The List'!$B1:$AS671,19,FALSE)," ")</f>
        <v xml:space="preserve"> </v>
      </c>
      <c r="M332" s="84" t="str" cm="1">
        <f t="array" ref="M332">IFERROR(VLOOKUP($A332,'The List'!$B1:$AS671,20,FALSE)," ")</f>
        <v xml:space="preserve"> </v>
      </c>
      <c r="N332" s="84" t="str" cm="1">
        <f t="array" ref="N332">IFERROR(VLOOKUP($A332,'The List'!$B1:$AS671,21,FALSE)," ")</f>
        <v xml:space="preserve"> </v>
      </c>
      <c r="O332" s="84" t="str" cm="1">
        <f t="array" ref="O332">IFERROR(VLOOKUP($A332,'The List'!$B1:$AS671,22,FALSE)," ")</f>
        <v xml:space="preserve"> </v>
      </c>
      <c r="P332" s="84" t="str" cm="1">
        <f t="array" ref="P332">IFERROR(VLOOKUP($A332,'The List'!$B1:$AS671,23,FALSE)," ")</f>
        <v xml:space="preserve"> </v>
      </c>
      <c r="Q332" s="84" t="str" cm="1">
        <f t="array" ref="Q332">IFERROR(VLOOKUP($A332,'The List'!$B1:$AS671,24,FALSE)," ")</f>
        <v xml:space="preserve"> </v>
      </c>
      <c r="R332" s="84" t="str" cm="1">
        <f t="array" ref="R332">IFERROR(VLOOKUP($A332,'The List'!$B1:$AS671,25,FALSE)," ")</f>
        <v xml:space="preserve"> </v>
      </c>
      <c r="S332" s="84" t="str" cm="1">
        <f t="array" ref="S332">IFERROR(VLOOKUP($A332,'The List'!$B1:$AS671,26,FALSE)," ")</f>
        <v xml:space="preserve"> </v>
      </c>
      <c r="T332" s="84" t="str" cm="1">
        <f t="array" ref="T332">IFERROR(VLOOKUP($A332,'The List'!$B1:$AS671,27,FALSE)," ")</f>
        <v xml:space="preserve"> </v>
      </c>
      <c r="U332" s="84" t="str" cm="1">
        <f t="array" ref="U332">IFERROR(VLOOKUP($A332,'The List'!$B1:$AS671,28,FALSE)," ")</f>
        <v xml:space="preserve"> </v>
      </c>
      <c r="V332" s="84" t="str" cm="1">
        <f t="array" ref="V332">IFERROR(VLOOKUP($A332,'The List'!$B1:$AS671,29,FALSE)," ")</f>
        <v xml:space="preserve"> </v>
      </c>
      <c r="W332" s="84" t="str" cm="1">
        <f t="array" ref="W332">IFERROR(VLOOKUP($A332,'The List'!$B1:$AS671,30,FALSE)," ")</f>
        <v xml:space="preserve"> </v>
      </c>
      <c r="X332" s="84" t="str" cm="1">
        <f t="array" ref="X332">IFERROR(VLOOKUP($A332,'The List'!$B1:$AS671,31,FALSE)," ")</f>
        <v xml:space="preserve"> </v>
      </c>
      <c r="Y332" s="84" t="str" cm="1">
        <f t="array" ref="Y332">IFERROR(VLOOKUP($A332,'The List'!$B1:$AS671,32,FALSE)," ")</f>
        <v xml:space="preserve"> </v>
      </c>
      <c r="Z332" s="84" t="str" cm="1">
        <f t="array" ref="Z332">IFERROR(VLOOKUP($A332,'The List'!$B1:$AS671,33,FALSE)," ")</f>
        <v xml:space="preserve"> </v>
      </c>
      <c r="AA332" s="85"/>
      <c r="AB332" s="90"/>
      <c r="AC332" s="90"/>
      <c r="AD332" s="90"/>
      <c r="AE332" s="90"/>
      <c r="AF332" s="90"/>
    </row>
    <row r="333" spans="1:32" ht="21.25" customHeight="1" x14ac:dyDescent="0.15">
      <c r="A333" s="24"/>
      <c r="B333" s="99" t="str" cm="1">
        <f t="array" ref="B333">IFERROR(VLOOKUP($A333,'The List'!$B1:$AS671,3,FALSE)," ")</f>
        <v xml:space="preserve"> </v>
      </c>
      <c r="C333" s="101" t="str" cm="1">
        <f t="array" ref="C333">IFERROR(VLOOKUP($A333,'The List'!$B1:$AS671,4,FALSE)," ")</f>
        <v xml:space="preserve"> </v>
      </c>
      <c r="D333" s="18" t="str" cm="1">
        <f t="array" ref="D333">IFERROR(VLOOKUP($A333,'The List'!$B1:$AS671,5,FALSE)," ")</f>
        <v xml:space="preserve"> </v>
      </c>
      <c r="E333" s="18" t="str" cm="1">
        <f t="array" ref="E333">IFERROR(VLOOKUP($A333,'The List'!$B1:$AS671,6,FALSE)," ")</f>
        <v xml:space="preserve"> </v>
      </c>
      <c r="F333" s="92" t="str" cm="1">
        <f t="array" ref="F333">IFERROR(VLOOKUP($A333,'The List'!$B1:$AS671,8,FALSE)," ")</f>
        <v xml:space="preserve"> </v>
      </c>
      <c r="G333" s="92" t="str" cm="1">
        <f t="array" ref="G333">IFERROR(VLOOKUP($A333,'The List'!$B1:$AS671,10,FALSE)," ")</f>
        <v xml:space="preserve"> </v>
      </c>
      <c r="H333" s="55"/>
      <c r="I333" s="84" t="str" cm="1">
        <f t="array" ref="I333">IFERROR(VLOOKUP($A333,'The List'!$B1:$AS671,16,FALSE)," ")</f>
        <v xml:space="preserve"> </v>
      </c>
      <c r="J333" s="84" t="str" cm="1">
        <f t="array" ref="J333">IFERROR(VLOOKUP($A333,'The List'!$B1:$AS671,17,FALSE)," ")</f>
        <v xml:space="preserve"> </v>
      </c>
      <c r="K333" s="84" t="str" cm="1">
        <f t="array" ref="K333">IFERROR(VLOOKUP($A333,'The List'!$B1:$AS671,18,FALSE)," ")</f>
        <v xml:space="preserve"> </v>
      </c>
      <c r="L333" s="84" t="str" cm="1">
        <f t="array" ref="L333">IFERROR(VLOOKUP($A333,'The List'!$B1:$AS671,19,FALSE)," ")</f>
        <v xml:space="preserve"> </v>
      </c>
      <c r="M333" s="84" t="str" cm="1">
        <f t="array" ref="M333">IFERROR(VLOOKUP($A333,'The List'!$B1:$AS671,20,FALSE)," ")</f>
        <v xml:space="preserve"> </v>
      </c>
      <c r="N333" s="84" t="str" cm="1">
        <f t="array" ref="N333">IFERROR(VLOOKUP($A333,'The List'!$B1:$AS671,21,FALSE)," ")</f>
        <v xml:space="preserve"> </v>
      </c>
      <c r="O333" s="84" t="str" cm="1">
        <f t="array" ref="O333">IFERROR(VLOOKUP($A333,'The List'!$B1:$AS671,22,FALSE)," ")</f>
        <v xml:space="preserve"> </v>
      </c>
      <c r="P333" s="84" t="str" cm="1">
        <f t="array" ref="P333">IFERROR(VLOOKUP($A333,'The List'!$B1:$AS671,23,FALSE)," ")</f>
        <v xml:space="preserve"> </v>
      </c>
      <c r="Q333" s="84" t="str" cm="1">
        <f t="array" ref="Q333">IFERROR(VLOOKUP($A333,'The List'!$B1:$AS671,24,FALSE)," ")</f>
        <v xml:space="preserve"> </v>
      </c>
      <c r="R333" s="84" t="str" cm="1">
        <f t="array" ref="R333">IFERROR(VLOOKUP($A333,'The List'!$B1:$AS671,25,FALSE)," ")</f>
        <v xml:space="preserve"> </v>
      </c>
      <c r="S333" s="84" t="str" cm="1">
        <f t="array" ref="S333">IFERROR(VLOOKUP($A333,'The List'!$B1:$AS671,26,FALSE)," ")</f>
        <v xml:space="preserve"> </v>
      </c>
      <c r="T333" s="84" t="str" cm="1">
        <f t="array" ref="T333">IFERROR(VLOOKUP($A333,'The List'!$B1:$AS671,27,FALSE)," ")</f>
        <v xml:space="preserve"> </v>
      </c>
      <c r="U333" s="84" t="str" cm="1">
        <f t="array" ref="U333">IFERROR(VLOOKUP($A333,'The List'!$B1:$AS671,28,FALSE)," ")</f>
        <v xml:space="preserve"> </v>
      </c>
      <c r="V333" s="84" t="str" cm="1">
        <f t="array" ref="V333">IFERROR(VLOOKUP($A333,'The List'!$B1:$AS671,29,FALSE)," ")</f>
        <v xml:space="preserve"> </v>
      </c>
      <c r="W333" s="84" t="str" cm="1">
        <f t="array" ref="W333">IFERROR(VLOOKUP($A333,'The List'!$B1:$AS671,30,FALSE)," ")</f>
        <v xml:space="preserve"> </v>
      </c>
      <c r="X333" s="84" t="str" cm="1">
        <f t="array" ref="X333">IFERROR(VLOOKUP($A333,'The List'!$B1:$AS671,31,FALSE)," ")</f>
        <v xml:space="preserve"> </v>
      </c>
      <c r="Y333" s="84" t="str" cm="1">
        <f t="array" ref="Y333">IFERROR(VLOOKUP($A333,'The List'!$B1:$AS671,32,FALSE)," ")</f>
        <v xml:space="preserve"> </v>
      </c>
      <c r="Z333" s="84" t="str" cm="1">
        <f t="array" ref="Z333">IFERROR(VLOOKUP($A333,'The List'!$B1:$AS671,33,FALSE)," ")</f>
        <v xml:space="preserve"> </v>
      </c>
      <c r="AA333" s="85"/>
      <c r="AB333" s="90"/>
      <c r="AC333" s="90"/>
      <c r="AD333" s="90"/>
      <c r="AE333" s="90"/>
      <c r="AF333" s="90"/>
    </row>
    <row r="334" spans="1:32" ht="21.25" customHeight="1" x14ac:dyDescent="0.15">
      <c r="A334" s="24"/>
      <c r="B334" s="99" t="str" cm="1">
        <f t="array" ref="B334">IFERROR(VLOOKUP($A334,'The List'!$B1:$AS671,3,FALSE)," ")</f>
        <v xml:space="preserve"> </v>
      </c>
      <c r="C334" s="101" t="str" cm="1">
        <f t="array" ref="C334">IFERROR(VLOOKUP($A334,'The List'!$B1:$AS671,4,FALSE)," ")</f>
        <v xml:space="preserve"> </v>
      </c>
      <c r="D334" s="18" t="str" cm="1">
        <f t="array" ref="D334">IFERROR(VLOOKUP($A334,'The List'!$B1:$AS671,5,FALSE)," ")</f>
        <v xml:space="preserve"> </v>
      </c>
      <c r="E334" s="18" t="str" cm="1">
        <f t="array" ref="E334">IFERROR(VLOOKUP($A334,'The List'!$B1:$AS671,6,FALSE)," ")</f>
        <v xml:space="preserve"> </v>
      </c>
      <c r="F334" s="92" t="str" cm="1">
        <f t="array" ref="F334">IFERROR(VLOOKUP($A334,'The List'!$B1:$AS671,8,FALSE)," ")</f>
        <v xml:space="preserve"> </v>
      </c>
      <c r="G334" s="92" t="str" cm="1">
        <f t="array" ref="G334">IFERROR(VLOOKUP($A334,'The List'!$B1:$AS671,10,FALSE)," ")</f>
        <v xml:space="preserve"> </v>
      </c>
      <c r="H334" s="55"/>
      <c r="I334" s="84" t="str" cm="1">
        <f t="array" ref="I334">IFERROR(VLOOKUP($A334,'The List'!$B1:$AS671,16,FALSE)," ")</f>
        <v xml:space="preserve"> </v>
      </c>
      <c r="J334" s="84" t="str" cm="1">
        <f t="array" ref="J334">IFERROR(VLOOKUP($A334,'The List'!$B1:$AS671,17,FALSE)," ")</f>
        <v xml:space="preserve"> </v>
      </c>
      <c r="K334" s="84" t="str" cm="1">
        <f t="array" ref="K334">IFERROR(VLOOKUP($A334,'The List'!$B1:$AS671,18,FALSE)," ")</f>
        <v xml:space="preserve"> </v>
      </c>
      <c r="L334" s="84" t="str" cm="1">
        <f t="array" ref="L334">IFERROR(VLOOKUP($A334,'The List'!$B1:$AS671,19,FALSE)," ")</f>
        <v xml:space="preserve"> </v>
      </c>
      <c r="M334" s="84" t="str" cm="1">
        <f t="array" ref="M334">IFERROR(VLOOKUP($A334,'The List'!$B1:$AS671,20,FALSE)," ")</f>
        <v xml:space="preserve"> </v>
      </c>
      <c r="N334" s="84" t="str" cm="1">
        <f t="array" ref="N334">IFERROR(VLOOKUP($A334,'The List'!$B1:$AS671,21,FALSE)," ")</f>
        <v xml:space="preserve"> </v>
      </c>
      <c r="O334" s="84" t="str" cm="1">
        <f t="array" ref="O334">IFERROR(VLOOKUP($A334,'The List'!$B1:$AS671,22,FALSE)," ")</f>
        <v xml:space="preserve"> </v>
      </c>
      <c r="P334" s="84" t="str" cm="1">
        <f t="array" ref="P334">IFERROR(VLOOKUP($A334,'The List'!$B1:$AS671,23,FALSE)," ")</f>
        <v xml:space="preserve"> </v>
      </c>
      <c r="Q334" s="84" t="str" cm="1">
        <f t="array" ref="Q334">IFERROR(VLOOKUP($A334,'The List'!$B1:$AS671,24,FALSE)," ")</f>
        <v xml:space="preserve"> </v>
      </c>
      <c r="R334" s="84" t="str" cm="1">
        <f t="array" ref="R334">IFERROR(VLOOKUP($A334,'The List'!$B1:$AS671,25,FALSE)," ")</f>
        <v xml:space="preserve"> </v>
      </c>
      <c r="S334" s="84" t="str" cm="1">
        <f t="array" ref="S334">IFERROR(VLOOKUP($A334,'The List'!$B1:$AS671,26,FALSE)," ")</f>
        <v xml:space="preserve"> </v>
      </c>
      <c r="T334" s="84" t="str" cm="1">
        <f t="array" ref="T334">IFERROR(VLOOKUP($A334,'The List'!$B1:$AS671,27,FALSE)," ")</f>
        <v xml:space="preserve"> </v>
      </c>
      <c r="U334" s="84" t="str" cm="1">
        <f t="array" ref="U334">IFERROR(VLOOKUP($A334,'The List'!$B1:$AS671,28,FALSE)," ")</f>
        <v xml:space="preserve"> </v>
      </c>
      <c r="V334" s="84" t="str" cm="1">
        <f t="array" ref="V334">IFERROR(VLOOKUP($A334,'The List'!$B1:$AS671,29,FALSE)," ")</f>
        <v xml:space="preserve"> </v>
      </c>
      <c r="W334" s="84" t="str" cm="1">
        <f t="array" ref="W334">IFERROR(VLOOKUP($A334,'The List'!$B1:$AS671,30,FALSE)," ")</f>
        <v xml:space="preserve"> </v>
      </c>
      <c r="X334" s="84" t="str" cm="1">
        <f t="array" ref="X334">IFERROR(VLOOKUP($A334,'The List'!$B1:$AS671,31,FALSE)," ")</f>
        <v xml:space="preserve"> </v>
      </c>
      <c r="Y334" s="84" t="str" cm="1">
        <f t="array" ref="Y334">IFERROR(VLOOKUP($A334,'The List'!$B1:$AS671,32,FALSE)," ")</f>
        <v xml:space="preserve"> </v>
      </c>
      <c r="Z334" s="84" t="str" cm="1">
        <f t="array" ref="Z334">IFERROR(VLOOKUP($A334,'The List'!$B1:$AS671,33,FALSE)," ")</f>
        <v xml:space="preserve"> </v>
      </c>
      <c r="AA334" s="85"/>
      <c r="AB334" s="90"/>
      <c r="AC334" s="90"/>
      <c r="AD334" s="90"/>
      <c r="AE334" s="90"/>
      <c r="AF334" s="90"/>
    </row>
    <row r="335" spans="1:32" ht="21.25" customHeight="1" x14ac:dyDescent="0.15">
      <c r="A335" s="24"/>
      <c r="B335" s="99" t="str" cm="1">
        <f t="array" ref="B335">IFERROR(VLOOKUP($A335,'The List'!$B1:$AS671,3,FALSE)," ")</f>
        <v xml:space="preserve"> </v>
      </c>
      <c r="C335" s="101" t="str" cm="1">
        <f t="array" ref="C335">IFERROR(VLOOKUP($A335,'The List'!$B1:$AS671,4,FALSE)," ")</f>
        <v xml:space="preserve"> </v>
      </c>
      <c r="D335" s="18" t="str" cm="1">
        <f t="array" ref="D335">IFERROR(VLOOKUP($A335,'The List'!$B1:$AS671,5,FALSE)," ")</f>
        <v xml:space="preserve"> </v>
      </c>
      <c r="E335" s="18" t="str" cm="1">
        <f t="array" ref="E335">IFERROR(VLOOKUP($A335,'The List'!$B1:$AS671,6,FALSE)," ")</f>
        <v xml:space="preserve"> </v>
      </c>
      <c r="F335" s="92" t="str" cm="1">
        <f t="array" ref="F335">IFERROR(VLOOKUP($A335,'The List'!$B1:$AS671,8,FALSE)," ")</f>
        <v xml:space="preserve"> </v>
      </c>
      <c r="G335" s="92" t="str" cm="1">
        <f t="array" ref="G335">IFERROR(VLOOKUP($A335,'The List'!$B1:$AS671,10,FALSE)," ")</f>
        <v xml:space="preserve"> </v>
      </c>
      <c r="H335" s="55"/>
      <c r="I335" s="84" t="str" cm="1">
        <f t="array" ref="I335">IFERROR(VLOOKUP($A335,'The List'!$B1:$AS671,16,FALSE)," ")</f>
        <v xml:space="preserve"> </v>
      </c>
      <c r="J335" s="84" t="str" cm="1">
        <f t="array" ref="J335">IFERROR(VLOOKUP($A335,'The List'!$B1:$AS671,17,FALSE)," ")</f>
        <v xml:space="preserve"> </v>
      </c>
      <c r="K335" s="84" t="str" cm="1">
        <f t="array" ref="K335">IFERROR(VLOOKUP($A335,'The List'!$B1:$AS671,18,FALSE)," ")</f>
        <v xml:space="preserve"> </v>
      </c>
      <c r="L335" s="84" t="str" cm="1">
        <f t="array" ref="L335">IFERROR(VLOOKUP($A335,'The List'!$B1:$AS671,19,FALSE)," ")</f>
        <v xml:space="preserve"> </v>
      </c>
      <c r="M335" s="84" t="str" cm="1">
        <f t="array" ref="M335">IFERROR(VLOOKUP($A335,'The List'!$B1:$AS671,20,FALSE)," ")</f>
        <v xml:space="preserve"> </v>
      </c>
      <c r="N335" s="84" t="str" cm="1">
        <f t="array" ref="N335">IFERROR(VLOOKUP($A335,'The List'!$B1:$AS671,21,FALSE)," ")</f>
        <v xml:space="preserve"> </v>
      </c>
      <c r="O335" s="84" t="str" cm="1">
        <f t="array" ref="O335">IFERROR(VLOOKUP($A335,'The List'!$B1:$AS671,22,FALSE)," ")</f>
        <v xml:space="preserve"> </v>
      </c>
      <c r="P335" s="84" t="str" cm="1">
        <f t="array" ref="P335">IFERROR(VLOOKUP($A335,'The List'!$B1:$AS671,23,FALSE)," ")</f>
        <v xml:space="preserve"> </v>
      </c>
      <c r="Q335" s="84" t="str" cm="1">
        <f t="array" ref="Q335">IFERROR(VLOOKUP($A335,'The List'!$B1:$AS671,24,FALSE)," ")</f>
        <v xml:space="preserve"> </v>
      </c>
      <c r="R335" s="84" t="str" cm="1">
        <f t="array" ref="R335">IFERROR(VLOOKUP($A335,'The List'!$B1:$AS671,25,FALSE)," ")</f>
        <v xml:space="preserve"> </v>
      </c>
      <c r="S335" s="84" t="str" cm="1">
        <f t="array" ref="S335">IFERROR(VLOOKUP($A335,'The List'!$B1:$AS671,26,FALSE)," ")</f>
        <v xml:space="preserve"> </v>
      </c>
      <c r="T335" s="84" t="str" cm="1">
        <f t="array" ref="T335">IFERROR(VLOOKUP($A335,'The List'!$B1:$AS671,27,FALSE)," ")</f>
        <v xml:space="preserve"> </v>
      </c>
      <c r="U335" s="84" t="str" cm="1">
        <f t="array" ref="U335">IFERROR(VLOOKUP($A335,'The List'!$B1:$AS671,28,FALSE)," ")</f>
        <v xml:space="preserve"> </v>
      </c>
      <c r="V335" s="84" t="str" cm="1">
        <f t="array" ref="V335">IFERROR(VLOOKUP($A335,'The List'!$B1:$AS671,29,FALSE)," ")</f>
        <v xml:space="preserve"> </v>
      </c>
      <c r="W335" s="84" t="str" cm="1">
        <f t="array" ref="W335">IFERROR(VLOOKUP($A335,'The List'!$B1:$AS671,30,FALSE)," ")</f>
        <v xml:space="preserve"> </v>
      </c>
      <c r="X335" s="84" t="str" cm="1">
        <f t="array" ref="X335">IFERROR(VLOOKUP($A335,'The List'!$B1:$AS671,31,FALSE)," ")</f>
        <v xml:space="preserve"> </v>
      </c>
      <c r="Y335" s="84" t="str" cm="1">
        <f t="array" ref="Y335">IFERROR(VLOOKUP($A335,'The List'!$B1:$AS671,32,FALSE)," ")</f>
        <v xml:space="preserve"> </v>
      </c>
      <c r="Z335" s="84" t="str" cm="1">
        <f t="array" ref="Z335">IFERROR(VLOOKUP($A335,'The List'!$B1:$AS671,33,FALSE)," ")</f>
        <v xml:space="preserve"> </v>
      </c>
      <c r="AA335" s="85"/>
      <c r="AB335" s="90"/>
      <c r="AC335" s="90"/>
      <c r="AD335" s="90"/>
      <c r="AE335" s="90"/>
      <c r="AF335" s="90"/>
    </row>
    <row r="336" spans="1:32" ht="21.25" customHeight="1" x14ac:dyDescent="0.15">
      <c r="A336" s="24"/>
      <c r="B336" s="99" t="str" cm="1">
        <f t="array" ref="B336">IFERROR(VLOOKUP($A336,'The List'!$B1:$AS671,3,FALSE)," ")</f>
        <v xml:space="preserve"> </v>
      </c>
      <c r="C336" s="101" t="str" cm="1">
        <f t="array" ref="C336">IFERROR(VLOOKUP($A336,'The List'!$B1:$AS671,4,FALSE)," ")</f>
        <v xml:space="preserve"> </v>
      </c>
      <c r="D336" s="18" t="str" cm="1">
        <f t="array" ref="D336">IFERROR(VLOOKUP($A336,'The List'!$B1:$AS671,5,FALSE)," ")</f>
        <v xml:space="preserve"> </v>
      </c>
      <c r="E336" s="18" t="str" cm="1">
        <f t="array" ref="E336">IFERROR(VLOOKUP($A336,'The List'!$B1:$AS671,6,FALSE)," ")</f>
        <v xml:space="preserve"> </v>
      </c>
      <c r="F336" s="92" t="str" cm="1">
        <f t="array" ref="F336">IFERROR(VLOOKUP($A336,'The List'!$B1:$AS671,8,FALSE)," ")</f>
        <v xml:space="preserve"> </v>
      </c>
      <c r="G336" s="92" t="str" cm="1">
        <f t="array" ref="G336">IFERROR(VLOOKUP($A336,'The List'!$B1:$AS671,10,FALSE)," ")</f>
        <v xml:space="preserve"> </v>
      </c>
      <c r="H336" s="55"/>
      <c r="I336" s="84" t="str" cm="1">
        <f t="array" ref="I336">IFERROR(VLOOKUP($A336,'The List'!$B1:$AS671,16,FALSE)," ")</f>
        <v xml:space="preserve"> </v>
      </c>
      <c r="J336" s="84" t="str" cm="1">
        <f t="array" ref="J336">IFERROR(VLOOKUP($A336,'The List'!$B1:$AS671,17,FALSE)," ")</f>
        <v xml:space="preserve"> </v>
      </c>
      <c r="K336" s="84" t="str" cm="1">
        <f t="array" ref="K336">IFERROR(VLOOKUP($A336,'The List'!$B1:$AS671,18,FALSE)," ")</f>
        <v xml:space="preserve"> </v>
      </c>
      <c r="L336" s="84" t="str" cm="1">
        <f t="array" ref="L336">IFERROR(VLOOKUP($A336,'The List'!$B1:$AS671,19,FALSE)," ")</f>
        <v xml:space="preserve"> </v>
      </c>
      <c r="M336" s="84" t="str" cm="1">
        <f t="array" ref="M336">IFERROR(VLOOKUP($A336,'The List'!$B1:$AS671,20,FALSE)," ")</f>
        <v xml:space="preserve"> </v>
      </c>
      <c r="N336" s="84" t="str" cm="1">
        <f t="array" ref="N336">IFERROR(VLOOKUP($A336,'The List'!$B1:$AS671,21,FALSE)," ")</f>
        <v xml:space="preserve"> </v>
      </c>
      <c r="O336" s="84" t="str" cm="1">
        <f t="array" ref="O336">IFERROR(VLOOKUP($A336,'The List'!$B1:$AS671,22,FALSE)," ")</f>
        <v xml:space="preserve"> </v>
      </c>
      <c r="P336" s="84" t="str" cm="1">
        <f t="array" ref="P336">IFERROR(VLOOKUP($A336,'The List'!$B1:$AS671,23,FALSE)," ")</f>
        <v xml:space="preserve"> </v>
      </c>
      <c r="Q336" s="84" t="str" cm="1">
        <f t="array" ref="Q336">IFERROR(VLOOKUP($A336,'The List'!$B1:$AS671,24,FALSE)," ")</f>
        <v xml:space="preserve"> </v>
      </c>
      <c r="R336" s="84" t="str" cm="1">
        <f t="array" ref="R336">IFERROR(VLOOKUP($A336,'The List'!$B1:$AS671,25,FALSE)," ")</f>
        <v xml:space="preserve"> </v>
      </c>
      <c r="S336" s="84" t="str" cm="1">
        <f t="array" ref="S336">IFERROR(VLOOKUP($A336,'The List'!$B1:$AS671,26,FALSE)," ")</f>
        <v xml:space="preserve"> </v>
      </c>
      <c r="T336" s="84" t="str" cm="1">
        <f t="array" ref="T336">IFERROR(VLOOKUP($A336,'The List'!$B1:$AS671,27,FALSE)," ")</f>
        <v xml:space="preserve"> </v>
      </c>
      <c r="U336" s="84" t="str" cm="1">
        <f t="array" ref="U336">IFERROR(VLOOKUP($A336,'The List'!$B1:$AS671,28,FALSE)," ")</f>
        <v xml:space="preserve"> </v>
      </c>
      <c r="V336" s="84" t="str" cm="1">
        <f t="array" ref="V336">IFERROR(VLOOKUP($A336,'The List'!$B1:$AS671,29,FALSE)," ")</f>
        <v xml:space="preserve"> </v>
      </c>
      <c r="W336" s="84" t="str" cm="1">
        <f t="array" ref="W336">IFERROR(VLOOKUP($A336,'The List'!$B1:$AS671,30,FALSE)," ")</f>
        <v xml:space="preserve"> </v>
      </c>
      <c r="X336" s="84" t="str" cm="1">
        <f t="array" ref="X336">IFERROR(VLOOKUP($A336,'The List'!$B1:$AS671,31,FALSE)," ")</f>
        <v xml:space="preserve"> </v>
      </c>
      <c r="Y336" s="84" t="str" cm="1">
        <f t="array" ref="Y336">IFERROR(VLOOKUP($A336,'The List'!$B1:$AS671,32,FALSE)," ")</f>
        <v xml:space="preserve"> </v>
      </c>
      <c r="Z336" s="84" t="str" cm="1">
        <f t="array" ref="Z336">IFERROR(VLOOKUP($A336,'The List'!$B1:$AS671,33,FALSE)," ")</f>
        <v xml:space="preserve"> </v>
      </c>
      <c r="AA336" s="85"/>
      <c r="AB336" s="90"/>
      <c r="AC336" s="90"/>
      <c r="AD336" s="90"/>
      <c r="AE336" s="90"/>
      <c r="AF336" s="90"/>
    </row>
    <row r="337" spans="1:32" ht="21.25" customHeight="1" x14ac:dyDescent="0.15">
      <c r="A337" s="24"/>
      <c r="B337" s="99" t="str" cm="1">
        <f t="array" ref="B337">IFERROR(VLOOKUP($A337,'The List'!$B1:$AS671,3,FALSE)," ")</f>
        <v xml:space="preserve"> </v>
      </c>
      <c r="C337" s="101" t="str" cm="1">
        <f t="array" ref="C337">IFERROR(VLOOKUP($A337,'The List'!$B1:$AS671,4,FALSE)," ")</f>
        <v xml:space="preserve"> </v>
      </c>
      <c r="D337" s="18" t="str" cm="1">
        <f t="array" ref="D337">IFERROR(VLOOKUP($A337,'The List'!$B1:$AS671,5,FALSE)," ")</f>
        <v xml:space="preserve"> </v>
      </c>
      <c r="E337" s="18" t="str" cm="1">
        <f t="array" ref="E337">IFERROR(VLOOKUP($A337,'The List'!$B1:$AS671,6,FALSE)," ")</f>
        <v xml:space="preserve"> </v>
      </c>
      <c r="F337" s="92" t="str" cm="1">
        <f t="array" ref="F337">IFERROR(VLOOKUP($A337,'The List'!$B1:$AS671,8,FALSE)," ")</f>
        <v xml:space="preserve"> </v>
      </c>
      <c r="G337" s="92" t="str" cm="1">
        <f t="array" ref="G337">IFERROR(VLOOKUP($A337,'The List'!$B1:$AS671,10,FALSE)," ")</f>
        <v xml:space="preserve"> </v>
      </c>
      <c r="H337" s="55"/>
      <c r="I337" s="84" t="str" cm="1">
        <f t="array" ref="I337">IFERROR(VLOOKUP($A337,'The List'!$B1:$AS671,16,FALSE)," ")</f>
        <v xml:space="preserve"> </v>
      </c>
      <c r="J337" s="84" t="str" cm="1">
        <f t="array" ref="J337">IFERROR(VLOOKUP($A337,'The List'!$B1:$AS671,17,FALSE)," ")</f>
        <v xml:space="preserve"> </v>
      </c>
      <c r="K337" s="84" t="str" cm="1">
        <f t="array" ref="K337">IFERROR(VLOOKUP($A337,'The List'!$B1:$AS671,18,FALSE)," ")</f>
        <v xml:space="preserve"> </v>
      </c>
      <c r="L337" s="84" t="str" cm="1">
        <f t="array" ref="L337">IFERROR(VLOOKUP($A337,'The List'!$B1:$AS671,19,FALSE)," ")</f>
        <v xml:space="preserve"> </v>
      </c>
      <c r="M337" s="84" t="str" cm="1">
        <f t="array" ref="M337">IFERROR(VLOOKUP($A337,'The List'!$B1:$AS671,20,FALSE)," ")</f>
        <v xml:space="preserve"> </v>
      </c>
      <c r="N337" s="84" t="str" cm="1">
        <f t="array" ref="N337">IFERROR(VLOOKUP($A337,'The List'!$B1:$AS671,21,FALSE)," ")</f>
        <v xml:space="preserve"> </v>
      </c>
      <c r="O337" s="84" t="str" cm="1">
        <f t="array" ref="O337">IFERROR(VLOOKUP($A337,'The List'!$B1:$AS671,22,FALSE)," ")</f>
        <v xml:space="preserve"> </v>
      </c>
      <c r="P337" s="84" t="str" cm="1">
        <f t="array" ref="P337">IFERROR(VLOOKUP($A337,'The List'!$B1:$AS671,23,FALSE)," ")</f>
        <v xml:space="preserve"> </v>
      </c>
      <c r="Q337" s="84" t="str" cm="1">
        <f t="array" ref="Q337">IFERROR(VLOOKUP($A337,'The List'!$B1:$AS671,24,FALSE)," ")</f>
        <v xml:space="preserve"> </v>
      </c>
      <c r="R337" s="84" t="str" cm="1">
        <f t="array" ref="R337">IFERROR(VLOOKUP($A337,'The List'!$B1:$AS671,25,FALSE)," ")</f>
        <v xml:space="preserve"> </v>
      </c>
      <c r="S337" s="84" t="str" cm="1">
        <f t="array" ref="S337">IFERROR(VLOOKUP($A337,'The List'!$B1:$AS671,26,FALSE)," ")</f>
        <v xml:space="preserve"> </v>
      </c>
      <c r="T337" s="84" t="str" cm="1">
        <f t="array" ref="T337">IFERROR(VLOOKUP($A337,'The List'!$B1:$AS671,27,FALSE)," ")</f>
        <v xml:space="preserve"> </v>
      </c>
      <c r="U337" s="84" t="str" cm="1">
        <f t="array" ref="U337">IFERROR(VLOOKUP($A337,'The List'!$B1:$AS671,28,FALSE)," ")</f>
        <v xml:space="preserve"> </v>
      </c>
      <c r="V337" s="84" t="str" cm="1">
        <f t="array" ref="V337">IFERROR(VLOOKUP($A337,'The List'!$B1:$AS671,29,FALSE)," ")</f>
        <v xml:space="preserve"> </v>
      </c>
      <c r="W337" s="84" t="str" cm="1">
        <f t="array" ref="W337">IFERROR(VLOOKUP($A337,'The List'!$B1:$AS671,30,FALSE)," ")</f>
        <v xml:space="preserve"> </v>
      </c>
      <c r="X337" s="84" t="str" cm="1">
        <f t="array" ref="X337">IFERROR(VLOOKUP($A337,'The List'!$B1:$AS671,31,FALSE)," ")</f>
        <v xml:space="preserve"> </v>
      </c>
      <c r="Y337" s="84" t="str" cm="1">
        <f t="array" ref="Y337">IFERROR(VLOOKUP($A337,'The List'!$B1:$AS671,32,FALSE)," ")</f>
        <v xml:space="preserve"> </v>
      </c>
      <c r="Z337" s="84" t="str" cm="1">
        <f t="array" ref="Z337">IFERROR(VLOOKUP($A337,'The List'!$B1:$AS671,33,FALSE)," ")</f>
        <v xml:space="preserve"> </v>
      </c>
      <c r="AA337" s="85"/>
      <c r="AB337" s="90"/>
      <c r="AC337" s="90"/>
      <c r="AD337" s="90"/>
      <c r="AE337" s="90"/>
      <c r="AF337" s="90"/>
    </row>
    <row r="338" spans="1:32" ht="21.25" customHeight="1" x14ac:dyDescent="0.15">
      <c r="A338" s="24"/>
      <c r="B338" s="99" t="str" cm="1">
        <f t="array" ref="B338">IFERROR(VLOOKUP($A338,'The List'!$B1:$AS671,3,FALSE)," ")</f>
        <v xml:space="preserve"> </v>
      </c>
      <c r="C338" s="101" t="str" cm="1">
        <f t="array" ref="C338">IFERROR(VLOOKUP($A338,'The List'!$B1:$AS671,4,FALSE)," ")</f>
        <v xml:space="preserve"> </v>
      </c>
      <c r="D338" s="18" t="str" cm="1">
        <f t="array" ref="D338">IFERROR(VLOOKUP($A338,'The List'!$B1:$AS671,5,FALSE)," ")</f>
        <v xml:space="preserve"> </v>
      </c>
      <c r="E338" s="18" t="str" cm="1">
        <f t="array" ref="E338">IFERROR(VLOOKUP($A338,'The List'!$B1:$AS671,6,FALSE)," ")</f>
        <v xml:space="preserve"> </v>
      </c>
      <c r="F338" s="92" t="str" cm="1">
        <f t="array" ref="F338">IFERROR(VLOOKUP($A338,'The List'!$B1:$AS671,8,FALSE)," ")</f>
        <v xml:space="preserve"> </v>
      </c>
      <c r="G338" s="92" t="str" cm="1">
        <f t="array" ref="G338">IFERROR(VLOOKUP($A338,'The List'!$B1:$AS671,10,FALSE)," ")</f>
        <v xml:space="preserve"> </v>
      </c>
      <c r="H338" s="55"/>
      <c r="I338" s="84" t="str" cm="1">
        <f t="array" ref="I338">IFERROR(VLOOKUP($A338,'The List'!$B1:$AS671,16,FALSE)," ")</f>
        <v xml:space="preserve"> </v>
      </c>
      <c r="J338" s="84" t="str" cm="1">
        <f t="array" ref="J338">IFERROR(VLOOKUP($A338,'The List'!$B1:$AS671,17,FALSE)," ")</f>
        <v xml:space="preserve"> </v>
      </c>
      <c r="K338" s="84" t="str" cm="1">
        <f t="array" ref="K338">IFERROR(VLOOKUP($A338,'The List'!$B1:$AS671,18,FALSE)," ")</f>
        <v xml:space="preserve"> </v>
      </c>
      <c r="L338" s="84" t="str" cm="1">
        <f t="array" ref="L338">IFERROR(VLOOKUP($A338,'The List'!$B1:$AS671,19,FALSE)," ")</f>
        <v xml:space="preserve"> </v>
      </c>
      <c r="M338" s="84" t="str" cm="1">
        <f t="array" ref="M338">IFERROR(VLOOKUP($A338,'The List'!$B1:$AS671,20,FALSE)," ")</f>
        <v xml:space="preserve"> </v>
      </c>
      <c r="N338" s="84" t="str" cm="1">
        <f t="array" ref="N338">IFERROR(VLOOKUP($A338,'The List'!$B1:$AS671,21,FALSE)," ")</f>
        <v xml:space="preserve"> </v>
      </c>
      <c r="O338" s="84" t="str" cm="1">
        <f t="array" ref="O338">IFERROR(VLOOKUP($A338,'The List'!$B1:$AS671,22,FALSE)," ")</f>
        <v xml:space="preserve"> </v>
      </c>
      <c r="P338" s="84" t="str" cm="1">
        <f t="array" ref="P338">IFERROR(VLOOKUP($A338,'The List'!$B1:$AS671,23,FALSE)," ")</f>
        <v xml:space="preserve"> </v>
      </c>
      <c r="Q338" s="84" t="str" cm="1">
        <f t="array" ref="Q338">IFERROR(VLOOKUP($A338,'The List'!$B1:$AS671,24,FALSE)," ")</f>
        <v xml:space="preserve"> </v>
      </c>
      <c r="R338" s="84" t="str" cm="1">
        <f t="array" ref="R338">IFERROR(VLOOKUP($A338,'The List'!$B1:$AS671,25,FALSE)," ")</f>
        <v xml:space="preserve"> </v>
      </c>
      <c r="S338" s="84" t="str" cm="1">
        <f t="array" ref="S338">IFERROR(VLOOKUP($A338,'The List'!$B1:$AS671,26,FALSE)," ")</f>
        <v xml:space="preserve"> </v>
      </c>
      <c r="T338" s="84" t="str" cm="1">
        <f t="array" ref="T338">IFERROR(VLOOKUP($A338,'The List'!$B1:$AS671,27,FALSE)," ")</f>
        <v xml:space="preserve"> </v>
      </c>
      <c r="U338" s="84" t="str" cm="1">
        <f t="array" ref="U338">IFERROR(VLOOKUP($A338,'The List'!$B1:$AS671,28,FALSE)," ")</f>
        <v xml:space="preserve"> </v>
      </c>
      <c r="V338" s="84" t="str" cm="1">
        <f t="array" ref="V338">IFERROR(VLOOKUP($A338,'The List'!$B1:$AS671,29,FALSE)," ")</f>
        <v xml:space="preserve"> </v>
      </c>
      <c r="W338" s="84" t="str" cm="1">
        <f t="array" ref="W338">IFERROR(VLOOKUP($A338,'The List'!$B1:$AS671,30,FALSE)," ")</f>
        <v xml:space="preserve"> </v>
      </c>
      <c r="X338" s="84" t="str" cm="1">
        <f t="array" ref="X338">IFERROR(VLOOKUP($A338,'The List'!$B1:$AS671,31,FALSE)," ")</f>
        <v xml:space="preserve"> </v>
      </c>
      <c r="Y338" s="84" t="str" cm="1">
        <f t="array" ref="Y338">IFERROR(VLOOKUP($A338,'The List'!$B1:$AS671,32,FALSE)," ")</f>
        <v xml:space="preserve"> </v>
      </c>
      <c r="Z338" s="84" t="str" cm="1">
        <f t="array" ref="Z338">IFERROR(VLOOKUP($A338,'The List'!$B1:$AS671,33,FALSE)," ")</f>
        <v xml:space="preserve"> </v>
      </c>
      <c r="AA338" s="85"/>
      <c r="AB338" s="90"/>
      <c r="AC338" s="90"/>
      <c r="AD338" s="90"/>
      <c r="AE338" s="90"/>
      <c r="AF338" s="90"/>
    </row>
    <row r="339" spans="1:32" ht="21.25" customHeight="1" x14ac:dyDescent="0.15">
      <c r="A339" s="24"/>
      <c r="B339" s="99" t="str" cm="1">
        <f t="array" ref="B339">IFERROR(VLOOKUP($A339,'The List'!$B1:$AS671,3,FALSE)," ")</f>
        <v xml:space="preserve"> </v>
      </c>
      <c r="C339" s="101" t="str" cm="1">
        <f t="array" ref="C339">IFERROR(VLOOKUP($A339,'The List'!$B1:$AS671,4,FALSE)," ")</f>
        <v xml:space="preserve"> </v>
      </c>
      <c r="D339" s="18" t="str" cm="1">
        <f t="array" ref="D339">IFERROR(VLOOKUP($A339,'The List'!$B1:$AS671,5,FALSE)," ")</f>
        <v xml:space="preserve"> </v>
      </c>
      <c r="E339" s="18" t="str" cm="1">
        <f t="array" ref="E339">IFERROR(VLOOKUP($A339,'The List'!$B1:$AS671,6,FALSE)," ")</f>
        <v xml:space="preserve"> </v>
      </c>
      <c r="F339" s="92" t="str" cm="1">
        <f t="array" ref="F339">IFERROR(VLOOKUP($A339,'The List'!$B1:$AS671,8,FALSE)," ")</f>
        <v xml:space="preserve"> </v>
      </c>
      <c r="G339" s="92" t="str" cm="1">
        <f t="array" ref="G339">IFERROR(VLOOKUP($A339,'The List'!$B1:$AS671,10,FALSE)," ")</f>
        <v xml:space="preserve"> </v>
      </c>
      <c r="H339" s="55"/>
      <c r="I339" s="84" t="str" cm="1">
        <f t="array" ref="I339">IFERROR(VLOOKUP($A339,'The List'!$B1:$AS671,16,FALSE)," ")</f>
        <v xml:space="preserve"> </v>
      </c>
      <c r="J339" s="84" t="str" cm="1">
        <f t="array" ref="J339">IFERROR(VLOOKUP($A339,'The List'!$B1:$AS671,17,FALSE)," ")</f>
        <v xml:space="preserve"> </v>
      </c>
      <c r="K339" s="84" t="str" cm="1">
        <f t="array" ref="K339">IFERROR(VLOOKUP($A339,'The List'!$B1:$AS671,18,FALSE)," ")</f>
        <v xml:space="preserve"> </v>
      </c>
      <c r="L339" s="84" t="str" cm="1">
        <f t="array" ref="L339">IFERROR(VLOOKUP($A339,'The List'!$B1:$AS671,19,FALSE)," ")</f>
        <v xml:space="preserve"> </v>
      </c>
      <c r="M339" s="84" t="str" cm="1">
        <f t="array" ref="M339">IFERROR(VLOOKUP($A339,'The List'!$B1:$AS671,20,FALSE)," ")</f>
        <v xml:space="preserve"> </v>
      </c>
      <c r="N339" s="84" t="str" cm="1">
        <f t="array" ref="N339">IFERROR(VLOOKUP($A339,'The List'!$B1:$AS671,21,FALSE)," ")</f>
        <v xml:space="preserve"> </v>
      </c>
      <c r="O339" s="84" t="str" cm="1">
        <f t="array" ref="O339">IFERROR(VLOOKUP($A339,'The List'!$B1:$AS671,22,FALSE)," ")</f>
        <v xml:space="preserve"> </v>
      </c>
      <c r="P339" s="84" t="str" cm="1">
        <f t="array" ref="P339">IFERROR(VLOOKUP($A339,'The List'!$B1:$AS671,23,FALSE)," ")</f>
        <v xml:space="preserve"> </v>
      </c>
      <c r="Q339" s="84" t="str" cm="1">
        <f t="array" ref="Q339">IFERROR(VLOOKUP($A339,'The List'!$B1:$AS671,24,FALSE)," ")</f>
        <v xml:space="preserve"> </v>
      </c>
      <c r="R339" s="84" t="str" cm="1">
        <f t="array" ref="R339">IFERROR(VLOOKUP($A339,'The List'!$B1:$AS671,25,FALSE)," ")</f>
        <v xml:space="preserve"> </v>
      </c>
      <c r="S339" s="84" t="str" cm="1">
        <f t="array" ref="S339">IFERROR(VLOOKUP($A339,'The List'!$B1:$AS671,26,FALSE)," ")</f>
        <v xml:space="preserve"> </v>
      </c>
      <c r="T339" s="84" t="str" cm="1">
        <f t="array" ref="T339">IFERROR(VLOOKUP($A339,'The List'!$B1:$AS671,27,FALSE)," ")</f>
        <v xml:space="preserve"> </v>
      </c>
      <c r="U339" s="84" t="str" cm="1">
        <f t="array" ref="U339">IFERROR(VLOOKUP($A339,'The List'!$B1:$AS671,28,FALSE)," ")</f>
        <v xml:space="preserve"> </v>
      </c>
      <c r="V339" s="84" t="str" cm="1">
        <f t="array" ref="V339">IFERROR(VLOOKUP($A339,'The List'!$B1:$AS671,29,FALSE)," ")</f>
        <v xml:space="preserve"> </v>
      </c>
      <c r="W339" s="84" t="str" cm="1">
        <f t="array" ref="W339">IFERROR(VLOOKUP($A339,'The List'!$B1:$AS671,30,FALSE)," ")</f>
        <v xml:space="preserve"> </v>
      </c>
      <c r="X339" s="84" t="str" cm="1">
        <f t="array" ref="X339">IFERROR(VLOOKUP($A339,'The List'!$B1:$AS671,31,FALSE)," ")</f>
        <v xml:space="preserve"> </v>
      </c>
      <c r="Y339" s="84" t="str" cm="1">
        <f t="array" ref="Y339">IFERROR(VLOOKUP($A339,'The List'!$B1:$AS671,32,FALSE)," ")</f>
        <v xml:space="preserve"> </v>
      </c>
      <c r="Z339" s="84" t="str" cm="1">
        <f t="array" ref="Z339">IFERROR(VLOOKUP($A339,'The List'!$B1:$AS671,33,FALSE)," ")</f>
        <v xml:space="preserve"> </v>
      </c>
      <c r="AA339" s="85"/>
      <c r="AB339" s="90"/>
      <c r="AC339" s="90"/>
      <c r="AD339" s="90"/>
      <c r="AE339" s="90"/>
      <c r="AF339" s="90"/>
    </row>
    <row r="340" spans="1:32" ht="21.25" customHeight="1" x14ac:dyDescent="0.15">
      <c r="A340" s="103"/>
      <c r="B340" s="104" t="str" cm="1">
        <f t="array" ref="B340">IFERROR(VLOOKUP($A340,'The List'!$B1:$AS671,3,FALSE)," ")</f>
        <v xml:space="preserve"> </v>
      </c>
      <c r="C340" s="105" t="str" cm="1">
        <f t="array" ref="C340">IFERROR(VLOOKUP($A340,'The List'!$B1:$AS671,4,FALSE)," ")</f>
        <v xml:space="preserve"> </v>
      </c>
      <c r="D340" s="106" t="str" cm="1">
        <f t="array" ref="D340">IFERROR(VLOOKUP($A340,'The List'!$B1:$AS671,5,FALSE)," ")</f>
        <v xml:space="preserve"> </v>
      </c>
      <c r="E340" s="106" t="str" cm="1">
        <f t="array" ref="E340">IFERROR(VLOOKUP($A340,'The List'!$B1:$AS671,6,FALSE)," ")</f>
        <v xml:space="preserve"> </v>
      </c>
      <c r="F340" s="107" t="str" cm="1">
        <f t="array" ref="F340">IFERROR(VLOOKUP($A340,'The List'!$B1:$AS671,8,FALSE)," ")</f>
        <v xml:space="preserve"> </v>
      </c>
      <c r="G340" s="107" t="str" cm="1">
        <f t="array" ref="G340">IFERROR(VLOOKUP($A340,'The List'!$B1:$AS671,10,FALSE)," ")</f>
        <v xml:space="preserve"> </v>
      </c>
      <c r="H340" s="108"/>
      <c r="I340" s="109" t="str" cm="1">
        <f t="array" ref="I340">IFERROR(VLOOKUP($A340,'The List'!$B1:$AS671,16,FALSE)," ")</f>
        <v xml:space="preserve"> </v>
      </c>
      <c r="J340" s="109" t="str" cm="1">
        <f t="array" ref="J340">IFERROR(VLOOKUP($A340,'The List'!$B1:$AS671,17,FALSE)," ")</f>
        <v xml:space="preserve"> </v>
      </c>
      <c r="K340" s="109" t="str" cm="1">
        <f t="array" ref="K340">IFERROR(VLOOKUP($A340,'The List'!$B1:$AS671,18,FALSE)," ")</f>
        <v xml:space="preserve"> </v>
      </c>
      <c r="L340" s="109" t="str" cm="1">
        <f t="array" ref="L340">IFERROR(VLOOKUP($A340,'The List'!$B1:$AS671,19,FALSE)," ")</f>
        <v xml:space="preserve"> </v>
      </c>
      <c r="M340" s="109" t="str" cm="1">
        <f t="array" ref="M340">IFERROR(VLOOKUP($A340,'The List'!$B1:$AS671,20,FALSE)," ")</f>
        <v xml:space="preserve"> </v>
      </c>
      <c r="N340" s="109" t="str" cm="1">
        <f t="array" ref="N340">IFERROR(VLOOKUP($A340,'The List'!$B1:$AS671,21,FALSE)," ")</f>
        <v xml:space="preserve"> </v>
      </c>
      <c r="O340" s="109" t="str" cm="1">
        <f t="array" ref="O340">IFERROR(VLOOKUP($A340,'The List'!$B1:$AS671,22,FALSE)," ")</f>
        <v xml:space="preserve"> </v>
      </c>
      <c r="P340" s="109" t="str" cm="1">
        <f t="array" ref="P340">IFERROR(VLOOKUP($A340,'The List'!$B1:$AS671,23,FALSE)," ")</f>
        <v xml:space="preserve"> </v>
      </c>
      <c r="Q340" s="109" t="str" cm="1">
        <f t="array" ref="Q340">IFERROR(VLOOKUP($A340,'The List'!$B1:$AS671,24,FALSE)," ")</f>
        <v xml:space="preserve"> </v>
      </c>
      <c r="R340" s="109" t="str" cm="1">
        <f t="array" ref="R340">IFERROR(VLOOKUP($A340,'The List'!$B1:$AS671,25,FALSE)," ")</f>
        <v xml:space="preserve"> </v>
      </c>
      <c r="S340" s="109" t="str" cm="1">
        <f t="array" ref="S340">IFERROR(VLOOKUP($A340,'The List'!$B1:$AS671,26,FALSE)," ")</f>
        <v xml:space="preserve"> </v>
      </c>
      <c r="T340" s="109" t="str" cm="1">
        <f t="array" ref="T340">IFERROR(VLOOKUP($A340,'The List'!$B1:$AS671,27,FALSE)," ")</f>
        <v xml:space="preserve"> </v>
      </c>
      <c r="U340" s="109" t="str" cm="1">
        <f t="array" ref="U340">IFERROR(VLOOKUP($A340,'The List'!$B1:$AS671,28,FALSE)," ")</f>
        <v xml:space="preserve"> </v>
      </c>
      <c r="V340" s="109" t="str" cm="1">
        <f t="array" ref="V340">IFERROR(VLOOKUP($A340,'The List'!$B1:$AS671,29,FALSE)," ")</f>
        <v xml:space="preserve"> </v>
      </c>
      <c r="W340" s="109" t="str" cm="1">
        <f t="array" ref="W340">IFERROR(VLOOKUP($A340,'The List'!$B1:$AS671,30,FALSE)," ")</f>
        <v xml:space="preserve"> </v>
      </c>
      <c r="X340" s="109" t="str" cm="1">
        <f t="array" ref="X340">IFERROR(VLOOKUP($A340,'The List'!$B1:$AS671,31,FALSE)," ")</f>
        <v xml:space="preserve"> </v>
      </c>
      <c r="Y340" s="109" t="str" cm="1">
        <f t="array" ref="Y340">IFERROR(VLOOKUP($A340,'The List'!$B1:$AS671,32,FALSE)," ")</f>
        <v xml:space="preserve"> </v>
      </c>
      <c r="Z340" s="109" t="str" cm="1">
        <f t="array" ref="Z340">IFERROR(VLOOKUP($A340,'The List'!$B1:$AS671,33,FALSE)," ")</f>
        <v xml:space="preserve"> </v>
      </c>
      <c r="AA340" s="85"/>
      <c r="AB340" s="90"/>
      <c r="AC340" s="90"/>
      <c r="AD340" s="90"/>
      <c r="AE340" s="90"/>
      <c r="AF340" s="90"/>
    </row>
    <row r="341" spans="1:32" ht="21.25" customHeight="1" x14ac:dyDescent="0.15">
      <c r="A341" s="110"/>
      <c r="B341" s="111"/>
      <c r="C341" s="112"/>
      <c r="D341" s="113"/>
      <c r="E341" s="113" t="str" cm="1">
        <f t="array" ref="E341">IFERROR(AVERAGE(E321:E340)," ")</f>
        <v xml:space="preserve"> </v>
      </c>
      <c r="F341" s="115" cm="1">
        <f t="array" ref="F341">SUM(F321:F340)</f>
        <v>0</v>
      </c>
      <c r="G341" s="115" cm="1">
        <f t="array" ref="G341">SUM(G321:G340)</f>
        <v>0</v>
      </c>
      <c r="H341" s="116"/>
      <c r="I341" s="117" cm="1">
        <f t="array" ref="I341">SUM(I321:I340)</f>
        <v>0</v>
      </c>
      <c r="J341" s="116" t="e" cm="1">
        <f t="array" ref="J341">AVERAGE(J321:J340)</f>
        <v>#DIV/0!</v>
      </c>
      <c r="K341" s="117" cm="1">
        <f t="array" ref="K341">SUM(K321:K340)</f>
        <v>0</v>
      </c>
      <c r="L341" s="117" cm="1">
        <f t="array" ref="L341">SUM(L321:L340)</f>
        <v>0</v>
      </c>
      <c r="M341" s="117" cm="1">
        <f t="array" ref="M341">SUM(M321:M340)</f>
        <v>0</v>
      </c>
      <c r="N341" s="117" cm="1">
        <f t="array" ref="N341">SUM(N321:N340)</f>
        <v>0</v>
      </c>
      <c r="O341" s="117" cm="1">
        <f t="array" ref="O341">SUM(O321:O340)</f>
        <v>0</v>
      </c>
      <c r="P341" s="117" cm="1">
        <f t="array" ref="P341">SUM(P321:P340)</f>
        <v>0</v>
      </c>
      <c r="Q341" s="117" cm="1">
        <f t="array" ref="Q341">SUM(Q321:Q340)</f>
        <v>0</v>
      </c>
      <c r="R341" s="117" cm="1">
        <f t="array" ref="R341">SUM(R321:R340)</f>
        <v>0</v>
      </c>
      <c r="S341" s="117" cm="1">
        <f t="array" ref="S341">SUM(S321:S340)</f>
        <v>0</v>
      </c>
      <c r="T341" s="117" cm="1">
        <f t="array" ref="T341">SUM(T321:T340)</f>
        <v>0</v>
      </c>
      <c r="U341" s="117" cm="1">
        <f t="array" ref="U341">SUM(U321:U340)</f>
        <v>0</v>
      </c>
      <c r="V341" s="117" cm="1">
        <f t="array" ref="V341">SUM(V321:V340)</f>
        <v>0</v>
      </c>
      <c r="W341" s="117" cm="1">
        <f t="array" ref="W341">SUM(W321:W340)</f>
        <v>0</v>
      </c>
      <c r="X341" s="117" cm="1">
        <f t="array" ref="X341">SUM(X321:X340)</f>
        <v>0</v>
      </c>
      <c r="Y341" s="117" cm="1">
        <f t="array" ref="Y341">SUM(Y321:Y340)</f>
        <v>0</v>
      </c>
      <c r="Z341" s="118" cm="1">
        <f t="array" ref="Z341">IFERROR(X341/(X341+Y341),0)</f>
        <v>0</v>
      </c>
      <c r="AA341" s="85"/>
      <c r="AB341" s="119"/>
      <c r="AC341" s="119"/>
      <c r="AD341" s="119"/>
      <c r="AE341" s="119"/>
      <c r="AF341" s="119"/>
    </row>
    <row r="342" spans="1:32" ht="21.25" customHeight="1" x14ac:dyDescent="0.15">
      <c r="A342" s="37"/>
      <c r="B342" s="120"/>
      <c r="C342" s="121"/>
      <c r="D342" s="13"/>
      <c r="E342" s="13"/>
      <c r="F342" s="122"/>
      <c r="G342" s="123"/>
      <c r="H342" s="124"/>
      <c r="I342" s="12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90"/>
      <c r="AC342" s="90"/>
      <c r="AD342" s="90"/>
      <c r="AE342" s="90"/>
      <c r="AF342" s="90"/>
    </row>
    <row r="343" spans="1:32" ht="21.25" customHeight="1" x14ac:dyDescent="0.15">
      <c r="A343" s="40" t="s">
        <v>90</v>
      </c>
      <c r="B343" s="204" t="s">
        <v>92</v>
      </c>
      <c r="C343" s="194"/>
      <c r="D343" s="126" t="s">
        <v>93</v>
      </c>
      <c r="E343" s="126" t="s">
        <v>94</v>
      </c>
      <c r="F343" s="127" t="s">
        <v>96</v>
      </c>
      <c r="G343" s="127" t="s">
        <v>98</v>
      </c>
      <c r="H343" s="128"/>
      <c r="I343" s="129" t="s">
        <v>103</v>
      </c>
      <c r="J343" s="129" t="s">
        <v>118</v>
      </c>
      <c r="K343" s="129" t="s">
        <v>119</v>
      </c>
      <c r="L343" s="129" t="s">
        <v>120</v>
      </c>
      <c r="M343" s="129" t="s">
        <v>121</v>
      </c>
      <c r="N343" s="129" t="s">
        <v>122</v>
      </c>
      <c r="O343" s="129" t="s">
        <v>123</v>
      </c>
      <c r="P343" s="129" t="s">
        <v>124</v>
      </c>
      <c r="Q343" s="129" t="s">
        <v>125</v>
      </c>
      <c r="R343" s="85"/>
      <c r="S343" s="85"/>
      <c r="T343" s="85"/>
      <c r="U343" s="204" t="s">
        <v>814</v>
      </c>
      <c r="V343" s="205"/>
      <c r="W343" s="205"/>
      <c r="X343" s="204" t="s">
        <v>815</v>
      </c>
      <c r="Y343" s="205"/>
      <c r="Z343" s="205"/>
      <c r="AA343" s="85"/>
      <c r="AB343" s="85"/>
      <c r="AC343" s="85"/>
      <c r="AD343" s="85"/>
      <c r="AE343" s="85"/>
      <c r="AF343" s="85"/>
    </row>
    <row r="344" spans="1:32" ht="21.25" customHeight="1" x14ac:dyDescent="0.15">
      <c r="A344" s="146"/>
      <c r="B344" s="131" t="str" cm="1">
        <f t="array" ref="B344">IFERROR(VLOOKUP($A344,'The List'!$B1:$AS671,3,FALSE)," ")</f>
        <v xml:space="preserve"> </v>
      </c>
      <c r="C344" s="147" t="str" cm="1">
        <f t="array" ref="C344">IFERROR(VLOOKUP($A344,'The List'!$B1:$AS671,4,FALSE)," ")</f>
        <v xml:space="preserve"> </v>
      </c>
      <c r="D344" s="133" t="str" cm="1">
        <f t="array" ref="D344">IFERROR(VLOOKUP($A344,'The List'!$B1:$AS671,5,FALSE)," ")</f>
        <v xml:space="preserve"> </v>
      </c>
      <c r="E344" s="133" t="str" cm="1">
        <f t="array" ref="E344">IFERROR(VLOOKUP($A344,'The List'!$B1:$AS671,6,FALSE)," ")</f>
        <v xml:space="preserve"> </v>
      </c>
      <c r="F344" s="148" t="str" cm="1">
        <f t="array" ref="F344">IFERROR(VLOOKUP($A344,'The List'!$B1:$AS671,8,FALSE)," ")</f>
        <v xml:space="preserve"> </v>
      </c>
      <c r="G344" s="148" t="str" cm="1">
        <f t="array" ref="G344">IFERROR(VLOOKUP($A344,'The List'!$B1:$AS671,10,FALSE)," ")</f>
        <v xml:space="preserve"> </v>
      </c>
      <c r="H344" s="82"/>
      <c r="I344" s="149" t="str" cm="1">
        <f t="array" ref="I344">IFERROR(VLOOKUP($A344,'The List'!$B1:$AS671,35,FALSE)," ")</f>
        <v xml:space="preserve"> </v>
      </c>
      <c r="J344" s="149" t="str" cm="1">
        <f t="array" ref="J344">IFERROR(VLOOKUP($A344,'The List'!$B1:$AS671,36,FALSE)," ")</f>
        <v xml:space="preserve"> </v>
      </c>
      <c r="K344" s="149" t="str" cm="1">
        <f t="array" ref="K344">IFERROR(VLOOKUP($A344,'The List'!$B1:$AS671,37,FALSE)," ")</f>
        <v xml:space="preserve"> </v>
      </c>
      <c r="L344" s="149" t="str" cm="1">
        <f t="array" ref="L344">IFERROR(VLOOKUP($A344,'The List'!$B1:$AS671,38,FALSE)," ")</f>
        <v xml:space="preserve"> </v>
      </c>
      <c r="M344" s="149" t="str" cm="1">
        <f t="array" ref="M344">IFERROR(VLOOKUP($A344,'The List'!$B1:$AS671,39,FALSE)," ")</f>
        <v xml:space="preserve"> </v>
      </c>
      <c r="N344" s="149" t="str" cm="1">
        <f t="array" ref="N344">IFERROR(VLOOKUP($A344,'The List'!$B1:$AS671,40,FALSE)," ")</f>
        <v xml:space="preserve"> </v>
      </c>
      <c r="O344" s="149" t="str" cm="1">
        <f t="array" ref="O344">IFERROR(VLOOKUP($A344,'The List'!$B1:$AS671,41,FALSE)," ")</f>
        <v xml:space="preserve"> </v>
      </c>
      <c r="P344" s="149" t="str" cm="1">
        <f t="array" ref="P344">IFERROR(VLOOKUP($A344,'The List'!$B1:$AS671,42,FALSE)," ")</f>
        <v xml:space="preserve"> </v>
      </c>
      <c r="Q344" s="149" t="str" cm="1">
        <f t="array" ref="Q344">IFERROR(VLOOKUP($A344,'The List'!$B1:$AS671,43,FALSE)," ")</f>
        <v xml:space="preserve"> </v>
      </c>
      <c r="R344" s="85"/>
      <c r="S344" s="85"/>
      <c r="T344" s="139" t="str" cm="1">
        <f t="array" ref="T344">A320</f>
        <v>TEAM 12</v>
      </c>
      <c r="U344" s="206" cm="1">
        <f t="array" ref="U344">F341+F347</f>
        <v>0</v>
      </c>
      <c r="V344" s="194"/>
      <c r="W344" s="194"/>
      <c r="X344" s="206" cm="1">
        <f t="array" ref="X344">G347+G341</f>
        <v>0</v>
      </c>
      <c r="Y344" s="194"/>
      <c r="Z344" s="194"/>
      <c r="AA344" s="85"/>
      <c r="AB344" s="85"/>
      <c r="AC344" s="85"/>
      <c r="AD344" s="85"/>
      <c r="AE344" s="85"/>
      <c r="AF344" s="85"/>
    </row>
    <row r="345" spans="1:32" ht="21.25" customHeight="1" x14ac:dyDescent="0.15">
      <c r="A345" s="24"/>
      <c r="B345" s="140" t="str" cm="1">
        <f t="array" ref="B345">IFERROR(VLOOKUP($A345,'The List'!$B1:$AS671,3,FALSE)," ")</f>
        <v xml:space="preserve"> </v>
      </c>
      <c r="C345" s="141" t="str" cm="1">
        <f t="array" ref="C345">IFERROR(VLOOKUP($A345,'The List'!$B1:$AS671,4,FALSE)," ")</f>
        <v xml:space="preserve"> </v>
      </c>
      <c r="D345" s="18" t="str" cm="1">
        <f t="array" ref="D345">IFERROR(VLOOKUP($A345,'The List'!$B1:$AS671,5,FALSE)," ")</f>
        <v xml:space="preserve"> </v>
      </c>
      <c r="E345" s="18" t="str" cm="1">
        <f t="array" ref="E345">IFERROR(VLOOKUP($A345,'The List'!$B1:$AS671,6,FALSE)," ")</f>
        <v xml:space="preserve"> </v>
      </c>
      <c r="F345" s="92" t="str" cm="1">
        <f t="array" ref="F345">IFERROR(VLOOKUP($A345,'The List'!$B1:$AS671,8,FALSE)," ")</f>
        <v xml:space="preserve"> </v>
      </c>
      <c r="G345" s="92" t="str" cm="1">
        <f t="array" ref="G345">IFERROR(VLOOKUP($A345,'The List'!$B1:$AS671,10,FALSE)," ")</f>
        <v xml:space="preserve"> </v>
      </c>
      <c r="H345" s="55"/>
      <c r="I345" s="84" t="str" cm="1">
        <f t="array" ref="I345">IFERROR(VLOOKUP($A345,'The List'!$B1:$AS671,35,FALSE)," ")</f>
        <v xml:space="preserve"> </v>
      </c>
      <c r="J345" s="84" t="str" cm="1">
        <f t="array" ref="J345">IFERROR(VLOOKUP($A345,'The List'!$B1:$AS671,36,FALSE)," ")</f>
        <v xml:space="preserve"> </v>
      </c>
      <c r="K345" s="84" t="str" cm="1">
        <f t="array" ref="K345">IFERROR(VLOOKUP($A345,'The List'!$B1:$AS671,37,FALSE)," ")</f>
        <v xml:space="preserve"> </v>
      </c>
      <c r="L345" s="84" t="str" cm="1">
        <f t="array" ref="L345">IFERROR(VLOOKUP($A345,'The List'!$B1:$AS671,38,FALSE)," ")</f>
        <v xml:space="preserve"> </v>
      </c>
      <c r="M345" s="84" t="str" cm="1">
        <f t="array" ref="M345">IFERROR(VLOOKUP($A345,'The List'!$B1:$AS671,39,FALSE)," ")</f>
        <v xml:space="preserve"> </v>
      </c>
      <c r="N345" s="84" t="str" cm="1">
        <f t="array" ref="N345">IFERROR(VLOOKUP($A345,'The List'!$B1:$AS671,40,FALSE)," ")</f>
        <v xml:space="preserve"> </v>
      </c>
      <c r="O345" s="84" t="str" cm="1">
        <f t="array" ref="O345">IFERROR(VLOOKUP($A345,'The List'!$B1:$AS671,41,FALSE)," ")</f>
        <v xml:space="preserve"> </v>
      </c>
      <c r="P345" s="84" t="str" cm="1">
        <f t="array" ref="P345">IFERROR(VLOOKUP($A345,'The List'!$B1:$AS671,42,FALSE)," ")</f>
        <v xml:space="preserve"> </v>
      </c>
      <c r="Q345" s="84" t="str" cm="1">
        <f t="array" ref="Q345">IFERROR(VLOOKUP($A345,'The List'!$B1:$AS671,43,FALSE)," ")</f>
        <v xml:space="preserve"> </v>
      </c>
      <c r="R345" s="85"/>
      <c r="S345" s="85"/>
      <c r="T345" s="85"/>
      <c r="U345" s="194"/>
      <c r="V345" s="194"/>
      <c r="W345" s="194"/>
      <c r="X345" s="194"/>
      <c r="Y345" s="194"/>
      <c r="Z345" s="194"/>
      <c r="AA345" s="85"/>
      <c r="AB345" s="85"/>
      <c r="AC345" s="85"/>
      <c r="AD345" s="85"/>
      <c r="AE345" s="85"/>
      <c r="AF345" s="85"/>
    </row>
    <row r="346" spans="1:32" ht="21.25" customHeight="1" x14ac:dyDescent="0.15">
      <c r="A346" s="103"/>
      <c r="B346" s="142" t="str" cm="1">
        <f t="array" ref="B346">IFERROR(VLOOKUP($A346,'The List'!$B1:$AS671,3,FALSE)," ")</f>
        <v xml:space="preserve"> </v>
      </c>
      <c r="C346" s="143" t="str" cm="1">
        <f t="array" ref="C346">IFERROR(VLOOKUP($A346,'The List'!$B1:$AS671,4,FALSE)," ")</f>
        <v xml:space="preserve"> </v>
      </c>
      <c r="D346" s="106" t="str" cm="1">
        <f t="array" ref="D346">IFERROR(VLOOKUP($A346,'The List'!$B1:$AS671,5,FALSE)," ")</f>
        <v xml:space="preserve"> </v>
      </c>
      <c r="E346" s="106" t="str" cm="1">
        <f t="array" ref="E346">IFERROR(VLOOKUP($A346,'The List'!$B1:$AS671,6,FALSE)," ")</f>
        <v xml:space="preserve"> </v>
      </c>
      <c r="F346" s="107" t="str" cm="1">
        <f t="array" ref="F346">IFERROR(VLOOKUP($A346,'The List'!$B1:$AS671,8,FALSE)," ")</f>
        <v xml:space="preserve"> </v>
      </c>
      <c r="G346" s="107" t="str" cm="1">
        <f t="array" ref="G346">IFERROR(VLOOKUP($A346,'The List'!$B1:$AS671,10,FALSE)," ")</f>
        <v xml:space="preserve"> </v>
      </c>
      <c r="H346" s="108"/>
      <c r="I346" s="109" t="str" cm="1">
        <f t="array" ref="I346">IFERROR(VLOOKUP($A346,'The List'!$B1:$AS671,35,FALSE)," ")</f>
        <v xml:space="preserve"> </v>
      </c>
      <c r="J346" s="109" t="str" cm="1">
        <f t="array" ref="J346">IFERROR(VLOOKUP($A346,'The List'!$B1:$AS671,36,FALSE)," ")</f>
        <v xml:space="preserve"> </v>
      </c>
      <c r="K346" s="109" t="str" cm="1">
        <f t="array" ref="K346">IFERROR(VLOOKUP($A346,'The List'!$B1:$AS671,37,FALSE)," ")</f>
        <v xml:space="preserve"> </v>
      </c>
      <c r="L346" s="109" t="str" cm="1">
        <f t="array" ref="L346">IFERROR(VLOOKUP($A346,'The List'!$B1:$AS671,38,FALSE)," ")</f>
        <v xml:space="preserve"> </v>
      </c>
      <c r="M346" s="109" t="str" cm="1">
        <f t="array" ref="M346">IFERROR(VLOOKUP($A346,'The List'!$B1:$AS671,39,FALSE)," ")</f>
        <v xml:space="preserve"> </v>
      </c>
      <c r="N346" s="109" t="str" cm="1">
        <f t="array" ref="N346">IFERROR(VLOOKUP($A346,'The List'!$B1:$AS671,40,FALSE)," ")</f>
        <v xml:space="preserve"> </v>
      </c>
      <c r="O346" s="109" t="str" cm="1">
        <f t="array" ref="O346">IFERROR(VLOOKUP($A346,'The List'!$B1:$AS671,41,FALSE)," ")</f>
        <v xml:space="preserve"> </v>
      </c>
      <c r="P346" s="109" t="str" cm="1">
        <f t="array" ref="P346">IFERROR(VLOOKUP($A346,'The List'!$B1:$AS671,42,FALSE)," ")</f>
        <v xml:space="preserve"> </v>
      </c>
      <c r="Q346" s="109" t="str" cm="1">
        <f t="array" ref="Q346">IFERROR(VLOOKUP($A346,'The List'!$B1:$AS671,43,FALSE)," ")</f>
        <v xml:space="preserve"> </v>
      </c>
      <c r="R346" s="85"/>
      <c r="S346" s="85"/>
      <c r="T346" s="85"/>
      <c r="U346" s="194"/>
      <c r="V346" s="194"/>
      <c r="W346" s="194"/>
      <c r="X346" s="194"/>
      <c r="Y346" s="194"/>
      <c r="Z346" s="194"/>
      <c r="AA346" s="85"/>
      <c r="AB346" s="85"/>
      <c r="AC346" s="85"/>
      <c r="AD346" s="85"/>
      <c r="AE346" s="85"/>
      <c r="AF346" s="85"/>
    </row>
    <row r="347" spans="1:32" ht="21.25" customHeight="1" x14ac:dyDescent="0.15">
      <c r="A347" s="110"/>
      <c r="B347" s="111"/>
      <c r="C347" s="112"/>
      <c r="D347" s="113"/>
      <c r="E347" s="113" t="str" cm="1">
        <f t="array" ref="E347">IFERROR(AVERAGE(E344:E346)," ")</f>
        <v xml:space="preserve"> </v>
      </c>
      <c r="F347" s="115" cm="1">
        <f t="array" ref="F347">SUM(F344:F346)</f>
        <v>0</v>
      </c>
      <c r="G347" s="115" cm="1">
        <f t="array" ref="G347">SUM(G344:G346)</f>
        <v>0</v>
      </c>
      <c r="H347" s="116"/>
      <c r="I347" s="117" cm="1">
        <f t="array" ref="I347">SUM(I344:I346)</f>
        <v>0</v>
      </c>
      <c r="J347" s="116" cm="1">
        <f t="array" ref="J347">SUM(J344:J346)</f>
        <v>0</v>
      </c>
      <c r="K347" s="117" cm="1">
        <f t="array" ref="K347">SUM(K344:K346)</f>
        <v>0</v>
      </c>
      <c r="L347" s="117" cm="1">
        <f t="array" ref="L347">SUM(L344:L346)</f>
        <v>0</v>
      </c>
      <c r="M347" s="117" cm="1">
        <f t="array" ref="M347">SUM(M344:M346)</f>
        <v>0</v>
      </c>
      <c r="N347" s="117" cm="1">
        <f t="array" ref="N347">SUM(N344:N346)</f>
        <v>0</v>
      </c>
      <c r="O347" s="117" cm="1">
        <f t="array" ref="O347">SUM(O344:O346)</f>
        <v>0</v>
      </c>
      <c r="P347" s="144" t="e" cm="1">
        <f t="array" ref="P347">1-(O347/(N347+O347))</f>
        <v>#DIV/0!</v>
      </c>
      <c r="Q347" s="145" t="e" cm="1">
        <f t="array" ref="Q347">O347/I347</f>
        <v>#DIV/0!</v>
      </c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</row>
    <row r="348" spans="1:32" ht="70.75" customHeight="1" x14ac:dyDescent="0.15">
      <c r="A348" s="37"/>
      <c r="B348" s="120"/>
      <c r="C348" s="121"/>
      <c r="D348" s="13"/>
      <c r="E348" s="13"/>
      <c r="F348" s="122"/>
      <c r="G348" s="123"/>
      <c r="H348" s="124"/>
      <c r="I348" s="12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90"/>
      <c r="AB348" s="90"/>
      <c r="AC348" s="90"/>
      <c r="AD348" s="90"/>
      <c r="AE348" s="90"/>
      <c r="AF348" s="90"/>
    </row>
    <row r="349" spans="1:32" ht="21.25" customHeight="1" x14ac:dyDescent="0.15">
      <c r="A349" s="41" t="s">
        <v>810</v>
      </c>
      <c r="B349" s="203" t="s">
        <v>92</v>
      </c>
      <c r="C349" s="200"/>
      <c r="D349" s="42" t="s">
        <v>93</v>
      </c>
      <c r="E349" s="42" t="s">
        <v>94</v>
      </c>
      <c r="F349" s="43" t="s">
        <v>96</v>
      </c>
      <c r="G349" s="43" t="s">
        <v>98</v>
      </c>
      <c r="H349" s="44"/>
      <c r="I349" s="46" t="s">
        <v>103</v>
      </c>
      <c r="J349" s="46" t="s">
        <v>56</v>
      </c>
      <c r="K349" s="46" t="s">
        <v>104</v>
      </c>
      <c r="L349" s="46" t="s">
        <v>105</v>
      </c>
      <c r="M349" s="46" t="s">
        <v>106</v>
      </c>
      <c r="N349" s="46" t="s">
        <v>107</v>
      </c>
      <c r="O349" s="46" t="s">
        <v>64</v>
      </c>
      <c r="P349" s="46" t="s">
        <v>67</v>
      </c>
      <c r="Q349" s="46" t="s">
        <v>108</v>
      </c>
      <c r="R349" s="46" t="s">
        <v>109</v>
      </c>
      <c r="S349" s="46" t="s">
        <v>110</v>
      </c>
      <c r="T349" s="46" t="s">
        <v>111</v>
      </c>
      <c r="U349" s="46" t="s">
        <v>112</v>
      </c>
      <c r="V349" s="46" t="s">
        <v>113</v>
      </c>
      <c r="W349" s="46" t="s">
        <v>114</v>
      </c>
      <c r="X349" s="46" t="s">
        <v>115</v>
      </c>
      <c r="Y349" s="46" t="s">
        <v>116</v>
      </c>
      <c r="Z349" s="46" t="s">
        <v>117</v>
      </c>
      <c r="AA349" s="85"/>
      <c r="AB349" s="86"/>
      <c r="AC349" s="86"/>
      <c r="AD349" s="86"/>
      <c r="AE349" s="86"/>
      <c r="AF349" s="86"/>
    </row>
    <row r="350" spans="1:32" ht="21.25" customHeight="1" x14ac:dyDescent="0.15">
      <c r="A350" s="24"/>
      <c r="B350" s="87" t="str" cm="1">
        <f t="array" ref="B350">IFERROR(VLOOKUP($A350,'The List'!$B1:$AS671,3,FALSE)," ")</f>
        <v xml:space="preserve"> </v>
      </c>
      <c r="C350" s="91" t="str" cm="1">
        <f t="array" ref="C350">IFERROR(VLOOKUP($A350,'The List'!$B1:$AS671,4,FALSE)," ")</f>
        <v xml:space="preserve"> </v>
      </c>
      <c r="D350" s="18" t="str" cm="1">
        <f t="array" ref="D350">IFERROR(VLOOKUP($A350,'The List'!$B1:$AS671,5,FALSE)," ")</f>
        <v xml:space="preserve"> </v>
      </c>
      <c r="E350" s="18" t="str" cm="1">
        <f t="array" ref="E350">IFERROR(VLOOKUP($A350,'The List'!$B1:$AS671,6,FALSE)," ")</f>
        <v xml:space="preserve"> </v>
      </c>
      <c r="F350" s="92" t="str" cm="1">
        <f t="array" ref="F350">IFERROR(VLOOKUP($A350,'The List'!$B1:$AS671,8,FALSE)," ")</f>
        <v xml:space="preserve"> </v>
      </c>
      <c r="G350" s="92" t="str" cm="1">
        <f t="array" ref="G350">IFERROR(VLOOKUP($A350,'The List'!$B1:$AS671,10,FALSE)," ")</f>
        <v xml:space="preserve"> </v>
      </c>
      <c r="H350" s="55"/>
      <c r="I350" s="84" t="str" cm="1">
        <f t="array" ref="I350">IFERROR(VLOOKUP($A350,'The List'!$B1:$AS671,16,FALSE)," ")</f>
        <v xml:space="preserve"> </v>
      </c>
      <c r="J350" s="84" t="str" cm="1">
        <f t="array" ref="J350">IFERROR(VLOOKUP($A350,'The List'!$B1:$AS671,17,FALSE)," ")</f>
        <v xml:space="preserve"> </v>
      </c>
      <c r="K350" s="84" t="str" cm="1">
        <f t="array" ref="K350">IFERROR(VLOOKUP($A350,'The List'!$B1:$AS671,18,FALSE)," ")</f>
        <v xml:space="preserve"> </v>
      </c>
      <c r="L350" s="84" t="str" cm="1">
        <f t="array" ref="L350">IFERROR(VLOOKUP($A350,'The List'!$B1:$AS671,19,FALSE)," ")</f>
        <v xml:space="preserve"> </v>
      </c>
      <c r="M350" s="84" t="str" cm="1">
        <f t="array" ref="M350">IFERROR(VLOOKUP($A350,'The List'!$B1:$AS671,20,FALSE)," ")</f>
        <v xml:space="preserve"> </v>
      </c>
      <c r="N350" s="84" t="str" cm="1">
        <f t="array" ref="N350">IFERROR(VLOOKUP($A350,'The List'!$B1:$AS671,21,FALSE)," ")</f>
        <v xml:space="preserve"> </v>
      </c>
      <c r="O350" s="84" t="str" cm="1">
        <f t="array" ref="O350">IFERROR(VLOOKUP($A350,'The List'!$B1:$AS671,22,FALSE)," ")</f>
        <v xml:space="preserve"> </v>
      </c>
      <c r="P350" s="84" t="str" cm="1">
        <f t="array" ref="P350">IFERROR(VLOOKUP($A350,'The List'!$B1:$AS671,23,FALSE)," ")</f>
        <v xml:space="preserve"> </v>
      </c>
      <c r="Q350" s="84" t="str" cm="1">
        <f t="array" ref="Q350">IFERROR(VLOOKUP($A350,'The List'!$B1:$AS671,24,FALSE)," ")</f>
        <v xml:space="preserve"> </v>
      </c>
      <c r="R350" s="84" t="str" cm="1">
        <f t="array" ref="R350">IFERROR(VLOOKUP($A350,'The List'!$B1:$AS671,25,FALSE)," ")</f>
        <v xml:space="preserve"> </v>
      </c>
      <c r="S350" s="84" t="str" cm="1">
        <f t="array" ref="S350">IFERROR(VLOOKUP($A350,'The List'!$B1:$AS671,26,FALSE)," ")</f>
        <v xml:space="preserve"> </v>
      </c>
      <c r="T350" s="84" t="str" cm="1">
        <f t="array" ref="T350">IFERROR(VLOOKUP($A350,'The List'!$B1:$AS671,27,FALSE)," ")</f>
        <v xml:space="preserve"> </v>
      </c>
      <c r="U350" s="84" t="str" cm="1">
        <f t="array" ref="U350">IFERROR(VLOOKUP($A350,'The List'!$B1:$AS671,28,FALSE)," ")</f>
        <v xml:space="preserve"> </v>
      </c>
      <c r="V350" s="84" t="str" cm="1">
        <f t="array" ref="V350">IFERROR(VLOOKUP($A350,'The List'!$B1:$AS671,29,FALSE)," ")</f>
        <v xml:space="preserve"> </v>
      </c>
      <c r="W350" s="84" t="str" cm="1">
        <f t="array" ref="W350">IFERROR(VLOOKUP($A350,'The List'!$B1:$AS671,30,FALSE)," ")</f>
        <v xml:space="preserve"> </v>
      </c>
      <c r="X350" s="84" t="str" cm="1">
        <f t="array" ref="X350">IFERROR(VLOOKUP($A350,'The List'!$B1:$AS671,31,FALSE)," ")</f>
        <v xml:space="preserve"> </v>
      </c>
      <c r="Y350" s="84" t="str" cm="1">
        <f t="array" ref="Y350">IFERROR(VLOOKUP($A350,'The List'!$B1:$AS671,32,FALSE)," ")</f>
        <v xml:space="preserve"> </v>
      </c>
      <c r="Z350" s="84" t="str" cm="1">
        <f t="array" ref="Z350">IFERROR(VLOOKUP($A350,'The List'!$B1:$AS671,33,FALSE)," ")</f>
        <v xml:space="preserve"> </v>
      </c>
      <c r="AA350" s="85"/>
      <c r="AB350" s="90"/>
      <c r="AC350" s="90"/>
      <c r="AD350" s="90"/>
      <c r="AE350" s="90"/>
      <c r="AF350" s="90"/>
    </row>
    <row r="351" spans="1:32" ht="21.25" customHeight="1" x14ac:dyDescent="0.15">
      <c r="A351" s="24"/>
      <c r="B351" s="87" t="str" cm="1">
        <f t="array" ref="B351">IFERROR(VLOOKUP($A351,'The List'!$B1:$AS671,3,FALSE)," ")</f>
        <v xml:space="preserve"> </v>
      </c>
      <c r="C351" s="91" t="str" cm="1">
        <f t="array" ref="C351">IFERROR(VLOOKUP($A351,'The List'!$B1:$AS671,4,FALSE)," ")</f>
        <v xml:space="preserve"> </v>
      </c>
      <c r="D351" s="18" t="str" cm="1">
        <f t="array" ref="D351">IFERROR(VLOOKUP($A351,'The List'!$B1:$AS671,5,FALSE)," ")</f>
        <v xml:space="preserve"> </v>
      </c>
      <c r="E351" s="18" t="str" cm="1">
        <f t="array" ref="E351">IFERROR(VLOOKUP($A351,'The List'!$B1:$AS671,6,FALSE)," ")</f>
        <v xml:space="preserve"> </v>
      </c>
      <c r="F351" s="92" t="str" cm="1">
        <f t="array" ref="F351">IFERROR(VLOOKUP($A351,'The List'!$B1:$AS671,8,FALSE)," ")</f>
        <v xml:space="preserve"> </v>
      </c>
      <c r="G351" s="92" t="str" cm="1">
        <f t="array" ref="G351">IFERROR(VLOOKUP($A351,'The List'!$B1:$AS671,10,FALSE)," ")</f>
        <v xml:space="preserve"> </v>
      </c>
      <c r="H351" s="55"/>
      <c r="I351" s="84" t="str" cm="1">
        <f t="array" ref="I351">IFERROR(VLOOKUP($A351,'The List'!$B1:$AS671,16,FALSE)," ")</f>
        <v xml:space="preserve"> </v>
      </c>
      <c r="J351" s="84" t="str" cm="1">
        <f t="array" ref="J351">IFERROR(VLOOKUP($A351,'The List'!$B1:$AS671,17,FALSE)," ")</f>
        <v xml:space="preserve"> </v>
      </c>
      <c r="K351" s="84" t="str" cm="1">
        <f t="array" ref="K351">IFERROR(VLOOKUP($A351,'The List'!$B1:$AS671,18,FALSE)," ")</f>
        <v xml:space="preserve"> </v>
      </c>
      <c r="L351" s="84" t="str" cm="1">
        <f t="array" ref="L351">IFERROR(VLOOKUP($A351,'The List'!$B1:$AS671,19,FALSE)," ")</f>
        <v xml:space="preserve"> </v>
      </c>
      <c r="M351" s="84" t="str" cm="1">
        <f t="array" ref="M351">IFERROR(VLOOKUP($A351,'The List'!$B1:$AS671,20,FALSE)," ")</f>
        <v xml:space="preserve"> </v>
      </c>
      <c r="N351" s="84" t="str" cm="1">
        <f t="array" ref="N351">IFERROR(VLOOKUP($A351,'The List'!$B1:$AS671,21,FALSE)," ")</f>
        <v xml:space="preserve"> </v>
      </c>
      <c r="O351" s="84" t="str" cm="1">
        <f t="array" ref="O351">IFERROR(VLOOKUP($A351,'The List'!$B1:$AS671,22,FALSE)," ")</f>
        <v xml:space="preserve"> </v>
      </c>
      <c r="P351" s="84" t="str" cm="1">
        <f t="array" ref="P351">IFERROR(VLOOKUP($A351,'The List'!$B1:$AS671,23,FALSE)," ")</f>
        <v xml:space="preserve"> </v>
      </c>
      <c r="Q351" s="84" t="str" cm="1">
        <f t="array" ref="Q351">IFERROR(VLOOKUP($A351,'The List'!$B1:$AS671,24,FALSE)," ")</f>
        <v xml:space="preserve"> </v>
      </c>
      <c r="R351" s="84" t="str" cm="1">
        <f t="array" ref="R351">IFERROR(VLOOKUP($A351,'The List'!$B1:$AS671,25,FALSE)," ")</f>
        <v xml:space="preserve"> </v>
      </c>
      <c r="S351" s="84" t="str" cm="1">
        <f t="array" ref="S351">IFERROR(VLOOKUP($A351,'The List'!$B1:$AS671,26,FALSE)," ")</f>
        <v xml:space="preserve"> </v>
      </c>
      <c r="T351" s="84" t="str" cm="1">
        <f t="array" ref="T351">IFERROR(VLOOKUP($A351,'The List'!$B1:$AS671,27,FALSE)," ")</f>
        <v xml:space="preserve"> </v>
      </c>
      <c r="U351" s="84" t="str" cm="1">
        <f t="array" ref="U351">IFERROR(VLOOKUP($A351,'The List'!$B1:$AS671,28,FALSE)," ")</f>
        <v xml:space="preserve"> </v>
      </c>
      <c r="V351" s="84" t="str" cm="1">
        <f t="array" ref="V351">IFERROR(VLOOKUP($A351,'The List'!$B1:$AS671,29,FALSE)," ")</f>
        <v xml:space="preserve"> </v>
      </c>
      <c r="W351" s="84" t="str" cm="1">
        <f t="array" ref="W351">IFERROR(VLOOKUP($A351,'The List'!$B1:$AS671,30,FALSE)," ")</f>
        <v xml:space="preserve"> </v>
      </c>
      <c r="X351" s="84" t="str" cm="1">
        <f t="array" ref="X351">IFERROR(VLOOKUP($A351,'The List'!$B1:$AS671,31,FALSE)," ")</f>
        <v xml:space="preserve"> </v>
      </c>
      <c r="Y351" s="84" t="str" cm="1">
        <f t="array" ref="Y351">IFERROR(VLOOKUP($A351,'The List'!$B1:$AS671,32,FALSE)," ")</f>
        <v xml:space="preserve"> </v>
      </c>
      <c r="Z351" s="84" t="str" cm="1">
        <f t="array" ref="Z351">IFERROR(VLOOKUP($A351,'The List'!$B1:$AS671,33,FALSE)," ")</f>
        <v xml:space="preserve"> </v>
      </c>
      <c r="AA351" s="85"/>
      <c r="AB351" s="90"/>
      <c r="AC351" s="90"/>
      <c r="AD351" s="90"/>
      <c r="AE351" s="90"/>
      <c r="AF351" s="90"/>
    </row>
    <row r="352" spans="1:32" ht="21.25" customHeight="1" x14ac:dyDescent="0.15">
      <c r="A352" s="24"/>
      <c r="B352" s="87" t="str" cm="1">
        <f t="array" ref="B352">IFERROR(VLOOKUP($A352,'The List'!$B1:$AS671,3,FALSE)," ")</f>
        <v xml:space="preserve"> </v>
      </c>
      <c r="C352" s="91" t="str" cm="1">
        <f t="array" ref="C352">IFERROR(VLOOKUP($A352,'The List'!$B1:$AS671,4,FALSE)," ")</f>
        <v xml:space="preserve"> </v>
      </c>
      <c r="D352" s="18" t="str" cm="1">
        <f t="array" ref="D352">IFERROR(VLOOKUP($A352,'The List'!$B1:$AS671,5,FALSE)," ")</f>
        <v xml:space="preserve"> </v>
      </c>
      <c r="E352" s="18" t="str" cm="1">
        <f t="array" ref="E352">IFERROR(VLOOKUP($A352,'The List'!$B1:$AS671,6,FALSE)," ")</f>
        <v xml:space="preserve"> </v>
      </c>
      <c r="F352" s="92" t="str" cm="1">
        <f t="array" ref="F352">IFERROR(VLOOKUP($A352,'The List'!$B1:$AS671,8,FALSE)," ")</f>
        <v xml:space="preserve"> </v>
      </c>
      <c r="G352" s="92" t="str" cm="1">
        <f t="array" ref="G352">IFERROR(VLOOKUP($A352,'The List'!$B1:$AS671,10,FALSE)," ")</f>
        <v xml:space="preserve"> </v>
      </c>
      <c r="H352" s="55"/>
      <c r="I352" s="84" t="str" cm="1">
        <f t="array" ref="I352">IFERROR(VLOOKUP($A352,'The List'!$B1:$AS671,16,FALSE)," ")</f>
        <v xml:space="preserve"> </v>
      </c>
      <c r="J352" s="84" t="str" cm="1">
        <f t="array" ref="J352">IFERROR(VLOOKUP($A352,'The List'!$B1:$AS671,17,FALSE)," ")</f>
        <v xml:space="preserve"> </v>
      </c>
      <c r="K352" s="84" t="str" cm="1">
        <f t="array" ref="K352">IFERROR(VLOOKUP($A352,'The List'!$B1:$AS671,18,FALSE)," ")</f>
        <v xml:space="preserve"> </v>
      </c>
      <c r="L352" s="84" t="str" cm="1">
        <f t="array" ref="L352">IFERROR(VLOOKUP($A352,'The List'!$B1:$AS671,19,FALSE)," ")</f>
        <v xml:space="preserve"> </v>
      </c>
      <c r="M352" s="84" t="str" cm="1">
        <f t="array" ref="M352">IFERROR(VLOOKUP($A352,'The List'!$B1:$AS671,20,FALSE)," ")</f>
        <v xml:space="preserve"> </v>
      </c>
      <c r="N352" s="84" t="str" cm="1">
        <f t="array" ref="N352">IFERROR(VLOOKUP($A352,'The List'!$B1:$AS671,21,FALSE)," ")</f>
        <v xml:space="preserve"> </v>
      </c>
      <c r="O352" s="84" t="str" cm="1">
        <f t="array" ref="O352">IFERROR(VLOOKUP($A352,'The List'!$B1:$AS671,22,FALSE)," ")</f>
        <v xml:space="preserve"> </v>
      </c>
      <c r="P352" s="84" t="str" cm="1">
        <f t="array" ref="P352">IFERROR(VLOOKUP($A352,'The List'!$B1:$AS671,23,FALSE)," ")</f>
        <v xml:space="preserve"> </v>
      </c>
      <c r="Q352" s="84" t="str" cm="1">
        <f t="array" ref="Q352">IFERROR(VLOOKUP($A352,'The List'!$B1:$AS671,24,FALSE)," ")</f>
        <v xml:space="preserve"> </v>
      </c>
      <c r="R352" s="84" t="str" cm="1">
        <f t="array" ref="R352">IFERROR(VLOOKUP($A352,'The List'!$B1:$AS671,25,FALSE)," ")</f>
        <v xml:space="preserve"> </v>
      </c>
      <c r="S352" s="84" t="str" cm="1">
        <f t="array" ref="S352">IFERROR(VLOOKUP($A352,'The List'!$B1:$AS671,26,FALSE)," ")</f>
        <v xml:space="preserve"> </v>
      </c>
      <c r="T352" s="84" t="str" cm="1">
        <f t="array" ref="T352">IFERROR(VLOOKUP($A352,'The List'!$B1:$AS671,27,FALSE)," ")</f>
        <v xml:space="preserve"> </v>
      </c>
      <c r="U352" s="84" t="str" cm="1">
        <f t="array" ref="U352">IFERROR(VLOOKUP($A352,'The List'!$B1:$AS671,28,FALSE)," ")</f>
        <v xml:space="preserve"> </v>
      </c>
      <c r="V352" s="84" t="str" cm="1">
        <f t="array" ref="V352">IFERROR(VLOOKUP($A352,'The List'!$B1:$AS671,29,FALSE)," ")</f>
        <v xml:space="preserve"> </v>
      </c>
      <c r="W352" s="84" t="str" cm="1">
        <f t="array" ref="W352">IFERROR(VLOOKUP($A352,'The List'!$B1:$AS671,30,FALSE)," ")</f>
        <v xml:space="preserve"> </v>
      </c>
      <c r="X352" s="84" t="str" cm="1">
        <f t="array" ref="X352">IFERROR(VLOOKUP($A352,'The List'!$B1:$AS671,31,FALSE)," ")</f>
        <v xml:space="preserve"> </v>
      </c>
      <c r="Y352" s="84" t="str" cm="1">
        <f t="array" ref="Y352">IFERROR(VLOOKUP($A352,'The List'!$B1:$AS671,32,FALSE)," ")</f>
        <v xml:space="preserve"> </v>
      </c>
      <c r="Z352" s="84" t="str" cm="1">
        <f t="array" ref="Z352">IFERROR(VLOOKUP($A352,'The List'!$B1:$AS671,33,FALSE)," ")</f>
        <v xml:space="preserve"> </v>
      </c>
      <c r="AA352" s="85"/>
      <c r="AB352" s="90"/>
      <c r="AC352" s="90"/>
      <c r="AD352" s="90"/>
      <c r="AE352" s="90"/>
      <c r="AF352" s="90"/>
    </row>
    <row r="353" spans="1:32" ht="21.25" customHeight="1" x14ac:dyDescent="0.15">
      <c r="A353" s="24"/>
      <c r="B353" s="87" t="str" cm="1">
        <f t="array" ref="B353">IFERROR(VLOOKUP($A353,'The List'!$B1:$AS671,3,FALSE)," ")</f>
        <v xml:space="preserve"> </v>
      </c>
      <c r="C353" s="91" t="str" cm="1">
        <f t="array" ref="C353">IFERROR(VLOOKUP($A353,'The List'!$B1:$AS671,4,FALSE)," ")</f>
        <v xml:space="preserve"> </v>
      </c>
      <c r="D353" s="18" t="str" cm="1">
        <f t="array" ref="D353">IFERROR(VLOOKUP($A353,'The List'!$B1:$AS671,5,FALSE)," ")</f>
        <v xml:space="preserve"> </v>
      </c>
      <c r="E353" s="18" t="str" cm="1">
        <f t="array" ref="E353">IFERROR(VLOOKUP($A353,'The List'!$B1:$AS671,6,FALSE)," ")</f>
        <v xml:space="preserve"> </v>
      </c>
      <c r="F353" s="92" t="str" cm="1">
        <f t="array" ref="F353">IFERROR(VLOOKUP($A353,'The List'!$B1:$AS671,8,FALSE)," ")</f>
        <v xml:space="preserve"> </v>
      </c>
      <c r="G353" s="92" t="str" cm="1">
        <f t="array" ref="G353">IFERROR(VLOOKUP($A353,'The List'!$B1:$AS671,10,FALSE)," ")</f>
        <v xml:space="preserve"> </v>
      </c>
      <c r="H353" s="55"/>
      <c r="I353" s="84" t="str" cm="1">
        <f t="array" ref="I353">IFERROR(VLOOKUP($A353,'The List'!$B1:$AS671,16,FALSE)," ")</f>
        <v xml:space="preserve"> </v>
      </c>
      <c r="J353" s="84" t="str" cm="1">
        <f t="array" ref="J353">IFERROR(VLOOKUP($A353,'The List'!$B1:$AS671,17,FALSE)," ")</f>
        <v xml:space="preserve"> </v>
      </c>
      <c r="K353" s="84" t="str" cm="1">
        <f t="array" ref="K353">IFERROR(VLOOKUP($A353,'The List'!$B1:$AS671,18,FALSE)," ")</f>
        <v xml:space="preserve"> </v>
      </c>
      <c r="L353" s="84" t="str" cm="1">
        <f t="array" ref="L353">IFERROR(VLOOKUP($A353,'The List'!$B1:$AS671,19,FALSE)," ")</f>
        <v xml:space="preserve"> </v>
      </c>
      <c r="M353" s="84" t="str" cm="1">
        <f t="array" ref="M353">IFERROR(VLOOKUP($A353,'The List'!$B1:$AS671,20,FALSE)," ")</f>
        <v xml:space="preserve"> </v>
      </c>
      <c r="N353" s="84" t="str" cm="1">
        <f t="array" ref="N353">IFERROR(VLOOKUP($A353,'The List'!$B1:$AS671,21,FALSE)," ")</f>
        <v xml:space="preserve"> </v>
      </c>
      <c r="O353" s="84" t="str" cm="1">
        <f t="array" ref="O353">IFERROR(VLOOKUP($A353,'The List'!$B1:$AS671,22,FALSE)," ")</f>
        <v xml:space="preserve"> </v>
      </c>
      <c r="P353" s="84" t="str" cm="1">
        <f t="array" ref="P353">IFERROR(VLOOKUP($A353,'The List'!$B1:$AS671,23,FALSE)," ")</f>
        <v xml:space="preserve"> </v>
      </c>
      <c r="Q353" s="84" t="str" cm="1">
        <f t="array" ref="Q353">IFERROR(VLOOKUP($A353,'The List'!$B1:$AS671,24,FALSE)," ")</f>
        <v xml:space="preserve"> </v>
      </c>
      <c r="R353" s="84" t="str" cm="1">
        <f t="array" ref="R353">IFERROR(VLOOKUP($A353,'The List'!$B1:$AS671,25,FALSE)," ")</f>
        <v xml:space="preserve"> </v>
      </c>
      <c r="S353" s="84" t="str" cm="1">
        <f t="array" ref="S353">IFERROR(VLOOKUP($A353,'The List'!$B1:$AS671,26,FALSE)," ")</f>
        <v xml:space="preserve"> </v>
      </c>
      <c r="T353" s="84" t="str" cm="1">
        <f t="array" ref="T353">IFERROR(VLOOKUP($A353,'The List'!$B1:$AS671,27,FALSE)," ")</f>
        <v xml:space="preserve"> </v>
      </c>
      <c r="U353" s="84" t="str" cm="1">
        <f t="array" ref="U353">IFERROR(VLOOKUP($A353,'The List'!$B1:$AS671,28,FALSE)," ")</f>
        <v xml:space="preserve"> </v>
      </c>
      <c r="V353" s="84" t="str" cm="1">
        <f t="array" ref="V353">IFERROR(VLOOKUP($A353,'The List'!$B1:$AS671,29,FALSE)," ")</f>
        <v xml:space="preserve"> </v>
      </c>
      <c r="W353" s="84" t="str" cm="1">
        <f t="array" ref="W353">IFERROR(VLOOKUP($A353,'The List'!$B1:$AS671,30,FALSE)," ")</f>
        <v xml:space="preserve"> </v>
      </c>
      <c r="X353" s="84" t="str" cm="1">
        <f t="array" ref="X353">IFERROR(VLOOKUP($A353,'The List'!$B1:$AS671,31,FALSE)," ")</f>
        <v xml:space="preserve"> </v>
      </c>
      <c r="Y353" s="84" t="str" cm="1">
        <f t="array" ref="Y353">IFERROR(VLOOKUP($A353,'The List'!$B1:$AS671,32,FALSE)," ")</f>
        <v xml:space="preserve"> </v>
      </c>
      <c r="Z353" s="84" t="str" cm="1">
        <f t="array" ref="Z353">IFERROR(VLOOKUP($A353,'The List'!$B1:$AS671,33,FALSE)," ")</f>
        <v xml:space="preserve"> </v>
      </c>
      <c r="AA353" s="85"/>
      <c r="AB353" s="90"/>
      <c r="AC353" s="90"/>
      <c r="AD353" s="90"/>
      <c r="AE353" s="90"/>
      <c r="AF353" s="90"/>
    </row>
    <row r="354" spans="1:32" ht="21.25" customHeight="1" x14ac:dyDescent="0.15">
      <c r="A354" s="24"/>
      <c r="B354" s="93" t="str" cm="1">
        <f t="array" ref="B354">IFERROR(VLOOKUP($A354,'The List'!$B1:$AS671,3,FALSE)," ")</f>
        <v xml:space="preserve"> </v>
      </c>
      <c r="C354" s="95" t="str" cm="1">
        <f t="array" ref="C354">IFERROR(VLOOKUP($A354,'The List'!$B1:$AS671,4,FALSE)," ")</f>
        <v xml:space="preserve"> </v>
      </c>
      <c r="D354" s="18" t="str" cm="1">
        <f t="array" ref="D354">IFERROR(VLOOKUP($A354,'The List'!$B1:$AS671,5,FALSE)," ")</f>
        <v xml:space="preserve"> </v>
      </c>
      <c r="E354" s="18" t="str" cm="1">
        <f t="array" ref="E354">IFERROR(VLOOKUP($A354,'The List'!$B1:$AS671,6,FALSE)," ")</f>
        <v xml:space="preserve"> </v>
      </c>
      <c r="F354" s="92" t="str" cm="1">
        <f t="array" ref="F354">IFERROR(VLOOKUP($A354,'The List'!$B1:$AS671,8,FALSE)," ")</f>
        <v xml:space="preserve"> </v>
      </c>
      <c r="G354" s="92" t="str" cm="1">
        <f t="array" ref="G354">IFERROR(VLOOKUP($A354,'The List'!$B1:$AS671,10,FALSE)," ")</f>
        <v xml:space="preserve"> </v>
      </c>
      <c r="H354" s="55"/>
      <c r="I354" s="84" t="str" cm="1">
        <f t="array" ref="I354">IFERROR(VLOOKUP($A354,'The List'!$B1:$AS671,16,FALSE)," ")</f>
        <v xml:space="preserve"> </v>
      </c>
      <c r="J354" s="84" t="str" cm="1">
        <f t="array" ref="J354">IFERROR(VLOOKUP($A354,'The List'!$B1:$AS671,17,FALSE)," ")</f>
        <v xml:space="preserve"> </v>
      </c>
      <c r="K354" s="84" t="str" cm="1">
        <f t="array" ref="K354">IFERROR(VLOOKUP($A354,'The List'!$B1:$AS671,18,FALSE)," ")</f>
        <v xml:space="preserve"> </v>
      </c>
      <c r="L354" s="84" t="str" cm="1">
        <f t="array" ref="L354">IFERROR(VLOOKUP($A354,'The List'!$B1:$AS671,19,FALSE)," ")</f>
        <v xml:space="preserve"> </v>
      </c>
      <c r="M354" s="84" t="str" cm="1">
        <f t="array" ref="M354">IFERROR(VLOOKUP($A354,'The List'!$B1:$AS671,20,FALSE)," ")</f>
        <v xml:space="preserve"> </v>
      </c>
      <c r="N354" s="84" t="str" cm="1">
        <f t="array" ref="N354">IFERROR(VLOOKUP($A354,'The List'!$B1:$AS671,21,FALSE)," ")</f>
        <v xml:space="preserve"> </v>
      </c>
      <c r="O354" s="84" t="str" cm="1">
        <f t="array" ref="O354">IFERROR(VLOOKUP($A354,'The List'!$B1:$AS671,22,FALSE)," ")</f>
        <v xml:space="preserve"> </v>
      </c>
      <c r="P354" s="84" t="str" cm="1">
        <f t="array" ref="P354">IFERROR(VLOOKUP($A354,'The List'!$B1:$AS671,23,FALSE)," ")</f>
        <v xml:space="preserve"> </v>
      </c>
      <c r="Q354" s="84" t="str" cm="1">
        <f t="array" ref="Q354">IFERROR(VLOOKUP($A354,'The List'!$B1:$AS671,24,FALSE)," ")</f>
        <v xml:space="preserve"> </v>
      </c>
      <c r="R354" s="84" t="str" cm="1">
        <f t="array" ref="R354">IFERROR(VLOOKUP($A354,'The List'!$B1:$AS671,25,FALSE)," ")</f>
        <v xml:space="preserve"> </v>
      </c>
      <c r="S354" s="84" t="str" cm="1">
        <f t="array" ref="S354">IFERROR(VLOOKUP($A354,'The List'!$B1:$AS671,26,FALSE)," ")</f>
        <v xml:space="preserve"> </v>
      </c>
      <c r="T354" s="84" t="str" cm="1">
        <f t="array" ref="T354">IFERROR(VLOOKUP($A354,'The List'!$B1:$AS671,27,FALSE)," ")</f>
        <v xml:space="preserve"> </v>
      </c>
      <c r="U354" s="84" t="str" cm="1">
        <f t="array" ref="U354">IFERROR(VLOOKUP($A354,'The List'!$B1:$AS671,28,FALSE)," ")</f>
        <v xml:space="preserve"> </v>
      </c>
      <c r="V354" s="84" t="str" cm="1">
        <f t="array" ref="V354">IFERROR(VLOOKUP($A354,'The List'!$B1:$AS671,29,FALSE)," ")</f>
        <v xml:space="preserve"> </v>
      </c>
      <c r="W354" s="84" t="str" cm="1">
        <f t="array" ref="W354">IFERROR(VLOOKUP($A354,'The List'!$B1:$AS671,30,FALSE)," ")</f>
        <v xml:space="preserve"> </v>
      </c>
      <c r="X354" s="84" t="str" cm="1">
        <f t="array" ref="X354">IFERROR(VLOOKUP($A354,'The List'!$B1:$AS671,31,FALSE)," ")</f>
        <v xml:space="preserve"> </v>
      </c>
      <c r="Y354" s="84" t="str" cm="1">
        <f t="array" ref="Y354">IFERROR(VLOOKUP($A354,'The List'!$B1:$AS671,32,FALSE)," ")</f>
        <v xml:space="preserve"> </v>
      </c>
      <c r="Z354" s="84" t="str" cm="1">
        <f t="array" ref="Z354">IFERROR(VLOOKUP($A354,'The List'!$B1:$AS671,33,FALSE)," ")</f>
        <v xml:space="preserve"> </v>
      </c>
      <c r="AA354" s="85"/>
      <c r="AB354" s="90"/>
      <c r="AC354" s="90"/>
      <c r="AD354" s="90"/>
      <c r="AE354" s="90"/>
      <c r="AF354" s="90"/>
    </row>
    <row r="355" spans="1:32" ht="21.25" customHeight="1" x14ac:dyDescent="0.15">
      <c r="A355" s="24"/>
      <c r="B355" s="93" t="str" cm="1">
        <f t="array" ref="B355">IFERROR(VLOOKUP($A355,'The List'!$B1:$AS671,3,FALSE)," ")</f>
        <v xml:space="preserve"> </v>
      </c>
      <c r="C355" s="95" t="str" cm="1">
        <f t="array" ref="C355">IFERROR(VLOOKUP($A355,'The List'!$B1:$AS671,4,FALSE)," ")</f>
        <v xml:space="preserve"> </v>
      </c>
      <c r="D355" s="18" t="str" cm="1">
        <f t="array" ref="D355">IFERROR(VLOOKUP($A355,'The List'!$B1:$AS671,5,FALSE)," ")</f>
        <v xml:space="preserve"> </v>
      </c>
      <c r="E355" s="18" t="str" cm="1">
        <f t="array" ref="E355">IFERROR(VLOOKUP($A355,'The List'!$B1:$AS671,6,FALSE)," ")</f>
        <v xml:space="preserve"> </v>
      </c>
      <c r="F355" s="92" t="str" cm="1">
        <f t="array" ref="F355">IFERROR(VLOOKUP($A355,'The List'!$B1:$AS671,8,FALSE)," ")</f>
        <v xml:space="preserve"> </v>
      </c>
      <c r="G355" s="92" t="str" cm="1">
        <f t="array" ref="G355">IFERROR(VLOOKUP($A355,'The List'!$B1:$AS671,10,FALSE)," ")</f>
        <v xml:space="preserve"> </v>
      </c>
      <c r="H355" s="55"/>
      <c r="I355" s="84" t="str" cm="1">
        <f t="array" ref="I355">IFERROR(VLOOKUP($A355,'The List'!$B1:$AS671,16,FALSE)," ")</f>
        <v xml:space="preserve"> </v>
      </c>
      <c r="J355" s="84" t="str" cm="1">
        <f t="array" ref="J355">IFERROR(VLOOKUP($A355,'The List'!$B1:$AS671,17,FALSE)," ")</f>
        <v xml:space="preserve"> </v>
      </c>
      <c r="K355" s="84" t="str" cm="1">
        <f t="array" ref="K355">IFERROR(VLOOKUP($A355,'The List'!$B1:$AS671,18,FALSE)," ")</f>
        <v xml:space="preserve"> </v>
      </c>
      <c r="L355" s="84" t="str" cm="1">
        <f t="array" ref="L355">IFERROR(VLOOKUP($A355,'The List'!$B1:$AS671,19,FALSE)," ")</f>
        <v xml:space="preserve"> </v>
      </c>
      <c r="M355" s="84" t="str" cm="1">
        <f t="array" ref="M355">IFERROR(VLOOKUP($A355,'The List'!$B1:$AS671,20,FALSE)," ")</f>
        <v xml:space="preserve"> </v>
      </c>
      <c r="N355" s="84" t="str" cm="1">
        <f t="array" ref="N355">IFERROR(VLOOKUP($A355,'The List'!$B1:$AS671,21,FALSE)," ")</f>
        <v xml:space="preserve"> </v>
      </c>
      <c r="O355" s="84" t="str" cm="1">
        <f t="array" ref="O355">IFERROR(VLOOKUP($A355,'The List'!$B1:$AS671,22,FALSE)," ")</f>
        <v xml:space="preserve"> </v>
      </c>
      <c r="P355" s="84" t="str" cm="1">
        <f t="array" ref="P355">IFERROR(VLOOKUP($A355,'The List'!$B1:$AS671,23,FALSE)," ")</f>
        <v xml:space="preserve"> </v>
      </c>
      <c r="Q355" s="84" t="str" cm="1">
        <f t="array" ref="Q355">IFERROR(VLOOKUP($A355,'The List'!$B1:$AS671,24,FALSE)," ")</f>
        <v xml:space="preserve"> </v>
      </c>
      <c r="R355" s="84" t="str" cm="1">
        <f t="array" ref="R355">IFERROR(VLOOKUP($A355,'The List'!$B1:$AS671,25,FALSE)," ")</f>
        <v xml:space="preserve"> </v>
      </c>
      <c r="S355" s="84" t="str" cm="1">
        <f t="array" ref="S355">IFERROR(VLOOKUP($A355,'The List'!$B1:$AS671,26,FALSE)," ")</f>
        <v xml:space="preserve"> </v>
      </c>
      <c r="T355" s="84" t="str" cm="1">
        <f t="array" ref="T355">IFERROR(VLOOKUP($A355,'The List'!$B1:$AS671,27,FALSE)," ")</f>
        <v xml:space="preserve"> </v>
      </c>
      <c r="U355" s="84" t="str" cm="1">
        <f t="array" ref="U355">IFERROR(VLOOKUP($A355,'The List'!$B1:$AS671,28,FALSE)," ")</f>
        <v xml:space="preserve"> </v>
      </c>
      <c r="V355" s="84" t="str" cm="1">
        <f t="array" ref="V355">IFERROR(VLOOKUP($A355,'The List'!$B1:$AS671,29,FALSE)," ")</f>
        <v xml:space="preserve"> </v>
      </c>
      <c r="W355" s="84" t="str" cm="1">
        <f t="array" ref="W355">IFERROR(VLOOKUP($A355,'The List'!$B1:$AS671,30,FALSE)," ")</f>
        <v xml:space="preserve"> </v>
      </c>
      <c r="X355" s="84" t="str" cm="1">
        <f t="array" ref="X355">IFERROR(VLOOKUP($A355,'The List'!$B1:$AS671,31,FALSE)," ")</f>
        <v xml:space="preserve"> </v>
      </c>
      <c r="Y355" s="84" t="str" cm="1">
        <f t="array" ref="Y355">IFERROR(VLOOKUP($A355,'The List'!$B1:$AS671,32,FALSE)," ")</f>
        <v xml:space="preserve"> </v>
      </c>
      <c r="Z355" s="84" t="str" cm="1">
        <f t="array" ref="Z355">IFERROR(VLOOKUP($A355,'The List'!$B1:$AS671,33,FALSE)," ")</f>
        <v xml:space="preserve"> </v>
      </c>
      <c r="AA355" s="85"/>
      <c r="AB355" s="90"/>
      <c r="AC355" s="90"/>
      <c r="AD355" s="90"/>
      <c r="AE355" s="90"/>
      <c r="AF355" s="90"/>
    </row>
    <row r="356" spans="1:32" ht="21.25" customHeight="1" x14ac:dyDescent="0.15">
      <c r="A356" s="24"/>
      <c r="B356" s="93" t="str" cm="1">
        <f t="array" ref="B356">IFERROR(VLOOKUP($A356,'The List'!$B1:$AS671,3,FALSE)," ")</f>
        <v xml:space="preserve"> </v>
      </c>
      <c r="C356" s="95" t="str" cm="1">
        <f t="array" ref="C356">IFERROR(VLOOKUP($A356,'The List'!$B1:$AS671,4,FALSE)," ")</f>
        <v xml:space="preserve"> </v>
      </c>
      <c r="D356" s="18" t="str" cm="1">
        <f t="array" ref="D356">IFERROR(VLOOKUP($A356,'The List'!$B1:$AS671,5,FALSE)," ")</f>
        <v xml:space="preserve"> </v>
      </c>
      <c r="E356" s="18" t="str" cm="1">
        <f t="array" ref="E356">IFERROR(VLOOKUP($A356,'The List'!$B1:$AS671,6,FALSE)," ")</f>
        <v xml:space="preserve"> </v>
      </c>
      <c r="F356" s="92" t="str" cm="1">
        <f t="array" ref="F356">IFERROR(VLOOKUP($A356,'The List'!$B1:$AS671,8,FALSE)," ")</f>
        <v xml:space="preserve"> </v>
      </c>
      <c r="G356" s="92" t="str" cm="1">
        <f t="array" ref="G356">IFERROR(VLOOKUP($A356,'The List'!$B1:$AS671,10,FALSE)," ")</f>
        <v xml:space="preserve"> </v>
      </c>
      <c r="H356" s="55"/>
      <c r="I356" s="84" t="str" cm="1">
        <f t="array" ref="I356">IFERROR(VLOOKUP($A356,'The List'!$B1:$AS671,16,FALSE)," ")</f>
        <v xml:space="preserve"> </v>
      </c>
      <c r="J356" s="84" t="str" cm="1">
        <f t="array" ref="J356">IFERROR(VLOOKUP($A356,'The List'!$B1:$AS671,17,FALSE)," ")</f>
        <v xml:space="preserve"> </v>
      </c>
      <c r="K356" s="84" t="str" cm="1">
        <f t="array" ref="K356">IFERROR(VLOOKUP($A356,'The List'!$B1:$AS671,18,FALSE)," ")</f>
        <v xml:space="preserve"> </v>
      </c>
      <c r="L356" s="84" t="str" cm="1">
        <f t="array" ref="L356">IFERROR(VLOOKUP($A356,'The List'!$B1:$AS671,19,FALSE)," ")</f>
        <v xml:space="preserve"> </v>
      </c>
      <c r="M356" s="84" t="str" cm="1">
        <f t="array" ref="M356">IFERROR(VLOOKUP($A356,'The List'!$B1:$AS671,20,FALSE)," ")</f>
        <v xml:space="preserve"> </v>
      </c>
      <c r="N356" s="84" t="str" cm="1">
        <f t="array" ref="N356">IFERROR(VLOOKUP($A356,'The List'!$B1:$AS671,21,FALSE)," ")</f>
        <v xml:space="preserve"> </v>
      </c>
      <c r="O356" s="84" t="str" cm="1">
        <f t="array" ref="O356">IFERROR(VLOOKUP($A356,'The List'!$B1:$AS671,22,FALSE)," ")</f>
        <v xml:space="preserve"> </v>
      </c>
      <c r="P356" s="84" t="str" cm="1">
        <f t="array" ref="P356">IFERROR(VLOOKUP($A356,'The List'!$B1:$AS671,23,FALSE)," ")</f>
        <v xml:space="preserve"> </v>
      </c>
      <c r="Q356" s="84" t="str" cm="1">
        <f t="array" ref="Q356">IFERROR(VLOOKUP($A356,'The List'!$B1:$AS671,24,FALSE)," ")</f>
        <v xml:space="preserve"> </v>
      </c>
      <c r="R356" s="84" t="str" cm="1">
        <f t="array" ref="R356">IFERROR(VLOOKUP($A356,'The List'!$B1:$AS671,25,FALSE)," ")</f>
        <v xml:space="preserve"> </v>
      </c>
      <c r="S356" s="84" t="str" cm="1">
        <f t="array" ref="S356">IFERROR(VLOOKUP($A356,'The List'!$B1:$AS671,26,FALSE)," ")</f>
        <v xml:space="preserve"> </v>
      </c>
      <c r="T356" s="84" t="str" cm="1">
        <f t="array" ref="T356">IFERROR(VLOOKUP($A356,'The List'!$B1:$AS671,27,FALSE)," ")</f>
        <v xml:space="preserve"> </v>
      </c>
      <c r="U356" s="84" t="str" cm="1">
        <f t="array" ref="U356">IFERROR(VLOOKUP($A356,'The List'!$B1:$AS671,28,FALSE)," ")</f>
        <v xml:space="preserve"> </v>
      </c>
      <c r="V356" s="84" t="str" cm="1">
        <f t="array" ref="V356">IFERROR(VLOOKUP($A356,'The List'!$B1:$AS671,29,FALSE)," ")</f>
        <v xml:space="preserve"> </v>
      </c>
      <c r="W356" s="84" t="str" cm="1">
        <f t="array" ref="W356">IFERROR(VLOOKUP($A356,'The List'!$B1:$AS671,30,FALSE)," ")</f>
        <v xml:space="preserve"> </v>
      </c>
      <c r="X356" s="84" t="str" cm="1">
        <f t="array" ref="X356">IFERROR(VLOOKUP($A356,'The List'!$B1:$AS671,31,FALSE)," ")</f>
        <v xml:space="preserve"> </v>
      </c>
      <c r="Y356" s="84" t="str" cm="1">
        <f t="array" ref="Y356">IFERROR(VLOOKUP($A356,'The List'!$B1:$AS671,32,FALSE)," ")</f>
        <v xml:space="preserve"> </v>
      </c>
      <c r="Z356" s="84" t="str" cm="1">
        <f t="array" ref="Z356">IFERROR(VLOOKUP($A356,'The List'!$B1:$AS671,33,FALSE)," ")</f>
        <v xml:space="preserve"> </v>
      </c>
      <c r="AA356" s="85"/>
      <c r="AB356" s="90"/>
      <c r="AC356" s="90"/>
      <c r="AD356" s="90"/>
      <c r="AE356" s="90"/>
      <c r="AF356" s="90"/>
    </row>
    <row r="357" spans="1:32" ht="21.25" customHeight="1" x14ac:dyDescent="0.15">
      <c r="A357" s="24"/>
      <c r="B357" s="93" t="str" cm="1">
        <f t="array" ref="B357">IFERROR(VLOOKUP($A357,'The List'!$B1:$AS671,3,FALSE)," ")</f>
        <v xml:space="preserve"> </v>
      </c>
      <c r="C357" s="95" t="str" cm="1">
        <f t="array" ref="C357">IFERROR(VLOOKUP($A357,'The List'!$B1:$AS671,4,FALSE)," ")</f>
        <v xml:space="preserve"> </v>
      </c>
      <c r="D357" s="18" t="str" cm="1">
        <f t="array" ref="D357">IFERROR(VLOOKUP($A357,'The List'!$B1:$AS671,5,FALSE)," ")</f>
        <v xml:space="preserve"> </v>
      </c>
      <c r="E357" s="18" t="str" cm="1">
        <f t="array" ref="E357">IFERROR(VLOOKUP($A357,'The List'!$B1:$AS671,6,FALSE)," ")</f>
        <v xml:space="preserve"> </v>
      </c>
      <c r="F357" s="92" t="str" cm="1">
        <f t="array" ref="F357">IFERROR(VLOOKUP($A357,'The List'!$B1:$AS671,8,FALSE)," ")</f>
        <v xml:space="preserve"> </v>
      </c>
      <c r="G357" s="92" t="str" cm="1">
        <f t="array" ref="G357">IFERROR(VLOOKUP($A357,'The List'!$B1:$AS671,10,FALSE)," ")</f>
        <v xml:space="preserve"> </v>
      </c>
      <c r="H357" s="55"/>
      <c r="I357" s="84" t="str" cm="1">
        <f t="array" ref="I357">IFERROR(VLOOKUP($A357,'The List'!$B1:$AS671,16,FALSE)," ")</f>
        <v xml:space="preserve"> </v>
      </c>
      <c r="J357" s="84" t="str" cm="1">
        <f t="array" ref="J357">IFERROR(VLOOKUP($A357,'The List'!$B1:$AS671,17,FALSE)," ")</f>
        <v xml:space="preserve"> </v>
      </c>
      <c r="K357" s="84" t="str" cm="1">
        <f t="array" ref="K357">IFERROR(VLOOKUP($A357,'The List'!$B1:$AS671,18,FALSE)," ")</f>
        <v xml:space="preserve"> </v>
      </c>
      <c r="L357" s="84" t="str" cm="1">
        <f t="array" ref="L357">IFERROR(VLOOKUP($A357,'The List'!$B1:$AS671,19,FALSE)," ")</f>
        <v xml:space="preserve"> </v>
      </c>
      <c r="M357" s="84" t="str" cm="1">
        <f t="array" ref="M357">IFERROR(VLOOKUP($A357,'The List'!$B1:$AS671,20,FALSE)," ")</f>
        <v xml:space="preserve"> </v>
      </c>
      <c r="N357" s="84" t="str" cm="1">
        <f t="array" ref="N357">IFERROR(VLOOKUP($A357,'The List'!$B1:$AS671,21,FALSE)," ")</f>
        <v xml:space="preserve"> </v>
      </c>
      <c r="O357" s="84" t="str" cm="1">
        <f t="array" ref="O357">IFERROR(VLOOKUP($A357,'The List'!$B1:$AS671,22,FALSE)," ")</f>
        <v xml:space="preserve"> </v>
      </c>
      <c r="P357" s="84" t="str" cm="1">
        <f t="array" ref="P357">IFERROR(VLOOKUP($A357,'The List'!$B1:$AS671,23,FALSE)," ")</f>
        <v xml:space="preserve"> </v>
      </c>
      <c r="Q357" s="84" t="str" cm="1">
        <f t="array" ref="Q357">IFERROR(VLOOKUP($A357,'The List'!$B1:$AS671,24,FALSE)," ")</f>
        <v xml:space="preserve"> </v>
      </c>
      <c r="R357" s="84" t="str" cm="1">
        <f t="array" ref="R357">IFERROR(VLOOKUP($A357,'The List'!$B1:$AS671,25,FALSE)," ")</f>
        <v xml:space="preserve"> </v>
      </c>
      <c r="S357" s="84" t="str" cm="1">
        <f t="array" ref="S357">IFERROR(VLOOKUP($A357,'The List'!$B1:$AS671,26,FALSE)," ")</f>
        <v xml:space="preserve"> </v>
      </c>
      <c r="T357" s="84" t="str" cm="1">
        <f t="array" ref="T357">IFERROR(VLOOKUP($A357,'The List'!$B1:$AS671,27,FALSE)," ")</f>
        <v xml:space="preserve"> </v>
      </c>
      <c r="U357" s="84" t="str" cm="1">
        <f t="array" ref="U357">IFERROR(VLOOKUP($A357,'The List'!$B1:$AS671,28,FALSE)," ")</f>
        <v xml:space="preserve"> </v>
      </c>
      <c r="V357" s="84" t="str" cm="1">
        <f t="array" ref="V357">IFERROR(VLOOKUP($A357,'The List'!$B1:$AS671,29,FALSE)," ")</f>
        <v xml:space="preserve"> </v>
      </c>
      <c r="W357" s="84" t="str" cm="1">
        <f t="array" ref="W357">IFERROR(VLOOKUP($A357,'The List'!$B1:$AS671,30,FALSE)," ")</f>
        <v xml:space="preserve"> </v>
      </c>
      <c r="X357" s="84" t="str" cm="1">
        <f t="array" ref="X357">IFERROR(VLOOKUP($A357,'The List'!$B1:$AS671,31,FALSE)," ")</f>
        <v xml:space="preserve"> </v>
      </c>
      <c r="Y357" s="84" t="str" cm="1">
        <f t="array" ref="Y357">IFERROR(VLOOKUP($A357,'The List'!$B1:$AS671,32,FALSE)," ")</f>
        <v xml:space="preserve"> </v>
      </c>
      <c r="Z357" s="84" t="str" cm="1">
        <f t="array" ref="Z357">IFERROR(VLOOKUP($A357,'The List'!$B1:$AS671,33,FALSE)," ")</f>
        <v xml:space="preserve"> </v>
      </c>
      <c r="AA357" s="85"/>
      <c r="AB357" s="90"/>
      <c r="AC357" s="90"/>
      <c r="AD357" s="90"/>
      <c r="AE357" s="90"/>
      <c r="AF357" s="90"/>
    </row>
    <row r="358" spans="1:32" ht="21.25" customHeight="1" x14ac:dyDescent="0.15">
      <c r="A358" s="24"/>
      <c r="B358" s="96" t="str" cm="1">
        <f t="array" ref="B358">IFERROR(VLOOKUP($A358,'The List'!$B1:$AS671,3,FALSE)," ")</f>
        <v xml:space="preserve"> </v>
      </c>
      <c r="C358" s="98" t="str" cm="1">
        <f t="array" ref="C358">IFERROR(VLOOKUP($A358,'The List'!$B1:$AS671,4,FALSE)," ")</f>
        <v xml:space="preserve"> </v>
      </c>
      <c r="D358" s="18" t="str" cm="1">
        <f t="array" ref="D358">IFERROR(VLOOKUP($A358,'The List'!$B1:$AS671,5,FALSE)," ")</f>
        <v xml:space="preserve"> </v>
      </c>
      <c r="E358" s="18" t="str" cm="1">
        <f t="array" ref="E358">IFERROR(VLOOKUP($A358,'The List'!$B1:$AS671,6,FALSE)," ")</f>
        <v xml:space="preserve"> </v>
      </c>
      <c r="F358" s="92" t="str" cm="1">
        <f t="array" ref="F358">IFERROR(VLOOKUP($A358,'The List'!$B1:$AS671,8,FALSE)," ")</f>
        <v xml:space="preserve"> </v>
      </c>
      <c r="G358" s="92" t="str" cm="1">
        <f t="array" ref="G358">IFERROR(VLOOKUP($A358,'The List'!$B1:$AS671,10,FALSE)," ")</f>
        <v xml:space="preserve"> </v>
      </c>
      <c r="H358" s="55"/>
      <c r="I358" s="84" t="str" cm="1">
        <f t="array" ref="I358">IFERROR(VLOOKUP($A358,'The List'!$B1:$AS671,16,FALSE)," ")</f>
        <v xml:space="preserve"> </v>
      </c>
      <c r="J358" s="84" t="str" cm="1">
        <f t="array" ref="J358">IFERROR(VLOOKUP($A358,'The List'!$B1:$AS671,17,FALSE)," ")</f>
        <v xml:space="preserve"> </v>
      </c>
      <c r="K358" s="84" t="str" cm="1">
        <f t="array" ref="K358">IFERROR(VLOOKUP($A358,'The List'!$B1:$AS671,18,FALSE)," ")</f>
        <v xml:space="preserve"> </v>
      </c>
      <c r="L358" s="84" t="str" cm="1">
        <f t="array" ref="L358">IFERROR(VLOOKUP($A358,'The List'!$B1:$AS671,19,FALSE)," ")</f>
        <v xml:space="preserve"> </v>
      </c>
      <c r="M358" s="84" t="str" cm="1">
        <f t="array" ref="M358">IFERROR(VLOOKUP($A358,'The List'!$B1:$AS671,20,FALSE)," ")</f>
        <v xml:space="preserve"> </v>
      </c>
      <c r="N358" s="84" t="str" cm="1">
        <f t="array" ref="N358">IFERROR(VLOOKUP($A358,'The List'!$B1:$AS671,21,FALSE)," ")</f>
        <v xml:space="preserve"> </v>
      </c>
      <c r="O358" s="84" t="str" cm="1">
        <f t="array" ref="O358">IFERROR(VLOOKUP($A358,'The List'!$B1:$AS671,22,FALSE)," ")</f>
        <v xml:space="preserve"> </v>
      </c>
      <c r="P358" s="84" t="str" cm="1">
        <f t="array" ref="P358">IFERROR(VLOOKUP($A358,'The List'!$B1:$AS671,23,FALSE)," ")</f>
        <v xml:space="preserve"> </v>
      </c>
      <c r="Q358" s="84" t="str" cm="1">
        <f t="array" ref="Q358">IFERROR(VLOOKUP($A358,'The List'!$B1:$AS671,24,FALSE)," ")</f>
        <v xml:space="preserve"> </v>
      </c>
      <c r="R358" s="84" t="str" cm="1">
        <f t="array" ref="R358">IFERROR(VLOOKUP($A358,'The List'!$B1:$AS671,25,FALSE)," ")</f>
        <v xml:space="preserve"> </v>
      </c>
      <c r="S358" s="84" t="str" cm="1">
        <f t="array" ref="S358">IFERROR(VLOOKUP($A358,'The List'!$B1:$AS671,26,FALSE)," ")</f>
        <v xml:space="preserve"> </v>
      </c>
      <c r="T358" s="84" t="str" cm="1">
        <f t="array" ref="T358">IFERROR(VLOOKUP($A358,'The List'!$B1:$AS671,27,FALSE)," ")</f>
        <v xml:space="preserve"> </v>
      </c>
      <c r="U358" s="84" t="str" cm="1">
        <f t="array" ref="U358">IFERROR(VLOOKUP($A358,'The List'!$B1:$AS671,28,FALSE)," ")</f>
        <v xml:space="preserve"> </v>
      </c>
      <c r="V358" s="84" t="str" cm="1">
        <f t="array" ref="V358">IFERROR(VLOOKUP($A358,'The List'!$B1:$AS671,29,FALSE)," ")</f>
        <v xml:space="preserve"> </v>
      </c>
      <c r="W358" s="84" t="str" cm="1">
        <f t="array" ref="W358">IFERROR(VLOOKUP($A358,'The List'!$B1:$AS671,30,FALSE)," ")</f>
        <v xml:space="preserve"> </v>
      </c>
      <c r="X358" s="84" t="str" cm="1">
        <f t="array" ref="X358">IFERROR(VLOOKUP($A358,'The List'!$B1:$AS671,31,FALSE)," ")</f>
        <v xml:space="preserve"> </v>
      </c>
      <c r="Y358" s="84" t="str" cm="1">
        <f t="array" ref="Y358">IFERROR(VLOOKUP($A358,'The List'!$B1:$AS671,32,FALSE)," ")</f>
        <v xml:space="preserve"> </v>
      </c>
      <c r="Z358" s="84" t="str" cm="1">
        <f t="array" ref="Z358">IFERROR(VLOOKUP($A358,'The List'!$B1:$AS671,33,FALSE)," ")</f>
        <v xml:space="preserve"> </v>
      </c>
      <c r="AA358" s="85"/>
      <c r="AB358" s="90"/>
      <c r="AC358" s="90"/>
      <c r="AD358" s="90"/>
      <c r="AE358" s="90"/>
      <c r="AF358" s="90"/>
    </row>
    <row r="359" spans="1:32" ht="21.25" customHeight="1" x14ac:dyDescent="0.15">
      <c r="A359" s="24"/>
      <c r="B359" s="96" t="str" cm="1">
        <f t="array" ref="B359">IFERROR(VLOOKUP($A359,'The List'!$B1:$AS671,3,FALSE)," ")</f>
        <v xml:space="preserve"> </v>
      </c>
      <c r="C359" s="98" t="str" cm="1">
        <f t="array" ref="C359">IFERROR(VLOOKUP($A359,'The List'!$B1:$AS671,4,FALSE)," ")</f>
        <v xml:space="preserve"> </v>
      </c>
      <c r="D359" s="18" t="str" cm="1">
        <f t="array" ref="D359">IFERROR(VLOOKUP($A359,'The List'!$B1:$AS671,5,FALSE)," ")</f>
        <v xml:space="preserve"> </v>
      </c>
      <c r="E359" s="18" t="str" cm="1">
        <f t="array" ref="E359">IFERROR(VLOOKUP($A359,'The List'!$B1:$AS671,6,FALSE)," ")</f>
        <v xml:space="preserve"> </v>
      </c>
      <c r="F359" s="92" t="str" cm="1">
        <f t="array" ref="F359">IFERROR(VLOOKUP($A359,'The List'!$B1:$AS671,8,FALSE)," ")</f>
        <v xml:space="preserve"> </v>
      </c>
      <c r="G359" s="92" t="str" cm="1">
        <f t="array" ref="G359">IFERROR(VLOOKUP($A359,'The List'!$B1:$AS671,10,FALSE)," ")</f>
        <v xml:space="preserve"> </v>
      </c>
      <c r="H359" s="55"/>
      <c r="I359" s="84" t="str" cm="1">
        <f t="array" ref="I359">IFERROR(VLOOKUP($A359,'The List'!$B1:$AS671,16,FALSE)," ")</f>
        <v xml:space="preserve"> </v>
      </c>
      <c r="J359" s="84" t="str" cm="1">
        <f t="array" ref="J359">IFERROR(VLOOKUP($A359,'The List'!$B1:$AS671,17,FALSE)," ")</f>
        <v xml:space="preserve"> </v>
      </c>
      <c r="K359" s="84" t="str" cm="1">
        <f t="array" ref="K359">IFERROR(VLOOKUP($A359,'The List'!$B1:$AS671,18,FALSE)," ")</f>
        <v xml:space="preserve"> </v>
      </c>
      <c r="L359" s="84" t="str" cm="1">
        <f t="array" ref="L359">IFERROR(VLOOKUP($A359,'The List'!$B1:$AS671,19,FALSE)," ")</f>
        <v xml:space="preserve"> </v>
      </c>
      <c r="M359" s="84" t="str" cm="1">
        <f t="array" ref="M359">IFERROR(VLOOKUP($A359,'The List'!$B1:$AS671,20,FALSE)," ")</f>
        <v xml:space="preserve"> </v>
      </c>
      <c r="N359" s="84" t="str" cm="1">
        <f t="array" ref="N359">IFERROR(VLOOKUP($A359,'The List'!$B1:$AS671,21,FALSE)," ")</f>
        <v xml:space="preserve"> </v>
      </c>
      <c r="O359" s="84" t="str" cm="1">
        <f t="array" ref="O359">IFERROR(VLOOKUP($A359,'The List'!$B1:$AS671,22,FALSE)," ")</f>
        <v xml:space="preserve"> </v>
      </c>
      <c r="P359" s="84" t="str" cm="1">
        <f t="array" ref="P359">IFERROR(VLOOKUP($A359,'The List'!$B1:$AS671,23,FALSE)," ")</f>
        <v xml:space="preserve"> </v>
      </c>
      <c r="Q359" s="84" t="str" cm="1">
        <f t="array" ref="Q359">IFERROR(VLOOKUP($A359,'The List'!$B1:$AS671,24,FALSE)," ")</f>
        <v xml:space="preserve"> </v>
      </c>
      <c r="R359" s="84" t="str" cm="1">
        <f t="array" ref="R359">IFERROR(VLOOKUP($A359,'The List'!$B1:$AS671,25,FALSE)," ")</f>
        <v xml:space="preserve"> </v>
      </c>
      <c r="S359" s="84" t="str" cm="1">
        <f t="array" ref="S359">IFERROR(VLOOKUP($A359,'The List'!$B1:$AS671,26,FALSE)," ")</f>
        <v xml:space="preserve"> </v>
      </c>
      <c r="T359" s="84" t="str" cm="1">
        <f t="array" ref="T359">IFERROR(VLOOKUP($A359,'The List'!$B1:$AS671,27,FALSE)," ")</f>
        <v xml:space="preserve"> </v>
      </c>
      <c r="U359" s="84" t="str" cm="1">
        <f t="array" ref="U359">IFERROR(VLOOKUP($A359,'The List'!$B1:$AS671,28,FALSE)," ")</f>
        <v xml:space="preserve"> </v>
      </c>
      <c r="V359" s="84" t="str" cm="1">
        <f t="array" ref="V359">IFERROR(VLOOKUP($A359,'The List'!$B1:$AS671,29,FALSE)," ")</f>
        <v xml:space="preserve"> </v>
      </c>
      <c r="W359" s="84" t="str" cm="1">
        <f t="array" ref="W359">IFERROR(VLOOKUP($A359,'The List'!$B1:$AS671,30,FALSE)," ")</f>
        <v xml:space="preserve"> </v>
      </c>
      <c r="X359" s="84" t="str" cm="1">
        <f t="array" ref="X359">IFERROR(VLOOKUP($A359,'The List'!$B1:$AS671,31,FALSE)," ")</f>
        <v xml:space="preserve"> </v>
      </c>
      <c r="Y359" s="84" t="str" cm="1">
        <f t="array" ref="Y359">IFERROR(VLOOKUP($A359,'The List'!$B1:$AS671,32,FALSE)," ")</f>
        <v xml:space="preserve"> </v>
      </c>
      <c r="Z359" s="84" t="str" cm="1">
        <f t="array" ref="Z359">IFERROR(VLOOKUP($A359,'The List'!$B1:$AS671,33,FALSE)," ")</f>
        <v xml:space="preserve"> </v>
      </c>
      <c r="AA359" s="85"/>
      <c r="AB359" s="90"/>
      <c r="AC359" s="90"/>
      <c r="AD359" s="90"/>
      <c r="AE359" s="90"/>
      <c r="AF359" s="90"/>
    </row>
    <row r="360" spans="1:32" ht="21.25" customHeight="1" x14ac:dyDescent="0.15">
      <c r="A360" s="24"/>
      <c r="B360" s="96" t="str" cm="1">
        <f t="array" ref="B360">IFERROR(VLOOKUP($A360,'The List'!$B1:$AS671,3,FALSE)," ")</f>
        <v xml:space="preserve"> </v>
      </c>
      <c r="C360" s="98" t="str" cm="1">
        <f t="array" ref="C360">IFERROR(VLOOKUP($A360,'The List'!$B1:$AS671,4,FALSE)," ")</f>
        <v xml:space="preserve"> </v>
      </c>
      <c r="D360" s="18" t="str" cm="1">
        <f t="array" ref="D360">IFERROR(VLOOKUP($A360,'The List'!$B1:$AS671,5,FALSE)," ")</f>
        <v xml:space="preserve"> </v>
      </c>
      <c r="E360" s="18" t="str" cm="1">
        <f t="array" ref="E360">IFERROR(VLOOKUP($A360,'The List'!$B1:$AS671,6,FALSE)," ")</f>
        <v xml:space="preserve"> </v>
      </c>
      <c r="F360" s="92" t="str" cm="1">
        <f t="array" ref="F360">IFERROR(VLOOKUP($A360,'The List'!$B1:$AS671,8,FALSE)," ")</f>
        <v xml:space="preserve"> </v>
      </c>
      <c r="G360" s="92" t="str" cm="1">
        <f t="array" ref="G360">IFERROR(VLOOKUP($A360,'The List'!$B1:$AS671,10,FALSE)," ")</f>
        <v xml:space="preserve"> </v>
      </c>
      <c r="H360" s="55"/>
      <c r="I360" s="84" t="str" cm="1">
        <f t="array" ref="I360">IFERROR(VLOOKUP($A360,'The List'!$B1:$AS671,16,FALSE)," ")</f>
        <v xml:space="preserve"> </v>
      </c>
      <c r="J360" s="84" t="str" cm="1">
        <f t="array" ref="J360">IFERROR(VLOOKUP($A360,'The List'!$B1:$AS671,17,FALSE)," ")</f>
        <v xml:space="preserve"> </v>
      </c>
      <c r="K360" s="84" t="str" cm="1">
        <f t="array" ref="K360">IFERROR(VLOOKUP($A360,'The List'!$B1:$AS671,18,FALSE)," ")</f>
        <v xml:space="preserve"> </v>
      </c>
      <c r="L360" s="84" t="str" cm="1">
        <f t="array" ref="L360">IFERROR(VLOOKUP($A360,'The List'!$B1:$AS671,19,FALSE)," ")</f>
        <v xml:space="preserve"> </v>
      </c>
      <c r="M360" s="84" t="str" cm="1">
        <f t="array" ref="M360">IFERROR(VLOOKUP($A360,'The List'!$B1:$AS671,20,FALSE)," ")</f>
        <v xml:space="preserve"> </v>
      </c>
      <c r="N360" s="84" t="str" cm="1">
        <f t="array" ref="N360">IFERROR(VLOOKUP($A360,'The List'!$B1:$AS671,21,FALSE)," ")</f>
        <v xml:space="preserve"> </v>
      </c>
      <c r="O360" s="84" t="str" cm="1">
        <f t="array" ref="O360">IFERROR(VLOOKUP($A360,'The List'!$B1:$AS671,22,FALSE)," ")</f>
        <v xml:space="preserve"> </v>
      </c>
      <c r="P360" s="84" t="str" cm="1">
        <f t="array" ref="P360">IFERROR(VLOOKUP($A360,'The List'!$B1:$AS671,23,FALSE)," ")</f>
        <v xml:space="preserve"> </v>
      </c>
      <c r="Q360" s="84" t="str" cm="1">
        <f t="array" ref="Q360">IFERROR(VLOOKUP($A360,'The List'!$B1:$AS671,24,FALSE)," ")</f>
        <v xml:space="preserve"> </v>
      </c>
      <c r="R360" s="84" t="str" cm="1">
        <f t="array" ref="R360">IFERROR(VLOOKUP($A360,'The List'!$B1:$AS671,25,FALSE)," ")</f>
        <v xml:space="preserve"> </v>
      </c>
      <c r="S360" s="84" t="str" cm="1">
        <f t="array" ref="S360">IFERROR(VLOOKUP($A360,'The List'!$B1:$AS671,26,FALSE)," ")</f>
        <v xml:space="preserve"> </v>
      </c>
      <c r="T360" s="84" t="str" cm="1">
        <f t="array" ref="T360">IFERROR(VLOOKUP($A360,'The List'!$B1:$AS671,27,FALSE)," ")</f>
        <v xml:space="preserve"> </v>
      </c>
      <c r="U360" s="84" t="str" cm="1">
        <f t="array" ref="U360">IFERROR(VLOOKUP($A360,'The List'!$B1:$AS671,28,FALSE)," ")</f>
        <v xml:space="preserve"> </v>
      </c>
      <c r="V360" s="84" t="str" cm="1">
        <f t="array" ref="V360">IFERROR(VLOOKUP($A360,'The List'!$B1:$AS671,29,FALSE)," ")</f>
        <v xml:space="preserve"> </v>
      </c>
      <c r="W360" s="84" t="str" cm="1">
        <f t="array" ref="W360">IFERROR(VLOOKUP($A360,'The List'!$B1:$AS671,30,FALSE)," ")</f>
        <v xml:space="preserve"> </v>
      </c>
      <c r="X360" s="84" t="str" cm="1">
        <f t="array" ref="X360">IFERROR(VLOOKUP($A360,'The List'!$B1:$AS671,31,FALSE)," ")</f>
        <v xml:space="preserve"> </v>
      </c>
      <c r="Y360" s="84" t="str" cm="1">
        <f t="array" ref="Y360">IFERROR(VLOOKUP($A360,'The List'!$B1:$AS671,32,FALSE)," ")</f>
        <v xml:space="preserve"> </v>
      </c>
      <c r="Z360" s="84" t="str" cm="1">
        <f t="array" ref="Z360">IFERROR(VLOOKUP($A360,'The List'!$B1:$AS671,33,FALSE)," ")</f>
        <v xml:space="preserve"> </v>
      </c>
      <c r="AA360" s="85"/>
      <c r="AB360" s="90"/>
      <c r="AC360" s="90"/>
      <c r="AD360" s="90"/>
      <c r="AE360" s="90"/>
      <c r="AF360" s="90"/>
    </row>
    <row r="361" spans="1:32" ht="21.25" customHeight="1" x14ac:dyDescent="0.15">
      <c r="A361" s="24"/>
      <c r="B361" s="96" t="str" cm="1">
        <f t="array" ref="B361">IFERROR(VLOOKUP($A361,'The List'!$B1:$AS671,3,FALSE)," ")</f>
        <v xml:space="preserve"> </v>
      </c>
      <c r="C361" s="98" t="str" cm="1">
        <f t="array" ref="C361">IFERROR(VLOOKUP($A361,'The List'!$B1:$AS671,4,FALSE)," ")</f>
        <v xml:space="preserve"> </v>
      </c>
      <c r="D361" s="18" t="str" cm="1">
        <f t="array" ref="D361">IFERROR(VLOOKUP($A361,'The List'!$B1:$AS671,5,FALSE)," ")</f>
        <v xml:space="preserve"> </v>
      </c>
      <c r="E361" s="18" t="str" cm="1">
        <f t="array" ref="E361">IFERROR(VLOOKUP($A361,'The List'!$B1:$AS671,6,FALSE)," ")</f>
        <v xml:space="preserve"> </v>
      </c>
      <c r="F361" s="92" t="str" cm="1">
        <f t="array" ref="F361">IFERROR(VLOOKUP($A361,'The List'!$B1:$AS671,8,FALSE)," ")</f>
        <v xml:space="preserve"> </v>
      </c>
      <c r="G361" s="92" t="str" cm="1">
        <f t="array" ref="G361">IFERROR(VLOOKUP($A361,'The List'!$B1:$AS671,10,FALSE)," ")</f>
        <v xml:space="preserve"> </v>
      </c>
      <c r="H361" s="55"/>
      <c r="I361" s="84" t="str" cm="1">
        <f t="array" ref="I361">IFERROR(VLOOKUP($A361,'The List'!$B1:$AS671,16,FALSE)," ")</f>
        <v xml:space="preserve"> </v>
      </c>
      <c r="J361" s="84" t="str" cm="1">
        <f t="array" ref="J361">IFERROR(VLOOKUP($A361,'The List'!$B1:$AS671,17,FALSE)," ")</f>
        <v xml:space="preserve"> </v>
      </c>
      <c r="K361" s="84" t="str" cm="1">
        <f t="array" ref="K361">IFERROR(VLOOKUP($A361,'The List'!$B1:$AS671,18,FALSE)," ")</f>
        <v xml:space="preserve"> </v>
      </c>
      <c r="L361" s="84" t="str" cm="1">
        <f t="array" ref="L361">IFERROR(VLOOKUP($A361,'The List'!$B1:$AS671,19,FALSE)," ")</f>
        <v xml:space="preserve"> </v>
      </c>
      <c r="M361" s="84" t="str" cm="1">
        <f t="array" ref="M361">IFERROR(VLOOKUP($A361,'The List'!$B1:$AS671,20,FALSE)," ")</f>
        <v xml:space="preserve"> </v>
      </c>
      <c r="N361" s="84" t="str" cm="1">
        <f t="array" ref="N361">IFERROR(VLOOKUP($A361,'The List'!$B1:$AS671,21,FALSE)," ")</f>
        <v xml:space="preserve"> </v>
      </c>
      <c r="O361" s="84" t="str" cm="1">
        <f t="array" ref="O361">IFERROR(VLOOKUP($A361,'The List'!$B1:$AS671,22,FALSE)," ")</f>
        <v xml:space="preserve"> </v>
      </c>
      <c r="P361" s="84" t="str" cm="1">
        <f t="array" ref="P361">IFERROR(VLOOKUP($A361,'The List'!$B1:$AS671,23,FALSE)," ")</f>
        <v xml:space="preserve"> </v>
      </c>
      <c r="Q361" s="84" t="str" cm="1">
        <f t="array" ref="Q361">IFERROR(VLOOKUP($A361,'The List'!$B1:$AS671,24,FALSE)," ")</f>
        <v xml:space="preserve"> </v>
      </c>
      <c r="R361" s="84" t="str" cm="1">
        <f t="array" ref="R361">IFERROR(VLOOKUP($A361,'The List'!$B1:$AS671,25,FALSE)," ")</f>
        <v xml:space="preserve"> </v>
      </c>
      <c r="S361" s="84" t="str" cm="1">
        <f t="array" ref="S361">IFERROR(VLOOKUP($A361,'The List'!$B1:$AS671,26,FALSE)," ")</f>
        <v xml:space="preserve"> </v>
      </c>
      <c r="T361" s="84" t="str" cm="1">
        <f t="array" ref="T361">IFERROR(VLOOKUP($A361,'The List'!$B1:$AS671,27,FALSE)," ")</f>
        <v xml:space="preserve"> </v>
      </c>
      <c r="U361" s="84" t="str" cm="1">
        <f t="array" ref="U361">IFERROR(VLOOKUP($A361,'The List'!$B1:$AS671,28,FALSE)," ")</f>
        <v xml:space="preserve"> </v>
      </c>
      <c r="V361" s="84" t="str" cm="1">
        <f t="array" ref="V361">IFERROR(VLOOKUP($A361,'The List'!$B1:$AS671,29,FALSE)," ")</f>
        <v xml:space="preserve"> </v>
      </c>
      <c r="W361" s="84" t="str" cm="1">
        <f t="array" ref="W361">IFERROR(VLOOKUP($A361,'The List'!$B1:$AS671,30,FALSE)," ")</f>
        <v xml:space="preserve"> </v>
      </c>
      <c r="X361" s="84" t="str" cm="1">
        <f t="array" ref="X361">IFERROR(VLOOKUP($A361,'The List'!$B1:$AS671,31,FALSE)," ")</f>
        <v xml:space="preserve"> </v>
      </c>
      <c r="Y361" s="84" t="str" cm="1">
        <f t="array" ref="Y361">IFERROR(VLOOKUP($A361,'The List'!$B1:$AS671,32,FALSE)," ")</f>
        <v xml:space="preserve"> </v>
      </c>
      <c r="Z361" s="84" t="str" cm="1">
        <f t="array" ref="Z361">IFERROR(VLOOKUP($A361,'The List'!$B1:$AS671,33,FALSE)," ")</f>
        <v xml:space="preserve"> </v>
      </c>
      <c r="AA361" s="85"/>
      <c r="AB361" s="90"/>
      <c r="AC361" s="90"/>
      <c r="AD361" s="90"/>
      <c r="AE361" s="90"/>
      <c r="AF361" s="90"/>
    </row>
    <row r="362" spans="1:32" ht="21.25" customHeight="1" x14ac:dyDescent="0.15">
      <c r="A362" s="24"/>
      <c r="B362" s="99" t="str" cm="1">
        <f t="array" ref="B362">IFERROR(VLOOKUP($A362,'The List'!$B1:$AS671,3,FALSE)," ")</f>
        <v xml:space="preserve"> </v>
      </c>
      <c r="C362" s="101" t="str" cm="1">
        <f t="array" ref="C362">IFERROR(VLOOKUP($A362,'The List'!$B1:$AS671,4,FALSE)," ")</f>
        <v xml:space="preserve"> </v>
      </c>
      <c r="D362" s="18" t="str" cm="1">
        <f t="array" ref="D362">IFERROR(VLOOKUP($A362,'The List'!$B1:$AS671,5,FALSE)," ")</f>
        <v xml:space="preserve"> </v>
      </c>
      <c r="E362" s="18" t="str" cm="1">
        <f t="array" ref="E362">IFERROR(VLOOKUP($A362,'The List'!$B1:$AS671,6,FALSE)," ")</f>
        <v xml:space="preserve"> </v>
      </c>
      <c r="F362" s="92" t="str" cm="1">
        <f t="array" ref="F362">IFERROR(VLOOKUP($A362,'The List'!$B1:$AS671,8,FALSE)," ")</f>
        <v xml:space="preserve"> </v>
      </c>
      <c r="G362" s="92" t="str" cm="1">
        <f t="array" ref="G362">IFERROR(VLOOKUP($A362,'The List'!$B1:$AS671,10,FALSE)," ")</f>
        <v xml:space="preserve"> </v>
      </c>
      <c r="H362" s="55"/>
      <c r="I362" s="84" t="str" cm="1">
        <f t="array" ref="I362">IFERROR(VLOOKUP($A362,'The List'!$B1:$AS671,16,FALSE)," ")</f>
        <v xml:space="preserve"> </v>
      </c>
      <c r="J362" s="84" t="str" cm="1">
        <f t="array" ref="J362">IFERROR(VLOOKUP($A362,'The List'!$B1:$AS671,17,FALSE)," ")</f>
        <v xml:space="preserve"> </v>
      </c>
      <c r="K362" s="84" t="str" cm="1">
        <f t="array" ref="K362">IFERROR(VLOOKUP($A362,'The List'!$B1:$AS671,18,FALSE)," ")</f>
        <v xml:space="preserve"> </v>
      </c>
      <c r="L362" s="84" t="str" cm="1">
        <f t="array" ref="L362">IFERROR(VLOOKUP($A362,'The List'!$B1:$AS671,19,FALSE)," ")</f>
        <v xml:space="preserve"> </v>
      </c>
      <c r="M362" s="84" t="str" cm="1">
        <f t="array" ref="M362">IFERROR(VLOOKUP($A362,'The List'!$B1:$AS671,20,FALSE)," ")</f>
        <v xml:space="preserve"> </v>
      </c>
      <c r="N362" s="84" t="str" cm="1">
        <f t="array" ref="N362">IFERROR(VLOOKUP($A362,'The List'!$B1:$AS671,21,FALSE)," ")</f>
        <v xml:space="preserve"> </v>
      </c>
      <c r="O362" s="84" t="str" cm="1">
        <f t="array" ref="O362">IFERROR(VLOOKUP($A362,'The List'!$B1:$AS671,22,FALSE)," ")</f>
        <v xml:space="preserve"> </v>
      </c>
      <c r="P362" s="84" t="str" cm="1">
        <f t="array" ref="P362">IFERROR(VLOOKUP($A362,'The List'!$B1:$AS671,23,FALSE)," ")</f>
        <v xml:space="preserve"> </v>
      </c>
      <c r="Q362" s="84" t="str" cm="1">
        <f t="array" ref="Q362">IFERROR(VLOOKUP($A362,'The List'!$B1:$AS671,24,FALSE)," ")</f>
        <v xml:space="preserve"> </v>
      </c>
      <c r="R362" s="84" t="str" cm="1">
        <f t="array" ref="R362">IFERROR(VLOOKUP($A362,'The List'!$B1:$AS671,25,FALSE)," ")</f>
        <v xml:space="preserve"> </v>
      </c>
      <c r="S362" s="84" t="str" cm="1">
        <f t="array" ref="S362">IFERROR(VLOOKUP($A362,'The List'!$B1:$AS671,26,FALSE)," ")</f>
        <v xml:space="preserve"> </v>
      </c>
      <c r="T362" s="84" t="str" cm="1">
        <f t="array" ref="T362">IFERROR(VLOOKUP($A362,'The List'!$B1:$AS671,27,FALSE)," ")</f>
        <v xml:space="preserve"> </v>
      </c>
      <c r="U362" s="84" t="str" cm="1">
        <f t="array" ref="U362">IFERROR(VLOOKUP($A362,'The List'!$B1:$AS671,28,FALSE)," ")</f>
        <v xml:space="preserve"> </v>
      </c>
      <c r="V362" s="84" t="str" cm="1">
        <f t="array" ref="V362">IFERROR(VLOOKUP($A362,'The List'!$B1:$AS671,29,FALSE)," ")</f>
        <v xml:space="preserve"> </v>
      </c>
      <c r="W362" s="84" t="str" cm="1">
        <f t="array" ref="W362">IFERROR(VLOOKUP($A362,'The List'!$B1:$AS671,30,FALSE)," ")</f>
        <v xml:space="preserve"> </v>
      </c>
      <c r="X362" s="84" t="str" cm="1">
        <f t="array" ref="X362">IFERROR(VLOOKUP($A362,'The List'!$B1:$AS671,31,FALSE)," ")</f>
        <v xml:space="preserve"> </v>
      </c>
      <c r="Y362" s="84" t="str" cm="1">
        <f t="array" ref="Y362">IFERROR(VLOOKUP($A362,'The List'!$B1:$AS671,32,FALSE)," ")</f>
        <v xml:space="preserve"> </v>
      </c>
      <c r="Z362" s="84" t="str" cm="1">
        <f t="array" ref="Z362">IFERROR(VLOOKUP($A362,'The List'!$B1:$AS671,33,FALSE)," ")</f>
        <v xml:space="preserve"> </v>
      </c>
      <c r="AA362" s="85"/>
      <c r="AB362" s="90"/>
      <c r="AC362" s="90"/>
      <c r="AD362" s="90"/>
      <c r="AE362" s="90"/>
      <c r="AF362" s="90"/>
    </row>
    <row r="363" spans="1:32" ht="21.25" customHeight="1" x14ac:dyDescent="0.15">
      <c r="A363" s="24"/>
      <c r="B363" s="99" t="str" cm="1">
        <f t="array" ref="B363">IFERROR(VLOOKUP($A363,'The List'!$B1:$AS671,3,FALSE)," ")</f>
        <v xml:space="preserve"> </v>
      </c>
      <c r="C363" s="101" t="str" cm="1">
        <f t="array" ref="C363">IFERROR(VLOOKUP($A363,'The List'!$B1:$AS671,4,FALSE)," ")</f>
        <v xml:space="preserve"> </v>
      </c>
      <c r="D363" s="18" t="str" cm="1">
        <f t="array" ref="D363">IFERROR(VLOOKUP($A363,'The List'!$B1:$AS671,5,FALSE)," ")</f>
        <v xml:space="preserve"> </v>
      </c>
      <c r="E363" s="18" t="str" cm="1">
        <f t="array" ref="E363">IFERROR(VLOOKUP($A363,'The List'!$B1:$AS671,6,FALSE)," ")</f>
        <v xml:space="preserve"> </v>
      </c>
      <c r="F363" s="92" t="str" cm="1">
        <f t="array" ref="F363">IFERROR(VLOOKUP($A363,'The List'!$B1:$AS671,8,FALSE)," ")</f>
        <v xml:space="preserve"> </v>
      </c>
      <c r="G363" s="92" t="str" cm="1">
        <f t="array" ref="G363">IFERROR(VLOOKUP($A363,'The List'!$B1:$AS671,10,FALSE)," ")</f>
        <v xml:space="preserve"> </v>
      </c>
      <c r="H363" s="55"/>
      <c r="I363" s="84" t="str" cm="1">
        <f t="array" ref="I363">IFERROR(VLOOKUP($A363,'The List'!$B1:$AS671,16,FALSE)," ")</f>
        <v xml:space="preserve"> </v>
      </c>
      <c r="J363" s="84" t="str" cm="1">
        <f t="array" ref="J363">IFERROR(VLOOKUP($A363,'The List'!$B1:$AS671,17,FALSE)," ")</f>
        <v xml:space="preserve"> </v>
      </c>
      <c r="K363" s="84" t="str" cm="1">
        <f t="array" ref="K363">IFERROR(VLOOKUP($A363,'The List'!$B1:$AS671,18,FALSE)," ")</f>
        <v xml:space="preserve"> </v>
      </c>
      <c r="L363" s="84" t="str" cm="1">
        <f t="array" ref="L363">IFERROR(VLOOKUP($A363,'The List'!$B1:$AS671,19,FALSE)," ")</f>
        <v xml:space="preserve"> </v>
      </c>
      <c r="M363" s="84" t="str" cm="1">
        <f t="array" ref="M363">IFERROR(VLOOKUP($A363,'The List'!$B1:$AS671,20,FALSE)," ")</f>
        <v xml:space="preserve"> </v>
      </c>
      <c r="N363" s="84" t="str" cm="1">
        <f t="array" ref="N363">IFERROR(VLOOKUP($A363,'The List'!$B1:$AS671,21,FALSE)," ")</f>
        <v xml:space="preserve"> </v>
      </c>
      <c r="O363" s="84" t="str" cm="1">
        <f t="array" ref="O363">IFERROR(VLOOKUP($A363,'The List'!$B1:$AS671,22,FALSE)," ")</f>
        <v xml:space="preserve"> </v>
      </c>
      <c r="P363" s="84" t="str" cm="1">
        <f t="array" ref="P363">IFERROR(VLOOKUP($A363,'The List'!$B1:$AS671,23,FALSE)," ")</f>
        <v xml:space="preserve"> </v>
      </c>
      <c r="Q363" s="84" t="str" cm="1">
        <f t="array" ref="Q363">IFERROR(VLOOKUP($A363,'The List'!$B1:$AS671,24,FALSE)," ")</f>
        <v xml:space="preserve"> </v>
      </c>
      <c r="R363" s="84" t="str" cm="1">
        <f t="array" ref="R363">IFERROR(VLOOKUP($A363,'The List'!$B1:$AS671,25,FALSE)," ")</f>
        <v xml:space="preserve"> </v>
      </c>
      <c r="S363" s="84" t="str" cm="1">
        <f t="array" ref="S363">IFERROR(VLOOKUP($A363,'The List'!$B1:$AS671,26,FALSE)," ")</f>
        <v xml:space="preserve"> </v>
      </c>
      <c r="T363" s="84" t="str" cm="1">
        <f t="array" ref="T363">IFERROR(VLOOKUP($A363,'The List'!$B1:$AS671,27,FALSE)," ")</f>
        <v xml:space="preserve"> </v>
      </c>
      <c r="U363" s="84" t="str" cm="1">
        <f t="array" ref="U363">IFERROR(VLOOKUP($A363,'The List'!$B1:$AS671,28,FALSE)," ")</f>
        <v xml:space="preserve"> </v>
      </c>
      <c r="V363" s="84" t="str" cm="1">
        <f t="array" ref="V363">IFERROR(VLOOKUP($A363,'The List'!$B1:$AS671,29,FALSE)," ")</f>
        <v xml:space="preserve"> </v>
      </c>
      <c r="W363" s="84" t="str" cm="1">
        <f t="array" ref="W363">IFERROR(VLOOKUP($A363,'The List'!$B1:$AS671,30,FALSE)," ")</f>
        <v xml:space="preserve"> </v>
      </c>
      <c r="X363" s="84" t="str" cm="1">
        <f t="array" ref="X363">IFERROR(VLOOKUP($A363,'The List'!$B1:$AS671,31,FALSE)," ")</f>
        <v xml:space="preserve"> </v>
      </c>
      <c r="Y363" s="84" t="str" cm="1">
        <f t="array" ref="Y363">IFERROR(VLOOKUP($A363,'The List'!$B1:$AS671,32,FALSE)," ")</f>
        <v xml:space="preserve"> </v>
      </c>
      <c r="Z363" s="84" t="str" cm="1">
        <f t="array" ref="Z363">IFERROR(VLOOKUP($A363,'The List'!$B1:$AS671,33,FALSE)," ")</f>
        <v xml:space="preserve"> </v>
      </c>
      <c r="AA363" s="85"/>
      <c r="AB363" s="90"/>
      <c r="AC363" s="90"/>
      <c r="AD363" s="90"/>
      <c r="AE363" s="90"/>
      <c r="AF363" s="90"/>
    </row>
    <row r="364" spans="1:32" ht="21.25" customHeight="1" x14ac:dyDescent="0.15">
      <c r="A364" s="24"/>
      <c r="B364" s="99" t="str" cm="1">
        <f t="array" ref="B364">IFERROR(VLOOKUP($A364,'The List'!$B1:$AS671,3,FALSE)," ")</f>
        <v xml:space="preserve"> </v>
      </c>
      <c r="C364" s="101" t="str" cm="1">
        <f t="array" ref="C364">IFERROR(VLOOKUP($A364,'The List'!$B1:$AS671,4,FALSE)," ")</f>
        <v xml:space="preserve"> </v>
      </c>
      <c r="D364" s="18" t="str" cm="1">
        <f t="array" ref="D364">IFERROR(VLOOKUP($A364,'The List'!$B1:$AS671,5,FALSE)," ")</f>
        <v xml:space="preserve"> </v>
      </c>
      <c r="E364" s="18" t="str" cm="1">
        <f t="array" ref="E364">IFERROR(VLOOKUP($A364,'The List'!$B1:$AS671,6,FALSE)," ")</f>
        <v xml:space="preserve"> </v>
      </c>
      <c r="F364" s="92" t="str" cm="1">
        <f t="array" ref="F364">IFERROR(VLOOKUP($A364,'The List'!$B1:$AS671,8,FALSE)," ")</f>
        <v xml:space="preserve"> </v>
      </c>
      <c r="G364" s="92" t="str" cm="1">
        <f t="array" ref="G364">IFERROR(VLOOKUP($A364,'The List'!$B1:$AS671,10,FALSE)," ")</f>
        <v xml:space="preserve"> </v>
      </c>
      <c r="H364" s="55"/>
      <c r="I364" s="84" t="str" cm="1">
        <f t="array" ref="I364">IFERROR(VLOOKUP($A364,'The List'!$B1:$AS671,16,FALSE)," ")</f>
        <v xml:space="preserve"> </v>
      </c>
      <c r="J364" s="84" t="str" cm="1">
        <f t="array" ref="J364">IFERROR(VLOOKUP($A364,'The List'!$B1:$AS671,17,FALSE)," ")</f>
        <v xml:space="preserve"> </v>
      </c>
      <c r="K364" s="84" t="str" cm="1">
        <f t="array" ref="K364">IFERROR(VLOOKUP($A364,'The List'!$B1:$AS671,18,FALSE)," ")</f>
        <v xml:space="preserve"> </v>
      </c>
      <c r="L364" s="84" t="str" cm="1">
        <f t="array" ref="L364">IFERROR(VLOOKUP($A364,'The List'!$B1:$AS671,19,FALSE)," ")</f>
        <v xml:space="preserve"> </v>
      </c>
      <c r="M364" s="84" t="str" cm="1">
        <f t="array" ref="M364">IFERROR(VLOOKUP($A364,'The List'!$B1:$AS671,20,FALSE)," ")</f>
        <v xml:space="preserve"> </v>
      </c>
      <c r="N364" s="84" t="str" cm="1">
        <f t="array" ref="N364">IFERROR(VLOOKUP($A364,'The List'!$B1:$AS671,21,FALSE)," ")</f>
        <v xml:space="preserve"> </v>
      </c>
      <c r="O364" s="84" t="str" cm="1">
        <f t="array" ref="O364">IFERROR(VLOOKUP($A364,'The List'!$B1:$AS671,22,FALSE)," ")</f>
        <v xml:space="preserve"> </v>
      </c>
      <c r="P364" s="84" t="str" cm="1">
        <f t="array" ref="P364">IFERROR(VLOOKUP($A364,'The List'!$B1:$AS671,23,FALSE)," ")</f>
        <v xml:space="preserve"> </v>
      </c>
      <c r="Q364" s="84" t="str" cm="1">
        <f t="array" ref="Q364">IFERROR(VLOOKUP($A364,'The List'!$B1:$AS671,24,FALSE)," ")</f>
        <v xml:space="preserve"> </v>
      </c>
      <c r="R364" s="84" t="str" cm="1">
        <f t="array" ref="R364">IFERROR(VLOOKUP($A364,'The List'!$B1:$AS671,25,FALSE)," ")</f>
        <v xml:space="preserve"> </v>
      </c>
      <c r="S364" s="84" t="str" cm="1">
        <f t="array" ref="S364">IFERROR(VLOOKUP($A364,'The List'!$B1:$AS671,26,FALSE)," ")</f>
        <v xml:space="preserve"> </v>
      </c>
      <c r="T364" s="84" t="str" cm="1">
        <f t="array" ref="T364">IFERROR(VLOOKUP($A364,'The List'!$B1:$AS671,27,FALSE)," ")</f>
        <v xml:space="preserve"> </v>
      </c>
      <c r="U364" s="84" t="str" cm="1">
        <f t="array" ref="U364">IFERROR(VLOOKUP($A364,'The List'!$B1:$AS671,28,FALSE)," ")</f>
        <v xml:space="preserve"> </v>
      </c>
      <c r="V364" s="84" t="str" cm="1">
        <f t="array" ref="V364">IFERROR(VLOOKUP($A364,'The List'!$B1:$AS671,29,FALSE)," ")</f>
        <v xml:space="preserve"> </v>
      </c>
      <c r="W364" s="84" t="str" cm="1">
        <f t="array" ref="W364">IFERROR(VLOOKUP($A364,'The List'!$B1:$AS671,30,FALSE)," ")</f>
        <v xml:space="preserve"> </v>
      </c>
      <c r="X364" s="84" t="str" cm="1">
        <f t="array" ref="X364">IFERROR(VLOOKUP($A364,'The List'!$B1:$AS671,31,FALSE)," ")</f>
        <v xml:space="preserve"> </v>
      </c>
      <c r="Y364" s="84" t="str" cm="1">
        <f t="array" ref="Y364">IFERROR(VLOOKUP($A364,'The List'!$B1:$AS671,32,FALSE)," ")</f>
        <v xml:space="preserve"> </v>
      </c>
      <c r="Z364" s="84" t="str" cm="1">
        <f t="array" ref="Z364">IFERROR(VLOOKUP($A364,'The List'!$B1:$AS671,33,FALSE)," ")</f>
        <v xml:space="preserve"> </v>
      </c>
      <c r="AA364" s="85"/>
      <c r="AB364" s="90"/>
      <c r="AC364" s="90"/>
      <c r="AD364" s="90"/>
      <c r="AE364" s="90"/>
      <c r="AF364" s="90"/>
    </row>
    <row r="365" spans="1:32" ht="21.25" customHeight="1" x14ac:dyDescent="0.15">
      <c r="A365" s="24"/>
      <c r="B365" s="99" t="str" cm="1">
        <f t="array" ref="B365">IFERROR(VLOOKUP($A365,'The List'!$B1:$AS671,3,FALSE)," ")</f>
        <v xml:space="preserve"> </v>
      </c>
      <c r="C365" s="101" t="str" cm="1">
        <f t="array" ref="C365">IFERROR(VLOOKUP($A365,'The List'!$B1:$AS671,4,FALSE)," ")</f>
        <v xml:space="preserve"> </v>
      </c>
      <c r="D365" s="18" t="str" cm="1">
        <f t="array" ref="D365">IFERROR(VLOOKUP($A365,'The List'!$B1:$AS671,5,FALSE)," ")</f>
        <v xml:space="preserve"> </v>
      </c>
      <c r="E365" s="18" t="str" cm="1">
        <f t="array" ref="E365">IFERROR(VLOOKUP($A365,'The List'!$B1:$AS671,6,FALSE)," ")</f>
        <v xml:space="preserve"> </v>
      </c>
      <c r="F365" s="92" t="str" cm="1">
        <f t="array" ref="F365">IFERROR(VLOOKUP($A365,'The List'!$B1:$AS671,8,FALSE)," ")</f>
        <v xml:space="preserve"> </v>
      </c>
      <c r="G365" s="92" t="str" cm="1">
        <f t="array" ref="G365">IFERROR(VLOOKUP($A365,'The List'!$B1:$AS671,10,FALSE)," ")</f>
        <v xml:space="preserve"> </v>
      </c>
      <c r="H365" s="55"/>
      <c r="I365" s="84" t="str" cm="1">
        <f t="array" ref="I365">IFERROR(VLOOKUP($A365,'The List'!$B1:$AS671,16,FALSE)," ")</f>
        <v xml:space="preserve"> </v>
      </c>
      <c r="J365" s="84" t="str" cm="1">
        <f t="array" ref="J365">IFERROR(VLOOKUP($A365,'The List'!$B1:$AS671,17,FALSE)," ")</f>
        <v xml:space="preserve"> </v>
      </c>
      <c r="K365" s="84" t="str" cm="1">
        <f t="array" ref="K365">IFERROR(VLOOKUP($A365,'The List'!$B1:$AS671,18,FALSE)," ")</f>
        <v xml:space="preserve"> </v>
      </c>
      <c r="L365" s="84" t="str" cm="1">
        <f t="array" ref="L365">IFERROR(VLOOKUP($A365,'The List'!$B1:$AS671,19,FALSE)," ")</f>
        <v xml:space="preserve"> </v>
      </c>
      <c r="M365" s="84" t="str" cm="1">
        <f t="array" ref="M365">IFERROR(VLOOKUP($A365,'The List'!$B1:$AS671,20,FALSE)," ")</f>
        <v xml:space="preserve"> </v>
      </c>
      <c r="N365" s="84" t="str" cm="1">
        <f t="array" ref="N365">IFERROR(VLOOKUP($A365,'The List'!$B1:$AS671,21,FALSE)," ")</f>
        <v xml:space="preserve"> </v>
      </c>
      <c r="O365" s="84" t="str" cm="1">
        <f t="array" ref="O365">IFERROR(VLOOKUP($A365,'The List'!$B1:$AS671,22,FALSE)," ")</f>
        <v xml:space="preserve"> </v>
      </c>
      <c r="P365" s="84" t="str" cm="1">
        <f t="array" ref="P365">IFERROR(VLOOKUP($A365,'The List'!$B1:$AS671,23,FALSE)," ")</f>
        <v xml:space="preserve"> </v>
      </c>
      <c r="Q365" s="84" t="str" cm="1">
        <f t="array" ref="Q365">IFERROR(VLOOKUP($A365,'The List'!$B1:$AS671,24,FALSE)," ")</f>
        <v xml:space="preserve"> </v>
      </c>
      <c r="R365" s="84" t="str" cm="1">
        <f t="array" ref="R365">IFERROR(VLOOKUP($A365,'The List'!$B1:$AS671,25,FALSE)," ")</f>
        <v xml:space="preserve"> </v>
      </c>
      <c r="S365" s="84" t="str" cm="1">
        <f t="array" ref="S365">IFERROR(VLOOKUP($A365,'The List'!$B1:$AS671,26,FALSE)," ")</f>
        <v xml:space="preserve"> </v>
      </c>
      <c r="T365" s="84" t="str" cm="1">
        <f t="array" ref="T365">IFERROR(VLOOKUP($A365,'The List'!$B1:$AS671,27,FALSE)," ")</f>
        <v xml:space="preserve"> </v>
      </c>
      <c r="U365" s="84" t="str" cm="1">
        <f t="array" ref="U365">IFERROR(VLOOKUP($A365,'The List'!$B1:$AS671,28,FALSE)," ")</f>
        <v xml:space="preserve"> </v>
      </c>
      <c r="V365" s="84" t="str" cm="1">
        <f t="array" ref="V365">IFERROR(VLOOKUP($A365,'The List'!$B1:$AS671,29,FALSE)," ")</f>
        <v xml:space="preserve"> </v>
      </c>
      <c r="W365" s="84" t="str" cm="1">
        <f t="array" ref="W365">IFERROR(VLOOKUP($A365,'The List'!$B1:$AS671,30,FALSE)," ")</f>
        <v xml:space="preserve"> </v>
      </c>
      <c r="X365" s="84" t="str" cm="1">
        <f t="array" ref="X365">IFERROR(VLOOKUP($A365,'The List'!$B1:$AS671,31,FALSE)," ")</f>
        <v xml:space="preserve"> </v>
      </c>
      <c r="Y365" s="84" t="str" cm="1">
        <f t="array" ref="Y365">IFERROR(VLOOKUP($A365,'The List'!$B1:$AS671,32,FALSE)," ")</f>
        <v xml:space="preserve"> </v>
      </c>
      <c r="Z365" s="84" t="str" cm="1">
        <f t="array" ref="Z365">IFERROR(VLOOKUP($A365,'The List'!$B1:$AS671,33,FALSE)," ")</f>
        <v xml:space="preserve"> </v>
      </c>
      <c r="AA365" s="85"/>
      <c r="AB365" s="90"/>
      <c r="AC365" s="90"/>
      <c r="AD365" s="90"/>
      <c r="AE365" s="90"/>
      <c r="AF365" s="90"/>
    </row>
    <row r="366" spans="1:32" ht="21.25" customHeight="1" x14ac:dyDescent="0.15">
      <c r="A366" s="24"/>
      <c r="B366" s="99" t="str" cm="1">
        <f t="array" ref="B366">IFERROR(VLOOKUP($A366,'The List'!$B1:$AS671,3,FALSE)," ")</f>
        <v xml:space="preserve"> </v>
      </c>
      <c r="C366" s="101" t="str" cm="1">
        <f t="array" ref="C366">IFERROR(VLOOKUP($A366,'The List'!$B1:$AS671,4,FALSE)," ")</f>
        <v xml:space="preserve"> </v>
      </c>
      <c r="D366" s="18" t="str" cm="1">
        <f t="array" ref="D366">IFERROR(VLOOKUP($A366,'The List'!$B1:$AS671,5,FALSE)," ")</f>
        <v xml:space="preserve"> </v>
      </c>
      <c r="E366" s="18" t="str" cm="1">
        <f t="array" ref="E366">IFERROR(VLOOKUP($A366,'The List'!$B1:$AS671,6,FALSE)," ")</f>
        <v xml:space="preserve"> </v>
      </c>
      <c r="F366" s="92" t="str" cm="1">
        <f t="array" ref="F366">IFERROR(VLOOKUP($A366,'The List'!$B1:$AS671,8,FALSE)," ")</f>
        <v xml:space="preserve"> </v>
      </c>
      <c r="G366" s="92" t="str" cm="1">
        <f t="array" ref="G366">IFERROR(VLOOKUP($A366,'The List'!$B1:$AS671,10,FALSE)," ")</f>
        <v xml:space="preserve"> </v>
      </c>
      <c r="H366" s="55"/>
      <c r="I366" s="84" t="str" cm="1">
        <f t="array" ref="I366">IFERROR(VLOOKUP($A366,'The List'!$B1:$AS671,16,FALSE)," ")</f>
        <v xml:space="preserve"> </v>
      </c>
      <c r="J366" s="84" t="str" cm="1">
        <f t="array" ref="J366">IFERROR(VLOOKUP($A366,'The List'!$B1:$AS671,17,FALSE)," ")</f>
        <v xml:space="preserve"> </v>
      </c>
      <c r="K366" s="84" t="str" cm="1">
        <f t="array" ref="K366">IFERROR(VLOOKUP($A366,'The List'!$B1:$AS671,18,FALSE)," ")</f>
        <v xml:space="preserve"> </v>
      </c>
      <c r="L366" s="84" t="str" cm="1">
        <f t="array" ref="L366">IFERROR(VLOOKUP($A366,'The List'!$B1:$AS671,19,FALSE)," ")</f>
        <v xml:space="preserve"> </v>
      </c>
      <c r="M366" s="84" t="str" cm="1">
        <f t="array" ref="M366">IFERROR(VLOOKUP($A366,'The List'!$B1:$AS671,20,FALSE)," ")</f>
        <v xml:space="preserve"> </v>
      </c>
      <c r="N366" s="84" t="str" cm="1">
        <f t="array" ref="N366">IFERROR(VLOOKUP($A366,'The List'!$B1:$AS671,21,FALSE)," ")</f>
        <v xml:space="preserve"> </v>
      </c>
      <c r="O366" s="84" t="str" cm="1">
        <f t="array" ref="O366">IFERROR(VLOOKUP($A366,'The List'!$B1:$AS671,22,FALSE)," ")</f>
        <v xml:space="preserve"> </v>
      </c>
      <c r="P366" s="84" t="str" cm="1">
        <f t="array" ref="P366">IFERROR(VLOOKUP($A366,'The List'!$B1:$AS671,23,FALSE)," ")</f>
        <v xml:space="preserve"> </v>
      </c>
      <c r="Q366" s="84" t="str" cm="1">
        <f t="array" ref="Q366">IFERROR(VLOOKUP($A366,'The List'!$B1:$AS671,24,FALSE)," ")</f>
        <v xml:space="preserve"> </v>
      </c>
      <c r="R366" s="84" t="str" cm="1">
        <f t="array" ref="R366">IFERROR(VLOOKUP($A366,'The List'!$B1:$AS671,25,FALSE)," ")</f>
        <v xml:space="preserve"> </v>
      </c>
      <c r="S366" s="84" t="str" cm="1">
        <f t="array" ref="S366">IFERROR(VLOOKUP($A366,'The List'!$B1:$AS671,26,FALSE)," ")</f>
        <v xml:space="preserve"> </v>
      </c>
      <c r="T366" s="84" t="str" cm="1">
        <f t="array" ref="T366">IFERROR(VLOOKUP($A366,'The List'!$B1:$AS671,27,FALSE)," ")</f>
        <v xml:space="preserve"> </v>
      </c>
      <c r="U366" s="84" t="str" cm="1">
        <f t="array" ref="U366">IFERROR(VLOOKUP($A366,'The List'!$B1:$AS671,28,FALSE)," ")</f>
        <v xml:space="preserve"> </v>
      </c>
      <c r="V366" s="84" t="str" cm="1">
        <f t="array" ref="V366">IFERROR(VLOOKUP($A366,'The List'!$B1:$AS671,29,FALSE)," ")</f>
        <v xml:space="preserve"> </v>
      </c>
      <c r="W366" s="84" t="str" cm="1">
        <f t="array" ref="W366">IFERROR(VLOOKUP($A366,'The List'!$B1:$AS671,30,FALSE)," ")</f>
        <v xml:space="preserve"> </v>
      </c>
      <c r="X366" s="84" t="str" cm="1">
        <f t="array" ref="X366">IFERROR(VLOOKUP($A366,'The List'!$B1:$AS671,31,FALSE)," ")</f>
        <v xml:space="preserve"> </v>
      </c>
      <c r="Y366" s="84" t="str" cm="1">
        <f t="array" ref="Y366">IFERROR(VLOOKUP($A366,'The List'!$B1:$AS671,32,FALSE)," ")</f>
        <v xml:space="preserve"> </v>
      </c>
      <c r="Z366" s="84" t="str" cm="1">
        <f t="array" ref="Z366">IFERROR(VLOOKUP($A366,'The List'!$B1:$AS671,33,FALSE)," ")</f>
        <v xml:space="preserve"> </v>
      </c>
      <c r="AA366" s="85"/>
      <c r="AB366" s="90"/>
      <c r="AC366" s="90"/>
      <c r="AD366" s="90"/>
      <c r="AE366" s="90"/>
      <c r="AF366" s="90"/>
    </row>
    <row r="367" spans="1:32" ht="21.25" customHeight="1" x14ac:dyDescent="0.15">
      <c r="A367" s="24"/>
      <c r="B367" s="99" t="str" cm="1">
        <f t="array" ref="B367">IFERROR(VLOOKUP($A367,'The List'!$B1:$AS671,3,FALSE)," ")</f>
        <v xml:space="preserve"> </v>
      </c>
      <c r="C367" s="101" t="str" cm="1">
        <f t="array" ref="C367">IFERROR(VLOOKUP($A367,'The List'!$B1:$AS671,4,FALSE)," ")</f>
        <v xml:space="preserve"> </v>
      </c>
      <c r="D367" s="18" t="str" cm="1">
        <f t="array" ref="D367">IFERROR(VLOOKUP($A367,'The List'!$B1:$AS671,5,FALSE)," ")</f>
        <v xml:space="preserve"> </v>
      </c>
      <c r="E367" s="18" t="str" cm="1">
        <f t="array" ref="E367">IFERROR(VLOOKUP($A367,'The List'!$B1:$AS671,6,FALSE)," ")</f>
        <v xml:space="preserve"> </v>
      </c>
      <c r="F367" s="92" t="str" cm="1">
        <f t="array" ref="F367">IFERROR(VLOOKUP($A367,'The List'!$B1:$AS671,8,FALSE)," ")</f>
        <v xml:space="preserve"> </v>
      </c>
      <c r="G367" s="92" t="str" cm="1">
        <f t="array" ref="G367">IFERROR(VLOOKUP($A367,'The List'!$B1:$AS671,10,FALSE)," ")</f>
        <v xml:space="preserve"> </v>
      </c>
      <c r="H367" s="55"/>
      <c r="I367" s="84" t="str" cm="1">
        <f t="array" ref="I367">IFERROR(VLOOKUP($A367,'The List'!$B1:$AS671,16,FALSE)," ")</f>
        <v xml:space="preserve"> </v>
      </c>
      <c r="J367" s="84" t="str" cm="1">
        <f t="array" ref="J367">IFERROR(VLOOKUP($A367,'The List'!$B1:$AS671,17,FALSE)," ")</f>
        <v xml:space="preserve"> </v>
      </c>
      <c r="K367" s="84" t="str" cm="1">
        <f t="array" ref="K367">IFERROR(VLOOKUP($A367,'The List'!$B1:$AS671,18,FALSE)," ")</f>
        <v xml:space="preserve"> </v>
      </c>
      <c r="L367" s="84" t="str" cm="1">
        <f t="array" ref="L367">IFERROR(VLOOKUP($A367,'The List'!$B1:$AS671,19,FALSE)," ")</f>
        <v xml:space="preserve"> </v>
      </c>
      <c r="M367" s="84" t="str" cm="1">
        <f t="array" ref="M367">IFERROR(VLOOKUP($A367,'The List'!$B1:$AS671,20,FALSE)," ")</f>
        <v xml:space="preserve"> </v>
      </c>
      <c r="N367" s="84" t="str" cm="1">
        <f t="array" ref="N367">IFERROR(VLOOKUP($A367,'The List'!$B1:$AS671,21,FALSE)," ")</f>
        <v xml:space="preserve"> </v>
      </c>
      <c r="O367" s="84" t="str" cm="1">
        <f t="array" ref="O367">IFERROR(VLOOKUP($A367,'The List'!$B1:$AS671,22,FALSE)," ")</f>
        <v xml:space="preserve"> </v>
      </c>
      <c r="P367" s="84" t="str" cm="1">
        <f t="array" ref="P367">IFERROR(VLOOKUP($A367,'The List'!$B1:$AS671,23,FALSE)," ")</f>
        <v xml:space="preserve"> </v>
      </c>
      <c r="Q367" s="84" t="str" cm="1">
        <f t="array" ref="Q367">IFERROR(VLOOKUP($A367,'The List'!$B1:$AS671,24,FALSE)," ")</f>
        <v xml:space="preserve"> </v>
      </c>
      <c r="R367" s="84" t="str" cm="1">
        <f t="array" ref="R367">IFERROR(VLOOKUP($A367,'The List'!$B1:$AS671,25,FALSE)," ")</f>
        <v xml:space="preserve"> </v>
      </c>
      <c r="S367" s="84" t="str" cm="1">
        <f t="array" ref="S367">IFERROR(VLOOKUP($A367,'The List'!$B1:$AS671,26,FALSE)," ")</f>
        <v xml:space="preserve"> </v>
      </c>
      <c r="T367" s="84" t="str" cm="1">
        <f t="array" ref="T367">IFERROR(VLOOKUP($A367,'The List'!$B1:$AS671,27,FALSE)," ")</f>
        <v xml:space="preserve"> </v>
      </c>
      <c r="U367" s="84" t="str" cm="1">
        <f t="array" ref="U367">IFERROR(VLOOKUP($A367,'The List'!$B1:$AS671,28,FALSE)," ")</f>
        <v xml:space="preserve"> </v>
      </c>
      <c r="V367" s="84" t="str" cm="1">
        <f t="array" ref="V367">IFERROR(VLOOKUP($A367,'The List'!$B1:$AS671,29,FALSE)," ")</f>
        <v xml:space="preserve"> </v>
      </c>
      <c r="W367" s="84" t="str" cm="1">
        <f t="array" ref="W367">IFERROR(VLOOKUP($A367,'The List'!$B1:$AS671,30,FALSE)," ")</f>
        <v xml:space="preserve"> </v>
      </c>
      <c r="X367" s="84" t="str" cm="1">
        <f t="array" ref="X367">IFERROR(VLOOKUP($A367,'The List'!$B1:$AS671,31,FALSE)," ")</f>
        <v xml:space="preserve"> </v>
      </c>
      <c r="Y367" s="84" t="str" cm="1">
        <f t="array" ref="Y367">IFERROR(VLOOKUP($A367,'The List'!$B1:$AS671,32,FALSE)," ")</f>
        <v xml:space="preserve"> </v>
      </c>
      <c r="Z367" s="84" t="str" cm="1">
        <f t="array" ref="Z367">IFERROR(VLOOKUP($A367,'The List'!$B1:$AS671,33,FALSE)," ")</f>
        <v xml:space="preserve"> </v>
      </c>
      <c r="AA367" s="85"/>
      <c r="AB367" s="90"/>
      <c r="AC367" s="90"/>
      <c r="AD367" s="90"/>
      <c r="AE367" s="90"/>
      <c r="AF367" s="90"/>
    </row>
    <row r="368" spans="1:32" ht="21.25" customHeight="1" x14ac:dyDescent="0.15">
      <c r="A368" s="24"/>
      <c r="B368" s="99" t="str" cm="1">
        <f t="array" ref="B368">IFERROR(VLOOKUP($A368,'The List'!$B1:$AS671,3,FALSE)," ")</f>
        <v xml:space="preserve"> </v>
      </c>
      <c r="C368" s="101" t="str" cm="1">
        <f t="array" ref="C368">IFERROR(VLOOKUP($A368,'The List'!$B1:$AS671,4,FALSE)," ")</f>
        <v xml:space="preserve"> </v>
      </c>
      <c r="D368" s="18" t="str" cm="1">
        <f t="array" ref="D368">IFERROR(VLOOKUP($A368,'The List'!$B1:$AS671,5,FALSE)," ")</f>
        <v xml:space="preserve"> </v>
      </c>
      <c r="E368" s="18" t="str" cm="1">
        <f t="array" ref="E368">IFERROR(VLOOKUP($A368,'The List'!$B1:$AS671,6,FALSE)," ")</f>
        <v xml:space="preserve"> </v>
      </c>
      <c r="F368" s="92" t="str" cm="1">
        <f t="array" ref="F368">IFERROR(VLOOKUP($A368,'The List'!$B1:$AS671,8,FALSE)," ")</f>
        <v xml:space="preserve"> </v>
      </c>
      <c r="G368" s="92" t="str" cm="1">
        <f t="array" ref="G368">IFERROR(VLOOKUP($A368,'The List'!$B1:$AS671,10,FALSE)," ")</f>
        <v xml:space="preserve"> </v>
      </c>
      <c r="H368" s="55"/>
      <c r="I368" s="84" t="str" cm="1">
        <f t="array" ref="I368">IFERROR(VLOOKUP($A368,'The List'!$B1:$AS671,16,FALSE)," ")</f>
        <v xml:space="preserve"> </v>
      </c>
      <c r="J368" s="84" t="str" cm="1">
        <f t="array" ref="J368">IFERROR(VLOOKUP($A368,'The List'!$B1:$AS671,17,FALSE)," ")</f>
        <v xml:space="preserve"> </v>
      </c>
      <c r="K368" s="84" t="str" cm="1">
        <f t="array" ref="K368">IFERROR(VLOOKUP($A368,'The List'!$B1:$AS671,18,FALSE)," ")</f>
        <v xml:space="preserve"> </v>
      </c>
      <c r="L368" s="84" t="str" cm="1">
        <f t="array" ref="L368">IFERROR(VLOOKUP($A368,'The List'!$B1:$AS671,19,FALSE)," ")</f>
        <v xml:space="preserve"> </v>
      </c>
      <c r="M368" s="84" t="str" cm="1">
        <f t="array" ref="M368">IFERROR(VLOOKUP($A368,'The List'!$B1:$AS671,20,FALSE)," ")</f>
        <v xml:space="preserve"> </v>
      </c>
      <c r="N368" s="84" t="str" cm="1">
        <f t="array" ref="N368">IFERROR(VLOOKUP($A368,'The List'!$B1:$AS671,21,FALSE)," ")</f>
        <v xml:space="preserve"> </v>
      </c>
      <c r="O368" s="84" t="str" cm="1">
        <f t="array" ref="O368">IFERROR(VLOOKUP($A368,'The List'!$B1:$AS671,22,FALSE)," ")</f>
        <v xml:space="preserve"> </v>
      </c>
      <c r="P368" s="84" t="str" cm="1">
        <f t="array" ref="P368">IFERROR(VLOOKUP($A368,'The List'!$B1:$AS671,23,FALSE)," ")</f>
        <v xml:space="preserve"> </v>
      </c>
      <c r="Q368" s="84" t="str" cm="1">
        <f t="array" ref="Q368">IFERROR(VLOOKUP($A368,'The List'!$B1:$AS671,24,FALSE)," ")</f>
        <v xml:space="preserve"> </v>
      </c>
      <c r="R368" s="84" t="str" cm="1">
        <f t="array" ref="R368">IFERROR(VLOOKUP($A368,'The List'!$B1:$AS671,25,FALSE)," ")</f>
        <v xml:space="preserve"> </v>
      </c>
      <c r="S368" s="84" t="str" cm="1">
        <f t="array" ref="S368">IFERROR(VLOOKUP($A368,'The List'!$B1:$AS671,26,FALSE)," ")</f>
        <v xml:space="preserve"> </v>
      </c>
      <c r="T368" s="84" t="str" cm="1">
        <f t="array" ref="T368">IFERROR(VLOOKUP($A368,'The List'!$B1:$AS671,27,FALSE)," ")</f>
        <v xml:space="preserve"> </v>
      </c>
      <c r="U368" s="84" t="str" cm="1">
        <f t="array" ref="U368">IFERROR(VLOOKUP($A368,'The List'!$B1:$AS671,28,FALSE)," ")</f>
        <v xml:space="preserve"> </v>
      </c>
      <c r="V368" s="84" t="str" cm="1">
        <f t="array" ref="V368">IFERROR(VLOOKUP($A368,'The List'!$B1:$AS671,29,FALSE)," ")</f>
        <v xml:space="preserve"> </v>
      </c>
      <c r="W368" s="84" t="str" cm="1">
        <f t="array" ref="W368">IFERROR(VLOOKUP($A368,'The List'!$B1:$AS671,30,FALSE)," ")</f>
        <v xml:space="preserve"> </v>
      </c>
      <c r="X368" s="84" t="str" cm="1">
        <f t="array" ref="X368">IFERROR(VLOOKUP($A368,'The List'!$B1:$AS671,31,FALSE)," ")</f>
        <v xml:space="preserve"> </v>
      </c>
      <c r="Y368" s="84" t="str" cm="1">
        <f t="array" ref="Y368">IFERROR(VLOOKUP($A368,'The List'!$B1:$AS671,32,FALSE)," ")</f>
        <v xml:space="preserve"> </v>
      </c>
      <c r="Z368" s="84" t="str" cm="1">
        <f t="array" ref="Z368">IFERROR(VLOOKUP($A368,'The List'!$B1:$AS671,33,FALSE)," ")</f>
        <v xml:space="preserve"> </v>
      </c>
      <c r="AA368" s="85"/>
      <c r="AB368" s="90"/>
      <c r="AC368" s="90"/>
      <c r="AD368" s="90"/>
      <c r="AE368" s="90"/>
      <c r="AF368" s="90"/>
    </row>
    <row r="369" spans="1:32" ht="21.25" customHeight="1" x14ac:dyDescent="0.15">
      <c r="A369" s="103"/>
      <c r="B369" s="104" t="str" cm="1">
        <f t="array" ref="B369">IFERROR(VLOOKUP($A369,'The List'!$B1:$AS671,3,FALSE)," ")</f>
        <v xml:space="preserve"> </v>
      </c>
      <c r="C369" s="105" t="str" cm="1">
        <f t="array" ref="C369">IFERROR(VLOOKUP($A369,'The List'!$B1:$AS671,4,FALSE)," ")</f>
        <v xml:space="preserve"> </v>
      </c>
      <c r="D369" s="106" t="str" cm="1">
        <f t="array" ref="D369">IFERROR(VLOOKUP($A369,'The List'!$B1:$AS671,5,FALSE)," ")</f>
        <v xml:space="preserve"> </v>
      </c>
      <c r="E369" s="106" t="str" cm="1">
        <f t="array" ref="E369">IFERROR(VLOOKUP($A369,'The List'!$B1:$AS671,6,FALSE)," ")</f>
        <v xml:space="preserve"> </v>
      </c>
      <c r="F369" s="107" t="str" cm="1">
        <f t="array" ref="F369">IFERROR(VLOOKUP($A369,'The List'!$B1:$AS671,8,FALSE)," ")</f>
        <v xml:space="preserve"> </v>
      </c>
      <c r="G369" s="107" t="str" cm="1">
        <f t="array" ref="G369">IFERROR(VLOOKUP($A369,'The List'!$B1:$AS671,10,FALSE)," ")</f>
        <v xml:space="preserve"> </v>
      </c>
      <c r="H369" s="108"/>
      <c r="I369" s="109" t="str" cm="1">
        <f t="array" ref="I369">IFERROR(VLOOKUP($A369,'The List'!$B1:$AS671,16,FALSE)," ")</f>
        <v xml:space="preserve"> </v>
      </c>
      <c r="J369" s="109" t="str" cm="1">
        <f t="array" ref="J369">IFERROR(VLOOKUP($A369,'The List'!$B1:$AS671,17,FALSE)," ")</f>
        <v xml:space="preserve"> </v>
      </c>
      <c r="K369" s="109" t="str" cm="1">
        <f t="array" ref="K369">IFERROR(VLOOKUP($A369,'The List'!$B1:$AS671,18,FALSE)," ")</f>
        <v xml:space="preserve"> </v>
      </c>
      <c r="L369" s="109" t="str" cm="1">
        <f t="array" ref="L369">IFERROR(VLOOKUP($A369,'The List'!$B1:$AS671,19,FALSE)," ")</f>
        <v xml:space="preserve"> </v>
      </c>
      <c r="M369" s="109" t="str" cm="1">
        <f t="array" ref="M369">IFERROR(VLOOKUP($A369,'The List'!$B1:$AS671,20,FALSE)," ")</f>
        <v xml:space="preserve"> </v>
      </c>
      <c r="N369" s="109" t="str" cm="1">
        <f t="array" ref="N369">IFERROR(VLOOKUP($A369,'The List'!$B1:$AS671,21,FALSE)," ")</f>
        <v xml:space="preserve"> </v>
      </c>
      <c r="O369" s="109" t="str" cm="1">
        <f t="array" ref="O369">IFERROR(VLOOKUP($A369,'The List'!$B1:$AS671,22,FALSE)," ")</f>
        <v xml:space="preserve"> </v>
      </c>
      <c r="P369" s="109" t="str" cm="1">
        <f t="array" ref="P369">IFERROR(VLOOKUP($A369,'The List'!$B1:$AS671,23,FALSE)," ")</f>
        <v xml:space="preserve"> </v>
      </c>
      <c r="Q369" s="109" t="str" cm="1">
        <f t="array" ref="Q369">IFERROR(VLOOKUP($A369,'The List'!$B1:$AS671,24,FALSE)," ")</f>
        <v xml:space="preserve"> </v>
      </c>
      <c r="R369" s="109" t="str" cm="1">
        <f t="array" ref="R369">IFERROR(VLOOKUP($A369,'The List'!$B1:$AS671,25,FALSE)," ")</f>
        <v xml:space="preserve"> </v>
      </c>
      <c r="S369" s="109" t="str" cm="1">
        <f t="array" ref="S369">IFERROR(VLOOKUP($A369,'The List'!$B1:$AS671,26,FALSE)," ")</f>
        <v xml:space="preserve"> </v>
      </c>
      <c r="T369" s="109" t="str" cm="1">
        <f t="array" ref="T369">IFERROR(VLOOKUP($A369,'The List'!$B1:$AS671,27,FALSE)," ")</f>
        <v xml:space="preserve"> </v>
      </c>
      <c r="U369" s="109" t="str" cm="1">
        <f t="array" ref="U369">IFERROR(VLOOKUP($A369,'The List'!$B1:$AS671,28,FALSE)," ")</f>
        <v xml:space="preserve"> </v>
      </c>
      <c r="V369" s="109" t="str" cm="1">
        <f t="array" ref="V369">IFERROR(VLOOKUP($A369,'The List'!$B1:$AS671,29,FALSE)," ")</f>
        <v xml:space="preserve"> </v>
      </c>
      <c r="W369" s="109" t="str" cm="1">
        <f t="array" ref="W369">IFERROR(VLOOKUP($A369,'The List'!$B1:$AS671,30,FALSE)," ")</f>
        <v xml:space="preserve"> </v>
      </c>
      <c r="X369" s="109" t="str" cm="1">
        <f t="array" ref="X369">IFERROR(VLOOKUP($A369,'The List'!$B1:$AS671,31,FALSE)," ")</f>
        <v xml:space="preserve"> </v>
      </c>
      <c r="Y369" s="109" t="str" cm="1">
        <f t="array" ref="Y369">IFERROR(VLOOKUP($A369,'The List'!$B1:$AS671,32,FALSE)," ")</f>
        <v xml:space="preserve"> </v>
      </c>
      <c r="Z369" s="109" t="str" cm="1">
        <f t="array" ref="Z369">IFERROR(VLOOKUP($A369,'The List'!$B1:$AS671,33,FALSE)," ")</f>
        <v xml:space="preserve"> </v>
      </c>
      <c r="AA369" s="85"/>
      <c r="AB369" s="90"/>
      <c r="AC369" s="90"/>
      <c r="AD369" s="90"/>
      <c r="AE369" s="90"/>
      <c r="AF369" s="90"/>
    </row>
    <row r="370" spans="1:32" ht="21.25" customHeight="1" x14ac:dyDescent="0.15">
      <c r="A370" s="110"/>
      <c r="B370" s="111"/>
      <c r="C370" s="112"/>
      <c r="D370" s="113"/>
      <c r="E370" s="113" t="str" cm="1">
        <f t="array" ref="E370">IFERROR(AVERAGE(E350:E369)," ")</f>
        <v xml:space="preserve"> </v>
      </c>
      <c r="F370" s="115" cm="1">
        <f t="array" ref="F370">SUM(F350:F369)</f>
        <v>0</v>
      </c>
      <c r="G370" s="115" cm="1">
        <f t="array" ref="G370">SUM(G350:G369)</f>
        <v>0</v>
      </c>
      <c r="H370" s="116"/>
      <c r="I370" s="117" cm="1">
        <f t="array" ref="I370">SUM(I350:I369)</f>
        <v>0</v>
      </c>
      <c r="J370" s="116" t="e" cm="1">
        <f t="array" ref="J370">AVERAGE(J350:J369)</f>
        <v>#DIV/0!</v>
      </c>
      <c r="K370" s="117" cm="1">
        <f t="array" ref="K370">SUM(K350:K369)</f>
        <v>0</v>
      </c>
      <c r="L370" s="117" cm="1">
        <f t="array" ref="L370">SUM(L350:L369)</f>
        <v>0</v>
      </c>
      <c r="M370" s="117" cm="1">
        <f t="array" ref="M370">SUM(M350:M369)</f>
        <v>0</v>
      </c>
      <c r="N370" s="117" cm="1">
        <f t="array" ref="N370">SUM(N350:N369)</f>
        <v>0</v>
      </c>
      <c r="O370" s="117" cm="1">
        <f t="array" ref="O370">SUM(O350:O369)</f>
        <v>0</v>
      </c>
      <c r="P370" s="117" cm="1">
        <f t="array" ref="P370">SUM(P350:P369)</f>
        <v>0</v>
      </c>
      <c r="Q370" s="117" cm="1">
        <f t="array" ref="Q370">SUM(Q350:Q369)</f>
        <v>0</v>
      </c>
      <c r="R370" s="117" cm="1">
        <f t="array" ref="R370">SUM(R350:R369)</f>
        <v>0</v>
      </c>
      <c r="S370" s="117" cm="1">
        <f t="array" ref="S370">SUM(S350:S369)</f>
        <v>0</v>
      </c>
      <c r="T370" s="117" cm="1">
        <f t="array" ref="T370">SUM(T350:T369)</f>
        <v>0</v>
      </c>
      <c r="U370" s="117" cm="1">
        <f t="array" ref="U370">SUM(U350:U369)</f>
        <v>0</v>
      </c>
      <c r="V370" s="117" cm="1">
        <f t="array" ref="V370">SUM(V350:V369)</f>
        <v>0</v>
      </c>
      <c r="W370" s="117" cm="1">
        <f t="array" ref="W370">SUM(W350:W369)</f>
        <v>0</v>
      </c>
      <c r="X370" s="117" cm="1">
        <f t="array" ref="X370">SUM(X350:X369)</f>
        <v>0</v>
      </c>
      <c r="Y370" s="117" cm="1">
        <f t="array" ref="Y370">SUM(Y350:Y369)</f>
        <v>0</v>
      </c>
      <c r="Z370" s="118" cm="1">
        <f t="array" ref="Z370">IFERROR(X370/(X370+Y370),0)</f>
        <v>0</v>
      </c>
      <c r="AA370" s="85"/>
      <c r="AB370" s="119"/>
      <c r="AC370" s="119"/>
      <c r="AD370" s="119"/>
      <c r="AE370" s="119"/>
      <c r="AF370" s="119"/>
    </row>
    <row r="371" spans="1:32" ht="21.25" customHeight="1" x14ac:dyDescent="0.15">
      <c r="A371" s="37"/>
      <c r="B371" s="120"/>
      <c r="C371" s="121"/>
      <c r="D371" s="13"/>
      <c r="E371" s="13"/>
      <c r="F371" s="122"/>
      <c r="G371" s="123"/>
      <c r="H371" s="124"/>
      <c r="I371" s="12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90"/>
      <c r="AC371" s="90"/>
      <c r="AD371" s="90"/>
      <c r="AE371" s="90"/>
      <c r="AF371" s="90"/>
    </row>
    <row r="372" spans="1:32" ht="21.25" customHeight="1" x14ac:dyDescent="0.15">
      <c r="A372" s="40" t="s">
        <v>90</v>
      </c>
      <c r="B372" s="204" t="s">
        <v>92</v>
      </c>
      <c r="C372" s="194"/>
      <c r="D372" s="126" t="s">
        <v>93</v>
      </c>
      <c r="E372" s="126" t="s">
        <v>94</v>
      </c>
      <c r="F372" s="127" t="s">
        <v>96</v>
      </c>
      <c r="G372" s="127" t="s">
        <v>98</v>
      </c>
      <c r="H372" s="128"/>
      <c r="I372" s="129" t="s">
        <v>103</v>
      </c>
      <c r="J372" s="129" t="s">
        <v>118</v>
      </c>
      <c r="K372" s="129" t="s">
        <v>119</v>
      </c>
      <c r="L372" s="129" t="s">
        <v>120</v>
      </c>
      <c r="M372" s="129" t="s">
        <v>121</v>
      </c>
      <c r="N372" s="129" t="s">
        <v>122</v>
      </c>
      <c r="O372" s="129" t="s">
        <v>123</v>
      </c>
      <c r="P372" s="129" t="s">
        <v>124</v>
      </c>
      <c r="Q372" s="129" t="s">
        <v>125</v>
      </c>
      <c r="R372" s="85"/>
      <c r="S372" s="85"/>
      <c r="T372" s="85"/>
      <c r="U372" s="204" t="s">
        <v>814</v>
      </c>
      <c r="V372" s="205"/>
      <c r="W372" s="205"/>
      <c r="X372" s="204" t="s">
        <v>815</v>
      </c>
      <c r="Y372" s="205"/>
      <c r="Z372" s="205"/>
      <c r="AA372" s="85"/>
      <c r="AB372" s="85"/>
      <c r="AC372" s="85"/>
      <c r="AD372" s="85"/>
      <c r="AE372" s="85"/>
      <c r="AF372" s="85"/>
    </row>
    <row r="373" spans="1:32" ht="21.25" customHeight="1" x14ac:dyDescent="0.15">
      <c r="A373" s="146"/>
      <c r="B373" s="131" t="str" cm="1">
        <f t="array" ref="B373">IFERROR(VLOOKUP($A373,'The List'!$B1:$AS671,3,FALSE)," ")</f>
        <v xml:space="preserve"> </v>
      </c>
      <c r="C373" s="147" t="str" cm="1">
        <f t="array" ref="C373">IFERROR(VLOOKUP($A373,'The List'!$B1:$AS671,4,FALSE)," ")</f>
        <v xml:space="preserve"> </v>
      </c>
      <c r="D373" s="133" t="str" cm="1">
        <f t="array" ref="D373">IFERROR(VLOOKUP($A373,'The List'!$B1:$AS671,5,FALSE)," ")</f>
        <v xml:space="preserve"> </v>
      </c>
      <c r="E373" s="133" t="str" cm="1">
        <f t="array" ref="E373">IFERROR(VLOOKUP($A373,'The List'!$B1:$AS671,6,FALSE)," ")</f>
        <v xml:space="preserve"> </v>
      </c>
      <c r="F373" s="148" t="str" cm="1">
        <f t="array" ref="F373">IFERROR(VLOOKUP($A373,'The List'!$B1:$AS671,8,FALSE)," ")</f>
        <v xml:space="preserve"> </v>
      </c>
      <c r="G373" s="148" t="str" cm="1">
        <f t="array" ref="G373">IFERROR(VLOOKUP($A373,'The List'!$B1:$AS671,10,FALSE)," ")</f>
        <v xml:space="preserve"> </v>
      </c>
      <c r="H373" s="82"/>
      <c r="I373" s="149" t="str" cm="1">
        <f t="array" ref="I373">IFERROR(VLOOKUP($A373,'The List'!$B1:$AS671,35,FALSE)," ")</f>
        <v xml:space="preserve"> </v>
      </c>
      <c r="J373" s="149" t="str" cm="1">
        <f t="array" ref="J373">IFERROR(VLOOKUP($A373,'The List'!$B1:$AS671,36,FALSE)," ")</f>
        <v xml:space="preserve"> </v>
      </c>
      <c r="K373" s="149" t="str" cm="1">
        <f t="array" ref="K373">IFERROR(VLOOKUP($A373,'The List'!$B1:$AS671,37,FALSE)," ")</f>
        <v xml:space="preserve"> </v>
      </c>
      <c r="L373" s="149" t="str" cm="1">
        <f t="array" ref="L373">IFERROR(VLOOKUP($A373,'The List'!$B1:$AS671,38,FALSE)," ")</f>
        <v xml:space="preserve"> </v>
      </c>
      <c r="M373" s="149" t="str" cm="1">
        <f t="array" ref="M373">IFERROR(VLOOKUP($A373,'The List'!$B1:$AS671,39,FALSE)," ")</f>
        <v xml:space="preserve"> </v>
      </c>
      <c r="N373" s="149" t="str" cm="1">
        <f t="array" ref="N373">IFERROR(VLOOKUP($A373,'The List'!$B1:$AS671,40,FALSE)," ")</f>
        <v xml:space="preserve"> </v>
      </c>
      <c r="O373" s="149" t="str" cm="1">
        <f t="array" ref="O373">IFERROR(VLOOKUP($A373,'The List'!$B1:$AS671,41,FALSE)," ")</f>
        <v xml:space="preserve"> </v>
      </c>
      <c r="P373" s="149" t="str" cm="1">
        <f t="array" ref="P373">IFERROR(VLOOKUP($A373,'The List'!$B1:$AS671,42,FALSE)," ")</f>
        <v xml:space="preserve"> </v>
      </c>
      <c r="Q373" s="149" t="str" cm="1">
        <f t="array" ref="Q373">IFERROR(VLOOKUP($A373,'The List'!$B1:$AS671,43,FALSE)," ")</f>
        <v xml:space="preserve"> </v>
      </c>
      <c r="R373" s="85"/>
      <c r="S373" s="85"/>
      <c r="T373" s="139" t="str" cm="1">
        <f t="array" ref="T373">A349</f>
        <v>TEAM 13</v>
      </c>
      <c r="U373" s="206" cm="1">
        <f t="array" ref="U373">F370+F376</f>
        <v>0</v>
      </c>
      <c r="V373" s="194"/>
      <c r="W373" s="194"/>
      <c r="X373" s="206" cm="1">
        <f t="array" ref="X373">G376+G370</f>
        <v>0</v>
      </c>
      <c r="Y373" s="194"/>
      <c r="Z373" s="194"/>
      <c r="AA373" s="85"/>
      <c r="AB373" s="85"/>
      <c r="AC373" s="85"/>
      <c r="AD373" s="85"/>
      <c r="AE373" s="85"/>
      <c r="AF373" s="85"/>
    </row>
    <row r="374" spans="1:32" ht="21.25" customHeight="1" x14ac:dyDescent="0.15">
      <c r="A374" s="24"/>
      <c r="B374" s="140" t="str" cm="1">
        <f t="array" ref="B374">IFERROR(VLOOKUP($A374,'The List'!$B1:$AS671,3,FALSE)," ")</f>
        <v xml:space="preserve"> </v>
      </c>
      <c r="C374" s="141" t="str" cm="1">
        <f t="array" ref="C374">IFERROR(VLOOKUP($A374,'The List'!$B1:$AS671,4,FALSE)," ")</f>
        <v xml:space="preserve"> </v>
      </c>
      <c r="D374" s="18" t="str" cm="1">
        <f t="array" ref="D374">IFERROR(VLOOKUP($A374,'The List'!$B1:$AS671,5,FALSE)," ")</f>
        <v xml:space="preserve"> </v>
      </c>
      <c r="E374" s="18" t="str" cm="1">
        <f t="array" ref="E374">IFERROR(VLOOKUP($A374,'The List'!$B1:$AS671,6,FALSE)," ")</f>
        <v xml:space="preserve"> </v>
      </c>
      <c r="F374" s="92" t="str" cm="1">
        <f t="array" ref="F374">IFERROR(VLOOKUP($A374,'The List'!$B1:$AS671,8,FALSE)," ")</f>
        <v xml:space="preserve"> </v>
      </c>
      <c r="G374" s="92" t="str" cm="1">
        <f t="array" ref="G374">IFERROR(VLOOKUP($A374,'The List'!$B1:$AS671,10,FALSE)," ")</f>
        <v xml:space="preserve"> </v>
      </c>
      <c r="H374" s="55"/>
      <c r="I374" s="84" t="str" cm="1">
        <f t="array" ref="I374">IFERROR(VLOOKUP($A374,'The List'!$B1:$AS671,35,FALSE)," ")</f>
        <v xml:space="preserve"> </v>
      </c>
      <c r="J374" s="84" t="str" cm="1">
        <f t="array" ref="J374">IFERROR(VLOOKUP($A374,'The List'!$B1:$AS671,36,FALSE)," ")</f>
        <v xml:space="preserve"> </v>
      </c>
      <c r="K374" s="84" t="str" cm="1">
        <f t="array" ref="K374">IFERROR(VLOOKUP($A374,'The List'!$B1:$AS671,37,FALSE)," ")</f>
        <v xml:space="preserve"> </v>
      </c>
      <c r="L374" s="84" t="str" cm="1">
        <f t="array" ref="L374">IFERROR(VLOOKUP($A374,'The List'!$B1:$AS671,38,FALSE)," ")</f>
        <v xml:space="preserve"> </v>
      </c>
      <c r="M374" s="84" t="str" cm="1">
        <f t="array" ref="M374">IFERROR(VLOOKUP($A374,'The List'!$B1:$AS671,39,FALSE)," ")</f>
        <v xml:space="preserve"> </v>
      </c>
      <c r="N374" s="84" t="str" cm="1">
        <f t="array" ref="N374">IFERROR(VLOOKUP($A374,'The List'!$B1:$AS671,40,FALSE)," ")</f>
        <v xml:space="preserve"> </v>
      </c>
      <c r="O374" s="84" t="str" cm="1">
        <f t="array" ref="O374">IFERROR(VLOOKUP($A374,'The List'!$B1:$AS671,41,FALSE)," ")</f>
        <v xml:space="preserve"> </v>
      </c>
      <c r="P374" s="84" t="str" cm="1">
        <f t="array" ref="P374">IFERROR(VLOOKUP($A374,'The List'!$B1:$AS671,42,FALSE)," ")</f>
        <v xml:space="preserve"> </v>
      </c>
      <c r="Q374" s="84" t="str" cm="1">
        <f t="array" ref="Q374">IFERROR(VLOOKUP($A374,'The List'!$B1:$AS671,43,FALSE)," ")</f>
        <v xml:space="preserve"> </v>
      </c>
      <c r="R374" s="85"/>
      <c r="S374" s="85"/>
      <c r="T374" s="85"/>
      <c r="U374" s="194"/>
      <c r="V374" s="194"/>
      <c r="W374" s="194"/>
      <c r="X374" s="194"/>
      <c r="Y374" s="194"/>
      <c r="Z374" s="194"/>
      <c r="AA374" s="85"/>
      <c r="AB374" s="85"/>
      <c r="AC374" s="85"/>
      <c r="AD374" s="85"/>
      <c r="AE374" s="85"/>
      <c r="AF374" s="85"/>
    </row>
    <row r="375" spans="1:32" ht="21.25" customHeight="1" x14ac:dyDescent="0.15">
      <c r="A375" s="103"/>
      <c r="B375" s="142" t="str" cm="1">
        <f t="array" ref="B375">IFERROR(VLOOKUP($A375,'The List'!$B1:$AS671,3,FALSE)," ")</f>
        <v xml:space="preserve"> </v>
      </c>
      <c r="C375" s="143" t="str" cm="1">
        <f t="array" ref="C375">IFERROR(VLOOKUP($A375,'The List'!$B1:$AS671,4,FALSE)," ")</f>
        <v xml:space="preserve"> </v>
      </c>
      <c r="D375" s="106" t="str" cm="1">
        <f t="array" ref="D375">IFERROR(VLOOKUP($A375,'The List'!$B1:$AS671,5,FALSE)," ")</f>
        <v xml:space="preserve"> </v>
      </c>
      <c r="E375" s="106" t="str" cm="1">
        <f t="array" ref="E375">IFERROR(VLOOKUP($A375,'The List'!$B1:$AS671,6,FALSE)," ")</f>
        <v xml:space="preserve"> </v>
      </c>
      <c r="F375" s="107" t="str" cm="1">
        <f t="array" ref="F375">IFERROR(VLOOKUP($A375,'The List'!$B1:$AS671,8,FALSE)," ")</f>
        <v xml:space="preserve"> </v>
      </c>
      <c r="G375" s="107" t="str" cm="1">
        <f t="array" ref="G375">IFERROR(VLOOKUP($A375,'The List'!$B1:$AS671,10,FALSE)," ")</f>
        <v xml:space="preserve"> </v>
      </c>
      <c r="H375" s="108"/>
      <c r="I375" s="109" t="str" cm="1">
        <f t="array" ref="I375">IFERROR(VLOOKUP($A375,'The List'!$B1:$AS671,35,FALSE)," ")</f>
        <v xml:space="preserve"> </v>
      </c>
      <c r="J375" s="109" t="str" cm="1">
        <f t="array" ref="J375">IFERROR(VLOOKUP($A375,'The List'!$B1:$AS671,36,FALSE)," ")</f>
        <v xml:space="preserve"> </v>
      </c>
      <c r="K375" s="109" t="str" cm="1">
        <f t="array" ref="K375">IFERROR(VLOOKUP($A375,'The List'!$B1:$AS671,37,FALSE)," ")</f>
        <v xml:space="preserve"> </v>
      </c>
      <c r="L375" s="109" t="str" cm="1">
        <f t="array" ref="L375">IFERROR(VLOOKUP($A375,'The List'!$B1:$AS671,38,FALSE)," ")</f>
        <v xml:space="preserve"> </v>
      </c>
      <c r="M375" s="109" t="str" cm="1">
        <f t="array" ref="M375">IFERROR(VLOOKUP($A375,'The List'!$B1:$AS671,39,FALSE)," ")</f>
        <v xml:space="preserve"> </v>
      </c>
      <c r="N375" s="109" t="str" cm="1">
        <f t="array" ref="N375">IFERROR(VLOOKUP($A375,'The List'!$B1:$AS671,40,FALSE)," ")</f>
        <v xml:space="preserve"> </v>
      </c>
      <c r="O375" s="109" t="str" cm="1">
        <f t="array" ref="O375">IFERROR(VLOOKUP($A375,'The List'!$B1:$AS671,41,FALSE)," ")</f>
        <v xml:space="preserve"> </v>
      </c>
      <c r="P375" s="109" t="str" cm="1">
        <f t="array" ref="P375">IFERROR(VLOOKUP($A375,'The List'!$B1:$AS671,42,FALSE)," ")</f>
        <v xml:space="preserve"> </v>
      </c>
      <c r="Q375" s="109" t="str" cm="1">
        <f t="array" ref="Q375">IFERROR(VLOOKUP($A375,'The List'!$B1:$AS671,43,FALSE)," ")</f>
        <v xml:space="preserve"> </v>
      </c>
      <c r="R375" s="85"/>
      <c r="S375" s="85"/>
      <c r="T375" s="85"/>
      <c r="U375" s="194"/>
      <c r="V375" s="194"/>
      <c r="W375" s="194"/>
      <c r="X375" s="194"/>
      <c r="Y375" s="194"/>
      <c r="Z375" s="194"/>
      <c r="AA375" s="85"/>
      <c r="AB375" s="85"/>
      <c r="AC375" s="85"/>
      <c r="AD375" s="85"/>
      <c r="AE375" s="85"/>
      <c r="AF375" s="85"/>
    </row>
    <row r="376" spans="1:32" ht="21.25" customHeight="1" x14ac:dyDescent="0.15">
      <c r="A376" s="110"/>
      <c r="B376" s="111"/>
      <c r="C376" s="112"/>
      <c r="D376" s="113"/>
      <c r="E376" s="113" t="str" cm="1">
        <f t="array" ref="E376">IFERROR(AVERAGE(E373:E375)," ")</f>
        <v xml:space="preserve"> </v>
      </c>
      <c r="F376" s="115" cm="1">
        <f t="array" ref="F376">SUM(F373:F375)</f>
        <v>0</v>
      </c>
      <c r="G376" s="115" cm="1">
        <f t="array" ref="G376">SUM(G373:G375)</f>
        <v>0</v>
      </c>
      <c r="H376" s="116"/>
      <c r="I376" s="117" cm="1">
        <f t="array" ref="I376">SUM(I373:I375)</f>
        <v>0</v>
      </c>
      <c r="J376" s="116" cm="1">
        <f t="array" ref="J376">SUM(J373:J375)</f>
        <v>0</v>
      </c>
      <c r="K376" s="117" cm="1">
        <f t="array" ref="K376">SUM(K373:K375)</f>
        <v>0</v>
      </c>
      <c r="L376" s="117" cm="1">
        <f t="array" ref="L376">SUM(L373:L375)</f>
        <v>0</v>
      </c>
      <c r="M376" s="117" cm="1">
        <f t="array" ref="M376">SUM(M373:M375)</f>
        <v>0</v>
      </c>
      <c r="N376" s="117" cm="1">
        <f t="array" ref="N376">SUM(N373:N375)</f>
        <v>0</v>
      </c>
      <c r="O376" s="117" cm="1">
        <f t="array" ref="O376">SUM(O373:O375)</f>
        <v>0</v>
      </c>
      <c r="P376" s="144" t="e" cm="1">
        <f t="array" ref="P376">1-(O376/(N376+O376))</f>
        <v>#DIV/0!</v>
      </c>
      <c r="Q376" s="145" t="e" cm="1">
        <f t="array" ref="Q376">O376/I376</f>
        <v>#DIV/0!</v>
      </c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</row>
    <row r="377" spans="1:32" ht="70.75" customHeight="1" x14ac:dyDescent="0.15">
      <c r="A377" s="37"/>
      <c r="B377" s="120"/>
      <c r="C377" s="121"/>
      <c r="D377" s="13"/>
      <c r="E377" s="13"/>
      <c r="F377" s="122"/>
      <c r="G377" s="123"/>
      <c r="H377" s="124"/>
      <c r="I377" s="12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90"/>
      <c r="AB377" s="90"/>
      <c r="AC377" s="90"/>
      <c r="AD377" s="90"/>
      <c r="AE377" s="90"/>
      <c r="AF377" s="90"/>
    </row>
    <row r="378" spans="1:32" ht="21.25" customHeight="1" x14ac:dyDescent="0.15">
      <c r="A378" s="41" t="s">
        <v>811</v>
      </c>
      <c r="B378" s="203" t="s">
        <v>92</v>
      </c>
      <c r="C378" s="200"/>
      <c r="D378" s="42" t="s">
        <v>93</v>
      </c>
      <c r="E378" s="42" t="s">
        <v>94</v>
      </c>
      <c r="F378" s="43" t="s">
        <v>96</v>
      </c>
      <c r="G378" s="43" t="s">
        <v>98</v>
      </c>
      <c r="H378" s="44"/>
      <c r="I378" s="46" t="s">
        <v>103</v>
      </c>
      <c r="J378" s="46" t="s">
        <v>56</v>
      </c>
      <c r="K378" s="46" t="s">
        <v>104</v>
      </c>
      <c r="L378" s="46" t="s">
        <v>105</v>
      </c>
      <c r="M378" s="46" t="s">
        <v>106</v>
      </c>
      <c r="N378" s="46" t="s">
        <v>107</v>
      </c>
      <c r="O378" s="46" t="s">
        <v>64</v>
      </c>
      <c r="P378" s="46" t="s">
        <v>67</v>
      </c>
      <c r="Q378" s="46" t="s">
        <v>108</v>
      </c>
      <c r="R378" s="46" t="s">
        <v>109</v>
      </c>
      <c r="S378" s="46" t="s">
        <v>110</v>
      </c>
      <c r="T378" s="46" t="s">
        <v>111</v>
      </c>
      <c r="U378" s="46" t="s">
        <v>112</v>
      </c>
      <c r="V378" s="46" t="s">
        <v>113</v>
      </c>
      <c r="W378" s="46" t="s">
        <v>114</v>
      </c>
      <c r="X378" s="46" t="s">
        <v>115</v>
      </c>
      <c r="Y378" s="46" t="s">
        <v>116</v>
      </c>
      <c r="Z378" s="46" t="s">
        <v>117</v>
      </c>
      <c r="AA378" s="85"/>
      <c r="AB378" s="86"/>
      <c r="AC378" s="86"/>
      <c r="AD378" s="86"/>
      <c r="AE378" s="86"/>
      <c r="AF378" s="86"/>
    </row>
    <row r="379" spans="1:32" ht="21.25" customHeight="1" x14ac:dyDescent="0.15">
      <c r="A379" s="24"/>
      <c r="B379" s="87" t="str" cm="1">
        <f t="array" ref="B379">IFERROR(VLOOKUP($A379,'The List'!$B1:$AS671,3,FALSE)," ")</f>
        <v xml:space="preserve"> </v>
      </c>
      <c r="C379" s="91" t="str" cm="1">
        <f t="array" ref="C379">IFERROR(VLOOKUP($A379,'The List'!$B1:$AS671,4,FALSE)," ")</f>
        <v xml:space="preserve"> </v>
      </c>
      <c r="D379" s="18" t="str" cm="1">
        <f t="array" ref="D379">IFERROR(VLOOKUP($A379,'The List'!$B1:$AS671,5,FALSE)," ")</f>
        <v xml:space="preserve"> </v>
      </c>
      <c r="E379" s="18" t="str" cm="1">
        <f t="array" ref="E379">IFERROR(VLOOKUP($A379,'The List'!$B1:$AS671,6,FALSE)," ")</f>
        <v xml:space="preserve"> </v>
      </c>
      <c r="F379" s="92" t="str" cm="1">
        <f t="array" ref="F379">IFERROR(VLOOKUP($A379,'The List'!$B1:$AS671,8,FALSE)," ")</f>
        <v xml:space="preserve"> </v>
      </c>
      <c r="G379" s="92" t="str" cm="1">
        <f t="array" ref="G379">IFERROR(VLOOKUP($A379,'The List'!$B1:$AS671,10,FALSE)," ")</f>
        <v xml:space="preserve"> </v>
      </c>
      <c r="H379" s="55"/>
      <c r="I379" s="84" t="str" cm="1">
        <f t="array" ref="I379">IFERROR(VLOOKUP($A379,'The List'!$B1:$AS671,16,FALSE)," ")</f>
        <v xml:space="preserve"> </v>
      </c>
      <c r="J379" s="84" t="str" cm="1">
        <f t="array" ref="J379">IFERROR(VLOOKUP($A379,'The List'!$B1:$AS671,17,FALSE)," ")</f>
        <v xml:space="preserve"> </v>
      </c>
      <c r="K379" s="84" t="str" cm="1">
        <f t="array" ref="K379">IFERROR(VLOOKUP($A379,'The List'!$B1:$AS671,18,FALSE)," ")</f>
        <v xml:space="preserve"> </v>
      </c>
      <c r="L379" s="84" t="str" cm="1">
        <f t="array" ref="L379">IFERROR(VLOOKUP($A379,'The List'!$B1:$AS671,19,FALSE)," ")</f>
        <v xml:space="preserve"> </v>
      </c>
      <c r="M379" s="84" t="str" cm="1">
        <f t="array" ref="M379">IFERROR(VLOOKUP($A379,'The List'!$B1:$AS671,20,FALSE)," ")</f>
        <v xml:space="preserve"> </v>
      </c>
      <c r="N379" s="84" t="str" cm="1">
        <f t="array" ref="N379">IFERROR(VLOOKUP($A379,'The List'!$B1:$AS671,21,FALSE)," ")</f>
        <v xml:space="preserve"> </v>
      </c>
      <c r="O379" s="84" t="str" cm="1">
        <f t="array" ref="O379">IFERROR(VLOOKUP($A379,'The List'!$B1:$AS671,22,FALSE)," ")</f>
        <v xml:space="preserve"> </v>
      </c>
      <c r="P379" s="84" t="str" cm="1">
        <f t="array" ref="P379">IFERROR(VLOOKUP($A379,'The List'!$B1:$AS671,23,FALSE)," ")</f>
        <v xml:space="preserve"> </v>
      </c>
      <c r="Q379" s="84" t="str" cm="1">
        <f t="array" ref="Q379">IFERROR(VLOOKUP($A379,'The List'!$B1:$AS671,24,FALSE)," ")</f>
        <v xml:space="preserve"> </v>
      </c>
      <c r="R379" s="84" t="str" cm="1">
        <f t="array" ref="R379">IFERROR(VLOOKUP($A379,'The List'!$B1:$AS671,25,FALSE)," ")</f>
        <v xml:space="preserve"> </v>
      </c>
      <c r="S379" s="84" t="str" cm="1">
        <f t="array" ref="S379">IFERROR(VLOOKUP($A379,'The List'!$B1:$AS671,26,FALSE)," ")</f>
        <v xml:space="preserve"> </v>
      </c>
      <c r="T379" s="84" t="str" cm="1">
        <f t="array" ref="T379">IFERROR(VLOOKUP($A379,'The List'!$B1:$AS671,27,FALSE)," ")</f>
        <v xml:space="preserve"> </v>
      </c>
      <c r="U379" s="84" t="str" cm="1">
        <f t="array" ref="U379">IFERROR(VLOOKUP($A379,'The List'!$B1:$AS671,28,FALSE)," ")</f>
        <v xml:space="preserve"> </v>
      </c>
      <c r="V379" s="84" t="str" cm="1">
        <f t="array" ref="V379">IFERROR(VLOOKUP($A379,'The List'!$B1:$AS671,29,FALSE)," ")</f>
        <v xml:space="preserve"> </v>
      </c>
      <c r="W379" s="84" t="str" cm="1">
        <f t="array" ref="W379">IFERROR(VLOOKUP($A379,'The List'!$B1:$AS671,30,FALSE)," ")</f>
        <v xml:space="preserve"> </v>
      </c>
      <c r="X379" s="84" t="str" cm="1">
        <f t="array" ref="X379">IFERROR(VLOOKUP($A379,'The List'!$B1:$AS671,31,FALSE)," ")</f>
        <v xml:space="preserve"> </v>
      </c>
      <c r="Y379" s="84" t="str" cm="1">
        <f t="array" ref="Y379">IFERROR(VLOOKUP($A379,'The List'!$B1:$AS671,32,FALSE)," ")</f>
        <v xml:space="preserve"> </v>
      </c>
      <c r="Z379" s="84" t="str" cm="1">
        <f t="array" ref="Z379">IFERROR(VLOOKUP($A379,'The List'!$B1:$AS671,33,FALSE)," ")</f>
        <v xml:space="preserve"> </v>
      </c>
      <c r="AA379" s="85"/>
      <c r="AB379" s="90"/>
      <c r="AC379" s="90"/>
      <c r="AD379" s="90"/>
      <c r="AE379" s="90"/>
      <c r="AF379" s="90"/>
    </row>
    <row r="380" spans="1:32" ht="21.25" customHeight="1" x14ac:dyDescent="0.15">
      <c r="A380" s="24"/>
      <c r="B380" s="87" t="str" cm="1">
        <f t="array" ref="B380">IFERROR(VLOOKUP($A380,'The List'!$B1:$AS671,3,FALSE)," ")</f>
        <v xml:space="preserve"> </v>
      </c>
      <c r="C380" s="91" t="str" cm="1">
        <f t="array" ref="C380">IFERROR(VLOOKUP($A380,'The List'!$B1:$AS671,4,FALSE)," ")</f>
        <v xml:space="preserve"> </v>
      </c>
      <c r="D380" s="18" t="str" cm="1">
        <f t="array" ref="D380">IFERROR(VLOOKUP($A380,'The List'!$B1:$AS671,5,FALSE)," ")</f>
        <v xml:space="preserve"> </v>
      </c>
      <c r="E380" s="18" t="str" cm="1">
        <f t="array" ref="E380">IFERROR(VLOOKUP($A380,'The List'!$B1:$AS671,6,FALSE)," ")</f>
        <v xml:space="preserve"> </v>
      </c>
      <c r="F380" s="92" t="str" cm="1">
        <f t="array" ref="F380">IFERROR(VLOOKUP($A380,'The List'!$B1:$AS671,8,FALSE)," ")</f>
        <v xml:space="preserve"> </v>
      </c>
      <c r="G380" s="92" t="str" cm="1">
        <f t="array" ref="G380">IFERROR(VLOOKUP($A380,'The List'!$B1:$AS671,10,FALSE)," ")</f>
        <v xml:space="preserve"> </v>
      </c>
      <c r="H380" s="55"/>
      <c r="I380" s="84" t="str" cm="1">
        <f t="array" ref="I380">IFERROR(VLOOKUP($A380,'The List'!$B1:$AS671,16,FALSE)," ")</f>
        <v xml:space="preserve"> </v>
      </c>
      <c r="J380" s="84" t="str" cm="1">
        <f t="array" ref="J380">IFERROR(VLOOKUP($A380,'The List'!$B1:$AS671,17,FALSE)," ")</f>
        <v xml:space="preserve"> </v>
      </c>
      <c r="K380" s="84" t="str" cm="1">
        <f t="array" ref="K380">IFERROR(VLOOKUP($A380,'The List'!$B1:$AS671,18,FALSE)," ")</f>
        <v xml:space="preserve"> </v>
      </c>
      <c r="L380" s="84" t="str" cm="1">
        <f t="array" ref="L380">IFERROR(VLOOKUP($A380,'The List'!$B1:$AS671,19,FALSE)," ")</f>
        <v xml:space="preserve"> </v>
      </c>
      <c r="M380" s="84" t="str" cm="1">
        <f t="array" ref="M380">IFERROR(VLOOKUP($A380,'The List'!$B1:$AS671,20,FALSE)," ")</f>
        <v xml:space="preserve"> </v>
      </c>
      <c r="N380" s="84" t="str" cm="1">
        <f t="array" ref="N380">IFERROR(VLOOKUP($A380,'The List'!$B1:$AS671,21,FALSE)," ")</f>
        <v xml:space="preserve"> </v>
      </c>
      <c r="O380" s="84" t="str" cm="1">
        <f t="array" ref="O380">IFERROR(VLOOKUP($A380,'The List'!$B1:$AS671,22,FALSE)," ")</f>
        <v xml:space="preserve"> </v>
      </c>
      <c r="P380" s="84" t="str" cm="1">
        <f t="array" ref="P380">IFERROR(VLOOKUP($A380,'The List'!$B1:$AS671,23,FALSE)," ")</f>
        <v xml:space="preserve"> </v>
      </c>
      <c r="Q380" s="84" t="str" cm="1">
        <f t="array" ref="Q380">IFERROR(VLOOKUP($A380,'The List'!$B1:$AS671,24,FALSE)," ")</f>
        <v xml:space="preserve"> </v>
      </c>
      <c r="R380" s="84" t="str" cm="1">
        <f t="array" ref="R380">IFERROR(VLOOKUP($A380,'The List'!$B1:$AS671,25,FALSE)," ")</f>
        <v xml:space="preserve"> </v>
      </c>
      <c r="S380" s="84" t="str" cm="1">
        <f t="array" ref="S380">IFERROR(VLOOKUP($A380,'The List'!$B1:$AS671,26,FALSE)," ")</f>
        <v xml:space="preserve"> </v>
      </c>
      <c r="T380" s="84" t="str" cm="1">
        <f t="array" ref="T380">IFERROR(VLOOKUP($A380,'The List'!$B1:$AS671,27,FALSE)," ")</f>
        <v xml:space="preserve"> </v>
      </c>
      <c r="U380" s="84" t="str" cm="1">
        <f t="array" ref="U380">IFERROR(VLOOKUP($A380,'The List'!$B1:$AS671,28,FALSE)," ")</f>
        <v xml:space="preserve"> </v>
      </c>
      <c r="V380" s="84" t="str" cm="1">
        <f t="array" ref="V380">IFERROR(VLOOKUP($A380,'The List'!$B1:$AS671,29,FALSE)," ")</f>
        <v xml:space="preserve"> </v>
      </c>
      <c r="W380" s="84" t="str" cm="1">
        <f t="array" ref="W380">IFERROR(VLOOKUP($A380,'The List'!$B1:$AS671,30,FALSE)," ")</f>
        <v xml:space="preserve"> </v>
      </c>
      <c r="X380" s="84" t="str" cm="1">
        <f t="array" ref="X380">IFERROR(VLOOKUP($A380,'The List'!$B1:$AS671,31,FALSE)," ")</f>
        <v xml:space="preserve"> </v>
      </c>
      <c r="Y380" s="84" t="str" cm="1">
        <f t="array" ref="Y380">IFERROR(VLOOKUP($A380,'The List'!$B1:$AS671,32,FALSE)," ")</f>
        <v xml:space="preserve"> </v>
      </c>
      <c r="Z380" s="84" t="str" cm="1">
        <f t="array" ref="Z380">IFERROR(VLOOKUP($A380,'The List'!$B1:$AS671,33,FALSE)," ")</f>
        <v xml:space="preserve"> </v>
      </c>
      <c r="AA380" s="85"/>
      <c r="AB380" s="90"/>
      <c r="AC380" s="90"/>
      <c r="AD380" s="90"/>
      <c r="AE380" s="90"/>
      <c r="AF380" s="90"/>
    </row>
    <row r="381" spans="1:32" ht="21.25" customHeight="1" x14ac:dyDescent="0.15">
      <c r="A381" s="24"/>
      <c r="B381" s="87" t="str" cm="1">
        <f t="array" ref="B381">IFERROR(VLOOKUP($A381,'The List'!$B1:$AS671,3,FALSE)," ")</f>
        <v xml:space="preserve"> </v>
      </c>
      <c r="C381" s="91" t="str" cm="1">
        <f t="array" ref="C381">IFERROR(VLOOKUP($A381,'The List'!$B1:$AS671,4,FALSE)," ")</f>
        <v xml:space="preserve"> </v>
      </c>
      <c r="D381" s="18" t="str" cm="1">
        <f t="array" ref="D381">IFERROR(VLOOKUP($A381,'The List'!$B1:$AS671,5,FALSE)," ")</f>
        <v xml:space="preserve"> </v>
      </c>
      <c r="E381" s="18" t="str" cm="1">
        <f t="array" ref="E381">IFERROR(VLOOKUP($A381,'The List'!$B1:$AS671,6,FALSE)," ")</f>
        <v xml:space="preserve"> </v>
      </c>
      <c r="F381" s="92" t="str" cm="1">
        <f t="array" ref="F381">IFERROR(VLOOKUP($A381,'The List'!$B1:$AS671,8,FALSE)," ")</f>
        <v xml:space="preserve"> </v>
      </c>
      <c r="G381" s="92" t="str" cm="1">
        <f t="array" ref="G381">IFERROR(VLOOKUP($A381,'The List'!$B1:$AS671,10,FALSE)," ")</f>
        <v xml:space="preserve"> </v>
      </c>
      <c r="H381" s="55"/>
      <c r="I381" s="84" t="str" cm="1">
        <f t="array" ref="I381">IFERROR(VLOOKUP($A381,'The List'!$B1:$AS671,16,FALSE)," ")</f>
        <v xml:space="preserve"> </v>
      </c>
      <c r="J381" s="84" t="str" cm="1">
        <f t="array" ref="J381">IFERROR(VLOOKUP($A381,'The List'!$B1:$AS671,17,FALSE)," ")</f>
        <v xml:space="preserve"> </v>
      </c>
      <c r="K381" s="84" t="str" cm="1">
        <f t="array" ref="K381">IFERROR(VLOOKUP($A381,'The List'!$B1:$AS671,18,FALSE)," ")</f>
        <v xml:space="preserve"> </v>
      </c>
      <c r="L381" s="84" t="str" cm="1">
        <f t="array" ref="L381">IFERROR(VLOOKUP($A381,'The List'!$B1:$AS671,19,FALSE)," ")</f>
        <v xml:space="preserve"> </v>
      </c>
      <c r="M381" s="84" t="str" cm="1">
        <f t="array" ref="M381">IFERROR(VLOOKUP($A381,'The List'!$B1:$AS671,20,FALSE)," ")</f>
        <v xml:space="preserve"> </v>
      </c>
      <c r="N381" s="84" t="str" cm="1">
        <f t="array" ref="N381">IFERROR(VLOOKUP($A381,'The List'!$B1:$AS671,21,FALSE)," ")</f>
        <v xml:space="preserve"> </v>
      </c>
      <c r="O381" s="84" t="str" cm="1">
        <f t="array" ref="O381">IFERROR(VLOOKUP($A381,'The List'!$B1:$AS671,22,FALSE)," ")</f>
        <v xml:space="preserve"> </v>
      </c>
      <c r="P381" s="84" t="str" cm="1">
        <f t="array" ref="P381">IFERROR(VLOOKUP($A381,'The List'!$B1:$AS671,23,FALSE)," ")</f>
        <v xml:space="preserve"> </v>
      </c>
      <c r="Q381" s="84" t="str" cm="1">
        <f t="array" ref="Q381">IFERROR(VLOOKUP($A381,'The List'!$B1:$AS671,24,FALSE)," ")</f>
        <v xml:space="preserve"> </v>
      </c>
      <c r="R381" s="84" t="str" cm="1">
        <f t="array" ref="R381">IFERROR(VLOOKUP($A381,'The List'!$B1:$AS671,25,FALSE)," ")</f>
        <v xml:space="preserve"> </v>
      </c>
      <c r="S381" s="84" t="str" cm="1">
        <f t="array" ref="S381">IFERROR(VLOOKUP($A381,'The List'!$B1:$AS671,26,FALSE)," ")</f>
        <v xml:space="preserve"> </v>
      </c>
      <c r="T381" s="84" t="str" cm="1">
        <f t="array" ref="T381">IFERROR(VLOOKUP($A381,'The List'!$B1:$AS671,27,FALSE)," ")</f>
        <v xml:space="preserve"> </v>
      </c>
      <c r="U381" s="84" t="str" cm="1">
        <f t="array" ref="U381">IFERROR(VLOOKUP($A381,'The List'!$B1:$AS671,28,FALSE)," ")</f>
        <v xml:space="preserve"> </v>
      </c>
      <c r="V381" s="84" t="str" cm="1">
        <f t="array" ref="V381">IFERROR(VLOOKUP($A381,'The List'!$B1:$AS671,29,FALSE)," ")</f>
        <v xml:space="preserve"> </v>
      </c>
      <c r="W381" s="84" t="str" cm="1">
        <f t="array" ref="W381">IFERROR(VLOOKUP($A381,'The List'!$B1:$AS671,30,FALSE)," ")</f>
        <v xml:space="preserve"> </v>
      </c>
      <c r="X381" s="84" t="str" cm="1">
        <f t="array" ref="X381">IFERROR(VLOOKUP($A381,'The List'!$B1:$AS671,31,FALSE)," ")</f>
        <v xml:space="preserve"> </v>
      </c>
      <c r="Y381" s="84" t="str" cm="1">
        <f t="array" ref="Y381">IFERROR(VLOOKUP($A381,'The List'!$B1:$AS671,32,FALSE)," ")</f>
        <v xml:space="preserve"> </v>
      </c>
      <c r="Z381" s="84" t="str" cm="1">
        <f t="array" ref="Z381">IFERROR(VLOOKUP($A381,'The List'!$B1:$AS671,33,FALSE)," ")</f>
        <v xml:space="preserve"> </v>
      </c>
      <c r="AA381" s="85"/>
      <c r="AB381" s="90"/>
      <c r="AC381" s="90"/>
      <c r="AD381" s="90"/>
      <c r="AE381" s="90"/>
      <c r="AF381" s="90"/>
    </row>
    <row r="382" spans="1:32" ht="21.25" customHeight="1" x14ac:dyDescent="0.15">
      <c r="A382" s="24"/>
      <c r="B382" s="87" t="str" cm="1">
        <f t="array" ref="B382">IFERROR(VLOOKUP($A382,'The List'!$B1:$AS671,3,FALSE)," ")</f>
        <v xml:space="preserve"> </v>
      </c>
      <c r="C382" s="91" t="str" cm="1">
        <f t="array" ref="C382">IFERROR(VLOOKUP($A382,'The List'!$B1:$AS671,4,FALSE)," ")</f>
        <v xml:space="preserve"> </v>
      </c>
      <c r="D382" s="18" t="str" cm="1">
        <f t="array" ref="D382">IFERROR(VLOOKUP($A382,'The List'!$B1:$AS671,5,FALSE)," ")</f>
        <v xml:space="preserve"> </v>
      </c>
      <c r="E382" s="18" t="str" cm="1">
        <f t="array" ref="E382">IFERROR(VLOOKUP($A382,'The List'!$B1:$AS671,6,FALSE)," ")</f>
        <v xml:space="preserve"> </v>
      </c>
      <c r="F382" s="92" t="str" cm="1">
        <f t="array" ref="F382">IFERROR(VLOOKUP($A382,'The List'!$B1:$AS671,8,FALSE)," ")</f>
        <v xml:space="preserve"> </v>
      </c>
      <c r="G382" s="92" t="str" cm="1">
        <f t="array" ref="G382">IFERROR(VLOOKUP($A382,'The List'!$B1:$AS671,10,FALSE)," ")</f>
        <v xml:space="preserve"> </v>
      </c>
      <c r="H382" s="55"/>
      <c r="I382" s="84" t="str" cm="1">
        <f t="array" ref="I382">IFERROR(VLOOKUP($A382,'The List'!$B1:$AS671,16,FALSE)," ")</f>
        <v xml:space="preserve"> </v>
      </c>
      <c r="J382" s="84" t="str" cm="1">
        <f t="array" ref="J382">IFERROR(VLOOKUP($A382,'The List'!$B1:$AS671,17,FALSE)," ")</f>
        <v xml:space="preserve"> </v>
      </c>
      <c r="K382" s="84" t="str" cm="1">
        <f t="array" ref="K382">IFERROR(VLOOKUP($A382,'The List'!$B1:$AS671,18,FALSE)," ")</f>
        <v xml:space="preserve"> </v>
      </c>
      <c r="L382" s="84" t="str" cm="1">
        <f t="array" ref="L382">IFERROR(VLOOKUP($A382,'The List'!$B1:$AS671,19,FALSE)," ")</f>
        <v xml:space="preserve"> </v>
      </c>
      <c r="M382" s="84" t="str" cm="1">
        <f t="array" ref="M382">IFERROR(VLOOKUP($A382,'The List'!$B1:$AS671,20,FALSE)," ")</f>
        <v xml:space="preserve"> </v>
      </c>
      <c r="N382" s="84" t="str" cm="1">
        <f t="array" ref="N382">IFERROR(VLOOKUP($A382,'The List'!$B1:$AS671,21,FALSE)," ")</f>
        <v xml:space="preserve"> </v>
      </c>
      <c r="O382" s="84" t="str" cm="1">
        <f t="array" ref="O382">IFERROR(VLOOKUP($A382,'The List'!$B1:$AS671,22,FALSE)," ")</f>
        <v xml:space="preserve"> </v>
      </c>
      <c r="P382" s="84" t="str" cm="1">
        <f t="array" ref="P382">IFERROR(VLOOKUP($A382,'The List'!$B1:$AS671,23,FALSE)," ")</f>
        <v xml:space="preserve"> </v>
      </c>
      <c r="Q382" s="84" t="str" cm="1">
        <f t="array" ref="Q382">IFERROR(VLOOKUP($A382,'The List'!$B1:$AS671,24,FALSE)," ")</f>
        <v xml:space="preserve"> </v>
      </c>
      <c r="R382" s="84" t="str" cm="1">
        <f t="array" ref="R382">IFERROR(VLOOKUP($A382,'The List'!$B1:$AS671,25,FALSE)," ")</f>
        <v xml:space="preserve"> </v>
      </c>
      <c r="S382" s="84" t="str" cm="1">
        <f t="array" ref="S382">IFERROR(VLOOKUP($A382,'The List'!$B1:$AS671,26,FALSE)," ")</f>
        <v xml:space="preserve"> </v>
      </c>
      <c r="T382" s="84" t="str" cm="1">
        <f t="array" ref="T382">IFERROR(VLOOKUP($A382,'The List'!$B1:$AS671,27,FALSE)," ")</f>
        <v xml:space="preserve"> </v>
      </c>
      <c r="U382" s="84" t="str" cm="1">
        <f t="array" ref="U382">IFERROR(VLOOKUP($A382,'The List'!$B1:$AS671,28,FALSE)," ")</f>
        <v xml:space="preserve"> </v>
      </c>
      <c r="V382" s="84" t="str" cm="1">
        <f t="array" ref="V382">IFERROR(VLOOKUP($A382,'The List'!$B1:$AS671,29,FALSE)," ")</f>
        <v xml:space="preserve"> </v>
      </c>
      <c r="W382" s="84" t="str" cm="1">
        <f t="array" ref="W382">IFERROR(VLOOKUP($A382,'The List'!$B1:$AS671,30,FALSE)," ")</f>
        <v xml:space="preserve"> </v>
      </c>
      <c r="X382" s="84" t="str" cm="1">
        <f t="array" ref="X382">IFERROR(VLOOKUP($A382,'The List'!$B1:$AS671,31,FALSE)," ")</f>
        <v xml:space="preserve"> </v>
      </c>
      <c r="Y382" s="84" t="str" cm="1">
        <f t="array" ref="Y382">IFERROR(VLOOKUP($A382,'The List'!$B1:$AS671,32,FALSE)," ")</f>
        <v xml:space="preserve"> </v>
      </c>
      <c r="Z382" s="84" t="str" cm="1">
        <f t="array" ref="Z382">IFERROR(VLOOKUP($A382,'The List'!$B1:$AS671,33,FALSE)," ")</f>
        <v xml:space="preserve"> </v>
      </c>
      <c r="AA382" s="85"/>
      <c r="AB382" s="90"/>
      <c r="AC382" s="90"/>
      <c r="AD382" s="90"/>
      <c r="AE382" s="90"/>
      <c r="AF382" s="90"/>
    </row>
    <row r="383" spans="1:32" ht="21.25" customHeight="1" x14ac:dyDescent="0.15">
      <c r="A383" s="24"/>
      <c r="B383" s="93" t="str" cm="1">
        <f t="array" ref="B383">IFERROR(VLOOKUP($A383,'The List'!$B1:$AS671,3,FALSE)," ")</f>
        <v xml:space="preserve"> </v>
      </c>
      <c r="C383" s="95" t="str" cm="1">
        <f t="array" ref="C383">IFERROR(VLOOKUP($A383,'The List'!$B1:$AS671,4,FALSE)," ")</f>
        <v xml:space="preserve"> </v>
      </c>
      <c r="D383" s="18" t="str" cm="1">
        <f t="array" ref="D383">IFERROR(VLOOKUP($A383,'The List'!$B1:$AS671,5,FALSE)," ")</f>
        <v xml:space="preserve"> </v>
      </c>
      <c r="E383" s="18" t="str" cm="1">
        <f t="array" ref="E383">IFERROR(VLOOKUP($A383,'The List'!$B1:$AS671,6,FALSE)," ")</f>
        <v xml:space="preserve"> </v>
      </c>
      <c r="F383" s="92" t="str" cm="1">
        <f t="array" ref="F383">IFERROR(VLOOKUP($A383,'The List'!$B1:$AS671,8,FALSE)," ")</f>
        <v xml:space="preserve"> </v>
      </c>
      <c r="G383" s="92" t="str" cm="1">
        <f t="array" ref="G383">IFERROR(VLOOKUP($A383,'The List'!$B1:$AS671,10,FALSE)," ")</f>
        <v xml:space="preserve"> </v>
      </c>
      <c r="H383" s="55"/>
      <c r="I383" s="84" t="str" cm="1">
        <f t="array" ref="I383">IFERROR(VLOOKUP($A383,'The List'!$B1:$AS671,16,FALSE)," ")</f>
        <v xml:space="preserve"> </v>
      </c>
      <c r="J383" s="84" t="str" cm="1">
        <f t="array" ref="J383">IFERROR(VLOOKUP($A383,'The List'!$B1:$AS671,17,FALSE)," ")</f>
        <v xml:space="preserve"> </v>
      </c>
      <c r="K383" s="84" t="str" cm="1">
        <f t="array" ref="K383">IFERROR(VLOOKUP($A383,'The List'!$B1:$AS671,18,FALSE)," ")</f>
        <v xml:space="preserve"> </v>
      </c>
      <c r="L383" s="84" t="str" cm="1">
        <f t="array" ref="L383">IFERROR(VLOOKUP($A383,'The List'!$B1:$AS671,19,FALSE)," ")</f>
        <v xml:space="preserve"> </v>
      </c>
      <c r="M383" s="84" t="str" cm="1">
        <f t="array" ref="M383">IFERROR(VLOOKUP($A383,'The List'!$B1:$AS671,20,FALSE)," ")</f>
        <v xml:space="preserve"> </v>
      </c>
      <c r="N383" s="84" t="str" cm="1">
        <f t="array" ref="N383">IFERROR(VLOOKUP($A383,'The List'!$B1:$AS671,21,FALSE)," ")</f>
        <v xml:space="preserve"> </v>
      </c>
      <c r="O383" s="84" t="str" cm="1">
        <f t="array" ref="O383">IFERROR(VLOOKUP($A383,'The List'!$B1:$AS671,22,FALSE)," ")</f>
        <v xml:space="preserve"> </v>
      </c>
      <c r="P383" s="84" t="str" cm="1">
        <f t="array" ref="P383">IFERROR(VLOOKUP($A383,'The List'!$B1:$AS671,23,FALSE)," ")</f>
        <v xml:space="preserve"> </v>
      </c>
      <c r="Q383" s="84" t="str" cm="1">
        <f t="array" ref="Q383">IFERROR(VLOOKUP($A383,'The List'!$B1:$AS671,24,FALSE)," ")</f>
        <v xml:space="preserve"> </v>
      </c>
      <c r="R383" s="84" t="str" cm="1">
        <f t="array" ref="R383">IFERROR(VLOOKUP($A383,'The List'!$B1:$AS671,25,FALSE)," ")</f>
        <v xml:space="preserve"> </v>
      </c>
      <c r="S383" s="84" t="str" cm="1">
        <f t="array" ref="S383">IFERROR(VLOOKUP($A383,'The List'!$B1:$AS671,26,FALSE)," ")</f>
        <v xml:space="preserve"> </v>
      </c>
      <c r="T383" s="84" t="str" cm="1">
        <f t="array" ref="T383">IFERROR(VLOOKUP($A383,'The List'!$B1:$AS671,27,FALSE)," ")</f>
        <v xml:space="preserve"> </v>
      </c>
      <c r="U383" s="84" t="str" cm="1">
        <f t="array" ref="U383">IFERROR(VLOOKUP($A383,'The List'!$B1:$AS671,28,FALSE)," ")</f>
        <v xml:space="preserve"> </v>
      </c>
      <c r="V383" s="84" t="str" cm="1">
        <f t="array" ref="V383">IFERROR(VLOOKUP($A383,'The List'!$B1:$AS671,29,FALSE)," ")</f>
        <v xml:space="preserve"> </v>
      </c>
      <c r="W383" s="84" t="str" cm="1">
        <f t="array" ref="W383">IFERROR(VLOOKUP($A383,'The List'!$B1:$AS671,30,FALSE)," ")</f>
        <v xml:space="preserve"> </v>
      </c>
      <c r="X383" s="84" t="str" cm="1">
        <f t="array" ref="X383">IFERROR(VLOOKUP($A383,'The List'!$B1:$AS671,31,FALSE)," ")</f>
        <v xml:space="preserve"> </v>
      </c>
      <c r="Y383" s="84" t="str" cm="1">
        <f t="array" ref="Y383">IFERROR(VLOOKUP($A383,'The List'!$B1:$AS671,32,FALSE)," ")</f>
        <v xml:space="preserve"> </v>
      </c>
      <c r="Z383" s="84" t="str" cm="1">
        <f t="array" ref="Z383">IFERROR(VLOOKUP($A383,'The List'!$B1:$AS671,33,FALSE)," ")</f>
        <v xml:space="preserve"> </v>
      </c>
      <c r="AA383" s="85"/>
      <c r="AB383" s="90"/>
      <c r="AC383" s="90"/>
      <c r="AD383" s="90"/>
      <c r="AE383" s="90"/>
      <c r="AF383" s="90"/>
    </row>
    <row r="384" spans="1:32" ht="21.25" customHeight="1" x14ac:dyDescent="0.15">
      <c r="A384" s="24"/>
      <c r="B384" s="93" t="str" cm="1">
        <f t="array" ref="B384">IFERROR(VLOOKUP($A384,'The List'!$B1:$AS671,3,FALSE)," ")</f>
        <v xml:space="preserve"> </v>
      </c>
      <c r="C384" s="95" t="str" cm="1">
        <f t="array" ref="C384">IFERROR(VLOOKUP($A384,'The List'!$B1:$AS671,4,FALSE)," ")</f>
        <v xml:space="preserve"> </v>
      </c>
      <c r="D384" s="18" t="str" cm="1">
        <f t="array" ref="D384">IFERROR(VLOOKUP($A384,'The List'!$B1:$AS671,5,FALSE)," ")</f>
        <v xml:space="preserve"> </v>
      </c>
      <c r="E384" s="18" t="str" cm="1">
        <f t="array" ref="E384">IFERROR(VLOOKUP($A384,'The List'!$B1:$AS671,6,FALSE)," ")</f>
        <v xml:space="preserve"> </v>
      </c>
      <c r="F384" s="92" t="str" cm="1">
        <f t="array" ref="F384">IFERROR(VLOOKUP($A384,'The List'!$B1:$AS671,8,FALSE)," ")</f>
        <v xml:space="preserve"> </v>
      </c>
      <c r="G384" s="92" t="str" cm="1">
        <f t="array" ref="G384">IFERROR(VLOOKUP($A384,'The List'!$B1:$AS671,10,FALSE)," ")</f>
        <v xml:space="preserve"> </v>
      </c>
      <c r="H384" s="55"/>
      <c r="I384" s="84" t="str" cm="1">
        <f t="array" ref="I384">IFERROR(VLOOKUP($A384,'The List'!$B1:$AS671,16,FALSE)," ")</f>
        <v xml:space="preserve"> </v>
      </c>
      <c r="J384" s="84" t="str" cm="1">
        <f t="array" ref="J384">IFERROR(VLOOKUP($A384,'The List'!$B1:$AS671,17,FALSE)," ")</f>
        <v xml:space="preserve"> </v>
      </c>
      <c r="K384" s="84" t="str" cm="1">
        <f t="array" ref="K384">IFERROR(VLOOKUP($A384,'The List'!$B1:$AS671,18,FALSE)," ")</f>
        <v xml:space="preserve"> </v>
      </c>
      <c r="L384" s="84" t="str" cm="1">
        <f t="array" ref="L384">IFERROR(VLOOKUP($A384,'The List'!$B1:$AS671,19,FALSE)," ")</f>
        <v xml:space="preserve"> </v>
      </c>
      <c r="M384" s="84" t="str" cm="1">
        <f t="array" ref="M384">IFERROR(VLOOKUP($A384,'The List'!$B1:$AS671,20,FALSE)," ")</f>
        <v xml:space="preserve"> </v>
      </c>
      <c r="N384" s="84" t="str" cm="1">
        <f t="array" ref="N384">IFERROR(VLOOKUP($A384,'The List'!$B1:$AS671,21,FALSE)," ")</f>
        <v xml:space="preserve"> </v>
      </c>
      <c r="O384" s="84" t="str" cm="1">
        <f t="array" ref="O384">IFERROR(VLOOKUP($A384,'The List'!$B1:$AS671,22,FALSE)," ")</f>
        <v xml:space="preserve"> </v>
      </c>
      <c r="P384" s="84" t="str" cm="1">
        <f t="array" ref="P384">IFERROR(VLOOKUP($A384,'The List'!$B1:$AS671,23,FALSE)," ")</f>
        <v xml:space="preserve"> </v>
      </c>
      <c r="Q384" s="84" t="str" cm="1">
        <f t="array" ref="Q384">IFERROR(VLOOKUP($A384,'The List'!$B1:$AS671,24,FALSE)," ")</f>
        <v xml:space="preserve"> </v>
      </c>
      <c r="R384" s="84" t="str" cm="1">
        <f t="array" ref="R384">IFERROR(VLOOKUP($A384,'The List'!$B1:$AS671,25,FALSE)," ")</f>
        <v xml:space="preserve"> </v>
      </c>
      <c r="S384" s="84" t="str" cm="1">
        <f t="array" ref="S384">IFERROR(VLOOKUP($A384,'The List'!$B1:$AS671,26,FALSE)," ")</f>
        <v xml:space="preserve"> </v>
      </c>
      <c r="T384" s="84" t="str" cm="1">
        <f t="array" ref="T384">IFERROR(VLOOKUP($A384,'The List'!$B1:$AS671,27,FALSE)," ")</f>
        <v xml:space="preserve"> </v>
      </c>
      <c r="U384" s="84" t="str" cm="1">
        <f t="array" ref="U384">IFERROR(VLOOKUP($A384,'The List'!$B1:$AS671,28,FALSE)," ")</f>
        <v xml:space="preserve"> </v>
      </c>
      <c r="V384" s="84" t="str" cm="1">
        <f t="array" ref="V384">IFERROR(VLOOKUP($A384,'The List'!$B1:$AS671,29,FALSE)," ")</f>
        <v xml:space="preserve"> </v>
      </c>
      <c r="W384" s="84" t="str" cm="1">
        <f t="array" ref="W384">IFERROR(VLOOKUP($A384,'The List'!$B1:$AS671,30,FALSE)," ")</f>
        <v xml:space="preserve"> </v>
      </c>
      <c r="X384" s="84" t="str" cm="1">
        <f t="array" ref="X384">IFERROR(VLOOKUP($A384,'The List'!$B1:$AS671,31,FALSE)," ")</f>
        <v xml:space="preserve"> </v>
      </c>
      <c r="Y384" s="84" t="str" cm="1">
        <f t="array" ref="Y384">IFERROR(VLOOKUP($A384,'The List'!$B1:$AS671,32,FALSE)," ")</f>
        <v xml:space="preserve"> </v>
      </c>
      <c r="Z384" s="84" t="str" cm="1">
        <f t="array" ref="Z384">IFERROR(VLOOKUP($A384,'The List'!$B1:$AS671,33,FALSE)," ")</f>
        <v xml:space="preserve"> </v>
      </c>
      <c r="AA384" s="85"/>
      <c r="AB384" s="90"/>
      <c r="AC384" s="90"/>
      <c r="AD384" s="90"/>
      <c r="AE384" s="90"/>
      <c r="AF384" s="90"/>
    </row>
    <row r="385" spans="1:32" ht="21.25" customHeight="1" x14ac:dyDescent="0.15">
      <c r="A385" s="24"/>
      <c r="B385" s="93" t="str" cm="1">
        <f t="array" ref="B385">IFERROR(VLOOKUP($A385,'The List'!$B1:$AS671,3,FALSE)," ")</f>
        <v xml:space="preserve"> </v>
      </c>
      <c r="C385" s="95" t="str" cm="1">
        <f t="array" ref="C385">IFERROR(VLOOKUP($A385,'The List'!$B1:$AS671,4,FALSE)," ")</f>
        <v xml:space="preserve"> </v>
      </c>
      <c r="D385" s="18" t="str" cm="1">
        <f t="array" ref="D385">IFERROR(VLOOKUP($A385,'The List'!$B1:$AS671,5,FALSE)," ")</f>
        <v xml:space="preserve"> </v>
      </c>
      <c r="E385" s="18" t="str" cm="1">
        <f t="array" ref="E385">IFERROR(VLOOKUP($A385,'The List'!$B1:$AS671,6,FALSE)," ")</f>
        <v xml:space="preserve"> </v>
      </c>
      <c r="F385" s="92" t="str" cm="1">
        <f t="array" ref="F385">IFERROR(VLOOKUP($A385,'The List'!$B1:$AS671,8,FALSE)," ")</f>
        <v xml:space="preserve"> </v>
      </c>
      <c r="G385" s="92" t="str" cm="1">
        <f t="array" ref="G385">IFERROR(VLOOKUP($A385,'The List'!$B1:$AS671,10,FALSE)," ")</f>
        <v xml:space="preserve"> </v>
      </c>
      <c r="H385" s="55"/>
      <c r="I385" s="84" t="str" cm="1">
        <f t="array" ref="I385">IFERROR(VLOOKUP($A385,'The List'!$B1:$AS671,16,FALSE)," ")</f>
        <v xml:space="preserve"> </v>
      </c>
      <c r="J385" s="84" t="str" cm="1">
        <f t="array" ref="J385">IFERROR(VLOOKUP($A385,'The List'!$B1:$AS671,17,FALSE)," ")</f>
        <v xml:space="preserve"> </v>
      </c>
      <c r="K385" s="84" t="str" cm="1">
        <f t="array" ref="K385">IFERROR(VLOOKUP($A385,'The List'!$B1:$AS671,18,FALSE)," ")</f>
        <v xml:space="preserve"> </v>
      </c>
      <c r="L385" s="84" t="str" cm="1">
        <f t="array" ref="L385">IFERROR(VLOOKUP($A385,'The List'!$B1:$AS671,19,FALSE)," ")</f>
        <v xml:space="preserve"> </v>
      </c>
      <c r="M385" s="84" t="str" cm="1">
        <f t="array" ref="M385">IFERROR(VLOOKUP($A385,'The List'!$B1:$AS671,20,FALSE)," ")</f>
        <v xml:space="preserve"> </v>
      </c>
      <c r="N385" s="84" t="str" cm="1">
        <f t="array" ref="N385">IFERROR(VLOOKUP($A385,'The List'!$B1:$AS671,21,FALSE)," ")</f>
        <v xml:space="preserve"> </v>
      </c>
      <c r="O385" s="84" t="str" cm="1">
        <f t="array" ref="O385">IFERROR(VLOOKUP($A385,'The List'!$B1:$AS671,22,FALSE)," ")</f>
        <v xml:space="preserve"> </v>
      </c>
      <c r="P385" s="84" t="str" cm="1">
        <f t="array" ref="P385">IFERROR(VLOOKUP($A385,'The List'!$B1:$AS671,23,FALSE)," ")</f>
        <v xml:space="preserve"> </v>
      </c>
      <c r="Q385" s="84" t="str" cm="1">
        <f t="array" ref="Q385">IFERROR(VLOOKUP($A385,'The List'!$B1:$AS671,24,FALSE)," ")</f>
        <v xml:space="preserve"> </v>
      </c>
      <c r="R385" s="84" t="str" cm="1">
        <f t="array" ref="R385">IFERROR(VLOOKUP($A385,'The List'!$B1:$AS671,25,FALSE)," ")</f>
        <v xml:space="preserve"> </v>
      </c>
      <c r="S385" s="84" t="str" cm="1">
        <f t="array" ref="S385">IFERROR(VLOOKUP($A385,'The List'!$B1:$AS671,26,FALSE)," ")</f>
        <v xml:space="preserve"> </v>
      </c>
      <c r="T385" s="84" t="str" cm="1">
        <f t="array" ref="T385">IFERROR(VLOOKUP($A385,'The List'!$B1:$AS671,27,FALSE)," ")</f>
        <v xml:space="preserve"> </v>
      </c>
      <c r="U385" s="84" t="str" cm="1">
        <f t="array" ref="U385">IFERROR(VLOOKUP($A385,'The List'!$B1:$AS671,28,FALSE)," ")</f>
        <v xml:space="preserve"> </v>
      </c>
      <c r="V385" s="84" t="str" cm="1">
        <f t="array" ref="V385">IFERROR(VLOOKUP($A385,'The List'!$B1:$AS671,29,FALSE)," ")</f>
        <v xml:space="preserve"> </v>
      </c>
      <c r="W385" s="84" t="str" cm="1">
        <f t="array" ref="W385">IFERROR(VLOOKUP($A385,'The List'!$B1:$AS671,30,FALSE)," ")</f>
        <v xml:space="preserve"> </v>
      </c>
      <c r="X385" s="84" t="str" cm="1">
        <f t="array" ref="X385">IFERROR(VLOOKUP($A385,'The List'!$B1:$AS671,31,FALSE)," ")</f>
        <v xml:space="preserve"> </v>
      </c>
      <c r="Y385" s="84" t="str" cm="1">
        <f t="array" ref="Y385">IFERROR(VLOOKUP($A385,'The List'!$B1:$AS671,32,FALSE)," ")</f>
        <v xml:space="preserve"> </v>
      </c>
      <c r="Z385" s="84" t="str" cm="1">
        <f t="array" ref="Z385">IFERROR(VLOOKUP($A385,'The List'!$B1:$AS671,33,FALSE)," ")</f>
        <v xml:space="preserve"> </v>
      </c>
      <c r="AA385" s="85"/>
      <c r="AB385" s="90"/>
      <c r="AC385" s="90"/>
      <c r="AD385" s="90"/>
      <c r="AE385" s="90"/>
      <c r="AF385" s="90"/>
    </row>
    <row r="386" spans="1:32" ht="21.25" customHeight="1" x14ac:dyDescent="0.15">
      <c r="A386" s="24"/>
      <c r="B386" s="93" t="str" cm="1">
        <f t="array" ref="B386">IFERROR(VLOOKUP($A386,'The List'!$B1:$AS671,3,FALSE)," ")</f>
        <v xml:space="preserve"> </v>
      </c>
      <c r="C386" s="95" t="str" cm="1">
        <f t="array" ref="C386">IFERROR(VLOOKUP($A386,'The List'!$B1:$AS671,4,FALSE)," ")</f>
        <v xml:space="preserve"> </v>
      </c>
      <c r="D386" s="18" t="str" cm="1">
        <f t="array" ref="D386">IFERROR(VLOOKUP($A386,'The List'!$B1:$AS671,5,FALSE)," ")</f>
        <v xml:space="preserve"> </v>
      </c>
      <c r="E386" s="18" t="str" cm="1">
        <f t="array" ref="E386">IFERROR(VLOOKUP($A386,'The List'!$B1:$AS671,6,FALSE)," ")</f>
        <v xml:space="preserve"> </v>
      </c>
      <c r="F386" s="92" t="str" cm="1">
        <f t="array" ref="F386">IFERROR(VLOOKUP($A386,'The List'!$B1:$AS671,8,FALSE)," ")</f>
        <v xml:space="preserve"> </v>
      </c>
      <c r="G386" s="92" t="str" cm="1">
        <f t="array" ref="G386">IFERROR(VLOOKUP($A386,'The List'!$B1:$AS671,10,FALSE)," ")</f>
        <v xml:space="preserve"> </v>
      </c>
      <c r="H386" s="55"/>
      <c r="I386" s="84" t="str" cm="1">
        <f t="array" ref="I386">IFERROR(VLOOKUP($A386,'The List'!$B1:$AS671,16,FALSE)," ")</f>
        <v xml:space="preserve"> </v>
      </c>
      <c r="J386" s="84" t="str" cm="1">
        <f t="array" ref="J386">IFERROR(VLOOKUP($A386,'The List'!$B1:$AS671,17,FALSE)," ")</f>
        <v xml:space="preserve"> </v>
      </c>
      <c r="K386" s="84" t="str" cm="1">
        <f t="array" ref="K386">IFERROR(VLOOKUP($A386,'The List'!$B1:$AS671,18,FALSE)," ")</f>
        <v xml:space="preserve"> </v>
      </c>
      <c r="L386" s="84" t="str" cm="1">
        <f t="array" ref="L386">IFERROR(VLOOKUP($A386,'The List'!$B1:$AS671,19,FALSE)," ")</f>
        <v xml:space="preserve"> </v>
      </c>
      <c r="M386" s="84" t="str" cm="1">
        <f t="array" ref="M386">IFERROR(VLOOKUP($A386,'The List'!$B1:$AS671,20,FALSE)," ")</f>
        <v xml:space="preserve"> </v>
      </c>
      <c r="N386" s="84" t="str" cm="1">
        <f t="array" ref="N386">IFERROR(VLOOKUP($A386,'The List'!$B1:$AS671,21,FALSE)," ")</f>
        <v xml:space="preserve"> </v>
      </c>
      <c r="O386" s="84" t="str" cm="1">
        <f t="array" ref="O386">IFERROR(VLOOKUP($A386,'The List'!$B1:$AS671,22,FALSE)," ")</f>
        <v xml:space="preserve"> </v>
      </c>
      <c r="P386" s="84" t="str" cm="1">
        <f t="array" ref="P386">IFERROR(VLOOKUP($A386,'The List'!$B1:$AS671,23,FALSE)," ")</f>
        <v xml:space="preserve"> </v>
      </c>
      <c r="Q386" s="84" t="str" cm="1">
        <f t="array" ref="Q386">IFERROR(VLOOKUP($A386,'The List'!$B1:$AS671,24,FALSE)," ")</f>
        <v xml:space="preserve"> </v>
      </c>
      <c r="R386" s="84" t="str" cm="1">
        <f t="array" ref="R386">IFERROR(VLOOKUP($A386,'The List'!$B1:$AS671,25,FALSE)," ")</f>
        <v xml:space="preserve"> </v>
      </c>
      <c r="S386" s="84" t="str" cm="1">
        <f t="array" ref="S386">IFERROR(VLOOKUP($A386,'The List'!$B1:$AS671,26,FALSE)," ")</f>
        <v xml:space="preserve"> </v>
      </c>
      <c r="T386" s="84" t="str" cm="1">
        <f t="array" ref="T386">IFERROR(VLOOKUP($A386,'The List'!$B1:$AS671,27,FALSE)," ")</f>
        <v xml:space="preserve"> </v>
      </c>
      <c r="U386" s="84" t="str" cm="1">
        <f t="array" ref="U386">IFERROR(VLOOKUP($A386,'The List'!$B1:$AS671,28,FALSE)," ")</f>
        <v xml:space="preserve"> </v>
      </c>
      <c r="V386" s="84" t="str" cm="1">
        <f t="array" ref="V386">IFERROR(VLOOKUP($A386,'The List'!$B1:$AS671,29,FALSE)," ")</f>
        <v xml:space="preserve"> </v>
      </c>
      <c r="W386" s="84" t="str" cm="1">
        <f t="array" ref="W386">IFERROR(VLOOKUP($A386,'The List'!$B1:$AS671,30,FALSE)," ")</f>
        <v xml:space="preserve"> </v>
      </c>
      <c r="X386" s="84" t="str" cm="1">
        <f t="array" ref="X386">IFERROR(VLOOKUP($A386,'The List'!$B1:$AS671,31,FALSE)," ")</f>
        <v xml:space="preserve"> </v>
      </c>
      <c r="Y386" s="84" t="str" cm="1">
        <f t="array" ref="Y386">IFERROR(VLOOKUP($A386,'The List'!$B1:$AS671,32,FALSE)," ")</f>
        <v xml:space="preserve"> </v>
      </c>
      <c r="Z386" s="84" t="str" cm="1">
        <f t="array" ref="Z386">IFERROR(VLOOKUP($A386,'The List'!$B1:$AS671,33,FALSE)," ")</f>
        <v xml:space="preserve"> </v>
      </c>
      <c r="AA386" s="85"/>
      <c r="AB386" s="90"/>
      <c r="AC386" s="90"/>
      <c r="AD386" s="90"/>
      <c r="AE386" s="90"/>
      <c r="AF386" s="90"/>
    </row>
    <row r="387" spans="1:32" ht="21.25" customHeight="1" x14ac:dyDescent="0.15">
      <c r="A387" s="24"/>
      <c r="B387" s="96" t="str" cm="1">
        <f t="array" ref="B387">IFERROR(VLOOKUP($A387,'The List'!$B1:$AS671,3,FALSE)," ")</f>
        <v xml:space="preserve"> </v>
      </c>
      <c r="C387" s="98" t="str" cm="1">
        <f t="array" ref="C387">IFERROR(VLOOKUP($A387,'The List'!$B1:$AS671,4,FALSE)," ")</f>
        <v xml:space="preserve"> </v>
      </c>
      <c r="D387" s="18" t="str" cm="1">
        <f t="array" ref="D387">IFERROR(VLOOKUP($A387,'The List'!$B1:$AS671,5,FALSE)," ")</f>
        <v xml:space="preserve"> </v>
      </c>
      <c r="E387" s="18" t="str" cm="1">
        <f t="array" ref="E387">IFERROR(VLOOKUP($A387,'The List'!$B1:$AS671,6,FALSE)," ")</f>
        <v xml:space="preserve"> </v>
      </c>
      <c r="F387" s="92" t="str" cm="1">
        <f t="array" ref="F387">IFERROR(VLOOKUP($A387,'The List'!$B1:$AS671,8,FALSE)," ")</f>
        <v xml:space="preserve"> </v>
      </c>
      <c r="G387" s="92" t="str" cm="1">
        <f t="array" ref="G387">IFERROR(VLOOKUP($A387,'The List'!$B1:$AS671,10,FALSE)," ")</f>
        <v xml:space="preserve"> </v>
      </c>
      <c r="H387" s="55"/>
      <c r="I387" s="84" t="str" cm="1">
        <f t="array" ref="I387">IFERROR(VLOOKUP($A387,'The List'!$B1:$AS671,16,FALSE)," ")</f>
        <v xml:space="preserve"> </v>
      </c>
      <c r="J387" s="84" t="str" cm="1">
        <f t="array" ref="J387">IFERROR(VLOOKUP($A387,'The List'!$B1:$AS671,17,FALSE)," ")</f>
        <v xml:space="preserve"> </v>
      </c>
      <c r="K387" s="84" t="str" cm="1">
        <f t="array" ref="K387">IFERROR(VLOOKUP($A387,'The List'!$B1:$AS671,18,FALSE)," ")</f>
        <v xml:space="preserve"> </v>
      </c>
      <c r="L387" s="84" t="str" cm="1">
        <f t="array" ref="L387">IFERROR(VLOOKUP($A387,'The List'!$B1:$AS671,19,FALSE)," ")</f>
        <v xml:space="preserve"> </v>
      </c>
      <c r="M387" s="84" t="str" cm="1">
        <f t="array" ref="M387">IFERROR(VLOOKUP($A387,'The List'!$B1:$AS671,20,FALSE)," ")</f>
        <v xml:space="preserve"> </v>
      </c>
      <c r="N387" s="84" t="str" cm="1">
        <f t="array" ref="N387">IFERROR(VLOOKUP($A387,'The List'!$B1:$AS671,21,FALSE)," ")</f>
        <v xml:space="preserve"> </v>
      </c>
      <c r="O387" s="84" t="str" cm="1">
        <f t="array" ref="O387">IFERROR(VLOOKUP($A387,'The List'!$B1:$AS671,22,FALSE)," ")</f>
        <v xml:space="preserve"> </v>
      </c>
      <c r="P387" s="84" t="str" cm="1">
        <f t="array" ref="P387">IFERROR(VLOOKUP($A387,'The List'!$B1:$AS671,23,FALSE)," ")</f>
        <v xml:space="preserve"> </v>
      </c>
      <c r="Q387" s="84" t="str" cm="1">
        <f t="array" ref="Q387">IFERROR(VLOOKUP($A387,'The List'!$B1:$AS671,24,FALSE)," ")</f>
        <v xml:space="preserve"> </v>
      </c>
      <c r="R387" s="84" t="str" cm="1">
        <f t="array" ref="R387">IFERROR(VLOOKUP($A387,'The List'!$B1:$AS671,25,FALSE)," ")</f>
        <v xml:space="preserve"> </v>
      </c>
      <c r="S387" s="84" t="str" cm="1">
        <f t="array" ref="S387">IFERROR(VLOOKUP($A387,'The List'!$B1:$AS671,26,FALSE)," ")</f>
        <v xml:space="preserve"> </v>
      </c>
      <c r="T387" s="84" t="str" cm="1">
        <f t="array" ref="T387">IFERROR(VLOOKUP($A387,'The List'!$B1:$AS671,27,FALSE)," ")</f>
        <v xml:space="preserve"> </v>
      </c>
      <c r="U387" s="84" t="str" cm="1">
        <f t="array" ref="U387">IFERROR(VLOOKUP($A387,'The List'!$B1:$AS671,28,FALSE)," ")</f>
        <v xml:space="preserve"> </v>
      </c>
      <c r="V387" s="84" t="str" cm="1">
        <f t="array" ref="V387">IFERROR(VLOOKUP($A387,'The List'!$B1:$AS671,29,FALSE)," ")</f>
        <v xml:space="preserve"> </v>
      </c>
      <c r="W387" s="84" t="str" cm="1">
        <f t="array" ref="W387">IFERROR(VLOOKUP($A387,'The List'!$B1:$AS671,30,FALSE)," ")</f>
        <v xml:space="preserve"> </v>
      </c>
      <c r="X387" s="84" t="str" cm="1">
        <f t="array" ref="X387">IFERROR(VLOOKUP($A387,'The List'!$B1:$AS671,31,FALSE)," ")</f>
        <v xml:space="preserve"> </v>
      </c>
      <c r="Y387" s="84" t="str" cm="1">
        <f t="array" ref="Y387">IFERROR(VLOOKUP($A387,'The List'!$B1:$AS671,32,FALSE)," ")</f>
        <v xml:space="preserve"> </v>
      </c>
      <c r="Z387" s="84" t="str" cm="1">
        <f t="array" ref="Z387">IFERROR(VLOOKUP($A387,'The List'!$B1:$AS671,33,FALSE)," ")</f>
        <v xml:space="preserve"> </v>
      </c>
      <c r="AA387" s="85"/>
      <c r="AB387" s="90"/>
      <c r="AC387" s="90"/>
      <c r="AD387" s="90"/>
      <c r="AE387" s="90"/>
      <c r="AF387" s="90"/>
    </row>
    <row r="388" spans="1:32" ht="21.25" customHeight="1" x14ac:dyDescent="0.15">
      <c r="A388" s="24"/>
      <c r="B388" s="96" t="str" cm="1">
        <f t="array" ref="B388">IFERROR(VLOOKUP($A388,'The List'!$B1:$AS671,3,FALSE)," ")</f>
        <v xml:space="preserve"> </v>
      </c>
      <c r="C388" s="98" t="str" cm="1">
        <f t="array" ref="C388">IFERROR(VLOOKUP($A388,'The List'!$B1:$AS671,4,FALSE)," ")</f>
        <v xml:space="preserve"> </v>
      </c>
      <c r="D388" s="18" t="str" cm="1">
        <f t="array" ref="D388">IFERROR(VLOOKUP($A388,'The List'!$B1:$AS671,5,FALSE)," ")</f>
        <v xml:space="preserve"> </v>
      </c>
      <c r="E388" s="18" t="str" cm="1">
        <f t="array" ref="E388">IFERROR(VLOOKUP($A388,'The List'!$B1:$AS671,6,FALSE)," ")</f>
        <v xml:space="preserve"> </v>
      </c>
      <c r="F388" s="92" t="str" cm="1">
        <f t="array" ref="F388">IFERROR(VLOOKUP($A388,'The List'!$B1:$AS671,8,FALSE)," ")</f>
        <v xml:space="preserve"> </v>
      </c>
      <c r="G388" s="92" t="str" cm="1">
        <f t="array" ref="G388">IFERROR(VLOOKUP($A388,'The List'!$B1:$AS671,10,FALSE)," ")</f>
        <v xml:space="preserve"> </v>
      </c>
      <c r="H388" s="55"/>
      <c r="I388" s="84" t="str" cm="1">
        <f t="array" ref="I388">IFERROR(VLOOKUP($A388,'The List'!$B1:$AS671,16,FALSE)," ")</f>
        <v xml:space="preserve"> </v>
      </c>
      <c r="J388" s="84" t="str" cm="1">
        <f t="array" ref="J388">IFERROR(VLOOKUP($A388,'The List'!$B1:$AS671,17,FALSE)," ")</f>
        <v xml:space="preserve"> </v>
      </c>
      <c r="K388" s="84" t="str" cm="1">
        <f t="array" ref="K388">IFERROR(VLOOKUP($A388,'The List'!$B1:$AS671,18,FALSE)," ")</f>
        <v xml:space="preserve"> </v>
      </c>
      <c r="L388" s="84" t="str" cm="1">
        <f t="array" ref="L388">IFERROR(VLOOKUP($A388,'The List'!$B1:$AS671,19,FALSE)," ")</f>
        <v xml:space="preserve"> </v>
      </c>
      <c r="M388" s="84" t="str" cm="1">
        <f t="array" ref="M388">IFERROR(VLOOKUP($A388,'The List'!$B1:$AS671,20,FALSE)," ")</f>
        <v xml:space="preserve"> </v>
      </c>
      <c r="N388" s="84" t="str" cm="1">
        <f t="array" ref="N388">IFERROR(VLOOKUP($A388,'The List'!$B1:$AS671,21,FALSE)," ")</f>
        <v xml:space="preserve"> </v>
      </c>
      <c r="O388" s="84" t="str" cm="1">
        <f t="array" ref="O388">IFERROR(VLOOKUP($A388,'The List'!$B1:$AS671,22,FALSE)," ")</f>
        <v xml:space="preserve"> </v>
      </c>
      <c r="P388" s="84" t="str" cm="1">
        <f t="array" ref="P388">IFERROR(VLOOKUP($A388,'The List'!$B1:$AS671,23,FALSE)," ")</f>
        <v xml:space="preserve"> </v>
      </c>
      <c r="Q388" s="84" t="str" cm="1">
        <f t="array" ref="Q388">IFERROR(VLOOKUP($A388,'The List'!$B1:$AS671,24,FALSE)," ")</f>
        <v xml:space="preserve"> </v>
      </c>
      <c r="R388" s="84" t="str" cm="1">
        <f t="array" ref="R388">IFERROR(VLOOKUP($A388,'The List'!$B1:$AS671,25,FALSE)," ")</f>
        <v xml:space="preserve"> </v>
      </c>
      <c r="S388" s="84" t="str" cm="1">
        <f t="array" ref="S388">IFERROR(VLOOKUP($A388,'The List'!$B1:$AS671,26,FALSE)," ")</f>
        <v xml:space="preserve"> </v>
      </c>
      <c r="T388" s="84" t="str" cm="1">
        <f t="array" ref="T388">IFERROR(VLOOKUP($A388,'The List'!$B1:$AS671,27,FALSE)," ")</f>
        <v xml:space="preserve"> </v>
      </c>
      <c r="U388" s="84" t="str" cm="1">
        <f t="array" ref="U388">IFERROR(VLOOKUP($A388,'The List'!$B1:$AS671,28,FALSE)," ")</f>
        <v xml:space="preserve"> </v>
      </c>
      <c r="V388" s="84" t="str" cm="1">
        <f t="array" ref="V388">IFERROR(VLOOKUP($A388,'The List'!$B1:$AS671,29,FALSE)," ")</f>
        <v xml:space="preserve"> </v>
      </c>
      <c r="W388" s="84" t="str" cm="1">
        <f t="array" ref="W388">IFERROR(VLOOKUP($A388,'The List'!$B1:$AS671,30,FALSE)," ")</f>
        <v xml:space="preserve"> </v>
      </c>
      <c r="X388" s="84" t="str" cm="1">
        <f t="array" ref="X388">IFERROR(VLOOKUP($A388,'The List'!$B1:$AS671,31,FALSE)," ")</f>
        <v xml:space="preserve"> </v>
      </c>
      <c r="Y388" s="84" t="str" cm="1">
        <f t="array" ref="Y388">IFERROR(VLOOKUP($A388,'The List'!$B1:$AS671,32,FALSE)," ")</f>
        <v xml:space="preserve"> </v>
      </c>
      <c r="Z388" s="84" t="str" cm="1">
        <f t="array" ref="Z388">IFERROR(VLOOKUP($A388,'The List'!$B1:$AS671,33,FALSE)," ")</f>
        <v xml:space="preserve"> </v>
      </c>
      <c r="AA388" s="85"/>
      <c r="AB388" s="90"/>
      <c r="AC388" s="90"/>
      <c r="AD388" s="90"/>
      <c r="AE388" s="90"/>
      <c r="AF388" s="90"/>
    </row>
    <row r="389" spans="1:32" ht="21.25" customHeight="1" x14ac:dyDescent="0.15">
      <c r="A389" s="24"/>
      <c r="B389" s="96" t="str" cm="1">
        <f t="array" ref="B389">IFERROR(VLOOKUP($A389,'The List'!$B1:$AS671,3,FALSE)," ")</f>
        <v xml:space="preserve"> </v>
      </c>
      <c r="C389" s="98" t="str" cm="1">
        <f t="array" ref="C389">IFERROR(VLOOKUP($A389,'The List'!$B1:$AS671,4,FALSE)," ")</f>
        <v xml:space="preserve"> </v>
      </c>
      <c r="D389" s="18" t="str" cm="1">
        <f t="array" ref="D389">IFERROR(VLOOKUP($A389,'The List'!$B1:$AS671,5,FALSE)," ")</f>
        <v xml:space="preserve"> </v>
      </c>
      <c r="E389" s="18" t="str" cm="1">
        <f t="array" ref="E389">IFERROR(VLOOKUP($A389,'The List'!$B1:$AS671,6,FALSE)," ")</f>
        <v xml:space="preserve"> </v>
      </c>
      <c r="F389" s="92" t="str" cm="1">
        <f t="array" ref="F389">IFERROR(VLOOKUP($A389,'The List'!$B1:$AS671,8,FALSE)," ")</f>
        <v xml:space="preserve"> </v>
      </c>
      <c r="G389" s="92" t="str" cm="1">
        <f t="array" ref="G389">IFERROR(VLOOKUP($A389,'The List'!$B1:$AS671,10,FALSE)," ")</f>
        <v xml:space="preserve"> </v>
      </c>
      <c r="H389" s="55"/>
      <c r="I389" s="84" t="str" cm="1">
        <f t="array" ref="I389">IFERROR(VLOOKUP($A389,'The List'!$B1:$AS671,16,FALSE)," ")</f>
        <v xml:space="preserve"> </v>
      </c>
      <c r="J389" s="84" t="str" cm="1">
        <f t="array" ref="J389">IFERROR(VLOOKUP($A389,'The List'!$B1:$AS671,17,FALSE)," ")</f>
        <v xml:space="preserve"> </v>
      </c>
      <c r="K389" s="84" t="str" cm="1">
        <f t="array" ref="K389">IFERROR(VLOOKUP($A389,'The List'!$B1:$AS671,18,FALSE)," ")</f>
        <v xml:space="preserve"> </v>
      </c>
      <c r="L389" s="84" t="str" cm="1">
        <f t="array" ref="L389">IFERROR(VLOOKUP($A389,'The List'!$B1:$AS671,19,FALSE)," ")</f>
        <v xml:space="preserve"> </v>
      </c>
      <c r="M389" s="84" t="str" cm="1">
        <f t="array" ref="M389">IFERROR(VLOOKUP($A389,'The List'!$B1:$AS671,20,FALSE)," ")</f>
        <v xml:space="preserve"> </v>
      </c>
      <c r="N389" s="84" t="str" cm="1">
        <f t="array" ref="N389">IFERROR(VLOOKUP($A389,'The List'!$B1:$AS671,21,FALSE)," ")</f>
        <v xml:space="preserve"> </v>
      </c>
      <c r="O389" s="84" t="str" cm="1">
        <f t="array" ref="O389">IFERROR(VLOOKUP($A389,'The List'!$B1:$AS671,22,FALSE)," ")</f>
        <v xml:space="preserve"> </v>
      </c>
      <c r="P389" s="84" t="str" cm="1">
        <f t="array" ref="P389">IFERROR(VLOOKUP($A389,'The List'!$B1:$AS671,23,FALSE)," ")</f>
        <v xml:space="preserve"> </v>
      </c>
      <c r="Q389" s="84" t="str" cm="1">
        <f t="array" ref="Q389">IFERROR(VLOOKUP($A389,'The List'!$B1:$AS671,24,FALSE)," ")</f>
        <v xml:space="preserve"> </v>
      </c>
      <c r="R389" s="84" t="str" cm="1">
        <f t="array" ref="R389">IFERROR(VLOOKUP($A389,'The List'!$B1:$AS671,25,FALSE)," ")</f>
        <v xml:space="preserve"> </v>
      </c>
      <c r="S389" s="84" t="str" cm="1">
        <f t="array" ref="S389">IFERROR(VLOOKUP($A389,'The List'!$B1:$AS671,26,FALSE)," ")</f>
        <v xml:space="preserve"> </v>
      </c>
      <c r="T389" s="84" t="str" cm="1">
        <f t="array" ref="T389">IFERROR(VLOOKUP($A389,'The List'!$B1:$AS671,27,FALSE)," ")</f>
        <v xml:space="preserve"> </v>
      </c>
      <c r="U389" s="84" t="str" cm="1">
        <f t="array" ref="U389">IFERROR(VLOOKUP($A389,'The List'!$B1:$AS671,28,FALSE)," ")</f>
        <v xml:space="preserve"> </v>
      </c>
      <c r="V389" s="84" t="str" cm="1">
        <f t="array" ref="V389">IFERROR(VLOOKUP($A389,'The List'!$B1:$AS671,29,FALSE)," ")</f>
        <v xml:space="preserve"> </v>
      </c>
      <c r="W389" s="84" t="str" cm="1">
        <f t="array" ref="W389">IFERROR(VLOOKUP($A389,'The List'!$B1:$AS671,30,FALSE)," ")</f>
        <v xml:space="preserve"> </v>
      </c>
      <c r="X389" s="84" t="str" cm="1">
        <f t="array" ref="X389">IFERROR(VLOOKUP($A389,'The List'!$B1:$AS671,31,FALSE)," ")</f>
        <v xml:space="preserve"> </v>
      </c>
      <c r="Y389" s="84" t="str" cm="1">
        <f t="array" ref="Y389">IFERROR(VLOOKUP($A389,'The List'!$B1:$AS671,32,FALSE)," ")</f>
        <v xml:space="preserve"> </v>
      </c>
      <c r="Z389" s="84" t="str" cm="1">
        <f t="array" ref="Z389">IFERROR(VLOOKUP($A389,'The List'!$B1:$AS671,33,FALSE)," ")</f>
        <v xml:space="preserve"> </v>
      </c>
      <c r="AA389" s="85"/>
      <c r="AB389" s="90"/>
      <c r="AC389" s="90"/>
      <c r="AD389" s="90"/>
      <c r="AE389" s="90"/>
      <c r="AF389" s="90"/>
    </row>
    <row r="390" spans="1:32" ht="21.25" customHeight="1" x14ac:dyDescent="0.15">
      <c r="A390" s="24"/>
      <c r="B390" s="96" t="str" cm="1">
        <f t="array" ref="B390">IFERROR(VLOOKUP($A390,'The List'!$B1:$AS671,3,FALSE)," ")</f>
        <v xml:space="preserve"> </v>
      </c>
      <c r="C390" s="98" t="str" cm="1">
        <f t="array" ref="C390">IFERROR(VLOOKUP($A390,'The List'!$B1:$AS671,4,FALSE)," ")</f>
        <v xml:space="preserve"> </v>
      </c>
      <c r="D390" s="18" t="str" cm="1">
        <f t="array" ref="D390">IFERROR(VLOOKUP($A390,'The List'!$B1:$AS671,5,FALSE)," ")</f>
        <v xml:space="preserve"> </v>
      </c>
      <c r="E390" s="18" t="str" cm="1">
        <f t="array" ref="E390">IFERROR(VLOOKUP($A390,'The List'!$B1:$AS671,6,FALSE)," ")</f>
        <v xml:space="preserve"> </v>
      </c>
      <c r="F390" s="92" t="str" cm="1">
        <f t="array" ref="F390">IFERROR(VLOOKUP($A390,'The List'!$B1:$AS671,8,FALSE)," ")</f>
        <v xml:space="preserve"> </v>
      </c>
      <c r="G390" s="92" t="str" cm="1">
        <f t="array" ref="G390">IFERROR(VLOOKUP($A390,'The List'!$B1:$AS671,10,FALSE)," ")</f>
        <v xml:space="preserve"> </v>
      </c>
      <c r="H390" s="55"/>
      <c r="I390" s="84" t="str" cm="1">
        <f t="array" ref="I390">IFERROR(VLOOKUP($A390,'The List'!$B1:$AS671,16,FALSE)," ")</f>
        <v xml:space="preserve"> </v>
      </c>
      <c r="J390" s="84" t="str" cm="1">
        <f t="array" ref="J390">IFERROR(VLOOKUP($A390,'The List'!$B1:$AS671,17,FALSE)," ")</f>
        <v xml:space="preserve"> </v>
      </c>
      <c r="K390" s="84" t="str" cm="1">
        <f t="array" ref="K390">IFERROR(VLOOKUP($A390,'The List'!$B1:$AS671,18,FALSE)," ")</f>
        <v xml:space="preserve"> </v>
      </c>
      <c r="L390" s="84" t="str" cm="1">
        <f t="array" ref="L390">IFERROR(VLOOKUP($A390,'The List'!$B1:$AS671,19,FALSE)," ")</f>
        <v xml:space="preserve"> </v>
      </c>
      <c r="M390" s="84" t="str" cm="1">
        <f t="array" ref="M390">IFERROR(VLOOKUP($A390,'The List'!$B1:$AS671,20,FALSE)," ")</f>
        <v xml:space="preserve"> </v>
      </c>
      <c r="N390" s="84" t="str" cm="1">
        <f t="array" ref="N390">IFERROR(VLOOKUP($A390,'The List'!$B1:$AS671,21,FALSE)," ")</f>
        <v xml:space="preserve"> </v>
      </c>
      <c r="O390" s="84" t="str" cm="1">
        <f t="array" ref="O390">IFERROR(VLOOKUP($A390,'The List'!$B1:$AS671,22,FALSE)," ")</f>
        <v xml:space="preserve"> </v>
      </c>
      <c r="P390" s="84" t="str" cm="1">
        <f t="array" ref="P390">IFERROR(VLOOKUP($A390,'The List'!$B1:$AS671,23,FALSE)," ")</f>
        <v xml:space="preserve"> </v>
      </c>
      <c r="Q390" s="84" t="str" cm="1">
        <f t="array" ref="Q390">IFERROR(VLOOKUP($A390,'The List'!$B1:$AS671,24,FALSE)," ")</f>
        <v xml:space="preserve"> </v>
      </c>
      <c r="R390" s="84" t="str" cm="1">
        <f t="array" ref="R390">IFERROR(VLOOKUP($A390,'The List'!$B1:$AS671,25,FALSE)," ")</f>
        <v xml:space="preserve"> </v>
      </c>
      <c r="S390" s="84" t="str" cm="1">
        <f t="array" ref="S390">IFERROR(VLOOKUP($A390,'The List'!$B1:$AS671,26,FALSE)," ")</f>
        <v xml:space="preserve"> </v>
      </c>
      <c r="T390" s="84" t="str" cm="1">
        <f t="array" ref="T390">IFERROR(VLOOKUP($A390,'The List'!$B1:$AS671,27,FALSE)," ")</f>
        <v xml:space="preserve"> </v>
      </c>
      <c r="U390" s="84" t="str" cm="1">
        <f t="array" ref="U390">IFERROR(VLOOKUP($A390,'The List'!$B1:$AS671,28,FALSE)," ")</f>
        <v xml:space="preserve"> </v>
      </c>
      <c r="V390" s="84" t="str" cm="1">
        <f t="array" ref="V390">IFERROR(VLOOKUP($A390,'The List'!$B1:$AS671,29,FALSE)," ")</f>
        <v xml:space="preserve"> </v>
      </c>
      <c r="W390" s="84" t="str" cm="1">
        <f t="array" ref="W390">IFERROR(VLOOKUP($A390,'The List'!$B1:$AS671,30,FALSE)," ")</f>
        <v xml:space="preserve"> </v>
      </c>
      <c r="X390" s="84" t="str" cm="1">
        <f t="array" ref="X390">IFERROR(VLOOKUP($A390,'The List'!$B1:$AS671,31,FALSE)," ")</f>
        <v xml:space="preserve"> </v>
      </c>
      <c r="Y390" s="84" t="str" cm="1">
        <f t="array" ref="Y390">IFERROR(VLOOKUP($A390,'The List'!$B1:$AS671,32,FALSE)," ")</f>
        <v xml:space="preserve"> </v>
      </c>
      <c r="Z390" s="84" t="str" cm="1">
        <f t="array" ref="Z390">IFERROR(VLOOKUP($A390,'The List'!$B1:$AS671,33,FALSE)," ")</f>
        <v xml:space="preserve"> </v>
      </c>
      <c r="AA390" s="85"/>
      <c r="AB390" s="90"/>
      <c r="AC390" s="90"/>
      <c r="AD390" s="90"/>
      <c r="AE390" s="90"/>
      <c r="AF390" s="90"/>
    </row>
    <row r="391" spans="1:32" ht="21.25" customHeight="1" x14ac:dyDescent="0.15">
      <c r="A391" s="24"/>
      <c r="B391" s="99" t="str" cm="1">
        <f t="array" ref="B391">IFERROR(VLOOKUP($A391,'The List'!$B1:$AS671,3,FALSE)," ")</f>
        <v xml:space="preserve"> </v>
      </c>
      <c r="C391" s="101" t="str" cm="1">
        <f t="array" ref="C391">IFERROR(VLOOKUP($A391,'The List'!$B1:$AS671,4,FALSE)," ")</f>
        <v xml:space="preserve"> </v>
      </c>
      <c r="D391" s="18" t="str" cm="1">
        <f t="array" ref="D391">IFERROR(VLOOKUP($A391,'The List'!$B1:$AS671,5,FALSE)," ")</f>
        <v xml:space="preserve"> </v>
      </c>
      <c r="E391" s="18" t="str" cm="1">
        <f t="array" ref="E391">IFERROR(VLOOKUP($A391,'The List'!$B1:$AS671,6,FALSE)," ")</f>
        <v xml:space="preserve"> </v>
      </c>
      <c r="F391" s="92" t="str" cm="1">
        <f t="array" ref="F391">IFERROR(VLOOKUP($A391,'The List'!$B1:$AS671,8,FALSE)," ")</f>
        <v xml:space="preserve"> </v>
      </c>
      <c r="G391" s="92" t="str" cm="1">
        <f t="array" ref="G391">IFERROR(VLOOKUP($A391,'The List'!$B1:$AS671,10,FALSE)," ")</f>
        <v xml:space="preserve"> </v>
      </c>
      <c r="H391" s="55"/>
      <c r="I391" s="84" t="str" cm="1">
        <f t="array" ref="I391">IFERROR(VLOOKUP($A391,'The List'!$B1:$AS671,16,FALSE)," ")</f>
        <v xml:space="preserve"> </v>
      </c>
      <c r="J391" s="84" t="str" cm="1">
        <f t="array" ref="J391">IFERROR(VLOOKUP($A391,'The List'!$B1:$AS671,17,FALSE)," ")</f>
        <v xml:space="preserve"> </v>
      </c>
      <c r="K391" s="84" t="str" cm="1">
        <f t="array" ref="K391">IFERROR(VLOOKUP($A391,'The List'!$B1:$AS671,18,FALSE)," ")</f>
        <v xml:space="preserve"> </v>
      </c>
      <c r="L391" s="84" t="str" cm="1">
        <f t="array" ref="L391">IFERROR(VLOOKUP($A391,'The List'!$B1:$AS671,19,FALSE)," ")</f>
        <v xml:space="preserve"> </v>
      </c>
      <c r="M391" s="84" t="str" cm="1">
        <f t="array" ref="M391">IFERROR(VLOOKUP($A391,'The List'!$B1:$AS671,20,FALSE)," ")</f>
        <v xml:space="preserve"> </v>
      </c>
      <c r="N391" s="84" t="str" cm="1">
        <f t="array" ref="N391">IFERROR(VLOOKUP($A391,'The List'!$B1:$AS671,21,FALSE)," ")</f>
        <v xml:space="preserve"> </v>
      </c>
      <c r="O391" s="84" t="str" cm="1">
        <f t="array" ref="O391">IFERROR(VLOOKUP($A391,'The List'!$B1:$AS671,22,FALSE)," ")</f>
        <v xml:space="preserve"> </v>
      </c>
      <c r="P391" s="84" t="str" cm="1">
        <f t="array" ref="P391">IFERROR(VLOOKUP($A391,'The List'!$B1:$AS671,23,FALSE)," ")</f>
        <v xml:space="preserve"> </v>
      </c>
      <c r="Q391" s="84" t="str" cm="1">
        <f t="array" ref="Q391">IFERROR(VLOOKUP($A391,'The List'!$B1:$AS671,24,FALSE)," ")</f>
        <v xml:space="preserve"> </v>
      </c>
      <c r="R391" s="84" t="str" cm="1">
        <f t="array" ref="R391">IFERROR(VLOOKUP($A391,'The List'!$B1:$AS671,25,FALSE)," ")</f>
        <v xml:space="preserve"> </v>
      </c>
      <c r="S391" s="84" t="str" cm="1">
        <f t="array" ref="S391">IFERROR(VLOOKUP($A391,'The List'!$B1:$AS671,26,FALSE)," ")</f>
        <v xml:space="preserve"> </v>
      </c>
      <c r="T391" s="84" t="str" cm="1">
        <f t="array" ref="T391">IFERROR(VLOOKUP($A391,'The List'!$B1:$AS671,27,FALSE)," ")</f>
        <v xml:space="preserve"> </v>
      </c>
      <c r="U391" s="84" t="str" cm="1">
        <f t="array" ref="U391">IFERROR(VLOOKUP($A391,'The List'!$B1:$AS671,28,FALSE)," ")</f>
        <v xml:space="preserve"> </v>
      </c>
      <c r="V391" s="84" t="str" cm="1">
        <f t="array" ref="V391">IFERROR(VLOOKUP($A391,'The List'!$B1:$AS671,29,FALSE)," ")</f>
        <v xml:space="preserve"> </v>
      </c>
      <c r="W391" s="84" t="str" cm="1">
        <f t="array" ref="W391">IFERROR(VLOOKUP($A391,'The List'!$B1:$AS671,30,FALSE)," ")</f>
        <v xml:space="preserve"> </v>
      </c>
      <c r="X391" s="84" t="str" cm="1">
        <f t="array" ref="X391">IFERROR(VLOOKUP($A391,'The List'!$B1:$AS671,31,FALSE)," ")</f>
        <v xml:space="preserve"> </v>
      </c>
      <c r="Y391" s="84" t="str" cm="1">
        <f t="array" ref="Y391">IFERROR(VLOOKUP($A391,'The List'!$B1:$AS671,32,FALSE)," ")</f>
        <v xml:space="preserve"> </v>
      </c>
      <c r="Z391" s="84" t="str" cm="1">
        <f t="array" ref="Z391">IFERROR(VLOOKUP($A391,'The List'!$B1:$AS671,33,FALSE)," ")</f>
        <v xml:space="preserve"> </v>
      </c>
      <c r="AA391" s="85"/>
      <c r="AB391" s="90"/>
      <c r="AC391" s="90"/>
      <c r="AD391" s="90"/>
      <c r="AE391" s="90"/>
      <c r="AF391" s="90"/>
    </row>
    <row r="392" spans="1:32" ht="21.25" customHeight="1" x14ac:dyDescent="0.15">
      <c r="A392" s="24"/>
      <c r="B392" s="99" t="str" cm="1">
        <f t="array" ref="B392">IFERROR(VLOOKUP($A392,'The List'!$B1:$AS671,3,FALSE)," ")</f>
        <v xml:space="preserve"> </v>
      </c>
      <c r="C392" s="101" t="str" cm="1">
        <f t="array" ref="C392">IFERROR(VLOOKUP($A392,'The List'!$B1:$AS671,4,FALSE)," ")</f>
        <v xml:space="preserve"> </v>
      </c>
      <c r="D392" s="18" t="str" cm="1">
        <f t="array" ref="D392">IFERROR(VLOOKUP($A392,'The List'!$B1:$AS671,5,FALSE)," ")</f>
        <v xml:space="preserve"> </v>
      </c>
      <c r="E392" s="18" t="str" cm="1">
        <f t="array" ref="E392">IFERROR(VLOOKUP($A392,'The List'!$B1:$AS671,6,FALSE)," ")</f>
        <v xml:space="preserve"> </v>
      </c>
      <c r="F392" s="92" t="str" cm="1">
        <f t="array" ref="F392">IFERROR(VLOOKUP($A392,'The List'!$B1:$AS671,8,FALSE)," ")</f>
        <v xml:space="preserve"> </v>
      </c>
      <c r="G392" s="92" t="str" cm="1">
        <f t="array" ref="G392">IFERROR(VLOOKUP($A392,'The List'!$B1:$AS671,10,FALSE)," ")</f>
        <v xml:space="preserve"> </v>
      </c>
      <c r="H392" s="55"/>
      <c r="I392" s="84" t="str" cm="1">
        <f t="array" ref="I392">IFERROR(VLOOKUP($A392,'The List'!$B1:$AS671,16,FALSE)," ")</f>
        <v xml:space="preserve"> </v>
      </c>
      <c r="J392" s="84" t="str" cm="1">
        <f t="array" ref="J392">IFERROR(VLOOKUP($A392,'The List'!$B1:$AS671,17,FALSE)," ")</f>
        <v xml:space="preserve"> </v>
      </c>
      <c r="K392" s="84" t="str" cm="1">
        <f t="array" ref="K392">IFERROR(VLOOKUP($A392,'The List'!$B1:$AS671,18,FALSE)," ")</f>
        <v xml:space="preserve"> </v>
      </c>
      <c r="L392" s="84" t="str" cm="1">
        <f t="array" ref="L392">IFERROR(VLOOKUP($A392,'The List'!$B1:$AS671,19,FALSE)," ")</f>
        <v xml:space="preserve"> </v>
      </c>
      <c r="M392" s="84" t="str" cm="1">
        <f t="array" ref="M392">IFERROR(VLOOKUP($A392,'The List'!$B1:$AS671,20,FALSE)," ")</f>
        <v xml:space="preserve"> </v>
      </c>
      <c r="N392" s="84" t="str" cm="1">
        <f t="array" ref="N392">IFERROR(VLOOKUP($A392,'The List'!$B1:$AS671,21,FALSE)," ")</f>
        <v xml:space="preserve"> </v>
      </c>
      <c r="O392" s="84" t="str" cm="1">
        <f t="array" ref="O392">IFERROR(VLOOKUP($A392,'The List'!$B1:$AS671,22,FALSE)," ")</f>
        <v xml:space="preserve"> </v>
      </c>
      <c r="P392" s="84" t="str" cm="1">
        <f t="array" ref="P392">IFERROR(VLOOKUP($A392,'The List'!$B1:$AS671,23,FALSE)," ")</f>
        <v xml:space="preserve"> </v>
      </c>
      <c r="Q392" s="84" t="str" cm="1">
        <f t="array" ref="Q392">IFERROR(VLOOKUP($A392,'The List'!$B1:$AS671,24,FALSE)," ")</f>
        <v xml:space="preserve"> </v>
      </c>
      <c r="R392" s="84" t="str" cm="1">
        <f t="array" ref="R392">IFERROR(VLOOKUP($A392,'The List'!$B1:$AS671,25,FALSE)," ")</f>
        <v xml:space="preserve"> </v>
      </c>
      <c r="S392" s="84" t="str" cm="1">
        <f t="array" ref="S392">IFERROR(VLOOKUP($A392,'The List'!$B1:$AS671,26,FALSE)," ")</f>
        <v xml:space="preserve"> </v>
      </c>
      <c r="T392" s="84" t="str" cm="1">
        <f t="array" ref="T392">IFERROR(VLOOKUP($A392,'The List'!$B1:$AS671,27,FALSE)," ")</f>
        <v xml:space="preserve"> </v>
      </c>
      <c r="U392" s="84" t="str" cm="1">
        <f t="array" ref="U392">IFERROR(VLOOKUP($A392,'The List'!$B1:$AS671,28,FALSE)," ")</f>
        <v xml:space="preserve"> </v>
      </c>
      <c r="V392" s="84" t="str" cm="1">
        <f t="array" ref="V392">IFERROR(VLOOKUP($A392,'The List'!$B1:$AS671,29,FALSE)," ")</f>
        <v xml:space="preserve"> </v>
      </c>
      <c r="W392" s="84" t="str" cm="1">
        <f t="array" ref="W392">IFERROR(VLOOKUP($A392,'The List'!$B1:$AS671,30,FALSE)," ")</f>
        <v xml:space="preserve"> </v>
      </c>
      <c r="X392" s="84" t="str" cm="1">
        <f t="array" ref="X392">IFERROR(VLOOKUP($A392,'The List'!$B1:$AS671,31,FALSE)," ")</f>
        <v xml:space="preserve"> </v>
      </c>
      <c r="Y392" s="84" t="str" cm="1">
        <f t="array" ref="Y392">IFERROR(VLOOKUP($A392,'The List'!$B1:$AS671,32,FALSE)," ")</f>
        <v xml:space="preserve"> </v>
      </c>
      <c r="Z392" s="84" t="str" cm="1">
        <f t="array" ref="Z392">IFERROR(VLOOKUP($A392,'The List'!$B1:$AS671,33,FALSE)," ")</f>
        <v xml:space="preserve"> </v>
      </c>
      <c r="AA392" s="85"/>
      <c r="AB392" s="90"/>
      <c r="AC392" s="90"/>
      <c r="AD392" s="90"/>
      <c r="AE392" s="90"/>
      <c r="AF392" s="90"/>
    </row>
    <row r="393" spans="1:32" ht="21.25" customHeight="1" x14ac:dyDescent="0.15">
      <c r="A393" s="24"/>
      <c r="B393" s="99" t="str" cm="1">
        <f t="array" ref="B393">IFERROR(VLOOKUP($A393,'The List'!$B1:$AS671,3,FALSE)," ")</f>
        <v xml:space="preserve"> </v>
      </c>
      <c r="C393" s="101" t="str" cm="1">
        <f t="array" ref="C393">IFERROR(VLOOKUP($A393,'The List'!$B1:$AS671,4,FALSE)," ")</f>
        <v xml:space="preserve"> </v>
      </c>
      <c r="D393" s="18" t="str" cm="1">
        <f t="array" ref="D393">IFERROR(VLOOKUP($A393,'The List'!$B1:$AS671,5,FALSE)," ")</f>
        <v xml:space="preserve"> </v>
      </c>
      <c r="E393" s="18" t="str" cm="1">
        <f t="array" ref="E393">IFERROR(VLOOKUP($A393,'The List'!$B1:$AS671,6,FALSE)," ")</f>
        <v xml:space="preserve"> </v>
      </c>
      <c r="F393" s="92" t="str" cm="1">
        <f t="array" ref="F393">IFERROR(VLOOKUP($A393,'The List'!$B1:$AS671,8,FALSE)," ")</f>
        <v xml:space="preserve"> </v>
      </c>
      <c r="G393" s="92" t="str" cm="1">
        <f t="array" ref="G393">IFERROR(VLOOKUP($A393,'The List'!$B1:$AS671,10,FALSE)," ")</f>
        <v xml:space="preserve"> </v>
      </c>
      <c r="H393" s="55"/>
      <c r="I393" s="84" t="str" cm="1">
        <f t="array" ref="I393">IFERROR(VLOOKUP($A393,'The List'!$B1:$AS671,16,FALSE)," ")</f>
        <v xml:space="preserve"> </v>
      </c>
      <c r="J393" s="84" t="str" cm="1">
        <f t="array" ref="J393">IFERROR(VLOOKUP($A393,'The List'!$B1:$AS671,17,FALSE)," ")</f>
        <v xml:space="preserve"> </v>
      </c>
      <c r="K393" s="84" t="str" cm="1">
        <f t="array" ref="K393">IFERROR(VLOOKUP($A393,'The List'!$B1:$AS671,18,FALSE)," ")</f>
        <v xml:space="preserve"> </v>
      </c>
      <c r="L393" s="84" t="str" cm="1">
        <f t="array" ref="L393">IFERROR(VLOOKUP($A393,'The List'!$B1:$AS671,19,FALSE)," ")</f>
        <v xml:space="preserve"> </v>
      </c>
      <c r="M393" s="84" t="str" cm="1">
        <f t="array" ref="M393">IFERROR(VLOOKUP($A393,'The List'!$B1:$AS671,20,FALSE)," ")</f>
        <v xml:space="preserve"> </v>
      </c>
      <c r="N393" s="84" t="str" cm="1">
        <f t="array" ref="N393">IFERROR(VLOOKUP($A393,'The List'!$B1:$AS671,21,FALSE)," ")</f>
        <v xml:space="preserve"> </v>
      </c>
      <c r="O393" s="84" t="str" cm="1">
        <f t="array" ref="O393">IFERROR(VLOOKUP($A393,'The List'!$B1:$AS671,22,FALSE)," ")</f>
        <v xml:space="preserve"> </v>
      </c>
      <c r="P393" s="84" t="str" cm="1">
        <f t="array" ref="P393">IFERROR(VLOOKUP($A393,'The List'!$B1:$AS671,23,FALSE)," ")</f>
        <v xml:space="preserve"> </v>
      </c>
      <c r="Q393" s="84" t="str" cm="1">
        <f t="array" ref="Q393">IFERROR(VLOOKUP($A393,'The List'!$B1:$AS671,24,FALSE)," ")</f>
        <v xml:space="preserve"> </v>
      </c>
      <c r="R393" s="84" t="str" cm="1">
        <f t="array" ref="R393">IFERROR(VLOOKUP($A393,'The List'!$B1:$AS671,25,FALSE)," ")</f>
        <v xml:space="preserve"> </v>
      </c>
      <c r="S393" s="84" t="str" cm="1">
        <f t="array" ref="S393">IFERROR(VLOOKUP($A393,'The List'!$B1:$AS671,26,FALSE)," ")</f>
        <v xml:space="preserve"> </v>
      </c>
      <c r="T393" s="84" t="str" cm="1">
        <f t="array" ref="T393">IFERROR(VLOOKUP($A393,'The List'!$B1:$AS671,27,FALSE)," ")</f>
        <v xml:space="preserve"> </v>
      </c>
      <c r="U393" s="84" t="str" cm="1">
        <f t="array" ref="U393">IFERROR(VLOOKUP($A393,'The List'!$B1:$AS671,28,FALSE)," ")</f>
        <v xml:space="preserve"> </v>
      </c>
      <c r="V393" s="84" t="str" cm="1">
        <f t="array" ref="V393">IFERROR(VLOOKUP($A393,'The List'!$B1:$AS671,29,FALSE)," ")</f>
        <v xml:space="preserve"> </v>
      </c>
      <c r="W393" s="84" t="str" cm="1">
        <f t="array" ref="W393">IFERROR(VLOOKUP($A393,'The List'!$B1:$AS671,30,FALSE)," ")</f>
        <v xml:space="preserve"> </v>
      </c>
      <c r="X393" s="84" t="str" cm="1">
        <f t="array" ref="X393">IFERROR(VLOOKUP($A393,'The List'!$B1:$AS671,31,FALSE)," ")</f>
        <v xml:space="preserve"> </v>
      </c>
      <c r="Y393" s="84" t="str" cm="1">
        <f t="array" ref="Y393">IFERROR(VLOOKUP($A393,'The List'!$B1:$AS671,32,FALSE)," ")</f>
        <v xml:space="preserve"> </v>
      </c>
      <c r="Z393" s="84" t="str" cm="1">
        <f t="array" ref="Z393">IFERROR(VLOOKUP($A393,'The List'!$B1:$AS671,33,FALSE)," ")</f>
        <v xml:space="preserve"> </v>
      </c>
      <c r="AA393" s="85"/>
      <c r="AB393" s="90"/>
      <c r="AC393" s="90"/>
      <c r="AD393" s="90"/>
      <c r="AE393" s="90"/>
      <c r="AF393" s="90"/>
    </row>
    <row r="394" spans="1:32" ht="21.25" customHeight="1" x14ac:dyDescent="0.15">
      <c r="A394" s="24"/>
      <c r="B394" s="99" t="str" cm="1">
        <f t="array" ref="B394">IFERROR(VLOOKUP($A394,'The List'!$B1:$AS671,3,FALSE)," ")</f>
        <v xml:space="preserve"> </v>
      </c>
      <c r="C394" s="101" t="str" cm="1">
        <f t="array" ref="C394">IFERROR(VLOOKUP($A394,'The List'!$B1:$AS671,4,FALSE)," ")</f>
        <v xml:space="preserve"> </v>
      </c>
      <c r="D394" s="18" t="str" cm="1">
        <f t="array" ref="D394">IFERROR(VLOOKUP($A394,'The List'!$B1:$AS671,5,FALSE)," ")</f>
        <v xml:space="preserve"> </v>
      </c>
      <c r="E394" s="18" t="str" cm="1">
        <f t="array" ref="E394">IFERROR(VLOOKUP($A394,'The List'!$B1:$AS671,6,FALSE)," ")</f>
        <v xml:space="preserve"> </v>
      </c>
      <c r="F394" s="92" t="str" cm="1">
        <f t="array" ref="F394">IFERROR(VLOOKUP($A394,'The List'!$B1:$AS671,8,FALSE)," ")</f>
        <v xml:space="preserve"> </v>
      </c>
      <c r="G394" s="92" t="str" cm="1">
        <f t="array" ref="G394">IFERROR(VLOOKUP($A394,'The List'!$B1:$AS671,10,FALSE)," ")</f>
        <v xml:space="preserve"> </v>
      </c>
      <c r="H394" s="55"/>
      <c r="I394" s="84" t="str" cm="1">
        <f t="array" ref="I394">IFERROR(VLOOKUP($A394,'The List'!$B1:$AS671,16,FALSE)," ")</f>
        <v xml:space="preserve"> </v>
      </c>
      <c r="J394" s="84" t="str" cm="1">
        <f t="array" ref="J394">IFERROR(VLOOKUP($A394,'The List'!$B1:$AS671,17,FALSE)," ")</f>
        <v xml:space="preserve"> </v>
      </c>
      <c r="K394" s="84" t="str" cm="1">
        <f t="array" ref="K394">IFERROR(VLOOKUP($A394,'The List'!$B1:$AS671,18,FALSE)," ")</f>
        <v xml:space="preserve"> </v>
      </c>
      <c r="L394" s="84" t="str" cm="1">
        <f t="array" ref="L394">IFERROR(VLOOKUP($A394,'The List'!$B1:$AS671,19,FALSE)," ")</f>
        <v xml:space="preserve"> </v>
      </c>
      <c r="M394" s="84" t="str" cm="1">
        <f t="array" ref="M394">IFERROR(VLOOKUP($A394,'The List'!$B1:$AS671,20,FALSE)," ")</f>
        <v xml:space="preserve"> </v>
      </c>
      <c r="N394" s="84" t="str" cm="1">
        <f t="array" ref="N394">IFERROR(VLOOKUP($A394,'The List'!$B1:$AS671,21,FALSE)," ")</f>
        <v xml:space="preserve"> </v>
      </c>
      <c r="O394" s="84" t="str" cm="1">
        <f t="array" ref="O394">IFERROR(VLOOKUP($A394,'The List'!$B1:$AS671,22,FALSE)," ")</f>
        <v xml:space="preserve"> </v>
      </c>
      <c r="P394" s="84" t="str" cm="1">
        <f t="array" ref="P394">IFERROR(VLOOKUP($A394,'The List'!$B1:$AS671,23,FALSE)," ")</f>
        <v xml:space="preserve"> </v>
      </c>
      <c r="Q394" s="84" t="str" cm="1">
        <f t="array" ref="Q394">IFERROR(VLOOKUP($A394,'The List'!$B1:$AS671,24,FALSE)," ")</f>
        <v xml:space="preserve"> </v>
      </c>
      <c r="R394" s="84" t="str" cm="1">
        <f t="array" ref="R394">IFERROR(VLOOKUP($A394,'The List'!$B1:$AS671,25,FALSE)," ")</f>
        <v xml:space="preserve"> </v>
      </c>
      <c r="S394" s="84" t="str" cm="1">
        <f t="array" ref="S394">IFERROR(VLOOKUP($A394,'The List'!$B1:$AS671,26,FALSE)," ")</f>
        <v xml:space="preserve"> </v>
      </c>
      <c r="T394" s="84" t="str" cm="1">
        <f t="array" ref="T394">IFERROR(VLOOKUP($A394,'The List'!$B1:$AS671,27,FALSE)," ")</f>
        <v xml:space="preserve"> </v>
      </c>
      <c r="U394" s="84" t="str" cm="1">
        <f t="array" ref="U394">IFERROR(VLOOKUP($A394,'The List'!$B1:$AS671,28,FALSE)," ")</f>
        <v xml:space="preserve"> </v>
      </c>
      <c r="V394" s="84" t="str" cm="1">
        <f t="array" ref="V394">IFERROR(VLOOKUP($A394,'The List'!$B1:$AS671,29,FALSE)," ")</f>
        <v xml:space="preserve"> </v>
      </c>
      <c r="W394" s="84" t="str" cm="1">
        <f t="array" ref="W394">IFERROR(VLOOKUP($A394,'The List'!$B1:$AS671,30,FALSE)," ")</f>
        <v xml:space="preserve"> </v>
      </c>
      <c r="X394" s="84" t="str" cm="1">
        <f t="array" ref="X394">IFERROR(VLOOKUP($A394,'The List'!$B1:$AS671,31,FALSE)," ")</f>
        <v xml:space="preserve"> </v>
      </c>
      <c r="Y394" s="84" t="str" cm="1">
        <f t="array" ref="Y394">IFERROR(VLOOKUP($A394,'The List'!$B1:$AS671,32,FALSE)," ")</f>
        <v xml:space="preserve"> </v>
      </c>
      <c r="Z394" s="84" t="str" cm="1">
        <f t="array" ref="Z394">IFERROR(VLOOKUP($A394,'The List'!$B1:$AS671,33,FALSE)," ")</f>
        <v xml:space="preserve"> </v>
      </c>
      <c r="AA394" s="85"/>
      <c r="AB394" s="90"/>
      <c r="AC394" s="90"/>
      <c r="AD394" s="90"/>
      <c r="AE394" s="90"/>
      <c r="AF394" s="90"/>
    </row>
    <row r="395" spans="1:32" ht="21.25" customHeight="1" x14ac:dyDescent="0.15">
      <c r="A395" s="24"/>
      <c r="B395" s="99" t="str" cm="1">
        <f t="array" ref="B395">IFERROR(VLOOKUP($A395,'The List'!$B1:$AS671,3,FALSE)," ")</f>
        <v xml:space="preserve"> </v>
      </c>
      <c r="C395" s="101" t="str" cm="1">
        <f t="array" ref="C395">IFERROR(VLOOKUP($A395,'The List'!$B1:$AS671,4,FALSE)," ")</f>
        <v xml:space="preserve"> </v>
      </c>
      <c r="D395" s="18" t="str" cm="1">
        <f t="array" ref="D395">IFERROR(VLOOKUP($A395,'The List'!$B1:$AS671,5,FALSE)," ")</f>
        <v xml:space="preserve"> </v>
      </c>
      <c r="E395" s="18" t="str" cm="1">
        <f t="array" ref="E395">IFERROR(VLOOKUP($A395,'The List'!$B1:$AS671,6,FALSE)," ")</f>
        <v xml:space="preserve"> </v>
      </c>
      <c r="F395" s="92" t="str" cm="1">
        <f t="array" ref="F395">IFERROR(VLOOKUP($A395,'The List'!$B1:$AS671,8,FALSE)," ")</f>
        <v xml:space="preserve"> </v>
      </c>
      <c r="G395" s="92" t="str" cm="1">
        <f t="array" ref="G395">IFERROR(VLOOKUP($A395,'The List'!$B1:$AS671,10,FALSE)," ")</f>
        <v xml:space="preserve"> </v>
      </c>
      <c r="H395" s="55"/>
      <c r="I395" s="84" t="str" cm="1">
        <f t="array" ref="I395">IFERROR(VLOOKUP($A395,'The List'!$B1:$AS671,16,FALSE)," ")</f>
        <v xml:space="preserve"> </v>
      </c>
      <c r="J395" s="84" t="str" cm="1">
        <f t="array" ref="J395">IFERROR(VLOOKUP($A395,'The List'!$B1:$AS671,17,FALSE)," ")</f>
        <v xml:space="preserve"> </v>
      </c>
      <c r="K395" s="84" t="str" cm="1">
        <f t="array" ref="K395">IFERROR(VLOOKUP($A395,'The List'!$B1:$AS671,18,FALSE)," ")</f>
        <v xml:space="preserve"> </v>
      </c>
      <c r="L395" s="84" t="str" cm="1">
        <f t="array" ref="L395">IFERROR(VLOOKUP($A395,'The List'!$B1:$AS671,19,FALSE)," ")</f>
        <v xml:space="preserve"> </v>
      </c>
      <c r="M395" s="84" t="str" cm="1">
        <f t="array" ref="M395">IFERROR(VLOOKUP($A395,'The List'!$B1:$AS671,20,FALSE)," ")</f>
        <v xml:space="preserve"> </v>
      </c>
      <c r="N395" s="84" t="str" cm="1">
        <f t="array" ref="N395">IFERROR(VLOOKUP($A395,'The List'!$B1:$AS671,21,FALSE)," ")</f>
        <v xml:space="preserve"> </v>
      </c>
      <c r="O395" s="84" t="str" cm="1">
        <f t="array" ref="O395">IFERROR(VLOOKUP($A395,'The List'!$B1:$AS671,22,FALSE)," ")</f>
        <v xml:space="preserve"> </v>
      </c>
      <c r="P395" s="84" t="str" cm="1">
        <f t="array" ref="P395">IFERROR(VLOOKUP($A395,'The List'!$B1:$AS671,23,FALSE)," ")</f>
        <v xml:space="preserve"> </v>
      </c>
      <c r="Q395" s="84" t="str" cm="1">
        <f t="array" ref="Q395">IFERROR(VLOOKUP($A395,'The List'!$B1:$AS671,24,FALSE)," ")</f>
        <v xml:space="preserve"> </v>
      </c>
      <c r="R395" s="84" t="str" cm="1">
        <f t="array" ref="R395">IFERROR(VLOOKUP($A395,'The List'!$B1:$AS671,25,FALSE)," ")</f>
        <v xml:space="preserve"> </v>
      </c>
      <c r="S395" s="84" t="str" cm="1">
        <f t="array" ref="S395">IFERROR(VLOOKUP($A395,'The List'!$B1:$AS671,26,FALSE)," ")</f>
        <v xml:space="preserve"> </v>
      </c>
      <c r="T395" s="84" t="str" cm="1">
        <f t="array" ref="T395">IFERROR(VLOOKUP($A395,'The List'!$B1:$AS671,27,FALSE)," ")</f>
        <v xml:space="preserve"> </v>
      </c>
      <c r="U395" s="84" t="str" cm="1">
        <f t="array" ref="U395">IFERROR(VLOOKUP($A395,'The List'!$B1:$AS671,28,FALSE)," ")</f>
        <v xml:space="preserve"> </v>
      </c>
      <c r="V395" s="84" t="str" cm="1">
        <f t="array" ref="V395">IFERROR(VLOOKUP($A395,'The List'!$B1:$AS671,29,FALSE)," ")</f>
        <v xml:space="preserve"> </v>
      </c>
      <c r="W395" s="84" t="str" cm="1">
        <f t="array" ref="W395">IFERROR(VLOOKUP($A395,'The List'!$B1:$AS671,30,FALSE)," ")</f>
        <v xml:space="preserve"> </v>
      </c>
      <c r="X395" s="84" t="str" cm="1">
        <f t="array" ref="X395">IFERROR(VLOOKUP($A395,'The List'!$B1:$AS671,31,FALSE)," ")</f>
        <v xml:space="preserve"> </v>
      </c>
      <c r="Y395" s="84" t="str" cm="1">
        <f t="array" ref="Y395">IFERROR(VLOOKUP($A395,'The List'!$B1:$AS671,32,FALSE)," ")</f>
        <v xml:space="preserve"> </v>
      </c>
      <c r="Z395" s="84" t="str" cm="1">
        <f t="array" ref="Z395">IFERROR(VLOOKUP($A395,'The List'!$B1:$AS671,33,FALSE)," ")</f>
        <v xml:space="preserve"> </v>
      </c>
      <c r="AA395" s="85"/>
      <c r="AB395" s="90"/>
      <c r="AC395" s="90"/>
      <c r="AD395" s="90"/>
      <c r="AE395" s="90"/>
      <c r="AF395" s="90"/>
    </row>
    <row r="396" spans="1:32" ht="21.25" customHeight="1" x14ac:dyDescent="0.15">
      <c r="A396" s="24"/>
      <c r="B396" s="99" t="str" cm="1">
        <f t="array" ref="B396">IFERROR(VLOOKUP($A396,'The List'!$B1:$AS671,3,FALSE)," ")</f>
        <v xml:space="preserve"> </v>
      </c>
      <c r="C396" s="101" t="str" cm="1">
        <f t="array" ref="C396">IFERROR(VLOOKUP($A396,'The List'!$B1:$AS671,4,FALSE)," ")</f>
        <v xml:space="preserve"> </v>
      </c>
      <c r="D396" s="18" t="str" cm="1">
        <f t="array" ref="D396">IFERROR(VLOOKUP($A396,'The List'!$B1:$AS671,5,FALSE)," ")</f>
        <v xml:space="preserve"> </v>
      </c>
      <c r="E396" s="18" t="str" cm="1">
        <f t="array" ref="E396">IFERROR(VLOOKUP($A396,'The List'!$B1:$AS671,6,FALSE)," ")</f>
        <v xml:space="preserve"> </v>
      </c>
      <c r="F396" s="92" t="str" cm="1">
        <f t="array" ref="F396">IFERROR(VLOOKUP($A396,'The List'!$B1:$AS671,8,FALSE)," ")</f>
        <v xml:space="preserve"> </v>
      </c>
      <c r="G396" s="92" t="str" cm="1">
        <f t="array" ref="G396">IFERROR(VLOOKUP($A396,'The List'!$B1:$AS671,10,FALSE)," ")</f>
        <v xml:space="preserve"> </v>
      </c>
      <c r="H396" s="55"/>
      <c r="I396" s="84" t="str" cm="1">
        <f t="array" ref="I396">IFERROR(VLOOKUP($A396,'The List'!$B1:$AS671,16,FALSE)," ")</f>
        <v xml:space="preserve"> </v>
      </c>
      <c r="J396" s="84" t="str" cm="1">
        <f t="array" ref="J396">IFERROR(VLOOKUP($A396,'The List'!$B1:$AS671,17,FALSE)," ")</f>
        <v xml:space="preserve"> </v>
      </c>
      <c r="K396" s="84" t="str" cm="1">
        <f t="array" ref="K396">IFERROR(VLOOKUP($A396,'The List'!$B1:$AS671,18,FALSE)," ")</f>
        <v xml:space="preserve"> </v>
      </c>
      <c r="L396" s="84" t="str" cm="1">
        <f t="array" ref="L396">IFERROR(VLOOKUP($A396,'The List'!$B1:$AS671,19,FALSE)," ")</f>
        <v xml:space="preserve"> </v>
      </c>
      <c r="M396" s="84" t="str" cm="1">
        <f t="array" ref="M396">IFERROR(VLOOKUP($A396,'The List'!$B1:$AS671,20,FALSE)," ")</f>
        <v xml:space="preserve"> </v>
      </c>
      <c r="N396" s="84" t="str" cm="1">
        <f t="array" ref="N396">IFERROR(VLOOKUP($A396,'The List'!$B1:$AS671,21,FALSE)," ")</f>
        <v xml:space="preserve"> </v>
      </c>
      <c r="O396" s="84" t="str" cm="1">
        <f t="array" ref="O396">IFERROR(VLOOKUP($A396,'The List'!$B1:$AS671,22,FALSE)," ")</f>
        <v xml:space="preserve"> </v>
      </c>
      <c r="P396" s="84" t="str" cm="1">
        <f t="array" ref="P396">IFERROR(VLOOKUP($A396,'The List'!$B1:$AS671,23,FALSE)," ")</f>
        <v xml:space="preserve"> </v>
      </c>
      <c r="Q396" s="84" t="str" cm="1">
        <f t="array" ref="Q396">IFERROR(VLOOKUP($A396,'The List'!$B1:$AS671,24,FALSE)," ")</f>
        <v xml:space="preserve"> </v>
      </c>
      <c r="R396" s="84" t="str" cm="1">
        <f t="array" ref="R396">IFERROR(VLOOKUP($A396,'The List'!$B1:$AS671,25,FALSE)," ")</f>
        <v xml:space="preserve"> </v>
      </c>
      <c r="S396" s="84" t="str" cm="1">
        <f t="array" ref="S396">IFERROR(VLOOKUP($A396,'The List'!$B1:$AS671,26,FALSE)," ")</f>
        <v xml:space="preserve"> </v>
      </c>
      <c r="T396" s="84" t="str" cm="1">
        <f t="array" ref="T396">IFERROR(VLOOKUP($A396,'The List'!$B1:$AS671,27,FALSE)," ")</f>
        <v xml:space="preserve"> </v>
      </c>
      <c r="U396" s="84" t="str" cm="1">
        <f t="array" ref="U396">IFERROR(VLOOKUP($A396,'The List'!$B1:$AS671,28,FALSE)," ")</f>
        <v xml:space="preserve"> </v>
      </c>
      <c r="V396" s="84" t="str" cm="1">
        <f t="array" ref="V396">IFERROR(VLOOKUP($A396,'The List'!$B1:$AS671,29,FALSE)," ")</f>
        <v xml:space="preserve"> </v>
      </c>
      <c r="W396" s="84" t="str" cm="1">
        <f t="array" ref="W396">IFERROR(VLOOKUP($A396,'The List'!$B1:$AS671,30,FALSE)," ")</f>
        <v xml:space="preserve"> </v>
      </c>
      <c r="X396" s="84" t="str" cm="1">
        <f t="array" ref="X396">IFERROR(VLOOKUP($A396,'The List'!$B1:$AS671,31,FALSE)," ")</f>
        <v xml:space="preserve"> </v>
      </c>
      <c r="Y396" s="84" t="str" cm="1">
        <f t="array" ref="Y396">IFERROR(VLOOKUP($A396,'The List'!$B1:$AS671,32,FALSE)," ")</f>
        <v xml:space="preserve"> </v>
      </c>
      <c r="Z396" s="84" t="str" cm="1">
        <f t="array" ref="Z396">IFERROR(VLOOKUP($A396,'The List'!$B1:$AS671,33,FALSE)," ")</f>
        <v xml:space="preserve"> </v>
      </c>
      <c r="AA396" s="85"/>
      <c r="AB396" s="90"/>
      <c r="AC396" s="90"/>
      <c r="AD396" s="90"/>
      <c r="AE396" s="90"/>
      <c r="AF396" s="90"/>
    </row>
    <row r="397" spans="1:32" ht="21.25" customHeight="1" x14ac:dyDescent="0.15">
      <c r="A397" s="24"/>
      <c r="B397" s="99" t="str" cm="1">
        <f t="array" ref="B397">IFERROR(VLOOKUP($A397,'The List'!$B1:$AS671,3,FALSE)," ")</f>
        <v xml:space="preserve"> </v>
      </c>
      <c r="C397" s="101" t="str" cm="1">
        <f t="array" ref="C397">IFERROR(VLOOKUP($A397,'The List'!$B1:$AS671,4,FALSE)," ")</f>
        <v xml:space="preserve"> </v>
      </c>
      <c r="D397" s="18" t="str" cm="1">
        <f t="array" ref="D397">IFERROR(VLOOKUP($A397,'The List'!$B1:$AS671,5,FALSE)," ")</f>
        <v xml:space="preserve"> </v>
      </c>
      <c r="E397" s="18" t="str" cm="1">
        <f t="array" ref="E397">IFERROR(VLOOKUP($A397,'The List'!$B1:$AS671,6,FALSE)," ")</f>
        <v xml:space="preserve"> </v>
      </c>
      <c r="F397" s="92" t="str" cm="1">
        <f t="array" ref="F397">IFERROR(VLOOKUP($A397,'The List'!$B1:$AS671,8,FALSE)," ")</f>
        <v xml:space="preserve"> </v>
      </c>
      <c r="G397" s="92" t="str" cm="1">
        <f t="array" ref="G397">IFERROR(VLOOKUP($A397,'The List'!$B1:$AS671,10,FALSE)," ")</f>
        <v xml:space="preserve"> </v>
      </c>
      <c r="H397" s="55"/>
      <c r="I397" s="84" t="str" cm="1">
        <f t="array" ref="I397">IFERROR(VLOOKUP($A397,'The List'!$B1:$AS671,16,FALSE)," ")</f>
        <v xml:space="preserve"> </v>
      </c>
      <c r="J397" s="84" t="str" cm="1">
        <f t="array" ref="J397">IFERROR(VLOOKUP($A397,'The List'!$B1:$AS671,17,FALSE)," ")</f>
        <v xml:space="preserve"> </v>
      </c>
      <c r="K397" s="84" t="str" cm="1">
        <f t="array" ref="K397">IFERROR(VLOOKUP($A397,'The List'!$B1:$AS671,18,FALSE)," ")</f>
        <v xml:space="preserve"> </v>
      </c>
      <c r="L397" s="84" t="str" cm="1">
        <f t="array" ref="L397">IFERROR(VLOOKUP($A397,'The List'!$B1:$AS671,19,FALSE)," ")</f>
        <v xml:space="preserve"> </v>
      </c>
      <c r="M397" s="84" t="str" cm="1">
        <f t="array" ref="M397">IFERROR(VLOOKUP($A397,'The List'!$B1:$AS671,20,FALSE)," ")</f>
        <v xml:space="preserve"> </v>
      </c>
      <c r="N397" s="84" t="str" cm="1">
        <f t="array" ref="N397">IFERROR(VLOOKUP($A397,'The List'!$B1:$AS671,21,FALSE)," ")</f>
        <v xml:space="preserve"> </v>
      </c>
      <c r="O397" s="84" t="str" cm="1">
        <f t="array" ref="O397">IFERROR(VLOOKUP($A397,'The List'!$B1:$AS671,22,FALSE)," ")</f>
        <v xml:space="preserve"> </v>
      </c>
      <c r="P397" s="84" t="str" cm="1">
        <f t="array" ref="P397">IFERROR(VLOOKUP($A397,'The List'!$B1:$AS671,23,FALSE)," ")</f>
        <v xml:space="preserve"> </v>
      </c>
      <c r="Q397" s="84" t="str" cm="1">
        <f t="array" ref="Q397">IFERROR(VLOOKUP($A397,'The List'!$B1:$AS671,24,FALSE)," ")</f>
        <v xml:space="preserve"> </v>
      </c>
      <c r="R397" s="84" t="str" cm="1">
        <f t="array" ref="R397">IFERROR(VLOOKUP($A397,'The List'!$B1:$AS671,25,FALSE)," ")</f>
        <v xml:space="preserve"> </v>
      </c>
      <c r="S397" s="84" t="str" cm="1">
        <f t="array" ref="S397">IFERROR(VLOOKUP($A397,'The List'!$B1:$AS671,26,FALSE)," ")</f>
        <v xml:space="preserve"> </v>
      </c>
      <c r="T397" s="84" t="str" cm="1">
        <f t="array" ref="T397">IFERROR(VLOOKUP($A397,'The List'!$B1:$AS671,27,FALSE)," ")</f>
        <v xml:space="preserve"> </v>
      </c>
      <c r="U397" s="84" t="str" cm="1">
        <f t="array" ref="U397">IFERROR(VLOOKUP($A397,'The List'!$B1:$AS671,28,FALSE)," ")</f>
        <v xml:space="preserve"> </v>
      </c>
      <c r="V397" s="84" t="str" cm="1">
        <f t="array" ref="V397">IFERROR(VLOOKUP($A397,'The List'!$B1:$AS671,29,FALSE)," ")</f>
        <v xml:space="preserve"> </v>
      </c>
      <c r="W397" s="84" t="str" cm="1">
        <f t="array" ref="W397">IFERROR(VLOOKUP($A397,'The List'!$B1:$AS671,30,FALSE)," ")</f>
        <v xml:space="preserve"> </v>
      </c>
      <c r="X397" s="84" t="str" cm="1">
        <f t="array" ref="X397">IFERROR(VLOOKUP($A397,'The List'!$B1:$AS671,31,FALSE)," ")</f>
        <v xml:space="preserve"> </v>
      </c>
      <c r="Y397" s="84" t="str" cm="1">
        <f t="array" ref="Y397">IFERROR(VLOOKUP($A397,'The List'!$B1:$AS671,32,FALSE)," ")</f>
        <v xml:space="preserve"> </v>
      </c>
      <c r="Z397" s="84" t="str" cm="1">
        <f t="array" ref="Z397">IFERROR(VLOOKUP($A397,'The List'!$B1:$AS671,33,FALSE)," ")</f>
        <v xml:space="preserve"> </v>
      </c>
      <c r="AA397" s="85"/>
      <c r="AB397" s="90"/>
      <c r="AC397" s="90"/>
      <c r="AD397" s="90"/>
      <c r="AE397" s="90"/>
      <c r="AF397" s="90"/>
    </row>
    <row r="398" spans="1:32" ht="21.25" customHeight="1" x14ac:dyDescent="0.15">
      <c r="A398" s="103"/>
      <c r="B398" s="104" t="str" cm="1">
        <f t="array" ref="B398">IFERROR(VLOOKUP($A398,'The List'!$B1:$AS671,3,FALSE)," ")</f>
        <v xml:space="preserve"> </v>
      </c>
      <c r="C398" s="105" t="str" cm="1">
        <f t="array" ref="C398">IFERROR(VLOOKUP($A398,'The List'!$B1:$AS671,4,FALSE)," ")</f>
        <v xml:space="preserve"> </v>
      </c>
      <c r="D398" s="106" t="str" cm="1">
        <f t="array" ref="D398">IFERROR(VLOOKUP($A398,'The List'!$B1:$AS671,5,FALSE)," ")</f>
        <v xml:space="preserve"> </v>
      </c>
      <c r="E398" s="106" t="str" cm="1">
        <f t="array" ref="E398">IFERROR(VLOOKUP($A398,'The List'!$B1:$AS671,6,FALSE)," ")</f>
        <v xml:space="preserve"> </v>
      </c>
      <c r="F398" s="107" t="str" cm="1">
        <f t="array" ref="F398">IFERROR(VLOOKUP($A398,'The List'!$B1:$AS671,8,FALSE)," ")</f>
        <v xml:space="preserve"> </v>
      </c>
      <c r="G398" s="107" t="str" cm="1">
        <f t="array" ref="G398">IFERROR(VLOOKUP($A398,'The List'!$B1:$AS671,10,FALSE)," ")</f>
        <v xml:space="preserve"> </v>
      </c>
      <c r="H398" s="108"/>
      <c r="I398" s="109" t="str" cm="1">
        <f t="array" ref="I398">IFERROR(VLOOKUP($A398,'The List'!$B1:$AS671,16,FALSE)," ")</f>
        <v xml:space="preserve"> </v>
      </c>
      <c r="J398" s="109" t="str" cm="1">
        <f t="array" ref="J398">IFERROR(VLOOKUP($A398,'The List'!$B1:$AS671,17,FALSE)," ")</f>
        <v xml:space="preserve"> </v>
      </c>
      <c r="K398" s="109" t="str" cm="1">
        <f t="array" ref="K398">IFERROR(VLOOKUP($A398,'The List'!$B1:$AS671,18,FALSE)," ")</f>
        <v xml:space="preserve"> </v>
      </c>
      <c r="L398" s="109" t="str" cm="1">
        <f t="array" ref="L398">IFERROR(VLOOKUP($A398,'The List'!$B1:$AS671,19,FALSE)," ")</f>
        <v xml:space="preserve"> </v>
      </c>
      <c r="M398" s="109" t="str" cm="1">
        <f t="array" ref="M398">IFERROR(VLOOKUP($A398,'The List'!$B1:$AS671,20,FALSE)," ")</f>
        <v xml:space="preserve"> </v>
      </c>
      <c r="N398" s="109" t="str" cm="1">
        <f t="array" ref="N398">IFERROR(VLOOKUP($A398,'The List'!$B1:$AS671,21,FALSE)," ")</f>
        <v xml:space="preserve"> </v>
      </c>
      <c r="O398" s="109" t="str" cm="1">
        <f t="array" ref="O398">IFERROR(VLOOKUP($A398,'The List'!$B1:$AS671,22,FALSE)," ")</f>
        <v xml:space="preserve"> </v>
      </c>
      <c r="P398" s="109" t="str" cm="1">
        <f t="array" ref="P398">IFERROR(VLOOKUP($A398,'The List'!$B1:$AS671,23,FALSE)," ")</f>
        <v xml:space="preserve"> </v>
      </c>
      <c r="Q398" s="109" t="str" cm="1">
        <f t="array" ref="Q398">IFERROR(VLOOKUP($A398,'The List'!$B1:$AS671,24,FALSE)," ")</f>
        <v xml:space="preserve"> </v>
      </c>
      <c r="R398" s="109" t="str" cm="1">
        <f t="array" ref="R398">IFERROR(VLOOKUP($A398,'The List'!$B1:$AS671,25,FALSE)," ")</f>
        <v xml:space="preserve"> </v>
      </c>
      <c r="S398" s="109" t="str" cm="1">
        <f t="array" ref="S398">IFERROR(VLOOKUP($A398,'The List'!$B1:$AS671,26,FALSE)," ")</f>
        <v xml:space="preserve"> </v>
      </c>
      <c r="T398" s="109" t="str" cm="1">
        <f t="array" ref="T398">IFERROR(VLOOKUP($A398,'The List'!$B1:$AS671,27,FALSE)," ")</f>
        <v xml:space="preserve"> </v>
      </c>
      <c r="U398" s="109" t="str" cm="1">
        <f t="array" ref="U398">IFERROR(VLOOKUP($A398,'The List'!$B1:$AS671,28,FALSE)," ")</f>
        <v xml:space="preserve"> </v>
      </c>
      <c r="V398" s="109" t="str" cm="1">
        <f t="array" ref="V398">IFERROR(VLOOKUP($A398,'The List'!$B1:$AS671,29,FALSE)," ")</f>
        <v xml:space="preserve"> </v>
      </c>
      <c r="W398" s="109" t="str" cm="1">
        <f t="array" ref="W398">IFERROR(VLOOKUP($A398,'The List'!$B1:$AS671,30,FALSE)," ")</f>
        <v xml:space="preserve"> </v>
      </c>
      <c r="X398" s="109" t="str" cm="1">
        <f t="array" ref="X398">IFERROR(VLOOKUP($A398,'The List'!$B1:$AS671,31,FALSE)," ")</f>
        <v xml:space="preserve"> </v>
      </c>
      <c r="Y398" s="109" t="str" cm="1">
        <f t="array" ref="Y398">IFERROR(VLOOKUP($A398,'The List'!$B1:$AS671,32,FALSE)," ")</f>
        <v xml:space="preserve"> </v>
      </c>
      <c r="Z398" s="109" t="str" cm="1">
        <f t="array" ref="Z398">IFERROR(VLOOKUP($A398,'The List'!$B1:$AS671,33,FALSE)," ")</f>
        <v xml:space="preserve"> </v>
      </c>
      <c r="AA398" s="85"/>
      <c r="AB398" s="90"/>
      <c r="AC398" s="90"/>
      <c r="AD398" s="90"/>
      <c r="AE398" s="90"/>
      <c r="AF398" s="90"/>
    </row>
    <row r="399" spans="1:32" ht="21.25" customHeight="1" x14ac:dyDescent="0.15">
      <c r="A399" s="110"/>
      <c r="B399" s="111"/>
      <c r="C399" s="112"/>
      <c r="D399" s="113"/>
      <c r="E399" s="113" t="str" cm="1">
        <f t="array" ref="E399">IFERROR(AVERAGE(E379:E398)," ")</f>
        <v xml:space="preserve"> </v>
      </c>
      <c r="F399" s="115" cm="1">
        <f t="array" ref="F399">SUM(F379:F398)</f>
        <v>0</v>
      </c>
      <c r="G399" s="115" cm="1">
        <f t="array" ref="G399">SUM(G379:G398)</f>
        <v>0</v>
      </c>
      <c r="H399" s="116"/>
      <c r="I399" s="117" cm="1">
        <f t="array" ref="I399">SUM(I379:I398)</f>
        <v>0</v>
      </c>
      <c r="J399" s="116" t="e" cm="1">
        <f t="array" ref="J399">AVERAGE(J379:J398)</f>
        <v>#DIV/0!</v>
      </c>
      <c r="K399" s="117" cm="1">
        <f t="array" ref="K399">SUM(K379:K398)</f>
        <v>0</v>
      </c>
      <c r="L399" s="117" cm="1">
        <f t="array" ref="L399">SUM(L379:L398)</f>
        <v>0</v>
      </c>
      <c r="M399" s="117" cm="1">
        <f t="array" ref="M399">SUM(M379:M398)</f>
        <v>0</v>
      </c>
      <c r="N399" s="117" cm="1">
        <f t="array" ref="N399">SUM(N379:N398)</f>
        <v>0</v>
      </c>
      <c r="O399" s="117" cm="1">
        <f t="array" ref="O399">SUM(O379:O398)</f>
        <v>0</v>
      </c>
      <c r="P399" s="117" cm="1">
        <f t="array" ref="P399">SUM(P379:P398)</f>
        <v>0</v>
      </c>
      <c r="Q399" s="117" cm="1">
        <f t="array" ref="Q399">SUM(Q379:Q398)</f>
        <v>0</v>
      </c>
      <c r="R399" s="117" cm="1">
        <f t="array" ref="R399">SUM(R379:R398)</f>
        <v>0</v>
      </c>
      <c r="S399" s="117" cm="1">
        <f t="array" ref="S399">SUM(S379:S398)</f>
        <v>0</v>
      </c>
      <c r="T399" s="117" cm="1">
        <f t="array" ref="T399">SUM(T379:T398)</f>
        <v>0</v>
      </c>
      <c r="U399" s="117" cm="1">
        <f t="array" ref="U399">SUM(U379:U398)</f>
        <v>0</v>
      </c>
      <c r="V399" s="117" cm="1">
        <f t="array" ref="V399">SUM(V379:V398)</f>
        <v>0</v>
      </c>
      <c r="W399" s="117" cm="1">
        <f t="array" ref="W399">SUM(W379:W398)</f>
        <v>0</v>
      </c>
      <c r="X399" s="117" cm="1">
        <f t="array" ref="X399">SUM(X379:X398)</f>
        <v>0</v>
      </c>
      <c r="Y399" s="117" cm="1">
        <f t="array" ref="Y399">SUM(Y379:Y398)</f>
        <v>0</v>
      </c>
      <c r="Z399" s="118" cm="1">
        <f t="array" ref="Z399">IFERROR(X399/(X399+Y399),0)</f>
        <v>0</v>
      </c>
      <c r="AA399" s="85"/>
      <c r="AB399" s="119"/>
      <c r="AC399" s="119"/>
      <c r="AD399" s="119"/>
      <c r="AE399" s="119"/>
      <c r="AF399" s="119"/>
    </row>
    <row r="400" spans="1:32" ht="21.25" customHeight="1" x14ac:dyDescent="0.15">
      <c r="A400" s="37"/>
      <c r="B400" s="120"/>
      <c r="C400" s="121"/>
      <c r="D400" s="13"/>
      <c r="E400" s="13"/>
      <c r="F400" s="122"/>
      <c r="G400" s="123"/>
      <c r="H400" s="124"/>
      <c r="I400" s="12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90"/>
      <c r="AC400" s="90"/>
      <c r="AD400" s="90"/>
      <c r="AE400" s="90"/>
      <c r="AF400" s="90"/>
    </row>
    <row r="401" spans="1:32" ht="21.25" customHeight="1" x14ac:dyDescent="0.15">
      <c r="A401" s="40" t="s">
        <v>90</v>
      </c>
      <c r="B401" s="204" t="s">
        <v>92</v>
      </c>
      <c r="C401" s="194"/>
      <c r="D401" s="126" t="s">
        <v>93</v>
      </c>
      <c r="E401" s="126" t="s">
        <v>94</v>
      </c>
      <c r="F401" s="127" t="s">
        <v>96</v>
      </c>
      <c r="G401" s="127" t="s">
        <v>98</v>
      </c>
      <c r="H401" s="128"/>
      <c r="I401" s="129" t="s">
        <v>103</v>
      </c>
      <c r="J401" s="129" t="s">
        <v>118</v>
      </c>
      <c r="K401" s="129" t="s">
        <v>119</v>
      </c>
      <c r="L401" s="129" t="s">
        <v>120</v>
      </c>
      <c r="M401" s="129" t="s">
        <v>121</v>
      </c>
      <c r="N401" s="129" t="s">
        <v>122</v>
      </c>
      <c r="O401" s="129" t="s">
        <v>123</v>
      </c>
      <c r="P401" s="129" t="s">
        <v>124</v>
      </c>
      <c r="Q401" s="129" t="s">
        <v>125</v>
      </c>
      <c r="R401" s="85"/>
      <c r="S401" s="85"/>
      <c r="T401" s="85"/>
      <c r="U401" s="204" t="s">
        <v>814</v>
      </c>
      <c r="V401" s="205"/>
      <c r="W401" s="205"/>
      <c r="X401" s="204" t="s">
        <v>815</v>
      </c>
      <c r="Y401" s="205"/>
      <c r="Z401" s="205"/>
      <c r="AA401" s="85"/>
      <c r="AB401" s="85"/>
      <c r="AC401" s="85"/>
      <c r="AD401" s="85"/>
      <c r="AE401" s="85"/>
      <c r="AF401" s="85"/>
    </row>
    <row r="402" spans="1:32" ht="21.25" customHeight="1" x14ac:dyDescent="0.15">
      <c r="A402" s="146"/>
      <c r="B402" s="131" t="str" cm="1">
        <f t="array" ref="B402">IFERROR(VLOOKUP($A402,'The List'!$B1:$AS671,3,FALSE)," ")</f>
        <v xml:space="preserve"> </v>
      </c>
      <c r="C402" s="147" t="str" cm="1">
        <f t="array" ref="C402">IFERROR(VLOOKUP($A402,'The List'!$B1:$AS671,4,FALSE)," ")</f>
        <v xml:space="preserve"> </v>
      </c>
      <c r="D402" s="133" t="str" cm="1">
        <f t="array" ref="D402">IFERROR(VLOOKUP($A402,'The List'!$B1:$AS671,5,FALSE)," ")</f>
        <v xml:space="preserve"> </v>
      </c>
      <c r="E402" s="133" t="str" cm="1">
        <f t="array" ref="E402">IFERROR(VLOOKUP($A402,'The List'!$B1:$AS671,6,FALSE)," ")</f>
        <v xml:space="preserve"> </v>
      </c>
      <c r="F402" s="148" t="str" cm="1">
        <f t="array" ref="F402">IFERROR(VLOOKUP($A402,'The List'!$B1:$AS671,8,FALSE)," ")</f>
        <v xml:space="preserve"> </v>
      </c>
      <c r="G402" s="148" t="str" cm="1">
        <f t="array" ref="G402">IFERROR(VLOOKUP($A402,'The List'!$B1:$AS671,10,FALSE)," ")</f>
        <v xml:space="preserve"> </v>
      </c>
      <c r="H402" s="82"/>
      <c r="I402" s="149" t="str" cm="1">
        <f t="array" ref="I402">IFERROR(VLOOKUP($A402,'The List'!$B1:$AS671,35,FALSE)," ")</f>
        <v xml:space="preserve"> </v>
      </c>
      <c r="J402" s="149" t="str" cm="1">
        <f t="array" ref="J402">IFERROR(VLOOKUP($A402,'The List'!$B1:$AS671,36,FALSE)," ")</f>
        <v xml:space="preserve"> </v>
      </c>
      <c r="K402" s="149" t="str" cm="1">
        <f t="array" ref="K402">IFERROR(VLOOKUP($A402,'The List'!$B1:$AS671,37,FALSE)," ")</f>
        <v xml:space="preserve"> </v>
      </c>
      <c r="L402" s="149" t="str" cm="1">
        <f t="array" ref="L402">IFERROR(VLOOKUP($A402,'The List'!$B1:$AS671,38,FALSE)," ")</f>
        <v xml:space="preserve"> </v>
      </c>
      <c r="M402" s="149" t="str" cm="1">
        <f t="array" ref="M402">IFERROR(VLOOKUP($A402,'The List'!$B1:$AS671,39,FALSE)," ")</f>
        <v xml:space="preserve"> </v>
      </c>
      <c r="N402" s="149" t="str" cm="1">
        <f t="array" ref="N402">IFERROR(VLOOKUP($A402,'The List'!$B1:$AS671,40,FALSE)," ")</f>
        <v xml:space="preserve"> </v>
      </c>
      <c r="O402" s="149" t="str" cm="1">
        <f t="array" ref="O402">IFERROR(VLOOKUP($A402,'The List'!$B1:$AS671,41,FALSE)," ")</f>
        <v xml:space="preserve"> </v>
      </c>
      <c r="P402" s="149" t="str" cm="1">
        <f t="array" ref="P402">IFERROR(VLOOKUP($A402,'The List'!$B1:$AS671,42,FALSE)," ")</f>
        <v xml:space="preserve"> </v>
      </c>
      <c r="Q402" s="149" t="str" cm="1">
        <f t="array" ref="Q402">IFERROR(VLOOKUP($A402,'The List'!$B1:$AS671,43,FALSE)," ")</f>
        <v xml:space="preserve"> </v>
      </c>
      <c r="R402" s="85"/>
      <c r="S402" s="85"/>
      <c r="T402" s="139" t="str" cm="1">
        <f t="array" ref="T402">A378</f>
        <v>TEAM 14</v>
      </c>
      <c r="U402" s="206" cm="1">
        <f t="array" ref="U402">F399+F405</f>
        <v>0</v>
      </c>
      <c r="V402" s="194"/>
      <c r="W402" s="194"/>
      <c r="X402" s="206" cm="1">
        <f t="array" ref="X402">G405+G399</f>
        <v>0</v>
      </c>
      <c r="Y402" s="194"/>
      <c r="Z402" s="194"/>
      <c r="AA402" s="85"/>
      <c r="AB402" s="85"/>
      <c r="AC402" s="85"/>
      <c r="AD402" s="85"/>
      <c r="AE402" s="85"/>
      <c r="AF402" s="85"/>
    </row>
    <row r="403" spans="1:32" ht="21.25" customHeight="1" x14ac:dyDescent="0.15">
      <c r="A403" s="24"/>
      <c r="B403" s="140" t="str" cm="1">
        <f t="array" ref="B403">IFERROR(VLOOKUP($A403,'The List'!$B1:$AS671,3,FALSE)," ")</f>
        <v xml:space="preserve"> </v>
      </c>
      <c r="C403" s="141" t="str" cm="1">
        <f t="array" ref="C403">IFERROR(VLOOKUP($A403,'The List'!$B1:$AS671,4,FALSE)," ")</f>
        <v xml:space="preserve"> </v>
      </c>
      <c r="D403" s="18" t="str" cm="1">
        <f t="array" ref="D403">IFERROR(VLOOKUP($A403,'The List'!$B1:$AS671,5,FALSE)," ")</f>
        <v xml:space="preserve"> </v>
      </c>
      <c r="E403" s="18" t="str" cm="1">
        <f t="array" ref="E403">IFERROR(VLOOKUP($A403,'The List'!$B1:$AS671,6,FALSE)," ")</f>
        <v xml:space="preserve"> </v>
      </c>
      <c r="F403" s="92" t="str" cm="1">
        <f t="array" ref="F403">IFERROR(VLOOKUP($A403,'The List'!$B1:$AS671,8,FALSE)," ")</f>
        <v xml:space="preserve"> </v>
      </c>
      <c r="G403" s="92" t="str" cm="1">
        <f t="array" ref="G403">IFERROR(VLOOKUP($A403,'The List'!$B1:$AS671,10,FALSE)," ")</f>
        <v xml:space="preserve"> </v>
      </c>
      <c r="H403" s="55"/>
      <c r="I403" s="84" t="str" cm="1">
        <f t="array" ref="I403">IFERROR(VLOOKUP($A403,'The List'!$B1:$AS671,35,FALSE)," ")</f>
        <v xml:space="preserve"> </v>
      </c>
      <c r="J403" s="84" t="str" cm="1">
        <f t="array" ref="J403">IFERROR(VLOOKUP($A403,'The List'!$B1:$AS671,36,FALSE)," ")</f>
        <v xml:space="preserve"> </v>
      </c>
      <c r="K403" s="84" t="str" cm="1">
        <f t="array" ref="K403">IFERROR(VLOOKUP($A403,'The List'!$B1:$AS671,37,FALSE)," ")</f>
        <v xml:space="preserve"> </v>
      </c>
      <c r="L403" s="84" t="str" cm="1">
        <f t="array" ref="L403">IFERROR(VLOOKUP($A403,'The List'!$B1:$AS671,38,FALSE)," ")</f>
        <v xml:space="preserve"> </v>
      </c>
      <c r="M403" s="84" t="str" cm="1">
        <f t="array" ref="M403">IFERROR(VLOOKUP($A403,'The List'!$B1:$AS671,39,FALSE)," ")</f>
        <v xml:space="preserve"> </v>
      </c>
      <c r="N403" s="84" t="str" cm="1">
        <f t="array" ref="N403">IFERROR(VLOOKUP($A403,'The List'!$B1:$AS671,40,FALSE)," ")</f>
        <v xml:space="preserve"> </v>
      </c>
      <c r="O403" s="84" t="str" cm="1">
        <f t="array" ref="O403">IFERROR(VLOOKUP($A403,'The List'!$B1:$AS671,41,FALSE)," ")</f>
        <v xml:space="preserve"> </v>
      </c>
      <c r="P403" s="84" t="str" cm="1">
        <f t="array" ref="P403">IFERROR(VLOOKUP($A403,'The List'!$B1:$AS671,42,FALSE)," ")</f>
        <v xml:space="preserve"> </v>
      </c>
      <c r="Q403" s="84" t="str" cm="1">
        <f t="array" ref="Q403">IFERROR(VLOOKUP($A403,'The List'!$B1:$AS671,43,FALSE)," ")</f>
        <v xml:space="preserve"> </v>
      </c>
      <c r="R403" s="85"/>
      <c r="S403" s="85"/>
      <c r="T403" s="85"/>
      <c r="U403" s="194"/>
      <c r="V403" s="194"/>
      <c r="W403" s="194"/>
      <c r="X403" s="194"/>
      <c r="Y403" s="194"/>
      <c r="Z403" s="194"/>
      <c r="AA403" s="85"/>
      <c r="AB403" s="85"/>
      <c r="AC403" s="85"/>
      <c r="AD403" s="85"/>
      <c r="AE403" s="85"/>
      <c r="AF403" s="85"/>
    </row>
    <row r="404" spans="1:32" ht="21.25" customHeight="1" x14ac:dyDescent="0.15">
      <c r="A404" s="103"/>
      <c r="B404" s="142" t="str" cm="1">
        <f t="array" ref="B404">IFERROR(VLOOKUP($A404,'The List'!$B1:$AS671,3,FALSE)," ")</f>
        <v xml:space="preserve"> </v>
      </c>
      <c r="C404" s="143" t="str" cm="1">
        <f t="array" ref="C404">IFERROR(VLOOKUP($A404,'The List'!$B1:$AS671,4,FALSE)," ")</f>
        <v xml:space="preserve"> </v>
      </c>
      <c r="D404" s="106" t="str" cm="1">
        <f t="array" ref="D404">IFERROR(VLOOKUP($A404,'The List'!$B1:$AS671,5,FALSE)," ")</f>
        <v xml:space="preserve"> </v>
      </c>
      <c r="E404" s="106" t="str" cm="1">
        <f t="array" ref="E404">IFERROR(VLOOKUP($A404,'The List'!$B1:$AS671,6,FALSE)," ")</f>
        <v xml:space="preserve"> </v>
      </c>
      <c r="F404" s="107" t="str" cm="1">
        <f t="array" ref="F404">IFERROR(VLOOKUP($A404,'The List'!$B1:$AS671,8,FALSE)," ")</f>
        <v xml:space="preserve"> </v>
      </c>
      <c r="G404" s="107" t="str" cm="1">
        <f t="array" ref="G404">IFERROR(VLOOKUP($A404,'The List'!$B1:$AS671,10,FALSE)," ")</f>
        <v xml:space="preserve"> </v>
      </c>
      <c r="H404" s="108"/>
      <c r="I404" s="109" t="str" cm="1">
        <f t="array" ref="I404">IFERROR(VLOOKUP($A404,'The List'!$B1:$AS671,35,FALSE)," ")</f>
        <v xml:space="preserve"> </v>
      </c>
      <c r="J404" s="109" t="str" cm="1">
        <f t="array" ref="J404">IFERROR(VLOOKUP($A404,'The List'!$B1:$AS671,36,FALSE)," ")</f>
        <v xml:space="preserve"> </v>
      </c>
      <c r="K404" s="109" t="str" cm="1">
        <f t="array" ref="K404">IFERROR(VLOOKUP($A404,'The List'!$B1:$AS671,37,FALSE)," ")</f>
        <v xml:space="preserve"> </v>
      </c>
      <c r="L404" s="109" t="str" cm="1">
        <f t="array" ref="L404">IFERROR(VLOOKUP($A404,'The List'!$B1:$AS671,38,FALSE)," ")</f>
        <v xml:space="preserve"> </v>
      </c>
      <c r="M404" s="109" t="str" cm="1">
        <f t="array" ref="M404">IFERROR(VLOOKUP($A404,'The List'!$B1:$AS671,39,FALSE)," ")</f>
        <v xml:space="preserve"> </v>
      </c>
      <c r="N404" s="109" t="str" cm="1">
        <f t="array" ref="N404">IFERROR(VLOOKUP($A404,'The List'!$B1:$AS671,40,FALSE)," ")</f>
        <v xml:space="preserve"> </v>
      </c>
      <c r="O404" s="109" t="str" cm="1">
        <f t="array" ref="O404">IFERROR(VLOOKUP($A404,'The List'!$B1:$AS671,41,FALSE)," ")</f>
        <v xml:space="preserve"> </v>
      </c>
      <c r="P404" s="109" t="str" cm="1">
        <f t="array" ref="P404">IFERROR(VLOOKUP($A404,'The List'!$B1:$AS671,42,FALSE)," ")</f>
        <v xml:space="preserve"> </v>
      </c>
      <c r="Q404" s="109" t="str" cm="1">
        <f t="array" ref="Q404">IFERROR(VLOOKUP($A404,'The List'!$B1:$AS671,43,FALSE)," ")</f>
        <v xml:space="preserve"> </v>
      </c>
      <c r="R404" s="85"/>
      <c r="S404" s="85"/>
      <c r="T404" s="85"/>
      <c r="U404" s="194"/>
      <c r="V404" s="194"/>
      <c r="W404" s="194"/>
      <c r="X404" s="194"/>
      <c r="Y404" s="194"/>
      <c r="Z404" s="194"/>
      <c r="AA404" s="85"/>
      <c r="AB404" s="85"/>
      <c r="AC404" s="85"/>
      <c r="AD404" s="85"/>
      <c r="AE404" s="85"/>
      <c r="AF404" s="85"/>
    </row>
    <row r="405" spans="1:32" ht="21.25" customHeight="1" x14ac:dyDescent="0.15">
      <c r="A405" s="110"/>
      <c r="B405" s="111"/>
      <c r="C405" s="112"/>
      <c r="D405" s="113"/>
      <c r="E405" s="113" t="str" cm="1">
        <f t="array" ref="E405">IFERROR(AVERAGE(E402:E404)," ")</f>
        <v xml:space="preserve"> </v>
      </c>
      <c r="F405" s="115" cm="1">
        <f t="array" ref="F405">SUM(F402:F404)</f>
        <v>0</v>
      </c>
      <c r="G405" s="115" cm="1">
        <f t="array" ref="G405">SUM(G402:G404)</f>
        <v>0</v>
      </c>
      <c r="H405" s="116"/>
      <c r="I405" s="117" cm="1">
        <f t="array" ref="I405">SUM(I402:I404)</f>
        <v>0</v>
      </c>
      <c r="J405" s="116" cm="1">
        <f t="array" ref="J405">SUM(J402:J404)</f>
        <v>0</v>
      </c>
      <c r="K405" s="117" cm="1">
        <f t="array" ref="K405">SUM(K402:K404)</f>
        <v>0</v>
      </c>
      <c r="L405" s="117" cm="1">
        <f t="array" ref="L405">SUM(L402:L404)</f>
        <v>0</v>
      </c>
      <c r="M405" s="117" cm="1">
        <f t="array" ref="M405">SUM(M402:M404)</f>
        <v>0</v>
      </c>
      <c r="N405" s="117" cm="1">
        <f t="array" ref="N405">SUM(N402:N404)</f>
        <v>0</v>
      </c>
      <c r="O405" s="117" cm="1">
        <f t="array" ref="O405">SUM(O402:O404)</f>
        <v>0</v>
      </c>
      <c r="P405" s="144" t="e" cm="1">
        <f t="array" ref="P405">1-(O405/(N405+O405))</f>
        <v>#DIV/0!</v>
      </c>
      <c r="Q405" s="145" t="e" cm="1">
        <f t="array" ref="Q405">O405/I405</f>
        <v>#DIV/0!</v>
      </c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</row>
    <row r="406" spans="1:32" ht="70.75" customHeight="1" x14ac:dyDescent="0.15">
      <c r="A406" s="37"/>
      <c r="B406" s="120"/>
      <c r="C406" s="121"/>
      <c r="D406" s="13"/>
      <c r="E406" s="13"/>
      <c r="F406" s="122"/>
      <c r="G406" s="123"/>
      <c r="H406" s="124"/>
      <c r="I406" s="12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90"/>
      <c r="AB406" s="90"/>
      <c r="AC406" s="90"/>
      <c r="AD406" s="90"/>
      <c r="AE406" s="90"/>
      <c r="AF406" s="90"/>
    </row>
    <row r="407" spans="1:32" ht="21.25" customHeight="1" x14ac:dyDescent="0.15">
      <c r="A407" s="41" t="s">
        <v>812</v>
      </c>
      <c r="B407" s="203" t="s">
        <v>92</v>
      </c>
      <c r="C407" s="200"/>
      <c r="D407" s="42" t="s">
        <v>93</v>
      </c>
      <c r="E407" s="42" t="s">
        <v>94</v>
      </c>
      <c r="F407" s="43" t="s">
        <v>96</v>
      </c>
      <c r="G407" s="43" t="s">
        <v>98</v>
      </c>
      <c r="H407" s="44"/>
      <c r="I407" s="46" t="s">
        <v>103</v>
      </c>
      <c r="J407" s="46" t="s">
        <v>56</v>
      </c>
      <c r="K407" s="46" t="s">
        <v>104</v>
      </c>
      <c r="L407" s="46" t="s">
        <v>105</v>
      </c>
      <c r="M407" s="46" t="s">
        <v>106</v>
      </c>
      <c r="N407" s="46" t="s">
        <v>107</v>
      </c>
      <c r="O407" s="46" t="s">
        <v>64</v>
      </c>
      <c r="P407" s="46" t="s">
        <v>67</v>
      </c>
      <c r="Q407" s="46" t="s">
        <v>108</v>
      </c>
      <c r="R407" s="46" t="s">
        <v>109</v>
      </c>
      <c r="S407" s="46" t="s">
        <v>110</v>
      </c>
      <c r="T407" s="46" t="s">
        <v>111</v>
      </c>
      <c r="U407" s="46" t="s">
        <v>112</v>
      </c>
      <c r="V407" s="46" t="s">
        <v>113</v>
      </c>
      <c r="W407" s="46" t="s">
        <v>114</v>
      </c>
      <c r="X407" s="46" t="s">
        <v>115</v>
      </c>
      <c r="Y407" s="46" t="s">
        <v>116</v>
      </c>
      <c r="Z407" s="46" t="s">
        <v>117</v>
      </c>
      <c r="AA407" s="85"/>
      <c r="AB407" s="86"/>
      <c r="AC407" s="86"/>
      <c r="AD407" s="86"/>
      <c r="AE407" s="86"/>
      <c r="AF407" s="86"/>
    </row>
    <row r="408" spans="1:32" ht="21.25" customHeight="1" x14ac:dyDescent="0.15">
      <c r="A408" s="24"/>
      <c r="B408" s="87" t="str" cm="1">
        <f t="array" ref="B408">IFERROR(VLOOKUP($A408,'The List'!$B1:$AS671,3,FALSE)," ")</f>
        <v xml:space="preserve"> </v>
      </c>
      <c r="C408" s="91" t="str" cm="1">
        <f t="array" ref="C408">IFERROR(VLOOKUP($A408,'The List'!$B1:$AS671,4,FALSE)," ")</f>
        <v xml:space="preserve"> </v>
      </c>
      <c r="D408" s="18" t="str" cm="1">
        <f t="array" ref="D408">IFERROR(VLOOKUP($A408,'The List'!$B1:$AS671,5,FALSE)," ")</f>
        <v xml:space="preserve"> </v>
      </c>
      <c r="E408" s="18" t="str" cm="1">
        <f t="array" ref="E408">IFERROR(VLOOKUP($A408,'The List'!$B1:$AS671,6,FALSE)," ")</f>
        <v xml:space="preserve"> </v>
      </c>
      <c r="F408" s="92" t="str" cm="1">
        <f t="array" ref="F408">IFERROR(VLOOKUP($A408,'The List'!$B1:$AS671,8,FALSE)," ")</f>
        <v xml:space="preserve"> </v>
      </c>
      <c r="G408" s="92" t="str" cm="1">
        <f t="array" ref="G408">IFERROR(VLOOKUP($A408,'The List'!$B1:$AS671,10,FALSE)," ")</f>
        <v xml:space="preserve"> </v>
      </c>
      <c r="H408" s="55"/>
      <c r="I408" s="84" t="str" cm="1">
        <f t="array" ref="I408">IFERROR(VLOOKUP($A408,'The List'!$B1:$AS671,16,FALSE)," ")</f>
        <v xml:space="preserve"> </v>
      </c>
      <c r="J408" s="84" t="str" cm="1">
        <f t="array" ref="J408">IFERROR(VLOOKUP($A408,'The List'!$B1:$AS671,17,FALSE)," ")</f>
        <v xml:space="preserve"> </v>
      </c>
      <c r="K408" s="84" t="str" cm="1">
        <f t="array" ref="K408">IFERROR(VLOOKUP($A408,'The List'!$B1:$AS671,18,FALSE)," ")</f>
        <v xml:space="preserve"> </v>
      </c>
      <c r="L408" s="84" t="str" cm="1">
        <f t="array" ref="L408">IFERROR(VLOOKUP($A408,'The List'!$B1:$AS671,19,FALSE)," ")</f>
        <v xml:space="preserve"> </v>
      </c>
      <c r="M408" s="84" t="str" cm="1">
        <f t="array" ref="M408">IFERROR(VLOOKUP($A408,'The List'!$B1:$AS671,20,FALSE)," ")</f>
        <v xml:space="preserve"> </v>
      </c>
      <c r="N408" s="84" t="str" cm="1">
        <f t="array" ref="N408">IFERROR(VLOOKUP($A408,'The List'!$B1:$AS671,21,FALSE)," ")</f>
        <v xml:space="preserve"> </v>
      </c>
      <c r="O408" s="84" t="str" cm="1">
        <f t="array" ref="O408">IFERROR(VLOOKUP($A408,'The List'!$B1:$AS671,22,FALSE)," ")</f>
        <v xml:space="preserve"> </v>
      </c>
      <c r="P408" s="84" t="str" cm="1">
        <f t="array" ref="P408">IFERROR(VLOOKUP($A408,'The List'!$B1:$AS671,23,FALSE)," ")</f>
        <v xml:space="preserve"> </v>
      </c>
      <c r="Q408" s="84" t="str" cm="1">
        <f t="array" ref="Q408">IFERROR(VLOOKUP($A408,'The List'!$B1:$AS671,24,FALSE)," ")</f>
        <v xml:space="preserve"> </v>
      </c>
      <c r="R408" s="84" t="str" cm="1">
        <f t="array" ref="R408">IFERROR(VLOOKUP($A408,'The List'!$B1:$AS671,25,FALSE)," ")</f>
        <v xml:space="preserve"> </v>
      </c>
      <c r="S408" s="84" t="str" cm="1">
        <f t="array" ref="S408">IFERROR(VLOOKUP($A408,'The List'!$B1:$AS671,26,FALSE)," ")</f>
        <v xml:space="preserve"> </v>
      </c>
      <c r="T408" s="84" t="str" cm="1">
        <f t="array" ref="T408">IFERROR(VLOOKUP($A408,'The List'!$B1:$AS671,27,FALSE)," ")</f>
        <v xml:space="preserve"> </v>
      </c>
      <c r="U408" s="84" t="str" cm="1">
        <f t="array" ref="U408">IFERROR(VLOOKUP($A408,'The List'!$B1:$AS671,28,FALSE)," ")</f>
        <v xml:space="preserve"> </v>
      </c>
      <c r="V408" s="84" t="str" cm="1">
        <f t="array" ref="V408">IFERROR(VLOOKUP($A408,'The List'!$B1:$AS671,29,FALSE)," ")</f>
        <v xml:space="preserve"> </v>
      </c>
      <c r="W408" s="84" t="str" cm="1">
        <f t="array" ref="W408">IFERROR(VLOOKUP($A408,'The List'!$B1:$AS671,30,FALSE)," ")</f>
        <v xml:space="preserve"> </v>
      </c>
      <c r="X408" s="84" t="str" cm="1">
        <f t="array" ref="X408">IFERROR(VLOOKUP($A408,'The List'!$B1:$AS671,31,FALSE)," ")</f>
        <v xml:space="preserve"> </v>
      </c>
      <c r="Y408" s="84" t="str" cm="1">
        <f t="array" ref="Y408">IFERROR(VLOOKUP($A408,'The List'!$B1:$AS671,32,FALSE)," ")</f>
        <v xml:space="preserve"> </v>
      </c>
      <c r="Z408" s="84" t="str" cm="1">
        <f t="array" ref="Z408">IFERROR(VLOOKUP($A408,'The List'!$B1:$AS671,33,FALSE)," ")</f>
        <v xml:space="preserve"> </v>
      </c>
      <c r="AA408" s="85"/>
      <c r="AB408" s="90"/>
      <c r="AC408" s="90"/>
      <c r="AD408" s="90"/>
      <c r="AE408" s="90"/>
      <c r="AF408" s="90"/>
    </row>
    <row r="409" spans="1:32" ht="21.25" customHeight="1" x14ac:dyDescent="0.15">
      <c r="A409" s="24"/>
      <c r="B409" s="87" t="str" cm="1">
        <f t="array" ref="B409">IFERROR(VLOOKUP($A409,'The List'!$B1:$AS671,3,FALSE)," ")</f>
        <v xml:space="preserve"> </v>
      </c>
      <c r="C409" s="91" t="str" cm="1">
        <f t="array" ref="C409">IFERROR(VLOOKUP($A409,'The List'!$B1:$AS671,4,FALSE)," ")</f>
        <v xml:space="preserve"> </v>
      </c>
      <c r="D409" s="18" t="str" cm="1">
        <f t="array" ref="D409">IFERROR(VLOOKUP($A409,'The List'!$B1:$AS671,5,FALSE)," ")</f>
        <v xml:space="preserve"> </v>
      </c>
      <c r="E409" s="18" t="str" cm="1">
        <f t="array" ref="E409">IFERROR(VLOOKUP($A409,'The List'!$B1:$AS671,6,FALSE)," ")</f>
        <v xml:space="preserve"> </v>
      </c>
      <c r="F409" s="92" t="str" cm="1">
        <f t="array" ref="F409">IFERROR(VLOOKUP($A409,'The List'!$B1:$AS671,8,FALSE)," ")</f>
        <v xml:space="preserve"> </v>
      </c>
      <c r="G409" s="92" t="str" cm="1">
        <f t="array" ref="G409">IFERROR(VLOOKUP($A409,'The List'!$B1:$AS671,10,FALSE)," ")</f>
        <v xml:space="preserve"> </v>
      </c>
      <c r="H409" s="55"/>
      <c r="I409" s="84" t="str" cm="1">
        <f t="array" ref="I409">IFERROR(VLOOKUP($A409,'The List'!$B1:$AS671,16,FALSE)," ")</f>
        <v xml:space="preserve"> </v>
      </c>
      <c r="J409" s="84" t="str" cm="1">
        <f t="array" ref="J409">IFERROR(VLOOKUP($A409,'The List'!$B1:$AS671,17,FALSE)," ")</f>
        <v xml:space="preserve"> </v>
      </c>
      <c r="K409" s="84" t="str" cm="1">
        <f t="array" ref="K409">IFERROR(VLOOKUP($A409,'The List'!$B1:$AS671,18,FALSE)," ")</f>
        <v xml:space="preserve"> </v>
      </c>
      <c r="L409" s="84" t="str" cm="1">
        <f t="array" ref="L409">IFERROR(VLOOKUP($A409,'The List'!$B1:$AS671,19,FALSE)," ")</f>
        <v xml:space="preserve"> </v>
      </c>
      <c r="M409" s="84" t="str" cm="1">
        <f t="array" ref="M409">IFERROR(VLOOKUP($A409,'The List'!$B1:$AS671,20,FALSE)," ")</f>
        <v xml:space="preserve"> </v>
      </c>
      <c r="N409" s="84" t="str" cm="1">
        <f t="array" ref="N409">IFERROR(VLOOKUP($A409,'The List'!$B1:$AS671,21,FALSE)," ")</f>
        <v xml:space="preserve"> </v>
      </c>
      <c r="O409" s="84" t="str" cm="1">
        <f t="array" ref="O409">IFERROR(VLOOKUP($A409,'The List'!$B1:$AS671,22,FALSE)," ")</f>
        <v xml:space="preserve"> </v>
      </c>
      <c r="P409" s="84" t="str" cm="1">
        <f t="array" ref="P409">IFERROR(VLOOKUP($A409,'The List'!$B1:$AS671,23,FALSE)," ")</f>
        <v xml:space="preserve"> </v>
      </c>
      <c r="Q409" s="84" t="str" cm="1">
        <f t="array" ref="Q409">IFERROR(VLOOKUP($A409,'The List'!$B1:$AS671,24,FALSE)," ")</f>
        <v xml:space="preserve"> </v>
      </c>
      <c r="R409" s="84" t="str" cm="1">
        <f t="array" ref="R409">IFERROR(VLOOKUP($A409,'The List'!$B1:$AS671,25,FALSE)," ")</f>
        <v xml:space="preserve"> </v>
      </c>
      <c r="S409" s="84" t="str" cm="1">
        <f t="array" ref="S409">IFERROR(VLOOKUP($A409,'The List'!$B1:$AS671,26,FALSE)," ")</f>
        <v xml:space="preserve"> </v>
      </c>
      <c r="T409" s="84" t="str" cm="1">
        <f t="array" ref="T409">IFERROR(VLOOKUP($A409,'The List'!$B1:$AS671,27,FALSE)," ")</f>
        <v xml:space="preserve"> </v>
      </c>
      <c r="U409" s="84" t="str" cm="1">
        <f t="array" ref="U409">IFERROR(VLOOKUP($A409,'The List'!$B1:$AS671,28,FALSE)," ")</f>
        <v xml:space="preserve"> </v>
      </c>
      <c r="V409" s="84" t="str" cm="1">
        <f t="array" ref="V409">IFERROR(VLOOKUP($A409,'The List'!$B1:$AS671,29,FALSE)," ")</f>
        <v xml:space="preserve"> </v>
      </c>
      <c r="W409" s="84" t="str" cm="1">
        <f t="array" ref="W409">IFERROR(VLOOKUP($A409,'The List'!$B1:$AS671,30,FALSE)," ")</f>
        <v xml:space="preserve"> </v>
      </c>
      <c r="X409" s="84" t="str" cm="1">
        <f t="array" ref="X409">IFERROR(VLOOKUP($A409,'The List'!$B1:$AS671,31,FALSE)," ")</f>
        <v xml:space="preserve"> </v>
      </c>
      <c r="Y409" s="84" t="str" cm="1">
        <f t="array" ref="Y409">IFERROR(VLOOKUP($A409,'The List'!$B1:$AS671,32,FALSE)," ")</f>
        <v xml:space="preserve"> </v>
      </c>
      <c r="Z409" s="84" t="str" cm="1">
        <f t="array" ref="Z409">IFERROR(VLOOKUP($A409,'The List'!$B1:$AS671,33,FALSE)," ")</f>
        <v xml:space="preserve"> </v>
      </c>
      <c r="AA409" s="85"/>
      <c r="AB409" s="90"/>
      <c r="AC409" s="90"/>
      <c r="AD409" s="90"/>
      <c r="AE409" s="90"/>
      <c r="AF409" s="90"/>
    </row>
    <row r="410" spans="1:32" ht="21.25" customHeight="1" x14ac:dyDescent="0.15">
      <c r="A410" s="24"/>
      <c r="B410" s="87" t="str" cm="1">
        <f t="array" ref="B410">IFERROR(VLOOKUP($A410,'The List'!$B1:$AS671,3,FALSE)," ")</f>
        <v xml:space="preserve"> </v>
      </c>
      <c r="C410" s="91" t="str" cm="1">
        <f t="array" ref="C410">IFERROR(VLOOKUP($A410,'The List'!$B1:$AS671,4,FALSE)," ")</f>
        <v xml:space="preserve"> </v>
      </c>
      <c r="D410" s="18" t="str" cm="1">
        <f t="array" ref="D410">IFERROR(VLOOKUP($A410,'The List'!$B1:$AS671,5,FALSE)," ")</f>
        <v xml:space="preserve"> </v>
      </c>
      <c r="E410" s="18" t="str" cm="1">
        <f t="array" ref="E410">IFERROR(VLOOKUP($A410,'The List'!$B1:$AS671,6,FALSE)," ")</f>
        <v xml:space="preserve"> </v>
      </c>
      <c r="F410" s="92" t="str" cm="1">
        <f t="array" ref="F410">IFERROR(VLOOKUP($A410,'The List'!$B1:$AS671,8,FALSE)," ")</f>
        <v xml:space="preserve"> </v>
      </c>
      <c r="G410" s="92" t="str" cm="1">
        <f t="array" ref="G410">IFERROR(VLOOKUP($A410,'The List'!$B1:$AS671,10,FALSE)," ")</f>
        <v xml:space="preserve"> </v>
      </c>
      <c r="H410" s="55"/>
      <c r="I410" s="84" t="str" cm="1">
        <f t="array" ref="I410">IFERROR(VLOOKUP($A410,'The List'!$B1:$AS671,16,FALSE)," ")</f>
        <v xml:space="preserve"> </v>
      </c>
      <c r="J410" s="84" t="str" cm="1">
        <f t="array" ref="J410">IFERROR(VLOOKUP($A410,'The List'!$B1:$AS671,17,FALSE)," ")</f>
        <v xml:space="preserve"> </v>
      </c>
      <c r="K410" s="84" t="str" cm="1">
        <f t="array" ref="K410">IFERROR(VLOOKUP($A410,'The List'!$B1:$AS671,18,FALSE)," ")</f>
        <v xml:space="preserve"> </v>
      </c>
      <c r="L410" s="84" t="str" cm="1">
        <f t="array" ref="L410">IFERROR(VLOOKUP($A410,'The List'!$B1:$AS671,19,FALSE)," ")</f>
        <v xml:space="preserve"> </v>
      </c>
      <c r="M410" s="84" t="str" cm="1">
        <f t="array" ref="M410">IFERROR(VLOOKUP($A410,'The List'!$B1:$AS671,20,FALSE)," ")</f>
        <v xml:space="preserve"> </v>
      </c>
      <c r="N410" s="84" t="str" cm="1">
        <f t="array" ref="N410">IFERROR(VLOOKUP($A410,'The List'!$B1:$AS671,21,FALSE)," ")</f>
        <v xml:space="preserve"> </v>
      </c>
      <c r="O410" s="84" t="str" cm="1">
        <f t="array" ref="O410">IFERROR(VLOOKUP($A410,'The List'!$B1:$AS671,22,FALSE)," ")</f>
        <v xml:space="preserve"> </v>
      </c>
      <c r="P410" s="84" t="str" cm="1">
        <f t="array" ref="P410">IFERROR(VLOOKUP($A410,'The List'!$B1:$AS671,23,FALSE)," ")</f>
        <v xml:space="preserve"> </v>
      </c>
      <c r="Q410" s="84" t="str" cm="1">
        <f t="array" ref="Q410">IFERROR(VLOOKUP($A410,'The List'!$B1:$AS671,24,FALSE)," ")</f>
        <v xml:space="preserve"> </v>
      </c>
      <c r="R410" s="84" t="str" cm="1">
        <f t="array" ref="R410">IFERROR(VLOOKUP($A410,'The List'!$B1:$AS671,25,FALSE)," ")</f>
        <v xml:space="preserve"> </v>
      </c>
      <c r="S410" s="84" t="str" cm="1">
        <f t="array" ref="S410">IFERROR(VLOOKUP($A410,'The List'!$B1:$AS671,26,FALSE)," ")</f>
        <v xml:space="preserve"> </v>
      </c>
      <c r="T410" s="84" t="str" cm="1">
        <f t="array" ref="T410">IFERROR(VLOOKUP($A410,'The List'!$B1:$AS671,27,FALSE)," ")</f>
        <v xml:space="preserve"> </v>
      </c>
      <c r="U410" s="84" t="str" cm="1">
        <f t="array" ref="U410">IFERROR(VLOOKUP($A410,'The List'!$B1:$AS671,28,FALSE)," ")</f>
        <v xml:space="preserve"> </v>
      </c>
      <c r="V410" s="84" t="str" cm="1">
        <f t="array" ref="V410">IFERROR(VLOOKUP($A410,'The List'!$B1:$AS671,29,FALSE)," ")</f>
        <v xml:space="preserve"> </v>
      </c>
      <c r="W410" s="84" t="str" cm="1">
        <f t="array" ref="W410">IFERROR(VLOOKUP($A410,'The List'!$B1:$AS671,30,FALSE)," ")</f>
        <v xml:space="preserve"> </v>
      </c>
      <c r="X410" s="84" t="str" cm="1">
        <f t="array" ref="X410">IFERROR(VLOOKUP($A410,'The List'!$B1:$AS671,31,FALSE)," ")</f>
        <v xml:space="preserve"> </v>
      </c>
      <c r="Y410" s="84" t="str" cm="1">
        <f t="array" ref="Y410">IFERROR(VLOOKUP($A410,'The List'!$B1:$AS671,32,FALSE)," ")</f>
        <v xml:space="preserve"> </v>
      </c>
      <c r="Z410" s="84" t="str" cm="1">
        <f t="array" ref="Z410">IFERROR(VLOOKUP($A410,'The List'!$B1:$AS671,33,FALSE)," ")</f>
        <v xml:space="preserve"> </v>
      </c>
      <c r="AA410" s="85"/>
      <c r="AB410" s="90"/>
      <c r="AC410" s="90"/>
      <c r="AD410" s="90"/>
      <c r="AE410" s="90"/>
      <c r="AF410" s="90"/>
    </row>
    <row r="411" spans="1:32" ht="21.25" customHeight="1" x14ac:dyDescent="0.15">
      <c r="A411" s="24"/>
      <c r="B411" s="87" t="str" cm="1">
        <f t="array" ref="B411">IFERROR(VLOOKUP($A411,'The List'!$B1:$AS671,3,FALSE)," ")</f>
        <v xml:space="preserve"> </v>
      </c>
      <c r="C411" s="91" t="str" cm="1">
        <f t="array" ref="C411">IFERROR(VLOOKUP($A411,'The List'!$B1:$AS671,4,FALSE)," ")</f>
        <v xml:space="preserve"> </v>
      </c>
      <c r="D411" s="18" t="str" cm="1">
        <f t="array" ref="D411">IFERROR(VLOOKUP($A411,'The List'!$B1:$AS671,5,FALSE)," ")</f>
        <v xml:space="preserve"> </v>
      </c>
      <c r="E411" s="18" t="str" cm="1">
        <f t="array" ref="E411">IFERROR(VLOOKUP($A411,'The List'!$B1:$AS671,6,FALSE)," ")</f>
        <v xml:space="preserve"> </v>
      </c>
      <c r="F411" s="92" t="str" cm="1">
        <f t="array" ref="F411">IFERROR(VLOOKUP($A411,'The List'!$B1:$AS671,8,FALSE)," ")</f>
        <v xml:space="preserve"> </v>
      </c>
      <c r="G411" s="92" t="str" cm="1">
        <f t="array" ref="G411">IFERROR(VLOOKUP($A411,'The List'!$B1:$AS671,10,FALSE)," ")</f>
        <v xml:space="preserve"> </v>
      </c>
      <c r="H411" s="55"/>
      <c r="I411" s="84" t="str" cm="1">
        <f t="array" ref="I411">IFERROR(VLOOKUP($A411,'The List'!$B1:$AS671,16,FALSE)," ")</f>
        <v xml:space="preserve"> </v>
      </c>
      <c r="J411" s="84" t="str" cm="1">
        <f t="array" ref="J411">IFERROR(VLOOKUP($A411,'The List'!$B1:$AS671,17,FALSE)," ")</f>
        <v xml:space="preserve"> </v>
      </c>
      <c r="K411" s="84" t="str" cm="1">
        <f t="array" ref="K411">IFERROR(VLOOKUP($A411,'The List'!$B1:$AS671,18,FALSE)," ")</f>
        <v xml:space="preserve"> </v>
      </c>
      <c r="L411" s="84" t="str" cm="1">
        <f t="array" ref="L411">IFERROR(VLOOKUP($A411,'The List'!$B1:$AS671,19,FALSE)," ")</f>
        <v xml:space="preserve"> </v>
      </c>
      <c r="M411" s="84" t="str" cm="1">
        <f t="array" ref="M411">IFERROR(VLOOKUP($A411,'The List'!$B1:$AS671,20,FALSE)," ")</f>
        <v xml:space="preserve"> </v>
      </c>
      <c r="N411" s="84" t="str" cm="1">
        <f t="array" ref="N411">IFERROR(VLOOKUP($A411,'The List'!$B1:$AS671,21,FALSE)," ")</f>
        <v xml:space="preserve"> </v>
      </c>
      <c r="O411" s="84" t="str" cm="1">
        <f t="array" ref="O411">IFERROR(VLOOKUP($A411,'The List'!$B1:$AS671,22,FALSE)," ")</f>
        <v xml:space="preserve"> </v>
      </c>
      <c r="P411" s="84" t="str" cm="1">
        <f t="array" ref="P411">IFERROR(VLOOKUP($A411,'The List'!$B1:$AS671,23,FALSE)," ")</f>
        <v xml:space="preserve"> </v>
      </c>
      <c r="Q411" s="84" t="str" cm="1">
        <f t="array" ref="Q411">IFERROR(VLOOKUP($A411,'The List'!$B1:$AS671,24,FALSE)," ")</f>
        <v xml:space="preserve"> </v>
      </c>
      <c r="R411" s="84" t="str" cm="1">
        <f t="array" ref="R411">IFERROR(VLOOKUP($A411,'The List'!$B1:$AS671,25,FALSE)," ")</f>
        <v xml:space="preserve"> </v>
      </c>
      <c r="S411" s="84" t="str" cm="1">
        <f t="array" ref="S411">IFERROR(VLOOKUP($A411,'The List'!$B1:$AS671,26,FALSE)," ")</f>
        <v xml:space="preserve"> </v>
      </c>
      <c r="T411" s="84" t="str" cm="1">
        <f t="array" ref="T411">IFERROR(VLOOKUP($A411,'The List'!$B1:$AS671,27,FALSE)," ")</f>
        <v xml:space="preserve"> </v>
      </c>
      <c r="U411" s="84" t="str" cm="1">
        <f t="array" ref="U411">IFERROR(VLOOKUP($A411,'The List'!$B1:$AS671,28,FALSE)," ")</f>
        <v xml:space="preserve"> </v>
      </c>
      <c r="V411" s="84" t="str" cm="1">
        <f t="array" ref="V411">IFERROR(VLOOKUP($A411,'The List'!$B1:$AS671,29,FALSE)," ")</f>
        <v xml:space="preserve"> </v>
      </c>
      <c r="W411" s="84" t="str" cm="1">
        <f t="array" ref="W411">IFERROR(VLOOKUP($A411,'The List'!$B1:$AS671,30,FALSE)," ")</f>
        <v xml:space="preserve"> </v>
      </c>
      <c r="X411" s="84" t="str" cm="1">
        <f t="array" ref="X411">IFERROR(VLOOKUP($A411,'The List'!$B1:$AS671,31,FALSE)," ")</f>
        <v xml:space="preserve"> </v>
      </c>
      <c r="Y411" s="84" t="str" cm="1">
        <f t="array" ref="Y411">IFERROR(VLOOKUP($A411,'The List'!$B1:$AS671,32,FALSE)," ")</f>
        <v xml:space="preserve"> </v>
      </c>
      <c r="Z411" s="84" t="str" cm="1">
        <f t="array" ref="Z411">IFERROR(VLOOKUP($A411,'The List'!$B1:$AS671,33,FALSE)," ")</f>
        <v xml:space="preserve"> </v>
      </c>
      <c r="AA411" s="85"/>
      <c r="AB411" s="90"/>
      <c r="AC411" s="90"/>
      <c r="AD411" s="90"/>
      <c r="AE411" s="90"/>
      <c r="AF411" s="90"/>
    </row>
    <row r="412" spans="1:32" ht="21.25" customHeight="1" x14ac:dyDescent="0.15">
      <c r="A412" s="24"/>
      <c r="B412" s="93" t="str" cm="1">
        <f t="array" ref="B412">IFERROR(VLOOKUP($A412,'The List'!$B1:$AS671,3,FALSE)," ")</f>
        <v xml:space="preserve"> </v>
      </c>
      <c r="C412" s="95" t="str" cm="1">
        <f t="array" ref="C412">IFERROR(VLOOKUP($A412,'The List'!$B1:$AS671,4,FALSE)," ")</f>
        <v xml:space="preserve"> </v>
      </c>
      <c r="D412" s="18" t="str" cm="1">
        <f t="array" ref="D412">IFERROR(VLOOKUP($A412,'The List'!$B1:$AS671,5,FALSE)," ")</f>
        <v xml:space="preserve"> </v>
      </c>
      <c r="E412" s="18" t="str" cm="1">
        <f t="array" ref="E412">IFERROR(VLOOKUP($A412,'The List'!$B1:$AS671,6,FALSE)," ")</f>
        <v xml:space="preserve"> </v>
      </c>
      <c r="F412" s="92" t="str" cm="1">
        <f t="array" ref="F412">IFERROR(VLOOKUP($A412,'The List'!$B1:$AS671,8,FALSE)," ")</f>
        <v xml:space="preserve"> </v>
      </c>
      <c r="G412" s="92" t="str" cm="1">
        <f t="array" ref="G412">IFERROR(VLOOKUP($A412,'The List'!$B1:$AS671,10,FALSE)," ")</f>
        <v xml:space="preserve"> </v>
      </c>
      <c r="H412" s="55"/>
      <c r="I412" s="84" t="str" cm="1">
        <f t="array" ref="I412">IFERROR(VLOOKUP($A412,'The List'!$B1:$AS671,16,FALSE)," ")</f>
        <v xml:space="preserve"> </v>
      </c>
      <c r="J412" s="84" t="str" cm="1">
        <f t="array" ref="J412">IFERROR(VLOOKUP($A412,'The List'!$B1:$AS671,17,FALSE)," ")</f>
        <v xml:space="preserve"> </v>
      </c>
      <c r="K412" s="84" t="str" cm="1">
        <f t="array" ref="K412">IFERROR(VLOOKUP($A412,'The List'!$B1:$AS671,18,FALSE)," ")</f>
        <v xml:space="preserve"> </v>
      </c>
      <c r="L412" s="84" t="str" cm="1">
        <f t="array" ref="L412">IFERROR(VLOOKUP($A412,'The List'!$B1:$AS671,19,FALSE)," ")</f>
        <v xml:space="preserve"> </v>
      </c>
      <c r="M412" s="84" t="str" cm="1">
        <f t="array" ref="M412">IFERROR(VLOOKUP($A412,'The List'!$B1:$AS671,20,FALSE)," ")</f>
        <v xml:space="preserve"> </v>
      </c>
      <c r="N412" s="84" t="str" cm="1">
        <f t="array" ref="N412">IFERROR(VLOOKUP($A412,'The List'!$B1:$AS671,21,FALSE)," ")</f>
        <v xml:space="preserve"> </v>
      </c>
      <c r="O412" s="84" t="str" cm="1">
        <f t="array" ref="O412">IFERROR(VLOOKUP($A412,'The List'!$B1:$AS671,22,FALSE)," ")</f>
        <v xml:space="preserve"> </v>
      </c>
      <c r="P412" s="84" t="str" cm="1">
        <f t="array" ref="P412">IFERROR(VLOOKUP($A412,'The List'!$B1:$AS671,23,FALSE)," ")</f>
        <v xml:space="preserve"> </v>
      </c>
      <c r="Q412" s="84" t="str" cm="1">
        <f t="array" ref="Q412">IFERROR(VLOOKUP($A412,'The List'!$B1:$AS671,24,FALSE)," ")</f>
        <v xml:space="preserve"> </v>
      </c>
      <c r="R412" s="84" t="str" cm="1">
        <f t="array" ref="R412">IFERROR(VLOOKUP($A412,'The List'!$B1:$AS671,25,FALSE)," ")</f>
        <v xml:space="preserve"> </v>
      </c>
      <c r="S412" s="84" t="str" cm="1">
        <f t="array" ref="S412">IFERROR(VLOOKUP($A412,'The List'!$B1:$AS671,26,FALSE)," ")</f>
        <v xml:space="preserve"> </v>
      </c>
      <c r="T412" s="84" t="str" cm="1">
        <f t="array" ref="T412">IFERROR(VLOOKUP($A412,'The List'!$B1:$AS671,27,FALSE)," ")</f>
        <v xml:space="preserve"> </v>
      </c>
      <c r="U412" s="84" t="str" cm="1">
        <f t="array" ref="U412">IFERROR(VLOOKUP($A412,'The List'!$B1:$AS671,28,FALSE)," ")</f>
        <v xml:space="preserve"> </v>
      </c>
      <c r="V412" s="84" t="str" cm="1">
        <f t="array" ref="V412">IFERROR(VLOOKUP($A412,'The List'!$B1:$AS671,29,FALSE)," ")</f>
        <v xml:space="preserve"> </v>
      </c>
      <c r="W412" s="84" t="str" cm="1">
        <f t="array" ref="W412">IFERROR(VLOOKUP($A412,'The List'!$B1:$AS671,30,FALSE)," ")</f>
        <v xml:space="preserve"> </v>
      </c>
      <c r="X412" s="84" t="str" cm="1">
        <f t="array" ref="X412">IFERROR(VLOOKUP($A412,'The List'!$B1:$AS671,31,FALSE)," ")</f>
        <v xml:space="preserve"> </v>
      </c>
      <c r="Y412" s="84" t="str" cm="1">
        <f t="array" ref="Y412">IFERROR(VLOOKUP($A412,'The List'!$B1:$AS671,32,FALSE)," ")</f>
        <v xml:space="preserve"> </v>
      </c>
      <c r="Z412" s="84" t="str" cm="1">
        <f t="array" ref="Z412">IFERROR(VLOOKUP($A412,'The List'!$B1:$AS671,33,FALSE)," ")</f>
        <v xml:space="preserve"> </v>
      </c>
      <c r="AA412" s="85"/>
      <c r="AB412" s="90"/>
      <c r="AC412" s="90"/>
      <c r="AD412" s="90"/>
      <c r="AE412" s="90"/>
      <c r="AF412" s="90"/>
    </row>
    <row r="413" spans="1:32" ht="21.25" customHeight="1" x14ac:dyDescent="0.15">
      <c r="A413" s="24"/>
      <c r="B413" s="93" t="str" cm="1">
        <f t="array" ref="B413">IFERROR(VLOOKUP($A413,'The List'!$B1:$AS671,3,FALSE)," ")</f>
        <v xml:space="preserve"> </v>
      </c>
      <c r="C413" s="95" t="str" cm="1">
        <f t="array" ref="C413">IFERROR(VLOOKUP($A413,'The List'!$B1:$AS671,4,FALSE)," ")</f>
        <v xml:space="preserve"> </v>
      </c>
      <c r="D413" s="18" t="str" cm="1">
        <f t="array" ref="D413">IFERROR(VLOOKUP($A413,'The List'!$B1:$AS671,5,FALSE)," ")</f>
        <v xml:space="preserve"> </v>
      </c>
      <c r="E413" s="18" t="str" cm="1">
        <f t="array" ref="E413">IFERROR(VLOOKUP($A413,'The List'!$B1:$AS671,6,FALSE)," ")</f>
        <v xml:space="preserve"> </v>
      </c>
      <c r="F413" s="92" t="str" cm="1">
        <f t="array" ref="F413">IFERROR(VLOOKUP($A413,'The List'!$B1:$AS671,8,FALSE)," ")</f>
        <v xml:space="preserve"> </v>
      </c>
      <c r="G413" s="92" t="str" cm="1">
        <f t="array" ref="G413">IFERROR(VLOOKUP($A413,'The List'!$B1:$AS671,10,FALSE)," ")</f>
        <v xml:space="preserve"> </v>
      </c>
      <c r="H413" s="55"/>
      <c r="I413" s="84" t="str" cm="1">
        <f t="array" ref="I413">IFERROR(VLOOKUP($A413,'The List'!$B1:$AS671,16,FALSE)," ")</f>
        <v xml:space="preserve"> </v>
      </c>
      <c r="J413" s="84" t="str" cm="1">
        <f t="array" ref="J413">IFERROR(VLOOKUP($A413,'The List'!$B1:$AS671,17,FALSE)," ")</f>
        <v xml:space="preserve"> </v>
      </c>
      <c r="K413" s="84" t="str" cm="1">
        <f t="array" ref="K413">IFERROR(VLOOKUP($A413,'The List'!$B1:$AS671,18,FALSE)," ")</f>
        <v xml:space="preserve"> </v>
      </c>
      <c r="L413" s="84" t="str" cm="1">
        <f t="array" ref="L413">IFERROR(VLOOKUP($A413,'The List'!$B1:$AS671,19,FALSE)," ")</f>
        <v xml:space="preserve"> </v>
      </c>
      <c r="M413" s="84" t="str" cm="1">
        <f t="array" ref="M413">IFERROR(VLOOKUP($A413,'The List'!$B1:$AS671,20,FALSE)," ")</f>
        <v xml:space="preserve"> </v>
      </c>
      <c r="N413" s="84" t="str" cm="1">
        <f t="array" ref="N413">IFERROR(VLOOKUP($A413,'The List'!$B1:$AS671,21,FALSE)," ")</f>
        <v xml:space="preserve"> </v>
      </c>
      <c r="O413" s="84" t="str" cm="1">
        <f t="array" ref="O413">IFERROR(VLOOKUP($A413,'The List'!$B1:$AS671,22,FALSE)," ")</f>
        <v xml:space="preserve"> </v>
      </c>
      <c r="P413" s="84" t="str" cm="1">
        <f t="array" ref="P413">IFERROR(VLOOKUP($A413,'The List'!$B1:$AS671,23,FALSE)," ")</f>
        <v xml:space="preserve"> </v>
      </c>
      <c r="Q413" s="84" t="str" cm="1">
        <f t="array" ref="Q413">IFERROR(VLOOKUP($A413,'The List'!$B1:$AS671,24,FALSE)," ")</f>
        <v xml:space="preserve"> </v>
      </c>
      <c r="R413" s="84" t="str" cm="1">
        <f t="array" ref="R413">IFERROR(VLOOKUP($A413,'The List'!$B1:$AS671,25,FALSE)," ")</f>
        <v xml:space="preserve"> </v>
      </c>
      <c r="S413" s="84" t="str" cm="1">
        <f t="array" ref="S413">IFERROR(VLOOKUP($A413,'The List'!$B1:$AS671,26,FALSE)," ")</f>
        <v xml:space="preserve"> </v>
      </c>
      <c r="T413" s="84" t="str" cm="1">
        <f t="array" ref="T413">IFERROR(VLOOKUP($A413,'The List'!$B1:$AS671,27,FALSE)," ")</f>
        <v xml:space="preserve"> </v>
      </c>
      <c r="U413" s="84" t="str" cm="1">
        <f t="array" ref="U413">IFERROR(VLOOKUP($A413,'The List'!$B1:$AS671,28,FALSE)," ")</f>
        <v xml:space="preserve"> </v>
      </c>
      <c r="V413" s="84" t="str" cm="1">
        <f t="array" ref="V413">IFERROR(VLOOKUP($A413,'The List'!$B1:$AS671,29,FALSE)," ")</f>
        <v xml:space="preserve"> </v>
      </c>
      <c r="W413" s="84" t="str" cm="1">
        <f t="array" ref="W413">IFERROR(VLOOKUP($A413,'The List'!$B1:$AS671,30,FALSE)," ")</f>
        <v xml:space="preserve"> </v>
      </c>
      <c r="X413" s="84" t="str" cm="1">
        <f t="array" ref="X413">IFERROR(VLOOKUP($A413,'The List'!$B1:$AS671,31,FALSE)," ")</f>
        <v xml:space="preserve"> </v>
      </c>
      <c r="Y413" s="84" t="str" cm="1">
        <f t="array" ref="Y413">IFERROR(VLOOKUP($A413,'The List'!$B1:$AS671,32,FALSE)," ")</f>
        <v xml:space="preserve"> </v>
      </c>
      <c r="Z413" s="84" t="str" cm="1">
        <f t="array" ref="Z413">IFERROR(VLOOKUP($A413,'The List'!$B1:$AS671,33,FALSE)," ")</f>
        <v xml:space="preserve"> </v>
      </c>
      <c r="AA413" s="85"/>
      <c r="AB413" s="90"/>
      <c r="AC413" s="90"/>
      <c r="AD413" s="90"/>
      <c r="AE413" s="90"/>
      <c r="AF413" s="90"/>
    </row>
    <row r="414" spans="1:32" ht="21.25" customHeight="1" x14ac:dyDescent="0.15">
      <c r="A414" s="24"/>
      <c r="B414" s="93" t="str" cm="1">
        <f t="array" ref="B414">IFERROR(VLOOKUP($A414,'The List'!$B1:$AS671,3,FALSE)," ")</f>
        <v xml:space="preserve"> </v>
      </c>
      <c r="C414" s="95" t="str" cm="1">
        <f t="array" ref="C414">IFERROR(VLOOKUP($A414,'The List'!$B1:$AS671,4,FALSE)," ")</f>
        <v xml:space="preserve"> </v>
      </c>
      <c r="D414" s="18" t="str" cm="1">
        <f t="array" ref="D414">IFERROR(VLOOKUP($A414,'The List'!$B1:$AS671,5,FALSE)," ")</f>
        <v xml:space="preserve"> </v>
      </c>
      <c r="E414" s="18" t="str" cm="1">
        <f t="array" ref="E414">IFERROR(VLOOKUP($A414,'The List'!$B1:$AS671,6,FALSE)," ")</f>
        <v xml:space="preserve"> </v>
      </c>
      <c r="F414" s="92" t="str" cm="1">
        <f t="array" ref="F414">IFERROR(VLOOKUP($A414,'The List'!$B1:$AS671,8,FALSE)," ")</f>
        <v xml:space="preserve"> </v>
      </c>
      <c r="G414" s="92" t="str" cm="1">
        <f t="array" ref="G414">IFERROR(VLOOKUP($A414,'The List'!$B1:$AS671,10,FALSE)," ")</f>
        <v xml:space="preserve"> </v>
      </c>
      <c r="H414" s="55"/>
      <c r="I414" s="84" t="str" cm="1">
        <f t="array" ref="I414">IFERROR(VLOOKUP($A414,'The List'!$B1:$AS671,16,FALSE)," ")</f>
        <v xml:space="preserve"> </v>
      </c>
      <c r="J414" s="84" t="str" cm="1">
        <f t="array" ref="J414">IFERROR(VLOOKUP($A414,'The List'!$B1:$AS671,17,FALSE)," ")</f>
        <v xml:space="preserve"> </v>
      </c>
      <c r="K414" s="84" t="str" cm="1">
        <f t="array" ref="K414">IFERROR(VLOOKUP($A414,'The List'!$B1:$AS671,18,FALSE)," ")</f>
        <v xml:space="preserve"> </v>
      </c>
      <c r="L414" s="84" t="str" cm="1">
        <f t="array" ref="L414">IFERROR(VLOOKUP($A414,'The List'!$B1:$AS671,19,FALSE)," ")</f>
        <v xml:space="preserve"> </v>
      </c>
      <c r="M414" s="84" t="str" cm="1">
        <f t="array" ref="M414">IFERROR(VLOOKUP($A414,'The List'!$B1:$AS671,20,FALSE)," ")</f>
        <v xml:space="preserve"> </v>
      </c>
      <c r="N414" s="84" t="str" cm="1">
        <f t="array" ref="N414">IFERROR(VLOOKUP($A414,'The List'!$B1:$AS671,21,FALSE)," ")</f>
        <v xml:space="preserve"> </v>
      </c>
      <c r="O414" s="84" t="str" cm="1">
        <f t="array" ref="O414">IFERROR(VLOOKUP($A414,'The List'!$B1:$AS671,22,FALSE)," ")</f>
        <v xml:space="preserve"> </v>
      </c>
      <c r="P414" s="84" t="str" cm="1">
        <f t="array" ref="P414">IFERROR(VLOOKUP($A414,'The List'!$B1:$AS671,23,FALSE)," ")</f>
        <v xml:space="preserve"> </v>
      </c>
      <c r="Q414" s="84" t="str" cm="1">
        <f t="array" ref="Q414">IFERROR(VLOOKUP($A414,'The List'!$B1:$AS671,24,FALSE)," ")</f>
        <v xml:space="preserve"> </v>
      </c>
      <c r="R414" s="84" t="str" cm="1">
        <f t="array" ref="R414">IFERROR(VLOOKUP($A414,'The List'!$B1:$AS671,25,FALSE)," ")</f>
        <v xml:space="preserve"> </v>
      </c>
      <c r="S414" s="84" t="str" cm="1">
        <f t="array" ref="S414">IFERROR(VLOOKUP($A414,'The List'!$B1:$AS671,26,FALSE)," ")</f>
        <v xml:space="preserve"> </v>
      </c>
      <c r="T414" s="84" t="str" cm="1">
        <f t="array" ref="T414">IFERROR(VLOOKUP($A414,'The List'!$B1:$AS671,27,FALSE)," ")</f>
        <v xml:space="preserve"> </v>
      </c>
      <c r="U414" s="84" t="str" cm="1">
        <f t="array" ref="U414">IFERROR(VLOOKUP($A414,'The List'!$B1:$AS671,28,FALSE)," ")</f>
        <v xml:space="preserve"> </v>
      </c>
      <c r="V414" s="84" t="str" cm="1">
        <f t="array" ref="V414">IFERROR(VLOOKUP($A414,'The List'!$B1:$AS671,29,FALSE)," ")</f>
        <v xml:space="preserve"> </v>
      </c>
      <c r="W414" s="84" t="str" cm="1">
        <f t="array" ref="W414">IFERROR(VLOOKUP($A414,'The List'!$B1:$AS671,30,FALSE)," ")</f>
        <v xml:space="preserve"> </v>
      </c>
      <c r="X414" s="84" t="str" cm="1">
        <f t="array" ref="X414">IFERROR(VLOOKUP($A414,'The List'!$B1:$AS671,31,FALSE)," ")</f>
        <v xml:space="preserve"> </v>
      </c>
      <c r="Y414" s="84" t="str" cm="1">
        <f t="array" ref="Y414">IFERROR(VLOOKUP($A414,'The List'!$B1:$AS671,32,FALSE)," ")</f>
        <v xml:space="preserve"> </v>
      </c>
      <c r="Z414" s="84" t="str" cm="1">
        <f t="array" ref="Z414">IFERROR(VLOOKUP($A414,'The List'!$B1:$AS671,33,FALSE)," ")</f>
        <v xml:space="preserve"> </v>
      </c>
      <c r="AA414" s="85"/>
      <c r="AB414" s="90"/>
      <c r="AC414" s="90"/>
      <c r="AD414" s="90"/>
      <c r="AE414" s="90"/>
      <c r="AF414" s="90"/>
    </row>
    <row r="415" spans="1:32" ht="21.25" customHeight="1" x14ac:dyDescent="0.15">
      <c r="A415" s="24"/>
      <c r="B415" s="93" t="str" cm="1">
        <f t="array" ref="B415">IFERROR(VLOOKUP($A415,'The List'!$B1:$AS671,3,FALSE)," ")</f>
        <v xml:space="preserve"> </v>
      </c>
      <c r="C415" s="95" t="str" cm="1">
        <f t="array" ref="C415">IFERROR(VLOOKUP($A415,'The List'!$B1:$AS671,4,FALSE)," ")</f>
        <v xml:space="preserve"> </v>
      </c>
      <c r="D415" s="18" t="str" cm="1">
        <f t="array" ref="D415">IFERROR(VLOOKUP($A415,'The List'!$B1:$AS671,5,FALSE)," ")</f>
        <v xml:space="preserve"> </v>
      </c>
      <c r="E415" s="18" t="str" cm="1">
        <f t="array" ref="E415">IFERROR(VLOOKUP($A415,'The List'!$B1:$AS671,6,FALSE)," ")</f>
        <v xml:space="preserve"> </v>
      </c>
      <c r="F415" s="92" t="str" cm="1">
        <f t="array" ref="F415">IFERROR(VLOOKUP($A415,'The List'!$B1:$AS671,8,FALSE)," ")</f>
        <v xml:space="preserve"> </v>
      </c>
      <c r="G415" s="92" t="str" cm="1">
        <f t="array" ref="G415">IFERROR(VLOOKUP($A415,'The List'!$B1:$AS671,10,FALSE)," ")</f>
        <v xml:space="preserve"> </v>
      </c>
      <c r="H415" s="55"/>
      <c r="I415" s="84" t="str" cm="1">
        <f t="array" ref="I415">IFERROR(VLOOKUP($A415,'The List'!$B1:$AS671,16,FALSE)," ")</f>
        <v xml:space="preserve"> </v>
      </c>
      <c r="J415" s="84" t="str" cm="1">
        <f t="array" ref="J415">IFERROR(VLOOKUP($A415,'The List'!$B1:$AS671,17,FALSE)," ")</f>
        <v xml:space="preserve"> </v>
      </c>
      <c r="K415" s="84" t="str" cm="1">
        <f t="array" ref="K415">IFERROR(VLOOKUP($A415,'The List'!$B1:$AS671,18,FALSE)," ")</f>
        <v xml:space="preserve"> </v>
      </c>
      <c r="L415" s="84" t="str" cm="1">
        <f t="array" ref="L415">IFERROR(VLOOKUP($A415,'The List'!$B1:$AS671,19,FALSE)," ")</f>
        <v xml:space="preserve"> </v>
      </c>
      <c r="M415" s="84" t="str" cm="1">
        <f t="array" ref="M415">IFERROR(VLOOKUP($A415,'The List'!$B1:$AS671,20,FALSE)," ")</f>
        <v xml:space="preserve"> </v>
      </c>
      <c r="N415" s="84" t="str" cm="1">
        <f t="array" ref="N415">IFERROR(VLOOKUP($A415,'The List'!$B1:$AS671,21,FALSE)," ")</f>
        <v xml:space="preserve"> </v>
      </c>
      <c r="O415" s="84" t="str" cm="1">
        <f t="array" ref="O415">IFERROR(VLOOKUP($A415,'The List'!$B1:$AS671,22,FALSE)," ")</f>
        <v xml:space="preserve"> </v>
      </c>
      <c r="P415" s="84" t="str" cm="1">
        <f t="array" ref="P415">IFERROR(VLOOKUP($A415,'The List'!$B1:$AS671,23,FALSE)," ")</f>
        <v xml:space="preserve"> </v>
      </c>
      <c r="Q415" s="84" t="str" cm="1">
        <f t="array" ref="Q415">IFERROR(VLOOKUP($A415,'The List'!$B1:$AS671,24,FALSE)," ")</f>
        <v xml:space="preserve"> </v>
      </c>
      <c r="R415" s="84" t="str" cm="1">
        <f t="array" ref="R415">IFERROR(VLOOKUP($A415,'The List'!$B1:$AS671,25,FALSE)," ")</f>
        <v xml:space="preserve"> </v>
      </c>
      <c r="S415" s="84" t="str" cm="1">
        <f t="array" ref="S415">IFERROR(VLOOKUP($A415,'The List'!$B1:$AS671,26,FALSE)," ")</f>
        <v xml:space="preserve"> </v>
      </c>
      <c r="T415" s="84" t="str" cm="1">
        <f t="array" ref="T415">IFERROR(VLOOKUP($A415,'The List'!$B1:$AS671,27,FALSE)," ")</f>
        <v xml:space="preserve"> </v>
      </c>
      <c r="U415" s="84" t="str" cm="1">
        <f t="array" ref="U415">IFERROR(VLOOKUP($A415,'The List'!$B1:$AS671,28,FALSE)," ")</f>
        <v xml:space="preserve"> </v>
      </c>
      <c r="V415" s="84" t="str" cm="1">
        <f t="array" ref="V415">IFERROR(VLOOKUP($A415,'The List'!$B1:$AS671,29,FALSE)," ")</f>
        <v xml:space="preserve"> </v>
      </c>
      <c r="W415" s="84" t="str" cm="1">
        <f t="array" ref="W415">IFERROR(VLOOKUP($A415,'The List'!$B1:$AS671,30,FALSE)," ")</f>
        <v xml:space="preserve"> </v>
      </c>
      <c r="X415" s="84" t="str" cm="1">
        <f t="array" ref="X415">IFERROR(VLOOKUP($A415,'The List'!$B1:$AS671,31,FALSE)," ")</f>
        <v xml:space="preserve"> </v>
      </c>
      <c r="Y415" s="84" t="str" cm="1">
        <f t="array" ref="Y415">IFERROR(VLOOKUP($A415,'The List'!$B1:$AS671,32,FALSE)," ")</f>
        <v xml:space="preserve"> </v>
      </c>
      <c r="Z415" s="84" t="str" cm="1">
        <f t="array" ref="Z415">IFERROR(VLOOKUP($A415,'The List'!$B1:$AS671,33,FALSE)," ")</f>
        <v xml:space="preserve"> </v>
      </c>
      <c r="AA415" s="85"/>
      <c r="AB415" s="90"/>
      <c r="AC415" s="90"/>
      <c r="AD415" s="90"/>
      <c r="AE415" s="90"/>
      <c r="AF415" s="90"/>
    </row>
    <row r="416" spans="1:32" ht="21.25" customHeight="1" x14ac:dyDescent="0.15">
      <c r="A416" s="24"/>
      <c r="B416" s="96" t="str" cm="1">
        <f t="array" ref="B416">IFERROR(VLOOKUP($A416,'The List'!$B1:$AS671,3,FALSE)," ")</f>
        <v xml:space="preserve"> </v>
      </c>
      <c r="C416" s="98" t="str" cm="1">
        <f t="array" ref="C416">IFERROR(VLOOKUP($A416,'The List'!$B1:$AS671,4,FALSE)," ")</f>
        <v xml:space="preserve"> </v>
      </c>
      <c r="D416" s="18" t="str" cm="1">
        <f t="array" ref="D416">IFERROR(VLOOKUP($A416,'The List'!$B1:$AS671,5,FALSE)," ")</f>
        <v xml:space="preserve"> </v>
      </c>
      <c r="E416" s="18" t="str" cm="1">
        <f t="array" ref="E416">IFERROR(VLOOKUP($A416,'The List'!$B1:$AS671,6,FALSE)," ")</f>
        <v xml:space="preserve"> </v>
      </c>
      <c r="F416" s="92" t="str" cm="1">
        <f t="array" ref="F416">IFERROR(VLOOKUP($A416,'The List'!$B1:$AS671,8,FALSE)," ")</f>
        <v xml:space="preserve"> </v>
      </c>
      <c r="G416" s="92" t="str" cm="1">
        <f t="array" ref="G416">IFERROR(VLOOKUP($A416,'The List'!$B1:$AS671,10,FALSE)," ")</f>
        <v xml:space="preserve"> </v>
      </c>
      <c r="H416" s="55"/>
      <c r="I416" s="84" t="str" cm="1">
        <f t="array" ref="I416">IFERROR(VLOOKUP($A416,'The List'!$B1:$AS671,16,FALSE)," ")</f>
        <v xml:space="preserve"> </v>
      </c>
      <c r="J416" s="84" t="str" cm="1">
        <f t="array" ref="J416">IFERROR(VLOOKUP($A416,'The List'!$B1:$AS671,17,FALSE)," ")</f>
        <v xml:space="preserve"> </v>
      </c>
      <c r="K416" s="84" t="str" cm="1">
        <f t="array" ref="K416">IFERROR(VLOOKUP($A416,'The List'!$B1:$AS671,18,FALSE)," ")</f>
        <v xml:space="preserve"> </v>
      </c>
      <c r="L416" s="84" t="str" cm="1">
        <f t="array" ref="L416">IFERROR(VLOOKUP($A416,'The List'!$B1:$AS671,19,FALSE)," ")</f>
        <v xml:space="preserve"> </v>
      </c>
      <c r="M416" s="84" t="str" cm="1">
        <f t="array" ref="M416">IFERROR(VLOOKUP($A416,'The List'!$B1:$AS671,20,FALSE)," ")</f>
        <v xml:space="preserve"> </v>
      </c>
      <c r="N416" s="84" t="str" cm="1">
        <f t="array" ref="N416">IFERROR(VLOOKUP($A416,'The List'!$B1:$AS671,21,FALSE)," ")</f>
        <v xml:space="preserve"> </v>
      </c>
      <c r="O416" s="84" t="str" cm="1">
        <f t="array" ref="O416">IFERROR(VLOOKUP($A416,'The List'!$B1:$AS671,22,FALSE)," ")</f>
        <v xml:space="preserve"> </v>
      </c>
      <c r="P416" s="84" t="str" cm="1">
        <f t="array" ref="P416">IFERROR(VLOOKUP($A416,'The List'!$B1:$AS671,23,FALSE)," ")</f>
        <v xml:space="preserve"> </v>
      </c>
      <c r="Q416" s="84" t="str" cm="1">
        <f t="array" ref="Q416">IFERROR(VLOOKUP($A416,'The List'!$B1:$AS671,24,FALSE)," ")</f>
        <v xml:space="preserve"> </v>
      </c>
      <c r="R416" s="84" t="str" cm="1">
        <f t="array" ref="R416">IFERROR(VLOOKUP($A416,'The List'!$B1:$AS671,25,FALSE)," ")</f>
        <v xml:space="preserve"> </v>
      </c>
      <c r="S416" s="84" t="str" cm="1">
        <f t="array" ref="S416">IFERROR(VLOOKUP($A416,'The List'!$B1:$AS671,26,FALSE)," ")</f>
        <v xml:space="preserve"> </v>
      </c>
      <c r="T416" s="84" t="str" cm="1">
        <f t="array" ref="T416">IFERROR(VLOOKUP($A416,'The List'!$B1:$AS671,27,FALSE)," ")</f>
        <v xml:space="preserve"> </v>
      </c>
      <c r="U416" s="84" t="str" cm="1">
        <f t="array" ref="U416">IFERROR(VLOOKUP($A416,'The List'!$B1:$AS671,28,FALSE)," ")</f>
        <v xml:space="preserve"> </v>
      </c>
      <c r="V416" s="84" t="str" cm="1">
        <f t="array" ref="V416">IFERROR(VLOOKUP($A416,'The List'!$B1:$AS671,29,FALSE)," ")</f>
        <v xml:space="preserve"> </v>
      </c>
      <c r="W416" s="84" t="str" cm="1">
        <f t="array" ref="W416">IFERROR(VLOOKUP($A416,'The List'!$B1:$AS671,30,FALSE)," ")</f>
        <v xml:space="preserve"> </v>
      </c>
      <c r="X416" s="84" t="str" cm="1">
        <f t="array" ref="X416">IFERROR(VLOOKUP($A416,'The List'!$B1:$AS671,31,FALSE)," ")</f>
        <v xml:space="preserve"> </v>
      </c>
      <c r="Y416" s="84" t="str" cm="1">
        <f t="array" ref="Y416">IFERROR(VLOOKUP($A416,'The List'!$B1:$AS671,32,FALSE)," ")</f>
        <v xml:space="preserve"> </v>
      </c>
      <c r="Z416" s="84" t="str" cm="1">
        <f t="array" ref="Z416">IFERROR(VLOOKUP($A416,'The List'!$B1:$AS671,33,FALSE)," ")</f>
        <v xml:space="preserve"> </v>
      </c>
      <c r="AA416" s="85"/>
      <c r="AB416" s="90"/>
      <c r="AC416" s="90"/>
      <c r="AD416" s="90"/>
      <c r="AE416" s="90"/>
      <c r="AF416" s="90"/>
    </row>
    <row r="417" spans="1:32" ht="21.25" customHeight="1" x14ac:dyDescent="0.15">
      <c r="A417" s="24"/>
      <c r="B417" s="96" t="str" cm="1">
        <f t="array" ref="B417">IFERROR(VLOOKUP($A417,'The List'!$B1:$AS671,3,FALSE)," ")</f>
        <v xml:space="preserve"> </v>
      </c>
      <c r="C417" s="98" t="str" cm="1">
        <f t="array" ref="C417">IFERROR(VLOOKUP($A417,'The List'!$B1:$AS671,4,FALSE)," ")</f>
        <v xml:space="preserve"> </v>
      </c>
      <c r="D417" s="18" t="str" cm="1">
        <f t="array" ref="D417">IFERROR(VLOOKUP($A417,'The List'!$B1:$AS671,5,FALSE)," ")</f>
        <v xml:space="preserve"> </v>
      </c>
      <c r="E417" s="18" t="str" cm="1">
        <f t="array" ref="E417">IFERROR(VLOOKUP($A417,'The List'!$B1:$AS671,6,FALSE)," ")</f>
        <v xml:space="preserve"> </v>
      </c>
      <c r="F417" s="92" t="str" cm="1">
        <f t="array" ref="F417">IFERROR(VLOOKUP($A417,'The List'!$B1:$AS671,8,FALSE)," ")</f>
        <v xml:space="preserve"> </v>
      </c>
      <c r="G417" s="92" t="str" cm="1">
        <f t="array" ref="G417">IFERROR(VLOOKUP($A417,'The List'!$B1:$AS671,10,FALSE)," ")</f>
        <v xml:space="preserve"> </v>
      </c>
      <c r="H417" s="55"/>
      <c r="I417" s="84" t="str" cm="1">
        <f t="array" ref="I417">IFERROR(VLOOKUP($A417,'The List'!$B1:$AS671,16,FALSE)," ")</f>
        <v xml:space="preserve"> </v>
      </c>
      <c r="J417" s="84" t="str" cm="1">
        <f t="array" ref="J417">IFERROR(VLOOKUP($A417,'The List'!$B1:$AS671,17,FALSE)," ")</f>
        <v xml:space="preserve"> </v>
      </c>
      <c r="K417" s="84" t="str" cm="1">
        <f t="array" ref="K417">IFERROR(VLOOKUP($A417,'The List'!$B1:$AS671,18,FALSE)," ")</f>
        <v xml:space="preserve"> </v>
      </c>
      <c r="L417" s="84" t="str" cm="1">
        <f t="array" ref="L417">IFERROR(VLOOKUP($A417,'The List'!$B1:$AS671,19,FALSE)," ")</f>
        <v xml:space="preserve"> </v>
      </c>
      <c r="M417" s="84" t="str" cm="1">
        <f t="array" ref="M417">IFERROR(VLOOKUP($A417,'The List'!$B1:$AS671,20,FALSE)," ")</f>
        <v xml:space="preserve"> </v>
      </c>
      <c r="N417" s="84" t="str" cm="1">
        <f t="array" ref="N417">IFERROR(VLOOKUP($A417,'The List'!$B1:$AS671,21,FALSE)," ")</f>
        <v xml:space="preserve"> </v>
      </c>
      <c r="O417" s="84" t="str" cm="1">
        <f t="array" ref="O417">IFERROR(VLOOKUP($A417,'The List'!$B1:$AS671,22,FALSE)," ")</f>
        <v xml:space="preserve"> </v>
      </c>
      <c r="P417" s="84" t="str" cm="1">
        <f t="array" ref="P417">IFERROR(VLOOKUP($A417,'The List'!$B1:$AS671,23,FALSE)," ")</f>
        <v xml:space="preserve"> </v>
      </c>
      <c r="Q417" s="84" t="str" cm="1">
        <f t="array" ref="Q417">IFERROR(VLOOKUP($A417,'The List'!$B1:$AS671,24,FALSE)," ")</f>
        <v xml:space="preserve"> </v>
      </c>
      <c r="R417" s="84" t="str" cm="1">
        <f t="array" ref="R417">IFERROR(VLOOKUP($A417,'The List'!$B1:$AS671,25,FALSE)," ")</f>
        <v xml:space="preserve"> </v>
      </c>
      <c r="S417" s="84" t="str" cm="1">
        <f t="array" ref="S417">IFERROR(VLOOKUP($A417,'The List'!$B1:$AS671,26,FALSE)," ")</f>
        <v xml:space="preserve"> </v>
      </c>
      <c r="T417" s="84" t="str" cm="1">
        <f t="array" ref="T417">IFERROR(VLOOKUP($A417,'The List'!$B1:$AS671,27,FALSE)," ")</f>
        <v xml:space="preserve"> </v>
      </c>
      <c r="U417" s="84" t="str" cm="1">
        <f t="array" ref="U417">IFERROR(VLOOKUP($A417,'The List'!$B1:$AS671,28,FALSE)," ")</f>
        <v xml:space="preserve"> </v>
      </c>
      <c r="V417" s="84" t="str" cm="1">
        <f t="array" ref="V417">IFERROR(VLOOKUP($A417,'The List'!$B1:$AS671,29,FALSE)," ")</f>
        <v xml:space="preserve"> </v>
      </c>
      <c r="W417" s="84" t="str" cm="1">
        <f t="array" ref="W417">IFERROR(VLOOKUP($A417,'The List'!$B1:$AS671,30,FALSE)," ")</f>
        <v xml:space="preserve"> </v>
      </c>
      <c r="X417" s="84" t="str" cm="1">
        <f t="array" ref="X417">IFERROR(VLOOKUP($A417,'The List'!$B1:$AS671,31,FALSE)," ")</f>
        <v xml:space="preserve"> </v>
      </c>
      <c r="Y417" s="84" t="str" cm="1">
        <f t="array" ref="Y417">IFERROR(VLOOKUP($A417,'The List'!$B1:$AS671,32,FALSE)," ")</f>
        <v xml:space="preserve"> </v>
      </c>
      <c r="Z417" s="84" t="str" cm="1">
        <f t="array" ref="Z417">IFERROR(VLOOKUP($A417,'The List'!$B1:$AS671,33,FALSE)," ")</f>
        <v xml:space="preserve"> </v>
      </c>
      <c r="AA417" s="85"/>
      <c r="AB417" s="90"/>
      <c r="AC417" s="90"/>
      <c r="AD417" s="90"/>
      <c r="AE417" s="90"/>
      <c r="AF417" s="90"/>
    </row>
    <row r="418" spans="1:32" ht="21.25" customHeight="1" x14ac:dyDescent="0.15">
      <c r="A418" s="24"/>
      <c r="B418" s="96" t="str" cm="1">
        <f t="array" ref="B418">IFERROR(VLOOKUP($A418,'The List'!$B1:$AS671,3,FALSE)," ")</f>
        <v xml:space="preserve"> </v>
      </c>
      <c r="C418" s="98" t="str" cm="1">
        <f t="array" ref="C418">IFERROR(VLOOKUP($A418,'The List'!$B1:$AS671,4,FALSE)," ")</f>
        <v xml:space="preserve"> </v>
      </c>
      <c r="D418" s="18" t="str" cm="1">
        <f t="array" ref="D418">IFERROR(VLOOKUP($A418,'The List'!$B1:$AS671,5,FALSE)," ")</f>
        <v xml:space="preserve"> </v>
      </c>
      <c r="E418" s="18" t="str" cm="1">
        <f t="array" ref="E418">IFERROR(VLOOKUP($A418,'The List'!$B1:$AS671,6,FALSE)," ")</f>
        <v xml:space="preserve"> </v>
      </c>
      <c r="F418" s="92" t="str" cm="1">
        <f t="array" ref="F418">IFERROR(VLOOKUP($A418,'The List'!$B1:$AS671,8,FALSE)," ")</f>
        <v xml:space="preserve"> </v>
      </c>
      <c r="G418" s="92" t="str" cm="1">
        <f t="array" ref="G418">IFERROR(VLOOKUP($A418,'The List'!$B1:$AS671,10,FALSE)," ")</f>
        <v xml:space="preserve"> </v>
      </c>
      <c r="H418" s="55"/>
      <c r="I418" s="84" t="str" cm="1">
        <f t="array" ref="I418">IFERROR(VLOOKUP($A418,'The List'!$B1:$AS671,16,FALSE)," ")</f>
        <v xml:space="preserve"> </v>
      </c>
      <c r="J418" s="84" t="str" cm="1">
        <f t="array" ref="J418">IFERROR(VLOOKUP($A418,'The List'!$B1:$AS671,17,FALSE)," ")</f>
        <v xml:space="preserve"> </v>
      </c>
      <c r="K418" s="84" t="str" cm="1">
        <f t="array" ref="K418">IFERROR(VLOOKUP($A418,'The List'!$B1:$AS671,18,FALSE)," ")</f>
        <v xml:space="preserve"> </v>
      </c>
      <c r="L418" s="84" t="str" cm="1">
        <f t="array" ref="L418">IFERROR(VLOOKUP($A418,'The List'!$B1:$AS671,19,FALSE)," ")</f>
        <v xml:space="preserve"> </v>
      </c>
      <c r="M418" s="84" t="str" cm="1">
        <f t="array" ref="M418">IFERROR(VLOOKUP($A418,'The List'!$B1:$AS671,20,FALSE)," ")</f>
        <v xml:space="preserve"> </v>
      </c>
      <c r="N418" s="84" t="str" cm="1">
        <f t="array" ref="N418">IFERROR(VLOOKUP($A418,'The List'!$B1:$AS671,21,FALSE)," ")</f>
        <v xml:space="preserve"> </v>
      </c>
      <c r="O418" s="84" t="str" cm="1">
        <f t="array" ref="O418">IFERROR(VLOOKUP($A418,'The List'!$B1:$AS671,22,FALSE)," ")</f>
        <v xml:space="preserve"> </v>
      </c>
      <c r="P418" s="84" t="str" cm="1">
        <f t="array" ref="P418">IFERROR(VLOOKUP($A418,'The List'!$B1:$AS671,23,FALSE)," ")</f>
        <v xml:space="preserve"> </v>
      </c>
      <c r="Q418" s="84" t="str" cm="1">
        <f t="array" ref="Q418">IFERROR(VLOOKUP($A418,'The List'!$B1:$AS671,24,FALSE)," ")</f>
        <v xml:space="preserve"> </v>
      </c>
      <c r="R418" s="84" t="str" cm="1">
        <f t="array" ref="R418">IFERROR(VLOOKUP($A418,'The List'!$B1:$AS671,25,FALSE)," ")</f>
        <v xml:space="preserve"> </v>
      </c>
      <c r="S418" s="84" t="str" cm="1">
        <f t="array" ref="S418">IFERROR(VLOOKUP($A418,'The List'!$B1:$AS671,26,FALSE)," ")</f>
        <v xml:space="preserve"> </v>
      </c>
      <c r="T418" s="84" t="str" cm="1">
        <f t="array" ref="T418">IFERROR(VLOOKUP($A418,'The List'!$B1:$AS671,27,FALSE)," ")</f>
        <v xml:space="preserve"> </v>
      </c>
      <c r="U418" s="84" t="str" cm="1">
        <f t="array" ref="U418">IFERROR(VLOOKUP($A418,'The List'!$B1:$AS671,28,FALSE)," ")</f>
        <v xml:space="preserve"> </v>
      </c>
      <c r="V418" s="84" t="str" cm="1">
        <f t="array" ref="V418">IFERROR(VLOOKUP($A418,'The List'!$B1:$AS671,29,FALSE)," ")</f>
        <v xml:space="preserve"> </v>
      </c>
      <c r="W418" s="84" t="str" cm="1">
        <f t="array" ref="W418">IFERROR(VLOOKUP($A418,'The List'!$B1:$AS671,30,FALSE)," ")</f>
        <v xml:space="preserve"> </v>
      </c>
      <c r="X418" s="84" t="str" cm="1">
        <f t="array" ref="X418">IFERROR(VLOOKUP($A418,'The List'!$B1:$AS671,31,FALSE)," ")</f>
        <v xml:space="preserve"> </v>
      </c>
      <c r="Y418" s="84" t="str" cm="1">
        <f t="array" ref="Y418">IFERROR(VLOOKUP($A418,'The List'!$B1:$AS671,32,FALSE)," ")</f>
        <v xml:space="preserve"> </v>
      </c>
      <c r="Z418" s="84" t="str" cm="1">
        <f t="array" ref="Z418">IFERROR(VLOOKUP($A418,'The List'!$B1:$AS671,33,FALSE)," ")</f>
        <v xml:space="preserve"> </v>
      </c>
      <c r="AA418" s="85"/>
      <c r="AB418" s="90"/>
      <c r="AC418" s="90"/>
      <c r="AD418" s="90"/>
      <c r="AE418" s="90"/>
      <c r="AF418" s="90"/>
    </row>
    <row r="419" spans="1:32" ht="21.25" customHeight="1" x14ac:dyDescent="0.15">
      <c r="A419" s="24"/>
      <c r="B419" s="96" t="str" cm="1">
        <f t="array" ref="B419">IFERROR(VLOOKUP($A419,'The List'!$B1:$AS671,3,FALSE)," ")</f>
        <v xml:space="preserve"> </v>
      </c>
      <c r="C419" s="98" t="str" cm="1">
        <f t="array" ref="C419">IFERROR(VLOOKUP($A419,'The List'!$B1:$AS671,4,FALSE)," ")</f>
        <v xml:space="preserve"> </v>
      </c>
      <c r="D419" s="18" t="str" cm="1">
        <f t="array" ref="D419">IFERROR(VLOOKUP($A419,'The List'!$B1:$AS671,5,FALSE)," ")</f>
        <v xml:space="preserve"> </v>
      </c>
      <c r="E419" s="18" t="str" cm="1">
        <f t="array" ref="E419">IFERROR(VLOOKUP($A419,'The List'!$B1:$AS671,6,FALSE)," ")</f>
        <v xml:space="preserve"> </v>
      </c>
      <c r="F419" s="92" t="str" cm="1">
        <f t="array" ref="F419">IFERROR(VLOOKUP($A419,'The List'!$B1:$AS671,8,FALSE)," ")</f>
        <v xml:space="preserve"> </v>
      </c>
      <c r="G419" s="92" t="str" cm="1">
        <f t="array" ref="G419">IFERROR(VLOOKUP($A419,'The List'!$B1:$AS671,10,FALSE)," ")</f>
        <v xml:space="preserve"> </v>
      </c>
      <c r="H419" s="55"/>
      <c r="I419" s="84" t="str" cm="1">
        <f t="array" ref="I419">IFERROR(VLOOKUP($A419,'The List'!$B1:$AS671,16,FALSE)," ")</f>
        <v xml:space="preserve"> </v>
      </c>
      <c r="J419" s="84" t="str" cm="1">
        <f t="array" ref="J419">IFERROR(VLOOKUP($A419,'The List'!$B1:$AS671,17,FALSE)," ")</f>
        <v xml:space="preserve"> </v>
      </c>
      <c r="K419" s="84" t="str" cm="1">
        <f t="array" ref="K419">IFERROR(VLOOKUP($A419,'The List'!$B1:$AS671,18,FALSE)," ")</f>
        <v xml:space="preserve"> </v>
      </c>
      <c r="L419" s="84" t="str" cm="1">
        <f t="array" ref="L419">IFERROR(VLOOKUP($A419,'The List'!$B1:$AS671,19,FALSE)," ")</f>
        <v xml:space="preserve"> </v>
      </c>
      <c r="M419" s="84" t="str" cm="1">
        <f t="array" ref="M419">IFERROR(VLOOKUP($A419,'The List'!$B1:$AS671,20,FALSE)," ")</f>
        <v xml:space="preserve"> </v>
      </c>
      <c r="N419" s="84" t="str" cm="1">
        <f t="array" ref="N419">IFERROR(VLOOKUP($A419,'The List'!$B1:$AS671,21,FALSE)," ")</f>
        <v xml:space="preserve"> </v>
      </c>
      <c r="O419" s="84" t="str" cm="1">
        <f t="array" ref="O419">IFERROR(VLOOKUP($A419,'The List'!$B1:$AS671,22,FALSE)," ")</f>
        <v xml:space="preserve"> </v>
      </c>
      <c r="P419" s="84" t="str" cm="1">
        <f t="array" ref="P419">IFERROR(VLOOKUP($A419,'The List'!$B1:$AS671,23,FALSE)," ")</f>
        <v xml:space="preserve"> </v>
      </c>
      <c r="Q419" s="84" t="str" cm="1">
        <f t="array" ref="Q419">IFERROR(VLOOKUP($A419,'The List'!$B1:$AS671,24,FALSE)," ")</f>
        <v xml:space="preserve"> </v>
      </c>
      <c r="R419" s="84" t="str" cm="1">
        <f t="array" ref="R419">IFERROR(VLOOKUP($A419,'The List'!$B1:$AS671,25,FALSE)," ")</f>
        <v xml:space="preserve"> </v>
      </c>
      <c r="S419" s="84" t="str" cm="1">
        <f t="array" ref="S419">IFERROR(VLOOKUP($A419,'The List'!$B1:$AS671,26,FALSE)," ")</f>
        <v xml:space="preserve"> </v>
      </c>
      <c r="T419" s="84" t="str" cm="1">
        <f t="array" ref="T419">IFERROR(VLOOKUP($A419,'The List'!$B1:$AS671,27,FALSE)," ")</f>
        <v xml:space="preserve"> </v>
      </c>
      <c r="U419" s="84" t="str" cm="1">
        <f t="array" ref="U419">IFERROR(VLOOKUP($A419,'The List'!$B1:$AS671,28,FALSE)," ")</f>
        <v xml:space="preserve"> </v>
      </c>
      <c r="V419" s="84" t="str" cm="1">
        <f t="array" ref="V419">IFERROR(VLOOKUP($A419,'The List'!$B1:$AS671,29,FALSE)," ")</f>
        <v xml:space="preserve"> </v>
      </c>
      <c r="W419" s="84" t="str" cm="1">
        <f t="array" ref="W419">IFERROR(VLOOKUP($A419,'The List'!$B1:$AS671,30,FALSE)," ")</f>
        <v xml:space="preserve"> </v>
      </c>
      <c r="X419" s="84" t="str" cm="1">
        <f t="array" ref="X419">IFERROR(VLOOKUP($A419,'The List'!$B1:$AS671,31,FALSE)," ")</f>
        <v xml:space="preserve"> </v>
      </c>
      <c r="Y419" s="84" t="str" cm="1">
        <f t="array" ref="Y419">IFERROR(VLOOKUP($A419,'The List'!$B1:$AS671,32,FALSE)," ")</f>
        <v xml:space="preserve"> </v>
      </c>
      <c r="Z419" s="84" t="str" cm="1">
        <f t="array" ref="Z419">IFERROR(VLOOKUP($A419,'The List'!$B1:$AS671,33,FALSE)," ")</f>
        <v xml:space="preserve"> </v>
      </c>
      <c r="AA419" s="85"/>
      <c r="AB419" s="90"/>
      <c r="AC419" s="90"/>
      <c r="AD419" s="90"/>
      <c r="AE419" s="90"/>
      <c r="AF419" s="90"/>
    </row>
    <row r="420" spans="1:32" ht="21.25" customHeight="1" x14ac:dyDescent="0.15">
      <c r="A420" s="24"/>
      <c r="B420" s="99" t="str" cm="1">
        <f t="array" ref="B420">IFERROR(VLOOKUP($A420,'The List'!$B1:$AS671,3,FALSE)," ")</f>
        <v xml:space="preserve"> </v>
      </c>
      <c r="C420" s="101" t="str" cm="1">
        <f t="array" ref="C420">IFERROR(VLOOKUP($A420,'The List'!$B1:$AS671,4,FALSE)," ")</f>
        <v xml:space="preserve"> </v>
      </c>
      <c r="D420" s="18" t="str" cm="1">
        <f t="array" ref="D420">IFERROR(VLOOKUP($A420,'The List'!$B1:$AS671,5,FALSE)," ")</f>
        <v xml:space="preserve"> </v>
      </c>
      <c r="E420" s="18" t="str" cm="1">
        <f t="array" ref="E420">IFERROR(VLOOKUP($A420,'The List'!$B1:$AS671,6,FALSE)," ")</f>
        <v xml:space="preserve"> </v>
      </c>
      <c r="F420" s="92" t="str" cm="1">
        <f t="array" ref="F420">IFERROR(VLOOKUP($A420,'The List'!$B1:$AS671,8,FALSE)," ")</f>
        <v xml:space="preserve"> </v>
      </c>
      <c r="G420" s="92" t="str" cm="1">
        <f t="array" ref="G420">IFERROR(VLOOKUP($A420,'The List'!$B1:$AS671,10,FALSE)," ")</f>
        <v xml:space="preserve"> </v>
      </c>
      <c r="H420" s="55"/>
      <c r="I420" s="84" t="str" cm="1">
        <f t="array" ref="I420">IFERROR(VLOOKUP($A420,'The List'!$B1:$AS671,16,FALSE)," ")</f>
        <v xml:space="preserve"> </v>
      </c>
      <c r="J420" s="84" t="str" cm="1">
        <f t="array" ref="J420">IFERROR(VLOOKUP($A420,'The List'!$B1:$AS671,17,FALSE)," ")</f>
        <v xml:space="preserve"> </v>
      </c>
      <c r="K420" s="84" t="str" cm="1">
        <f t="array" ref="K420">IFERROR(VLOOKUP($A420,'The List'!$B1:$AS671,18,FALSE)," ")</f>
        <v xml:space="preserve"> </v>
      </c>
      <c r="L420" s="84" t="str" cm="1">
        <f t="array" ref="L420">IFERROR(VLOOKUP($A420,'The List'!$B1:$AS671,19,FALSE)," ")</f>
        <v xml:space="preserve"> </v>
      </c>
      <c r="M420" s="84" t="str" cm="1">
        <f t="array" ref="M420">IFERROR(VLOOKUP($A420,'The List'!$B1:$AS671,20,FALSE)," ")</f>
        <v xml:space="preserve"> </v>
      </c>
      <c r="N420" s="84" t="str" cm="1">
        <f t="array" ref="N420">IFERROR(VLOOKUP($A420,'The List'!$B1:$AS671,21,FALSE)," ")</f>
        <v xml:space="preserve"> </v>
      </c>
      <c r="O420" s="84" t="str" cm="1">
        <f t="array" ref="O420">IFERROR(VLOOKUP($A420,'The List'!$B1:$AS671,22,FALSE)," ")</f>
        <v xml:space="preserve"> </v>
      </c>
      <c r="P420" s="84" t="str" cm="1">
        <f t="array" ref="P420">IFERROR(VLOOKUP($A420,'The List'!$B1:$AS671,23,FALSE)," ")</f>
        <v xml:space="preserve"> </v>
      </c>
      <c r="Q420" s="84" t="str" cm="1">
        <f t="array" ref="Q420">IFERROR(VLOOKUP($A420,'The List'!$B1:$AS671,24,FALSE)," ")</f>
        <v xml:space="preserve"> </v>
      </c>
      <c r="R420" s="84" t="str" cm="1">
        <f t="array" ref="R420">IFERROR(VLOOKUP($A420,'The List'!$B1:$AS671,25,FALSE)," ")</f>
        <v xml:space="preserve"> </v>
      </c>
      <c r="S420" s="84" t="str" cm="1">
        <f t="array" ref="S420">IFERROR(VLOOKUP($A420,'The List'!$B1:$AS671,26,FALSE)," ")</f>
        <v xml:space="preserve"> </v>
      </c>
      <c r="T420" s="84" t="str" cm="1">
        <f t="array" ref="T420">IFERROR(VLOOKUP($A420,'The List'!$B1:$AS671,27,FALSE)," ")</f>
        <v xml:space="preserve"> </v>
      </c>
      <c r="U420" s="84" t="str" cm="1">
        <f t="array" ref="U420">IFERROR(VLOOKUP($A420,'The List'!$B1:$AS671,28,FALSE)," ")</f>
        <v xml:space="preserve"> </v>
      </c>
      <c r="V420" s="84" t="str" cm="1">
        <f t="array" ref="V420">IFERROR(VLOOKUP($A420,'The List'!$B1:$AS671,29,FALSE)," ")</f>
        <v xml:space="preserve"> </v>
      </c>
      <c r="W420" s="84" t="str" cm="1">
        <f t="array" ref="W420">IFERROR(VLOOKUP($A420,'The List'!$B1:$AS671,30,FALSE)," ")</f>
        <v xml:space="preserve"> </v>
      </c>
      <c r="X420" s="84" t="str" cm="1">
        <f t="array" ref="X420">IFERROR(VLOOKUP($A420,'The List'!$B1:$AS671,31,FALSE)," ")</f>
        <v xml:space="preserve"> </v>
      </c>
      <c r="Y420" s="84" t="str" cm="1">
        <f t="array" ref="Y420">IFERROR(VLOOKUP($A420,'The List'!$B1:$AS671,32,FALSE)," ")</f>
        <v xml:space="preserve"> </v>
      </c>
      <c r="Z420" s="84" t="str" cm="1">
        <f t="array" ref="Z420">IFERROR(VLOOKUP($A420,'The List'!$B1:$AS671,33,FALSE)," ")</f>
        <v xml:space="preserve"> </v>
      </c>
      <c r="AA420" s="85"/>
      <c r="AB420" s="90"/>
      <c r="AC420" s="90"/>
      <c r="AD420" s="90"/>
      <c r="AE420" s="90"/>
      <c r="AF420" s="90"/>
    </row>
    <row r="421" spans="1:32" ht="21.25" customHeight="1" x14ac:dyDescent="0.15">
      <c r="A421" s="24"/>
      <c r="B421" s="99" t="str" cm="1">
        <f t="array" ref="B421">IFERROR(VLOOKUP($A421,'The List'!$B1:$AS671,3,FALSE)," ")</f>
        <v xml:space="preserve"> </v>
      </c>
      <c r="C421" s="101" t="str" cm="1">
        <f t="array" ref="C421">IFERROR(VLOOKUP($A421,'The List'!$B1:$AS671,4,FALSE)," ")</f>
        <v xml:space="preserve"> </v>
      </c>
      <c r="D421" s="18" t="str" cm="1">
        <f t="array" ref="D421">IFERROR(VLOOKUP($A421,'The List'!$B1:$AS671,5,FALSE)," ")</f>
        <v xml:space="preserve"> </v>
      </c>
      <c r="E421" s="18" t="str" cm="1">
        <f t="array" ref="E421">IFERROR(VLOOKUP($A421,'The List'!$B1:$AS671,6,FALSE)," ")</f>
        <v xml:space="preserve"> </v>
      </c>
      <c r="F421" s="92" t="str" cm="1">
        <f t="array" ref="F421">IFERROR(VLOOKUP($A421,'The List'!$B1:$AS671,8,FALSE)," ")</f>
        <v xml:space="preserve"> </v>
      </c>
      <c r="G421" s="92" t="str" cm="1">
        <f t="array" ref="G421">IFERROR(VLOOKUP($A421,'The List'!$B1:$AS671,10,FALSE)," ")</f>
        <v xml:space="preserve"> </v>
      </c>
      <c r="H421" s="55"/>
      <c r="I421" s="84" t="str" cm="1">
        <f t="array" ref="I421">IFERROR(VLOOKUP($A421,'The List'!$B1:$AS671,16,FALSE)," ")</f>
        <v xml:space="preserve"> </v>
      </c>
      <c r="J421" s="84" t="str" cm="1">
        <f t="array" ref="J421">IFERROR(VLOOKUP($A421,'The List'!$B1:$AS671,17,FALSE)," ")</f>
        <v xml:space="preserve"> </v>
      </c>
      <c r="K421" s="84" t="str" cm="1">
        <f t="array" ref="K421">IFERROR(VLOOKUP($A421,'The List'!$B1:$AS671,18,FALSE)," ")</f>
        <v xml:space="preserve"> </v>
      </c>
      <c r="L421" s="84" t="str" cm="1">
        <f t="array" ref="L421">IFERROR(VLOOKUP($A421,'The List'!$B1:$AS671,19,FALSE)," ")</f>
        <v xml:space="preserve"> </v>
      </c>
      <c r="M421" s="84" t="str" cm="1">
        <f t="array" ref="M421">IFERROR(VLOOKUP($A421,'The List'!$B1:$AS671,20,FALSE)," ")</f>
        <v xml:space="preserve"> </v>
      </c>
      <c r="N421" s="84" t="str" cm="1">
        <f t="array" ref="N421">IFERROR(VLOOKUP($A421,'The List'!$B1:$AS671,21,FALSE)," ")</f>
        <v xml:space="preserve"> </v>
      </c>
      <c r="O421" s="84" t="str" cm="1">
        <f t="array" ref="O421">IFERROR(VLOOKUP($A421,'The List'!$B1:$AS671,22,FALSE)," ")</f>
        <v xml:space="preserve"> </v>
      </c>
      <c r="P421" s="84" t="str" cm="1">
        <f t="array" ref="P421">IFERROR(VLOOKUP($A421,'The List'!$B1:$AS671,23,FALSE)," ")</f>
        <v xml:space="preserve"> </v>
      </c>
      <c r="Q421" s="84" t="str" cm="1">
        <f t="array" ref="Q421">IFERROR(VLOOKUP($A421,'The List'!$B1:$AS671,24,FALSE)," ")</f>
        <v xml:space="preserve"> </v>
      </c>
      <c r="R421" s="84" t="str" cm="1">
        <f t="array" ref="R421">IFERROR(VLOOKUP($A421,'The List'!$B1:$AS671,25,FALSE)," ")</f>
        <v xml:space="preserve"> </v>
      </c>
      <c r="S421" s="84" t="str" cm="1">
        <f t="array" ref="S421">IFERROR(VLOOKUP($A421,'The List'!$B1:$AS671,26,FALSE)," ")</f>
        <v xml:space="preserve"> </v>
      </c>
      <c r="T421" s="84" t="str" cm="1">
        <f t="array" ref="T421">IFERROR(VLOOKUP($A421,'The List'!$B1:$AS671,27,FALSE)," ")</f>
        <v xml:space="preserve"> </v>
      </c>
      <c r="U421" s="84" t="str" cm="1">
        <f t="array" ref="U421">IFERROR(VLOOKUP($A421,'The List'!$B1:$AS671,28,FALSE)," ")</f>
        <v xml:space="preserve"> </v>
      </c>
      <c r="V421" s="84" t="str" cm="1">
        <f t="array" ref="V421">IFERROR(VLOOKUP($A421,'The List'!$B1:$AS671,29,FALSE)," ")</f>
        <v xml:space="preserve"> </v>
      </c>
      <c r="W421" s="84" t="str" cm="1">
        <f t="array" ref="W421">IFERROR(VLOOKUP($A421,'The List'!$B1:$AS671,30,FALSE)," ")</f>
        <v xml:space="preserve"> </v>
      </c>
      <c r="X421" s="84" t="str" cm="1">
        <f t="array" ref="X421">IFERROR(VLOOKUP($A421,'The List'!$B1:$AS671,31,FALSE)," ")</f>
        <v xml:space="preserve"> </v>
      </c>
      <c r="Y421" s="84" t="str" cm="1">
        <f t="array" ref="Y421">IFERROR(VLOOKUP($A421,'The List'!$B1:$AS671,32,FALSE)," ")</f>
        <v xml:space="preserve"> </v>
      </c>
      <c r="Z421" s="84" t="str" cm="1">
        <f t="array" ref="Z421">IFERROR(VLOOKUP($A421,'The List'!$B1:$AS671,33,FALSE)," ")</f>
        <v xml:space="preserve"> </v>
      </c>
      <c r="AA421" s="85"/>
      <c r="AB421" s="90"/>
      <c r="AC421" s="90"/>
      <c r="AD421" s="90"/>
      <c r="AE421" s="90"/>
      <c r="AF421" s="90"/>
    </row>
    <row r="422" spans="1:32" ht="21.25" customHeight="1" x14ac:dyDescent="0.15">
      <c r="A422" s="24"/>
      <c r="B422" s="99" t="str" cm="1">
        <f t="array" ref="B422">IFERROR(VLOOKUP($A422,'The List'!$B1:$AS671,3,FALSE)," ")</f>
        <v xml:space="preserve"> </v>
      </c>
      <c r="C422" s="101" t="str" cm="1">
        <f t="array" ref="C422">IFERROR(VLOOKUP($A422,'The List'!$B1:$AS671,4,FALSE)," ")</f>
        <v xml:space="preserve"> </v>
      </c>
      <c r="D422" s="18" t="str" cm="1">
        <f t="array" ref="D422">IFERROR(VLOOKUP($A422,'The List'!$B1:$AS671,5,FALSE)," ")</f>
        <v xml:space="preserve"> </v>
      </c>
      <c r="E422" s="18" t="str" cm="1">
        <f t="array" ref="E422">IFERROR(VLOOKUP($A422,'The List'!$B1:$AS671,6,FALSE)," ")</f>
        <v xml:space="preserve"> </v>
      </c>
      <c r="F422" s="92" t="str" cm="1">
        <f t="array" ref="F422">IFERROR(VLOOKUP($A422,'The List'!$B1:$AS671,8,FALSE)," ")</f>
        <v xml:space="preserve"> </v>
      </c>
      <c r="G422" s="92" t="str" cm="1">
        <f t="array" ref="G422">IFERROR(VLOOKUP($A422,'The List'!$B1:$AS671,10,FALSE)," ")</f>
        <v xml:space="preserve"> </v>
      </c>
      <c r="H422" s="55"/>
      <c r="I422" s="84" t="str" cm="1">
        <f t="array" ref="I422">IFERROR(VLOOKUP($A422,'The List'!$B1:$AS671,16,FALSE)," ")</f>
        <v xml:space="preserve"> </v>
      </c>
      <c r="J422" s="84" t="str" cm="1">
        <f t="array" ref="J422">IFERROR(VLOOKUP($A422,'The List'!$B1:$AS671,17,FALSE)," ")</f>
        <v xml:space="preserve"> </v>
      </c>
      <c r="K422" s="84" t="str" cm="1">
        <f t="array" ref="K422">IFERROR(VLOOKUP($A422,'The List'!$B1:$AS671,18,FALSE)," ")</f>
        <v xml:space="preserve"> </v>
      </c>
      <c r="L422" s="84" t="str" cm="1">
        <f t="array" ref="L422">IFERROR(VLOOKUP($A422,'The List'!$B1:$AS671,19,FALSE)," ")</f>
        <v xml:space="preserve"> </v>
      </c>
      <c r="M422" s="84" t="str" cm="1">
        <f t="array" ref="M422">IFERROR(VLOOKUP($A422,'The List'!$B1:$AS671,20,FALSE)," ")</f>
        <v xml:space="preserve"> </v>
      </c>
      <c r="N422" s="84" t="str" cm="1">
        <f t="array" ref="N422">IFERROR(VLOOKUP($A422,'The List'!$B1:$AS671,21,FALSE)," ")</f>
        <v xml:space="preserve"> </v>
      </c>
      <c r="O422" s="84" t="str" cm="1">
        <f t="array" ref="O422">IFERROR(VLOOKUP($A422,'The List'!$B1:$AS671,22,FALSE)," ")</f>
        <v xml:space="preserve"> </v>
      </c>
      <c r="P422" s="84" t="str" cm="1">
        <f t="array" ref="P422">IFERROR(VLOOKUP($A422,'The List'!$B1:$AS671,23,FALSE)," ")</f>
        <v xml:space="preserve"> </v>
      </c>
      <c r="Q422" s="84" t="str" cm="1">
        <f t="array" ref="Q422">IFERROR(VLOOKUP($A422,'The List'!$B1:$AS671,24,FALSE)," ")</f>
        <v xml:space="preserve"> </v>
      </c>
      <c r="R422" s="84" t="str" cm="1">
        <f t="array" ref="R422">IFERROR(VLOOKUP($A422,'The List'!$B1:$AS671,25,FALSE)," ")</f>
        <v xml:space="preserve"> </v>
      </c>
      <c r="S422" s="84" t="str" cm="1">
        <f t="array" ref="S422">IFERROR(VLOOKUP($A422,'The List'!$B1:$AS671,26,FALSE)," ")</f>
        <v xml:space="preserve"> </v>
      </c>
      <c r="T422" s="84" t="str" cm="1">
        <f t="array" ref="T422">IFERROR(VLOOKUP($A422,'The List'!$B1:$AS671,27,FALSE)," ")</f>
        <v xml:space="preserve"> </v>
      </c>
      <c r="U422" s="84" t="str" cm="1">
        <f t="array" ref="U422">IFERROR(VLOOKUP($A422,'The List'!$B1:$AS671,28,FALSE)," ")</f>
        <v xml:space="preserve"> </v>
      </c>
      <c r="V422" s="84" t="str" cm="1">
        <f t="array" ref="V422">IFERROR(VLOOKUP($A422,'The List'!$B1:$AS671,29,FALSE)," ")</f>
        <v xml:space="preserve"> </v>
      </c>
      <c r="W422" s="84" t="str" cm="1">
        <f t="array" ref="W422">IFERROR(VLOOKUP($A422,'The List'!$B1:$AS671,30,FALSE)," ")</f>
        <v xml:space="preserve"> </v>
      </c>
      <c r="X422" s="84" t="str" cm="1">
        <f t="array" ref="X422">IFERROR(VLOOKUP($A422,'The List'!$B1:$AS671,31,FALSE)," ")</f>
        <v xml:space="preserve"> </v>
      </c>
      <c r="Y422" s="84" t="str" cm="1">
        <f t="array" ref="Y422">IFERROR(VLOOKUP($A422,'The List'!$B1:$AS671,32,FALSE)," ")</f>
        <v xml:space="preserve"> </v>
      </c>
      <c r="Z422" s="84" t="str" cm="1">
        <f t="array" ref="Z422">IFERROR(VLOOKUP($A422,'The List'!$B1:$AS671,33,FALSE)," ")</f>
        <v xml:space="preserve"> </v>
      </c>
      <c r="AA422" s="85"/>
      <c r="AB422" s="90"/>
      <c r="AC422" s="90"/>
      <c r="AD422" s="90"/>
      <c r="AE422" s="90"/>
      <c r="AF422" s="90"/>
    </row>
    <row r="423" spans="1:32" ht="21.25" customHeight="1" x14ac:dyDescent="0.15">
      <c r="A423" s="24"/>
      <c r="B423" s="99" t="str" cm="1">
        <f t="array" ref="B423">IFERROR(VLOOKUP($A423,'The List'!$B1:$AS671,3,FALSE)," ")</f>
        <v xml:space="preserve"> </v>
      </c>
      <c r="C423" s="101" t="str" cm="1">
        <f t="array" ref="C423">IFERROR(VLOOKUP($A423,'The List'!$B1:$AS671,4,FALSE)," ")</f>
        <v xml:space="preserve"> </v>
      </c>
      <c r="D423" s="18" t="str" cm="1">
        <f t="array" ref="D423">IFERROR(VLOOKUP($A423,'The List'!$B1:$AS671,5,FALSE)," ")</f>
        <v xml:space="preserve"> </v>
      </c>
      <c r="E423" s="18" t="str" cm="1">
        <f t="array" ref="E423">IFERROR(VLOOKUP($A423,'The List'!$B1:$AS671,6,FALSE)," ")</f>
        <v xml:space="preserve"> </v>
      </c>
      <c r="F423" s="92" t="str" cm="1">
        <f t="array" ref="F423">IFERROR(VLOOKUP($A423,'The List'!$B1:$AS671,8,FALSE)," ")</f>
        <v xml:space="preserve"> </v>
      </c>
      <c r="G423" s="92" t="str" cm="1">
        <f t="array" ref="G423">IFERROR(VLOOKUP($A423,'The List'!$B1:$AS671,10,FALSE)," ")</f>
        <v xml:space="preserve"> </v>
      </c>
      <c r="H423" s="55"/>
      <c r="I423" s="84" t="str" cm="1">
        <f t="array" ref="I423">IFERROR(VLOOKUP($A423,'The List'!$B1:$AS671,16,FALSE)," ")</f>
        <v xml:space="preserve"> </v>
      </c>
      <c r="J423" s="84" t="str" cm="1">
        <f t="array" ref="J423">IFERROR(VLOOKUP($A423,'The List'!$B1:$AS671,17,FALSE)," ")</f>
        <v xml:space="preserve"> </v>
      </c>
      <c r="K423" s="84" t="str" cm="1">
        <f t="array" ref="K423">IFERROR(VLOOKUP($A423,'The List'!$B1:$AS671,18,FALSE)," ")</f>
        <v xml:space="preserve"> </v>
      </c>
      <c r="L423" s="84" t="str" cm="1">
        <f t="array" ref="L423">IFERROR(VLOOKUP($A423,'The List'!$B1:$AS671,19,FALSE)," ")</f>
        <v xml:space="preserve"> </v>
      </c>
      <c r="M423" s="84" t="str" cm="1">
        <f t="array" ref="M423">IFERROR(VLOOKUP($A423,'The List'!$B1:$AS671,20,FALSE)," ")</f>
        <v xml:space="preserve"> </v>
      </c>
      <c r="N423" s="84" t="str" cm="1">
        <f t="array" ref="N423">IFERROR(VLOOKUP($A423,'The List'!$B1:$AS671,21,FALSE)," ")</f>
        <v xml:space="preserve"> </v>
      </c>
      <c r="O423" s="84" t="str" cm="1">
        <f t="array" ref="O423">IFERROR(VLOOKUP($A423,'The List'!$B1:$AS671,22,FALSE)," ")</f>
        <v xml:space="preserve"> </v>
      </c>
      <c r="P423" s="84" t="str" cm="1">
        <f t="array" ref="P423">IFERROR(VLOOKUP($A423,'The List'!$B1:$AS671,23,FALSE)," ")</f>
        <v xml:space="preserve"> </v>
      </c>
      <c r="Q423" s="84" t="str" cm="1">
        <f t="array" ref="Q423">IFERROR(VLOOKUP($A423,'The List'!$B1:$AS671,24,FALSE)," ")</f>
        <v xml:space="preserve"> </v>
      </c>
      <c r="R423" s="84" t="str" cm="1">
        <f t="array" ref="R423">IFERROR(VLOOKUP($A423,'The List'!$B1:$AS671,25,FALSE)," ")</f>
        <v xml:space="preserve"> </v>
      </c>
      <c r="S423" s="84" t="str" cm="1">
        <f t="array" ref="S423">IFERROR(VLOOKUP($A423,'The List'!$B1:$AS671,26,FALSE)," ")</f>
        <v xml:space="preserve"> </v>
      </c>
      <c r="T423" s="84" t="str" cm="1">
        <f t="array" ref="T423">IFERROR(VLOOKUP($A423,'The List'!$B1:$AS671,27,FALSE)," ")</f>
        <v xml:space="preserve"> </v>
      </c>
      <c r="U423" s="84" t="str" cm="1">
        <f t="array" ref="U423">IFERROR(VLOOKUP($A423,'The List'!$B1:$AS671,28,FALSE)," ")</f>
        <v xml:space="preserve"> </v>
      </c>
      <c r="V423" s="84" t="str" cm="1">
        <f t="array" ref="V423">IFERROR(VLOOKUP($A423,'The List'!$B1:$AS671,29,FALSE)," ")</f>
        <v xml:space="preserve"> </v>
      </c>
      <c r="W423" s="84" t="str" cm="1">
        <f t="array" ref="W423">IFERROR(VLOOKUP($A423,'The List'!$B1:$AS671,30,FALSE)," ")</f>
        <v xml:space="preserve"> </v>
      </c>
      <c r="X423" s="84" t="str" cm="1">
        <f t="array" ref="X423">IFERROR(VLOOKUP($A423,'The List'!$B1:$AS671,31,FALSE)," ")</f>
        <v xml:space="preserve"> </v>
      </c>
      <c r="Y423" s="84" t="str" cm="1">
        <f t="array" ref="Y423">IFERROR(VLOOKUP($A423,'The List'!$B1:$AS671,32,FALSE)," ")</f>
        <v xml:space="preserve"> </v>
      </c>
      <c r="Z423" s="84" t="str" cm="1">
        <f t="array" ref="Z423">IFERROR(VLOOKUP($A423,'The List'!$B1:$AS671,33,FALSE)," ")</f>
        <v xml:space="preserve"> </v>
      </c>
      <c r="AA423" s="85"/>
      <c r="AB423" s="90"/>
      <c r="AC423" s="90"/>
      <c r="AD423" s="90"/>
      <c r="AE423" s="90"/>
      <c r="AF423" s="90"/>
    </row>
    <row r="424" spans="1:32" ht="21.25" customHeight="1" x14ac:dyDescent="0.15">
      <c r="A424" s="24"/>
      <c r="B424" s="99" t="str" cm="1">
        <f t="array" ref="B424">IFERROR(VLOOKUP($A424,'The List'!$B1:$AS671,3,FALSE)," ")</f>
        <v xml:space="preserve"> </v>
      </c>
      <c r="C424" s="101" t="str" cm="1">
        <f t="array" ref="C424">IFERROR(VLOOKUP($A424,'The List'!$B1:$AS671,4,FALSE)," ")</f>
        <v xml:space="preserve"> </v>
      </c>
      <c r="D424" s="18" t="str" cm="1">
        <f t="array" ref="D424">IFERROR(VLOOKUP($A424,'The List'!$B1:$AS671,5,FALSE)," ")</f>
        <v xml:space="preserve"> </v>
      </c>
      <c r="E424" s="18" t="str" cm="1">
        <f t="array" ref="E424">IFERROR(VLOOKUP($A424,'The List'!$B1:$AS671,6,FALSE)," ")</f>
        <v xml:space="preserve"> </v>
      </c>
      <c r="F424" s="92" t="str" cm="1">
        <f t="array" ref="F424">IFERROR(VLOOKUP($A424,'The List'!$B1:$AS671,8,FALSE)," ")</f>
        <v xml:space="preserve"> </v>
      </c>
      <c r="G424" s="92" t="str" cm="1">
        <f t="array" ref="G424">IFERROR(VLOOKUP($A424,'The List'!$B1:$AS671,10,FALSE)," ")</f>
        <v xml:space="preserve"> </v>
      </c>
      <c r="H424" s="55"/>
      <c r="I424" s="84" t="str" cm="1">
        <f t="array" ref="I424">IFERROR(VLOOKUP($A424,'The List'!$B1:$AS671,16,FALSE)," ")</f>
        <v xml:space="preserve"> </v>
      </c>
      <c r="J424" s="84" t="str" cm="1">
        <f t="array" ref="J424">IFERROR(VLOOKUP($A424,'The List'!$B1:$AS671,17,FALSE)," ")</f>
        <v xml:space="preserve"> </v>
      </c>
      <c r="K424" s="84" t="str" cm="1">
        <f t="array" ref="K424">IFERROR(VLOOKUP($A424,'The List'!$B1:$AS671,18,FALSE)," ")</f>
        <v xml:space="preserve"> </v>
      </c>
      <c r="L424" s="84" t="str" cm="1">
        <f t="array" ref="L424">IFERROR(VLOOKUP($A424,'The List'!$B1:$AS671,19,FALSE)," ")</f>
        <v xml:space="preserve"> </v>
      </c>
      <c r="M424" s="84" t="str" cm="1">
        <f t="array" ref="M424">IFERROR(VLOOKUP($A424,'The List'!$B1:$AS671,20,FALSE)," ")</f>
        <v xml:space="preserve"> </v>
      </c>
      <c r="N424" s="84" t="str" cm="1">
        <f t="array" ref="N424">IFERROR(VLOOKUP($A424,'The List'!$B1:$AS671,21,FALSE)," ")</f>
        <v xml:space="preserve"> </v>
      </c>
      <c r="O424" s="84" t="str" cm="1">
        <f t="array" ref="O424">IFERROR(VLOOKUP($A424,'The List'!$B1:$AS671,22,FALSE)," ")</f>
        <v xml:space="preserve"> </v>
      </c>
      <c r="P424" s="84" t="str" cm="1">
        <f t="array" ref="P424">IFERROR(VLOOKUP($A424,'The List'!$B1:$AS671,23,FALSE)," ")</f>
        <v xml:space="preserve"> </v>
      </c>
      <c r="Q424" s="84" t="str" cm="1">
        <f t="array" ref="Q424">IFERROR(VLOOKUP($A424,'The List'!$B1:$AS671,24,FALSE)," ")</f>
        <v xml:space="preserve"> </v>
      </c>
      <c r="R424" s="84" t="str" cm="1">
        <f t="array" ref="R424">IFERROR(VLOOKUP($A424,'The List'!$B1:$AS671,25,FALSE)," ")</f>
        <v xml:space="preserve"> </v>
      </c>
      <c r="S424" s="84" t="str" cm="1">
        <f t="array" ref="S424">IFERROR(VLOOKUP($A424,'The List'!$B1:$AS671,26,FALSE)," ")</f>
        <v xml:space="preserve"> </v>
      </c>
      <c r="T424" s="84" t="str" cm="1">
        <f t="array" ref="T424">IFERROR(VLOOKUP($A424,'The List'!$B1:$AS671,27,FALSE)," ")</f>
        <v xml:space="preserve"> </v>
      </c>
      <c r="U424" s="84" t="str" cm="1">
        <f t="array" ref="U424">IFERROR(VLOOKUP($A424,'The List'!$B1:$AS671,28,FALSE)," ")</f>
        <v xml:space="preserve"> </v>
      </c>
      <c r="V424" s="84" t="str" cm="1">
        <f t="array" ref="V424">IFERROR(VLOOKUP($A424,'The List'!$B1:$AS671,29,FALSE)," ")</f>
        <v xml:space="preserve"> </v>
      </c>
      <c r="W424" s="84" t="str" cm="1">
        <f t="array" ref="W424">IFERROR(VLOOKUP($A424,'The List'!$B1:$AS671,30,FALSE)," ")</f>
        <v xml:space="preserve"> </v>
      </c>
      <c r="X424" s="84" t="str" cm="1">
        <f t="array" ref="X424">IFERROR(VLOOKUP($A424,'The List'!$B1:$AS671,31,FALSE)," ")</f>
        <v xml:space="preserve"> </v>
      </c>
      <c r="Y424" s="84" t="str" cm="1">
        <f t="array" ref="Y424">IFERROR(VLOOKUP($A424,'The List'!$B1:$AS671,32,FALSE)," ")</f>
        <v xml:space="preserve"> </v>
      </c>
      <c r="Z424" s="84" t="str" cm="1">
        <f t="array" ref="Z424">IFERROR(VLOOKUP($A424,'The List'!$B1:$AS671,33,FALSE)," ")</f>
        <v xml:space="preserve"> </v>
      </c>
      <c r="AA424" s="85"/>
      <c r="AB424" s="90"/>
      <c r="AC424" s="90"/>
      <c r="AD424" s="90"/>
      <c r="AE424" s="90"/>
      <c r="AF424" s="90"/>
    </row>
    <row r="425" spans="1:32" ht="21.25" customHeight="1" x14ac:dyDescent="0.15">
      <c r="A425" s="24"/>
      <c r="B425" s="99" t="str" cm="1">
        <f t="array" ref="B425">IFERROR(VLOOKUP($A425,'The List'!$B1:$AS671,3,FALSE)," ")</f>
        <v xml:space="preserve"> </v>
      </c>
      <c r="C425" s="101" t="str" cm="1">
        <f t="array" ref="C425">IFERROR(VLOOKUP($A425,'The List'!$B1:$AS671,4,FALSE)," ")</f>
        <v xml:space="preserve"> </v>
      </c>
      <c r="D425" s="18" t="str" cm="1">
        <f t="array" ref="D425">IFERROR(VLOOKUP($A425,'The List'!$B1:$AS671,5,FALSE)," ")</f>
        <v xml:space="preserve"> </v>
      </c>
      <c r="E425" s="18" t="str" cm="1">
        <f t="array" ref="E425">IFERROR(VLOOKUP($A425,'The List'!$B1:$AS671,6,FALSE)," ")</f>
        <v xml:space="preserve"> </v>
      </c>
      <c r="F425" s="92" t="str" cm="1">
        <f t="array" ref="F425">IFERROR(VLOOKUP($A425,'The List'!$B1:$AS671,8,FALSE)," ")</f>
        <v xml:space="preserve"> </v>
      </c>
      <c r="G425" s="92" t="str" cm="1">
        <f t="array" ref="G425">IFERROR(VLOOKUP($A425,'The List'!$B1:$AS671,10,FALSE)," ")</f>
        <v xml:space="preserve"> </v>
      </c>
      <c r="H425" s="55"/>
      <c r="I425" s="84" t="str" cm="1">
        <f t="array" ref="I425">IFERROR(VLOOKUP($A425,'The List'!$B1:$AS671,16,FALSE)," ")</f>
        <v xml:space="preserve"> </v>
      </c>
      <c r="J425" s="84" t="str" cm="1">
        <f t="array" ref="J425">IFERROR(VLOOKUP($A425,'The List'!$B1:$AS671,17,FALSE)," ")</f>
        <v xml:space="preserve"> </v>
      </c>
      <c r="K425" s="84" t="str" cm="1">
        <f t="array" ref="K425">IFERROR(VLOOKUP($A425,'The List'!$B1:$AS671,18,FALSE)," ")</f>
        <v xml:space="preserve"> </v>
      </c>
      <c r="L425" s="84" t="str" cm="1">
        <f t="array" ref="L425">IFERROR(VLOOKUP($A425,'The List'!$B1:$AS671,19,FALSE)," ")</f>
        <v xml:space="preserve"> </v>
      </c>
      <c r="M425" s="84" t="str" cm="1">
        <f t="array" ref="M425">IFERROR(VLOOKUP($A425,'The List'!$B1:$AS671,20,FALSE)," ")</f>
        <v xml:space="preserve"> </v>
      </c>
      <c r="N425" s="84" t="str" cm="1">
        <f t="array" ref="N425">IFERROR(VLOOKUP($A425,'The List'!$B1:$AS671,21,FALSE)," ")</f>
        <v xml:space="preserve"> </v>
      </c>
      <c r="O425" s="84" t="str" cm="1">
        <f t="array" ref="O425">IFERROR(VLOOKUP($A425,'The List'!$B1:$AS671,22,FALSE)," ")</f>
        <v xml:space="preserve"> </v>
      </c>
      <c r="P425" s="84" t="str" cm="1">
        <f t="array" ref="P425">IFERROR(VLOOKUP($A425,'The List'!$B1:$AS671,23,FALSE)," ")</f>
        <v xml:space="preserve"> </v>
      </c>
      <c r="Q425" s="84" t="str" cm="1">
        <f t="array" ref="Q425">IFERROR(VLOOKUP($A425,'The List'!$B1:$AS671,24,FALSE)," ")</f>
        <v xml:space="preserve"> </v>
      </c>
      <c r="R425" s="84" t="str" cm="1">
        <f t="array" ref="R425">IFERROR(VLOOKUP($A425,'The List'!$B1:$AS671,25,FALSE)," ")</f>
        <v xml:space="preserve"> </v>
      </c>
      <c r="S425" s="84" t="str" cm="1">
        <f t="array" ref="S425">IFERROR(VLOOKUP($A425,'The List'!$B1:$AS671,26,FALSE)," ")</f>
        <v xml:space="preserve"> </v>
      </c>
      <c r="T425" s="84" t="str" cm="1">
        <f t="array" ref="T425">IFERROR(VLOOKUP($A425,'The List'!$B1:$AS671,27,FALSE)," ")</f>
        <v xml:space="preserve"> </v>
      </c>
      <c r="U425" s="84" t="str" cm="1">
        <f t="array" ref="U425">IFERROR(VLOOKUP($A425,'The List'!$B1:$AS671,28,FALSE)," ")</f>
        <v xml:space="preserve"> </v>
      </c>
      <c r="V425" s="84" t="str" cm="1">
        <f t="array" ref="V425">IFERROR(VLOOKUP($A425,'The List'!$B1:$AS671,29,FALSE)," ")</f>
        <v xml:space="preserve"> </v>
      </c>
      <c r="W425" s="84" t="str" cm="1">
        <f t="array" ref="W425">IFERROR(VLOOKUP($A425,'The List'!$B1:$AS671,30,FALSE)," ")</f>
        <v xml:space="preserve"> </v>
      </c>
      <c r="X425" s="84" t="str" cm="1">
        <f t="array" ref="X425">IFERROR(VLOOKUP($A425,'The List'!$B1:$AS671,31,FALSE)," ")</f>
        <v xml:space="preserve"> </v>
      </c>
      <c r="Y425" s="84" t="str" cm="1">
        <f t="array" ref="Y425">IFERROR(VLOOKUP($A425,'The List'!$B1:$AS671,32,FALSE)," ")</f>
        <v xml:space="preserve"> </v>
      </c>
      <c r="Z425" s="84" t="str" cm="1">
        <f t="array" ref="Z425">IFERROR(VLOOKUP($A425,'The List'!$B1:$AS671,33,FALSE)," ")</f>
        <v xml:space="preserve"> </v>
      </c>
      <c r="AA425" s="85"/>
      <c r="AB425" s="90"/>
      <c r="AC425" s="90"/>
      <c r="AD425" s="90"/>
      <c r="AE425" s="90"/>
      <c r="AF425" s="90"/>
    </row>
    <row r="426" spans="1:32" ht="21.25" customHeight="1" x14ac:dyDescent="0.15">
      <c r="A426" s="24"/>
      <c r="B426" s="99" t="str" cm="1">
        <f t="array" ref="B426">IFERROR(VLOOKUP($A426,'The List'!$B1:$AS671,3,FALSE)," ")</f>
        <v xml:space="preserve"> </v>
      </c>
      <c r="C426" s="101" t="str" cm="1">
        <f t="array" ref="C426">IFERROR(VLOOKUP($A426,'The List'!$B1:$AS671,4,FALSE)," ")</f>
        <v xml:space="preserve"> </v>
      </c>
      <c r="D426" s="18" t="str" cm="1">
        <f t="array" ref="D426">IFERROR(VLOOKUP($A426,'The List'!$B1:$AS671,5,FALSE)," ")</f>
        <v xml:space="preserve"> </v>
      </c>
      <c r="E426" s="18" t="str" cm="1">
        <f t="array" ref="E426">IFERROR(VLOOKUP($A426,'The List'!$B1:$AS671,6,FALSE)," ")</f>
        <v xml:space="preserve"> </v>
      </c>
      <c r="F426" s="92" t="str" cm="1">
        <f t="array" ref="F426">IFERROR(VLOOKUP($A426,'The List'!$B1:$AS671,8,FALSE)," ")</f>
        <v xml:space="preserve"> </v>
      </c>
      <c r="G426" s="92" t="str" cm="1">
        <f t="array" ref="G426">IFERROR(VLOOKUP($A426,'The List'!$B1:$AS671,10,FALSE)," ")</f>
        <v xml:space="preserve"> </v>
      </c>
      <c r="H426" s="55"/>
      <c r="I426" s="84" t="str" cm="1">
        <f t="array" ref="I426">IFERROR(VLOOKUP($A426,'The List'!$B1:$AS671,16,FALSE)," ")</f>
        <v xml:space="preserve"> </v>
      </c>
      <c r="J426" s="84" t="str" cm="1">
        <f t="array" ref="J426">IFERROR(VLOOKUP($A426,'The List'!$B1:$AS671,17,FALSE)," ")</f>
        <v xml:space="preserve"> </v>
      </c>
      <c r="K426" s="84" t="str" cm="1">
        <f t="array" ref="K426">IFERROR(VLOOKUP($A426,'The List'!$B1:$AS671,18,FALSE)," ")</f>
        <v xml:space="preserve"> </v>
      </c>
      <c r="L426" s="84" t="str" cm="1">
        <f t="array" ref="L426">IFERROR(VLOOKUP($A426,'The List'!$B1:$AS671,19,FALSE)," ")</f>
        <v xml:space="preserve"> </v>
      </c>
      <c r="M426" s="84" t="str" cm="1">
        <f t="array" ref="M426">IFERROR(VLOOKUP($A426,'The List'!$B1:$AS671,20,FALSE)," ")</f>
        <v xml:space="preserve"> </v>
      </c>
      <c r="N426" s="84" t="str" cm="1">
        <f t="array" ref="N426">IFERROR(VLOOKUP($A426,'The List'!$B1:$AS671,21,FALSE)," ")</f>
        <v xml:space="preserve"> </v>
      </c>
      <c r="O426" s="84" t="str" cm="1">
        <f t="array" ref="O426">IFERROR(VLOOKUP($A426,'The List'!$B1:$AS671,22,FALSE)," ")</f>
        <v xml:space="preserve"> </v>
      </c>
      <c r="P426" s="84" t="str" cm="1">
        <f t="array" ref="P426">IFERROR(VLOOKUP($A426,'The List'!$B1:$AS671,23,FALSE)," ")</f>
        <v xml:space="preserve"> </v>
      </c>
      <c r="Q426" s="84" t="str" cm="1">
        <f t="array" ref="Q426">IFERROR(VLOOKUP($A426,'The List'!$B1:$AS671,24,FALSE)," ")</f>
        <v xml:space="preserve"> </v>
      </c>
      <c r="R426" s="84" t="str" cm="1">
        <f t="array" ref="R426">IFERROR(VLOOKUP($A426,'The List'!$B1:$AS671,25,FALSE)," ")</f>
        <v xml:space="preserve"> </v>
      </c>
      <c r="S426" s="84" t="str" cm="1">
        <f t="array" ref="S426">IFERROR(VLOOKUP($A426,'The List'!$B1:$AS671,26,FALSE)," ")</f>
        <v xml:space="preserve"> </v>
      </c>
      <c r="T426" s="84" t="str" cm="1">
        <f t="array" ref="T426">IFERROR(VLOOKUP($A426,'The List'!$B1:$AS671,27,FALSE)," ")</f>
        <v xml:space="preserve"> </v>
      </c>
      <c r="U426" s="84" t="str" cm="1">
        <f t="array" ref="U426">IFERROR(VLOOKUP($A426,'The List'!$B1:$AS671,28,FALSE)," ")</f>
        <v xml:space="preserve"> </v>
      </c>
      <c r="V426" s="84" t="str" cm="1">
        <f t="array" ref="V426">IFERROR(VLOOKUP($A426,'The List'!$B1:$AS671,29,FALSE)," ")</f>
        <v xml:space="preserve"> </v>
      </c>
      <c r="W426" s="84" t="str" cm="1">
        <f t="array" ref="W426">IFERROR(VLOOKUP($A426,'The List'!$B1:$AS671,30,FALSE)," ")</f>
        <v xml:space="preserve"> </v>
      </c>
      <c r="X426" s="84" t="str" cm="1">
        <f t="array" ref="X426">IFERROR(VLOOKUP($A426,'The List'!$B1:$AS671,31,FALSE)," ")</f>
        <v xml:space="preserve"> </v>
      </c>
      <c r="Y426" s="84" t="str" cm="1">
        <f t="array" ref="Y426">IFERROR(VLOOKUP($A426,'The List'!$B1:$AS671,32,FALSE)," ")</f>
        <v xml:space="preserve"> </v>
      </c>
      <c r="Z426" s="84" t="str" cm="1">
        <f t="array" ref="Z426">IFERROR(VLOOKUP($A426,'The List'!$B1:$AS671,33,FALSE)," ")</f>
        <v xml:space="preserve"> </v>
      </c>
      <c r="AA426" s="85"/>
      <c r="AB426" s="90"/>
      <c r="AC426" s="90"/>
      <c r="AD426" s="90"/>
      <c r="AE426" s="90"/>
      <c r="AF426" s="90"/>
    </row>
    <row r="427" spans="1:32" ht="21.25" customHeight="1" x14ac:dyDescent="0.15">
      <c r="A427" s="103"/>
      <c r="B427" s="104" t="str" cm="1">
        <f t="array" ref="B427">IFERROR(VLOOKUP($A427,'The List'!$B1:$AS671,3,FALSE)," ")</f>
        <v xml:space="preserve"> </v>
      </c>
      <c r="C427" s="105" t="str" cm="1">
        <f t="array" ref="C427">IFERROR(VLOOKUP($A427,'The List'!$B1:$AS671,4,FALSE)," ")</f>
        <v xml:space="preserve"> </v>
      </c>
      <c r="D427" s="106" t="str" cm="1">
        <f t="array" ref="D427">IFERROR(VLOOKUP($A427,'The List'!$B1:$AS671,5,FALSE)," ")</f>
        <v xml:space="preserve"> </v>
      </c>
      <c r="E427" s="106" t="str" cm="1">
        <f t="array" ref="E427">IFERROR(VLOOKUP($A427,'The List'!$B1:$AS671,6,FALSE)," ")</f>
        <v xml:space="preserve"> </v>
      </c>
      <c r="F427" s="107" t="str" cm="1">
        <f t="array" ref="F427">IFERROR(VLOOKUP($A427,'The List'!$B1:$AS671,8,FALSE)," ")</f>
        <v xml:space="preserve"> </v>
      </c>
      <c r="G427" s="107" t="str" cm="1">
        <f t="array" ref="G427">IFERROR(VLOOKUP($A427,'The List'!$B1:$AS671,10,FALSE)," ")</f>
        <v xml:space="preserve"> </v>
      </c>
      <c r="H427" s="108"/>
      <c r="I427" s="109" t="str" cm="1">
        <f t="array" ref="I427">IFERROR(VLOOKUP($A427,'The List'!$B1:$AS671,16,FALSE)," ")</f>
        <v xml:space="preserve"> </v>
      </c>
      <c r="J427" s="109" t="str" cm="1">
        <f t="array" ref="J427">IFERROR(VLOOKUP($A427,'The List'!$B1:$AS671,17,FALSE)," ")</f>
        <v xml:space="preserve"> </v>
      </c>
      <c r="K427" s="109" t="str" cm="1">
        <f t="array" ref="K427">IFERROR(VLOOKUP($A427,'The List'!$B1:$AS671,18,FALSE)," ")</f>
        <v xml:space="preserve"> </v>
      </c>
      <c r="L427" s="109" t="str" cm="1">
        <f t="array" ref="L427">IFERROR(VLOOKUP($A427,'The List'!$B1:$AS671,19,FALSE)," ")</f>
        <v xml:space="preserve"> </v>
      </c>
      <c r="M427" s="109" t="str" cm="1">
        <f t="array" ref="M427">IFERROR(VLOOKUP($A427,'The List'!$B1:$AS671,20,FALSE)," ")</f>
        <v xml:space="preserve"> </v>
      </c>
      <c r="N427" s="109" t="str" cm="1">
        <f t="array" ref="N427">IFERROR(VLOOKUP($A427,'The List'!$B1:$AS671,21,FALSE)," ")</f>
        <v xml:space="preserve"> </v>
      </c>
      <c r="O427" s="109" t="str" cm="1">
        <f t="array" ref="O427">IFERROR(VLOOKUP($A427,'The List'!$B1:$AS671,22,FALSE)," ")</f>
        <v xml:space="preserve"> </v>
      </c>
      <c r="P427" s="109" t="str" cm="1">
        <f t="array" ref="P427">IFERROR(VLOOKUP($A427,'The List'!$B1:$AS671,23,FALSE)," ")</f>
        <v xml:space="preserve"> </v>
      </c>
      <c r="Q427" s="109" t="str" cm="1">
        <f t="array" ref="Q427">IFERROR(VLOOKUP($A427,'The List'!$B1:$AS671,24,FALSE)," ")</f>
        <v xml:space="preserve"> </v>
      </c>
      <c r="R427" s="109" t="str" cm="1">
        <f t="array" ref="R427">IFERROR(VLOOKUP($A427,'The List'!$B1:$AS671,25,FALSE)," ")</f>
        <v xml:space="preserve"> </v>
      </c>
      <c r="S427" s="109" t="str" cm="1">
        <f t="array" ref="S427">IFERROR(VLOOKUP($A427,'The List'!$B1:$AS671,26,FALSE)," ")</f>
        <v xml:space="preserve"> </v>
      </c>
      <c r="T427" s="109" t="str" cm="1">
        <f t="array" ref="T427">IFERROR(VLOOKUP($A427,'The List'!$B1:$AS671,27,FALSE)," ")</f>
        <v xml:space="preserve"> </v>
      </c>
      <c r="U427" s="109" t="str" cm="1">
        <f t="array" ref="U427">IFERROR(VLOOKUP($A427,'The List'!$B1:$AS671,28,FALSE)," ")</f>
        <v xml:space="preserve"> </v>
      </c>
      <c r="V427" s="109" t="str" cm="1">
        <f t="array" ref="V427">IFERROR(VLOOKUP($A427,'The List'!$B1:$AS671,29,FALSE)," ")</f>
        <v xml:space="preserve"> </v>
      </c>
      <c r="W427" s="109" t="str" cm="1">
        <f t="array" ref="W427">IFERROR(VLOOKUP($A427,'The List'!$B1:$AS671,30,FALSE)," ")</f>
        <v xml:space="preserve"> </v>
      </c>
      <c r="X427" s="109" t="str" cm="1">
        <f t="array" ref="X427">IFERROR(VLOOKUP($A427,'The List'!$B1:$AS671,31,FALSE)," ")</f>
        <v xml:space="preserve"> </v>
      </c>
      <c r="Y427" s="109" t="str" cm="1">
        <f t="array" ref="Y427">IFERROR(VLOOKUP($A427,'The List'!$B1:$AS671,32,FALSE)," ")</f>
        <v xml:space="preserve"> </v>
      </c>
      <c r="Z427" s="109" t="str" cm="1">
        <f t="array" ref="Z427">IFERROR(VLOOKUP($A427,'The List'!$B1:$AS671,33,FALSE)," ")</f>
        <v xml:space="preserve"> </v>
      </c>
      <c r="AA427" s="85"/>
      <c r="AB427" s="90"/>
      <c r="AC427" s="90"/>
      <c r="AD427" s="90"/>
      <c r="AE427" s="90"/>
      <c r="AF427" s="90"/>
    </row>
    <row r="428" spans="1:32" ht="21.25" customHeight="1" x14ac:dyDescent="0.15">
      <c r="A428" s="110"/>
      <c r="B428" s="111"/>
      <c r="C428" s="112"/>
      <c r="D428" s="113"/>
      <c r="E428" s="113" t="str" cm="1">
        <f t="array" ref="E428">IFERROR(AVERAGE(E408:E427)," ")</f>
        <v xml:space="preserve"> </v>
      </c>
      <c r="F428" s="115" cm="1">
        <f t="array" ref="F428">SUM(F408:F427)</f>
        <v>0</v>
      </c>
      <c r="G428" s="115" cm="1">
        <f t="array" ref="G428">SUM(G408:G427)</f>
        <v>0</v>
      </c>
      <c r="H428" s="116"/>
      <c r="I428" s="117" cm="1">
        <f t="array" ref="I428">SUM(I408:I427)</f>
        <v>0</v>
      </c>
      <c r="J428" s="116" t="e" cm="1">
        <f t="array" ref="J428">AVERAGE(J408:J427)</f>
        <v>#DIV/0!</v>
      </c>
      <c r="K428" s="117" cm="1">
        <f t="array" ref="K428">SUM(K408:K427)</f>
        <v>0</v>
      </c>
      <c r="L428" s="117" cm="1">
        <f t="array" ref="L428">SUM(L408:L427)</f>
        <v>0</v>
      </c>
      <c r="M428" s="117" cm="1">
        <f t="array" ref="M428">SUM(M408:M427)</f>
        <v>0</v>
      </c>
      <c r="N428" s="117" cm="1">
        <f t="array" ref="N428">SUM(N408:N427)</f>
        <v>0</v>
      </c>
      <c r="O428" s="117" cm="1">
        <f t="array" ref="O428">SUM(O408:O427)</f>
        <v>0</v>
      </c>
      <c r="P428" s="117" cm="1">
        <f t="array" ref="P428">SUM(P408:P427)</f>
        <v>0</v>
      </c>
      <c r="Q428" s="117" cm="1">
        <f t="array" ref="Q428">SUM(Q408:Q427)</f>
        <v>0</v>
      </c>
      <c r="R428" s="117" cm="1">
        <f t="array" ref="R428">SUM(R408:R427)</f>
        <v>0</v>
      </c>
      <c r="S428" s="117" cm="1">
        <f t="array" ref="S428">SUM(S408:S427)</f>
        <v>0</v>
      </c>
      <c r="T428" s="117" cm="1">
        <f t="array" ref="T428">SUM(T408:T427)</f>
        <v>0</v>
      </c>
      <c r="U428" s="117" cm="1">
        <f t="array" ref="U428">SUM(U408:U427)</f>
        <v>0</v>
      </c>
      <c r="V428" s="117" cm="1">
        <f t="array" ref="V428">SUM(V408:V427)</f>
        <v>0</v>
      </c>
      <c r="W428" s="117" cm="1">
        <f t="array" ref="W428">SUM(W408:W427)</f>
        <v>0</v>
      </c>
      <c r="X428" s="117" cm="1">
        <f t="array" ref="X428">SUM(X408:X427)</f>
        <v>0</v>
      </c>
      <c r="Y428" s="117" cm="1">
        <f t="array" ref="Y428">SUM(Y408:Y427)</f>
        <v>0</v>
      </c>
      <c r="Z428" s="118" cm="1">
        <f t="array" ref="Z428">IFERROR(X428/(X428+Y428),0)</f>
        <v>0</v>
      </c>
      <c r="AA428" s="85"/>
      <c r="AB428" s="119"/>
      <c r="AC428" s="119"/>
      <c r="AD428" s="119"/>
      <c r="AE428" s="119"/>
      <c r="AF428" s="119"/>
    </row>
    <row r="429" spans="1:32" ht="21.25" customHeight="1" x14ac:dyDescent="0.15">
      <c r="A429" s="37"/>
      <c r="B429" s="120"/>
      <c r="C429" s="121"/>
      <c r="D429" s="13"/>
      <c r="E429" s="13"/>
      <c r="F429" s="122"/>
      <c r="G429" s="123"/>
      <c r="H429" s="124"/>
      <c r="I429" s="12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90"/>
      <c r="AC429" s="90"/>
      <c r="AD429" s="90"/>
      <c r="AE429" s="90"/>
      <c r="AF429" s="90"/>
    </row>
    <row r="430" spans="1:32" ht="21.25" customHeight="1" x14ac:dyDescent="0.15">
      <c r="A430" s="40" t="s">
        <v>90</v>
      </c>
      <c r="B430" s="204" t="s">
        <v>92</v>
      </c>
      <c r="C430" s="194"/>
      <c r="D430" s="126" t="s">
        <v>93</v>
      </c>
      <c r="E430" s="126" t="s">
        <v>94</v>
      </c>
      <c r="F430" s="127" t="s">
        <v>96</v>
      </c>
      <c r="G430" s="127" t="s">
        <v>98</v>
      </c>
      <c r="H430" s="128"/>
      <c r="I430" s="129" t="s">
        <v>103</v>
      </c>
      <c r="J430" s="129" t="s">
        <v>118</v>
      </c>
      <c r="K430" s="129" t="s">
        <v>119</v>
      </c>
      <c r="L430" s="129" t="s">
        <v>120</v>
      </c>
      <c r="M430" s="129" t="s">
        <v>121</v>
      </c>
      <c r="N430" s="129" t="s">
        <v>122</v>
      </c>
      <c r="O430" s="129" t="s">
        <v>123</v>
      </c>
      <c r="P430" s="129" t="s">
        <v>124</v>
      </c>
      <c r="Q430" s="129" t="s">
        <v>125</v>
      </c>
      <c r="R430" s="85"/>
      <c r="S430" s="85"/>
      <c r="T430" s="85"/>
      <c r="U430" s="204" t="s">
        <v>814</v>
      </c>
      <c r="V430" s="205"/>
      <c r="W430" s="205"/>
      <c r="X430" s="204" t="s">
        <v>815</v>
      </c>
      <c r="Y430" s="205"/>
      <c r="Z430" s="205"/>
      <c r="AA430" s="85"/>
      <c r="AB430" s="85"/>
      <c r="AC430" s="85"/>
      <c r="AD430" s="85"/>
      <c r="AE430" s="85"/>
      <c r="AF430" s="85"/>
    </row>
    <row r="431" spans="1:32" ht="21.25" customHeight="1" x14ac:dyDescent="0.15">
      <c r="A431" s="146"/>
      <c r="B431" s="131" t="str" cm="1">
        <f t="array" ref="B431">IFERROR(VLOOKUP($A431,'The List'!$B1:$AS671,3,FALSE)," ")</f>
        <v xml:space="preserve"> </v>
      </c>
      <c r="C431" s="147" t="str" cm="1">
        <f t="array" ref="C431">IFERROR(VLOOKUP($A431,'The List'!$B1:$AS671,4,FALSE)," ")</f>
        <v xml:space="preserve"> </v>
      </c>
      <c r="D431" s="133" t="str" cm="1">
        <f t="array" ref="D431">IFERROR(VLOOKUP($A431,'The List'!$B1:$AS671,5,FALSE)," ")</f>
        <v xml:space="preserve"> </v>
      </c>
      <c r="E431" s="133" t="str" cm="1">
        <f t="array" ref="E431">IFERROR(VLOOKUP($A431,'The List'!$B1:$AS671,6,FALSE)," ")</f>
        <v xml:space="preserve"> </v>
      </c>
      <c r="F431" s="148" t="str" cm="1">
        <f t="array" ref="F431">IFERROR(VLOOKUP($A431,'The List'!$B1:$AS671,8,FALSE)," ")</f>
        <v xml:space="preserve"> </v>
      </c>
      <c r="G431" s="148" t="str" cm="1">
        <f t="array" ref="G431">IFERROR(VLOOKUP($A431,'The List'!$B1:$AS671,10,FALSE)," ")</f>
        <v xml:space="preserve"> </v>
      </c>
      <c r="H431" s="82"/>
      <c r="I431" s="149" t="str" cm="1">
        <f t="array" ref="I431">IFERROR(VLOOKUP($A431,'The List'!$B1:$AS671,35,FALSE)," ")</f>
        <v xml:space="preserve"> </v>
      </c>
      <c r="J431" s="149" t="str" cm="1">
        <f t="array" ref="J431">IFERROR(VLOOKUP($A431,'The List'!$B1:$AS671,36,FALSE)," ")</f>
        <v xml:space="preserve"> </v>
      </c>
      <c r="K431" s="149" t="str" cm="1">
        <f t="array" ref="K431">IFERROR(VLOOKUP($A431,'The List'!$B1:$AS671,37,FALSE)," ")</f>
        <v xml:space="preserve"> </v>
      </c>
      <c r="L431" s="149" t="str" cm="1">
        <f t="array" ref="L431">IFERROR(VLOOKUP($A431,'The List'!$B1:$AS671,38,FALSE)," ")</f>
        <v xml:space="preserve"> </v>
      </c>
      <c r="M431" s="149" t="str" cm="1">
        <f t="array" ref="M431">IFERROR(VLOOKUP($A431,'The List'!$B1:$AS671,39,FALSE)," ")</f>
        <v xml:space="preserve"> </v>
      </c>
      <c r="N431" s="149" t="str" cm="1">
        <f t="array" ref="N431">IFERROR(VLOOKUP($A431,'The List'!$B1:$AS671,40,FALSE)," ")</f>
        <v xml:space="preserve"> </v>
      </c>
      <c r="O431" s="149" t="str" cm="1">
        <f t="array" ref="O431">IFERROR(VLOOKUP($A431,'The List'!$B1:$AS671,41,FALSE)," ")</f>
        <v xml:space="preserve"> </v>
      </c>
      <c r="P431" s="149" t="str" cm="1">
        <f t="array" ref="P431">IFERROR(VLOOKUP($A431,'The List'!$B1:$AS671,42,FALSE)," ")</f>
        <v xml:space="preserve"> </v>
      </c>
      <c r="Q431" s="149" t="str" cm="1">
        <f t="array" ref="Q431">IFERROR(VLOOKUP($A431,'The List'!$B1:$AS671,43,FALSE)," ")</f>
        <v xml:space="preserve"> </v>
      </c>
      <c r="R431" s="85"/>
      <c r="S431" s="85"/>
      <c r="T431" s="139" t="str" cm="1">
        <f t="array" ref="T431">A407</f>
        <v>TEAM 15</v>
      </c>
      <c r="U431" s="206" cm="1">
        <f t="array" ref="U431">F428+F434</f>
        <v>0</v>
      </c>
      <c r="V431" s="194"/>
      <c r="W431" s="194"/>
      <c r="X431" s="206" cm="1">
        <f t="array" ref="X431">G434+G428</f>
        <v>0</v>
      </c>
      <c r="Y431" s="194"/>
      <c r="Z431" s="194"/>
      <c r="AA431" s="85"/>
      <c r="AB431" s="85"/>
      <c r="AC431" s="85"/>
      <c r="AD431" s="85"/>
      <c r="AE431" s="85"/>
      <c r="AF431" s="85"/>
    </row>
    <row r="432" spans="1:32" ht="21.25" customHeight="1" x14ac:dyDescent="0.15">
      <c r="A432" s="24"/>
      <c r="B432" s="140" t="str" cm="1">
        <f t="array" ref="B432">IFERROR(VLOOKUP($A432,'The List'!$B1:$AS671,3,FALSE)," ")</f>
        <v xml:space="preserve"> </v>
      </c>
      <c r="C432" s="141" t="str" cm="1">
        <f t="array" ref="C432">IFERROR(VLOOKUP($A432,'The List'!$B1:$AS671,4,FALSE)," ")</f>
        <v xml:space="preserve"> </v>
      </c>
      <c r="D432" s="18" t="str" cm="1">
        <f t="array" ref="D432">IFERROR(VLOOKUP($A432,'The List'!$B1:$AS671,5,FALSE)," ")</f>
        <v xml:space="preserve"> </v>
      </c>
      <c r="E432" s="18" t="str" cm="1">
        <f t="array" ref="E432">IFERROR(VLOOKUP($A432,'The List'!$B1:$AS671,6,FALSE)," ")</f>
        <v xml:space="preserve"> </v>
      </c>
      <c r="F432" s="92" t="str" cm="1">
        <f t="array" ref="F432">IFERROR(VLOOKUP($A432,'The List'!$B1:$AS671,8,FALSE)," ")</f>
        <v xml:space="preserve"> </v>
      </c>
      <c r="G432" s="92" t="str" cm="1">
        <f t="array" ref="G432">IFERROR(VLOOKUP($A432,'The List'!$B1:$AS671,10,FALSE)," ")</f>
        <v xml:space="preserve"> </v>
      </c>
      <c r="H432" s="55"/>
      <c r="I432" s="84" t="str" cm="1">
        <f t="array" ref="I432">IFERROR(VLOOKUP($A432,'The List'!$B1:$AS671,35,FALSE)," ")</f>
        <v xml:space="preserve"> </v>
      </c>
      <c r="J432" s="84" t="str" cm="1">
        <f t="array" ref="J432">IFERROR(VLOOKUP($A432,'The List'!$B1:$AS671,36,FALSE)," ")</f>
        <v xml:space="preserve"> </v>
      </c>
      <c r="K432" s="84" t="str" cm="1">
        <f t="array" ref="K432">IFERROR(VLOOKUP($A432,'The List'!$B1:$AS671,37,FALSE)," ")</f>
        <v xml:space="preserve"> </v>
      </c>
      <c r="L432" s="84" t="str" cm="1">
        <f t="array" ref="L432">IFERROR(VLOOKUP($A432,'The List'!$B1:$AS671,38,FALSE)," ")</f>
        <v xml:space="preserve"> </v>
      </c>
      <c r="M432" s="84" t="str" cm="1">
        <f t="array" ref="M432">IFERROR(VLOOKUP($A432,'The List'!$B1:$AS671,39,FALSE)," ")</f>
        <v xml:space="preserve"> </v>
      </c>
      <c r="N432" s="84" t="str" cm="1">
        <f t="array" ref="N432">IFERROR(VLOOKUP($A432,'The List'!$B1:$AS671,40,FALSE)," ")</f>
        <v xml:space="preserve"> </v>
      </c>
      <c r="O432" s="84" t="str" cm="1">
        <f t="array" ref="O432">IFERROR(VLOOKUP($A432,'The List'!$B1:$AS671,41,FALSE)," ")</f>
        <v xml:space="preserve"> </v>
      </c>
      <c r="P432" s="84" t="str" cm="1">
        <f t="array" ref="P432">IFERROR(VLOOKUP($A432,'The List'!$B1:$AS671,42,FALSE)," ")</f>
        <v xml:space="preserve"> </v>
      </c>
      <c r="Q432" s="84" t="str" cm="1">
        <f t="array" ref="Q432">IFERROR(VLOOKUP($A432,'The List'!$B1:$AS671,43,FALSE)," ")</f>
        <v xml:space="preserve"> </v>
      </c>
      <c r="R432" s="85"/>
      <c r="S432" s="85"/>
      <c r="T432" s="85"/>
      <c r="U432" s="194"/>
      <c r="V432" s="194"/>
      <c r="W432" s="194"/>
      <c r="X432" s="194"/>
      <c r="Y432" s="194"/>
      <c r="Z432" s="194"/>
      <c r="AA432" s="85"/>
      <c r="AB432" s="85"/>
      <c r="AC432" s="85"/>
      <c r="AD432" s="85"/>
      <c r="AE432" s="85"/>
      <c r="AF432" s="85"/>
    </row>
    <row r="433" spans="1:32" ht="21.25" customHeight="1" x14ac:dyDescent="0.15">
      <c r="A433" s="103"/>
      <c r="B433" s="142" t="str" cm="1">
        <f t="array" ref="B433">IFERROR(VLOOKUP($A433,'The List'!$B1:$AS671,3,FALSE)," ")</f>
        <v xml:space="preserve"> </v>
      </c>
      <c r="C433" s="143" t="str" cm="1">
        <f t="array" ref="C433">IFERROR(VLOOKUP($A433,'The List'!$B1:$AS671,4,FALSE)," ")</f>
        <v xml:space="preserve"> </v>
      </c>
      <c r="D433" s="106" t="str" cm="1">
        <f t="array" ref="D433">IFERROR(VLOOKUP($A433,'The List'!$B1:$AS671,5,FALSE)," ")</f>
        <v xml:space="preserve"> </v>
      </c>
      <c r="E433" s="106" t="str" cm="1">
        <f t="array" ref="E433">IFERROR(VLOOKUP($A433,'The List'!$B1:$AS671,6,FALSE)," ")</f>
        <v xml:space="preserve"> </v>
      </c>
      <c r="F433" s="107" t="str" cm="1">
        <f t="array" ref="F433">IFERROR(VLOOKUP($A433,'The List'!$B1:$AS671,8,FALSE)," ")</f>
        <v xml:space="preserve"> </v>
      </c>
      <c r="G433" s="107" t="str" cm="1">
        <f t="array" ref="G433">IFERROR(VLOOKUP($A433,'The List'!$B1:$AS671,10,FALSE)," ")</f>
        <v xml:space="preserve"> </v>
      </c>
      <c r="H433" s="108"/>
      <c r="I433" s="109" t="str" cm="1">
        <f t="array" ref="I433">IFERROR(VLOOKUP($A433,'The List'!$B1:$AS671,35,FALSE)," ")</f>
        <v xml:space="preserve"> </v>
      </c>
      <c r="J433" s="109" t="str" cm="1">
        <f t="array" ref="J433">IFERROR(VLOOKUP($A433,'The List'!$B1:$AS671,36,FALSE)," ")</f>
        <v xml:space="preserve"> </v>
      </c>
      <c r="K433" s="109" t="str" cm="1">
        <f t="array" ref="K433">IFERROR(VLOOKUP($A433,'The List'!$B1:$AS671,37,FALSE)," ")</f>
        <v xml:space="preserve"> </v>
      </c>
      <c r="L433" s="109" t="str" cm="1">
        <f t="array" ref="L433">IFERROR(VLOOKUP($A433,'The List'!$B1:$AS671,38,FALSE)," ")</f>
        <v xml:space="preserve"> </v>
      </c>
      <c r="M433" s="109" t="str" cm="1">
        <f t="array" ref="M433">IFERROR(VLOOKUP($A433,'The List'!$B1:$AS671,39,FALSE)," ")</f>
        <v xml:space="preserve"> </v>
      </c>
      <c r="N433" s="109" t="str" cm="1">
        <f t="array" ref="N433">IFERROR(VLOOKUP($A433,'The List'!$B1:$AS671,40,FALSE)," ")</f>
        <v xml:space="preserve"> </v>
      </c>
      <c r="O433" s="109" t="str" cm="1">
        <f t="array" ref="O433">IFERROR(VLOOKUP($A433,'The List'!$B1:$AS671,41,FALSE)," ")</f>
        <v xml:space="preserve"> </v>
      </c>
      <c r="P433" s="109" t="str" cm="1">
        <f t="array" ref="P433">IFERROR(VLOOKUP($A433,'The List'!$B1:$AS671,42,FALSE)," ")</f>
        <v xml:space="preserve"> </v>
      </c>
      <c r="Q433" s="109" t="str" cm="1">
        <f t="array" ref="Q433">IFERROR(VLOOKUP($A433,'The List'!$B1:$AS671,43,FALSE)," ")</f>
        <v xml:space="preserve"> </v>
      </c>
      <c r="R433" s="85"/>
      <c r="S433" s="85"/>
      <c r="T433" s="85"/>
      <c r="U433" s="194"/>
      <c r="V433" s="194"/>
      <c r="W433" s="194"/>
      <c r="X433" s="194"/>
      <c r="Y433" s="194"/>
      <c r="Z433" s="194"/>
      <c r="AA433" s="85"/>
      <c r="AB433" s="85"/>
      <c r="AC433" s="85"/>
      <c r="AD433" s="85"/>
      <c r="AE433" s="85"/>
      <c r="AF433" s="85"/>
    </row>
    <row r="434" spans="1:32" ht="21.25" customHeight="1" x14ac:dyDescent="0.15">
      <c r="A434" s="110"/>
      <c r="B434" s="111"/>
      <c r="C434" s="112"/>
      <c r="D434" s="113"/>
      <c r="E434" s="113" t="str" cm="1">
        <f t="array" ref="E434">IFERROR(AVERAGE(E431:E433)," ")</f>
        <v xml:space="preserve"> </v>
      </c>
      <c r="F434" s="115" cm="1">
        <f t="array" ref="F434">SUM(F431:F433)</f>
        <v>0</v>
      </c>
      <c r="G434" s="115" cm="1">
        <f t="array" ref="G434">SUM(G431:G433)</f>
        <v>0</v>
      </c>
      <c r="H434" s="116"/>
      <c r="I434" s="117" cm="1">
        <f t="array" ref="I434">SUM(I431:I433)</f>
        <v>0</v>
      </c>
      <c r="J434" s="116" cm="1">
        <f t="array" ref="J434">SUM(J431:J433)</f>
        <v>0</v>
      </c>
      <c r="K434" s="117" cm="1">
        <f t="array" ref="K434">SUM(K431:K433)</f>
        <v>0</v>
      </c>
      <c r="L434" s="117" cm="1">
        <f t="array" ref="L434">SUM(L431:L433)</f>
        <v>0</v>
      </c>
      <c r="M434" s="117" cm="1">
        <f t="array" ref="M434">SUM(M431:M433)</f>
        <v>0</v>
      </c>
      <c r="N434" s="117" cm="1">
        <f t="array" ref="N434">SUM(N431:N433)</f>
        <v>0</v>
      </c>
      <c r="O434" s="117" cm="1">
        <f t="array" ref="O434">SUM(O431:O433)</f>
        <v>0</v>
      </c>
      <c r="P434" s="144" t="e" cm="1">
        <f t="array" ref="P434">1-(O434/(N434+O434))</f>
        <v>#DIV/0!</v>
      </c>
      <c r="Q434" s="145" t="e" cm="1">
        <f t="array" ref="Q434">O434/I434</f>
        <v>#DIV/0!</v>
      </c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</row>
    <row r="435" spans="1:32" ht="70.75" customHeight="1" x14ac:dyDescent="0.15">
      <c r="A435" s="37"/>
      <c r="B435" s="120"/>
      <c r="C435" s="121"/>
      <c r="D435" s="13"/>
      <c r="E435" s="13"/>
      <c r="F435" s="122"/>
      <c r="G435" s="123"/>
      <c r="H435" s="124"/>
      <c r="I435" s="12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90"/>
      <c r="AB435" s="90"/>
      <c r="AC435" s="90"/>
      <c r="AD435" s="90"/>
      <c r="AE435" s="90"/>
      <c r="AF435" s="90"/>
    </row>
    <row r="436" spans="1:32" ht="21.25" customHeight="1" x14ac:dyDescent="0.15">
      <c r="A436" s="41" t="s">
        <v>813</v>
      </c>
      <c r="B436" s="203" t="s">
        <v>92</v>
      </c>
      <c r="C436" s="200"/>
      <c r="D436" s="42" t="s">
        <v>93</v>
      </c>
      <c r="E436" s="42" t="s">
        <v>94</v>
      </c>
      <c r="F436" s="43" t="s">
        <v>96</v>
      </c>
      <c r="G436" s="43" t="s">
        <v>98</v>
      </c>
      <c r="H436" s="44"/>
      <c r="I436" s="46" t="s">
        <v>103</v>
      </c>
      <c r="J436" s="46" t="s">
        <v>56</v>
      </c>
      <c r="K436" s="46" t="s">
        <v>104</v>
      </c>
      <c r="L436" s="46" t="s">
        <v>105</v>
      </c>
      <c r="M436" s="46" t="s">
        <v>106</v>
      </c>
      <c r="N436" s="46" t="s">
        <v>107</v>
      </c>
      <c r="O436" s="46" t="s">
        <v>64</v>
      </c>
      <c r="P436" s="46" t="s">
        <v>67</v>
      </c>
      <c r="Q436" s="46" t="s">
        <v>108</v>
      </c>
      <c r="R436" s="46" t="s">
        <v>109</v>
      </c>
      <c r="S436" s="46" t="s">
        <v>110</v>
      </c>
      <c r="T436" s="46" t="s">
        <v>111</v>
      </c>
      <c r="U436" s="46" t="s">
        <v>112</v>
      </c>
      <c r="V436" s="46" t="s">
        <v>113</v>
      </c>
      <c r="W436" s="46" t="s">
        <v>114</v>
      </c>
      <c r="X436" s="46" t="s">
        <v>115</v>
      </c>
      <c r="Y436" s="46" t="s">
        <v>116</v>
      </c>
      <c r="Z436" s="46" t="s">
        <v>117</v>
      </c>
      <c r="AA436" s="85"/>
      <c r="AB436" s="86"/>
      <c r="AC436" s="86"/>
      <c r="AD436" s="86"/>
      <c r="AE436" s="86"/>
      <c r="AF436" s="86"/>
    </row>
    <row r="437" spans="1:32" ht="21.25" customHeight="1" x14ac:dyDescent="0.15">
      <c r="A437" s="24"/>
      <c r="B437" s="87" t="str" cm="1">
        <f t="array" ref="B437">IFERROR(VLOOKUP($A437,'The List'!$B1:$AS671,3,FALSE)," ")</f>
        <v xml:space="preserve"> </v>
      </c>
      <c r="C437" s="91" t="str" cm="1">
        <f t="array" ref="C437">IFERROR(VLOOKUP($A437,'The List'!$B1:$AS671,4,FALSE)," ")</f>
        <v xml:space="preserve"> </v>
      </c>
      <c r="D437" s="18" t="str" cm="1">
        <f t="array" ref="D437">IFERROR(VLOOKUP($A437,'The List'!$B1:$AS671,5,FALSE)," ")</f>
        <v xml:space="preserve"> </v>
      </c>
      <c r="E437" s="18" t="str" cm="1">
        <f t="array" ref="E437">IFERROR(VLOOKUP($A437,'The List'!$B1:$AS671,6,FALSE)," ")</f>
        <v xml:space="preserve"> </v>
      </c>
      <c r="F437" s="92" t="str" cm="1">
        <f t="array" ref="F437">IFERROR(VLOOKUP($A437,'The List'!$B1:$AS671,8,FALSE)," ")</f>
        <v xml:space="preserve"> </v>
      </c>
      <c r="G437" s="92" t="str" cm="1">
        <f t="array" ref="G437">IFERROR(VLOOKUP($A437,'The List'!$B1:$AS671,10,FALSE)," ")</f>
        <v xml:space="preserve"> </v>
      </c>
      <c r="H437" s="55"/>
      <c r="I437" s="84" t="str" cm="1">
        <f t="array" ref="I437">IFERROR(VLOOKUP($A437,'The List'!$B1:$AS671,16,FALSE)," ")</f>
        <v xml:space="preserve"> </v>
      </c>
      <c r="J437" s="84" t="str" cm="1">
        <f t="array" ref="J437">IFERROR(VLOOKUP($A437,'The List'!$B1:$AS671,17,FALSE)," ")</f>
        <v xml:space="preserve"> </v>
      </c>
      <c r="K437" s="84" t="str" cm="1">
        <f t="array" ref="K437">IFERROR(VLOOKUP($A437,'The List'!$B1:$AS671,18,FALSE)," ")</f>
        <v xml:space="preserve"> </v>
      </c>
      <c r="L437" s="84" t="str" cm="1">
        <f t="array" ref="L437">IFERROR(VLOOKUP($A437,'The List'!$B1:$AS671,19,FALSE)," ")</f>
        <v xml:space="preserve"> </v>
      </c>
      <c r="M437" s="84" t="str" cm="1">
        <f t="array" ref="M437">IFERROR(VLOOKUP($A437,'The List'!$B1:$AS671,20,FALSE)," ")</f>
        <v xml:space="preserve"> </v>
      </c>
      <c r="N437" s="84" t="str" cm="1">
        <f t="array" ref="N437">IFERROR(VLOOKUP($A437,'The List'!$B1:$AS671,21,FALSE)," ")</f>
        <v xml:space="preserve"> </v>
      </c>
      <c r="O437" s="84" t="str" cm="1">
        <f t="array" ref="O437">IFERROR(VLOOKUP($A437,'The List'!$B1:$AS671,22,FALSE)," ")</f>
        <v xml:space="preserve"> </v>
      </c>
      <c r="P437" s="84" t="str" cm="1">
        <f t="array" ref="P437">IFERROR(VLOOKUP($A437,'The List'!$B1:$AS671,23,FALSE)," ")</f>
        <v xml:space="preserve"> </v>
      </c>
      <c r="Q437" s="84" t="str" cm="1">
        <f t="array" ref="Q437">IFERROR(VLOOKUP($A437,'The List'!$B1:$AS671,24,FALSE)," ")</f>
        <v xml:space="preserve"> </v>
      </c>
      <c r="R437" s="84" t="str" cm="1">
        <f t="array" ref="R437">IFERROR(VLOOKUP($A437,'The List'!$B1:$AS671,25,FALSE)," ")</f>
        <v xml:space="preserve"> </v>
      </c>
      <c r="S437" s="84" t="str" cm="1">
        <f t="array" ref="S437">IFERROR(VLOOKUP($A437,'The List'!$B1:$AS671,26,FALSE)," ")</f>
        <v xml:space="preserve"> </v>
      </c>
      <c r="T437" s="84" t="str" cm="1">
        <f t="array" ref="T437">IFERROR(VLOOKUP($A437,'The List'!$B1:$AS671,27,FALSE)," ")</f>
        <v xml:space="preserve"> </v>
      </c>
      <c r="U437" s="84" t="str" cm="1">
        <f t="array" ref="U437">IFERROR(VLOOKUP($A437,'The List'!$B1:$AS671,28,FALSE)," ")</f>
        <v xml:space="preserve"> </v>
      </c>
      <c r="V437" s="84" t="str" cm="1">
        <f t="array" ref="V437">IFERROR(VLOOKUP($A437,'The List'!$B1:$AS671,29,FALSE)," ")</f>
        <v xml:space="preserve"> </v>
      </c>
      <c r="W437" s="84" t="str" cm="1">
        <f t="array" ref="W437">IFERROR(VLOOKUP($A437,'The List'!$B1:$AS671,30,FALSE)," ")</f>
        <v xml:space="preserve"> </v>
      </c>
      <c r="X437" s="84" t="str" cm="1">
        <f t="array" ref="X437">IFERROR(VLOOKUP($A437,'The List'!$B1:$AS671,31,FALSE)," ")</f>
        <v xml:space="preserve"> </v>
      </c>
      <c r="Y437" s="84" t="str" cm="1">
        <f t="array" ref="Y437">IFERROR(VLOOKUP($A437,'The List'!$B1:$AS671,32,FALSE)," ")</f>
        <v xml:space="preserve"> </v>
      </c>
      <c r="Z437" s="84" t="str" cm="1">
        <f t="array" ref="Z437">IFERROR(VLOOKUP($A437,'The List'!$B1:$AS671,33,FALSE)," ")</f>
        <v xml:space="preserve"> </v>
      </c>
      <c r="AA437" s="85"/>
      <c r="AB437" s="90"/>
      <c r="AC437" s="90"/>
      <c r="AD437" s="90"/>
      <c r="AE437" s="90"/>
      <c r="AF437" s="90"/>
    </row>
    <row r="438" spans="1:32" ht="21.25" customHeight="1" x14ac:dyDescent="0.15">
      <c r="A438" s="24"/>
      <c r="B438" s="87" t="str" cm="1">
        <f t="array" ref="B438">IFERROR(VLOOKUP($A438,'The List'!$B1:$AS671,3,FALSE)," ")</f>
        <v xml:space="preserve"> </v>
      </c>
      <c r="C438" s="91" t="str" cm="1">
        <f t="array" ref="C438">IFERROR(VLOOKUP($A438,'The List'!$B1:$AS671,4,FALSE)," ")</f>
        <v xml:space="preserve"> </v>
      </c>
      <c r="D438" s="18" t="str" cm="1">
        <f t="array" ref="D438">IFERROR(VLOOKUP($A438,'The List'!$B1:$AS671,5,FALSE)," ")</f>
        <v xml:space="preserve"> </v>
      </c>
      <c r="E438" s="18" t="str" cm="1">
        <f t="array" ref="E438">IFERROR(VLOOKUP($A438,'The List'!$B1:$AS671,6,FALSE)," ")</f>
        <v xml:space="preserve"> </v>
      </c>
      <c r="F438" s="92" t="str" cm="1">
        <f t="array" ref="F438">IFERROR(VLOOKUP($A438,'The List'!$B1:$AS671,8,FALSE)," ")</f>
        <v xml:space="preserve"> </v>
      </c>
      <c r="G438" s="92" t="str" cm="1">
        <f t="array" ref="G438">IFERROR(VLOOKUP($A438,'The List'!$B1:$AS671,10,FALSE)," ")</f>
        <v xml:space="preserve"> </v>
      </c>
      <c r="H438" s="55"/>
      <c r="I438" s="84" t="str" cm="1">
        <f t="array" ref="I438">IFERROR(VLOOKUP($A438,'The List'!$B1:$AS671,16,FALSE)," ")</f>
        <v xml:space="preserve"> </v>
      </c>
      <c r="J438" s="84" t="str" cm="1">
        <f t="array" ref="J438">IFERROR(VLOOKUP($A438,'The List'!$B1:$AS671,17,FALSE)," ")</f>
        <v xml:space="preserve"> </v>
      </c>
      <c r="K438" s="84" t="str" cm="1">
        <f t="array" ref="K438">IFERROR(VLOOKUP($A438,'The List'!$B1:$AS671,18,FALSE)," ")</f>
        <v xml:space="preserve"> </v>
      </c>
      <c r="L438" s="84" t="str" cm="1">
        <f t="array" ref="L438">IFERROR(VLOOKUP($A438,'The List'!$B1:$AS671,19,FALSE)," ")</f>
        <v xml:space="preserve"> </v>
      </c>
      <c r="M438" s="84" t="str" cm="1">
        <f t="array" ref="M438">IFERROR(VLOOKUP($A438,'The List'!$B1:$AS671,20,FALSE)," ")</f>
        <v xml:space="preserve"> </v>
      </c>
      <c r="N438" s="84" t="str" cm="1">
        <f t="array" ref="N438">IFERROR(VLOOKUP($A438,'The List'!$B1:$AS671,21,FALSE)," ")</f>
        <v xml:space="preserve"> </v>
      </c>
      <c r="O438" s="84" t="str" cm="1">
        <f t="array" ref="O438">IFERROR(VLOOKUP($A438,'The List'!$B1:$AS671,22,FALSE)," ")</f>
        <v xml:space="preserve"> </v>
      </c>
      <c r="P438" s="84" t="str" cm="1">
        <f t="array" ref="P438">IFERROR(VLOOKUP($A438,'The List'!$B1:$AS671,23,FALSE)," ")</f>
        <v xml:space="preserve"> </v>
      </c>
      <c r="Q438" s="84" t="str" cm="1">
        <f t="array" ref="Q438">IFERROR(VLOOKUP($A438,'The List'!$B1:$AS671,24,FALSE)," ")</f>
        <v xml:space="preserve"> </v>
      </c>
      <c r="R438" s="84" t="str" cm="1">
        <f t="array" ref="R438">IFERROR(VLOOKUP($A438,'The List'!$B1:$AS671,25,FALSE)," ")</f>
        <v xml:space="preserve"> </v>
      </c>
      <c r="S438" s="84" t="str" cm="1">
        <f t="array" ref="S438">IFERROR(VLOOKUP($A438,'The List'!$B1:$AS671,26,FALSE)," ")</f>
        <v xml:space="preserve"> </v>
      </c>
      <c r="T438" s="84" t="str" cm="1">
        <f t="array" ref="T438">IFERROR(VLOOKUP($A438,'The List'!$B1:$AS671,27,FALSE)," ")</f>
        <v xml:space="preserve"> </v>
      </c>
      <c r="U438" s="84" t="str" cm="1">
        <f t="array" ref="U438">IFERROR(VLOOKUP($A438,'The List'!$B1:$AS671,28,FALSE)," ")</f>
        <v xml:space="preserve"> </v>
      </c>
      <c r="V438" s="84" t="str" cm="1">
        <f t="array" ref="V438">IFERROR(VLOOKUP($A438,'The List'!$B1:$AS671,29,FALSE)," ")</f>
        <v xml:space="preserve"> </v>
      </c>
      <c r="W438" s="84" t="str" cm="1">
        <f t="array" ref="W438">IFERROR(VLOOKUP($A438,'The List'!$B1:$AS671,30,FALSE)," ")</f>
        <v xml:space="preserve"> </v>
      </c>
      <c r="X438" s="84" t="str" cm="1">
        <f t="array" ref="X438">IFERROR(VLOOKUP($A438,'The List'!$B1:$AS671,31,FALSE)," ")</f>
        <v xml:space="preserve"> </v>
      </c>
      <c r="Y438" s="84" t="str" cm="1">
        <f t="array" ref="Y438">IFERROR(VLOOKUP($A438,'The List'!$B1:$AS671,32,FALSE)," ")</f>
        <v xml:space="preserve"> </v>
      </c>
      <c r="Z438" s="84" t="str" cm="1">
        <f t="array" ref="Z438">IFERROR(VLOOKUP($A438,'The List'!$B1:$AS671,33,FALSE)," ")</f>
        <v xml:space="preserve"> </v>
      </c>
      <c r="AA438" s="85"/>
      <c r="AB438" s="90"/>
      <c r="AC438" s="90"/>
      <c r="AD438" s="90"/>
      <c r="AE438" s="90"/>
      <c r="AF438" s="90"/>
    </row>
    <row r="439" spans="1:32" ht="21.25" customHeight="1" x14ac:dyDescent="0.15">
      <c r="A439" s="24"/>
      <c r="B439" s="87" t="str" cm="1">
        <f t="array" ref="B439">IFERROR(VLOOKUP($A439,'The List'!$B1:$AS671,3,FALSE)," ")</f>
        <v xml:space="preserve"> </v>
      </c>
      <c r="C439" s="91" t="str" cm="1">
        <f t="array" ref="C439">IFERROR(VLOOKUP($A439,'The List'!$B1:$AS671,4,FALSE)," ")</f>
        <v xml:space="preserve"> </v>
      </c>
      <c r="D439" s="18" t="str" cm="1">
        <f t="array" ref="D439">IFERROR(VLOOKUP($A439,'The List'!$B1:$AS671,5,FALSE)," ")</f>
        <v xml:space="preserve"> </v>
      </c>
      <c r="E439" s="18" t="str" cm="1">
        <f t="array" ref="E439">IFERROR(VLOOKUP($A439,'The List'!$B1:$AS671,6,FALSE)," ")</f>
        <v xml:space="preserve"> </v>
      </c>
      <c r="F439" s="92" t="str" cm="1">
        <f t="array" ref="F439">IFERROR(VLOOKUP($A439,'The List'!$B1:$AS671,8,FALSE)," ")</f>
        <v xml:space="preserve"> </v>
      </c>
      <c r="G439" s="92" t="str" cm="1">
        <f t="array" ref="G439">IFERROR(VLOOKUP($A439,'The List'!$B1:$AS671,10,FALSE)," ")</f>
        <v xml:space="preserve"> </v>
      </c>
      <c r="H439" s="55"/>
      <c r="I439" s="84" t="str" cm="1">
        <f t="array" ref="I439">IFERROR(VLOOKUP($A439,'The List'!$B1:$AS671,16,FALSE)," ")</f>
        <v xml:space="preserve"> </v>
      </c>
      <c r="J439" s="84" t="str" cm="1">
        <f t="array" ref="J439">IFERROR(VLOOKUP($A439,'The List'!$B1:$AS671,17,FALSE)," ")</f>
        <v xml:space="preserve"> </v>
      </c>
      <c r="K439" s="84" t="str" cm="1">
        <f t="array" ref="K439">IFERROR(VLOOKUP($A439,'The List'!$B1:$AS671,18,FALSE)," ")</f>
        <v xml:space="preserve"> </v>
      </c>
      <c r="L439" s="84" t="str" cm="1">
        <f t="array" ref="L439">IFERROR(VLOOKUP($A439,'The List'!$B1:$AS671,19,FALSE)," ")</f>
        <v xml:space="preserve"> </v>
      </c>
      <c r="M439" s="84" t="str" cm="1">
        <f t="array" ref="M439">IFERROR(VLOOKUP($A439,'The List'!$B1:$AS671,20,FALSE)," ")</f>
        <v xml:space="preserve"> </v>
      </c>
      <c r="N439" s="84" t="str" cm="1">
        <f t="array" ref="N439">IFERROR(VLOOKUP($A439,'The List'!$B1:$AS671,21,FALSE)," ")</f>
        <v xml:space="preserve"> </v>
      </c>
      <c r="O439" s="84" t="str" cm="1">
        <f t="array" ref="O439">IFERROR(VLOOKUP($A439,'The List'!$B1:$AS671,22,FALSE)," ")</f>
        <v xml:space="preserve"> </v>
      </c>
      <c r="P439" s="84" t="str" cm="1">
        <f t="array" ref="P439">IFERROR(VLOOKUP($A439,'The List'!$B1:$AS671,23,FALSE)," ")</f>
        <v xml:space="preserve"> </v>
      </c>
      <c r="Q439" s="84" t="str" cm="1">
        <f t="array" ref="Q439">IFERROR(VLOOKUP($A439,'The List'!$B1:$AS671,24,FALSE)," ")</f>
        <v xml:space="preserve"> </v>
      </c>
      <c r="R439" s="84" t="str" cm="1">
        <f t="array" ref="R439">IFERROR(VLOOKUP($A439,'The List'!$B1:$AS671,25,FALSE)," ")</f>
        <v xml:space="preserve"> </v>
      </c>
      <c r="S439" s="84" t="str" cm="1">
        <f t="array" ref="S439">IFERROR(VLOOKUP($A439,'The List'!$B1:$AS671,26,FALSE)," ")</f>
        <v xml:space="preserve"> </v>
      </c>
      <c r="T439" s="84" t="str" cm="1">
        <f t="array" ref="T439">IFERROR(VLOOKUP($A439,'The List'!$B1:$AS671,27,FALSE)," ")</f>
        <v xml:space="preserve"> </v>
      </c>
      <c r="U439" s="84" t="str" cm="1">
        <f t="array" ref="U439">IFERROR(VLOOKUP($A439,'The List'!$B1:$AS671,28,FALSE)," ")</f>
        <v xml:space="preserve"> </v>
      </c>
      <c r="V439" s="84" t="str" cm="1">
        <f t="array" ref="V439">IFERROR(VLOOKUP($A439,'The List'!$B1:$AS671,29,FALSE)," ")</f>
        <v xml:space="preserve"> </v>
      </c>
      <c r="W439" s="84" t="str" cm="1">
        <f t="array" ref="W439">IFERROR(VLOOKUP($A439,'The List'!$B1:$AS671,30,FALSE)," ")</f>
        <v xml:space="preserve"> </v>
      </c>
      <c r="X439" s="84" t="str" cm="1">
        <f t="array" ref="X439">IFERROR(VLOOKUP($A439,'The List'!$B1:$AS671,31,FALSE)," ")</f>
        <v xml:space="preserve"> </v>
      </c>
      <c r="Y439" s="84" t="str" cm="1">
        <f t="array" ref="Y439">IFERROR(VLOOKUP($A439,'The List'!$B1:$AS671,32,FALSE)," ")</f>
        <v xml:space="preserve"> </v>
      </c>
      <c r="Z439" s="84" t="str" cm="1">
        <f t="array" ref="Z439">IFERROR(VLOOKUP($A439,'The List'!$B1:$AS671,33,FALSE)," ")</f>
        <v xml:space="preserve"> </v>
      </c>
      <c r="AA439" s="85"/>
      <c r="AB439" s="90"/>
      <c r="AC439" s="90"/>
      <c r="AD439" s="90"/>
      <c r="AE439" s="90"/>
      <c r="AF439" s="90"/>
    </row>
    <row r="440" spans="1:32" ht="21.25" customHeight="1" x14ac:dyDescent="0.15">
      <c r="A440" s="24"/>
      <c r="B440" s="87" t="str" cm="1">
        <f t="array" ref="B440">IFERROR(VLOOKUP($A440,'The List'!$B1:$AS671,3,FALSE)," ")</f>
        <v xml:space="preserve"> </v>
      </c>
      <c r="C440" s="91" t="str" cm="1">
        <f t="array" ref="C440">IFERROR(VLOOKUP($A440,'The List'!$B1:$AS671,4,FALSE)," ")</f>
        <v xml:space="preserve"> </v>
      </c>
      <c r="D440" s="18" t="str" cm="1">
        <f t="array" ref="D440">IFERROR(VLOOKUP($A440,'The List'!$B1:$AS671,5,FALSE)," ")</f>
        <v xml:space="preserve"> </v>
      </c>
      <c r="E440" s="18" t="str" cm="1">
        <f t="array" ref="E440">IFERROR(VLOOKUP($A440,'The List'!$B1:$AS671,6,FALSE)," ")</f>
        <v xml:space="preserve"> </v>
      </c>
      <c r="F440" s="92" t="str" cm="1">
        <f t="array" ref="F440">IFERROR(VLOOKUP($A440,'The List'!$B1:$AS671,8,FALSE)," ")</f>
        <v xml:space="preserve"> </v>
      </c>
      <c r="G440" s="92" t="str" cm="1">
        <f t="array" ref="G440">IFERROR(VLOOKUP($A440,'The List'!$B1:$AS671,10,FALSE)," ")</f>
        <v xml:space="preserve"> </v>
      </c>
      <c r="H440" s="55"/>
      <c r="I440" s="84" t="str" cm="1">
        <f t="array" ref="I440">IFERROR(VLOOKUP($A440,'The List'!$B1:$AS671,16,FALSE)," ")</f>
        <v xml:space="preserve"> </v>
      </c>
      <c r="J440" s="84" t="str" cm="1">
        <f t="array" ref="J440">IFERROR(VLOOKUP($A440,'The List'!$B1:$AS671,17,FALSE)," ")</f>
        <v xml:space="preserve"> </v>
      </c>
      <c r="K440" s="84" t="str" cm="1">
        <f t="array" ref="K440">IFERROR(VLOOKUP($A440,'The List'!$B1:$AS671,18,FALSE)," ")</f>
        <v xml:space="preserve"> </v>
      </c>
      <c r="L440" s="84" t="str" cm="1">
        <f t="array" ref="L440">IFERROR(VLOOKUP($A440,'The List'!$B1:$AS671,19,FALSE)," ")</f>
        <v xml:space="preserve"> </v>
      </c>
      <c r="M440" s="84" t="str" cm="1">
        <f t="array" ref="M440">IFERROR(VLOOKUP($A440,'The List'!$B1:$AS671,20,FALSE)," ")</f>
        <v xml:space="preserve"> </v>
      </c>
      <c r="N440" s="84" t="str" cm="1">
        <f t="array" ref="N440">IFERROR(VLOOKUP($A440,'The List'!$B1:$AS671,21,FALSE)," ")</f>
        <v xml:space="preserve"> </v>
      </c>
      <c r="O440" s="84" t="str" cm="1">
        <f t="array" ref="O440">IFERROR(VLOOKUP($A440,'The List'!$B1:$AS671,22,FALSE)," ")</f>
        <v xml:space="preserve"> </v>
      </c>
      <c r="P440" s="84" t="str" cm="1">
        <f t="array" ref="P440">IFERROR(VLOOKUP($A440,'The List'!$B1:$AS671,23,FALSE)," ")</f>
        <v xml:space="preserve"> </v>
      </c>
      <c r="Q440" s="84" t="str" cm="1">
        <f t="array" ref="Q440">IFERROR(VLOOKUP($A440,'The List'!$B1:$AS671,24,FALSE)," ")</f>
        <v xml:space="preserve"> </v>
      </c>
      <c r="R440" s="84" t="str" cm="1">
        <f t="array" ref="R440">IFERROR(VLOOKUP($A440,'The List'!$B1:$AS671,25,FALSE)," ")</f>
        <v xml:space="preserve"> </v>
      </c>
      <c r="S440" s="84" t="str" cm="1">
        <f t="array" ref="S440">IFERROR(VLOOKUP($A440,'The List'!$B1:$AS671,26,FALSE)," ")</f>
        <v xml:space="preserve"> </v>
      </c>
      <c r="T440" s="84" t="str" cm="1">
        <f t="array" ref="T440">IFERROR(VLOOKUP($A440,'The List'!$B1:$AS671,27,FALSE)," ")</f>
        <v xml:space="preserve"> </v>
      </c>
      <c r="U440" s="84" t="str" cm="1">
        <f t="array" ref="U440">IFERROR(VLOOKUP($A440,'The List'!$B1:$AS671,28,FALSE)," ")</f>
        <v xml:space="preserve"> </v>
      </c>
      <c r="V440" s="84" t="str" cm="1">
        <f t="array" ref="V440">IFERROR(VLOOKUP($A440,'The List'!$B1:$AS671,29,FALSE)," ")</f>
        <v xml:space="preserve"> </v>
      </c>
      <c r="W440" s="84" t="str" cm="1">
        <f t="array" ref="W440">IFERROR(VLOOKUP($A440,'The List'!$B1:$AS671,30,FALSE)," ")</f>
        <v xml:space="preserve"> </v>
      </c>
      <c r="X440" s="84" t="str" cm="1">
        <f t="array" ref="X440">IFERROR(VLOOKUP($A440,'The List'!$B1:$AS671,31,FALSE)," ")</f>
        <v xml:space="preserve"> </v>
      </c>
      <c r="Y440" s="84" t="str" cm="1">
        <f t="array" ref="Y440">IFERROR(VLOOKUP($A440,'The List'!$B1:$AS671,32,FALSE)," ")</f>
        <v xml:space="preserve"> </v>
      </c>
      <c r="Z440" s="84" t="str" cm="1">
        <f t="array" ref="Z440">IFERROR(VLOOKUP($A440,'The List'!$B1:$AS671,33,FALSE)," ")</f>
        <v xml:space="preserve"> </v>
      </c>
      <c r="AA440" s="85"/>
      <c r="AB440" s="90"/>
      <c r="AC440" s="90"/>
      <c r="AD440" s="90"/>
      <c r="AE440" s="90"/>
      <c r="AF440" s="90"/>
    </row>
    <row r="441" spans="1:32" ht="21.25" customHeight="1" x14ac:dyDescent="0.15">
      <c r="A441" s="24"/>
      <c r="B441" s="93" t="str" cm="1">
        <f t="array" ref="B441">IFERROR(VLOOKUP($A441,'The List'!$B1:$AS671,3,FALSE)," ")</f>
        <v xml:space="preserve"> </v>
      </c>
      <c r="C441" s="95" t="str" cm="1">
        <f t="array" ref="C441">IFERROR(VLOOKUP($A441,'The List'!$B1:$AS671,4,FALSE)," ")</f>
        <v xml:space="preserve"> </v>
      </c>
      <c r="D441" s="18" t="str" cm="1">
        <f t="array" ref="D441">IFERROR(VLOOKUP($A441,'The List'!$B1:$AS671,5,FALSE)," ")</f>
        <v xml:space="preserve"> </v>
      </c>
      <c r="E441" s="18" t="str" cm="1">
        <f t="array" ref="E441">IFERROR(VLOOKUP($A441,'The List'!$B1:$AS671,6,FALSE)," ")</f>
        <v xml:space="preserve"> </v>
      </c>
      <c r="F441" s="92" t="str" cm="1">
        <f t="array" ref="F441">IFERROR(VLOOKUP($A441,'The List'!$B1:$AS671,8,FALSE)," ")</f>
        <v xml:space="preserve"> </v>
      </c>
      <c r="G441" s="92" t="str" cm="1">
        <f t="array" ref="G441">IFERROR(VLOOKUP($A441,'The List'!$B1:$AS671,10,FALSE)," ")</f>
        <v xml:space="preserve"> </v>
      </c>
      <c r="H441" s="55"/>
      <c r="I441" s="84" t="str" cm="1">
        <f t="array" ref="I441">IFERROR(VLOOKUP($A441,'The List'!$B1:$AS671,16,FALSE)," ")</f>
        <v xml:space="preserve"> </v>
      </c>
      <c r="J441" s="84" t="str" cm="1">
        <f t="array" ref="J441">IFERROR(VLOOKUP($A441,'The List'!$B1:$AS671,17,FALSE)," ")</f>
        <v xml:space="preserve"> </v>
      </c>
      <c r="K441" s="84" t="str" cm="1">
        <f t="array" ref="K441">IFERROR(VLOOKUP($A441,'The List'!$B1:$AS671,18,FALSE)," ")</f>
        <v xml:space="preserve"> </v>
      </c>
      <c r="L441" s="84" t="str" cm="1">
        <f t="array" ref="L441">IFERROR(VLOOKUP($A441,'The List'!$B1:$AS671,19,FALSE)," ")</f>
        <v xml:space="preserve"> </v>
      </c>
      <c r="M441" s="84" t="str" cm="1">
        <f t="array" ref="M441">IFERROR(VLOOKUP($A441,'The List'!$B1:$AS671,20,FALSE)," ")</f>
        <v xml:space="preserve"> </v>
      </c>
      <c r="N441" s="84" t="str" cm="1">
        <f t="array" ref="N441">IFERROR(VLOOKUP($A441,'The List'!$B1:$AS671,21,FALSE)," ")</f>
        <v xml:space="preserve"> </v>
      </c>
      <c r="O441" s="84" t="str" cm="1">
        <f t="array" ref="O441">IFERROR(VLOOKUP($A441,'The List'!$B1:$AS671,22,FALSE)," ")</f>
        <v xml:space="preserve"> </v>
      </c>
      <c r="P441" s="84" t="str" cm="1">
        <f t="array" ref="P441">IFERROR(VLOOKUP($A441,'The List'!$B1:$AS671,23,FALSE)," ")</f>
        <v xml:space="preserve"> </v>
      </c>
      <c r="Q441" s="84" t="str" cm="1">
        <f t="array" ref="Q441">IFERROR(VLOOKUP($A441,'The List'!$B1:$AS671,24,FALSE)," ")</f>
        <v xml:space="preserve"> </v>
      </c>
      <c r="R441" s="84" t="str" cm="1">
        <f t="array" ref="R441">IFERROR(VLOOKUP($A441,'The List'!$B1:$AS671,25,FALSE)," ")</f>
        <v xml:space="preserve"> </v>
      </c>
      <c r="S441" s="84" t="str" cm="1">
        <f t="array" ref="S441">IFERROR(VLOOKUP($A441,'The List'!$B1:$AS671,26,FALSE)," ")</f>
        <v xml:space="preserve"> </v>
      </c>
      <c r="T441" s="84" t="str" cm="1">
        <f t="array" ref="T441">IFERROR(VLOOKUP($A441,'The List'!$B1:$AS671,27,FALSE)," ")</f>
        <v xml:space="preserve"> </v>
      </c>
      <c r="U441" s="84" t="str" cm="1">
        <f t="array" ref="U441">IFERROR(VLOOKUP($A441,'The List'!$B1:$AS671,28,FALSE)," ")</f>
        <v xml:space="preserve"> </v>
      </c>
      <c r="V441" s="84" t="str" cm="1">
        <f t="array" ref="V441">IFERROR(VLOOKUP($A441,'The List'!$B1:$AS671,29,FALSE)," ")</f>
        <v xml:space="preserve"> </v>
      </c>
      <c r="W441" s="84" t="str" cm="1">
        <f t="array" ref="W441">IFERROR(VLOOKUP($A441,'The List'!$B1:$AS671,30,FALSE)," ")</f>
        <v xml:space="preserve"> </v>
      </c>
      <c r="X441" s="84" t="str" cm="1">
        <f t="array" ref="X441">IFERROR(VLOOKUP($A441,'The List'!$B1:$AS671,31,FALSE)," ")</f>
        <v xml:space="preserve"> </v>
      </c>
      <c r="Y441" s="84" t="str" cm="1">
        <f t="array" ref="Y441">IFERROR(VLOOKUP($A441,'The List'!$B1:$AS671,32,FALSE)," ")</f>
        <v xml:space="preserve"> </v>
      </c>
      <c r="Z441" s="84" t="str" cm="1">
        <f t="array" ref="Z441">IFERROR(VLOOKUP($A441,'The List'!$B1:$AS671,33,FALSE)," ")</f>
        <v xml:space="preserve"> </v>
      </c>
      <c r="AA441" s="85"/>
      <c r="AB441" s="90"/>
      <c r="AC441" s="90"/>
      <c r="AD441" s="90"/>
      <c r="AE441" s="90"/>
      <c r="AF441" s="90"/>
    </row>
    <row r="442" spans="1:32" ht="21.25" customHeight="1" x14ac:dyDescent="0.15">
      <c r="A442" s="24"/>
      <c r="B442" s="93" t="str" cm="1">
        <f t="array" ref="B442">IFERROR(VLOOKUP($A442,'The List'!$B1:$AS671,3,FALSE)," ")</f>
        <v xml:space="preserve"> </v>
      </c>
      <c r="C442" s="95" t="str" cm="1">
        <f t="array" ref="C442">IFERROR(VLOOKUP($A442,'The List'!$B1:$AS671,4,FALSE)," ")</f>
        <v xml:space="preserve"> </v>
      </c>
      <c r="D442" s="18" t="str" cm="1">
        <f t="array" ref="D442">IFERROR(VLOOKUP($A442,'The List'!$B1:$AS671,5,FALSE)," ")</f>
        <v xml:space="preserve"> </v>
      </c>
      <c r="E442" s="18" t="str" cm="1">
        <f t="array" ref="E442">IFERROR(VLOOKUP($A442,'The List'!$B1:$AS671,6,FALSE)," ")</f>
        <v xml:space="preserve"> </v>
      </c>
      <c r="F442" s="92" t="str" cm="1">
        <f t="array" ref="F442">IFERROR(VLOOKUP($A442,'The List'!$B1:$AS671,8,FALSE)," ")</f>
        <v xml:space="preserve"> </v>
      </c>
      <c r="G442" s="92" t="str" cm="1">
        <f t="array" ref="G442">IFERROR(VLOOKUP($A442,'The List'!$B1:$AS671,10,FALSE)," ")</f>
        <v xml:space="preserve"> </v>
      </c>
      <c r="H442" s="55"/>
      <c r="I442" s="84" t="str" cm="1">
        <f t="array" ref="I442">IFERROR(VLOOKUP($A442,'The List'!$B1:$AS671,16,FALSE)," ")</f>
        <v xml:space="preserve"> </v>
      </c>
      <c r="J442" s="84" t="str" cm="1">
        <f t="array" ref="J442">IFERROR(VLOOKUP($A442,'The List'!$B1:$AS671,17,FALSE)," ")</f>
        <v xml:space="preserve"> </v>
      </c>
      <c r="K442" s="84" t="str" cm="1">
        <f t="array" ref="K442">IFERROR(VLOOKUP($A442,'The List'!$B1:$AS671,18,FALSE)," ")</f>
        <v xml:space="preserve"> </v>
      </c>
      <c r="L442" s="84" t="str" cm="1">
        <f t="array" ref="L442">IFERROR(VLOOKUP($A442,'The List'!$B1:$AS671,19,FALSE)," ")</f>
        <v xml:space="preserve"> </v>
      </c>
      <c r="M442" s="84" t="str" cm="1">
        <f t="array" ref="M442">IFERROR(VLOOKUP($A442,'The List'!$B1:$AS671,20,FALSE)," ")</f>
        <v xml:space="preserve"> </v>
      </c>
      <c r="N442" s="84" t="str" cm="1">
        <f t="array" ref="N442">IFERROR(VLOOKUP($A442,'The List'!$B1:$AS671,21,FALSE)," ")</f>
        <v xml:space="preserve"> </v>
      </c>
      <c r="O442" s="84" t="str" cm="1">
        <f t="array" ref="O442">IFERROR(VLOOKUP($A442,'The List'!$B1:$AS671,22,FALSE)," ")</f>
        <v xml:space="preserve"> </v>
      </c>
      <c r="P442" s="84" t="str" cm="1">
        <f t="array" ref="P442">IFERROR(VLOOKUP($A442,'The List'!$B1:$AS671,23,FALSE)," ")</f>
        <v xml:space="preserve"> </v>
      </c>
      <c r="Q442" s="84" t="str" cm="1">
        <f t="array" ref="Q442">IFERROR(VLOOKUP($A442,'The List'!$B1:$AS671,24,FALSE)," ")</f>
        <v xml:space="preserve"> </v>
      </c>
      <c r="R442" s="84" t="str" cm="1">
        <f t="array" ref="R442">IFERROR(VLOOKUP($A442,'The List'!$B1:$AS671,25,FALSE)," ")</f>
        <v xml:space="preserve"> </v>
      </c>
      <c r="S442" s="84" t="str" cm="1">
        <f t="array" ref="S442">IFERROR(VLOOKUP($A442,'The List'!$B1:$AS671,26,FALSE)," ")</f>
        <v xml:space="preserve"> </v>
      </c>
      <c r="T442" s="84" t="str" cm="1">
        <f t="array" ref="T442">IFERROR(VLOOKUP($A442,'The List'!$B1:$AS671,27,FALSE)," ")</f>
        <v xml:space="preserve"> </v>
      </c>
      <c r="U442" s="84" t="str" cm="1">
        <f t="array" ref="U442">IFERROR(VLOOKUP($A442,'The List'!$B1:$AS671,28,FALSE)," ")</f>
        <v xml:space="preserve"> </v>
      </c>
      <c r="V442" s="84" t="str" cm="1">
        <f t="array" ref="V442">IFERROR(VLOOKUP($A442,'The List'!$B1:$AS671,29,FALSE)," ")</f>
        <v xml:space="preserve"> </v>
      </c>
      <c r="W442" s="84" t="str" cm="1">
        <f t="array" ref="W442">IFERROR(VLOOKUP($A442,'The List'!$B1:$AS671,30,FALSE)," ")</f>
        <v xml:space="preserve"> </v>
      </c>
      <c r="X442" s="84" t="str" cm="1">
        <f t="array" ref="X442">IFERROR(VLOOKUP($A442,'The List'!$B1:$AS671,31,FALSE)," ")</f>
        <v xml:space="preserve"> </v>
      </c>
      <c r="Y442" s="84" t="str" cm="1">
        <f t="array" ref="Y442">IFERROR(VLOOKUP($A442,'The List'!$B1:$AS671,32,FALSE)," ")</f>
        <v xml:space="preserve"> </v>
      </c>
      <c r="Z442" s="84" t="str" cm="1">
        <f t="array" ref="Z442">IFERROR(VLOOKUP($A442,'The List'!$B1:$AS671,33,FALSE)," ")</f>
        <v xml:space="preserve"> </v>
      </c>
      <c r="AA442" s="85"/>
      <c r="AB442" s="90"/>
      <c r="AC442" s="90"/>
      <c r="AD442" s="90"/>
      <c r="AE442" s="90"/>
      <c r="AF442" s="90"/>
    </row>
    <row r="443" spans="1:32" ht="21.25" customHeight="1" x14ac:dyDescent="0.15">
      <c r="A443" s="24"/>
      <c r="B443" s="93" t="str" cm="1">
        <f t="array" ref="B443">IFERROR(VLOOKUP($A443,'The List'!$B1:$AS671,3,FALSE)," ")</f>
        <v xml:space="preserve"> </v>
      </c>
      <c r="C443" s="95" t="str" cm="1">
        <f t="array" ref="C443">IFERROR(VLOOKUP($A443,'The List'!$B1:$AS671,4,FALSE)," ")</f>
        <v xml:space="preserve"> </v>
      </c>
      <c r="D443" s="18" t="str" cm="1">
        <f t="array" ref="D443">IFERROR(VLOOKUP($A443,'The List'!$B1:$AS671,5,FALSE)," ")</f>
        <v xml:space="preserve"> </v>
      </c>
      <c r="E443" s="18" t="str" cm="1">
        <f t="array" ref="E443">IFERROR(VLOOKUP($A443,'The List'!$B1:$AS671,6,FALSE)," ")</f>
        <v xml:space="preserve"> </v>
      </c>
      <c r="F443" s="92" t="str" cm="1">
        <f t="array" ref="F443">IFERROR(VLOOKUP($A443,'The List'!$B1:$AS671,8,FALSE)," ")</f>
        <v xml:space="preserve"> </v>
      </c>
      <c r="G443" s="92" t="str" cm="1">
        <f t="array" ref="G443">IFERROR(VLOOKUP($A443,'The List'!$B1:$AS671,10,FALSE)," ")</f>
        <v xml:space="preserve"> </v>
      </c>
      <c r="H443" s="55"/>
      <c r="I443" s="84" t="str" cm="1">
        <f t="array" ref="I443">IFERROR(VLOOKUP($A443,'The List'!$B1:$AS671,16,FALSE)," ")</f>
        <v xml:space="preserve"> </v>
      </c>
      <c r="J443" s="84" t="str" cm="1">
        <f t="array" ref="J443">IFERROR(VLOOKUP($A443,'The List'!$B1:$AS671,17,FALSE)," ")</f>
        <v xml:space="preserve"> </v>
      </c>
      <c r="K443" s="84" t="str" cm="1">
        <f t="array" ref="K443">IFERROR(VLOOKUP($A443,'The List'!$B1:$AS671,18,FALSE)," ")</f>
        <v xml:space="preserve"> </v>
      </c>
      <c r="L443" s="84" t="str" cm="1">
        <f t="array" ref="L443">IFERROR(VLOOKUP($A443,'The List'!$B1:$AS671,19,FALSE)," ")</f>
        <v xml:space="preserve"> </v>
      </c>
      <c r="M443" s="84" t="str" cm="1">
        <f t="array" ref="M443">IFERROR(VLOOKUP($A443,'The List'!$B1:$AS671,20,FALSE)," ")</f>
        <v xml:space="preserve"> </v>
      </c>
      <c r="N443" s="84" t="str" cm="1">
        <f t="array" ref="N443">IFERROR(VLOOKUP($A443,'The List'!$B1:$AS671,21,FALSE)," ")</f>
        <v xml:space="preserve"> </v>
      </c>
      <c r="O443" s="84" t="str" cm="1">
        <f t="array" ref="O443">IFERROR(VLOOKUP($A443,'The List'!$B1:$AS671,22,FALSE)," ")</f>
        <v xml:space="preserve"> </v>
      </c>
      <c r="P443" s="84" t="str" cm="1">
        <f t="array" ref="P443">IFERROR(VLOOKUP($A443,'The List'!$B1:$AS671,23,FALSE)," ")</f>
        <v xml:space="preserve"> </v>
      </c>
      <c r="Q443" s="84" t="str" cm="1">
        <f t="array" ref="Q443">IFERROR(VLOOKUP($A443,'The List'!$B1:$AS671,24,FALSE)," ")</f>
        <v xml:space="preserve"> </v>
      </c>
      <c r="R443" s="84" t="str" cm="1">
        <f t="array" ref="R443">IFERROR(VLOOKUP($A443,'The List'!$B1:$AS671,25,FALSE)," ")</f>
        <v xml:space="preserve"> </v>
      </c>
      <c r="S443" s="84" t="str" cm="1">
        <f t="array" ref="S443">IFERROR(VLOOKUP($A443,'The List'!$B1:$AS671,26,FALSE)," ")</f>
        <v xml:space="preserve"> </v>
      </c>
      <c r="T443" s="84" t="str" cm="1">
        <f t="array" ref="T443">IFERROR(VLOOKUP($A443,'The List'!$B1:$AS671,27,FALSE)," ")</f>
        <v xml:space="preserve"> </v>
      </c>
      <c r="U443" s="84" t="str" cm="1">
        <f t="array" ref="U443">IFERROR(VLOOKUP($A443,'The List'!$B1:$AS671,28,FALSE)," ")</f>
        <v xml:space="preserve"> </v>
      </c>
      <c r="V443" s="84" t="str" cm="1">
        <f t="array" ref="V443">IFERROR(VLOOKUP($A443,'The List'!$B1:$AS671,29,FALSE)," ")</f>
        <v xml:space="preserve"> </v>
      </c>
      <c r="W443" s="84" t="str" cm="1">
        <f t="array" ref="W443">IFERROR(VLOOKUP($A443,'The List'!$B1:$AS671,30,FALSE)," ")</f>
        <v xml:space="preserve"> </v>
      </c>
      <c r="X443" s="84" t="str" cm="1">
        <f t="array" ref="X443">IFERROR(VLOOKUP($A443,'The List'!$B1:$AS671,31,FALSE)," ")</f>
        <v xml:space="preserve"> </v>
      </c>
      <c r="Y443" s="84" t="str" cm="1">
        <f t="array" ref="Y443">IFERROR(VLOOKUP($A443,'The List'!$B1:$AS671,32,FALSE)," ")</f>
        <v xml:space="preserve"> </v>
      </c>
      <c r="Z443" s="84" t="str" cm="1">
        <f t="array" ref="Z443">IFERROR(VLOOKUP($A443,'The List'!$B1:$AS671,33,FALSE)," ")</f>
        <v xml:space="preserve"> </v>
      </c>
      <c r="AA443" s="85"/>
      <c r="AB443" s="90"/>
      <c r="AC443" s="90"/>
      <c r="AD443" s="90"/>
      <c r="AE443" s="90"/>
      <c r="AF443" s="90"/>
    </row>
    <row r="444" spans="1:32" ht="21.25" customHeight="1" x14ac:dyDescent="0.15">
      <c r="A444" s="24"/>
      <c r="B444" s="93" t="str" cm="1">
        <f t="array" ref="B444">IFERROR(VLOOKUP($A444,'The List'!$B1:$AS671,3,FALSE)," ")</f>
        <v xml:space="preserve"> </v>
      </c>
      <c r="C444" s="95" t="str" cm="1">
        <f t="array" ref="C444">IFERROR(VLOOKUP($A444,'The List'!$B1:$AS671,4,FALSE)," ")</f>
        <v xml:space="preserve"> </v>
      </c>
      <c r="D444" s="18" t="str" cm="1">
        <f t="array" ref="D444">IFERROR(VLOOKUP($A444,'The List'!$B1:$AS671,5,FALSE)," ")</f>
        <v xml:space="preserve"> </v>
      </c>
      <c r="E444" s="18" t="str" cm="1">
        <f t="array" ref="E444">IFERROR(VLOOKUP($A444,'The List'!$B1:$AS671,6,FALSE)," ")</f>
        <v xml:space="preserve"> </v>
      </c>
      <c r="F444" s="92" t="str" cm="1">
        <f t="array" ref="F444">IFERROR(VLOOKUP($A444,'The List'!$B1:$AS671,8,FALSE)," ")</f>
        <v xml:space="preserve"> </v>
      </c>
      <c r="G444" s="92" t="str" cm="1">
        <f t="array" ref="G444">IFERROR(VLOOKUP($A444,'The List'!$B1:$AS671,10,FALSE)," ")</f>
        <v xml:space="preserve"> </v>
      </c>
      <c r="H444" s="55"/>
      <c r="I444" s="84" t="str" cm="1">
        <f t="array" ref="I444">IFERROR(VLOOKUP($A444,'The List'!$B1:$AS671,16,FALSE)," ")</f>
        <v xml:space="preserve"> </v>
      </c>
      <c r="J444" s="84" t="str" cm="1">
        <f t="array" ref="J444">IFERROR(VLOOKUP($A444,'The List'!$B1:$AS671,17,FALSE)," ")</f>
        <v xml:space="preserve"> </v>
      </c>
      <c r="K444" s="84" t="str" cm="1">
        <f t="array" ref="K444">IFERROR(VLOOKUP($A444,'The List'!$B1:$AS671,18,FALSE)," ")</f>
        <v xml:space="preserve"> </v>
      </c>
      <c r="L444" s="84" t="str" cm="1">
        <f t="array" ref="L444">IFERROR(VLOOKUP($A444,'The List'!$B1:$AS671,19,FALSE)," ")</f>
        <v xml:space="preserve"> </v>
      </c>
      <c r="M444" s="84" t="str" cm="1">
        <f t="array" ref="M444">IFERROR(VLOOKUP($A444,'The List'!$B1:$AS671,20,FALSE)," ")</f>
        <v xml:space="preserve"> </v>
      </c>
      <c r="N444" s="84" t="str" cm="1">
        <f t="array" ref="N444">IFERROR(VLOOKUP($A444,'The List'!$B1:$AS671,21,FALSE)," ")</f>
        <v xml:space="preserve"> </v>
      </c>
      <c r="O444" s="84" t="str" cm="1">
        <f t="array" ref="O444">IFERROR(VLOOKUP($A444,'The List'!$B1:$AS671,22,FALSE)," ")</f>
        <v xml:space="preserve"> </v>
      </c>
      <c r="P444" s="84" t="str" cm="1">
        <f t="array" ref="P444">IFERROR(VLOOKUP($A444,'The List'!$B1:$AS671,23,FALSE)," ")</f>
        <v xml:space="preserve"> </v>
      </c>
      <c r="Q444" s="84" t="str" cm="1">
        <f t="array" ref="Q444">IFERROR(VLOOKUP($A444,'The List'!$B1:$AS671,24,FALSE)," ")</f>
        <v xml:space="preserve"> </v>
      </c>
      <c r="R444" s="84" t="str" cm="1">
        <f t="array" ref="R444">IFERROR(VLOOKUP($A444,'The List'!$B1:$AS671,25,FALSE)," ")</f>
        <v xml:space="preserve"> </v>
      </c>
      <c r="S444" s="84" t="str" cm="1">
        <f t="array" ref="S444">IFERROR(VLOOKUP($A444,'The List'!$B1:$AS671,26,FALSE)," ")</f>
        <v xml:space="preserve"> </v>
      </c>
      <c r="T444" s="84" t="str" cm="1">
        <f t="array" ref="T444">IFERROR(VLOOKUP($A444,'The List'!$B1:$AS671,27,FALSE)," ")</f>
        <v xml:space="preserve"> </v>
      </c>
      <c r="U444" s="84" t="str" cm="1">
        <f t="array" ref="U444">IFERROR(VLOOKUP($A444,'The List'!$B1:$AS671,28,FALSE)," ")</f>
        <v xml:space="preserve"> </v>
      </c>
      <c r="V444" s="84" t="str" cm="1">
        <f t="array" ref="V444">IFERROR(VLOOKUP($A444,'The List'!$B1:$AS671,29,FALSE)," ")</f>
        <v xml:space="preserve"> </v>
      </c>
      <c r="W444" s="84" t="str" cm="1">
        <f t="array" ref="W444">IFERROR(VLOOKUP($A444,'The List'!$B1:$AS671,30,FALSE)," ")</f>
        <v xml:space="preserve"> </v>
      </c>
      <c r="X444" s="84" t="str" cm="1">
        <f t="array" ref="X444">IFERROR(VLOOKUP($A444,'The List'!$B1:$AS671,31,FALSE)," ")</f>
        <v xml:space="preserve"> </v>
      </c>
      <c r="Y444" s="84" t="str" cm="1">
        <f t="array" ref="Y444">IFERROR(VLOOKUP($A444,'The List'!$B1:$AS671,32,FALSE)," ")</f>
        <v xml:space="preserve"> </v>
      </c>
      <c r="Z444" s="84" t="str" cm="1">
        <f t="array" ref="Z444">IFERROR(VLOOKUP($A444,'The List'!$B1:$AS671,33,FALSE)," ")</f>
        <v xml:space="preserve"> </v>
      </c>
      <c r="AA444" s="85"/>
      <c r="AB444" s="90"/>
      <c r="AC444" s="90"/>
      <c r="AD444" s="90"/>
      <c r="AE444" s="90"/>
      <c r="AF444" s="90"/>
    </row>
    <row r="445" spans="1:32" ht="21.25" customHeight="1" x14ac:dyDescent="0.15">
      <c r="A445" s="24"/>
      <c r="B445" s="96" t="str" cm="1">
        <f t="array" ref="B445">IFERROR(VLOOKUP($A445,'The List'!$B1:$AS671,3,FALSE)," ")</f>
        <v xml:space="preserve"> </v>
      </c>
      <c r="C445" s="98" t="str" cm="1">
        <f t="array" ref="C445">IFERROR(VLOOKUP($A445,'The List'!$B1:$AS671,4,FALSE)," ")</f>
        <v xml:space="preserve"> </v>
      </c>
      <c r="D445" s="18" t="str" cm="1">
        <f t="array" ref="D445">IFERROR(VLOOKUP($A445,'The List'!$B1:$AS671,5,FALSE)," ")</f>
        <v xml:space="preserve"> </v>
      </c>
      <c r="E445" s="18" t="str" cm="1">
        <f t="array" ref="E445">IFERROR(VLOOKUP($A445,'The List'!$B1:$AS671,6,FALSE)," ")</f>
        <v xml:space="preserve"> </v>
      </c>
      <c r="F445" s="92" t="str" cm="1">
        <f t="array" ref="F445">IFERROR(VLOOKUP($A445,'The List'!$B1:$AS671,8,FALSE)," ")</f>
        <v xml:space="preserve"> </v>
      </c>
      <c r="G445" s="92" t="str" cm="1">
        <f t="array" ref="G445">IFERROR(VLOOKUP($A445,'The List'!$B1:$AS671,10,FALSE)," ")</f>
        <v xml:space="preserve"> </v>
      </c>
      <c r="H445" s="55"/>
      <c r="I445" s="84" t="str" cm="1">
        <f t="array" ref="I445">IFERROR(VLOOKUP($A445,'The List'!$B1:$AS671,16,FALSE)," ")</f>
        <v xml:space="preserve"> </v>
      </c>
      <c r="J445" s="84" t="str" cm="1">
        <f t="array" ref="J445">IFERROR(VLOOKUP($A445,'The List'!$B1:$AS671,17,FALSE)," ")</f>
        <v xml:space="preserve"> </v>
      </c>
      <c r="K445" s="84" t="str" cm="1">
        <f t="array" ref="K445">IFERROR(VLOOKUP($A445,'The List'!$B1:$AS671,18,FALSE)," ")</f>
        <v xml:space="preserve"> </v>
      </c>
      <c r="L445" s="84" t="str" cm="1">
        <f t="array" ref="L445">IFERROR(VLOOKUP($A445,'The List'!$B1:$AS671,19,FALSE)," ")</f>
        <v xml:space="preserve"> </v>
      </c>
      <c r="M445" s="84" t="str" cm="1">
        <f t="array" ref="M445">IFERROR(VLOOKUP($A445,'The List'!$B1:$AS671,20,FALSE)," ")</f>
        <v xml:space="preserve"> </v>
      </c>
      <c r="N445" s="84" t="str" cm="1">
        <f t="array" ref="N445">IFERROR(VLOOKUP($A445,'The List'!$B1:$AS671,21,FALSE)," ")</f>
        <v xml:space="preserve"> </v>
      </c>
      <c r="O445" s="84" t="str" cm="1">
        <f t="array" ref="O445">IFERROR(VLOOKUP($A445,'The List'!$B1:$AS671,22,FALSE)," ")</f>
        <v xml:space="preserve"> </v>
      </c>
      <c r="P445" s="84" t="str" cm="1">
        <f t="array" ref="P445">IFERROR(VLOOKUP($A445,'The List'!$B1:$AS671,23,FALSE)," ")</f>
        <v xml:space="preserve"> </v>
      </c>
      <c r="Q445" s="84" t="str" cm="1">
        <f t="array" ref="Q445">IFERROR(VLOOKUP($A445,'The List'!$B1:$AS671,24,FALSE)," ")</f>
        <v xml:space="preserve"> </v>
      </c>
      <c r="R445" s="84" t="str" cm="1">
        <f t="array" ref="R445">IFERROR(VLOOKUP($A445,'The List'!$B1:$AS671,25,FALSE)," ")</f>
        <v xml:space="preserve"> </v>
      </c>
      <c r="S445" s="84" t="str" cm="1">
        <f t="array" ref="S445">IFERROR(VLOOKUP($A445,'The List'!$B1:$AS671,26,FALSE)," ")</f>
        <v xml:space="preserve"> </v>
      </c>
      <c r="T445" s="84" t="str" cm="1">
        <f t="array" ref="T445">IFERROR(VLOOKUP($A445,'The List'!$B1:$AS671,27,FALSE)," ")</f>
        <v xml:space="preserve"> </v>
      </c>
      <c r="U445" s="84" t="str" cm="1">
        <f t="array" ref="U445">IFERROR(VLOOKUP($A445,'The List'!$B1:$AS671,28,FALSE)," ")</f>
        <v xml:space="preserve"> </v>
      </c>
      <c r="V445" s="84" t="str" cm="1">
        <f t="array" ref="V445">IFERROR(VLOOKUP($A445,'The List'!$B1:$AS671,29,FALSE)," ")</f>
        <v xml:space="preserve"> </v>
      </c>
      <c r="W445" s="84" t="str" cm="1">
        <f t="array" ref="W445">IFERROR(VLOOKUP($A445,'The List'!$B1:$AS671,30,FALSE)," ")</f>
        <v xml:space="preserve"> </v>
      </c>
      <c r="X445" s="84" t="str" cm="1">
        <f t="array" ref="X445">IFERROR(VLOOKUP($A445,'The List'!$B1:$AS671,31,FALSE)," ")</f>
        <v xml:space="preserve"> </v>
      </c>
      <c r="Y445" s="84" t="str" cm="1">
        <f t="array" ref="Y445">IFERROR(VLOOKUP($A445,'The List'!$B1:$AS671,32,FALSE)," ")</f>
        <v xml:space="preserve"> </v>
      </c>
      <c r="Z445" s="84" t="str" cm="1">
        <f t="array" ref="Z445">IFERROR(VLOOKUP($A445,'The List'!$B1:$AS671,33,FALSE)," ")</f>
        <v xml:space="preserve"> </v>
      </c>
      <c r="AA445" s="85"/>
      <c r="AB445" s="90"/>
      <c r="AC445" s="90"/>
      <c r="AD445" s="90"/>
      <c r="AE445" s="90"/>
      <c r="AF445" s="90"/>
    </row>
    <row r="446" spans="1:32" ht="21.25" customHeight="1" x14ac:dyDescent="0.15">
      <c r="A446" s="24"/>
      <c r="B446" s="96" t="str" cm="1">
        <f t="array" ref="B446">IFERROR(VLOOKUP($A446,'The List'!$B1:$AS671,3,FALSE)," ")</f>
        <v xml:space="preserve"> </v>
      </c>
      <c r="C446" s="98" t="str" cm="1">
        <f t="array" ref="C446">IFERROR(VLOOKUP($A446,'The List'!$B1:$AS671,4,FALSE)," ")</f>
        <v xml:space="preserve"> </v>
      </c>
      <c r="D446" s="18" t="str" cm="1">
        <f t="array" ref="D446">IFERROR(VLOOKUP($A446,'The List'!$B1:$AS671,5,FALSE)," ")</f>
        <v xml:space="preserve"> </v>
      </c>
      <c r="E446" s="18" t="str" cm="1">
        <f t="array" ref="E446">IFERROR(VLOOKUP($A446,'The List'!$B1:$AS671,6,FALSE)," ")</f>
        <v xml:space="preserve"> </v>
      </c>
      <c r="F446" s="92" t="str" cm="1">
        <f t="array" ref="F446">IFERROR(VLOOKUP($A446,'The List'!$B1:$AS671,8,FALSE)," ")</f>
        <v xml:space="preserve"> </v>
      </c>
      <c r="G446" s="92" t="str" cm="1">
        <f t="array" ref="G446">IFERROR(VLOOKUP($A446,'The List'!$B1:$AS671,10,FALSE)," ")</f>
        <v xml:space="preserve"> </v>
      </c>
      <c r="H446" s="55"/>
      <c r="I446" s="84" t="str" cm="1">
        <f t="array" ref="I446">IFERROR(VLOOKUP($A446,'The List'!$B1:$AS671,16,FALSE)," ")</f>
        <v xml:space="preserve"> </v>
      </c>
      <c r="J446" s="84" t="str" cm="1">
        <f t="array" ref="J446">IFERROR(VLOOKUP($A446,'The List'!$B1:$AS671,17,FALSE)," ")</f>
        <v xml:space="preserve"> </v>
      </c>
      <c r="K446" s="84" t="str" cm="1">
        <f t="array" ref="K446">IFERROR(VLOOKUP($A446,'The List'!$B1:$AS671,18,FALSE)," ")</f>
        <v xml:space="preserve"> </v>
      </c>
      <c r="L446" s="84" t="str" cm="1">
        <f t="array" ref="L446">IFERROR(VLOOKUP($A446,'The List'!$B1:$AS671,19,FALSE)," ")</f>
        <v xml:space="preserve"> </v>
      </c>
      <c r="M446" s="84" t="str" cm="1">
        <f t="array" ref="M446">IFERROR(VLOOKUP($A446,'The List'!$B1:$AS671,20,FALSE)," ")</f>
        <v xml:space="preserve"> </v>
      </c>
      <c r="N446" s="84" t="str" cm="1">
        <f t="array" ref="N446">IFERROR(VLOOKUP($A446,'The List'!$B1:$AS671,21,FALSE)," ")</f>
        <v xml:space="preserve"> </v>
      </c>
      <c r="O446" s="84" t="str" cm="1">
        <f t="array" ref="O446">IFERROR(VLOOKUP($A446,'The List'!$B1:$AS671,22,FALSE)," ")</f>
        <v xml:space="preserve"> </v>
      </c>
      <c r="P446" s="84" t="str" cm="1">
        <f t="array" ref="P446">IFERROR(VLOOKUP($A446,'The List'!$B1:$AS671,23,FALSE)," ")</f>
        <v xml:space="preserve"> </v>
      </c>
      <c r="Q446" s="84" t="str" cm="1">
        <f t="array" ref="Q446">IFERROR(VLOOKUP($A446,'The List'!$B1:$AS671,24,FALSE)," ")</f>
        <v xml:space="preserve"> </v>
      </c>
      <c r="R446" s="84" t="str" cm="1">
        <f t="array" ref="R446">IFERROR(VLOOKUP($A446,'The List'!$B1:$AS671,25,FALSE)," ")</f>
        <v xml:space="preserve"> </v>
      </c>
      <c r="S446" s="84" t="str" cm="1">
        <f t="array" ref="S446">IFERROR(VLOOKUP($A446,'The List'!$B1:$AS671,26,FALSE)," ")</f>
        <v xml:space="preserve"> </v>
      </c>
      <c r="T446" s="84" t="str" cm="1">
        <f t="array" ref="T446">IFERROR(VLOOKUP($A446,'The List'!$B1:$AS671,27,FALSE)," ")</f>
        <v xml:space="preserve"> </v>
      </c>
      <c r="U446" s="84" t="str" cm="1">
        <f t="array" ref="U446">IFERROR(VLOOKUP($A446,'The List'!$B1:$AS671,28,FALSE)," ")</f>
        <v xml:space="preserve"> </v>
      </c>
      <c r="V446" s="84" t="str" cm="1">
        <f t="array" ref="V446">IFERROR(VLOOKUP($A446,'The List'!$B1:$AS671,29,FALSE)," ")</f>
        <v xml:space="preserve"> </v>
      </c>
      <c r="W446" s="84" t="str" cm="1">
        <f t="array" ref="W446">IFERROR(VLOOKUP($A446,'The List'!$B1:$AS671,30,FALSE)," ")</f>
        <v xml:space="preserve"> </v>
      </c>
      <c r="X446" s="84" t="str" cm="1">
        <f t="array" ref="X446">IFERROR(VLOOKUP($A446,'The List'!$B1:$AS671,31,FALSE)," ")</f>
        <v xml:space="preserve"> </v>
      </c>
      <c r="Y446" s="84" t="str" cm="1">
        <f t="array" ref="Y446">IFERROR(VLOOKUP($A446,'The List'!$B1:$AS671,32,FALSE)," ")</f>
        <v xml:space="preserve"> </v>
      </c>
      <c r="Z446" s="84" t="str" cm="1">
        <f t="array" ref="Z446">IFERROR(VLOOKUP($A446,'The List'!$B1:$AS671,33,FALSE)," ")</f>
        <v xml:space="preserve"> </v>
      </c>
      <c r="AA446" s="85"/>
      <c r="AB446" s="90"/>
      <c r="AC446" s="90"/>
      <c r="AD446" s="90"/>
      <c r="AE446" s="90"/>
      <c r="AF446" s="90"/>
    </row>
    <row r="447" spans="1:32" ht="21.25" customHeight="1" x14ac:dyDescent="0.15">
      <c r="A447" s="24"/>
      <c r="B447" s="96" t="str" cm="1">
        <f t="array" ref="B447">IFERROR(VLOOKUP($A447,'The List'!$B1:$AS671,3,FALSE)," ")</f>
        <v xml:space="preserve"> </v>
      </c>
      <c r="C447" s="98" t="str" cm="1">
        <f t="array" ref="C447">IFERROR(VLOOKUP($A447,'The List'!$B1:$AS671,4,FALSE)," ")</f>
        <v xml:space="preserve"> </v>
      </c>
      <c r="D447" s="18" t="str" cm="1">
        <f t="array" ref="D447">IFERROR(VLOOKUP($A447,'The List'!$B1:$AS671,5,FALSE)," ")</f>
        <v xml:space="preserve"> </v>
      </c>
      <c r="E447" s="18" t="str" cm="1">
        <f t="array" ref="E447">IFERROR(VLOOKUP($A447,'The List'!$B1:$AS671,6,FALSE)," ")</f>
        <v xml:space="preserve"> </v>
      </c>
      <c r="F447" s="92" t="str" cm="1">
        <f t="array" ref="F447">IFERROR(VLOOKUP($A447,'The List'!$B1:$AS671,8,FALSE)," ")</f>
        <v xml:space="preserve"> </v>
      </c>
      <c r="G447" s="92" t="str" cm="1">
        <f t="array" ref="G447">IFERROR(VLOOKUP($A447,'The List'!$B1:$AS671,10,FALSE)," ")</f>
        <v xml:space="preserve"> </v>
      </c>
      <c r="H447" s="55"/>
      <c r="I447" s="84" t="str" cm="1">
        <f t="array" ref="I447">IFERROR(VLOOKUP($A447,'The List'!$B1:$AS671,16,FALSE)," ")</f>
        <v xml:space="preserve"> </v>
      </c>
      <c r="J447" s="84" t="str" cm="1">
        <f t="array" ref="J447">IFERROR(VLOOKUP($A447,'The List'!$B1:$AS671,17,FALSE)," ")</f>
        <v xml:space="preserve"> </v>
      </c>
      <c r="K447" s="84" t="str" cm="1">
        <f t="array" ref="K447">IFERROR(VLOOKUP($A447,'The List'!$B1:$AS671,18,FALSE)," ")</f>
        <v xml:space="preserve"> </v>
      </c>
      <c r="L447" s="84" t="str" cm="1">
        <f t="array" ref="L447">IFERROR(VLOOKUP($A447,'The List'!$B1:$AS671,19,FALSE)," ")</f>
        <v xml:space="preserve"> </v>
      </c>
      <c r="M447" s="84" t="str" cm="1">
        <f t="array" ref="M447">IFERROR(VLOOKUP($A447,'The List'!$B1:$AS671,20,FALSE)," ")</f>
        <v xml:space="preserve"> </v>
      </c>
      <c r="N447" s="84" t="str" cm="1">
        <f t="array" ref="N447">IFERROR(VLOOKUP($A447,'The List'!$B1:$AS671,21,FALSE)," ")</f>
        <v xml:space="preserve"> </v>
      </c>
      <c r="O447" s="84" t="str" cm="1">
        <f t="array" ref="O447">IFERROR(VLOOKUP($A447,'The List'!$B1:$AS671,22,FALSE)," ")</f>
        <v xml:space="preserve"> </v>
      </c>
      <c r="P447" s="84" t="str" cm="1">
        <f t="array" ref="P447">IFERROR(VLOOKUP($A447,'The List'!$B1:$AS671,23,FALSE)," ")</f>
        <v xml:space="preserve"> </v>
      </c>
      <c r="Q447" s="84" t="str" cm="1">
        <f t="array" ref="Q447">IFERROR(VLOOKUP($A447,'The List'!$B1:$AS671,24,FALSE)," ")</f>
        <v xml:space="preserve"> </v>
      </c>
      <c r="R447" s="84" t="str" cm="1">
        <f t="array" ref="R447">IFERROR(VLOOKUP($A447,'The List'!$B1:$AS671,25,FALSE)," ")</f>
        <v xml:space="preserve"> </v>
      </c>
      <c r="S447" s="84" t="str" cm="1">
        <f t="array" ref="S447">IFERROR(VLOOKUP($A447,'The List'!$B1:$AS671,26,FALSE)," ")</f>
        <v xml:space="preserve"> </v>
      </c>
      <c r="T447" s="84" t="str" cm="1">
        <f t="array" ref="T447">IFERROR(VLOOKUP($A447,'The List'!$B1:$AS671,27,FALSE)," ")</f>
        <v xml:space="preserve"> </v>
      </c>
      <c r="U447" s="84" t="str" cm="1">
        <f t="array" ref="U447">IFERROR(VLOOKUP($A447,'The List'!$B1:$AS671,28,FALSE)," ")</f>
        <v xml:space="preserve"> </v>
      </c>
      <c r="V447" s="84" t="str" cm="1">
        <f t="array" ref="V447">IFERROR(VLOOKUP($A447,'The List'!$B1:$AS671,29,FALSE)," ")</f>
        <v xml:space="preserve"> </v>
      </c>
      <c r="W447" s="84" t="str" cm="1">
        <f t="array" ref="W447">IFERROR(VLOOKUP($A447,'The List'!$B1:$AS671,30,FALSE)," ")</f>
        <v xml:space="preserve"> </v>
      </c>
      <c r="X447" s="84" t="str" cm="1">
        <f t="array" ref="X447">IFERROR(VLOOKUP($A447,'The List'!$B1:$AS671,31,FALSE)," ")</f>
        <v xml:space="preserve"> </v>
      </c>
      <c r="Y447" s="84" t="str" cm="1">
        <f t="array" ref="Y447">IFERROR(VLOOKUP($A447,'The List'!$B1:$AS671,32,FALSE)," ")</f>
        <v xml:space="preserve"> </v>
      </c>
      <c r="Z447" s="84" t="str" cm="1">
        <f t="array" ref="Z447">IFERROR(VLOOKUP($A447,'The List'!$B1:$AS671,33,FALSE)," ")</f>
        <v xml:space="preserve"> </v>
      </c>
      <c r="AA447" s="85"/>
      <c r="AB447" s="90"/>
      <c r="AC447" s="90"/>
      <c r="AD447" s="90"/>
      <c r="AE447" s="90"/>
      <c r="AF447" s="90"/>
    </row>
    <row r="448" spans="1:32" ht="21.25" customHeight="1" x14ac:dyDescent="0.15">
      <c r="A448" s="24"/>
      <c r="B448" s="96" t="str" cm="1">
        <f t="array" ref="B448">IFERROR(VLOOKUP($A448,'The List'!$B1:$AS671,3,FALSE)," ")</f>
        <v xml:space="preserve"> </v>
      </c>
      <c r="C448" s="98" t="str" cm="1">
        <f t="array" ref="C448">IFERROR(VLOOKUP($A448,'The List'!$B1:$AS671,4,FALSE)," ")</f>
        <v xml:space="preserve"> </v>
      </c>
      <c r="D448" s="18" t="str" cm="1">
        <f t="array" ref="D448">IFERROR(VLOOKUP($A448,'The List'!$B1:$AS671,5,FALSE)," ")</f>
        <v xml:space="preserve"> </v>
      </c>
      <c r="E448" s="18" t="str" cm="1">
        <f t="array" ref="E448">IFERROR(VLOOKUP($A448,'The List'!$B1:$AS671,6,FALSE)," ")</f>
        <v xml:space="preserve"> </v>
      </c>
      <c r="F448" s="92" t="str" cm="1">
        <f t="array" ref="F448">IFERROR(VLOOKUP($A448,'The List'!$B1:$AS671,8,FALSE)," ")</f>
        <v xml:space="preserve"> </v>
      </c>
      <c r="G448" s="92" t="str" cm="1">
        <f t="array" ref="G448">IFERROR(VLOOKUP($A448,'The List'!$B1:$AS671,10,FALSE)," ")</f>
        <v xml:space="preserve"> </v>
      </c>
      <c r="H448" s="55"/>
      <c r="I448" s="84" t="str" cm="1">
        <f t="array" ref="I448">IFERROR(VLOOKUP($A448,'The List'!$B1:$AS671,16,FALSE)," ")</f>
        <v xml:space="preserve"> </v>
      </c>
      <c r="J448" s="84" t="str" cm="1">
        <f t="array" ref="J448">IFERROR(VLOOKUP($A448,'The List'!$B1:$AS671,17,FALSE)," ")</f>
        <v xml:space="preserve"> </v>
      </c>
      <c r="K448" s="84" t="str" cm="1">
        <f t="array" ref="K448">IFERROR(VLOOKUP($A448,'The List'!$B1:$AS671,18,FALSE)," ")</f>
        <v xml:space="preserve"> </v>
      </c>
      <c r="L448" s="84" t="str" cm="1">
        <f t="array" ref="L448">IFERROR(VLOOKUP($A448,'The List'!$B1:$AS671,19,FALSE)," ")</f>
        <v xml:space="preserve"> </v>
      </c>
      <c r="M448" s="84" t="str" cm="1">
        <f t="array" ref="M448">IFERROR(VLOOKUP($A448,'The List'!$B1:$AS671,20,FALSE)," ")</f>
        <v xml:space="preserve"> </v>
      </c>
      <c r="N448" s="84" t="str" cm="1">
        <f t="array" ref="N448">IFERROR(VLOOKUP($A448,'The List'!$B1:$AS671,21,FALSE)," ")</f>
        <v xml:space="preserve"> </v>
      </c>
      <c r="O448" s="84" t="str" cm="1">
        <f t="array" ref="O448">IFERROR(VLOOKUP($A448,'The List'!$B1:$AS671,22,FALSE)," ")</f>
        <v xml:space="preserve"> </v>
      </c>
      <c r="P448" s="84" t="str" cm="1">
        <f t="array" ref="P448">IFERROR(VLOOKUP($A448,'The List'!$B1:$AS671,23,FALSE)," ")</f>
        <v xml:space="preserve"> </v>
      </c>
      <c r="Q448" s="84" t="str" cm="1">
        <f t="array" ref="Q448">IFERROR(VLOOKUP($A448,'The List'!$B1:$AS671,24,FALSE)," ")</f>
        <v xml:space="preserve"> </v>
      </c>
      <c r="R448" s="84" t="str" cm="1">
        <f t="array" ref="R448">IFERROR(VLOOKUP($A448,'The List'!$B1:$AS671,25,FALSE)," ")</f>
        <v xml:space="preserve"> </v>
      </c>
      <c r="S448" s="84" t="str" cm="1">
        <f t="array" ref="S448">IFERROR(VLOOKUP($A448,'The List'!$B1:$AS671,26,FALSE)," ")</f>
        <v xml:space="preserve"> </v>
      </c>
      <c r="T448" s="84" t="str" cm="1">
        <f t="array" ref="T448">IFERROR(VLOOKUP($A448,'The List'!$B1:$AS671,27,FALSE)," ")</f>
        <v xml:space="preserve"> </v>
      </c>
      <c r="U448" s="84" t="str" cm="1">
        <f t="array" ref="U448">IFERROR(VLOOKUP($A448,'The List'!$B1:$AS671,28,FALSE)," ")</f>
        <v xml:space="preserve"> </v>
      </c>
      <c r="V448" s="84" t="str" cm="1">
        <f t="array" ref="V448">IFERROR(VLOOKUP($A448,'The List'!$B1:$AS671,29,FALSE)," ")</f>
        <v xml:space="preserve"> </v>
      </c>
      <c r="W448" s="84" t="str" cm="1">
        <f t="array" ref="W448">IFERROR(VLOOKUP($A448,'The List'!$B1:$AS671,30,FALSE)," ")</f>
        <v xml:space="preserve"> </v>
      </c>
      <c r="X448" s="84" t="str" cm="1">
        <f t="array" ref="X448">IFERROR(VLOOKUP($A448,'The List'!$B1:$AS671,31,FALSE)," ")</f>
        <v xml:space="preserve"> </v>
      </c>
      <c r="Y448" s="84" t="str" cm="1">
        <f t="array" ref="Y448">IFERROR(VLOOKUP($A448,'The List'!$B1:$AS671,32,FALSE)," ")</f>
        <v xml:space="preserve"> </v>
      </c>
      <c r="Z448" s="84" t="str" cm="1">
        <f t="array" ref="Z448">IFERROR(VLOOKUP($A448,'The List'!$B1:$AS671,33,FALSE)," ")</f>
        <v xml:space="preserve"> </v>
      </c>
      <c r="AA448" s="85"/>
      <c r="AB448" s="90"/>
      <c r="AC448" s="90"/>
      <c r="AD448" s="90"/>
      <c r="AE448" s="90"/>
      <c r="AF448" s="90"/>
    </row>
    <row r="449" spans="1:32" ht="21.25" customHeight="1" x14ac:dyDescent="0.15">
      <c r="A449" s="24"/>
      <c r="B449" s="99" t="str" cm="1">
        <f t="array" ref="B449">IFERROR(VLOOKUP($A449,'The List'!$B1:$AS671,3,FALSE)," ")</f>
        <v xml:space="preserve"> </v>
      </c>
      <c r="C449" s="101" t="str" cm="1">
        <f t="array" ref="C449">IFERROR(VLOOKUP($A449,'The List'!$B1:$AS671,4,FALSE)," ")</f>
        <v xml:space="preserve"> </v>
      </c>
      <c r="D449" s="18" t="str" cm="1">
        <f t="array" ref="D449">IFERROR(VLOOKUP($A449,'The List'!$B1:$AS671,5,FALSE)," ")</f>
        <v xml:space="preserve"> </v>
      </c>
      <c r="E449" s="18" t="str" cm="1">
        <f t="array" ref="E449">IFERROR(VLOOKUP($A449,'The List'!$B1:$AS671,6,FALSE)," ")</f>
        <v xml:space="preserve"> </v>
      </c>
      <c r="F449" s="92" t="str" cm="1">
        <f t="array" ref="F449">IFERROR(VLOOKUP($A449,'The List'!$B1:$AS671,8,FALSE)," ")</f>
        <v xml:space="preserve"> </v>
      </c>
      <c r="G449" s="92" t="str" cm="1">
        <f t="array" ref="G449">IFERROR(VLOOKUP($A449,'The List'!$B1:$AS671,10,FALSE)," ")</f>
        <v xml:space="preserve"> </v>
      </c>
      <c r="H449" s="55"/>
      <c r="I449" s="84" t="str" cm="1">
        <f t="array" ref="I449">IFERROR(VLOOKUP($A449,'The List'!$B1:$AS671,16,FALSE)," ")</f>
        <v xml:space="preserve"> </v>
      </c>
      <c r="J449" s="84" t="str" cm="1">
        <f t="array" ref="J449">IFERROR(VLOOKUP($A449,'The List'!$B1:$AS671,17,FALSE)," ")</f>
        <v xml:space="preserve"> </v>
      </c>
      <c r="K449" s="84" t="str" cm="1">
        <f t="array" ref="K449">IFERROR(VLOOKUP($A449,'The List'!$B1:$AS671,18,FALSE)," ")</f>
        <v xml:space="preserve"> </v>
      </c>
      <c r="L449" s="84" t="str" cm="1">
        <f t="array" ref="L449">IFERROR(VLOOKUP($A449,'The List'!$B1:$AS671,19,FALSE)," ")</f>
        <v xml:space="preserve"> </v>
      </c>
      <c r="M449" s="84" t="str" cm="1">
        <f t="array" ref="M449">IFERROR(VLOOKUP($A449,'The List'!$B1:$AS671,20,FALSE)," ")</f>
        <v xml:space="preserve"> </v>
      </c>
      <c r="N449" s="84" t="str" cm="1">
        <f t="array" ref="N449">IFERROR(VLOOKUP($A449,'The List'!$B1:$AS671,21,FALSE)," ")</f>
        <v xml:space="preserve"> </v>
      </c>
      <c r="O449" s="84" t="str" cm="1">
        <f t="array" ref="O449">IFERROR(VLOOKUP($A449,'The List'!$B1:$AS671,22,FALSE)," ")</f>
        <v xml:space="preserve"> </v>
      </c>
      <c r="P449" s="84" t="str" cm="1">
        <f t="array" ref="P449">IFERROR(VLOOKUP($A449,'The List'!$B1:$AS671,23,FALSE)," ")</f>
        <v xml:space="preserve"> </v>
      </c>
      <c r="Q449" s="84" t="str" cm="1">
        <f t="array" ref="Q449">IFERROR(VLOOKUP($A449,'The List'!$B1:$AS671,24,FALSE)," ")</f>
        <v xml:space="preserve"> </v>
      </c>
      <c r="R449" s="84" t="str" cm="1">
        <f t="array" ref="R449">IFERROR(VLOOKUP($A449,'The List'!$B1:$AS671,25,FALSE)," ")</f>
        <v xml:space="preserve"> </v>
      </c>
      <c r="S449" s="84" t="str" cm="1">
        <f t="array" ref="S449">IFERROR(VLOOKUP($A449,'The List'!$B1:$AS671,26,FALSE)," ")</f>
        <v xml:space="preserve"> </v>
      </c>
      <c r="T449" s="84" t="str" cm="1">
        <f t="array" ref="T449">IFERROR(VLOOKUP($A449,'The List'!$B1:$AS671,27,FALSE)," ")</f>
        <v xml:space="preserve"> </v>
      </c>
      <c r="U449" s="84" t="str" cm="1">
        <f t="array" ref="U449">IFERROR(VLOOKUP($A449,'The List'!$B1:$AS671,28,FALSE)," ")</f>
        <v xml:space="preserve"> </v>
      </c>
      <c r="V449" s="84" t="str" cm="1">
        <f t="array" ref="V449">IFERROR(VLOOKUP($A449,'The List'!$B1:$AS671,29,FALSE)," ")</f>
        <v xml:space="preserve"> </v>
      </c>
      <c r="W449" s="84" t="str" cm="1">
        <f t="array" ref="W449">IFERROR(VLOOKUP($A449,'The List'!$B1:$AS671,30,FALSE)," ")</f>
        <v xml:space="preserve"> </v>
      </c>
      <c r="X449" s="84" t="str" cm="1">
        <f t="array" ref="X449">IFERROR(VLOOKUP($A449,'The List'!$B1:$AS671,31,FALSE)," ")</f>
        <v xml:space="preserve"> </v>
      </c>
      <c r="Y449" s="84" t="str" cm="1">
        <f t="array" ref="Y449">IFERROR(VLOOKUP($A449,'The List'!$B1:$AS671,32,FALSE)," ")</f>
        <v xml:space="preserve"> </v>
      </c>
      <c r="Z449" s="84" t="str" cm="1">
        <f t="array" ref="Z449">IFERROR(VLOOKUP($A449,'The List'!$B1:$AS671,33,FALSE)," ")</f>
        <v xml:space="preserve"> </v>
      </c>
      <c r="AA449" s="85"/>
      <c r="AB449" s="90"/>
      <c r="AC449" s="90"/>
      <c r="AD449" s="90"/>
      <c r="AE449" s="90"/>
      <c r="AF449" s="90"/>
    </row>
    <row r="450" spans="1:32" ht="21.25" customHeight="1" x14ac:dyDescent="0.15">
      <c r="A450" s="24"/>
      <c r="B450" s="99" t="str" cm="1">
        <f t="array" ref="B450">IFERROR(VLOOKUP($A450,'The List'!$B1:$AS671,3,FALSE)," ")</f>
        <v xml:space="preserve"> </v>
      </c>
      <c r="C450" s="101" t="str" cm="1">
        <f t="array" ref="C450">IFERROR(VLOOKUP($A450,'The List'!$B1:$AS671,4,FALSE)," ")</f>
        <v xml:space="preserve"> </v>
      </c>
      <c r="D450" s="18" t="str" cm="1">
        <f t="array" ref="D450">IFERROR(VLOOKUP($A450,'The List'!$B1:$AS671,5,FALSE)," ")</f>
        <v xml:space="preserve"> </v>
      </c>
      <c r="E450" s="18" t="str" cm="1">
        <f t="array" ref="E450">IFERROR(VLOOKUP($A450,'The List'!$B1:$AS671,6,FALSE)," ")</f>
        <v xml:space="preserve"> </v>
      </c>
      <c r="F450" s="92" t="str" cm="1">
        <f t="array" ref="F450">IFERROR(VLOOKUP($A450,'The List'!$B1:$AS671,8,FALSE)," ")</f>
        <v xml:space="preserve"> </v>
      </c>
      <c r="G450" s="92" t="str" cm="1">
        <f t="array" ref="G450">IFERROR(VLOOKUP($A450,'The List'!$B1:$AS671,10,FALSE)," ")</f>
        <v xml:space="preserve"> </v>
      </c>
      <c r="H450" s="55"/>
      <c r="I450" s="84" t="str" cm="1">
        <f t="array" ref="I450">IFERROR(VLOOKUP($A450,'The List'!$B1:$AS671,16,FALSE)," ")</f>
        <v xml:space="preserve"> </v>
      </c>
      <c r="J450" s="84" t="str" cm="1">
        <f t="array" ref="J450">IFERROR(VLOOKUP($A450,'The List'!$B1:$AS671,17,FALSE)," ")</f>
        <v xml:space="preserve"> </v>
      </c>
      <c r="K450" s="84" t="str" cm="1">
        <f t="array" ref="K450">IFERROR(VLOOKUP($A450,'The List'!$B1:$AS671,18,FALSE)," ")</f>
        <v xml:space="preserve"> </v>
      </c>
      <c r="L450" s="84" t="str" cm="1">
        <f t="array" ref="L450">IFERROR(VLOOKUP($A450,'The List'!$B1:$AS671,19,FALSE)," ")</f>
        <v xml:space="preserve"> </v>
      </c>
      <c r="M450" s="84" t="str" cm="1">
        <f t="array" ref="M450">IFERROR(VLOOKUP($A450,'The List'!$B1:$AS671,20,FALSE)," ")</f>
        <v xml:space="preserve"> </v>
      </c>
      <c r="N450" s="84" t="str" cm="1">
        <f t="array" ref="N450">IFERROR(VLOOKUP($A450,'The List'!$B1:$AS671,21,FALSE)," ")</f>
        <v xml:space="preserve"> </v>
      </c>
      <c r="O450" s="84" t="str" cm="1">
        <f t="array" ref="O450">IFERROR(VLOOKUP($A450,'The List'!$B1:$AS671,22,FALSE)," ")</f>
        <v xml:space="preserve"> </v>
      </c>
      <c r="P450" s="84" t="str" cm="1">
        <f t="array" ref="P450">IFERROR(VLOOKUP($A450,'The List'!$B1:$AS671,23,FALSE)," ")</f>
        <v xml:space="preserve"> </v>
      </c>
      <c r="Q450" s="84" t="str" cm="1">
        <f t="array" ref="Q450">IFERROR(VLOOKUP($A450,'The List'!$B1:$AS671,24,FALSE)," ")</f>
        <v xml:space="preserve"> </v>
      </c>
      <c r="R450" s="84" t="str" cm="1">
        <f t="array" ref="R450">IFERROR(VLOOKUP($A450,'The List'!$B1:$AS671,25,FALSE)," ")</f>
        <v xml:space="preserve"> </v>
      </c>
      <c r="S450" s="84" t="str" cm="1">
        <f t="array" ref="S450">IFERROR(VLOOKUP($A450,'The List'!$B1:$AS671,26,FALSE)," ")</f>
        <v xml:space="preserve"> </v>
      </c>
      <c r="T450" s="84" t="str" cm="1">
        <f t="array" ref="T450">IFERROR(VLOOKUP($A450,'The List'!$B1:$AS671,27,FALSE)," ")</f>
        <v xml:space="preserve"> </v>
      </c>
      <c r="U450" s="84" t="str" cm="1">
        <f t="array" ref="U450">IFERROR(VLOOKUP($A450,'The List'!$B1:$AS671,28,FALSE)," ")</f>
        <v xml:space="preserve"> </v>
      </c>
      <c r="V450" s="84" t="str" cm="1">
        <f t="array" ref="V450">IFERROR(VLOOKUP($A450,'The List'!$B1:$AS671,29,FALSE)," ")</f>
        <v xml:space="preserve"> </v>
      </c>
      <c r="W450" s="84" t="str" cm="1">
        <f t="array" ref="W450">IFERROR(VLOOKUP($A450,'The List'!$B1:$AS671,30,FALSE)," ")</f>
        <v xml:space="preserve"> </v>
      </c>
      <c r="X450" s="84" t="str" cm="1">
        <f t="array" ref="X450">IFERROR(VLOOKUP($A450,'The List'!$B1:$AS671,31,FALSE)," ")</f>
        <v xml:space="preserve"> </v>
      </c>
      <c r="Y450" s="84" t="str" cm="1">
        <f t="array" ref="Y450">IFERROR(VLOOKUP($A450,'The List'!$B1:$AS671,32,FALSE)," ")</f>
        <v xml:space="preserve"> </v>
      </c>
      <c r="Z450" s="84" t="str" cm="1">
        <f t="array" ref="Z450">IFERROR(VLOOKUP($A450,'The List'!$B1:$AS671,33,FALSE)," ")</f>
        <v xml:space="preserve"> </v>
      </c>
      <c r="AA450" s="85"/>
      <c r="AB450" s="90"/>
      <c r="AC450" s="90"/>
      <c r="AD450" s="90"/>
      <c r="AE450" s="90"/>
      <c r="AF450" s="90"/>
    </row>
    <row r="451" spans="1:32" ht="21.25" customHeight="1" x14ac:dyDescent="0.15">
      <c r="A451" s="24"/>
      <c r="B451" s="99" t="str" cm="1">
        <f t="array" ref="B451">IFERROR(VLOOKUP($A451,'The List'!$B1:$AS671,3,FALSE)," ")</f>
        <v xml:space="preserve"> </v>
      </c>
      <c r="C451" s="101" t="str" cm="1">
        <f t="array" ref="C451">IFERROR(VLOOKUP($A451,'The List'!$B1:$AS671,4,FALSE)," ")</f>
        <v xml:space="preserve"> </v>
      </c>
      <c r="D451" s="18" t="str" cm="1">
        <f t="array" ref="D451">IFERROR(VLOOKUP($A451,'The List'!$B1:$AS671,5,FALSE)," ")</f>
        <v xml:space="preserve"> </v>
      </c>
      <c r="E451" s="18" t="str" cm="1">
        <f t="array" ref="E451">IFERROR(VLOOKUP($A451,'The List'!$B1:$AS671,6,FALSE)," ")</f>
        <v xml:space="preserve"> </v>
      </c>
      <c r="F451" s="92" t="str" cm="1">
        <f t="array" ref="F451">IFERROR(VLOOKUP($A451,'The List'!$B1:$AS671,8,FALSE)," ")</f>
        <v xml:space="preserve"> </v>
      </c>
      <c r="G451" s="92" t="str" cm="1">
        <f t="array" ref="G451">IFERROR(VLOOKUP($A451,'The List'!$B1:$AS671,10,FALSE)," ")</f>
        <v xml:space="preserve"> </v>
      </c>
      <c r="H451" s="55"/>
      <c r="I451" s="84" t="str" cm="1">
        <f t="array" ref="I451">IFERROR(VLOOKUP($A451,'The List'!$B1:$AS671,16,FALSE)," ")</f>
        <v xml:space="preserve"> </v>
      </c>
      <c r="J451" s="84" t="str" cm="1">
        <f t="array" ref="J451">IFERROR(VLOOKUP($A451,'The List'!$B1:$AS671,17,FALSE)," ")</f>
        <v xml:space="preserve"> </v>
      </c>
      <c r="K451" s="84" t="str" cm="1">
        <f t="array" ref="K451">IFERROR(VLOOKUP($A451,'The List'!$B1:$AS671,18,FALSE)," ")</f>
        <v xml:space="preserve"> </v>
      </c>
      <c r="L451" s="84" t="str" cm="1">
        <f t="array" ref="L451">IFERROR(VLOOKUP($A451,'The List'!$B1:$AS671,19,FALSE)," ")</f>
        <v xml:space="preserve"> </v>
      </c>
      <c r="M451" s="84" t="str" cm="1">
        <f t="array" ref="M451">IFERROR(VLOOKUP($A451,'The List'!$B1:$AS671,20,FALSE)," ")</f>
        <v xml:space="preserve"> </v>
      </c>
      <c r="N451" s="84" t="str" cm="1">
        <f t="array" ref="N451">IFERROR(VLOOKUP($A451,'The List'!$B1:$AS671,21,FALSE)," ")</f>
        <v xml:space="preserve"> </v>
      </c>
      <c r="O451" s="84" t="str" cm="1">
        <f t="array" ref="O451">IFERROR(VLOOKUP($A451,'The List'!$B1:$AS671,22,FALSE)," ")</f>
        <v xml:space="preserve"> </v>
      </c>
      <c r="P451" s="84" t="str" cm="1">
        <f t="array" ref="P451">IFERROR(VLOOKUP($A451,'The List'!$B1:$AS671,23,FALSE)," ")</f>
        <v xml:space="preserve"> </v>
      </c>
      <c r="Q451" s="84" t="str" cm="1">
        <f t="array" ref="Q451">IFERROR(VLOOKUP($A451,'The List'!$B1:$AS671,24,FALSE)," ")</f>
        <v xml:space="preserve"> </v>
      </c>
      <c r="R451" s="84" t="str" cm="1">
        <f t="array" ref="R451">IFERROR(VLOOKUP($A451,'The List'!$B1:$AS671,25,FALSE)," ")</f>
        <v xml:space="preserve"> </v>
      </c>
      <c r="S451" s="84" t="str" cm="1">
        <f t="array" ref="S451">IFERROR(VLOOKUP($A451,'The List'!$B1:$AS671,26,FALSE)," ")</f>
        <v xml:space="preserve"> </v>
      </c>
      <c r="T451" s="84" t="str" cm="1">
        <f t="array" ref="T451">IFERROR(VLOOKUP($A451,'The List'!$B1:$AS671,27,FALSE)," ")</f>
        <v xml:space="preserve"> </v>
      </c>
      <c r="U451" s="84" t="str" cm="1">
        <f t="array" ref="U451">IFERROR(VLOOKUP($A451,'The List'!$B1:$AS671,28,FALSE)," ")</f>
        <v xml:space="preserve"> </v>
      </c>
      <c r="V451" s="84" t="str" cm="1">
        <f t="array" ref="V451">IFERROR(VLOOKUP($A451,'The List'!$B1:$AS671,29,FALSE)," ")</f>
        <v xml:space="preserve"> </v>
      </c>
      <c r="W451" s="84" t="str" cm="1">
        <f t="array" ref="W451">IFERROR(VLOOKUP($A451,'The List'!$B1:$AS671,30,FALSE)," ")</f>
        <v xml:space="preserve"> </v>
      </c>
      <c r="X451" s="84" t="str" cm="1">
        <f t="array" ref="X451">IFERROR(VLOOKUP($A451,'The List'!$B1:$AS671,31,FALSE)," ")</f>
        <v xml:space="preserve"> </v>
      </c>
      <c r="Y451" s="84" t="str" cm="1">
        <f t="array" ref="Y451">IFERROR(VLOOKUP($A451,'The List'!$B1:$AS671,32,FALSE)," ")</f>
        <v xml:space="preserve"> </v>
      </c>
      <c r="Z451" s="84" t="str" cm="1">
        <f t="array" ref="Z451">IFERROR(VLOOKUP($A451,'The List'!$B1:$AS671,33,FALSE)," ")</f>
        <v xml:space="preserve"> </v>
      </c>
      <c r="AA451" s="85"/>
      <c r="AB451" s="90"/>
      <c r="AC451" s="90"/>
      <c r="AD451" s="90"/>
      <c r="AE451" s="90"/>
      <c r="AF451" s="90"/>
    </row>
    <row r="452" spans="1:32" ht="21.25" customHeight="1" x14ac:dyDescent="0.15">
      <c r="A452" s="24"/>
      <c r="B452" s="99" t="str" cm="1">
        <f t="array" ref="B452">IFERROR(VLOOKUP($A452,'The List'!$B1:$AS671,3,FALSE)," ")</f>
        <v xml:space="preserve"> </v>
      </c>
      <c r="C452" s="101" t="str" cm="1">
        <f t="array" ref="C452">IFERROR(VLOOKUP($A452,'The List'!$B1:$AS671,4,FALSE)," ")</f>
        <v xml:space="preserve"> </v>
      </c>
      <c r="D452" s="18" t="str" cm="1">
        <f t="array" ref="D452">IFERROR(VLOOKUP($A452,'The List'!$B1:$AS671,5,FALSE)," ")</f>
        <v xml:space="preserve"> </v>
      </c>
      <c r="E452" s="18" t="str" cm="1">
        <f t="array" ref="E452">IFERROR(VLOOKUP($A452,'The List'!$B1:$AS671,6,FALSE)," ")</f>
        <v xml:space="preserve"> </v>
      </c>
      <c r="F452" s="92" t="str" cm="1">
        <f t="array" ref="F452">IFERROR(VLOOKUP($A452,'The List'!$B1:$AS671,8,FALSE)," ")</f>
        <v xml:space="preserve"> </v>
      </c>
      <c r="G452" s="92" t="str" cm="1">
        <f t="array" ref="G452">IFERROR(VLOOKUP($A452,'The List'!$B1:$AS671,10,FALSE)," ")</f>
        <v xml:space="preserve"> </v>
      </c>
      <c r="H452" s="55"/>
      <c r="I452" s="84" t="str" cm="1">
        <f t="array" ref="I452">IFERROR(VLOOKUP($A452,'The List'!$B1:$AS671,16,FALSE)," ")</f>
        <v xml:space="preserve"> </v>
      </c>
      <c r="J452" s="84" t="str" cm="1">
        <f t="array" ref="J452">IFERROR(VLOOKUP($A452,'The List'!$B1:$AS671,17,FALSE)," ")</f>
        <v xml:space="preserve"> </v>
      </c>
      <c r="K452" s="84" t="str" cm="1">
        <f t="array" ref="K452">IFERROR(VLOOKUP($A452,'The List'!$B1:$AS671,18,FALSE)," ")</f>
        <v xml:space="preserve"> </v>
      </c>
      <c r="L452" s="84" t="str" cm="1">
        <f t="array" ref="L452">IFERROR(VLOOKUP($A452,'The List'!$B1:$AS671,19,FALSE)," ")</f>
        <v xml:space="preserve"> </v>
      </c>
      <c r="M452" s="84" t="str" cm="1">
        <f t="array" ref="M452">IFERROR(VLOOKUP($A452,'The List'!$B1:$AS671,20,FALSE)," ")</f>
        <v xml:space="preserve"> </v>
      </c>
      <c r="N452" s="84" t="str" cm="1">
        <f t="array" ref="N452">IFERROR(VLOOKUP($A452,'The List'!$B1:$AS671,21,FALSE)," ")</f>
        <v xml:space="preserve"> </v>
      </c>
      <c r="O452" s="84" t="str" cm="1">
        <f t="array" ref="O452">IFERROR(VLOOKUP($A452,'The List'!$B1:$AS671,22,FALSE)," ")</f>
        <v xml:space="preserve"> </v>
      </c>
      <c r="P452" s="84" t="str" cm="1">
        <f t="array" ref="P452">IFERROR(VLOOKUP($A452,'The List'!$B1:$AS671,23,FALSE)," ")</f>
        <v xml:space="preserve"> </v>
      </c>
      <c r="Q452" s="84" t="str" cm="1">
        <f t="array" ref="Q452">IFERROR(VLOOKUP($A452,'The List'!$B1:$AS671,24,FALSE)," ")</f>
        <v xml:space="preserve"> </v>
      </c>
      <c r="R452" s="84" t="str" cm="1">
        <f t="array" ref="R452">IFERROR(VLOOKUP($A452,'The List'!$B1:$AS671,25,FALSE)," ")</f>
        <v xml:space="preserve"> </v>
      </c>
      <c r="S452" s="84" t="str" cm="1">
        <f t="array" ref="S452">IFERROR(VLOOKUP($A452,'The List'!$B1:$AS671,26,FALSE)," ")</f>
        <v xml:space="preserve"> </v>
      </c>
      <c r="T452" s="84" t="str" cm="1">
        <f t="array" ref="T452">IFERROR(VLOOKUP($A452,'The List'!$B1:$AS671,27,FALSE)," ")</f>
        <v xml:space="preserve"> </v>
      </c>
      <c r="U452" s="84" t="str" cm="1">
        <f t="array" ref="U452">IFERROR(VLOOKUP($A452,'The List'!$B1:$AS671,28,FALSE)," ")</f>
        <v xml:space="preserve"> </v>
      </c>
      <c r="V452" s="84" t="str" cm="1">
        <f t="array" ref="V452">IFERROR(VLOOKUP($A452,'The List'!$B1:$AS671,29,FALSE)," ")</f>
        <v xml:space="preserve"> </v>
      </c>
      <c r="W452" s="84" t="str" cm="1">
        <f t="array" ref="W452">IFERROR(VLOOKUP($A452,'The List'!$B1:$AS671,30,FALSE)," ")</f>
        <v xml:space="preserve"> </v>
      </c>
      <c r="X452" s="84" t="str" cm="1">
        <f t="array" ref="X452">IFERROR(VLOOKUP($A452,'The List'!$B1:$AS671,31,FALSE)," ")</f>
        <v xml:space="preserve"> </v>
      </c>
      <c r="Y452" s="84" t="str" cm="1">
        <f t="array" ref="Y452">IFERROR(VLOOKUP($A452,'The List'!$B1:$AS671,32,FALSE)," ")</f>
        <v xml:space="preserve"> </v>
      </c>
      <c r="Z452" s="84" t="str" cm="1">
        <f t="array" ref="Z452">IFERROR(VLOOKUP($A452,'The List'!$B1:$AS671,33,FALSE)," ")</f>
        <v xml:space="preserve"> </v>
      </c>
      <c r="AA452" s="85"/>
      <c r="AB452" s="90"/>
      <c r="AC452" s="90"/>
      <c r="AD452" s="90"/>
      <c r="AE452" s="90"/>
      <c r="AF452" s="90"/>
    </row>
    <row r="453" spans="1:32" ht="21.25" customHeight="1" x14ac:dyDescent="0.15">
      <c r="A453" s="24"/>
      <c r="B453" s="99" t="str" cm="1">
        <f t="array" ref="B453">IFERROR(VLOOKUP($A453,'The List'!$B1:$AS671,3,FALSE)," ")</f>
        <v xml:space="preserve"> </v>
      </c>
      <c r="C453" s="101" t="str" cm="1">
        <f t="array" ref="C453">IFERROR(VLOOKUP($A453,'The List'!$B1:$AS671,4,FALSE)," ")</f>
        <v xml:space="preserve"> </v>
      </c>
      <c r="D453" s="18" t="str" cm="1">
        <f t="array" ref="D453">IFERROR(VLOOKUP($A453,'The List'!$B1:$AS671,5,FALSE)," ")</f>
        <v xml:space="preserve"> </v>
      </c>
      <c r="E453" s="18" t="str" cm="1">
        <f t="array" ref="E453">IFERROR(VLOOKUP($A453,'The List'!$B1:$AS671,6,FALSE)," ")</f>
        <v xml:space="preserve"> </v>
      </c>
      <c r="F453" s="92" t="str" cm="1">
        <f t="array" ref="F453">IFERROR(VLOOKUP($A453,'The List'!$B1:$AS671,8,FALSE)," ")</f>
        <v xml:space="preserve"> </v>
      </c>
      <c r="G453" s="92" t="str" cm="1">
        <f t="array" ref="G453">IFERROR(VLOOKUP($A453,'The List'!$B1:$AS671,10,FALSE)," ")</f>
        <v xml:space="preserve"> </v>
      </c>
      <c r="H453" s="55"/>
      <c r="I453" s="84" t="str" cm="1">
        <f t="array" ref="I453">IFERROR(VLOOKUP($A453,'The List'!$B1:$AS671,16,FALSE)," ")</f>
        <v xml:space="preserve"> </v>
      </c>
      <c r="J453" s="84" t="str" cm="1">
        <f t="array" ref="J453">IFERROR(VLOOKUP($A453,'The List'!$B1:$AS671,17,FALSE)," ")</f>
        <v xml:space="preserve"> </v>
      </c>
      <c r="K453" s="84" t="str" cm="1">
        <f t="array" ref="K453">IFERROR(VLOOKUP($A453,'The List'!$B1:$AS671,18,FALSE)," ")</f>
        <v xml:space="preserve"> </v>
      </c>
      <c r="L453" s="84" t="str" cm="1">
        <f t="array" ref="L453">IFERROR(VLOOKUP($A453,'The List'!$B1:$AS671,19,FALSE)," ")</f>
        <v xml:space="preserve"> </v>
      </c>
      <c r="M453" s="84" t="str" cm="1">
        <f t="array" ref="M453">IFERROR(VLOOKUP($A453,'The List'!$B1:$AS671,20,FALSE)," ")</f>
        <v xml:space="preserve"> </v>
      </c>
      <c r="N453" s="84" t="str" cm="1">
        <f t="array" ref="N453">IFERROR(VLOOKUP($A453,'The List'!$B1:$AS671,21,FALSE)," ")</f>
        <v xml:space="preserve"> </v>
      </c>
      <c r="O453" s="84" t="str" cm="1">
        <f t="array" ref="O453">IFERROR(VLOOKUP($A453,'The List'!$B1:$AS671,22,FALSE)," ")</f>
        <v xml:space="preserve"> </v>
      </c>
      <c r="P453" s="84" t="str" cm="1">
        <f t="array" ref="P453">IFERROR(VLOOKUP($A453,'The List'!$B1:$AS671,23,FALSE)," ")</f>
        <v xml:space="preserve"> </v>
      </c>
      <c r="Q453" s="84" t="str" cm="1">
        <f t="array" ref="Q453">IFERROR(VLOOKUP($A453,'The List'!$B1:$AS671,24,FALSE)," ")</f>
        <v xml:space="preserve"> </v>
      </c>
      <c r="R453" s="84" t="str" cm="1">
        <f t="array" ref="R453">IFERROR(VLOOKUP($A453,'The List'!$B1:$AS671,25,FALSE)," ")</f>
        <v xml:space="preserve"> </v>
      </c>
      <c r="S453" s="84" t="str" cm="1">
        <f t="array" ref="S453">IFERROR(VLOOKUP($A453,'The List'!$B1:$AS671,26,FALSE)," ")</f>
        <v xml:space="preserve"> </v>
      </c>
      <c r="T453" s="84" t="str" cm="1">
        <f t="array" ref="T453">IFERROR(VLOOKUP($A453,'The List'!$B1:$AS671,27,FALSE)," ")</f>
        <v xml:space="preserve"> </v>
      </c>
      <c r="U453" s="84" t="str" cm="1">
        <f t="array" ref="U453">IFERROR(VLOOKUP($A453,'The List'!$B1:$AS671,28,FALSE)," ")</f>
        <v xml:space="preserve"> </v>
      </c>
      <c r="V453" s="84" t="str" cm="1">
        <f t="array" ref="V453">IFERROR(VLOOKUP($A453,'The List'!$B1:$AS671,29,FALSE)," ")</f>
        <v xml:space="preserve"> </v>
      </c>
      <c r="W453" s="84" t="str" cm="1">
        <f t="array" ref="W453">IFERROR(VLOOKUP($A453,'The List'!$B1:$AS671,30,FALSE)," ")</f>
        <v xml:space="preserve"> </v>
      </c>
      <c r="X453" s="84" t="str" cm="1">
        <f t="array" ref="X453">IFERROR(VLOOKUP($A453,'The List'!$B1:$AS671,31,FALSE)," ")</f>
        <v xml:space="preserve"> </v>
      </c>
      <c r="Y453" s="84" t="str" cm="1">
        <f t="array" ref="Y453">IFERROR(VLOOKUP($A453,'The List'!$B1:$AS671,32,FALSE)," ")</f>
        <v xml:space="preserve"> </v>
      </c>
      <c r="Z453" s="84" t="str" cm="1">
        <f t="array" ref="Z453">IFERROR(VLOOKUP($A453,'The List'!$B1:$AS671,33,FALSE)," ")</f>
        <v xml:space="preserve"> </v>
      </c>
      <c r="AA453" s="85"/>
      <c r="AB453" s="90"/>
      <c r="AC453" s="90"/>
      <c r="AD453" s="90"/>
      <c r="AE453" s="90"/>
      <c r="AF453" s="90"/>
    </row>
    <row r="454" spans="1:32" ht="21.25" customHeight="1" x14ac:dyDescent="0.15">
      <c r="A454" s="24"/>
      <c r="B454" s="99" t="str" cm="1">
        <f t="array" ref="B454">IFERROR(VLOOKUP($A454,'The List'!$B1:$AS671,3,FALSE)," ")</f>
        <v xml:space="preserve"> </v>
      </c>
      <c r="C454" s="101" t="str" cm="1">
        <f t="array" ref="C454">IFERROR(VLOOKUP($A454,'The List'!$B1:$AS671,4,FALSE)," ")</f>
        <v xml:space="preserve"> </v>
      </c>
      <c r="D454" s="18" t="str" cm="1">
        <f t="array" ref="D454">IFERROR(VLOOKUP($A454,'The List'!$B1:$AS671,5,FALSE)," ")</f>
        <v xml:space="preserve"> </v>
      </c>
      <c r="E454" s="18" t="str" cm="1">
        <f t="array" ref="E454">IFERROR(VLOOKUP($A454,'The List'!$B1:$AS671,6,FALSE)," ")</f>
        <v xml:space="preserve"> </v>
      </c>
      <c r="F454" s="92" t="str" cm="1">
        <f t="array" ref="F454">IFERROR(VLOOKUP($A454,'The List'!$B1:$AS671,8,FALSE)," ")</f>
        <v xml:space="preserve"> </v>
      </c>
      <c r="G454" s="92" t="str" cm="1">
        <f t="array" ref="G454">IFERROR(VLOOKUP($A454,'The List'!$B1:$AS671,10,FALSE)," ")</f>
        <v xml:space="preserve"> </v>
      </c>
      <c r="H454" s="55"/>
      <c r="I454" s="84" t="str" cm="1">
        <f t="array" ref="I454">IFERROR(VLOOKUP($A454,'The List'!$B1:$AS671,16,FALSE)," ")</f>
        <v xml:space="preserve"> </v>
      </c>
      <c r="J454" s="84" t="str" cm="1">
        <f t="array" ref="J454">IFERROR(VLOOKUP($A454,'The List'!$B1:$AS671,17,FALSE)," ")</f>
        <v xml:space="preserve"> </v>
      </c>
      <c r="K454" s="84" t="str" cm="1">
        <f t="array" ref="K454">IFERROR(VLOOKUP($A454,'The List'!$B1:$AS671,18,FALSE)," ")</f>
        <v xml:space="preserve"> </v>
      </c>
      <c r="L454" s="84" t="str" cm="1">
        <f t="array" ref="L454">IFERROR(VLOOKUP($A454,'The List'!$B1:$AS671,19,FALSE)," ")</f>
        <v xml:space="preserve"> </v>
      </c>
      <c r="M454" s="84" t="str" cm="1">
        <f t="array" ref="M454">IFERROR(VLOOKUP($A454,'The List'!$B1:$AS671,20,FALSE)," ")</f>
        <v xml:space="preserve"> </v>
      </c>
      <c r="N454" s="84" t="str" cm="1">
        <f t="array" ref="N454">IFERROR(VLOOKUP($A454,'The List'!$B1:$AS671,21,FALSE)," ")</f>
        <v xml:space="preserve"> </v>
      </c>
      <c r="O454" s="84" t="str" cm="1">
        <f t="array" ref="O454">IFERROR(VLOOKUP($A454,'The List'!$B1:$AS671,22,FALSE)," ")</f>
        <v xml:space="preserve"> </v>
      </c>
      <c r="P454" s="84" t="str" cm="1">
        <f t="array" ref="P454">IFERROR(VLOOKUP($A454,'The List'!$B1:$AS671,23,FALSE)," ")</f>
        <v xml:space="preserve"> </v>
      </c>
      <c r="Q454" s="84" t="str" cm="1">
        <f t="array" ref="Q454">IFERROR(VLOOKUP($A454,'The List'!$B1:$AS671,24,FALSE)," ")</f>
        <v xml:space="preserve"> </v>
      </c>
      <c r="R454" s="84" t="str" cm="1">
        <f t="array" ref="R454">IFERROR(VLOOKUP($A454,'The List'!$B1:$AS671,25,FALSE)," ")</f>
        <v xml:space="preserve"> </v>
      </c>
      <c r="S454" s="84" t="str" cm="1">
        <f t="array" ref="S454">IFERROR(VLOOKUP($A454,'The List'!$B1:$AS671,26,FALSE)," ")</f>
        <v xml:space="preserve"> </v>
      </c>
      <c r="T454" s="84" t="str" cm="1">
        <f t="array" ref="T454">IFERROR(VLOOKUP($A454,'The List'!$B1:$AS671,27,FALSE)," ")</f>
        <v xml:space="preserve"> </v>
      </c>
      <c r="U454" s="84" t="str" cm="1">
        <f t="array" ref="U454">IFERROR(VLOOKUP($A454,'The List'!$B1:$AS671,28,FALSE)," ")</f>
        <v xml:space="preserve"> </v>
      </c>
      <c r="V454" s="84" t="str" cm="1">
        <f t="array" ref="V454">IFERROR(VLOOKUP($A454,'The List'!$B1:$AS671,29,FALSE)," ")</f>
        <v xml:space="preserve"> </v>
      </c>
      <c r="W454" s="84" t="str" cm="1">
        <f t="array" ref="W454">IFERROR(VLOOKUP($A454,'The List'!$B1:$AS671,30,FALSE)," ")</f>
        <v xml:space="preserve"> </v>
      </c>
      <c r="X454" s="84" t="str" cm="1">
        <f t="array" ref="X454">IFERROR(VLOOKUP($A454,'The List'!$B1:$AS671,31,FALSE)," ")</f>
        <v xml:space="preserve"> </v>
      </c>
      <c r="Y454" s="84" t="str" cm="1">
        <f t="array" ref="Y454">IFERROR(VLOOKUP($A454,'The List'!$B1:$AS671,32,FALSE)," ")</f>
        <v xml:space="preserve"> </v>
      </c>
      <c r="Z454" s="84" t="str" cm="1">
        <f t="array" ref="Z454">IFERROR(VLOOKUP($A454,'The List'!$B1:$AS671,33,FALSE)," ")</f>
        <v xml:space="preserve"> </v>
      </c>
      <c r="AA454" s="85"/>
      <c r="AB454" s="90"/>
      <c r="AC454" s="90"/>
      <c r="AD454" s="90"/>
      <c r="AE454" s="90"/>
      <c r="AF454" s="90"/>
    </row>
    <row r="455" spans="1:32" ht="21.25" customHeight="1" x14ac:dyDescent="0.15">
      <c r="A455" s="24"/>
      <c r="B455" s="99" t="str" cm="1">
        <f t="array" ref="B455">IFERROR(VLOOKUP($A455,'The List'!$B1:$AS671,3,FALSE)," ")</f>
        <v xml:space="preserve"> </v>
      </c>
      <c r="C455" s="101" t="str" cm="1">
        <f t="array" ref="C455">IFERROR(VLOOKUP($A455,'The List'!$B1:$AS671,4,FALSE)," ")</f>
        <v xml:space="preserve"> </v>
      </c>
      <c r="D455" s="18" t="str" cm="1">
        <f t="array" ref="D455">IFERROR(VLOOKUP($A455,'The List'!$B1:$AS671,5,FALSE)," ")</f>
        <v xml:space="preserve"> </v>
      </c>
      <c r="E455" s="18" t="str" cm="1">
        <f t="array" ref="E455">IFERROR(VLOOKUP($A455,'The List'!$B1:$AS671,6,FALSE)," ")</f>
        <v xml:space="preserve"> </v>
      </c>
      <c r="F455" s="92" t="str" cm="1">
        <f t="array" ref="F455">IFERROR(VLOOKUP($A455,'The List'!$B1:$AS671,8,FALSE)," ")</f>
        <v xml:space="preserve"> </v>
      </c>
      <c r="G455" s="92" t="str" cm="1">
        <f t="array" ref="G455">IFERROR(VLOOKUP($A455,'The List'!$B1:$AS671,10,FALSE)," ")</f>
        <v xml:space="preserve"> </v>
      </c>
      <c r="H455" s="55"/>
      <c r="I455" s="84" t="str" cm="1">
        <f t="array" ref="I455">IFERROR(VLOOKUP($A455,'The List'!$B1:$AS671,16,FALSE)," ")</f>
        <v xml:space="preserve"> </v>
      </c>
      <c r="J455" s="84" t="str" cm="1">
        <f t="array" ref="J455">IFERROR(VLOOKUP($A455,'The List'!$B1:$AS671,17,FALSE)," ")</f>
        <v xml:space="preserve"> </v>
      </c>
      <c r="K455" s="84" t="str" cm="1">
        <f t="array" ref="K455">IFERROR(VLOOKUP($A455,'The List'!$B1:$AS671,18,FALSE)," ")</f>
        <v xml:space="preserve"> </v>
      </c>
      <c r="L455" s="84" t="str" cm="1">
        <f t="array" ref="L455">IFERROR(VLOOKUP($A455,'The List'!$B1:$AS671,19,FALSE)," ")</f>
        <v xml:space="preserve"> </v>
      </c>
      <c r="M455" s="84" t="str" cm="1">
        <f t="array" ref="M455">IFERROR(VLOOKUP($A455,'The List'!$B1:$AS671,20,FALSE)," ")</f>
        <v xml:space="preserve"> </v>
      </c>
      <c r="N455" s="84" t="str" cm="1">
        <f t="array" ref="N455">IFERROR(VLOOKUP($A455,'The List'!$B1:$AS671,21,FALSE)," ")</f>
        <v xml:space="preserve"> </v>
      </c>
      <c r="O455" s="84" t="str" cm="1">
        <f t="array" ref="O455">IFERROR(VLOOKUP($A455,'The List'!$B1:$AS671,22,FALSE)," ")</f>
        <v xml:space="preserve"> </v>
      </c>
      <c r="P455" s="84" t="str" cm="1">
        <f t="array" ref="P455">IFERROR(VLOOKUP($A455,'The List'!$B1:$AS671,23,FALSE)," ")</f>
        <v xml:space="preserve"> </v>
      </c>
      <c r="Q455" s="84" t="str" cm="1">
        <f t="array" ref="Q455">IFERROR(VLOOKUP($A455,'The List'!$B1:$AS671,24,FALSE)," ")</f>
        <v xml:space="preserve"> </v>
      </c>
      <c r="R455" s="84" t="str" cm="1">
        <f t="array" ref="R455">IFERROR(VLOOKUP($A455,'The List'!$B1:$AS671,25,FALSE)," ")</f>
        <v xml:space="preserve"> </v>
      </c>
      <c r="S455" s="84" t="str" cm="1">
        <f t="array" ref="S455">IFERROR(VLOOKUP($A455,'The List'!$B1:$AS671,26,FALSE)," ")</f>
        <v xml:space="preserve"> </v>
      </c>
      <c r="T455" s="84" t="str" cm="1">
        <f t="array" ref="T455">IFERROR(VLOOKUP($A455,'The List'!$B1:$AS671,27,FALSE)," ")</f>
        <v xml:space="preserve"> </v>
      </c>
      <c r="U455" s="84" t="str" cm="1">
        <f t="array" ref="U455">IFERROR(VLOOKUP($A455,'The List'!$B1:$AS671,28,FALSE)," ")</f>
        <v xml:space="preserve"> </v>
      </c>
      <c r="V455" s="84" t="str" cm="1">
        <f t="array" ref="V455">IFERROR(VLOOKUP($A455,'The List'!$B1:$AS671,29,FALSE)," ")</f>
        <v xml:space="preserve"> </v>
      </c>
      <c r="W455" s="84" t="str" cm="1">
        <f t="array" ref="W455">IFERROR(VLOOKUP($A455,'The List'!$B1:$AS671,30,FALSE)," ")</f>
        <v xml:space="preserve"> </v>
      </c>
      <c r="X455" s="84" t="str" cm="1">
        <f t="array" ref="X455">IFERROR(VLOOKUP($A455,'The List'!$B1:$AS671,31,FALSE)," ")</f>
        <v xml:space="preserve"> </v>
      </c>
      <c r="Y455" s="84" t="str" cm="1">
        <f t="array" ref="Y455">IFERROR(VLOOKUP($A455,'The List'!$B1:$AS671,32,FALSE)," ")</f>
        <v xml:space="preserve"> </v>
      </c>
      <c r="Z455" s="84" t="str" cm="1">
        <f t="array" ref="Z455">IFERROR(VLOOKUP($A455,'The List'!$B1:$AS671,33,FALSE)," ")</f>
        <v xml:space="preserve"> </v>
      </c>
      <c r="AA455" s="85"/>
      <c r="AB455" s="90"/>
      <c r="AC455" s="90"/>
      <c r="AD455" s="90"/>
      <c r="AE455" s="90"/>
      <c r="AF455" s="90"/>
    </row>
    <row r="456" spans="1:32" ht="21.25" customHeight="1" x14ac:dyDescent="0.15">
      <c r="A456" s="103"/>
      <c r="B456" s="104" t="str" cm="1">
        <f t="array" ref="B456">IFERROR(VLOOKUP($A456,'The List'!$B1:$AS671,3,FALSE)," ")</f>
        <v xml:space="preserve"> </v>
      </c>
      <c r="C456" s="105" t="str" cm="1">
        <f t="array" ref="C456">IFERROR(VLOOKUP($A456,'The List'!$B1:$AS671,4,FALSE)," ")</f>
        <v xml:space="preserve"> </v>
      </c>
      <c r="D456" s="106" t="str" cm="1">
        <f t="array" ref="D456">IFERROR(VLOOKUP($A456,'The List'!$B1:$AS671,5,FALSE)," ")</f>
        <v xml:space="preserve"> </v>
      </c>
      <c r="E456" s="106" t="str" cm="1">
        <f t="array" ref="E456">IFERROR(VLOOKUP($A456,'The List'!$B1:$AS671,6,FALSE)," ")</f>
        <v xml:space="preserve"> </v>
      </c>
      <c r="F456" s="107" t="str" cm="1">
        <f t="array" ref="F456">IFERROR(VLOOKUP($A456,'The List'!$B1:$AS671,8,FALSE)," ")</f>
        <v xml:space="preserve"> </v>
      </c>
      <c r="G456" s="107" t="str" cm="1">
        <f t="array" ref="G456">IFERROR(VLOOKUP($A456,'The List'!$B1:$AS671,10,FALSE)," ")</f>
        <v xml:space="preserve"> </v>
      </c>
      <c r="H456" s="108"/>
      <c r="I456" s="109" t="str" cm="1">
        <f t="array" ref="I456">IFERROR(VLOOKUP($A456,'The List'!$B1:$AS671,16,FALSE)," ")</f>
        <v xml:space="preserve"> </v>
      </c>
      <c r="J456" s="109" t="str" cm="1">
        <f t="array" ref="J456">IFERROR(VLOOKUP($A456,'The List'!$B1:$AS671,17,FALSE)," ")</f>
        <v xml:space="preserve"> </v>
      </c>
      <c r="K456" s="109" t="str" cm="1">
        <f t="array" ref="K456">IFERROR(VLOOKUP($A456,'The List'!$B1:$AS671,18,FALSE)," ")</f>
        <v xml:space="preserve"> </v>
      </c>
      <c r="L456" s="109" t="str" cm="1">
        <f t="array" ref="L456">IFERROR(VLOOKUP($A456,'The List'!$B1:$AS671,19,FALSE)," ")</f>
        <v xml:space="preserve"> </v>
      </c>
      <c r="M456" s="109" t="str" cm="1">
        <f t="array" ref="M456">IFERROR(VLOOKUP($A456,'The List'!$B1:$AS671,20,FALSE)," ")</f>
        <v xml:space="preserve"> </v>
      </c>
      <c r="N456" s="109" t="str" cm="1">
        <f t="array" ref="N456">IFERROR(VLOOKUP($A456,'The List'!$B1:$AS671,21,FALSE)," ")</f>
        <v xml:space="preserve"> </v>
      </c>
      <c r="O456" s="109" t="str" cm="1">
        <f t="array" ref="O456">IFERROR(VLOOKUP($A456,'The List'!$B1:$AS671,22,FALSE)," ")</f>
        <v xml:space="preserve"> </v>
      </c>
      <c r="P456" s="109" t="str" cm="1">
        <f t="array" ref="P456">IFERROR(VLOOKUP($A456,'The List'!$B1:$AS671,23,FALSE)," ")</f>
        <v xml:space="preserve"> </v>
      </c>
      <c r="Q456" s="109" t="str" cm="1">
        <f t="array" ref="Q456">IFERROR(VLOOKUP($A456,'The List'!$B1:$AS671,24,FALSE)," ")</f>
        <v xml:space="preserve"> </v>
      </c>
      <c r="R456" s="109" t="str" cm="1">
        <f t="array" ref="R456">IFERROR(VLOOKUP($A456,'The List'!$B1:$AS671,25,FALSE)," ")</f>
        <v xml:space="preserve"> </v>
      </c>
      <c r="S456" s="109" t="str" cm="1">
        <f t="array" ref="S456">IFERROR(VLOOKUP($A456,'The List'!$B1:$AS671,26,FALSE)," ")</f>
        <v xml:space="preserve"> </v>
      </c>
      <c r="T456" s="109" t="str" cm="1">
        <f t="array" ref="T456">IFERROR(VLOOKUP($A456,'The List'!$B1:$AS671,27,FALSE)," ")</f>
        <v xml:space="preserve"> </v>
      </c>
      <c r="U456" s="109" t="str" cm="1">
        <f t="array" ref="U456">IFERROR(VLOOKUP($A456,'The List'!$B1:$AS671,28,FALSE)," ")</f>
        <v xml:space="preserve"> </v>
      </c>
      <c r="V456" s="109" t="str" cm="1">
        <f t="array" ref="V456">IFERROR(VLOOKUP($A456,'The List'!$B1:$AS671,29,FALSE)," ")</f>
        <v xml:space="preserve"> </v>
      </c>
      <c r="W456" s="109" t="str" cm="1">
        <f t="array" ref="W456">IFERROR(VLOOKUP($A456,'The List'!$B1:$AS671,30,FALSE)," ")</f>
        <v xml:space="preserve"> </v>
      </c>
      <c r="X456" s="109" t="str" cm="1">
        <f t="array" ref="X456">IFERROR(VLOOKUP($A456,'The List'!$B1:$AS671,31,FALSE)," ")</f>
        <v xml:space="preserve"> </v>
      </c>
      <c r="Y456" s="109" t="str" cm="1">
        <f t="array" ref="Y456">IFERROR(VLOOKUP($A456,'The List'!$B1:$AS671,32,FALSE)," ")</f>
        <v xml:space="preserve"> </v>
      </c>
      <c r="Z456" s="109" t="str" cm="1">
        <f t="array" ref="Z456">IFERROR(VLOOKUP($A456,'The List'!$B1:$AS671,33,FALSE)," ")</f>
        <v xml:space="preserve"> </v>
      </c>
      <c r="AA456" s="85"/>
      <c r="AB456" s="90"/>
      <c r="AC456" s="90"/>
      <c r="AD456" s="90"/>
      <c r="AE456" s="90"/>
      <c r="AF456" s="90"/>
    </row>
    <row r="457" spans="1:32" ht="21.25" customHeight="1" x14ac:dyDescent="0.15">
      <c r="A457" s="110"/>
      <c r="B457" s="111"/>
      <c r="C457" s="112"/>
      <c r="D457" s="113"/>
      <c r="E457" s="113" t="str" cm="1">
        <f t="array" ref="E457">IFERROR(AVERAGE(E437:E456)," ")</f>
        <v xml:space="preserve"> </v>
      </c>
      <c r="F457" s="115" cm="1">
        <f t="array" ref="F457">SUM(F437:F456)</f>
        <v>0</v>
      </c>
      <c r="G457" s="115" cm="1">
        <f t="array" ref="G457">SUM(G437:G456)</f>
        <v>0</v>
      </c>
      <c r="H457" s="116"/>
      <c r="I457" s="117" cm="1">
        <f t="array" ref="I457">SUM(I437:I456)</f>
        <v>0</v>
      </c>
      <c r="J457" s="116" t="e" cm="1">
        <f t="array" ref="J457">AVERAGE(J437:J456)</f>
        <v>#DIV/0!</v>
      </c>
      <c r="K457" s="117" cm="1">
        <f t="array" ref="K457">SUM(K437:K456)</f>
        <v>0</v>
      </c>
      <c r="L457" s="117" cm="1">
        <f t="array" ref="L457">SUM(L437:L456)</f>
        <v>0</v>
      </c>
      <c r="M457" s="117" cm="1">
        <f t="array" ref="M457">SUM(M437:M456)</f>
        <v>0</v>
      </c>
      <c r="N457" s="117" cm="1">
        <f t="array" ref="N457">SUM(N437:N456)</f>
        <v>0</v>
      </c>
      <c r="O457" s="117" cm="1">
        <f t="array" ref="O457">SUM(O437:O456)</f>
        <v>0</v>
      </c>
      <c r="P457" s="117" cm="1">
        <f t="array" ref="P457">SUM(P437:P456)</f>
        <v>0</v>
      </c>
      <c r="Q457" s="117" cm="1">
        <f t="array" ref="Q457">SUM(Q437:Q456)</f>
        <v>0</v>
      </c>
      <c r="R457" s="117" cm="1">
        <f t="array" ref="R457">SUM(R437:R456)</f>
        <v>0</v>
      </c>
      <c r="S457" s="117" cm="1">
        <f t="array" ref="S457">SUM(S437:S456)</f>
        <v>0</v>
      </c>
      <c r="T457" s="117" cm="1">
        <f t="array" ref="T457">SUM(T437:T456)</f>
        <v>0</v>
      </c>
      <c r="U457" s="117" cm="1">
        <f t="array" ref="U457">SUM(U437:U456)</f>
        <v>0</v>
      </c>
      <c r="V457" s="117" cm="1">
        <f t="array" ref="V457">SUM(V437:V456)</f>
        <v>0</v>
      </c>
      <c r="W457" s="117" cm="1">
        <f t="array" ref="W457">SUM(W437:W456)</f>
        <v>0</v>
      </c>
      <c r="X457" s="117" cm="1">
        <f t="array" ref="X457">SUM(X437:X456)</f>
        <v>0</v>
      </c>
      <c r="Y457" s="117" cm="1">
        <f t="array" ref="Y457">SUM(Y437:Y456)</f>
        <v>0</v>
      </c>
      <c r="Z457" s="118" cm="1">
        <f t="array" ref="Z457">IFERROR(X457/(X457+Y457),0)</f>
        <v>0</v>
      </c>
      <c r="AA457" s="85"/>
      <c r="AB457" s="119"/>
      <c r="AC457" s="119"/>
      <c r="AD457" s="119"/>
      <c r="AE457" s="119"/>
      <c r="AF457" s="119"/>
    </row>
    <row r="458" spans="1:32" ht="21.25" customHeight="1" x14ac:dyDescent="0.15">
      <c r="A458" s="37"/>
      <c r="B458" s="120"/>
      <c r="C458" s="121"/>
      <c r="D458" s="13"/>
      <c r="E458" s="13"/>
      <c r="F458" s="122"/>
      <c r="G458" s="123"/>
      <c r="H458" s="124"/>
      <c r="I458" s="12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90"/>
      <c r="AC458" s="90"/>
      <c r="AD458" s="90"/>
      <c r="AE458" s="90"/>
      <c r="AF458" s="90"/>
    </row>
    <row r="459" spans="1:32" ht="21.25" customHeight="1" x14ac:dyDescent="0.15">
      <c r="A459" s="40" t="s">
        <v>90</v>
      </c>
      <c r="B459" s="204" t="s">
        <v>92</v>
      </c>
      <c r="C459" s="194"/>
      <c r="D459" s="126" t="s">
        <v>93</v>
      </c>
      <c r="E459" s="126" t="s">
        <v>94</v>
      </c>
      <c r="F459" s="127" t="s">
        <v>96</v>
      </c>
      <c r="G459" s="127" t="s">
        <v>98</v>
      </c>
      <c r="H459" s="128"/>
      <c r="I459" s="129" t="s">
        <v>103</v>
      </c>
      <c r="J459" s="129" t="s">
        <v>118</v>
      </c>
      <c r="K459" s="129" t="s">
        <v>119</v>
      </c>
      <c r="L459" s="129" t="s">
        <v>120</v>
      </c>
      <c r="M459" s="129" t="s">
        <v>121</v>
      </c>
      <c r="N459" s="129" t="s">
        <v>122</v>
      </c>
      <c r="O459" s="129" t="s">
        <v>123</v>
      </c>
      <c r="P459" s="129" t="s">
        <v>124</v>
      </c>
      <c r="Q459" s="129" t="s">
        <v>125</v>
      </c>
      <c r="R459" s="85"/>
      <c r="S459" s="85"/>
      <c r="T459" s="85"/>
      <c r="U459" s="204" t="s">
        <v>814</v>
      </c>
      <c r="V459" s="205"/>
      <c r="W459" s="205"/>
      <c r="X459" s="204" t="s">
        <v>815</v>
      </c>
      <c r="Y459" s="205"/>
      <c r="Z459" s="205"/>
      <c r="AA459" s="85"/>
      <c r="AB459" s="85"/>
      <c r="AC459" s="85"/>
      <c r="AD459" s="85"/>
      <c r="AE459" s="85"/>
      <c r="AF459" s="85"/>
    </row>
    <row r="460" spans="1:32" ht="21.25" customHeight="1" x14ac:dyDescent="0.15">
      <c r="A460" s="146"/>
      <c r="B460" s="131" t="str" cm="1">
        <f t="array" ref="B460">IFERROR(VLOOKUP($A460,'The List'!$B1:$AS671,3,FALSE)," ")</f>
        <v xml:space="preserve"> </v>
      </c>
      <c r="C460" s="147" t="str" cm="1">
        <f t="array" ref="C460">IFERROR(VLOOKUP($A460,'The List'!$B1:$AS671,4,FALSE)," ")</f>
        <v xml:space="preserve"> </v>
      </c>
      <c r="D460" s="133" t="str" cm="1">
        <f t="array" ref="D460">IFERROR(VLOOKUP($A460,'The List'!$B1:$AS671,5,FALSE)," ")</f>
        <v xml:space="preserve"> </v>
      </c>
      <c r="E460" s="133" t="str" cm="1">
        <f t="array" ref="E460">IFERROR(VLOOKUP($A460,'The List'!$B1:$AS671,6,FALSE)," ")</f>
        <v xml:space="preserve"> </v>
      </c>
      <c r="F460" s="148" t="str" cm="1">
        <f t="array" ref="F460">IFERROR(VLOOKUP($A460,'The List'!$B1:$AS671,8,FALSE)," ")</f>
        <v xml:space="preserve"> </v>
      </c>
      <c r="G460" s="148" t="str" cm="1">
        <f t="array" ref="G460">IFERROR(VLOOKUP($A460,'The List'!$B1:$AS671,10,FALSE)," ")</f>
        <v xml:space="preserve"> </v>
      </c>
      <c r="H460" s="82"/>
      <c r="I460" s="149" t="str" cm="1">
        <f t="array" ref="I460">IFERROR(VLOOKUP($A460,'The List'!$B1:$AS671,35,FALSE)," ")</f>
        <v xml:space="preserve"> </v>
      </c>
      <c r="J460" s="149" t="str" cm="1">
        <f t="array" ref="J460">IFERROR(VLOOKUP($A460,'The List'!$B1:$AS671,36,FALSE)," ")</f>
        <v xml:space="preserve"> </v>
      </c>
      <c r="K460" s="149" t="str" cm="1">
        <f t="array" ref="K460">IFERROR(VLOOKUP($A460,'The List'!$B1:$AS671,37,FALSE)," ")</f>
        <v xml:space="preserve"> </v>
      </c>
      <c r="L460" s="149" t="str" cm="1">
        <f t="array" ref="L460">IFERROR(VLOOKUP($A460,'The List'!$B1:$AS671,38,FALSE)," ")</f>
        <v xml:space="preserve"> </v>
      </c>
      <c r="M460" s="149" t="str" cm="1">
        <f t="array" ref="M460">IFERROR(VLOOKUP($A460,'The List'!$B1:$AS671,39,FALSE)," ")</f>
        <v xml:space="preserve"> </v>
      </c>
      <c r="N460" s="149" t="str" cm="1">
        <f t="array" ref="N460">IFERROR(VLOOKUP($A460,'The List'!$B1:$AS671,40,FALSE)," ")</f>
        <v xml:space="preserve"> </v>
      </c>
      <c r="O460" s="149" t="str" cm="1">
        <f t="array" ref="O460">IFERROR(VLOOKUP($A460,'The List'!$B1:$AS671,41,FALSE)," ")</f>
        <v xml:space="preserve"> </v>
      </c>
      <c r="P460" s="149" t="str" cm="1">
        <f t="array" ref="P460">IFERROR(VLOOKUP($A460,'The List'!$B1:$AS671,42,FALSE)," ")</f>
        <v xml:space="preserve"> </v>
      </c>
      <c r="Q460" s="149" t="str" cm="1">
        <f t="array" ref="Q460">IFERROR(VLOOKUP($A460,'The List'!$B1:$AS671,43,FALSE)," ")</f>
        <v xml:space="preserve"> </v>
      </c>
      <c r="R460" s="85"/>
      <c r="S460" s="85"/>
      <c r="T460" s="139" t="str" cm="1">
        <f t="array" ref="T460">A436</f>
        <v>TEAM 16</v>
      </c>
      <c r="U460" s="206" cm="1">
        <f t="array" ref="U460">F457+F463</f>
        <v>0</v>
      </c>
      <c r="V460" s="194"/>
      <c r="W460" s="194"/>
      <c r="X460" s="206" cm="1">
        <f t="array" ref="X460">G463+G457</f>
        <v>0</v>
      </c>
      <c r="Y460" s="194"/>
      <c r="Z460" s="194"/>
      <c r="AA460" s="85"/>
      <c r="AB460" s="85"/>
      <c r="AC460" s="85"/>
      <c r="AD460" s="85"/>
      <c r="AE460" s="85"/>
      <c r="AF460" s="85"/>
    </row>
    <row r="461" spans="1:32" ht="21.25" customHeight="1" x14ac:dyDescent="0.15">
      <c r="A461" s="24"/>
      <c r="B461" s="140" t="str" cm="1">
        <f t="array" ref="B461">IFERROR(VLOOKUP($A461,'The List'!$B1:$AS671,3,FALSE)," ")</f>
        <v xml:space="preserve"> </v>
      </c>
      <c r="C461" s="141" t="str" cm="1">
        <f t="array" ref="C461">IFERROR(VLOOKUP($A461,'The List'!$B1:$AS671,4,FALSE)," ")</f>
        <v xml:space="preserve"> </v>
      </c>
      <c r="D461" s="18" t="str" cm="1">
        <f t="array" ref="D461">IFERROR(VLOOKUP($A461,'The List'!$B1:$AS671,5,FALSE)," ")</f>
        <v xml:space="preserve"> </v>
      </c>
      <c r="E461" s="18" t="str" cm="1">
        <f t="array" ref="E461">IFERROR(VLOOKUP($A461,'The List'!$B1:$AS671,6,FALSE)," ")</f>
        <v xml:space="preserve"> </v>
      </c>
      <c r="F461" s="92" t="str" cm="1">
        <f t="array" ref="F461">IFERROR(VLOOKUP($A461,'The List'!$B1:$AS671,8,FALSE)," ")</f>
        <v xml:space="preserve"> </v>
      </c>
      <c r="G461" s="92" t="str" cm="1">
        <f t="array" ref="G461">IFERROR(VLOOKUP($A461,'The List'!$B1:$AS671,10,FALSE)," ")</f>
        <v xml:space="preserve"> </v>
      </c>
      <c r="H461" s="55"/>
      <c r="I461" s="84" t="str" cm="1">
        <f t="array" ref="I461">IFERROR(VLOOKUP($A461,'The List'!$B1:$AS671,35,FALSE)," ")</f>
        <v xml:space="preserve"> </v>
      </c>
      <c r="J461" s="84" t="str" cm="1">
        <f t="array" ref="J461">IFERROR(VLOOKUP($A461,'The List'!$B1:$AS671,36,FALSE)," ")</f>
        <v xml:space="preserve"> </v>
      </c>
      <c r="K461" s="84" t="str" cm="1">
        <f t="array" ref="K461">IFERROR(VLOOKUP($A461,'The List'!$B1:$AS671,37,FALSE)," ")</f>
        <v xml:space="preserve"> </v>
      </c>
      <c r="L461" s="84" t="str" cm="1">
        <f t="array" ref="L461">IFERROR(VLOOKUP($A461,'The List'!$B1:$AS671,38,FALSE)," ")</f>
        <v xml:space="preserve"> </v>
      </c>
      <c r="M461" s="84" t="str" cm="1">
        <f t="array" ref="M461">IFERROR(VLOOKUP($A461,'The List'!$B1:$AS671,39,FALSE)," ")</f>
        <v xml:space="preserve"> </v>
      </c>
      <c r="N461" s="84" t="str" cm="1">
        <f t="array" ref="N461">IFERROR(VLOOKUP($A461,'The List'!$B1:$AS671,40,FALSE)," ")</f>
        <v xml:space="preserve"> </v>
      </c>
      <c r="O461" s="84" t="str" cm="1">
        <f t="array" ref="O461">IFERROR(VLOOKUP($A461,'The List'!$B1:$AS671,41,FALSE)," ")</f>
        <v xml:space="preserve"> </v>
      </c>
      <c r="P461" s="84" t="str" cm="1">
        <f t="array" ref="P461">IFERROR(VLOOKUP($A461,'The List'!$B1:$AS671,42,FALSE)," ")</f>
        <v xml:space="preserve"> </v>
      </c>
      <c r="Q461" s="84" t="str" cm="1">
        <f t="array" ref="Q461">IFERROR(VLOOKUP($A461,'The List'!$B1:$AS671,43,FALSE)," ")</f>
        <v xml:space="preserve"> </v>
      </c>
      <c r="R461" s="85"/>
      <c r="S461" s="85"/>
      <c r="T461" s="85"/>
      <c r="U461" s="194"/>
      <c r="V461" s="194"/>
      <c r="W461" s="194"/>
      <c r="X461" s="194"/>
      <c r="Y461" s="194"/>
      <c r="Z461" s="194"/>
      <c r="AA461" s="85"/>
      <c r="AB461" s="85"/>
      <c r="AC461" s="85"/>
      <c r="AD461" s="85"/>
      <c r="AE461" s="85"/>
      <c r="AF461" s="85"/>
    </row>
    <row r="462" spans="1:32" ht="21.25" customHeight="1" x14ac:dyDescent="0.15">
      <c r="A462" s="103"/>
      <c r="B462" s="142" t="str" cm="1">
        <f t="array" ref="B462">IFERROR(VLOOKUP($A462,'The List'!$B1:$AS671,3,FALSE)," ")</f>
        <v xml:space="preserve"> </v>
      </c>
      <c r="C462" s="143" t="str" cm="1">
        <f t="array" ref="C462">IFERROR(VLOOKUP($A462,'The List'!$B1:$AS671,4,FALSE)," ")</f>
        <v xml:space="preserve"> </v>
      </c>
      <c r="D462" s="106" t="str" cm="1">
        <f t="array" ref="D462">IFERROR(VLOOKUP($A462,'The List'!$B1:$AS671,5,FALSE)," ")</f>
        <v xml:space="preserve"> </v>
      </c>
      <c r="E462" s="106" t="str" cm="1">
        <f t="array" ref="E462">IFERROR(VLOOKUP($A462,'The List'!$B1:$AS671,6,FALSE)," ")</f>
        <v xml:space="preserve"> </v>
      </c>
      <c r="F462" s="107" t="str" cm="1">
        <f t="array" ref="F462">IFERROR(VLOOKUP($A462,'The List'!$B1:$AS671,8,FALSE)," ")</f>
        <v xml:space="preserve"> </v>
      </c>
      <c r="G462" s="107" t="str" cm="1">
        <f t="array" ref="G462">IFERROR(VLOOKUP($A462,'The List'!$B1:$AS671,10,FALSE)," ")</f>
        <v xml:space="preserve"> </v>
      </c>
      <c r="H462" s="108"/>
      <c r="I462" s="109" t="str" cm="1">
        <f t="array" ref="I462">IFERROR(VLOOKUP($A462,'The List'!$B1:$AS671,35,FALSE)," ")</f>
        <v xml:space="preserve"> </v>
      </c>
      <c r="J462" s="109" t="str" cm="1">
        <f t="array" ref="J462">IFERROR(VLOOKUP($A462,'The List'!$B1:$AS671,36,FALSE)," ")</f>
        <v xml:space="preserve"> </v>
      </c>
      <c r="K462" s="109" t="str" cm="1">
        <f t="array" ref="K462">IFERROR(VLOOKUP($A462,'The List'!$B1:$AS671,37,FALSE)," ")</f>
        <v xml:space="preserve"> </v>
      </c>
      <c r="L462" s="109" t="str" cm="1">
        <f t="array" ref="L462">IFERROR(VLOOKUP($A462,'The List'!$B1:$AS671,38,FALSE)," ")</f>
        <v xml:space="preserve"> </v>
      </c>
      <c r="M462" s="109" t="str" cm="1">
        <f t="array" ref="M462">IFERROR(VLOOKUP($A462,'The List'!$B1:$AS671,39,FALSE)," ")</f>
        <v xml:space="preserve"> </v>
      </c>
      <c r="N462" s="109" t="str" cm="1">
        <f t="array" ref="N462">IFERROR(VLOOKUP($A462,'The List'!$B1:$AS671,40,FALSE)," ")</f>
        <v xml:space="preserve"> </v>
      </c>
      <c r="O462" s="109" t="str" cm="1">
        <f t="array" ref="O462">IFERROR(VLOOKUP($A462,'The List'!$B1:$AS671,41,FALSE)," ")</f>
        <v xml:space="preserve"> </v>
      </c>
      <c r="P462" s="109" t="str" cm="1">
        <f t="array" ref="P462">IFERROR(VLOOKUP($A462,'The List'!$B1:$AS671,42,FALSE)," ")</f>
        <v xml:space="preserve"> </v>
      </c>
      <c r="Q462" s="109" t="str" cm="1">
        <f t="array" ref="Q462">IFERROR(VLOOKUP($A462,'The List'!$B1:$AS671,43,FALSE)," ")</f>
        <v xml:space="preserve"> </v>
      </c>
      <c r="R462" s="85"/>
      <c r="S462" s="85"/>
      <c r="T462" s="85"/>
      <c r="U462" s="194"/>
      <c r="V462" s="194"/>
      <c r="W462" s="194"/>
      <c r="X462" s="194"/>
      <c r="Y462" s="194"/>
      <c r="Z462" s="194"/>
      <c r="AA462" s="85"/>
      <c r="AB462" s="85"/>
      <c r="AC462" s="85"/>
      <c r="AD462" s="85"/>
      <c r="AE462" s="85"/>
      <c r="AF462" s="85"/>
    </row>
    <row r="463" spans="1:32" ht="21.25" customHeight="1" x14ac:dyDescent="0.15">
      <c r="A463" s="110"/>
      <c r="B463" s="111"/>
      <c r="C463" s="112"/>
      <c r="D463" s="113"/>
      <c r="E463" s="113" t="str" cm="1">
        <f t="array" ref="E463">IFERROR(AVERAGE(E460:E462)," ")</f>
        <v xml:space="preserve"> </v>
      </c>
      <c r="F463" s="115" cm="1">
        <f t="array" ref="F463">SUM(F460:F462)</f>
        <v>0</v>
      </c>
      <c r="G463" s="115" cm="1">
        <f t="array" ref="G463">SUM(G460:G462)</f>
        <v>0</v>
      </c>
      <c r="H463" s="116"/>
      <c r="I463" s="117" cm="1">
        <f t="array" ref="I463">SUM(I460:I462)</f>
        <v>0</v>
      </c>
      <c r="J463" s="116" cm="1">
        <f t="array" ref="J463">SUM(J460:J462)</f>
        <v>0</v>
      </c>
      <c r="K463" s="117" cm="1">
        <f t="array" ref="K463">SUM(K460:K462)</f>
        <v>0</v>
      </c>
      <c r="L463" s="117" cm="1">
        <f t="array" ref="L463">SUM(L460:L462)</f>
        <v>0</v>
      </c>
      <c r="M463" s="117" cm="1">
        <f t="array" ref="M463">SUM(M460:M462)</f>
        <v>0</v>
      </c>
      <c r="N463" s="117" cm="1">
        <f t="array" ref="N463">SUM(N460:N462)</f>
        <v>0</v>
      </c>
      <c r="O463" s="117" cm="1">
        <f t="array" ref="O463">SUM(O460:O462)</f>
        <v>0</v>
      </c>
      <c r="P463" s="144" t="e" cm="1">
        <f t="array" ref="P463">1-(O463/(N463+O463))</f>
        <v>#DIV/0!</v>
      </c>
      <c r="Q463" s="145" t="e" cm="1">
        <f t="array" ref="Q463">O463/I463</f>
        <v>#DIV/0!</v>
      </c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</row>
    <row r="464" spans="1:32" ht="21.25" customHeight="1" x14ac:dyDescent="0.15">
      <c r="A464" s="37"/>
      <c r="B464" s="120"/>
      <c r="C464" s="121"/>
      <c r="D464" s="13"/>
      <c r="E464" s="13"/>
      <c r="F464" s="122"/>
      <c r="G464" s="123"/>
      <c r="H464" s="124"/>
      <c r="I464" s="12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90"/>
      <c r="AB464" s="90"/>
      <c r="AC464" s="90"/>
      <c r="AD464" s="90"/>
      <c r="AE464" s="90"/>
      <c r="AF464" s="90"/>
    </row>
  </sheetData>
  <mergeCells count="96">
    <mergeCell ref="U460:W462"/>
    <mergeCell ref="X459:Z459"/>
    <mergeCell ref="X460:Z462"/>
    <mergeCell ref="U431:W433"/>
    <mergeCell ref="X430:Z430"/>
    <mergeCell ref="X431:Z433"/>
    <mergeCell ref="B459:C459"/>
    <mergeCell ref="U459:W459"/>
    <mergeCell ref="U402:W404"/>
    <mergeCell ref="X401:Z401"/>
    <mergeCell ref="X402:Z404"/>
    <mergeCell ref="B430:C430"/>
    <mergeCell ref="U430:W430"/>
    <mergeCell ref="B407:C407"/>
    <mergeCell ref="B436:C436"/>
    <mergeCell ref="U373:W375"/>
    <mergeCell ref="X372:Z372"/>
    <mergeCell ref="X373:Z375"/>
    <mergeCell ref="B401:C401"/>
    <mergeCell ref="U401:W401"/>
    <mergeCell ref="B378:C378"/>
    <mergeCell ref="U344:W346"/>
    <mergeCell ref="X343:Z343"/>
    <mergeCell ref="X344:Z346"/>
    <mergeCell ref="B372:C372"/>
    <mergeCell ref="U372:W372"/>
    <mergeCell ref="B349:C349"/>
    <mergeCell ref="U315:W317"/>
    <mergeCell ref="X314:Z314"/>
    <mergeCell ref="X315:Z317"/>
    <mergeCell ref="B343:C343"/>
    <mergeCell ref="U343:W343"/>
    <mergeCell ref="B320:C320"/>
    <mergeCell ref="U286:W288"/>
    <mergeCell ref="X285:Z285"/>
    <mergeCell ref="X286:Z288"/>
    <mergeCell ref="B314:C314"/>
    <mergeCell ref="U314:W314"/>
    <mergeCell ref="B291:C291"/>
    <mergeCell ref="U257:W259"/>
    <mergeCell ref="X256:Z256"/>
    <mergeCell ref="X257:Z259"/>
    <mergeCell ref="B285:C285"/>
    <mergeCell ref="U285:W285"/>
    <mergeCell ref="B262:C262"/>
    <mergeCell ref="U228:W230"/>
    <mergeCell ref="X227:Z227"/>
    <mergeCell ref="X228:Z230"/>
    <mergeCell ref="B256:C256"/>
    <mergeCell ref="U256:W256"/>
    <mergeCell ref="B233:C233"/>
    <mergeCell ref="U199:W201"/>
    <mergeCell ref="X198:Z198"/>
    <mergeCell ref="X199:Z201"/>
    <mergeCell ref="B227:C227"/>
    <mergeCell ref="U227:W227"/>
    <mergeCell ref="B204:C204"/>
    <mergeCell ref="U170:W172"/>
    <mergeCell ref="X169:Z169"/>
    <mergeCell ref="X170:Z172"/>
    <mergeCell ref="B198:C198"/>
    <mergeCell ref="U198:W198"/>
    <mergeCell ref="B175:C175"/>
    <mergeCell ref="U141:W143"/>
    <mergeCell ref="X140:Z140"/>
    <mergeCell ref="X141:Z143"/>
    <mergeCell ref="B169:C169"/>
    <mergeCell ref="U169:W169"/>
    <mergeCell ref="U112:W114"/>
    <mergeCell ref="X111:Z111"/>
    <mergeCell ref="X112:Z114"/>
    <mergeCell ref="B140:C140"/>
    <mergeCell ref="U140:W140"/>
    <mergeCell ref="U83:W85"/>
    <mergeCell ref="X82:Z82"/>
    <mergeCell ref="X83:Z85"/>
    <mergeCell ref="B111:C111"/>
    <mergeCell ref="U111:W111"/>
    <mergeCell ref="U53:W53"/>
    <mergeCell ref="U54:W56"/>
    <mergeCell ref="X53:Z53"/>
    <mergeCell ref="X54:Z56"/>
    <mergeCell ref="B82:C82"/>
    <mergeCell ref="U82:W82"/>
    <mergeCell ref="B30:C30"/>
    <mergeCell ref="B59:C59"/>
    <mergeCell ref="B88:C88"/>
    <mergeCell ref="B117:C117"/>
    <mergeCell ref="B146:C146"/>
    <mergeCell ref="B53:C53"/>
    <mergeCell ref="B1:C1"/>
    <mergeCell ref="B24:C24"/>
    <mergeCell ref="U24:W24"/>
    <mergeCell ref="U25:W27"/>
    <mergeCell ref="X24:Z24"/>
    <mergeCell ref="X25:Z27"/>
  </mergeCells>
  <conditionalFormatting sqref="C2:C23 C25:C29 C31:C52 C54:C58 C60:C81 C83:C87 C89:C110 C112:C116 C118:C139 C141:C145 C147:C168 C170:C174 C176:C197 C199:C203 C205:C226 C228:C232 C234:C255 C257:C261 C263:C284 C286:C290 C292:C313 C315:C319 C321:C342 C344:C348 C350:C371 C373:C377 C379:C400 C402:C406 C408:C429 C431:C435 C437:C458 C460:C464">
    <cfRule type="containsText" dxfId="41" priority="1" stopIfTrue="1" operator="containsText" text="/">
      <formula>NOT(ISERROR(FIND(UPPER("/"),UPPER(C2))))</formula>
      <formula>"/"</formula>
    </cfRule>
    <cfRule type="containsText" dxfId="40" priority="2" stopIfTrue="1" operator="containsText" text="C">
      <formula>NOT(ISERROR(FIND(UPPER("C"),UPPER(C2))))</formula>
      <formula>"C"</formula>
    </cfRule>
    <cfRule type="containsText" dxfId="39" priority="3" stopIfTrue="1" operator="containsText" text="D">
      <formula>NOT(ISERROR(FIND(UPPER("D"),UPPER(C2))))</formula>
      <formula>"D"</formula>
    </cfRule>
    <cfRule type="containsText" dxfId="38" priority="4" stopIfTrue="1" operator="containsText" text="LW">
      <formula>NOT(ISERROR(FIND(UPPER("LW"),UPPER(C2))))</formula>
      <formula>"LW"</formula>
    </cfRule>
    <cfRule type="containsText" dxfId="37" priority="5" stopIfTrue="1" operator="containsText" text="RW">
      <formula>NOT(ISERROR(FIND(UPPER("RW"),UPPER(C2))))</formula>
      <formula>"RW"</formula>
    </cfRule>
    <cfRule type="containsText" dxfId="36" priority="6" stopIfTrue="1" operator="containsText" text="G">
      <formula>NOT(ISERROR(FIND(UPPER("G"),UPPER(C2))))</formula>
      <formula>"G"</formula>
    </cfRule>
  </conditionalFormatting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7"/>
  <sheetViews>
    <sheetView showGridLines="0" workbookViewId="0">
      <pane ySplit="2" topLeftCell="A3" activePane="bottomLeft" state="frozen"/>
      <selection pane="bottomLeft"/>
    </sheetView>
  </sheetViews>
  <sheetFormatPr baseColWidth="10" defaultColWidth="8" defaultRowHeight="16.25" customHeight="1" x14ac:dyDescent="0.15"/>
  <cols>
    <col min="1" max="1" width="33" style="1" customWidth="1"/>
    <col min="2" max="2" width="7.1640625" style="1" customWidth="1"/>
    <col min="3" max="3" width="6" style="1" customWidth="1"/>
    <col min="4" max="6" width="8.33203125" style="1" customWidth="1"/>
    <col min="7" max="10" width="1.33203125" style="1" customWidth="1"/>
    <col min="11" max="11" width="8" style="1" customWidth="1"/>
    <col min="12" max="16384" width="8" style="1"/>
  </cols>
  <sheetData>
    <row r="1" spans="1:10" ht="28.25" customHeight="1" x14ac:dyDescent="0.15">
      <c r="A1" s="150" t="s">
        <v>816</v>
      </c>
      <c r="B1" s="151" t="s">
        <v>817</v>
      </c>
      <c r="C1" s="152"/>
      <c r="D1" s="4" t="s">
        <v>13</v>
      </c>
      <c r="E1" s="153" t="s">
        <v>818</v>
      </c>
      <c r="F1" s="151" t="s">
        <v>98</v>
      </c>
      <c r="G1" s="154"/>
      <c r="H1" s="155"/>
      <c r="I1" s="156" t="s">
        <v>819</v>
      </c>
      <c r="J1" s="157" t="s">
        <v>98</v>
      </c>
    </row>
    <row r="2" spans="1:10" ht="28.25" customHeight="1" x14ac:dyDescent="0.15">
      <c r="A2" s="158" t="s">
        <v>62</v>
      </c>
      <c r="B2" s="159" cm="1">
        <f t="array" ref="B2">Settings!F2+Settings!F3+Settings!F4</f>
        <v>66</v>
      </c>
      <c r="C2" s="160"/>
      <c r="D2" s="161"/>
      <c r="E2" s="162"/>
      <c r="F2" s="162"/>
      <c r="G2" s="162"/>
      <c r="H2" s="163"/>
      <c r="I2" s="164"/>
      <c r="J2" s="164"/>
    </row>
    <row r="3" spans="1:10" ht="21.25" customHeight="1" x14ac:dyDescent="0.15">
      <c r="A3" s="10" t="s">
        <v>126</v>
      </c>
      <c r="B3" s="165" t="str" cm="1">
        <f t="array" ref="B3">VLOOKUP(A3,'The List'!B1:D671,3,FALSE)</f>
        <v>C</v>
      </c>
      <c r="C3" s="74" cm="1">
        <f t="array" ref="C3">IF(Settings!$E$15="POINTS",RANK(E3,E3:E407),H3)</f>
        <v>1</v>
      </c>
      <c r="D3" s="18" t="str" cm="1">
        <f t="array" ref="D3">VLOOKUP(A3,'The List'!B1:F671,5,FALSE)</f>
        <v>COL</v>
      </c>
      <c r="E3" s="55" cm="1">
        <f t="array" ref="E3">VLOOKUP(A3,'The List'!B1:I671,8,FALSE)</f>
        <v>15.810473107741965</v>
      </c>
      <c r="F3" s="55" cm="1">
        <f t="array" ref="F3">IF(Settings!$E$15="POINTS",E3-VLOOKUP(B$2,C1:E407,3,FALSE),J3)</f>
        <v>10.495270733268001</v>
      </c>
      <c r="G3" s="55"/>
      <c r="H3" s="166" cm="1">
        <f t="array" ref="H3">RANK(I3,I3:I407)</f>
        <v>1</v>
      </c>
      <c r="I3" s="167" cm="1">
        <f t="array" ref="I3">VLOOKUP(A3,'Standard Deviations'!A1:C672,3,FALSE)</f>
        <v>15.810473107741965</v>
      </c>
      <c r="J3" s="167" cm="1">
        <f t="array" ref="J3">I3-VLOOKUP(B$2,H1:J407,2,FALSE)</f>
        <v>10.495270733268001</v>
      </c>
    </row>
    <row r="4" spans="1:10" ht="21.25" customHeight="1" x14ac:dyDescent="0.15">
      <c r="A4" s="10" t="s">
        <v>127</v>
      </c>
      <c r="B4" s="165" t="str" cm="1">
        <f t="array" ref="B4">VLOOKUP(A4,'The List'!B1:D671,3,FALSE)</f>
        <v>C</v>
      </c>
      <c r="C4" s="74" cm="1">
        <f t="array" ref="C4">IF(Settings!$E$15="POINTS",RANK(E4,E3:E407),H4)</f>
        <v>2</v>
      </c>
      <c r="D4" s="18" t="str" cm="1">
        <f t="array" ref="D4">VLOOKUP(A4,'The List'!B1:F671,5,FALSE)</f>
        <v>EDM</v>
      </c>
      <c r="E4" s="55" cm="1">
        <f t="array" ref="E4">VLOOKUP(A4,'The List'!B1:I671,8,FALSE)</f>
        <v>15.623746502828114</v>
      </c>
      <c r="F4" s="55" cm="1">
        <f t="array" ref="F4">IF(Settings!$E$15="POINTS",E4-VLOOKUP(B$2,C1:E407,3,FALSE),J4)</f>
        <v>10.30854412835415</v>
      </c>
      <c r="G4" s="55"/>
      <c r="H4" s="166" cm="1">
        <f t="array" ref="H4">RANK(I4,I3:I407)</f>
        <v>2</v>
      </c>
      <c r="I4" s="167" cm="1">
        <f t="array" ref="I4">VLOOKUP(A4,'Standard Deviations'!A1:C672,3,FALSE)</f>
        <v>15.623746502828114</v>
      </c>
      <c r="J4" s="167" cm="1">
        <f t="array" ref="J4">I4-VLOOKUP(B$2,H1:J407,2,FALSE)</f>
        <v>10.30854412835415</v>
      </c>
    </row>
    <row r="5" spans="1:10" ht="21.25" customHeight="1" x14ac:dyDescent="0.15">
      <c r="A5" s="10" t="s">
        <v>128</v>
      </c>
      <c r="B5" s="165" t="str" cm="1">
        <f t="array" ref="B5">VLOOKUP(A5,'The List'!B1:D671,3,FALSE)</f>
        <v>RW</v>
      </c>
      <c r="C5" s="74" cm="1">
        <f t="array" ref="C5">IF(Settings!$E$15="POINTS",RANK(E5,E3:E407),H5)</f>
        <v>3</v>
      </c>
      <c r="D5" s="18" t="str" cm="1">
        <f t="array" ref="D5">VLOOKUP(A5,'The List'!B1:F671,5,FALSE)</f>
        <v>T.B</v>
      </c>
      <c r="E5" s="55" cm="1">
        <f t="array" ref="E5">VLOOKUP(A5,'The List'!B1:I671,8,FALSE)</f>
        <v>14.596009367605971</v>
      </c>
      <c r="F5" s="55" cm="1">
        <f t="array" ref="F5">IF(Settings!$E$15="POINTS",E5-VLOOKUP(B$2,C1:E407,3,FALSE),J5)</f>
        <v>9.280806993132007</v>
      </c>
      <c r="G5" s="55"/>
      <c r="H5" s="166" cm="1">
        <f t="array" ref="H5">RANK(I5,I3:I407)</f>
        <v>3</v>
      </c>
      <c r="I5" s="167" cm="1">
        <f t="array" ref="I5">VLOOKUP(A5,'Standard Deviations'!A1:C672,3,FALSE)</f>
        <v>14.596009367605971</v>
      </c>
      <c r="J5" s="167" cm="1">
        <f t="array" ref="J5">I5-VLOOKUP(B$2,H1:J407,2,FALSE)</f>
        <v>9.280806993132007</v>
      </c>
    </row>
    <row r="6" spans="1:10" ht="21.25" customHeight="1" x14ac:dyDescent="0.15">
      <c r="A6" s="10" t="s">
        <v>132</v>
      </c>
      <c r="B6" s="165" t="str" cm="1">
        <f t="array" ref="B6">VLOOKUP(A6,'The List'!B1:D671,3,FALSE)</f>
        <v>C</v>
      </c>
      <c r="C6" s="74" cm="1">
        <f t="array" ref="C6">IF(Settings!$E$15="POINTS",RANK(E6,E3:E407),H6)</f>
        <v>6</v>
      </c>
      <c r="D6" s="18" t="str" cm="1">
        <f t="array" ref="D6">VLOOKUP(A6,'The List'!B1:F671,5,FALSE)</f>
        <v>S.J</v>
      </c>
      <c r="E6" s="55" cm="1">
        <f t="array" ref="E6">VLOOKUP(A6,'The List'!B1:I671,8,FALSE)</f>
        <v>10.746074224773066</v>
      </c>
      <c r="F6" s="55" cm="1">
        <f t="array" ref="F6">IF(Settings!$E$15="POINTS",E6-VLOOKUP(B$2,C1:E407,3,FALSE),J6)</f>
        <v>5.430871850299102</v>
      </c>
      <c r="G6" s="55"/>
      <c r="H6" s="166" cm="1">
        <f t="array" ref="H6">RANK(I6,I3:I407)</f>
        <v>6</v>
      </c>
      <c r="I6" s="167" cm="1">
        <f t="array" ref="I6">VLOOKUP(A6,'Standard Deviations'!A1:C672,3,FALSE)</f>
        <v>10.746074224773066</v>
      </c>
      <c r="J6" s="167" cm="1">
        <f t="array" ref="J6">I6-VLOOKUP(B$2,H1:J407,2,FALSE)</f>
        <v>5.430871850299102</v>
      </c>
    </row>
    <row r="7" spans="1:10" ht="21.25" customHeight="1" x14ac:dyDescent="0.15">
      <c r="A7" s="10" t="s">
        <v>134</v>
      </c>
      <c r="B7" s="165" t="str" cm="1">
        <f t="array" ref="B7">VLOOKUP(A7,'The List'!B1:D671,3,FALSE)</f>
        <v>RW</v>
      </c>
      <c r="C7" s="74" cm="1">
        <f t="array" ref="C7">IF(Settings!$E$15="POINTS",RANK(E7,E3:E407),H7)</f>
        <v>8</v>
      </c>
      <c r="D7" s="18" t="str" cm="1">
        <f t="array" ref="D7">VLOOKUP(A7,'The List'!B1:F671,5,FALSE)</f>
        <v>BOS</v>
      </c>
      <c r="E7" s="55" cm="1">
        <f t="array" ref="E7">VLOOKUP(A7,'The List'!B1:I671,8,FALSE)</f>
        <v>10.639311884464874</v>
      </c>
      <c r="F7" s="55" cm="1">
        <f t="array" ref="F7">IF(Settings!$E$15="POINTS",E7-VLOOKUP(B$2,C1:E407,3,FALSE),J7)</f>
        <v>5.3241095099909099</v>
      </c>
      <c r="G7" s="55"/>
      <c r="H7" s="166" cm="1">
        <f t="array" ref="H7">RANK(I7,I3:I407)</f>
        <v>8</v>
      </c>
      <c r="I7" s="167" cm="1">
        <f t="array" ref="I7">VLOOKUP(A7,'Standard Deviations'!A1:C672,3,FALSE)</f>
        <v>10.639311884464874</v>
      </c>
      <c r="J7" s="167" cm="1">
        <f t="array" ref="J7">I7-VLOOKUP(B$2,H1:J407,2,FALSE)</f>
        <v>5.3241095099909099</v>
      </c>
    </row>
    <row r="8" spans="1:10" ht="21.25" customHeight="1" x14ac:dyDescent="0.15">
      <c r="A8" s="10" t="s">
        <v>136</v>
      </c>
      <c r="B8" s="165" t="str" cm="1">
        <f t="array" ref="B8">VLOOKUP(A8,'The List'!B1:D671,3,FALSE)</f>
        <v>C,LW</v>
      </c>
      <c r="C8" s="74" cm="1">
        <f t="array" ref="C8">IF(Settings!$E$15="POINTS",RANK(E8,E3:E407),H8)</f>
        <v>4</v>
      </c>
      <c r="D8" s="18" t="str" cm="1">
        <f t="array" ref="D8">VLOOKUP(A8,'The List'!B1:F671,5,FALSE)</f>
        <v>EDM</v>
      </c>
      <c r="E8" s="55" cm="1">
        <f t="array" ref="E8">VLOOKUP(A8,'The List'!B1:I671,8,FALSE)</f>
        <v>12.747492940258208</v>
      </c>
      <c r="F8" s="55" cm="1">
        <f t="array" ref="F8">IF(Settings!$E$15="POINTS",E8-VLOOKUP(B$2,C1:E407,3,FALSE),J8)</f>
        <v>7.4322905657842444</v>
      </c>
      <c r="G8" s="55"/>
      <c r="H8" s="166" cm="1">
        <f t="array" ref="H8">RANK(I8,I3:I407)</f>
        <v>4</v>
      </c>
      <c r="I8" s="167" cm="1">
        <f t="array" ref="I8">VLOOKUP(A8,'Standard Deviations'!A1:C672,3,FALSE)</f>
        <v>12.747492940258208</v>
      </c>
      <c r="J8" s="167" cm="1">
        <f t="array" ref="J8">I8-VLOOKUP(B$2,H1:J407,2,FALSE)</f>
        <v>7.4322905657842444</v>
      </c>
    </row>
    <row r="9" spans="1:10" ht="21.25" customHeight="1" x14ac:dyDescent="0.15">
      <c r="A9" s="10" t="s">
        <v>140</v>
      </c>
      <c r="B9" s="165" t="str" cm="1">
        <f t="array" ref="B9">VLOOKUP(A9,'The List'!B1:D671,3,FALSE)</f>
        <v>C,LW</v>
      </c>
      <c r="C9" s="74" cm="1">
        <f t="array" ref="C9">IF(Settings!$E$15="POINTS",RANK(E9,E3:E407),H9)</f>
        <v>16</v>
      </c>
      <c r="D9" s="18" t="str" cm="1">
        <f t="array" ref="D9">VLOOKUP(A9,'The List'!B1:F671,5,FALSE)</f>
        <v>N.J</v>
      </c>
      <c r="E9" s="55" cm="1">
        <f t="array" ref="E9">VLOOKUP(A9,'The List'!B1:I671,8,FALSE)</f>
        <v>9.2474854787857712</v>
      </c>
      <c r="F9" s="55" cm="1">
        <f t="array" ref="F9">IF(Settings!$E$15="POINTS",E9-VLOOKUP(B$2,C1:E407,3,FALSE),J9)</f>
        <v>3.9322831043118072</v>
      </c>
      <c r="G9" s="55"/>
      <c r="H9" s="166" cm="1">
        <f t="array" ref="H9">RANK(I9,I3:I407)</f>
        <v>16</v>
      </c>
      <c r="I9" s="167" cm="1">
        <f t="array" ref="I9">VLOOKUP(A9,'Standard Deviations'!A1:C672,3,FALSE)</f>
        <v>9.2474854787857712</v>
      </c>
      <c r="J9" s="167" cm="1">
        <f t="array" ref="J9">I9-VLOOKUP(B$2,H1:J407,2,FALSE)</f>
        <v>3.9322831043118072</v>
      </c>
    </row>
    <row r="10" spans="1:10" ht="21.25" customHeight="1" x14ac:dyDescent="0.15">
      <c r="A10" s="10" t="s">
        <v>137</v>
      </c>
      <c r="B10" s="165" t="str" cm="1">
        <f t="array" ref="B10">VLOOKUP(A10,'The List'!B1:D671,3,FALSE)</f>
        <v>C</v>
      </c>
      <c r="C10" s="74" cm="1">
        <f t="array" ref="C10">IF(Settings!$E$15="POINTS",RANK(E10,E3:E407),H10)</f>
        <v>7</v>
      </c>
      <c r="D10" s="18" t="str" cm="1">
        <f t="array" ref="D10">VLOOKUP(A10,'The List'!B1:F671,5,FALSE)</f>
        <v>VGK</v>
      </c>
      <c r="E10" s="55" cm="1">
        <f t="array" ref="E10">VLOOKUP(A10,'The List'!B1:I671,8,FALSE)</f>
        <v>10.711307408813042</v>
      </c>
      <c r="F10" s="55" cm="1">
        <f t="array" ref="F10">IF(Settings!$E$15="POINTS",E10-VLOOKUP(B$2,C1:E407,3,FALSE),J10)</f>
        <v>5.3961050343390777</v>
      </c>
      <c r="G10" s="55"/>
      <c r="H10" s="166" cm="1">
        <f t="array" ref="H10">RANK(I10,I3:I407)</f>
        <v>7</v>
      </c>
      <c r="I10" s="167" cm="1">
        <f t="array" ref="I10">VLOOKUP(A10,'Standard Deviations'!A1:C672,3,FALSE)</f>
        <v>10.711307408813042</v>
      </c>
      <c r="J10" s="167" cm="1">
        <f t="array" ref="J10">I10-VLOOKUP(B$2,H1:J407,2,FALSE)</f>
        <v>5.3961050343390777</v>
      </c>
    </row>
    <row r="11" spans="1:10" ht="21.25" customHeight="1" x14ac:dyDescent="0.15">
      <c r="A11" s="10" t="s">
        <v>138</v>
      </c>
      <c r="B11" s="165" t="str" cm="1">
        <f t="array" ref="B11">VLOOKUP(A11,'The List'!B1:D671,3,FALSE)</f>
        <v>C</v>
      </c>
      <c r="C11" s="74" cm="1">
        <f t="array" ref="C11">IF(Settings!$E$15="POINTS",RANK(E11,E3:E407),H11)</f>
        <v>13</v>
      </c>
      <c r="D11" s="18" t="str" cm="1">
        <f t="array" ref="D11">VLOOKUP(A11,'The List'!B1:F671,5,FALSE)</f>
        <v>TOR</v>
      </c>
      <c r="E11" s="55" cm="1">
        <f t="array" ref="E11">VLOOKUP(A11,'The List'!B1:I671,8,FALSE)</f>
        <v>9.6959346747623361</v>
      </c>
      <c r="F11" s="55" cm="1">
        <f t="array" ref="F11">IF(Settings!$E$15="POINTS",E11-VLOOKUP(B$2,C1:E407,3,FALSE),J11)</f>
        <v>4.380732300288372</v>
      </c>
      <c r="G11" s="55"/>
      <c r="H11" s="166" cm="1">
        <f t="array" ref="H11">RANK(I11,I3:I407)</f>
        <v>13</v>
      </c>
      <c r="I11" s="167" cm="1">
        <f t="array" ref="I11">VLOOKUP(A11,'Standard Deviations'!A1:C672,3,FALSE)</f>
        <v>9.6959346747623361</v>
      </c>
      <c r="J11" s="167" cm="1">
        <f t="array" ref="J11">I11-VLOOKUP(B$2,H1:J407,2,FALSE)</f>
        <v>4.380732300288372</v>
      </c>
    </row>
    <row r="12" spans="1:10" ht="21.25" customHeight="1" x14ac:dyDescent="0.15">
      <c r="A12" s="10" t="s">
        <v>141</v>
      </c>
      <c r="B12" s="165" t="str" cm="1">
        <f t="array" ref="B12">VLOOKUP(A12,'The List'!B1:D671,3,FALSE)</f>
        <v>LW,RW</v>
      </c>
      <c r="C12" s="74" cm="1">
        <f t="array" ref="C12">IF(Settings!$E$15="POINTS",RANK(E12,E3:E407),H12)</f>
        <v>12</v>
      </c>
      <c r="D12" s="18" t="str" cm="1">
        <f t="array" ref="D12">VLOOKUP(A12,'The List'!B1:F671,5,FALSE)</f>
        <v>MIN</v>
      </c>
      <c r="E12" s="55" cm="1">
        <f t="array" ref="E12">VLOOKUP(A12,'The List'!B1:I671,8,FALSE)</f>
        <v>10.069150958221819</v>
      </c>
      <c r="F12" s="55" cm="1">
        <f t="array" ref="F12">IF(Settings!$E$15="POINTS",E12-VLOOKUP(B$2,C1:E407,3,FALSE),J12)</f>
        <v>4.7539485837478548</v>
      </c>
      <c r="G12" s="55"/>
      <c r="H12" s="166" cm="1">
        <f t="array" ref="H12">RANK(I12,I3:I407)</f>
        <v>12</v>
      </c>
      <c r="I12" s="167" cm="1">
        <f t="array" ref="I12">VLOOKUP(A12,'Standard Deviations'!A1:C672,3,FALSE)</f>
        <v>10.069150958221819</v>
      </c>
      <c r="J12" s="167" cm="1">
        <f t="array" ref="J12">I12-VLOOKUP(B$2,H1:J407,2,FALSE)</f>
        <v>4.7539485837478548</v>
      </c>
    </row>
    <row r="13" spans="1:10" ht="21.25" customHeight="1" x14ac:dyDescent="0.15">
      <c r="A13" s="10" t="s">
        <v>142</v>
      </c>
      <c r="B13" s="165" t="str" cm="1">
        <f t="array" ref="B13">VLOOKUP(A13,'The List'!B1:D671,3,FALSE)</f>
        <v>LW,RW</v>
      </c>
      <c r="C13" s="74" cm="1">
        <f t="array" ref="C13">IF(Settings!$E$15="POINTS",RANK(E13,E3:E407),H13)</f>
        <v>5</v>
      </c>
      <c r="D13" s="18" t="str" cm="1">
        <f t="array" ref="D13">VLOOKUP(A13,'The List'!B1:F671,5,FALSE)</f>
        <v>DAL</v>
      </c>
      <c r="E13" s="55" cm="1">
        <f t="array" ref="E13">VLOOKUP(A13,'The List'!B1:I671,8,FALSE)</f>
        <v>11.586552088191054</v>
      </c>
      <c r="F13" s="55" cm="1">
        <f t="array" ref="F13">IF(Settings!$E$15="POINTS",E13-VLOOKUP(B$2,C1:E407,3,FALSE),J13)</f>
        <v>6.2713497137170897</v>
      </c>
      <c r="G13" s="55"/>
      <c r="H13" s="166" cm="1">
        <f t="array" ref="H13">RANK(I13,I3:I407)</f>
        <v>5</v>
      </c>
      <c r="I13" s="167" cm="1">
        <f t="array" ref="I13">VLOOKUP(A13,'Standard Deviations'!A1:C672,3,FALSE)</f>
        <v>11.586552088191054</v>
      </c>
      <c r="J13" s="167" cm="1">
        <f t="array" ref="J13">I13-VLOOKUP(B$2,H1:J407,2,FALSE)</f>
        <v>6.2713497137170897</v>
      </c>
    </row>
    <row r="14" spans="1:10" ht="21.25" customHeight="1" x14ac:dyDescent="0.15">
      <c r="A14" s="10" t="s">
        <v>146</v>
      </c>
      <c r="B14" s="165" t="str" cm="1">
        <f t="array" ref="B14">VLOOKUP(A14,'The List'!B1:D671,3,FALSE)</f>
        <v>LW</v>
      </c>
      <c r="C14" s="74" cm="1">
        <f t="array" ref="C14">IF(Settings!$E$15="POINTS",RANK(E14,E3:E407),H14)</f>
        <v>10</v>
      </c>
      <c r="D14" s="18" t="str" cm="1">
        <f t="array" ref="D14">VLOOKUP(A14,'The List'!B1:F671,5,FALSE)</f>
        <v>MIN</v>
      </c>
      <c r="E14" s="55" cm="1">
        <f t="array" ref="E14">VLOOKUP(A14,'The List'!B1:I671,8,FALSE)</f>
        <v>10.558311446143982</v>
      </c>
      <c r="F14" s="55" cm="1">
        <f t="array" ref="F14">IF(Settings!$E$15="POINTS",E14-VLOOKUP(B$2,C1:E407,3,FALSE),J14)</f>
        <v>5.2431090716700179</v>
      </c>
      <c r="G14" s="55"/>
      <c r="H14" s="166" cm="1">
        <f t="array" ref="H14">RANK(I14,I3:I407)</f>
        <v>10</v>
      </c>
      <c r="I14" s="167" cm="1">
        <f t="array" ref="I14">VLOOKUP(A14,'Standard Deviations'!A1:C672,3,FALSE)</f>
        <v>10.558311446143982</v>
      </c>
      <c r="J14" s="167" cm="1">
        <f t="array" ref="J14">I14-VLOOKUP(B$2,H1:J407,2,FALSE)</f>
        <v>5.2431090716700179</v>
      </c>
    </row>
    <row r="15" spans="1:10" ht="21.25" customHeight="1" x14ac:dyDescent="0.15">
      <c r="A15" s="10" t="s">
        <v>153</v>
      </c>
      <c r="B15" s="165" t="str" cm="1">
        <f t="array" ref="B15">VLOOKUP(A15,'The List'!B1:D671,3,FALSE)</f>
        <v>LW</v>
      </c>
      <c r="C15" s="74" cm="1">
        <f t="array" ref="C15">IF(Settings!$E$15="POINTS",RANK(E15,E3:E407),H15)</f>
        <v>28</v>
      </c>
      <c r="D15" s="18" t="str" cm="1">
        <f t="array" ref="D15">VLOOKUP(A15,'The List'!B1:F671,5,FALSE)</f>
        <v>WPG</v>
      </c>
      <c r="E15" s="55" cm="1">
        <f t="array" ref="E15">VLOOKUP(A15,'The List'!B1:I671,8,FALSE)</f>
        <v>7.7793223394578721</v>
      </c>
      <c r="F15" s="55" cm="1">
        <f t="array" ref="F15">IF(Settings!$E$15="POINTS",E15-VLOOKUP(B$2,C1:E407,3,FALSE),J15)</f>
        <v>2.4641199649839081</v>
      </c>
      <c r="G15" s="55"/>
      <c r="H15" s="166" cm="1">
        <f t="array" ref="H15">RANK(I15,I3:I407)</f>
        <v>28</v>
      </c>
      <c r="I15" s="167" cm="1">
        <f t="array" ref="I15">VLOOKUP(A15,'Standard Deviations'!A1:C672,3,FALSE)</f>
        <v>7.7793223394578721</v>
      </c>
      <c r="J15" s="167" cm="1">
        <f t="array" ref="J15">I15-VLOOKUP(B$2,H1:J407,2,FALSE)</f>
        <v>2.4641199649839081</v>
      </c>
    </row>
    <row r="16" spans="1:10" ht="21.25" customHeight="1" x14ac:dyDescent="0.15">
      <c r="A16" s="10" t="s">
        <v>147</v>
      </c>
      <c r="B16" s="165" t="str" cm="1">
        <f t="array" ref="B16">VLOOKUP(A16,'The List'!B1:D671,3,FALSE)</f>
        <v>C</v>
      </c>
      <c r="C16" s="74" cm="1">
        <f t="array" ref="C16">IF(Settings!$E$15="POINTS",RANK(E16,E3:E407),H16)</f>
        <v>14</v>
      </c>
      <c r="D16" s="18" t="str" cm="1">
        <f t="array" ref="D16">VLOOKUP(A16,'The List'!B1:F671,5,FALSE)</f>
        <v>MTL</v>
      </c>
      <c r="E16" s="55" cm="1">
        <f t="array" ref="E16">VLOOKUP(A16,'The List'!B1:I671,8,FALSE)</f>
        <v>9.3877295099022167</v>
      </c>
      <c r="F16" s="55" cm="1">
        <f t="array" ref="F16">IF(Settings!$E$15="POINTS",E16-VLOOKUP(B$2,C1:E407,3,FALSE),J16)</f>
        <v>4.0725271354282526</v>
      </c>
      <c r="G16" s="55"/>
      <c r="H16" s="166" cm="1">
        <f t="array" ref="H16">RANK(I16,I3:I407)</f>
        <v>14</v>
      </c>
      <c r="I16" s="167" cm="1">
        <f t="array" ref="I16">VLOOKUP(A16,'Standard Deviations'!A1:C672,3,FALSE)</f>
        <v>9.3877295099022167</v>
      </c>
      <c r="J16" s="167" cm="1">
        <f t="array" ref="J16">I16-VLOOKUP(B$2,H1:J407,2,FALSE)</f>
        <v>4.0725271354282526</v>
      </c>
    </row>
    <row r="17" spans="1:10" ht="21.25" customHeight="1" x14ac:dyDescent="0.15">
      <c r="A17" s="10" t="s">
        <v>152</v>
      </c>
      <c r="B17" s="165" t="str" cm="1">
        <f t="array" ref="B17">VLOOKUP(A17,'The List'!B1:D671,3,FALSE)</f>
        <v>RW</v>
      </c>
      <c r="C17" s="74" cm="1">
        <f t="array" ref="C17">IF(Settings!$E$15="POINTS",RANK(E17,E3:E407),H17)</f>
        <v>11</v>
      </c>
      <c r="D17" s="18" t="str" cm="1">
        <f t="array" ref="D17">VLOOKUP(A17,'The List'!B1:F671,5,FALSE)</f>
        <v>COL</v>
      </c>
      <c r="E17" s="55" cm="1">
        <f t="array" ref="E17">VLOOKUP(A17,'The List'!B1:I671,8,FALSE)</f>
        <v>10.531693048144161</v>
      </c>
      <c r="F17" s="55" cm="1">
        <f t="array" ref="F17">IF(Settings!$E$15="POINTS",E17-VLOOKUP(B$2,C1:E407,3,FALSE),J17)</f>
        <v>5.2164906736701973</v>
      </c>
      <c r="G17" s="55"/>
      <c r="H17" s="166" cm="1">
        <f t="array" ref="H17">RANK(I17,I3:I407)</f>
        <v>11</v>
      </c>
      <c r="I17" s="167" cm="1">
        <f t="array" ref="I17">VLOOKUP(A17,'Standard Deviations'!A1:C672,3,FALSE)</f>
        <v>10.531693048144161</v>
      </c>
      <c r="J17" s="167" cm="1">
        <f t="array" ref="J17">I17-VLOOKUP(B$2,H1:J407,2,FALSE)</f>
        <v>5.2164906736701973</v>
      </c>
    </row>
    <row r="18" spans="1:10" ht="21.25" customHeight="1" x14ac:dyDescent="0.15">
      <c r="A18" s="10" t="s">
        <v>154</v>
      </c>
      <c r="B18" s="165" t="str" cm="1">
        <f t="array" ref="B18">VLOOKUP(A18,'The List'!B1:D671,3,FALSE)</f>
        <v>C,RW</v>
      </c>
      <c r="C18" s="74" cm="1">
        <f t="array" ref="C18">IF(Settings!$E$15="POINTS",RANK(E18,E3:E407),H18)</f>
        <v>15</v>
      </c>
      <c r="D18" s="18" t="str" cm="1">
        <f t="array" ref="D18">VLOOKUP(A18,'The List'!B1:F671,5,FALSE)</f>
        <v>DAL</v>
      </c>
      <c r="E18" s="55" cm="1">
        <f t="array" ref="E18">VLOOKUP(A18,'The List'!B1:I671,8,FALSE)</f>
        <v>9.3644110030371781</v>
      </c>
      <c r="F18" s="55" cm="1">
        <f t="array" ref="F18">IF(Settings!$E$15="POINTS",E18-VLOOKUP(B$2,C1:E407,3,FALSE),J18)</f>
        <v>4.0492086285632141</v>
      </c>
      <c r="G18" s="55"/>
      <c r="H18" s="166" cm="1">
        <f t="array" ref="H18">RANK(I18,I3:I407)</f>
        <v>15</v>
      </c>
      <c r="I18" s="167" cm="1">
        <f t="array" ref="I18">VLOOKUP(A18,'Standard Deviations'!A1:C672,3,FALSE)</f>
        <v>9.3644110030371781</v>
      </c>
      <c r="J18" s="167" cm="1">
        <f t="array" ref="J18">I18-VLOOKUP(B$2,H1:J407,2,FALSE)</f>
        <v>4.0492086285632141</v>
      </c>
    </row>
    <row r="19" spans="1:10" ht="21.25" customHeight="1" x14ac:dyDescent="0.15">
      <c r="A19" s="10" t="s">
        <v>157</v>
      </c>
      <c r="B19" s="165" t="str" cm="1">
        <f t="array" ref="B19">VLOOKUP(A19,'The List'!B1:D671,3,FALSE)</f>
        <v>C,RW</v>
      </c>
      <c r="C19" s="74" cm="1">
        <f t="array" ref="C19">IF(Settings!$E$15="POINTS",RANK(E19,E3:E407),H19)</f>
        <v>32</v>
      </c>
      <c r="D19" s="18" t="str" cm="1">
        <f t="array" ref="D19">VLOOKUP(A19,'The List'!B1:F671,5,FALSE)</f>
        <v>TOR</v>
      </c>
      <c r="E19" s="55" cm="1">
        <f t="array" ref="E19">VLOOKUP(A19,'The List'!B1:I671,8,FALSE)</f>
        <v>7.5593186307306963</v>
      </c>
      <c r="F19" s="55" cm="1">
        <f t="array" ref="F19">IF(Settings!$E$15="POINTS",E19-VLOOKUP(B$2,C1:E407,3,FALSE),J19)</f>
        <v>2.2441162562567323</v>
      </c>
      <c r="G19" s="55"/>
      <c r="H19" s="166" cm="1">
        <f t="array" ref="H19">RANK(I19,I3:I407)</f>
        <v>32</v>
      </c>
      <c r="I19" s="167" cm="1">
        <f t="array" ref="I19">VLOOKUP(A19,'Standard Deviations'!A1:C672,3,FALSE)</f>
        <v>7.5593186307306963</v>
      </c>
      <c r="J19" s="167" cm="1">
        <f t="array" ref="J19">I19-VLOOKUP(B$2,H1:J407,2,FALSE)</f>
        <v>2.2441162562567323</v>
      </c>
    </row>
    <row r="20" spans="1:10" ht="21.25" customHeight="1" x14ac:dyDescent="0.15">
      <c r="A20" s="10" t="s">
        <v>160</v>
      </c>
      <c r="B20" s="165" t="str" cm="1">
        <f t="array" ref="B20">VLOOKUP(A20,'The List'!B1:D671,3,FALSE)</f>
        <v>C,LW,RW</v>
      </c>
      <c r="C20" s="74" cm="1">
        <f t="array" ref="C20">IF(Settings!$E$15="POINTS",RANK(E20,E3:E407),H20)</f>
        <v>25</v>
      </c>
      <c r="D20" s="18" t="str" cm="1">
        <f t="array" ref="D20">VLOOKUP(A20,'The List'!B1:F671,5,FALSE)</f>
        <v>ANA</v>
      </c>
      <c r="E20" s="55" cm="1">
        <f t="array" ref="E20">VLOOKUP(A20,'The List'!B1:I671,8,FALSE)</f>
        <v>8.0044150915522536</v>
      </c>
      <c r="F20" s="55" cm="1">
        <f t="array" ref="F20">IF(Settings!$E$15="POINTS",E20-VLOOKUP(B$2,C1:E407,3,FALSE),J20)</f>
        <v>2.6892127170782896</v>
      </c>
      <c r="G20" s="55"/>
      <c r="H20" s="166" cm="1">
        <f t="array" ref="H20">RANK(I20,I3:I407)</f>
        <v>25</v>
      </c>
      <c r="I20" s="167" cm="1">
        <f t="array" ref="I20">VLOOKUP(A20,'Standard Deviations'!A1:C672,3,FALSE)</f>
        <v>8.0044150915522536</v>
      </c>
      <c r="J20" s="167" cm="1">
        <f t="array" ref="J20">I20-VLOOKUP(B$2,H1:J407,2,FALSE)</f>
        <v>2.6892127170782896</v>
      </c>
    </row>
    <row r="21" spans="1:10" ht="21.25" customHeight="1" x14ac:dyDescent="0.15">
      <c r="A21" s="10" t="s">
        <v>162</v>
      </c>
      <c r="B21" s="165" t="str" cm="1">
        <f t="array" ref="B21">VLOOKUP(A21,'The List'!B1:D671,3,FALSE)</f>
        <v>LW,RW</v>
      </c>
      <c r="C21" s="74" cm="1">
        <f t="array" ref="C21">IF(Settings!$E$15="POINTS",RANK(E21,E3:E407),H21)</f>
        <v>17</v>
      </c>
      <c r="D21" s="18" t="str" cm="1">
        <f t="array" ref="D21">VLOOKUP(A21,'The List'!B1:F671,5,FALSE)</f>
        <v>DAL</v>
      </c>
      <c r="E21" s="55" cm="1">
        <f t="array" ref="E21">VLOOKUP(A21,'The List'!B1:I671,8,FALSE)</f>
        <v>9.1685176421004204</v>
      </c>
      <c r="F21" s="55" cm="1">
        <f t="array" ref="F21">IF(Settings!$E$15="POINTS",E21-VLOOKUP(B$2,C1:E407,3,FALSE),J21)</f>
        <v>3.8533152676264564</v>
      </c>
      <c r="G21" s="55"/>
      <c r="H21" s="166" cm="1">
        <f t="array" ref="H21">RANK(I21,I3:I407)</f>
        <v>17</v>
      </c>
      <c r="I21" s="167" cm="1">
        <f t="array" ref="I21">VLOOKUP(A21,'Standard Deviations'!A1:C672,3,FALSE)</f>
        <v>9.1685176421004204</v>
      </c>
      <c r="J21" s="167" cm="1">
        <f t="array" ref="J21">I21-VLOOKUP(B$2,H1:J407,2,FALSE)</f>
        <v>3.8533152676264564</v>
      </c>
    </row>
    <row r="22" spans="1:10" ht="21.25" customHeight="1" x14ac:dyDescent="0.15">
      <c r="A22" s="10" t="s">
        <v>166</v>
      </c>
      <c r="B22" s="165" t="str" cm="1">
        <f t="array" ref="B22">VLOOKUP(A22,'The List'!B1:D671,3,FALSE)</f>
        <v>LW,RW</v>
      </c>
      <c r="C22" s="74" cm="1">
        <f t="array" ref="C22">IF(Settings!$E$15="POINTS",RANK(E22,E3:E407),H22)</f>
        <v>21</v>
      </c>
      <c r="D22" s="18" t="str" cm="1">
        <f t="array" ref="D22">VLOOKUP(A22,'The List'!B1:F671,5,FALSE)</f>
        <v>UTA</v>
      </c>
      <c r="E22" s="55" cm="1">
        <f t="array" ref="E22">VLOOKUP(A22,'The List'!B1:I671,8,FALSE)</f>
        <v>8.5418971934080048</v>
      </c>
      <c r="F22" s="55" cm="1">
        <f t="array" ref="F22">IF(Settings!$E$15="POINTS",E22-VLOOKUP(B$2,C1:E407,3,FALSE),J22)</f>
        <v>3.2266948189340408</v>
      </c>
      <c r="G22" s="55"/>
      <c r="H22" s="166" cm="1">
        <f t="array" ref="H22">RANK(I22,I3:I407)</f>
        <v>21</v>
      </c>
      <c r="I22" s="167" cm="1">
        <f t="array" ref="I22">VLOOKUP(A22,'Standard Deviations'!A1:C672,3,FALSE)</f>
        <v>8.5418971934080048</v>
      </c>
      <c r="J22" s="167" cm="1">
        <f t="array" ref="J22">I22-VLOOKUP(B$2,H1:J407,2,FALSE)</f>
        <v>3.2266948189340408</v>
      </c>
    </row>
    <row r="23" spans="1:10" ht="21.25" customHeight="1" x14ac:dyDescent="0.15">
      <c r="A23" s="10" t="s">
        <v>167</v>
      </c>
      <c r="B23" s="165" t="str" cm="1">
        <f t="array" ref="B23">VLOOKUP(A23,'The List'!B1:D671,3,FALSE)</f>
        <v>LW,RW</v>
      </c>
      <c r="C23" s="74" cm="1">
        <f t="array" ref="C23">IF(Settings!$E$15="POINTS",RANK(E23,E3:E407),H23)</f>
        <v>37</v>
      </c>
      <c r="D23" s="18" t="str" cm="1">
        <f t="array" ref="D23">VLOOKUP(A23,'The List'!B1:F671,5,FALSE)</f>
        <v>UTA</v>
      </c>
      <c r="E23" s="55" cm="1">
        <f t="array" ref="E23">VLOOKUP(A23,'The List'!B1:I671,8,FALSE)</f>
        <v>6.9196335326727603</v>
      </c>
      <c r="F23" s="55" cm="1">
        <f t="array" ref="F23">IF(Settings!$E$15="POINTS",E23-VLOOKUP(B$2,C1:E407,3,FALSE),J23)</f>
        <v>1.6044311581987962</v>
      </c>
      <c r="G23" s="55"/>
      <c r="H23" s="166" cm="1">
        <f t="array" ref="H23">RANK(I23,I3:I407)</f>
        <v>37</v>
      </c>
      <c r="I23" s="167" cm="1">
        <f t="array" ref="I23">VLOOKUP(A23,'Standard Deviations'!A1:C672,3,FALSE)</f>
        <v>6.9196335326727603</v>
      </c>
      <c r="J23" s="167" cm="1">
        <f t="array" ref="J23">I23-VLOOKUP(B$2,H1:J407,2,FALSE)</f>
        <v>1.6044311581987962</v>
      </c>
    </row>
    <row r="24" spans="1:10" ht="21.25" customHeight="1" x14ac:dyDescent="0.15">
      <c r="A24" s="10" t="s">
        <v>163</v>
      </c>
      <c r="B24" s="165" t="str" cm="1">
        <f t="array" ref="B24">VLOOKUP(A24,'The List'!B1:D671,3,FALSE)</f>
        <v>C</v>
      </c>
      <c r="C24" s="74" cm="1">
        <f t="array" ref="C24">IF(Settings!$E$15="POINTS",RANK(E24,E3:E407),H24)</f>
        <v>64</v>
      </c>
      <c r="D24" s="18" t="str" cm="1">
        <f t="array" ref="D24">VLOOKUP(A24,'The List'!B1:F671,5,FALSE)</f>
        <v>ANA</v>
      </c>
      <c r="E24" s="55" cm="1">
        <f t="array" ref="E24">VLOOKUP(A24,'The List'!B1:I671,8,FALSE)</f>
        <v>5.5113339978520228</v>
      </c>
      <c r="F24" s="55" cm="1">
        <f t="array" ref="F24">IF(Settings!$E$15="POINTS",E24-VLOOKUP(B$2,C1:E407,3,FALSE),J24)</f>
        <v>0.19613162337805878</v>
      </c>
      <c r="G24" s="55"/>
      <c r="H24" s="166" cm="1">
        <f t="array" ref="H24">RANK(I24,I3:I407)</f>
        <v>64</v>
      </c>
      <c r="I24" s="167" cm="1">
        <f t="array" ref="I24">VLOOKUP(A24,'Standard Deviations'!A1:C672,3,FALSE)</f>
        <v>5.5113339978520228</v>
      </c>
      <c r="J24" s="167" cm="1">
        <f t="array" ref="J24">I24-VLOOKUP(B$2,H1:J407,2,FALSE)</f>
        <v>0.19613162337805878</v>
      </c>
    </row>
    <row r="25" spans="1:10" ht="21.25" customHeight="1" x14ac:dyDescent="0.15">
      <c r="A25" s="10" t="s">
        <v>169</v>
      </c>
      <c r="B25" s="165" t="str" cm="1">
        <f t="array" ref="B25">VLOOKUP(A25,'The List'!B1:D671,3,FALSE)</f>
        <v>C,RW</v>
      </c>
      <c r="C25" s="74" cm="1">
        <f t="array" ref="C25">IF(Settings!$E$15="POINTS",RANK(E25,E3:E407),H25)</f>
        <v>24</v>
      </c>
      <c r="D25" s="18" t="str" cm="1">
        <f t="array" ref="D25">VLOOKUP(A25,'The List'!B1:F671,5,FALSE)</f>
        <v>BUF</v>
      </c>
      <c r="E25" s="55" cm="1">
        <f t="array" ref="E25">VLOOKUP(A25,'The List'!B1:I671,8,FALSE)</f>
        <v>8.0469109376480308</v>
      </c>
      <c r="F25" s="55" cm="1">
        <f t="array" ref="F25">IF(Settings!$E$15="POINTS",E25-VLOOKUP(B$2,C1:E407,3,FALSE),J25)</f>
        <v>2.7317085631740667</v>
      </c>
      <c r="G25" s="55"/>
      <c r="H25" s="166" cm="1">
        <f t="array" ref="H25">RANK(I25,I3:I407)</f>
        <v>24</v>
      </c>
      <c r="I25" s="167" cm="1">
        <f t="array" ref="I25">VLOOKUP(A25,'Standard Deviations'!A1:C672,3,FALSE)</f>
        <v>8.0469109376480308</v>
      </c>
      <c r="J25" s="167" cm="1">
        <f t="array" ref="J25">I25-VLOOKUP(B$2,H1:J407,2,FALSE)</f>
        <v>2.7317085631740667</v>
      </c>
    </row>
    <row r="26" spans="1:10" ht="21.25" customHeight="1" x14ac:dyDescent="0.15">
      <c r="A26" s="10" t="s">
        <v>174</v>
      </c>
      <c r="B26" s="165" t="str" cm="1">
        <f t="array" ref="B26">VLOOKUP(A26,'The List'!B1:D671,3,FALSE)</f>
        <v>LW,RW</v>
      </c>
      <c r="C26" s="74" cm="1">
        <f t="array" ref="C26">IF(Settings!$E$15="POINTS",RANK(E26,E3:E407),H26)</f>
        <v>40</v>
      </c>
      <c r="D26" s="18" t="str" cm="1">
        <f t="array" ref="D26">VLOOKUP(A26,'The List'!B1:F671,5,FALSE)</f>
        <v>DET</v>
      </c>
      <c r="E26" s="55" cm="1">
        <f t="array" ref="E26">VLOOKUP(A26,'The List'!B1:I671,8,FALSE)</f>
        <v>6.8872346018090775</v>
      </c>
      <c r="F26" s="55" cm="1">
        <f t="array" ref="F26">IF(Settings!$E$15="POINTS",E26-VLOOKUP(B$2,C1:E407,3,FALSE),J26)</f>
        <v>1.5720322273351135</v>
      </c>
      <c r="G26" s="55"/>
      <c r="H26" s="166" cm="1">
        <f t="array" ref="H26">RANK(I26,I3:I407)</f>
        <v>40</v>
      </c>
      <c r="I26" s="167" cm="1">
        <f t="array" ref="I26">VLOOKUP(A26,'Standard Deviations'!A1:C672,3,FALSE)</f>
        <v>6.8872346018090775</v>
      </c>
      <c r="J26" s="167" cm="1">
        <f t="array" ref="J26">I26-VLOOKUP(B$2,H1:J407,2,FALSE)</f>
        <v>1.5720322273351135</v>
      </c>
    </row>
    <row r="27" spans="1:10" ht="21.25" customHeight="1" x14ac:dyDescent="0.15">
      <c r="A27" s="10" t="s">
        <v>180</v>
      </c>
      <c r="B27" s="165" t="str" cm="1">
        <f t="array" ref="B27">VLOOKUP(A27,'The List'!B1:D671,3,FALSE)</f>
        <v>LW</v>
      </c>
      <c r="C27" s="74" cm="1">
        <f t="array" ref="C27">IF(Settings!$E$15="POINTS",RANK(E27,E3:E407),H27)</f>
        <v>45</v>
      </c>
      <c r="D27" s="18" t="str" cm="1">
        <f t="array" ref="D27">VLOOKUP(A27,'The List'!B1:F671,5,FALSE)</f>
        <v>L.A</v>
      </c>
      <c r="E27" s="55" cm="1">
        <f t="array" ref="E27">VLOOKUP(A27,'The List'!B1:I671,8,FALSE)</f>
        <v>6.7723564461092902</v>
      </c>
      <c r="F27" s="55" cm="1">
        <f t="array" ref="F27">IF(Settings!$E$15="POINTS",E27-VLOOKUP(B$2,C1:E407,3,FALSE),J27)</f>
        <v>1.4571540716353262</v>
      </c>
      <c r="G27" s="55"/>
      <c r="H27" s="166" cm="1">
        <f t="array" ref="H27">RANK(I27,I3:I407)</f>
        <v>45</v>
      </c>
      <c r="I27" s="167" cm="1">
        <f t="array" ref="I27">VLOOKUP(A27,'Standard Deviations'!A1:C672,3,FALSE)</f>
        <v>6.7723564461092902</v>
      </c>
      <c r="J27" s="167" cm="1">
        <f t="array" ref="J27">I27-VLOOKUP(B$2,H1:J407,2,FALSE)</f>
        <v>1.4571540716353262</v>
      </c>
    </row>
    <row r="28" spans="1:10" ht="21.25" customHeight="1" x14ac:dyDescent="0.15">
      <c r="A28" s="10" t="s">
        <v>177</v>
      </c>
      <c r="B28" s="165" t="str" cm="1">
        <f t="array" ref="B28">VLOOKUP(A28,'The List'!B1:D671,3,FALSE)</f>
        <v>LW,RW</v>
      </c>
      <c r="C28" s="74" cm="1">
        <f t="array" ref="C28">IF(Settings!$E$15="POINTS",RANK(E28,E3:E407),H28)</f>
        <v>19</v>
      </c>
      <c r="D28" s="18" t="str" cm="1">
        <f t="array" ref="D28">VLOOKUP(A28,'The List'!B1:F671,5,FALSE)</f>
        <v>MTL</v>
      </c>
      <c r="E28" s="55" cm="1">
        <f t="array" ref="E28">VLOOKUP(A28,'The List'!B1:I671,8,FALSE)</f>
        <v>8.89104643795757</v>
      </c>
      <c r="F28" s="55" cm="1">
        <f t="array" ref="F28">IF(Settings!$E$15="POINTS",E28-VLOOKUP(B$2,C1:E407,3,FALSE),J28)</f>
        <v>3.575844063483606</v>
      </c>
      <c r="G28" s="55"/>
      <c r="H28" s="166" cm="1">
        <f t="array" ref="H28">RANK(I28,I3:I407)</f>
        <v>19</v>
      </c>
      <c r="I28" s="167" cm="1">
        <f t="array" ref="I28">VLOOKUP(A28,'Standard Deviations'!A1:C672,3,FALSE)</f>
        <v>8.89104643795757</v>
      </c>
      <c r="J28" s="167" cm="1">
        <f t="array" ref="J28">I28-VLOOKUP(B$2,H1:J407,2,FALSE)</f>
        <v>3.575844063483606</v>
      </c>
    </row>
    <row r="29" spans="1:10" ht="21.25" customHeight="1" x14ac:dyDescent="0.15">
      <c r="A29" s="10" t="s">
        <v>182</v>
      </c>
      <c r="B29" s="165" t="str" cm="1">
        <f t="array" ref="B29">VLOOKUP(A29,'The List'!B1:D671,3,FALSE)</f>
        <v>LW,RW</v>
      </c>
      <c r="C29" s="74" cm="1">
        <f t="array" ref="C29">IF(Settings!$E$15="POINTS",RANK(E29,E3:E407),H29)</f>
        <v>18</v>
      </c>
      <c r="D29" s="18" t="str" cm="1">
        <f t="array" ref="D29">VLOOKUP(A29,'The List'!B1:F671,5,FALSE)</f>
        <v>FLA</v>
      </c>
      <c r="E29" s="55" cm="1">
        <f t="array" ref="E29">VLOOKUP(A29,'The List'!B1:I671,8,FALSE)</f>
        <v>9.0948975523192228</v>
      </c>
      <c r="F29" s="55" cm="1">
        <f t="array" ref="F29">IF(Settings!$E$15="POINTS",E29-VLOOKUP(B$2,C1:E407,3,FALSE),J29)</f>
        <v>3.7796951778452588</v>
      </c>
      <c r="G29" s="55"/>
      <c r="H29" s="166" cm="1">
        <f t="array" ref="H29">RANK(I29,I3:I407)</f>
        <v>18</v>
      </c>
      <c r="I29" s="167" cm="1">
        <f t="array" ref="I29">VLOOKUP(A29,'Standard Deviations'!A1:C672,3,FALSE)</f>
        <v>9.0948975523192228</v>
      </c>
      <c r="J29" s="167" cm="1">
        <f t="array" ref="J29">I29-VLOOKUP(B$2,H1:J407,2,FALSE)</f>
        <v>3.7796951778452588</v>
      </c>
    </row>
    <row r="30" spans="1:10" ht="21.25" customHeight="1" x14ac:dyDescent="0.15">
      <c r="A30" s="10" t="s">
        <v>187</v>
      </c>
      <c r="B30" s="165" t="str" cm="1">
        <f t="array" ref="B30">VLOOKUP(A30,'The List'!B1:D671,3,FALSE)</f>
        <v>LW</v>
      </c>
      <c r="C30" s="74" cm="1">
        <f t="array" ref="C30">IF(Settings!$E$15="POINTS",RANK(E30,E3:E407),H30)</f>
        <v>27</v>
      </c>
      <c r="D30" s="18" t="str" cm="1">
        <f t="array" ref="D30">VLOOKUP(A30,'The List'!B1:F671,5,FALSE)</f>
        <v>NSH</v>
      </c>
      <c r="E30" s="55" cm="1">
        <f t="array" ref="E30">VLOOKUP(A30,'The List'!B1:I671,8,FALSE)</f>
        <v>7.8369395181287853</v>
      </c>
      <c r="F30" s="55" cm="1">
        <f t="array" ref="F30">IF(Settings!$E$15="POINTS",E30-VLOOKUP(B$2,C1:E407,3,FALSE),J30)</f>
        <v>2.5217371436548213</v>
      </c>
      <c r="G30" s="55"/>
      <c r="H30" s="166" cm="1">
        <f t="array" ref="H30">RANK(I30,I3:I407)</f>
        <v>27</v>
      </c>
      <c r="I30" s="167" cm="1">
        <f t="array" ref="I30">VLOOKUP(A30,'Standard Deviations'!A1:C672,3,FALSE)</f>
        <v>7.8369395181287853</v>
      </c>
      <c r="J30" s="167" cm="1">
        <f t="array" ref="J30">I30-VLOOKUP(B$2,H1:J407,2,FALSE)</f>
        <v>2.5217371436548213</v>
      </c>
    </row>
    <row r="31" spans="1:10" ht="21.25" customHeight="1" x14ac:dyDescent="0.15">
      <c r="A31" s="10" t="s">
        <v>171</v>
      </c>
      <c r="B31" s="165" t="str" cm="1">
        <f t="array" ref="B31">VLOOKUP(A31,'The List'!B1:D671,3,FALSE)</f>
        <v>C</v>
      </c>
      <c r="C31" s="74" cm="1">
        <f t="array" ref="C31">IF(Settings!$E$15="POINTS",RANK(E31,E3:E407),H31)</f>
        <v>22</v>
      </c>
      <c r="D31" s="18" t="str" cm="1">
        <f t="array" ref="D31">VLOOKUP(A31,'The List'!B1:F671,5,FALSE)</f>
        <v>FLA</v>
      </c>
      <c r="E31" s="55" cm="1">
        <f t="array" ref="E31">VLOOKUP(A31,'The List'!B1:I671,8,FALSE)</f>
        <v>8.4487396570364766</v>
      </c>
      <c r="F31" s="55" cm="1">
        <f t="array" ref="F31">IF(Settings!$E$15="POINTS",E31-VLOOKUP(B$2,C1:E407,3,FALSE),J31)</f>
        <v>3.1335372825625125</v>
      </c>
      <c r="G31" s="55"/>
      <c r="H31" s="166" cm="1">
        <f t="array" ref="H31">RANK(I31,I3:I407)</f>
        <v>22</v>
      </c>
      <c r="I31" s="167" cm="1">
        <f t="array" ref="I31">VLOOKUP(A31,'Standard Deviations'!A1:C672,3,FALSE)</f>
        <v>8.4487396570364766</v>
      </c>
      <c r="J31" s="167" cm="1">
        <f t="array" ref="J31">I31-VLOOKUP(B$2,H1:J407,2,FALSE)</f>
        <v>3.1335372825625125</v>
      </c>
    </row>
    <row r="32" spans="1:10" ht="21.25" customHeight="1" x14ac:dyDescent="0.15">
      <c r="A32" s="10" t="s">
        <v>185</v>
      </c>
      <c r="B32" s="165" t="str" cm="1">
        <f t="array" ref="B32">VLOOKUP(A32,'The List'!B1:D671,3,FALSE)</f>
        <v>C,LW,RW</v>
      </c>
      <c r="C32" s="74" cm="1">
        <f t="array" ref="C32">IF(Settings!$E$15="POINTS",RANK(E32,E3:E407),H32)</f>
        <v>33</v>
      </c>
      <c r="D32" s="18" t="str" cm="1">
        <f t="array" ref="D32">VLOOKUP(A32,'The List'!B1:F671,5,FALSE)</f>
        <v>VGK</v>
      </c>
      <c r="E32" s="55" cm="1">
        <f t="array" ref="E32">VLOOKUP(A32,'The List'!B1:I671,8,FALSE)</f>
        <v>7.452029453130919</v>
      </c>
      <c r="F32" s="55" cm="1">
        <f t="array" ref="F32">IF(Settings!$E$15="POINTS",E32-VLOOKUP(B$2,C1:E407,3,FALSE),J32)</f>
        <v>2.136827078656955</v>
      </c>
      <c r="G32" s="55"/>
      <c r="H32" s="166" cm="1">
        <f t="array" ref="H32">RANK(I32,I3:I407)</f>
        <v>33</v>
      </c>
      <c r="I32" s="167" cm="1">
        <f t="array" ref="I32">VLOOKUP(A32,'Standard Deviations'!A1:C672,3,FALSE)</f>
        <v>7.452029453130919</v>
      </c>
      <c r="J32" s="167" cm="1">
        <f t="array" ref="J32">I32-VLOOKUP(B$2,H1:J407,2,FALSE)</f>
        <v>2.136827078656955</v>
      </c>
    </row>
    <row r="33" spans="1:10" ht="21.25" customHeight="1" x14ac:dyDescent="0.15">
      <c r="A33" s="10" t="s">
        <v>173</v>
      </c>
      <c r="B33" s="165" t="str" cm="1">
        <f t="array" ref="B33">VLOOKUP(A33,'The List'!B1:D671,3,FALSE)</f>
        <v>C</v>
      </c>
      <c r="C33" s="74" cm="1">
        <f t="array" ref="C33">IF(Settings!$E$15="POINTS",RANK(E33,E3:E407),H33)</f>
        <v>36</v>
      </c>
      <c r="D33" s="18" t="str" cm="1">
        <f t="array" ref="D33">VLOOKUP(A33,'The List'!B1:F671,5,FALSE)</f>
        <v>PIT</v>
      </c>
      <c r="E33" s="55" cm="1">
        <f t="array" ref="E33">VLOOKUP(A33,'The List'!B1:I671,8,FALSE)</f>
        <v>7.0849097889380364</v>
      </c>
      <c r="F33" s="55" cm="1">
        <f t="array" ref="F33">IF(Settings!$E$15="POINTS",E33-VLOOKUP(B$2,C1:E407,3,FALSE),J33)</f>
        <v>1.7697074144640723</v>
      </c>
      <c r="G33" s="55"/>
      <c r="H33" s="166" cm="1">
        <f t="array" ref="H33">RANK(I33,I3:I407)</f>
        <v>36</v>
      </c>
      <c r="I33" s="167" cm="1">
        <f t="array" ref="I33">VLOOKUP(A33,'Standard Deviations'!A1:C672,3,FALSE)</f>
        <v>7.0849097889380364</v>
      </c>
      <c r="J33" s="167" cm="1">
        <f t="array" ref="J33">I33-VLOOKUP(B$2,H1:J407,2,FALSE)</f>
        <v>1.7697074144640723</v>
      </c>
    </row>
    <row r="34" spans="1:10" ht="21.25" customHeight="1" x14ac:dyDescent="0.15">
      <c r="A34" s="10" t="s">
        <v>179</v>
      </c>
      <c r="B34" s="165" t="str" cm="1">
        <f t="array" ref="B34">VLOOKUP(A34,'The List'!B1:D671,3,FALSE)</f>
        <v>C</v>
      </c>
      <c r="C34" s="74" cm="1">
        <f t="array" ref="C34">IF(Settings!$E$15="POINTS",RANK(E34,E3:E407),H34)</f>
        <v>60</v>
      </c>
      <c r="D34" s="18" t="str" cm="1">
        <f t="array" ref="D34">VLOOKUP(A34,'The List'!B1:F671,5,FALSE)</f>
        <v>WPG</v>
      </c>
      <c r="E34" s="55" cm="1">
        <f t="array" ref="E34">VLOOKUP(A34,'The List'!B1:I671,8,FALSE)</f>
        <v>5.8234709054452694</v>
      </c>
      <c r="F34" s="55" cm="1">
        <f t="array" ref="F34">IF(Settings!$E$15="POINTS",E34-VLOOKUP(B$2,C1:E407,3,FALSE),J34)</f>
        <v>0.50826853097130531</v>
      </c>
      <c r="G34" s="55"/>
      <c r="H34" s="166" cm="1">
        <f t="array" ref="H34">RANK(I34,I3:I407)</f>
        <v>60</v>
      </c>
      <c r="I34" s="167" cm="1">
        <f t="array" ref="I34">VLOOKUP(A34,'Standard Deviations'!A1:C672,3,FALSE)</f>
        <v>5.8234709054452694</v>
      </c>
      <c r="J34" s="167" cm="1">
        <f t="array" ref="J34">I34-VLOOKUP(B$2,H1:J407,2,FALSE)</f>
        <v>0.50826853097130531</v>
      </c>
    </row>
    <row r="35" spans="1:10" ht="21.25" customHeight="1" x14ac:dyDescent="0.15">
      <c r="A35" s="10" t="s">
        <v>189</v>
      </c>
      <c r="B35" s="165" t="str" cm="1">
        <f t="array" ref="B35">VLOOKUP(A35,'The List'!B1:D671,3,FALSE)</f>
        <v>LW,RW</v>
      </c>
      <c r="C35" s="74" cm="1">
        <f t="array" ref="C35">IF(Settings!$E$15="POINTS",RANK(E35,E3:E407),H35)</f>
        <v>23</v>
      </c>
      <c r="D35" s="18" t="str" cm="1">
        <f t="array" ref="D35">VLOOKUP(A35,'The List'!B1:F671,5,FALSE)</f>
        <v>T.B</v>
      </c>
      <c r="E35" s="55" cm="1">
        <f t="array" ref="E35">VLOOKUP(A35,'The List'!B1:I671,8,FALSE)</f>
        <v>8.4293905540180667</v>
      </c>
      <c r="F35" s="55" cm="1">
        <f t="array" ref="F35">IF(Settings!$E$15="POINTS",E35-VLOOKUP(B$2,C1:E407,3,FALSE),J35)</f>
        <v>3.1141881795441027</v>
      </c>
      <c r="G35" s="55"/>
      <c r="H35" s="166" cm="1">
        <f t="array" ref="H35">RANK(I35,I3:I407)</f>
        <v>23</v>
      </c>
      <c r="I35" s="167" cm="1">
        <f t="array" ref="I35">VLOOKUP(A35,'Standard Deviations'!A1:C672,3,FALSE)</f>
        <v>8.4293905540180667</v>
      </c>
      <c r="J35" s="167" cm="1">
        <f t="array" ref="J35">I35-VLOOKUP(B$2,H1:J407,2,FALSE)</f>
        <v>3.1141881795441027</v>
      </c>
    </row>
    <row r="36" spans="1:10" ht="21.25" customHeight="1" x14ac:dyDescent="0.15">
      <c r="A36" s="10" t="s">
        <v>190</v>
      </c>
      <c r="B36" s="165" t="str" cm="1">
        <f t="array" ref="B36">VLOOKUP(A36,'The List'!B1:D671,3,FALSE)</f>
        <v>RW</v>
      </c>
      <c r="C36" s="74" cm="1">
        <f t="array" ref="C36">IF(Settings!$E$15="POINTS",RANK(E36,E3:E407),H36)</f>
        <v>53</v>
      </c>
      <c r="D36" s="18" t="str" cm="1">
        <f t="array" ref="D36">VLOOKUP(A36,'The List'!B1:F671,5,FALSE)</f>
        <v>DET</v>
      </c>
      <c r="E36" s="55" cm="1">
        <f t="array" ref="E36">VLOOKUP(A36,'The List'!B1:I671,8,FALSE)</f>
        <v>6.1616765000049849</v>
      </c>
      <c r="F36" s="55" cm="1">
        <f t="array" ref="F36">IF(Settings!$E$15="POINTS",E36-VLOOKUP(B$2,C1:E407,3,FALSE),J36)</f>
        <v>0.84647412553102086</v>
      </c>
      <c r="G36" s="55"/>
      <c r="H36" s="166" cm="1">
        <f t="array" ref="H36">RANK(I36,I3:I407)</f>
        <v>53</v>
      </c>
      <c r="I36" s="167" cm="1">
        <f t="array" ref="I36">VLOOKUP(A36,'Standard Deviations'!A1:C672,3,FALSE)</f>
        <v>6.1616765000049849</v>
      </c>
      <c r="J36" s="167" cm="1">
        <f t="array" ref="J36">I36-VLOOKUP(B$2,H1:J407,2,FALSE)</f>
        <v>0.84647412553102086</v>
      </c>
    </row>
    <row r="37" spans="1:10" ht="21.25" customHeight="1" x14ac:dyDescent="0.15">
      <c r="A37" s="10" t="s">
        <v>192</v>
      </c>
      <c r="B37" s="165" t="str" cm="1">
        <f t="array" ref="B37">VLOOKUP(A37,'The List'!B1:D671,3,FALSE)</f>
        <v>LW,RW</v>
      </c>
      <c r="C37" s="74" cm="1">
        <f t="array" ref="C37">IF(Settings!$E$15="POINTS",RANK(E37,E3:E407),H37)</f>
        <v>20</v>
      </c>
      <c r="D37" s="18" t="str" cm="1">
        <f t="array" ref="D37">VLOOKUP(A37,'The List'!B1:F671,5,FALSE)</f>
        <v>T.B</v>
      </c>
      <c r="E37" s="55" cm="1">
        <f t="array" ref="E37">VLOOKUP(A37,'The List'!B1:I671,8,FALSE)</f>
        <v>8.5733122429739819</v>
      </c>
      <c r="F37" s="55" cm="1">
        <f t="array" ref="F37">IF(Settings!$E$15="POINTS",E37-VLOOKUP(B$2,C1:E407,3,FALSE),J37)</f>
        <v>3.2581098685000178</v>
      </c>
      <c r="G37" s="55"/>
      <c r="H37" s="166" cm="1">
        <f t="array" ref="H37">RANK(I37,I3:I407)</f>
        <v>20</v>
      </c>
      <c r="I37" s="167" cm="1">
        <f t="array" ref="I37">VLOOKUP(A37,'Standard Deviations'!A1:C672,3,FALSE)</f>
        <v>8.5733122429739819</v>
      </c>
      <c r="J37" s="167" cm="1">
        <f t="array" ref="J37">I37-VLOOKUP(B$2,H1:J407,2,FALSE)</f>
        <v>3.2581098685000178</v>
      </c>
    </row>
    <row r="38" spans="1:10" ht="21.25" customHeight="1" x14ac:dyDescent="0.15">
      <c r="A38" s="10" t="s">
        <v>195</v>
      </c>
      <c r="B38" s="165" t="str" cm="1">
        <f t="array" ref="B38">VLOOKUP(A38,'The List'!B1:D671,3,FALSE)</f>
        <v>C,RW</v>
      </c>
      <c r="C38" s="74" cm="1">
        <f t="array" ref="C38">IF(Settings!$E$15="POINTS",RANK(E38,E3:E407),H38)</f>
        <v>46</v>
      </c>
      <c r="D38" s="18" t="str" cm="1">
        <f t="array" ref="D38">VLOOKUP(A38,'The List'!B1:F671,5,FALSE)</f>
        <v>NYR</v>
      </c>
      <c r="E38" s="55" cm="1">
        <f t="array" ref="E38">VLOOKUP(A38,'The List'!B1:I671,8,FALSE)</f>
        <v>6.7566070852954736</v>
      </c>
      <c r="F38" s="55" cm="1">
        <f t="array" ref="F38">IF(Settings!$E$15="POINTS",E38-VLOOKUP(B$2,C1:E407,3,FALSE),J38)</f>
        <v>1.4414047108215096</v>
      </c>
      <c r="G38" s="55"/>
      <c r="H38" s="166" cm="1">
        <f t="array" ref="H38">RANK(I38,I3:I407)</f>
        <v>46</v>
      </c>
      <c r="I38" s="167" cm="1">
        <f t="array" ref="I38">VLOOKUP(A38,'Standard Deviations'!A1:C672,3,FALSE)</f>
        <v>6.7566070852954736</v>
      </c>
      <c r="J38" s="167" cm="1">
        <f t="array" ref="J38">I38-VLOOKUP(B$2,H1:J407,2,FALSE)</f>
        <v>1.4414047108215096</v>
      </c>
    </row>
    <row r="39" spans="1:10" ht="21.25" customHeight="1" x14ac:dyDescent="0.15">
      <c r="A39" s="10" t="s">
        <v>198</v>
      </c>
      <c r="B39" s="165" t="str" cm="1">
        <f t="array" ref="B39">VLOOKUP(A39,'The List'!B1:D671,3,FALSE)</f>
        <v>RW</v>
      </c>
      <c r="C39" s="74" cm="1">
        <f t="array" ref="C39">IF(Settings!$E$15="POINTS",RANK(E39,E3:E407),H39)</f>
        <v>31</v>
      </c>
      <c r="D39" s="18" t="str" cm="1">
        <f t="array" ref="D39">VLOOKUP(A39,'The List'!B1:F671,5,FALSE)</f>
        <v>FLA</v>
      </c>
      <c r="E39" s="55" cm="1">
        <f t="array" ref="E39">VLOOKUP(A39,'The List'!B1:I671,8,FALSE)</f>
        <v>7.7014084091085007</v>
      </c>
      <c r="F39" s="55" cm="1">
        <f t="array" ref="F39">IF(Settings!$E$15="POINTS",E39-VLOOKUP(B$2,C1:E407,3,FALSE),J39)</f>
        <v>2.3862060346345366</v>
      </c>
      <c r="G39" s="55"/>
      <c r="H39" s="166" cm="1">
        <f t="array" ref="H39">RANK(I39,I3:I407)</f>
        <v>31</v>
      </c>
      <c r="I39" s="167" cm="1">
        <f t="array" ref="I39">VLOOKUP(A39,'Standard Deviations'!A1:C672,3,FALSE)</f>
        <v>7.7014084091085007</v>
      </c>
      <c r="J39" s="167" cm="1">
        <f t="array" ref="J39">I39-VLOOKUP(B$2,H1:J407,2,FALSE)</f>
        <v>2.3862060346345366</v>
      </c>
    </row>
    <row r="40" spans="1:10" ht="21.25" customHeight="1" x14ac:dyDescent="0.15">
      <c r="A40" s="10" t="s">
        <v>193</v>
      </c>
      <c r="B40" s="165" t="str" cm="1">
        <f t="array" ref="B40">VLOOKUP(A40,'The List'!B1:D671,3,FALSE)</f>
        <v>C</v>
      </c>
      <c r="C40" s="74" cm="1">
        <f t="array" ref="C40">IF(Settings!$E$15="POINTS",RANK(E40,E3:E407),H40)</f>
        <v>54</v>
      </c>
      <c r="D40" s="18" t="str" cm="1">
        <f t="array" ref="D40">VLOOKUP(A40,'The List'!B1:F671,5,FALSE)</f>
        <v>N.J</v>
      </c>
      <c r="E40" s="55" cm="1">
        <f t="array" ref="E40">VLOOKUP(A40,'The List'!B1:I671,8,FALSE)</f>
        <v>6.0686657682051646</v>
      </c>
      <c r="F40" s="55" cm="1">
        <f t="array" ref="F40">IF(Settings!$E$15="POINTS",E40-VLOOKUP(B$2,C1:E407,3,FALSE),J40)</f>
        <v>0.75346339373120053</v>
      </c>
      <c r="G40" s="55"/>
      <c r="H40" s="166" cm="1">
        <f t="array" ref="H40">RANK(I40,I3:I407)</f>
        <v>54</v>
      </c>
      <c r="I40" s="167" cm="1">
        <f t="array" ref="I40">VLOOKUP(A40,'Standard Deviations'!A1:C672,3,FALSE)</f>
        <v>6.0686657682051646</v>
      </c>
      <c r="J40" s="167" cm="1">
        <f t="array" ref="J40">I40-VLOOKUP(B$2,H1:J407,2,FALSE)</f>
        <v>0.75346339373120053</v>
      </c>
    </row>
    <row r="41" spans="1:10" ht="21.25" customHeight="1" x14ac:dyDescent="0.15">
      <c r="A41" s="10" t="s">
        <v>194</v>
      </c>
      <c r="B41" s="165" t="str" cm="1">
        <f t="array" ref="B41">VLOOKUP(A41,'The List'!B1:D671,3,FALSE)</f>
        <v>C</v>
      </c>
      <c r="C41" s="74" cm="1">
        <f t="array" ref="C41">IF(Settings!$E$15="POINTS",RANK(E41,E3:E407),H41)</f>
        <v>29</v>
      </c>
      <c r="D41" s="18" t="str" cm="1">
        <f t="array" ref="D41">VLOOKUP(A41,'The List'!B1:F671,5,FALSE)</f>
        <v>CAR</v>
      </c>
      <c r="E41" s="55" cm="1">
        <f t="array" ref="E41">VLOOKUP(A41,'The List'!B1:I671,8,FALSE)</f>
        <v>7.7126021183076503</v>
      </c>
      <c r="F41" s="55" cm="1">
        <f t="array" ref="F41">IF(Settings!$E$15="POINTS",E41-VLOOKUP(B$2,C1:E407,3,FALSE),J41)</f>
        <v>2.3973997438336863</v>
      </c>
      <c r="G41" s="55"/>
      <c r="H41" s="166" cm="1">
        <f t="array" ref="H41">RANK(I41,I3:I407)</f>
        <v>29</v>
      </c>
      <c r="I41" s="167" cm="1">
        <f t="array" ref="I41">VLOOKUP(A41,'Standard Deviations'!A1:C672,3,FALSE)</f>
        <v>7.7126021183076503</v>
      </c>
      <c r="J41" s="167" cm="1">
        <f t="array" ref="J41">I41-VLOOKUP(B$2,H1:J407,2,FALSE)</f>
        <v>2.3973997438336863</v>
      </c>
    </row>
    <row r="42" spans="1:10" ht="21.25" customHeight="1" x14ac:dyDescent="0.15">
      <c r="A42" s="10" t="s">
        <v>208</v>
      </c>
      <c r="B42" s="165" t="str" cm="1">
        <f t="array" ref="B42">VLOOKUP(A42,'The List'!B1:D671,3,FALSE)</f>
        <v>C,LW</v>
      </c>
      <c r="C42" s="74" cm="1">
        <f t="array" ref="C42">IF(Settings!$E$15="POINTS",RANK(E42,E3:E407),H42)</f>
        <v>30</v>
      </c>
      <c r="D42" s="18" t="str" cm="1">
        <f t="array" ref="D42">VLOOKUP(A42,'The List'!B1:F671,5,FALSE)</f>
        <v>OTT</v>
      </c>
      <c r="E42" s="55" cm="1">
        <f t="array" ref="E42">VLOOKUP(A42,'The List'!B1:I671,8,FALSE)</f>
        <v>7.7123335151329222</v>
      </c>
      <c r="F42" s="55" cm="1">
        <f t="array" ref="F42">IF(Settings!$E$15="POINTS",E42-VLOOKUP(B$2,C1:E407,3,FALSE),J42)</f>
        <v>2.3971311406589582</v>
      </c>
      <c r="G42" s="55"/>
      <c r="H42" s="166" cm="1">
        <f t="array" ref="H42">RANK(I42,I3:I407)</f>
        <v>30</v>
      </c>
      <c r="I42" s="167" cm="1">
        <f t="array" ref="I42">VLOOKUP(A42,'Standard Deviations'!A1:C672,3,FALSE)</f>
        <v>7.7123335151329222</v>
      </c>
      <c r="J42" s="167" cm="1">
        <f t="array" ref="J42">I42-VLOOKUP(B$2,H1:J407,2,FALSE)</f>
        <v>2.3971311406589582</v>
      </c>
    </row>
    <row r="43" spans="1:10" ht="21.25" customHeight="1" x14ac:dyDescent="0.15">
      <c r="A43" s="10" t="s">
        <v>204</v>
      </c>
      <c r="B43" s="165" t="str" cm="1">
        <f t="array" ref="B43">VLOOKUP(A43,'The List'!B1:D671,3,FALSE)</f>
        <v>RW</v>
      </c>
      <c r="C43" s="74" cm="1">
        <f t="array" ref="C43">IF(Settings!$E$15="POINTS",RANK(E43,E3:E407),H43)</f>
        <v>41</v>
      </c>
      <c r="D43" s="18" t="str" cm="1">
        <f t="array" ref="D43">VLOOKUP(A43,'The List'!B1:F671,5,FALSE)</f>
        <v>CBJ</v>
      </c>
      <c r="E43" s="55" cm="1">
        <f t="array" ref="E43">VLOOKUP(A43,'The List'!B1:I671,8,FALSE)</f>
        <v>6.8789598675774295</v>
      </c>
      <c r="F43" s="55" cm="1">
        <f t="array" ref="F43">IF(Settings!$E$15="POINTS",E43-VLOOKUP(B$2,C1:E407,3,FALSE),J43)</f>
        <v>1.5637574931034655</v>
      </c>
      <c r="G43" s="55"/>
      <c r="H43" s="166" cm="1">
        <f t="array" ref="H43">RANK(I43,I3:I407)</f>
        <v>41</v>
      </c>
      <c r="I43" s="167" cm="1">
        <f t="array" ref="I43">VLOOKUP(A43,'Standard Deviations'!A1:C672,3,FALSE)</f>
        <v>6.8789598675774295</v>
      </c>
      <c r="J43" s="167" cm="1">
        <f t="array" ref="J43">I43-VLOOKUP(B$2,H1:J407,2,FALSE)</f>
        <v>1.5637574931034655</v>
      </c>
    </row>
    <row r="44" spans="1:10" ht="21.25" customHeight="1" x14ac:dyDescent="0.15">
      <c r="A44" s="10" t="s">
        <v>207</v>
      </c>
      <c r="B44" s="165" t="str" cm="1">
        <f t="array" ref="B44">VLOOKUP(A44,'The List'!B1:D671,3,FALSE)</f>
        <v>LW,RW</v>
      </c>
      <c r="C44" s="74" cm="1">
        <f t="array" ref="C44">IF(Settings!$E$15="POINTS",RANK(E44,E3:E407),H44)</f>
        <v>44</v>
      </c>
      <c r="D44" s="18" t="str" cm="1">
        <f t="array" ref="D44">VLOOKUP(A44,'The List'!B1:F671,5,FALSE)</f>
        <v>N.J</v>
      </c>
      <c r="E44" s="55" cm="1">
        <f t="array" ref="E44">VLOOKUP(A44,'The List'!B1:I671,8,FALSE)</f>
        <v>6.7986408508846496</v>
      </c>
      <c r="F44" s="55" cm="1">
        <f t="array" ref="F44">IF(Settings!$E$15="POINTS",E44-VLOOKUP(B$2,C1:E407,3,FALSE),J44)</f>
        <v>1.4834384764106856</v>
      </c>
      <c r="G44" s="55"/>
      <c r="H44" s="166" cm="1">
        <f t="array" ref="H44">RANK(I44,I3:I407)</f>
        <v>44</v>
      </c>
      <c r="I44" s="167" cm="1">
        <f t="array" ref="I44">VLOOKUP(A44,'Standard Deviations'!A1:C672,3,FALSE)</f>
        <v>6.7986408508846496</v>
      </c>
      <c r="J44" s="167" cm="1">
        <f t="array" ref="J44">I44-VLOOKUP(B$2,H1:J407,2,FALSE)</f>
        <v>1.4834384764106856</v>
      </c>
    </row>
    <row r="45" spans="1:10" ht="21.25" customHeight="1" x14ac:dyDescent="0.15">
      <c r="A45" s="10" t="s">
        <v>210</v>
      </c>
      <c r="B45" s="165" t="str" cm="1">
        <f t="array" ref="B45">VLOOKUP(A45,'The List'!B1:D671,3,FALSE)</f>
        <v>RW</v>
      </c>
      <c r="C45" s="74" cm="1">
        <f t="array" ref="C45">IF(Settings!$E$15="POINTS",RANK(E45,E3:E407),H45)</f>
        <v>48</v>
      </c>
      <c r="D45" s="18" t="str" cm="1">
        <f t="array" ref="D45">VLOOKUP(A45,'The List'!B1:F671,5,FALSE)</f>
        <v>L.A</v>
      </c>
      <c r="E45" s="55" cm="1">
        <f t="array" ref="E45">VLOOKUP(A45,'The List'!B1:I671,8,FALSE)</f>
        <v>6.7057070523140316</v>
      </c>
      <c r="F45" s="55" cm="1">
        <f t="array" ref="F45">IF(Settings!$E$15="POINTS",E45-VLOOKUP(B$2,C1:E407,3,FALSE),J45)</f>
        <v>1.3905046778400676</v>
      </c>
      <c r="G45" s="55"/>
      <c r="H45" s="166" cm="1">
        <f t="array" ref="H45">RANK(I45,I3:I407)</f>
        <v>48</v>
      </c>
      <c r="I45" s="167" cm="1">
        <f t="array" ref="I45">VLOOKUP(A45,'Standard Deviations'!A1:C672,3,FALSE)</f>
        <v>6.7057070523140316</v>
      </c>
      <c r="J45" s="167" cm="1">
        <f t="array" ref="J45">I45-VLOOKUP(B$2,H1:J407,2,FALSE)</f>
        <v>1.3905046778400676</v>
      </c>
    </row>
    <row r="46" spans="1:10" ht="21.25" customHeight="1" x14ac:dyDescent="0.15">
      <c r="A46" s="10" t="s">
        <v>200</v>
      </c>
      <c r="B46" s="165" t="str" cm="1">
        <f t="array" ref="B46">VLOOKUP(A46,'The List'!B1:D671,3,FALSE)</f>
        <v>C</v>
      </c>
      <c r="C46" s="74" cm="1">
        <f t="array" ref="C46">IF(Settings!$E$15="POINTS",RANK(E46,E3:E407),H46)</f>
        <v>63</v>
      </c>
      <c r="D46" s="18" t="str" cm="1">
        <f t="array" ref="D46">VLOOKUP(A46,'The List'!B1:F671,5,FALSE)</f>
        <v>DET</v>
      </c>
      <c r="E46" s="55" cm="1">
        <f t="array" ref="E46">VLOOKUP(A46,'The List'!B1:I671,8,FALSE)</f>
        <v>5.5140939176584007</v>
      </c>
      <c r="F46" s="55" cm="1">
        <f t="array" ref="F46">IF(Settings!$E$15="POINTS",E46-VLOOKUP(B$2,C1:E407,3,FALSE),J46)</f>
        <v>0.19889154318443669</v>
      </c>
      <c r="G46" s="55"/>
      <c r="H46" s="166" cm="1">
        <f t="array" ref="H46">RANK(I46,I3:I407)</f>
        <v>63</v>
      </c>
      <c r="I46" s="167" cm="1">
        <f t="array" ref="I46">VLOOKUP(A46,'Standard Deviations'!A1:C672,3,FALSE)</f>
        <v>5.5140939176584007</v>
      </c>
      <c r="J46" s="167" cm="1">
        <f t="array" ref="J46">I46-VLOOKUP(B$2,H1:J407,2,FALSE)</f>
        <v>0.19889154318443669</v>
      </c>
    </row>
    <row r="47" spans="1:10" ht="21.25" customHeight="1" x14ac:dyDescent="0.15">
      <c r="A47" s="10" t="s">
        <v>201</v>
      </c>
      <c r="B47" s="165" t="str" cm="1">
        <f t="array" ref="B47">VLOOKUP(A47,'The List'!B1:D671,3,FALSE)</f>
        <v>C</v>
      </c>
      <c r="C47" s="74" cm="1">
        <f t="array" ref="C47">IF(Settings!$E$15="POINTS",RANK(E47,E3:E407),H47)</f>
        <v>266</v>
      </c>
      <c r="D47" s="18" t="str" cm="1">
        <f t="array" ref="D47">VLOOKUP(A47,'The List'!B1:F671,5,FALSE)</f>
        <v>NYI</v>
      </c>
      <c r="E47" s="55" cm="1">
        <f t="array" ref="E47">VLOOKUP(A47,'The List'!B1:I671,8,FALSE)</f>
        <v>-1.2603599746349046</v>
      </c>
      <c r="F47" s="55" cm="1">
        <f t="array" ref="F47">IF(Settings!$E$15="POINTS",E47-VLOOKUP(B$2,C1:E407,3,FALSE),J47)</f>
        <v>-6.5755623491088686</v>
      </c>
      <c r="G47" s="55"/>
      <c r="H47" s="166" cm="1">
        <f t="array" ref="H47">RANK(I47,I3:I407)</f>
        <v>266</v>
      </c>
      <c r="I47" s="167" cm="1">
        <f t="array" ref="I47">VLOOKUP(A47,'Standard Deviations'!A1:C672,3,FALSE)</f>
        <v>-1.2603599746349046</v>
      </c>
      <c r="J47" s="167" cm="1">
        <f t="array" ref="J47">I47-VLOOKUP(B$2,H1:J407,2,FALSE)</f>
        <v>-6.5755623491088686</v>
      </c>
    </row>
    <row r="48" spans="1:10" ht="21.25" customHeight="1" x14ac:dyDescent="0.15">
      <c r="A48" s="10" t="s">
        <v>212</v>
      </c>
      <c r="B48" s="165" t="str" cm="1">
        <f t="array" ref="B48">VLOOKUP(A48,'The List'!B1:D671,3,FALSE)</f>
        <v>C,RW</v>
      </c>
      <c r="C48" s="74" cm="1">
        <f t="array" ref="C48">IF(Settings!$E$15="POINTS",RANK(E48,E3:E407),H48)</f>
        <v>103</v>
      </c>
      <c r="D48" s="18" t="str" cm="1">
        <f t="array" ref="D48">VLOOKUP(A48,'The List'!B1:F671,5,FALSE)</f>
        <v>CHI</v>
      </c>
      <c r="E48" s="55" cm="1">
        <f t="array" ref="E48">VLOOKUP(A48,'The List'!B1:I671,8,FALSE)</f>
        <v>3.3407085925006084</v>
      </c>
      <c r="F48" s="55" cm="1">
        <f t="array" ref="F48">IF(Settings!$E$15="POINTS",E48-VLOOKUP(B$2,C1:E407,3,FALSE),J48)</f>
        <v>-1.9744937819733557</v>
      </c>
      <c r="G48" s="55"/>
      <c r="H48" s="166" cm="1">
        <f t="array" ref="H48">RANK(I48,I3:I407)</f>
        <v>103</v>
      </c>
      <c r="I48" s="167" cm="1">
        <f t="array" ref="I48">VLOOKUP(A48,'Standard Deviations'!A1:C672,3,FALSE)</f>
        <v>3.3407085925006084</v>
      </c>
      <c r="J48" s="167" cm="1">
        <f t="array" ref="J48">I48-VLOOKUP(B$2,H1:J407,2,FALSE)</f>
        <v>-1.9744937819733557</v>
      </c>
    </row>
    <row r="49" spans="1:10" ht="21.25" customHeight="1" x14ac:dyDescent="0.15">
      <c r="A49" s="10" t="s">
        <v>209</v>
      </c>
      <c r="B49" s="165" t="str" cm="1">
        <f t="array" ref="B49">VLOOKUP(A49,'The List'!B1:D671,3,FALSE)</f>
        <v>C</v>
      </c>
      <c r="C49" s="74" cm="1">
        <f t="array" ref="C49">IF(Settings!$E$15="POINTS",RANK(E49,E3:E407),H49)</f>
        <v>49</v>
      </c>
      <c r="D49" s="18" t="str" cm="1">
        <f t="array" ref="D49">VLOOKUP(A49,'The List'!B1:F671,5,FALSE)</f>
        <v>UTA</v>
      </c>
      <c r="E49" s="55" cm="1">
        <f t="array" ref="E49">VLOOKUP(A49,'The List'!B1:I671,8,FALSE)</f>
        <v>6.498822946941254</v>
      </c>
      <c r="F49" s="55" cm="1">
        <f t="array" ref="F49">IF(Settings!$E$15="POINTS",E49-VLOOKUP(B$2,C1:E407,3,FALSE),J49)</f>
        <v>1.1836205724672899</v>
      </c>
      <c r="G49" s="55"/>
      <c r="H49" s="166" cm="1">
        <f t="array" ref="H49">RANK(I49,I3:I407)</f>
        <v>49</v>
      </c>
      <c r="I49" s="167" cm="1">
        <f t="array" ref="I49">VLOOKUP(A49,'Standard Deviations'!A1:C672,3,FALSE)</f>
        <v>6.498822946941254</v>
      </c>
      <c r="J49" s="167" cm="1">
        <f t="array" ref="J49">I49-VLOOKUP(B$2,H1:J407,2,FALSE)</f>
        <v>1.1836205724672899</v>
      </c>
    </row>
    <row r="50" spans="1:10" ht="21.25" customHeight="1" x14ac:dyDescent="0.15">
      <c r="A50" s="10" t="s">
        <v>220</v>
      </c>
      <c r="B50" s="165" t="str" cm="1">
        <f t="array" ref="B50">VLOOKUP(A50,'The List'!B1:D671,3,FALSE)</f>
        <v>LW</v>
      </c>
      <c r="C50" s="74" cm="1">
        <f t="array" ref="C50">IF(Settings!$E$15="POINTS",RANK(E50,E3:E407),H50)</f>
        <v>38</v>
      </c>
      <c r="D50" s="18" t="str" cm="1">
        <f t="array" ref="D50">VLOOKUP(A50,'The List'!B1:F671,5,FALSE)</f>
        <v>CAR</v>
      </c>
      <c r="E50" s="55" cm="1">
        <f t="array" ref="E50">VLOOKUP(A50,'The List'!B1:I671,8,FALSE)</f>
        <v>6.8970892151041214</v>
      </c>
      <c r="F50" s="55" cm="1">
        <f t="array" ref="F50">IF(Settings!$E$15="POINTS",E50-VLOOKUP(B$2,C1:E407,3,FALSE),J50)</f>
        <v>1.5818868406301574</v>
      </c>
      <c r="G50" s="55"/>
      <c r="H50" s="166" cm="1">
        <f t="array" ref="H50">RANK(I50,I3:I407)</f>
        <v>38</v>
      </c>
      <c r="I50" s="167" cm="1">
        <f t="array" ref="I50">VLOOKUP(A50,'Standard Deviations'!A1:C672,3,FALSE)</f>
        <v>6.8970892151041214</v>
      </c>
      <c r="J50" s="167" cm="1">
        <f t="array" ref="J50">I50-VLOOKUP(B$2,H1:J407,2,FALSE)</f>
        <v>1.5818868406301574</v>
      </c>
    </row>
    <row r="51" spans="1:10" ht="21.25" customHeight="1" x14ac:dyDescent="0.15">
      <c r="A51" s="10" t="s">
        <v>213</v>
      </c>
      <c r="B51" s="165" t="str" cm="1">
        <f t="array" ref="B51">VLOOKUP(A51,'The List'!B1:D671,3,FALSE)</f>
        <v>C</v>
      </c>
      <c r="C51" s="74" cm="1">
        <f t="array" ref="C51">IF(Settings!$E$15="POINTS",RANK(E51,E3:E407),H51)</f>
        <v>56</v>
      </c>
      <c r="D51" s="18" t="str" cm="1">
        <f t="array" ref="D51">VLOOKUP(A51,'The List'!B1:F671,5,FALSE)</f>
        <v>CBJ</v>
      </c>
      <c r="E51" s="55" cm="1">
        <f t="array" ref="E51">VLOOKUP(A51,'The List'!B1:I671,8,FALSE)</f>
        <v>6.01368038721973</v>
      </c>
      <c r="F51" s="55" cm="1">
        <f t="array" ref="F51">IF(Settings!$E$15="POINTS",E51-VLOOKUP(B$2,C1:E407,3,FALSE),J51)</f>
        <v>0.69847801274576593</v>
      </c>
      <c r="G51" s="55"/>
      <c r="H51" s="166" cm="1">
        <f t="array" ref="H51">RANK(I51,I3:I407)</f>
        <v>56</v>
      </c>
      <c r="I51" s="167" cm="1">
        <f t="array" ref="I51">VLOOKUP(A51,'Standard Deviations'!A1:C672,3,FALSE)</f>
        <v>6.01368038721973</v>
      </c>
      <c r="J51" s="167" cm="1">
        <f t="array" ref="J51">I51-VLOOKUP(B$2,H1:J407,2,FALSE)</f>
        <v>0.69847801274576593</v>
      </c>
    </row>
    <row r="52" spans="1:10" ht="21.25" customHeight="1" x14ac:dyDescent="0.15">
      <c r="A52" s="10" t="s">
        <v>226</v>
      </c>
      <c r="B52" s="165" t="str" cm="1">
        <f t="array" ref="B52">VLOOKUP(A52,'The List'!B1:D671,3,FALSE)</f>
        <v>C,LW</v>
      </c>
      <c r="C52" s="74" cm="1">
        <f t="array" ref="C52">IF(Settings!$E$15="POINTS",RANK(E52,E3:E407),H52)</f>
        <v>9</v>
      </c>
      <c r="D52" s="18" t="str" cm="1">
        <f t="array" ref="D52">VLOOKUP(A52,'The List'!B1:F671,5,FALSE)</f>
        <v>FLA</v>
      </c>
      <c r="E52" s="55" cm="1">
        <f t="array" ref="E52">VLOOKUP(A52,'The List'!B1:I671,8,FALSE)</f>
        <v>10.567812064490829</v>
      </c>
      <c r="F52" s="55" cm="1">
        <f t="array" ref="F52">IF(Settings!$E$15="POINTS",E52-VLOOKUP(B$2,C1:E407,3,FALSE),J52)</f>
        <v>5.2526096900168646</v>
      </c>
      <c r="G52" s="55"/>
      <c r="H52" s="166" cm="1">
        <f t="array" ref="H52">RANK(I52,I3:I407)</f>
        <v>9</v>
      </c>
      <c r="I52" s="167" cm="1">
        <f t="array" ref="I52">VLOOKUP(A52,'Standard Deviations'!A1:C672,3,FALSE)</f>
        <v>10.567812064490829</v>
      </c>
      <c r="J52" s="167" cm="1">
        <f t="array" ref="J52">I52-VLOOKUP(B$2,H1:J407,2,FALSE)</f>
        <v>5.2526096900168646</v>
      </c>
    </row>
    <row r="53" spans="1:10" ht="21.25" customHeight="1" x14ac:dyDescent="0.15">
      <c r="A53" s="10" t="s">
        <v>221</v>
      </c>
      <c r="B53" s="165" t="str" cm="1">
        <f t="array" ref="B53">VLOOKUP(A53,'The List'!B1:D671,3,FALSE)</f>
        <v>LW,RW</v>
      </c>
      <c r="C53" s="74" cm="1">
        <f t="array" ref="C53">IF(Settings!$E$15="POINTS",RANK(E53,E3:E407),H53)</f>
        <v>78</v>
      </c>
      <c r="D53" s="18" t="str" cm="1">
        <f t="array" ref="D53">VLOOKUP(A53,'The List'!B1:F671,5,FALSE)</f>
        <v>S.J</v>
      </c>
      <c r="E53" s="55" cm="1">
        <f t="array" ref="E53">VLOOKUP(A53,'The List'!B1:I671,8,FALSE)</f>
        <v>4.6309781540389636</v>
      </c>
      <c r="F53" s="55" cm="1">
        <f t="array" ref="F53">IF(Settings!$E$15="POINTS",E53-VLOOKUP(B$2,C1:E407,3,FALSE),J53)</f>
        <v>-0.68422422043500042</v>
      </c>
      <c r="G53" s="55"/>
      <c r="H53" s="166" cm="1">
        <f t="array" ref="H53">RANK(I53,I3:I407)</f>
        <v>78</v>
      </c>
      <c r="I53" s="167" cm="1">
        <f t="array" ref="I53">VLOOKUP(A53,'Standard Deviations'!A1:C672,3,FALSE)</f>
        <v>4.6309781540389636</v>
      </c>
      <c r="J53" s="167" cm="1">
        <f t="array" ref="J53">I53-VLOOKUP(B$2,H1:J407,2,FALSE)</f>
        <v>-0.68422422043500042</v>
      </c>
    </row>
    <row r="54" spans="1:10" ht="21.25" customHeight="1" x14ac:dyDescent="0.15">
      <c r="A54" s="10" t="s">
        <v>223</v>
      </c>
      <c r="B54" s="165" t="str" cm="1">
        <f t="array" ref="B54">VLOOKUP(A54,'The List'!B1:D671,3,FALSE)</f>
        <v>RW</v>
      </c>
      <c r="C54" s="74" cm="1">
        <f t="array" ref="C54">IF(Settings!$E$15="POINTS",RANK(E54,E3:E407),H54)</f>
        <v>114</v>
      </c>
      <c r="D54" s="18" t="str" cm="1">
        <f t="array" ref="D54">VLOOKUP(A54,'The List'!B1:F671,5,FALSE)</f>
        <v>PIT</v>
      </c>
      <c r="E54" s="55" cm="1">
        <f t="array" ref="E54">VLOOKUP(A54,'The List'!B1:I671,8,FALSE)</f>
        <v>2.7678087956547217</v>
      </c>
      <c r="F54" s="55" cm="1">
        <f t="array" ref="F54">IF(Settings!$E$15="POINTS",E54-VLOOKUP(B$2,C1:E407,3,FALSE),J54)</f>
        <v>-2.5473935788192423</v>
      </c>
      <c r="G54" s="55"/>
      <c r="H54" s="166" cm="1">
        <f t="array" ref="H54">RANK(I54,I3:I407)</f>
        <v>114</v>
      </c>
      <c r="I54" s="167" cm="1">
        <f t="array" ref="I54">VLOOKUP(A54,'Standard Deviations'!A1:C672,3,FALSE)</f>
        <v>2.7678087956547217</v>
      </c>
      <c r="J54" s="167" cm="1">
        <f t="array" ref="J54">I54-VLOOKUP(B$2,H1:J407,2,FALSE)</f>
        <v>-2.5473935788192423</v>
      </c>
    </row>
    <row r="55" spans="1:10" ht="21.25" customHeight="1" x14ac:dyDescent="0.15">
      <c r="A55" s="10" t="s">
        <v>228</v>
      </c>
      <c r="B55" s="165" t="str" cm="1">
        <f t="array" ref="B55">VLOOKUP(A55,'The List'!B1:D671,3,FALSE)</f>
        <v>LW,RW</v>
      </c>
      <c r="C55" s="74" cm="1">
        <f t="array" ref="C55">IF(Settings!$E$15="POINTS",RANK(E55,E3:E407),H55)</f>
        <v>47</v>
      </c>
      <c r="D55" s="18" t="str" cm="1">
        <f t="array" ref="D55">VLOOKUP(A55,'The List'!B1:F671,5,FALSE)</f>
        <v>MTL</v>
      </c>
      <c r="E55" s="55" cm="1">
        <f t="array" ref="E55">VLOOKUP(A55,'The List'!B1:I671,8,FALSE)</f>
        <v>6.7396192811947193</v>
      </c>
      <c r="F55" s="55" cm="1">
        <f t="array" ref="F55">IF(Settings!$E$15="POINTS",E55-VLOOKUP(B$2,C1:E407,3,FALSE),J55)</f>
        <v>1.4244169067207553</v>
      </c>
      <c r="G55" s="55"/>
      <c r="H55" s="166" cm="1">
        <f t="array" ref="H55">RANK(I55,I3:I407)</f>
        <v>47</v>
      </c>
      <c r="I55" s="167" cm="1">
        <f t="array" ref="I55">VLOOKUP(A55,'Standard Deviations'!A1:C672,3,FALSE)</f>
        <v>6.7396192811947193</v>
      </c>
      <c r="J55" s="167" cm="1">
        <f t="array" ref="J55">I55-VLOOKUP(B$2,H1:J407,2,FALSE)</f>
        <v>1.4244169067207553</v>
      </c>
    </row>
    <row r="56" spans="1:10" ht="21.25" customHeight="1" x14ac:dyDescent="0.15">
      <c r="A56" s="10" t="s">
        <v>219</v>
      </c>
      <c r="B56" s="165" t="str" cm="1">
        <f t="array" ref="B56">VLOOKUP(A56,'The List'!B1:D671,3,FALSE)</f>
        <v>C</v>
      </c>
      <c r="C56" s="74" cm="1">
        <f t="array" ref="C56">IF(Settings!$E$15="POINTS",RANK(E56,E3:E407),H56)</f>
        <v>91</v>
      </c>
      <c r="D56" s="18" t="str" cm="1">
        <f t="array" ref="D56">VLOOKUP(A56,'The List'!B1:F671,5,FALSE)</f>
        <v>STL</v>
      </c>
      <c r="E56" s="55" cm="1">
        <f t="array" ref="E56">VLOOKUP(A56,'The List'!B1:I671,8,FALSE)</f>
        <v>4.0355525585880336</v>
      </c>
      <c r="F56" s="55" cm="1">
        <f t="array" ref="F56">IF(Settings!$E$15="POINTS",E56-VLOOKUP(B$2,C1:E407,3,FALSE),J56)</f>
        <v>-1.2796498158859304</v>
      </c>
      <c r="G56" s="55"/>
      <c r="H56" s="166" cm="1">
        <f t="array" ref="H56">RANK(I56,I3:I407)</f>
        <v>91</v>
      </c>
      <c r="I56" s="167" cm="1">
        <f t="array" ref="I56">VLOOKUP(A56,'Standard Deviations'!A1:C672,3,FALSE)</f>
        <v>4.0355525585880336</v>
      </c>
      <c r="J56" s="167" cm="1">
        <f t="array" ref="J56">I56-VLOOKUP(B$2,H1:J407,2,FALSE)</f>
        <v>-1.2796498158859304</v>
      </c>
    </row>
    <row r="57" spans="1:10" ht="21.25" customHeight="1" x14ac:dyDescent="0.15">
      <c r="A57" s="10" t="s">
        <v>225</v>
      </c>
      <c r="B57" s="165" t="str" cm="1">
        <f t="array" ref="B57">VLOOKUP(A57,'The List'!B1:D671,3,FALSE)</f>
        <v>C</v>
      </c>
      <c r="C57" s="74" cm="1">
        <f t="array" ref="C57">IF(Settings!$E$15="POINTS",RANK(E57,E3:E407),H57)</f>
        <v>52</v>
      </c>
      <c r="D57" s="18" t="str" cm="1">
        <f t="array" ref="D57">VLOOKUP(A57,'The List'!B1:F671,5,FALSE)</f>
        <v>T.B</v>
      </c>
      <c r="E57" s="55" cm="1">
        <f t="array" ref="E57">VLOOKUP(A57,'The List'!B1:I671,8,FALSE)</f>
        <v>6.2967915213931303</v>
      </c>
      <c r="F57" s="55" cm="1">
        <f t="array" ref="F57">IF(Settings!$E$15="POINTS",E57-VLOOKUP(B$2,C1:E407,3,FALSE),J57)</f>
        <v>0.98158914691916621</v>
      </c>
      <c r="G57" s="55"/>
      <c r="H57" s="166" cm="1">
        <f t="array" ref="H57">RANK(I57,I3:I407)</f>
        <v>52</v>
      </c>
      <c r="I57" s="167" cm="1">
        <f t="array" ref="I57">VLOOKUP(A57,'Standard Deviations'!A1:C672,3,FALSE)</f>
        <v>6.2967915213931303</v>
      </c>
      <c r="J57" s="167" cm="1">
        <f t="array" ref="J57">I57-VLOOKUP(B$2,H1:J407,2,FALSE)</f>
        <v>0.98158914691916621</v>
      </c>
    </row>
    <row r="58" spans="1:10" ht="21.25" customHeight="1" x14ac:dyDescent="0.15">
      <c r="A58" s="10" t="s">
        <v>240</v>
      </c>
      <c r="B58" s="165" t="str" cm="1">
        <f t="array" ref="B58">VLOOKUP(A58,'The List'!B1:D671,3,FALSE)</f>
        <v>C,LW</v>
      </c>
      <c r="C58" s="74" cm="1">
        <f t="array" ref="C58">IF(Settings!$E$15="POINTS",RANK(E58,E3:E407),H58)</f>
        <v>42</v>
      </c>
      <c r="D58" s="18" t="str" cm="1">
        <f t="array" ref="D58">VLOOKUP(A58,'The List'!B1:F671,5,FALSE)</f>
        <v>STL</v>
      </c>
      <c r="E58" s="55" cm="1">
        <f t="array" ref="E58">VLOOKUP(A58,'The List'!B1:I671,8,FALSE)</f>
        <v>6.8566941417719347</v>
      </c>
      <c r="F58" s="55" cm="1">
        <f t="array" ref="F58">IF(Settings!$E$15="POINTS",E58-VLOOKUP(B$2,C1:E407,3,FALSE),J58)</f>
        <v>1.5414917672979707</v>
      </c>
      <c r="G58" s="55"/>
      <c r="H58" s="166" cm="1">
        <f t="array" ref="H58">RANK(I58,I3:I407)</f>
        <v>42</v>
      </c>
      <c r="I58" s="167" cm="1">
        <f t="array" ref="I58">VLOOKUP(A58,'Standard Deviations'!A1:C672,3,FALSE)</f>
        <v>6.8566941417719347</v>
      </c>
      <c r="J58" s="167" cm="1">
        <f t="array" ref="J58">I58-VLOOKUP(B$2,H1:J407,2,FALSE)</f>
        <v>1.5414917672979707</v>
      </c>
    </row>
    <row r="59" spans="1:10" ht="21.25" customHeight="1" x14ac:dyDescent="0.15">
      <c r="A59" s="10" t="s">
        <v>236</v>
      </c>
      <c r="B59" s="165" t="str" cm="1">
        <f t="array" ref="B59">VLOOKUP(A59,'The List'!B1:D671,3,FALSE)</f>
        <v>RW</v>
      </c>
      <c r="C59" s="74" cm="1">
        <f t="array" ref="C59">IF(Settings!$E$15="POINTS",RANK(E59,E3:E407),H59)</f>
        <v>43</v>
      </c>
      <c r="D59" s="18" t="str" cm="1">
        <f t="array" ref="D59">VLOOKUP(A59,'The List'!B1:F671,5,FALSE)</f>
        <v>ANA</v>
      </c>
      <c r="E59" s="55" cm="1">
        <f t="array" ref="E59">VLOOKUP(A59,'The List'!B1:I671,8,FALSE)</f>
        <v>6.8533294164904808</v>
      </c>
      <c r="F59" s="55" cm="1">
        <f t="array" ref="F59">IF(Settings!$E$15="POINTS",E59-VLOOKUP(B$2,C1:E407,3,FALSE),J59)</f>
        <v>1.5381270420165167</v>
      </c>
      <c r="G59" s="55"/>
      <c r="H59" s="166" cm="1">
        <f t="array" ref="H59">RANK(I59,I3:I407)</f>
        <v>43</v>
      </c>
      <c r="I59" s="167" cm="1">
        <f t="array" ref="I59">VLOOKUP(A59,'Standard Deviations'!A1:C672,3,FALSE)</f>
        <v>6.8533294164904808</v>
      </c>
      <c r="J59" s="167" cm="1">
        <f t="array" ref="J59">I59-VLOOKUP(B$2,H1:J407,2,FALSE)</f>
        <v>1.5381270420165167</v>
      </c>
    </row>
    <row r="60" spans="1:10" ht="21.25" customHeight="1" x14ac:dyDescent="0.15">
      <c r="A60" s="10" t="s">
        <v>237</v>
      </c>
      <c r="B60" s="165" t="str" cm="1">
        <f t="array" ref="B60">VLOOKUP(A60,'The List'!B1:D671,3,FALSE)</f>
        <v>LW,RW</v>
      </c>
      <c r="C60" s="74" cm="1">
        <f t="array" ref="C60">IF(Settings!$E$15="POINTS",RANK(E60,E3:E407),H60)</f>
        <v>62</v>
      </c>
      <c r="D60" s="18" t="str" cm="1">
        <f t="array" ref="D60">VLOOKUP(A60,'The List'!B1:F671,5,FALSE)</f>
        <v>NYR</v>
      </c>
      <c r="E60" s="55" cm="1">
        <f t="array" ref="E60">VLOOKUP(A60,'The List'!B1:I671,8,FALSE)</f>
        <v>5.5469147970908184</v>
      </c>
      <c r="F60" s="55" cm="1">
        <f t="array" ref="F60">IF(Settings!$E$15="POINTS",E60-VLOOKUP(B$2,C1:E407,3,FALSE),J60)</f>
        <v>0.23171242261685432</v>
      </c>
      <c r="G60" s="55"/>
      <c r="H60" s="166" cm="1">
        <f t="array" ref="H60">RANK(I60,I3:I407)</f>
        <v>62</v>
      </c>
      <c r="I60" s="167" cm="1">
        <f t="array" ref="I60">VLOOKUP(A60,'Standard Deviations'!A1:C672,3,FALSE)</f>
        <v>5.5469147970908184</v>
      </c>
      <c r="J60" s="167" cm="1">
        <f t="array" ref="J60">I60-VLOOKUP(B$2,H1:J407,2,FALSE)</f>
        <v>0.23171242261685432</v>
      </c>
    </row>
    <row r="61" spans="1:10" ht="21.25" customHeight="1" x14ac:dyDescent="0.15">
      <c r="A61" s="10" t="s">
        <v>227</v>
      </c>
      <c r="B61" s="165" t="str" cm="1">
        <f t="array" ref="B61">VLOOKUP(A61,'The List'!B1:D671,3,FALSE)</f>
        <v>C</v>
      </c>
      <c r="C61" s="74" cm="1">
        <f t="array" ref="C61">IF(Settings!$E$15="POINTS",RANK(E61,E3:E407),H61)</f>
        <v>59</v>
      </c>
      <c r="D61" s="18" t="str" cm="1">
        <f t="array" ref="D61">VLOOKUP(A61,'The List'!B1:F671,5,FALSE)</f>
        <v>DAL</v>
      </c>
      <c r="E61" s="55" cm="1">
        <f t="array" ref="E61">VLOOKUP(A61,'The List'!B1:I671,8,FALSE)</f>
        <v>5.8259822016433942</v>
      </c>
      <c r="F61" s="55" cm="1">
        <f t="array" ref="F61">IF(Settings!$E$15="POINTS",E61-VLOOKUP(B$2,C1:E407,3,FALSE),J61)</f>
        <v>0.51077982716943016</v>
      </c>
      <c r="G61" s="55"/>
      <c r="H61" s="166" cm="1">
        <f t="array" ref="H61">RANK(I61,I3:I407)</f>
        <v>59</v>
      </c>
      <c r="I61" s="167" cm="1">
        <f t="array" ref="I61">VLOOKUP(A61,'Standard Deviations'!A1:C672,3,FALSE)</f>
        <v>5.8259822016433942</v>
      </c>
      <c r="J61" s="167" cm="1">
        <f t="array" ref="J61">I61-VLOOKUP(B$2,H1:J407,2,FALSE)</f>
        <v>0.51077982716943016</v>
      </c>
    </row>
    <row r="62" spans="1:10" ht="21.25" customHeight="1" x14ac:dyDescent="0.15">
      <c r="A62" s="10" t="s">
        <v>243</v>
      </c>
      <c r="B62" s="165" t="str" cm="1">
        <f t="array" ref="B62">VLOOKUP(A62,'The List'!B1:D671,3,FALSE)</f>
        <v>C,RW</v>
      </c>
      <c r="C62" s="74" cm="1">
        <f t="array" ref="C62">IF(Settings!$E$15="POINTS",RANK(E62,E3:E407),H62)</f>
        <v>83</v>
      </c>
      <c r="D62" s="18" t="str" cm="1">
        <f t="array" ref="D62">VLOOKUP(A62,'The List'!B1:F671,5,FALSE)</f>
        <v>UTA</v>
      </c>
      <c r="E62" s="55" cm="1">
        <f t="array" ref="E62">VLOOKUP(A62,'The List'!B1:I671,8,FALSE)</f>
        <v>4.3916714033430972</v>
      </c>
      <c r="F62" s="55" cm="1">
        <f t="array" ref="F62">IF(Settings!$E$15="POINTS",E62-VLOOKUP(B$2,C1:E407,3,FALSE),J62)</f>
        <v>-0.9235309711308668</v>
      </c>
      <c r="G62" s="55"/>
      <c r="H62" s="166" cm="1">
        <f t="array" ref="H62">RANK(I62,I3:I407)</f>
        <v>83</v>
      </c>
      <c r="I62" s="167" cm="1">
        <f t="array" ref="I62">VLOOKUP(A62,'Standard Deviations'!A1:C672,3,FALSE)</f>
        <v>4.3916714033430972</v>
      </c>
      <c r="J62" s="167" cm="1">
        <f t="array" ref="J62">I62-VLOOKUP(B$2,H1:J407,2,FALSE)</f>
        <v>-0.9235309711308668</v>
      </c>
    </row>
    <row r="63" spans="1:10" ht="21.25" customHeight="1" x14ac:dyDescent="0.15">
      <c r="A63" s="10" t="s">
        <v>232</v>
      </c>
      <c r="B63" s="165" t="str" cm="1">
        <f t="array" ref="B63">VLOOKUP(A63,'The List'!B1:D671,3,FALSE)</f>
        <v>D</v>
      </c>
      <c r="C63" s="74" cm="1">
        <f t="array" ref="C63">IF(Settings!$E$15="POINTS",RANK(E63,E3:E407),H63)</f>
        <v>140</v>
      </c>
      <c r="D63" s="18" t="str" cm="1">
        <f t="array" ref="D63">VLOOKUP(A63,'The List'!B1:F671,5,FALSE)</f>
        <v>VAN</v>
      </c>
      <c r="E63" s="55" cm="1">
        <f t="array" ref="E63">VLOOKUP(A63,'The List'!B1:I671,8,FALSE)</f>
        <v>1.7818902646793893</v>
      </c>
      <c r="F63" s="55" cm="1">
        <f t="array" ref="F63">IF(Settings!$E$15="POINTS",E63-VLOOKUP(B$2,C1:E407,3,FALSE),J63)</f>
        <v>-3.5333121097945748</v>
      </c>
      <c r="G63" s="55"/>
      <c r="H63" s="166" cm="1">
        <f t="array" ref="H63">RANK(I63,I3:I407)</f>
        <v>140</v>
      </c>
      <c r="I63" s="167" cm="1">
        <f t="array" ref="I63">VLOOKUP(A63,'Standard Deviations'!A1:C672,3,FALSE)</f>
        <v>1.7818902646793893</v>
      </c>
      <c r="J63" s="167" cm="1">
        <f t="array" ref="J63">I63-VLOOKUP(B$2,H1:J407,2,FALSE)</f>
        <v>-3.5333121097945748</v>
      </c>
    </row>
    <row r="64" spans="1:10" ht="21.25" customHeight="1" x14ac:dyDescent="0.15">
      <c r="A64" s="10" t="s">
        <v>246</v>
      </c>
      <c r="B64" s="165" t="str" cm="1">
        <f t="array" ref="B64">VLOOKUP(A64,'The List'!B1:D671,3,FALSE)</f>
        <v>LW,RW</v>
      </c>
      <c r="C64" s="74" cm="1">
        <f t="array" ref="C64">IF(Settings!$E$15="POINTS",RANK(E64,E3:E407),H64)</f>
        <v>66</v>
      </c>
      <c r="D64" s="18" t="str" cm="1">
        <f t="array" ref="D64">VLOOKUP(A64,'The List'!B1:F671,5,FALSE)</f>
        <v>NYR</v>
      </c>
      <c r="E64" s="55" cm="1">
        <f t="array" ref="E64">VLOOKUP(A64,'The List'!B1:I671,8,FALSE)</f>
        <v>5.315202374473964</v>
      </c>
      <c r="F64" s="55" cm="1">
        <f t="array" ref="F64">IF(Settings!$E$15="POINTS",E64-VLOOKUP(B$2,C1:E407,3,FALSE),J64)</f>
        <v>0</v>
      </c>
      <c r="G64" s="55"/>
      <c r="H64" s="166" cm="1">
        <f t="array" ref="H64">RANK(I64,I3:I407)</f>
        <v>66</v>
      </c>
      <c r="I64" s="167" cm="1">
        <f t="array" ref="I64">VLOOKUP(A64,'Standard Deviations'!A1:C672,3,FALSE)</f>
        <v>5.315202374473964</v>
      </c>
      <c r="J64" s="167" cm="1">
        <f t="array" ref="J64">I64-VLOOKUP(B$2,H1:J407,2,FALSE)</f>
        <v>0</v>
      </c>
    </row>
    <row r="65" spans="1:10" ht="21.25" customHeight="1" x14ac:dyDescent="0.15">
      <c r="A65" s="10" t="s">
        <v>235</v>
      </c>
      <c r="B65" s="165" t="str" cm="1">
        <f t="array" ref="B65">VLOOKUP(A65,'The List'!B1:D671,3,FALSE)</f>
        <v>C</v>
      </c>
      <c r="C65" s="74" cm="1">
        <f t="array" ref="C65">IF(Settings!$E$15="POINTS",RANK(E65,E3:E407),H65)</f>
        <v>137</v>
      </c>
      <c r="D65" s="18" t="str" cm="1">
        <f t="array" ref="D65">VLOOKUP(A65,'The List'!B1:F671,5,FALSE)</f>
        <v>CHI</v>
      </c>
      <c r="E65" s="55" cm="1">
        <f t="array" ref="E65">VLOOKUP(A65,'The List'!B1:I671,8,FALSE)</f>
        <v>1.8498351956534491</v>
      </c>
      <c r="F65" s="55" cm="1">
        <f t="array" ref="F65">IF(Settings!$E$15="POINTS",E65-VLOOKUP(B$2,C1:E407,3,FALSE),J65)</f>
        <v>-3.4653671788205149</v>
      </c>
      <c r="G65" s="55"/>
      <c r="H65" s="166" cm="1">
        <f t="array" ref="H65">RANK(I65,I3:I407)</f>
        <v>137</v>
      </c>
      <c r="I65" s="167" cm="1">
        <f t="array" ref="I65">VLOOKUP(A65,'Standard Deviations'!A1:C672,3,FALSE)</f>
        <v>1.8498351956534491</v>
      </c>
      <c r="J65" s="167" cm="1">
        <f t="array" ref="J65">I65-VLOOKUP(B$2,H1:J407,2,FALSE)</f>
        <v>-3.4653671788205149</v>
      </c>
    </row>
    <row r="66" spans="1:10" ht="21.25" customHeight="1" x14ac:dyDescent="0.15">
      <c r="A66" s="10" t="s">
        <v>249</v>
      </c>
      <c r="B66" s="165" t="str" cm="1">
        <f t="array" ref="B66">VLOOKUP(A66,'The List'!B1:D671,3,FALSE)</f>
        <v>LW,RW</v>
      </c>
      <c r="C66" s="74" cm="1">
        <f t="array" ref="C66">IF(Settings!$E$15="POINTS",RANK(E66,E3:E407),H66)</f>
        <v>71</v>
      </c>
      <c r="D66" s="18" t="str" cm="1">
        <f t="array" ref="D66">VLOOKUP(A66,'The List'!B1:F671,5,FALSE)</f>
        <v>WSH</v>
      </c>
      <c r="E66" s="55" cm="1">
        <f t="array" ref="E66">VLOOKUP(A66,'The List'!B1:I671,8,FALSE)</f>
        <v>4.911093154500719</v>
      </c>
      <c r="F66" s="55" cm="1">
        <f t="array" ref="F66">IF(Settings!$E$15="POINTS",E66-VLOOKUP(B$2,C1:E407,3,FALSE),J66)</f>
        <v>-0.404109219973245</v>
      </c>
      <c r="G66" s="55"/>
      <c r="H66" s="166" cm="1">
        <f t="array" ref="H66">RANK(I66,I3:I407)</f>
        <v>71</v>
      </c>
      <c r="I66" s="167" cm="1">
        <f t="array" ref="I66">VLOOKUP(A66,'Standard Deviations'!A1:C672,3,FALSE)</f>
        <v>4.911093154500719</v>
      </c>
      <c r="J66" s="167" cm="1">
        <f t="array" ref="J66">I66-VLOOKUP(B$2,H1:J407,2,FALSE)</f>
        <v>-0.404109219973245</v>
      </c>
    </row>
    <row r="67" spans="1:10" ht="21.25" customHeight="1" x14ac:dyDescent="0.15">
      <c r="A67" s="10" t="s">
        <v>250</v>
      </c>
      <c r="B67" s="165" t="str" cm="1">
        <f t="array" ref="B67">VLOOKUP(A67,'The List'!B1:D671,3,FALSE)</f>
        <v>C,RW</v>
      </c>
      <c r="C67" s="74" cm="1">
        <f t="array" ref="C67">IF(Settings!$E$15="POINTS",RANK(E67,E3:E407),H67)</f>
        <v>102</v>
      </c>
      <c r="D67" s="18" t="str" cm="1">
        <f t="array" ref="D67">VLOOKUP(A67,'The List'!B1:F671,5,FALSE)</f>
        <v>NYI</v>
      </c>
      <c r="E67" s="55" cm="1">
        <f t="array" ref="E67">VLOOKUP(A67,'The List'!B1:I671,8,FALSE)</f>
        <v>3.3482307644787275</v>
      </c>
      <c r="F67" s="55" cm="1">
        <f t="array" ref="F67">IF(Settings!$E$15="POINTS",E67-VLOOKUP(B$2,C1:E407,3,FALSE),J67)</f>
        <v>-1.9669716099952366</v>
      </c>
      <c r="G67" s="55"/>
      <c r="H67" s="166" cm="1">
        <f t="array" ref="H67">RANK(I67,I3:I407)</f>
        <v>102</v>
      </c>
      <c r="I67" s="167" cm="1">
        <f t="array" ref="I67">VLOOKUP(A67,'Standard Deviations'!A1:C672,3,FALSE)</f>
        <v>3.3482307644787275</v>
      </c>
      <c r="J67" s="167" cm="1">
        <f t="array" ref="J67">I67-VLOOKUP(B$2,H1:J407,2,FALSE)</f>
        <v>-1.9669716099952366</v>
      </c>
    </row>
    <row r="68" spans="1:10" ht="21.25" customHeight="1" x14ac:dyDescent="0.15">
      <c r="A68" s="10" t="s">
        <v>254</v>
      </c>
      <c r="B68" s="165" t="str" cm="1">
        <f t="array" ref="B68">VLOOKUP(A68,'The List'!B1:D671,3,FALSE)</f>
        <v>RW</v>
      </c>
      <c r="C68" s="74" cm="1">
        <f t="array" ref="C68">IF(Settings!$E$15="POINTS",RANK(E68,E3:E407),H68)</f>
        <v>76</v>
      </c>
      <c r="D68" s="18" t="str" cm="1">
        <f t="array" ref="D68">VLOOKUP(A68,'The List'!B1:F671,5,FALSE)</f>
        <v>MTL</v>
      </c>
      <c r="E68" s="55" cm="1">
        <f t="array" ref="E68">VLOOKUP(A68,'The List'!B1:I671,8,FALSE)</f>
        <v>4.6441614712014792</v>
      </c>
      <c r="F68" s="55" cm="1">
        <f t="array" ref="F68">IF(Settings!$E$15="POINTS",E68-VLOOKUP(B$2,C1:E407,3,FALSE),J68)</f>
        <v>-0.67104090327248489</v>
      </c>
      <c r="G68" s="55"/>
      <c r="H68" s="166" cm="1">
        <f t="array" ref="H68">RANK(I68,I3:I407)</f>
        <v>76</v>
      </c>
      <c r="I68" s="167" cm="1">
        <f t="array" ref="I68">VLOOKUP(A68,'Standard Deviations'!A1:C672,3,FALSE)</f>
        <v>4.6441614712014792</v>
      </c>
      <c r="J68" s="167" cm="1">
        <f t="array" ref="J68">I68-VLOOKUP(B$2,H1:J407,2,FALSE)</f>
        <v>-0.67104090327248489</v>
      </c>
    </row>
    <row r="69" spans="1:10" ht="21.25" customHeight="1" x14ac:dyDescent="0.15">
      <c r="A69" s="10" t="s">
        <v>255</v>
      </c>
      <c r="B69" s="165" t="str" cm="1">
        <f t="array" ref="B69">VLOOKUP(A69,'The List'!B1:D671,3,FALSE)</f>
        <v>C,LW,RW</v>
      </c>
      <c r="C69" s="74" cm="1">
        <f t="array" ref="C69">IF(Settings!$E$15="POINTS",RANK(E69,E3:E407),H69)</f>
        <v>58</v>
      </c>
      <c r="D69" s="18" t="str" cm="1">
        <f t="array" ref="D69">VLOOKUP(A69,'The List'!B1:F671,5,FALSE)</f>
        <v>NYR</v>
      </c>
      <c r="E69" s="55" cm="1">
        <f t="array" ref="E69">VLOOKUP(A69,'The List'!B1:I671,8,FALSE)</f>
        <v>5.9317549820803022</v>
      </c>
      <c r="F69" s="55" cm="1">
        <f t="array" ref="F69">IF(Settings!$E$15="POINTS",E69-VLOOKUP(B$2,C1:E407,3,FALSE),J69)</f>
        <v>0.61655260760633812</v>
      </c>
      <c r="G69" s="55"/>
      <c r="H69" s="166" cm="1">
        <f t="array" ref="H69">RANK(I69,I3:I407)</f>
        <v>58</v>
      </c>
      <c r="I69" s="167" cm="1">
        <f t="array" ref="I69">VLOOKUP(A69,'Standard Deviations'!A1:C672,3,FALSE)</f>
        <v>5.9317549820803022</v>
      </c>
      <c r="J69" s="167" cm="1">
        <f t="array" ref="J69">I69-VLOOKUP(B$2,H1:J407,2,FALSE)</f>
        <v>0.61655260760633812</v>
      </c>
    </row>
    <row r="70" spans="1:10" ht="21.25" customHeight="1" x14ac:dyDescent="0.15">
      <c r="A70" s="10" t="s">
        <v>257</v>
      </c>
      <c r="B70" s="165" t="str" cm="1">
        <f t="array" ref="B70">VLOOKUP(A70,'The List'!B1:D671,3,FALSE)</f>
        <v>RW</v>
      </c>
      <c r="C70" s="74" cm="1">
        <f t="array" ref="C70">IF(Settings!$E$15="POINTS",RANK(E70,E3:E407),H70)</f>
        <v>69</v>
      </c>
      <c r="D70" s="18" t="str" cm="1">
        <f t="array" ref="D70">VLOOKUP(A70,'The List'!B1:F671,5,FALSE)</f>
        <v>VGK</v>
      </c>
      <c r="E70" s="55" cm="1">
        <f t="array" ref="E70">VLOOKUP(A70,'The List'!B1:I671,8,FALSE)</f>
        <v>5.1742099973617437</v>
      </c>
      <c r="F70" s="55" cm="1">
        <f t="array" ref="F70">IF(Settings!$E$15="POINTS",E70-VLOOKUP(B$2,C1:E407,3,FALSE),J70)</f>
        <v>-0.14099237711222035</v>
      </c>
      <c r="G70" s="55"/>
      <c r="H70" s="166" cm="1">
        <f t="array" ref="H70">RANK(I70,I3:I407)</f>
        <v>69</v>
      </c>
      <c r="I70" s="167" cm="1">
        <f t="array" ref="I70">VLOOKUP(A70,'Standard Deviations'!A1:C672,3,FALSE)</f>
        <v>5.1742099973617437</v>
      </c>
      <c r="J70" s="167" cm="1">
        <f t="array" ref="J70">I70-VLOOKUP(B$2,H1:J407,2,FALSE)</f>
        <v>-0.14099237711222035</v>
      </c>
    </row>
    <row r="71" spans="1:10" ht="21.25" customHeight="1" x14ac:dyDescent="0.15">
      <c r="A71" s="10" t="s">
        <v>258</v>
      </c>
      <c r="B71" s="165" t="str" cm="1">
        <f t="array" ref="B71">VLOOKUP(A71,'The List'!B1:D671,3,FALSE)</f>
        <v>LW,RW</v>
      </c>
      <c r="C71" s="74" cm="1">
        <f t="array" ref="C71">IF(Settings!$E$15="POINTS",RANK(E71,E3:E407),H71)</f>
        <v>26</v>
      </c>
      <c r="D71" s="18" t="str" cm="1">
        <f t="array" ref="D71">VLOOKUP(A71,'The List'!B1:F671,5,FALSE)</f>
        <v>CAR</v>
      </c>
      <c r="E71" s="55" cm="1">
        <f t="array" ref="E71">VLOOKUP(A71,'The List'!B1:I671,8,FALSE)</f>
        <v>7.9673790514234586</v>
      </c>
      <c r="F71" s="55" cm="1">
        <f t="array" ref="F71">IF(Settings!$E$15="POINTS",E71-VLOOKUP(B$2,C1:E407,3,FALSE),J71)</f>
        <v>2.6521766769494945</v>
      </c>
      <c r="G71" s="55"/>
      <c r="H71" s="166" cm="1">
        <f t="array" ref="H71">RANK(I71,I3:I407)</f>
        <v>26</v>
      </c>
      <c r="I71" s="167" cm="1">
        <f t="array" ref="I71">VLOOKUP(A71,'Standard Deviations'!A1:C672,3,FALSE)</f>
        <v>7.9673790514234586</v>
      </c>
      <c r="J71" s="167" cm="1">
        <f t="array" ref="J71">I71-VLOOKUP(B$2,H1:J407,2,FALSE)</f>
        <v>2.6521766769494945</v>
      </c>
    </row>
    <row r="72" spans="1:10" ht="21.25" customHeight="1" x14ac:dyDescent="0.15">
      <c r="A72" s="10" t="s">
        <v>262</v>
      </c>
      <c r="B72" s="165" t="str" cm="1">
        <f t="array" ref="B72">VLOOKUP(A72,'The List'!B1:D671,3,FALSE)</f>
        <v>LW,RW</v>
      </c>
      <c r="C72" s="74" cm="1">
        <f t="array" ref="C72">IF(Settings!$E$15="POINTS",RANK(E72,E3:E407),H72)</f>
        <v>92</v>
      </c>
      <c r="D72" s="18" t="str" cm="1">
        <f t="array" ref="D72">VLOOKUP(A72,'The List'!B1:F671,5,FALSE)</f>
        <v>PHI</v>
      </c>
      <c r="E72" s="55" cm="1">
        <f t="array" ref="E72">VLOOKUP(A72,'The List'!B1:I671,8,FALSE)</f>
        <v>4.0270904688992948</v>
      </c>
      <c r="F72" s="55" cm="1">
        <f t="array" ref="F72">IF(Settings!$E$15="POINTS",E72-VLOOKUP(B$2,C1:E407,3,FALSE),J72)</f>
        <v>-1.2881119055746693</v>
      </c>
      <c r="G72" s="55"/>
      <c r="H72" s="166" cm="1">
        <f t="array" ref="H72">RANK(I72,I3:I407)</f>
        <v>92</v>
      </c>
      <c r="I72" s="167" cm="1">
        <f t="array" ref="I72">VLOOKUP(A72,'Standard Deviations'!A1:C672,3,FALSE)</f>
        <v>4.0270904688992948</v>
      </c>
      <c r="J72" s="167" cm="1">
        <f t="array" ref="J72">I72-VLOOKUP(B$2,H1:J407,2,FALSE)</f>
        <v>-1.2881119055746693</v>
      </c>
    </row>
    <row r="73" spans="1:10" ht="21.25" customHeight="1" x14ac:dyDescent="0.15">
      <c r="A73" s="10" t="s">
        <v>263</v>
      </c>
      <c r="B73" s="165" t="str" cm="1">
        <f t="array" ref="B73">VLOOKUP(A73,'The List'!B1:D671,3,FALSE)</f>
        <v>C,RW</v>
      </c>
      <c r="C73" s="74" cm="1">
        <f t="array" ref="C73">IF(Settings!$E$15="POINTS",RANK(E73,E3:E407),H73)</f>
        <v>74</v>
      </c>
      <c r="D73" s="18" t="str" cm="1">
        <f t="array" ref="D73">VLOOKUP(A73,'The List'!B1:F671,5,FALSE)</f>
        <v>NSH</v>
      </c>
      <c r="E73" s="55" cm="1">
        <f t="array" ref="E73">VLOOKUP(A73,'The List'!B1:I671,8,FALSE)</f>
        <v>4.7106056162291967</v>
      </c>
      <c r="F73" s="55" cm="1">
        <f t="array" ref="F73">IF(Settings!$E$15="POINTS",E73-VLOOKUP(B$2,C1:E407,3,FALSE),J73)</f>
        <v>-0.60459675824476733</v>
      </c>
      <c r="G73" s="55"/>
      <c r="H73" s="166" cm="1">
        <f t="array" ref="H73">RANK(I73,I3:I407)</f>
        <v>74</v>
      </c>
      <c r="I73" s="167" cm="1">
        <f t="array" ref="I73">VLOOKUP(A73,'Standard Deviations'!A1:C672,3,FALSE)</f>
        <v>4.7106056162291967</v>
      </c>
      <c r="J73" s="167" cm="1">
        <f t="array" ref="J73">I73-VLOOKUP(B$2,H1:J407,2,FALSE)</f>
        <v>-0.60459675824476733</v>
      </c>
    </row>
    <row r="74" spans="1:10" ht="21.25" customHeight="1" x14ac:dyDescent="0.15">
      <c r="A74" s="10" t="s">
        <v>264</v>
      </c>
      <c r="B74" s="165" t="str" cm="1">
        <f t="array" ref="B74">VLOOKUP(A74,'The List'!B1:D671,3,FALSE)</f>
        <v>C,LW,RW</v>
      </c>
      <c r="C74" s="74" cm="1">
        <f t="array" ref="C74">IF(Settings!$E$15="POINTS",RANK(E74,E3:E407),H74)</f>
        <v>79</v>
      </c>
      <c r="D74" s="18" t="str" cm="1">
        <f t="array" ref="D74">VLOOKUP(A74,'The List'!B1:F671,5,FALSE)</f>
        <v>PIT</v>
      </c>
      <c r="E74" s="55" cm="1">
        <f t="array" ref="E74">VLOOKUP(A74,'The List'!B1:I671,8,FALSE)</f>
        <v>4.5813572957295028</v>
      </c>
      <c r="F74" s="55" cm="1">
        <f t="array" ref="F74">IF(Settings!$E$15="POINTS",E74-VLOOKUP(B$2,C1:E407,3,FALSE),J74)</f>
        <v>-0.73384507874446125</v>
      </c>
      <c r="G74" s="55"/>
      <c r="H74" s="166" cm="1">
        <f t="array" ref="H74">RANK(I74,I3:I407)</f>
        <v>79</v>
      </c>
      <c r="I74" s="167" cm="1">
        <f t="array" ref="I74">VLOOKUP(A74,'Standard Deviations'!A1:C672,3,FALSE)</f>
        <v>4.5813572957295028</v>
      </c>
      <c r="J74" s="167" cm="1">
        <f t="array" ref="J74">I74-VLOOKUP(B$2,H1:J407,2,FALSE)</f>
        <v>-0.73384507874446125</v>
      </c>
    </row>
    <row r="75" spans="1:10" ht="21.25" customHeight="1" x14ac:dyDescent="0.15">
      <c r="A75" s="10" t="s">
        <v>245</v>
      </c>
      <c r="B75" s="165" t="str" cm="1">
        <f t="array" ref="B75">VLOOKUP(A75,'The List'!B1:D671,3,FALSE)</f>
        <v>C</v>
      </c>
      <c r="C75" s="74" cm="1">
        <f t="array" ref="C75">IF(Settings!$E$15="POINTS",RANK(E75,E3:E407),H75)</f>
        <v>51</v>
      </c>
      <c r="D75" s="18" t="str" cm="1">
        <f t="array" ref="D75">VLOOKUP(A75,'The List'!B1:F671,5,FALSE)</f>
        <v>MIN</v>
      </c>
      <c r="E75" s="55" cm="1">
        <f t="array" ref="E75">VLOOKUP(A75,'The List'!B1:I671,8,FALSE)</f>
        <v>6.3600095576150641</v>
      </c>
      <c r="F75" s="55" cm="1">
        <f t="array" ref="F75">IF(Settings!$E$15="POINTS",E75-VLOOKUP(B$2,C1:E407,3,FALSE),J75)</f>
        <v>1.0448071831411001</v>
      </c>
      <c r="G75" s="55"/>
      <c r="H75" s="166" cm="1">
        <f t="array" ref="H75">RANK(I75,I3:I407)</f>
        <v>51</v>
      </c>
      <c r="I75" s="167" cm="1">
        <f t="array" ref="I75">VLOOKUP(A75,'Standard Deviations'!A1:C672,3,FALSE)</f>
        <v>6.3600095576150641</v>
      </c>
      <c r="J75" s="167" cm="1">
        <f t="array" ref="J75">I75-VLOOKUP(B$2,H1:J407,2,FALSE)</f>
        <v>1.0448071831411001</v>
      </c>
    </row>
    <row r="76" spans="1:10" ht="21.25" customHeight="1" x14ac:dyDescent="0.15">
      <c r="A76" s="10" t="s">
        <v>268</v>
      </c>
      <c r="B76" s="165" t="str" cm="1">
        <f t="array" ref="B76">VLOOKUP(A76,'The List'!B1:D671,3,FALSE)</f>
        <v>LW,RW</v>
      </c>
      <c r="C76" s="74" cm="1">
        <f t="array" ref="C76">IF(Settings!$E$15="POINTS",RANK(E76,E3:E407),H76)</f>
        <v>39</v>
      </c>
      <c r="D76" s="18" t="str" cm="1">
        <f t="array" ref="D76">VLOOKUP(A76,'The List'!B1:F671,5,FALSE)</f>
        <v>EDM</v>
      </c>
      <c r="E76" s="55" cm="1">
        <f t="array" ref="E76">VLOOKUP(A76,'The List'!B1:I671,8,FALSE)</f>
        <v>6.8943856443898097</v>
      </c>
      <c r="F76" s="55" cm="1">
        <f t="array" ref="F76">IF(Settings!$E$15="POINTS",E76-VLOOKUP(B$2,C1:E407,3,FALSE),J76)</f>
        <v>1.5791832699158457</v>
      </c>
      <c r="G76" s="55"/>
      <c r="H76" s="166" cm="1">
        <f t="array" ref="H76">RANK(I76,I3:I407)</f>
        <v>39</v>
      </c>
      <c r="I76" s="167" cm="1">
        <f t="array" ref="I76">VLOOKUP(A76,'Standard Deviations'!A1:C672,3,FALSE)</f>
        <v>6.8943856443898097</v>
      </c>
      <c r="J76" s="167" cm="1">
        <f t="array" ref="J76">I76-VLOOKUP(B$2,H1:J407,2,FALSE)</f>
        <v>1.5791832699158457</v>
      </c>
    </row>
    <row r="77" spans="1:10" ht="21.25" customHeight="1" x14ac:dyDescent="0.15">
      <c r="A77" s="10" t="s">
        <v>248</v>
      </c>
      <c r="B77" s="165" t="str" cm="1">
        <f t="array" ref="B77">VLOOKUP(A77,'The List'!B1:D671,3,FALSE)</f>
        <v>C</v>
      </c>
      <c r="C77" s="74" cm="1">
        <f t="array" ref="C77">IF(Settings!$E$15="POINTS",RANK(E77,E3:E407),H77)</f>
        <v>85</v>
      </c>
      <c r="D77" s="18" t="str" cm="1">
        <f t="array" ref="D77">VLOOKUP(A77,'The List'!B1:F671,5,FALSE)</f>
        <v>WSH</v>
      </c>
      <c r="E77" s="55" cm="1">
        <f t="array" ref="E77">VLOOKUP(A77,'The List'!B1:I671,8,FALSE)</f>
        <v>4.2291310170733647</v>
      </c>
      <c r="F77" s="55" cm="1">
        <f t="array" ref="F77">IF(Settings!$E$15="POINTS",E77-VLOOKUP(B$2,C1:E407,3,FALSE),J77)</f>
        <v>-1.0860713574005993</v>
      </c>
      <c r="G77" s="55"/>
      <c r="H77" s="166" cm="1">
        <f t="array" ref="H77">RANK(I77,I3:I407)</f>
        <v>85</v>
      </c>
      <c r="I77" s="167" cm="1">
        <f t="array" ref="I77">VLOOKUP(A77,'Standard Deviations'!A1:C672,3,FALSE)</f>
        <v>4.2291310170733647</v>
      </c>
      <c r="J77" s="167" cm="1">
        <f t="array" ref="J77">I77-VLOOKUP(B$2,H1:J407,2,FALSE)</f>
        <v>-1.0860713574005993</v>
      </c>
    </row>
    <row r="78" spans="1:10" ht="21.25" customHeight="1" x14ac:dyDescent="0.15">
      <c r="A78" s="10" t="s">
        <v>251</v>
      </c>
      <c r="B78" s="165" t="str" cm="1">
        <f t="array" ref="B78">VLOOKUP(A78,'The List'!B1:D671,3,FALSE)</f>
        <v>C</v>
      </c>
      <c r="C78" s="74" cm="1">
        <f t="array" ref="C78">IF(Settings!$E$15="POINTS",RANK(E78,E3:E407),H78)</f>
        <v>125</v>
      </c>
      <c r="D78" s="18" t="str" cm="1">
        <f t="array" ref="D78">VLOOKUP(A78,'The List'!B1:F671,5,FALSE)</f>
        <v>NSH</v>
      </c>
      <c r="E78" s="55" cm="1">
        <f t="array" ref="E78">VLOOKUP(A78,'The List'!B1:I671,8,FALSE)</f>
        <v>2.424054126315772</v>
      </c>
      <c r="F78" s="55" cm="1">
        <f t="array" ref="F78">IF(Settings!$E$15="POINTS",E78-VLOOKUP(B$2,C1:E407,3,FALSE),J78)</f>
        <v>-2.891148248158192</v>
      </c>
      <c r="G78" s="55"/>
      <c r="H78" s="166" cm="1">
        <f t="array" ref="H78">RANK(I78,I3:I407)</f>
        <v>125</v>
      </c>
      <c r="I78" s="167" cm="1">
        <f t="array" ref="I78">VLOOKUP(A78,'Standard Deviations'!A1:C672,3,FALSE)</f>
        <v>2.424054126315772</v>
      </c>
      <c r="J78" s="167" cm="1">
        <f t="array" ref="J78">I78-VLOOKUP(B$2,H1:J407,2,FALSE)</f>
        <v>-2.891148248158192</v>
      </c>
    </row>
    <row r="79" spans="1:10" ht="21.25" customHeight="1" x14ac:dyDescent="0.15">
      <c r="A79" s="10" t="s">
        <v>259</v>
      </c>
      <c r="B79" s="165" t="str" cm="1">
        <f t="array" ref="B79">VLOOKUP(A79,'The List'!B1:D671,3,FALSE)</f>
        <v>C</v>
      </c>
      <c r="C79" s="74" cm="1">
        <f t="array" ref="C79">IF(Settings!$E$15="POINTS",RANK(E79,E3:E407),H79)</f>
        <v>84</v>
      </c>
      <c r="D79" s="18" t="str" cm="1">
        <f t="array" ref="D79">VLOOKUP(A79,'The List'!B1:F671,5,FALSE)</f>
        <v>L.A</v>
      </c>
      <c r="E79" s="55" cm="1">
        <f t="array" ref="E79">VLOOKUP(A79,'The List'!B1:I671,8,FALSE)</f>
        <v>4.2911657462044595</v>
      </c>
      <c r="F79" s="55" cm="1">
        <f t="array" ref="F79">IF(Settings!$E$15="POINTS",E79-VLOOKUP(B$2,C1:E407,3,FALSE),J79)</f>
        <v>-1.0240366282695046</v>
      </c>
      <c r="G79" s="55"/>
      <c r="H79" s="166" cm="1">
        <f t="array" ref="H79">RANK(I79,I3:I407)</f>
        <v>84</v>
      </c>
      <c r="I79" s="167" cm="1">
        <f t="array" ref="I79">VLOOKUP(A79,'Standard Deviations'!A1:C672,3,FALSE)</f>
        <v>4.2911657462044595</v>
      </c>
      <c r="J79" s="167" cm="1">
        <f t="array" ref="J79">I79-VLOOKUP(B$2,H1:J407,2,FALSE)</f>
        <v>-1.0240366282695046</v>
      </c>
    </row>
    <row r="80" spans="1:10" ht="21.25" customHeight="1" x14ac:dyDescent="0.15">
      <c r="A80" s="10" t="s">
        <v>272</v>
      </c>
      <c r="B80" s="165" t="str" cm="1">
        <f t="array" ref="B80">VLOOKUP(A80,'The List'!B1:D671,3,FALSE)</f>
        <v>RW</v>
      </c>
      <c r="C80" s="74" cm="1">
        <f t="array" ref="C80">IF(Settings!$E$15="POINTS",RANK(E80,E3:E407),H80)</f>
        <v>97</v>
      </c>
      <c r="D80" s="18" t="str" cm="1">
        <f t="array" ref="D80">VLOOKUP(A80,'The List'!B1:F671,5,FALSE)</f>
        <v>STL</v>
      </c>
      <c r="E80" s="55" cm="1">
        <f t="array" ref="E80">VLOOKUP(A80,'The List'!B1:I671,8,FALSE)</f>
        <v>3.9173098159751953</v>
      </c>
      <c r="F80" s="55" cm="1">
        <f t="array" ref="F80">IF(Settings!$E$15="POINTS",E80-VLOOKUP(B$2,C1:E407,3,FALSE),J80)</f>
        <v>-1.3978925584987687</v>
      </c>
      <c r="G80" s="55"/>
      <c r="H80" s="166" cm="1">
        <f t="array" ref="H80">RANK(I80,I3:I407)</f>
        <v>97</v>
      </c>
      <c r="I80" s="167" cm="1">
        <f t="array" ref="I80">VLOOKUP(A80,'Standard Deviations'!A1:C672,3,FALSE)</f>
        <v>3.9173098159751953</v>
      </c>
      <c r="J80" s="167" cm="1">
        <f t="array" ref="J80">I80-VLOOKUP(B$2,H1:J407,2,FALSE)</f>
        <v>-1.3978925584987687</v>
      </c>
    </row>
    <row r="81" spans="1:10" ht="21.25" customHeight="1" x14ac:dyDescent="0.15">
      <c r="A81" s="10" t="s">
        <v>273</v>
      </c>
      <c r="B81" s="165" t="str" cm="1">
        <f t="array" ref="B81">VLOOKUP(A81,'The List'!B1:D671,3,FALSE)</f>
        <v>RW</v>
      </c>
      <c r="C81" s="74" cm="1">
        <f t="array" ref="C81">IF(Settings!$E$15="POINTS",RANK(E81,E3:E407),H81)</f>
        <v>68</v>
      </c>
      <c r="D81" s="18" t="str" cm="1">
        <f t="array" ref="D81">VLOOKUP(A81,'The List'!B1:F671,5,FALSE)</f>
        <v>WSH</v>
      </c>
      <c r="E81" s="55" cm="1">
        <f t="array" ref="E81">VLOOKUP(A81,'The List'!B1:I671,8,FALSE)</f>
        <v>5.2377229918545627</v>
      </c>
      <c r="F81" s="55" cm="1">
        <f t="array" ref="F81">IF(Settings!$E$15="POINTS",E81-VLOOKUP(B$2,C1:E407,3,FALSE),J81)</f>
        <v>-7.7479382619401349E-2</v>
      </c>
      <c r="G81" s="55"/>
      <c r="H81" s="166" cm="1">
        <f t="array" ref="H81">RANK(I81,I3:I407)</f>
        <v>68</v>
      </c>
      <c r="I81" s="167" cm="1">
        <f t="array" ref="I81">VLOOKUP(A81,'Standard Deviations'!A1:C672,3,FALSE)</f>
        <v>5.2377229918545627</v>
      </c>
      <c r="J81" s="167" cm="1">
        <f t="array" ref="J81">I81-VLOOKUP(B$2,H1:J407,2,FALSE)</f>
        <v>-7.7479382619401349E-2</v>
      </c>
    </row>
    <row r="82" spans="1:10" ht="21.25" customHeight="1" x14ac:dyDescent="0.15">
      <c r="A82" s="10" t="s">
        <v>274</v>
      </c>
      <c r="B82" s="165" t="str" cm="1">
        <f t="array" ref="B82">VLOOKUP(A82,'The List'!B1:D671,3,FALSE)</f>
        <v>LW,RW</v>
      </c>
      <c r="C82" s="74" cm="1">
        <f t="array" ref="C82">IF(Settings!$E$15="POINTS",RANK(E82,E3:E407),H82)</f>
        <v>93</v>
      </c>
      <c r="D82" s="18" t="str" cm="1">
        <f t="array" ref="D82">VLOOKUP(A82,'The List'!B1:F671,5,FALSE)</f>
        <v>N.J</v>
      </c>
      <c r="E82" s="55" cm="1">
        <f t="array" ref="E82">VLOOKUP(A82,'The List'!B1:I671,8,FALSE)</f>
        <v>4.0179715163652423</v>
      </c>
      <c r="F82" s="55" cm="1">
        <f t="array" ref="F82">IF(Settings!$E$15="POINTS",E82-VLOOKUP(B$2,C1:E407,3,FALSE),J82)</f>
        <v>-1.2972308581087217</v>
      </c>
      <c r="G82" s="55"/>
      <c r="H82" s="166" cm="1">
        <f t="array" ref="H82">RANK(I82,I3:I407)</f>
        <v>93</v>
      </c>
      <c r="I82" s="167" cm="1">
        <f t="array" ref="I82">VLOOKUP(A82,'Standard Deviations'!A1:C672,3,FALSE)</f>
        <v>4.0179715163652423</v>
      </c>
      <c r="J82" s="167" cm="1">
        <f t="array" ref="J82">I82-VLOOKUP(B$2,H1:J407,2,FALSE)</f>
        <v>-1.2972308581087217</v>
      </c>
    </row>
    <row r="83" spans="1:10" ht="21.25" customHeight="1" x14ac:dyDescent="0.15">
      <c r="A83" s="10" t="s">
        <v>275</v>
      </c>
      <c r="B83" s="165" t="str" cm="1">
        <f t="array" ref="B83">VLOOKUP(A83,'The List'!B1:D671,3,FALSE)</f>
        <v>C,LW,RW</v>
      </c>
      <c r="C83" s="74" cm="1">
        <f t="array" ref="C83">IF(Settings!$E$15="POINTS",RANK(E83,E3:E407),H83)</f>
        <v>67</v>
      </c>
      <c r="D83" s="18" t="str" cm="1">
        <f t="array" ref="D83">VLOOKUP(A83,'The List'!B1:F671,5,FALSE)</f>
        <v>BOS</v>
      </c>
      <c r="E83" s="55" cm="1">
        <f t="array" ref="E83">VLOOKUP(A83,'The List'!B1:I671,8,FALSE)</f>
        <v>5.2657629345430648</v>
      </c>
      <c r="F83" s="55" cm="1">
        <f t="array" ref="F83">IF(Settings!$E$15="POINTS",E83-VLOOKUP(B$2,C1:E407,3,FALSE),J83)</f>
        <v>-4.9439439930899276E-2</v>
      </c>
      <c r="G83" s="55"/>
      <c r="H83" s="166" cm="1">
        <f t="array" ref="H83">RANK(I83,I3:I407)</f>
        <v>67</v>
      </c>
      <c r="I83" s="167" cm="1">
        <f t="array" ref="I83">VLOOKUP(A83,'Standard Deviations'!A1:C672,3,FALSE)</f>
        <v>5.2657629345430648</v>
      </c>
      <c r="J83" s="167" cm="1">
        <f t="array" ref="J83">I83-VLOOKUP(B$2,H1:J407,2,FALSE)</f>
        <v>-4.9439439930899276E-2</v>
      </c>
    </row>
    <row r="84" spans="1:10" ht="21.25" customHeight="1" x14ac:dyDescent="0.15">
      <c r="A84" s="10" t="s">
        <v>280</v>
      </c>
      <c r="B84" s="165" t="str" cm="1">
        <f t="array" ref="B84">VLOOKUP(A84,'The List'!B1:D671,3,FALSE)</f>
        <v>C,LW</v>
      </c>
      <c r="C84" s="74" cm="1">
        <f t="array" ref="C84">IF(Settings!$E$15="POINTS",RANK(E84,E3:E407),H84)</f>
        <v>57</v>
      </c>
      <c r="D84" s="18" t="str" cm="1">
        <f t="array" ref="D84">VLOOKUP(A84,'The List'!B1:F671,5,FALSE)</f>
        <v>VGK</v>
      </c>
      <c r="E84" s="55" cm="1">
        <f t="array" ref="E84">VLOOKUP(A84,'The List'!B1:I671,8,FALSE)</f>
        <v>5.9468735902394814</v>
      </c>
      <c r="F84" s="55" cm="1">
        <f t="array" ref="F84">IF(Settings!$E$15="POINTS",E84-VLOOKUP(B$2,C1:E407,3,FALSE),J84)</f>
        <v>0.63167121576551732</v>
      </c>
      <c r="G84" s="55"/>
      <c r="H84" s="166" cm="1">
        <f t="array" ref="H84">RANK(I84,I3:I407)</f>
        <v>57</v>
      </c>
      <c r="I84" s="167" cm="1">
        <f t="array" ref="I84">VLOOKUP(A84,'Standard Deviations'!A1:C672,3,FALSE)</f>
        <v>5.9468735902394814</v>
      </c>
      <c r="J84" s="167" cm="1">
        <f t="array" ref="J84">I84-VLOOKUP(B$2,H1:J407,2,FALSE)</f>
        <v>0.63167121576551732</v>
      </c>
    </row>
    <row r="85" spans="1:10" ht="21.25" customHeight="1" x14ac:dyDescent="0.15">
      <c r="A85" s="10" t="s">
        <v>276</v>
      </c>
      <c r="B85" s="165" t="str" cm="1">
        <f t="array" ref="B85">VLOOKUP(A85,'The List'!B1:D671,3,FALSE)</f>
        <v>C,LW,RW</v>
      </c>
      <c r="C85" s="74" cm="1">
        <f t="array" ref="C85">IF(Settings!$E$15="POINTS",RANK(E85,E3:E407),H85)</f>
        <v>99</v>
      </c>
      <c r="D85" s="18" t="str" cm="1">
        <f t="array" ref="D85">VLOOKUP(A85,'The List'!B1:F671,5,FALSE)</f>
        <v>PIT</v>
      </c>
      <c r="E85" s="55" cm="1">
        <f t="array" ref="E85">VLOOKUP(A85,'The List'!B1:I671,8,FALSE)</f>
        <v>3.6979420703450154</v>
      </c>
      <c r="F85" s="55" cm="1">
        <f t="array" ref="F85">IF(Settings!$E$15="POINTS",E85-VLOOKUP(B$2,C1:E407,3,FALSE),J85)</f>
        <v>-1.6172603041289486</v>
      </c>
      <c r="G85" s="55"/>
      <c r="H85" s="166" cm="1">
        <f t="array" ref="H85">RANK(I85,I3:I407)</f>
        <v>99</v>
      </c>
      <c r="I85" s="167" cm="1">
        <f t="array" ref="I85">VLOOKUP(A85,'Standard Deviations'!A1:C672,3,FALSE)</f>
        <v>3.6979420703450154</v>
      </c>
      <c r="J85" s="167" cm="1">
        <f t="array" ref="J85">I85-VLOOKUP(B$2,H1:J407,2,FALSE)</f>
        <v>-1.6172603041289486</v>
      </c>
    </row>
    <row r="86" spans="1:10" ht="21.25" customHeight="1" x14ac:dyDescent="0.15">
      <c r="A86" s="10" t="s">
        <v>266</v>
      </c>
      <c r="B86" s="165" t="str" cm="1">
        <f t="array" ref="B86">VLOOKUP(A86,'The List'!B1:D671,3,FALSE)</f>
        <v>C</v>
      </c>
      <c r="C86" s="74" cm="1">
        <f t="array" ref="C86">IF(Settings!$E$15="POINTS",RANK(E86,E3:E407),H86)</f>
        <v>61</v>
      </c>
      <c r="D86" s="18" t="str" cm="1">
        <f t="array" ref="D86">VLOOKUP(A86,'The List'!B1:F671,5,FALSE)</f>
        <v>TOR</v>
      </c>
      <c r="E86" s="55" cm="1">
        <f t="array" ref="E86">VLOOKUP(A86,'The List'!B1:I671,8,FALSE)</f>
        <v>5.6592062446940474</v>
      </c>
      <c r="F86" s="55" cm="1">
        <f t="array" ref="F86">IF(Settings!$E$15="POINTS",E86-VLOOKUP(B$2,C1:E407,3,FALSE),J86)</f>
        <v>0.34400387022008339</v>
      </c>
      <c r="G86" s="55"/>
      <c r="H86" s="166" cm="1">
        <f t="array" ref="H86">RANK(I86,I3:I407)</f>
        <v>61</v>
      </c>
      <c r="I86" s="167" cm="1">
        <f t="array" ref="I86">VLOOKUP(A86,'Standard Deviations'!A1:C672,3,FALSE)</f>
        <v>5.6592062446940474</v>
      </c>
      <c r="J86" s="167" cm="1">
        <f t="array" ref="J86">I86-VLOOKUP(B$2,H1:J407,2,FALSE)</f>
        <v>0.34400387022008339</v>
      </c>
    </row>
    <row r="87" spans="1:10" ht="21.25" customHeight="1" x14ac:dyDescent="0.15">
      <c r="A87" s="10" t="s">
        <v>277</v>
      </c>
      <c r="B87" s="165" t="str" cm="1">
        <f t="array" ref="B87">VLOOKUP(A87,'The List'!B1:D671,3,FALSE)</f>
        <v>LW,RW</v>
      </c>
      <c r="C87" s="74" cm="1">
        <f t="array" ref="C87">IF(Settings!$E$15="POINTS",RANK(E87,E3:E407),H87)</f>
        <v>72</v>
      </c>
      <c r="D87" s="18" t="str" cm="1">
        <f t="array" ref="D87">VLOOKUP(A87,'The List'!B1:F671,5,FALSE)</f>
        <v>TOR</v>
      </c>
      <c r="E87" s="55" cm="1">
        <f t="array" ref="E87">VLOOKUP(A87,'The List'!B1:I671,8,FALSE)</f>
        <v>4.8039094606699768</v>
      </c>
      <c r="F87" s="55" cm="1">
        <f t="array" ref="F87">IF(Settings!$E$15="POINTS",E87-VLOOKUP(B$2,C1:E407,3,FALSE),J87)</f>
        <v>-0.51129291380398723</v>
      </c>
      <c r="G87" s="55"/>
      <c r="H87" s="166" cm="1">
        <f t="array" ref="H87">RANK(I87,I3:I407)</f>
        <v>72</v>
      </c>
      <c r="I87" s="167" cm="1">
        <f t="array" ref="I87">VLOOKUP(A87,'Standard Deviations'!A1:C672,3,FALSE)</f>
        <v>4.8039094606699768</v>
      </c>
      <c r="J87" s="167" cm="1">
        <f t="array" ref="J87">I87-VLOOKUP(B$2,H1:J407,2,FALSE)</f>
        <v>-0.51129291380398723</v>
      </c>
    </row>
    <row r="88" spans="1:10" ht="21.25" customHeight="1" x14ac:dyDescent="0.15">
      <c r="A88" s="10" t="s">
        <v>281</v>
      </c>
      <c r="B88" s="165" t="str" cm="1">
        <f t="array" ref="B88">VLOOKUP(A88,'The List'!B1:D671,3,FALSE)</f>
        <v>LW</v>
      </c>
      <c r="C88" s="74" cm="1">
        <f t="array" ref="C88">IF(Settings!$E$15="POINTS",RANK(E88,E3:E407),H88)</f>
        <v>82</v>
      </c>
      <c r="D88" s="18" t="str" cm="1">
        <f t="array" ref="D88">VLOOKUP(A88,'The List'!B1:F671,5,FALSE)</f>
        <v>BUF</v>
      </c>
      <c r="E88" s="55" cm="1">
        <f t="array" ref="E88">VLOOKUP(A88,'The List'!B1:I671,8,FALSE)</f>
        <v>4.403269154391638</v>
      </c>
      <c r="F88" s="55" cm="1">
        <f t="array" ref="F88">IF(Settings!$E$15="POINTS",E88-VLOOKUP(B$2,C1:E407,3,FALSE),J88)</f>
        <v>-0.91193322008232602</v>
      </c>
      <c r="G88" s="55"/>
      <c r="H88" s="166" cm="1">
        <f t="array" ref="H88">RANK(I88,I3:I407)</f>
        <v>82</v>
      </c>
      <c r="I88" s="167" cm="1">
        <f t="array" ref="I88">VLOOKUP(A88,'Standard Deviations'!A1:C672,3,FALSE)</f>
        <v>4.403269154391638</v>
      </c>
      <c r="J88" s="167" cm="1">
        <f t="array" ref="J88">I88-VLOOKUP(B$2,H1:J407,2,FALSE)</f>
        <v>-0.91193322008232602</v>
      </c>
    </row>
    <row r="89" spans="1:10" ht="21.25" customHeight="1" x14ac:dyDescent="0.15">
      <c r="A89" s="10" t="s">
        <v>279</v>
      </c>
      <c r="B89" s="165" t="str" cm="1">
        <f t="array" ref="B89">VLOOKUP(A89,'The List'!B1:D671,3,FALSE)</f>
        <v>LW,RW</v>
      </c>
      <c r="C89" s="74" cm="1">
        <f t="array" ref="C89">IF(Settings!$E$15="POINTS",RANK(E89,E3:E407),H89)</f>
        <v>50</v>
      </c>
      <c r="D89" s="18" t="str" cm="1">
        <f t="array" ref="D89">VLOOKUP(A89,'The List'!B1:F671,5,FALSE)</f>
        <v>OTT</v>
      </c>
      <c r="E89" s="55" cm="1">
        <f t="array" ref="E89">VLOOKUP(A89,'The List'!B1:I671,8,FALSE)</f>
        <v>6.4734943779736449</v>
      </c>
      <c r="F89" s="55" cm="1">
        <f t="array" ref="F89">IF(Settings!$E$15="POINTS",E89-VLOOKUP(B$2,C1:E407,3,FALSE),J89)</f>
        <v>1.1582920034996809</v>
      </c>
      <c r="G89" s="55"/>
      <c r="H89" s="166" cm="1">
        <f t="array" ref="H89">RANK(I89,I3:I407)</f>
        <v>50</v>
      </c>
      <c r="I89" s="167" cm="1">
        <f t="array" ref="I89">VLOOKUP(A89,'Standard Deviations'!A1:C672,3,FALSE)</f>
        <v>6.4734943779736449</v>
      </c>
      <c r="J89" s="167" cm="1">
        <f t="array" ref="J89">I89-VLOOKUP(B$2,H1:J407,2,FALSE)</f>
        <v>1.1582920034996809</v>
      </c>
    </row>
    <row r="90" spans="1:10" ht="21.25" customHeight="1" x14ac:dyDescent="0.15">
      <c r="A90" s="10" t="s">
        <v>291</v>
      </c>
      <c r="B90" s="165" t="str" cm="1">
        <f t="array" ref="B90">VLOOKUP(A90,'The List'!B1:D671,3,FALSE)</f>
        <v>RW</v>
      </c>
      <c r="C90" s="74" cm="1">
        <f t="array" ref="C90">IF(Settings!$E$15="POINTS",RANK(E90,E3:E407),H90)</f>
        <v>35</v>
      </c>
      <c r="D90" s="18" t="str" cm="1">
        <f t="array" ref="D90">VLOOKUP(A90,'The List'!B1:F671,5,FALSE)</f>
        <v>WSH</v>
      </c>
      <c r="E90" s="55" cm="1">
        <f t="array" ref="E90">VLOOKUP(A90,'The List'!B1:I671,8,FALSE)</f>
        <v>7.1307096449834102</v>
      </c>
      <c r="F90" s="55" cm="1">
        <f t="array" ref="F90">IF(Settings!$E$15="POINTS",E90-VLOOKUP(B$2,C1:E407,3,FALSE),J90)</f>
        <v>1.8155072705094462</v>
      </c>
      <c r="G90" s="55"/>
      <c r="H90" s="166" cm="1">
        <f t="array" ref="H90">RANK(I90,I3:I407)</f>
        <v>35</v>
      </c>
      <c r="I90" s="167" cm="1">
        <f t="array" ref="I90">VLOOKUP(A90,'Standard Deviations'!A1:C672,3,FALSE)</f>
        <v>7.1307096449834102</v>
      </c>
      <c r="J90" s="167" cm="1">
        <f t="array" ref="J90">I90-VLOOKUP(B$2,H1:J407,2,FALSE)</f>
        <v>1.8155072705094462</v>
      </c>
    </row>
    <row r="91" spans="1:10" ht="21.25" customHeight="1" x14ac:dyDescent="0.15">
      <c r="A91" s="10" t="s">
        <v>292</v>
      </c>
      <c r="B91" s="165" t="str" cm="1">
        <f t="array" ref="B91">VLOOKUP(A91,'The List'!B1:D671,3,FALSE)</f>
        <v>RW</v>
      </c>
      <c r="C91" s="74" cm="1">
        <f t="array" ref="C91">IF(Settings!$E$15="POINTS",RANK(E91,E3:E407),H91)</f>
        <v>80</v>
      </c>
      <c r="D91" s="18" t="str" cm="1">
        <f t="array" ref="D91">VLOOKUP(A91,'The List'!B1:F671,5,FALSE)</f>
        <v>PHI</v>
      </c>
      <c r="E91" s="55" cm="1">
        <f t="array" ref="E91">VLOOKUP(A91,'The List'!B1:I671,8,FALSE)</f>
        <v>4.5387165069534134</v>
      </c>
      <c r="F91" s="55" cm="1">
        <f t="array" ref="F91">IF(Settings!$E$15="POINTS",E91-VLOOKUP(B$2,C1:E407,3,FALSE),J91)</f>
        <v>-0.7764858675205506</v>
      </c>
      <c r="G91" s="55"/>
      <c r="H91" s="166" cm="1">
        <f t="array" ref="H91">RANK(I91,I3:I407)</f>
        <v>80</v>
      </c>
      <c r="I91" s="167" cm="1">
        <f t="array" ref="I91">VLOOKUP(A91,'Standard Deviations'!A1:C672,3,FALSE)</f>
        <v>4.5387165069534134</v>
      </c>
      <c r="J91" s="167" cm="1">
        <f t="array" ref="J91">I91-VLOOKUP(B$2,H1:J407,2,FALSE)</f>
        <v>-0.7764858675205506</v>
      </c>
    </row>
    <row r="92" spans="1:10" ht="21.25" customHeight="1" x14ac:dyDescent="0.15">
      <c r="A92" s="10" t="s">
        <v>293</v>
      </c>
      <c r="B92" s="165" t="str" cm="1">
        <f t="array" ref="B92">VLOOKUP(A92,'The List'!B1:D671,3,FALSE)</f>
        <v>LW,RW</v>
      </c>
      <c r="C92" s="74" cm="1">
        <f t="array" ref="C92">IF(Settings!$E$15="POINTS",RANK(E92,E3:E407),H92)</f>
        <v>105</v>
      </c>
      <c r="D92" s="18" t="str" cm="1">
        <f t="array" ref="D92">VLOOKUP(A92,'The List'!B1:F671,5,FALSE)</f>
        <v>OTT</v>
      </c>
      <c r="E92" s="55" cm="1">
        <f t="array" ref="E92">VLOOKUP(A92,'The List'!B1:I671,8,FALSE)</f>
        <v>3.2635276203471508</v>
      </c>
      <c r="F92" s="55" cm="1">
        <f t="array" ref="F92">IF(Settings!$E$15="POINTS",E92-VLOOKUP(B$2,C1:E407,3,FALSE),J92)</f>
        <v>-2.0516747541268132</v>
      </c>
      <c r="G92" s="55"/>
      <c r="H92" s="166" cm="1">
        <f t="array" ref="H92">RANK(I92,I3:I407)</f>
        <v>105</v>
      </c>
      <c r="I92" s="167" cm="1">
        <f t="array" ref="I92">VLOOKUP(A92,'Standard Deviations'!A1:C672,3,FALSE)</f>
        <v>3.2635276203471508</v>
      </c>
      <c r="J92" s="167" cm="1">
        <f t="array" ref="J92">I92-VLOOKUP(B$2,H1:J407,2,FALSE)</f>
        <v>-2.0516747541268132</v>
      </c>
    </row>
    <row r="93" spans="1:10" ht="21.25" customHeight="1" x14ac:dyDescent="0.15">
      <c r="A93" s="10" t="s">
        <v>297</v>
      </c>
      <c r="B93" s="165" t="str" cm="1">
        <f t="array" ref="B93">VLOOKUP(A93,'The List'!B1:D671,3,FALSE)</f>
        <v>LW</v>
      </c>
      <c r="C93" s="74" cm="1">
        <f t="array" ref="C93">IF(Settings!$E$15="POINTS",RANK(E93,E3:E407),H93)</f>
        <v>88</v>
      </c>
      <c r="D93" s="18" t="str" cm="1">
        <f t="array" ref="D93">VLOOKUP(A93,'The List'!B1:F671,5,FALSE)</f>
        <v>TOR</v>
      </c>
      <c r="E93" s="55" cm="1">
        <f t="array" ref="E93">VLOOKUP(A93,'The List'!B1:I671,8,FALSE)</f>
        <v>4.1615007158622008</v>
      </c>
      <c r="F93" s="55" cm="1">
        <f t="array" ref="F93">IF(Settings!$E$15="POINTS",E93-VLOOKUP(B$2,C1:E407,3,FALSE),J93)</f>
        <v>-1.1537016586117632</v>
      </c>
      <c r="G93" s="55"/>
      <c r="H93" s="166" cm="1">
        <f t="array" ref="H93">RANK(I93,I3:I407)</f>
        <v>88</v>
      </c>
      <c r="I93" s="167" cm="1">
        <f t="array" ref="I93">VLOOKUP(A93,'Standard Deviations'!A1:C672,3,FALSE)</f>
        <v>4.1615007158622008</v>
      </c>
      <c r="J93" s="167" cm="1">
        <f t="array" ref="J93">I93-VLOOKUP(B$2,H1:J407,2,FALSE)</f>
        <v>-1.1537016586117632</v>
      </c>
    </row>
    <row r="94" spans="1:10" ht="21.25" customHeight="1" x14ac:dyDescent="0.15">
      <c r="A94" s="10" t="s">
        <v>298</v>
      </c>
      <c r="B94" s="165" t="str" cm="1">
        <f t="array" ref="B94">VLOOKUP(A94,'The List'!B1:D671,3,FALSE)</f>
        <v>C,LW</v>
      </c>
      <c r="C94" s="74" cm="1">
        <f t="array" ref="C94">IF(Settings!$E$15="POINTS",RANK(E94,E3:E407),H94)</f>
        <v>65</v>
      </c>
      <c r="D94" s="18" t="str" cm="1">
        <f t="array" ref="D94">VLOOKUP(A94,'The List'!B1:F671,5,FALSE)</f>
        <v>COL</v>
      </c>
      <c r="E94" s="55" cm="1">
        <f t="array" ref="E94">VLOOKUP(A94,'The List'!B1:I671,8,FALSE)</f>
        <v>5.3390818852859141</v>
      </c>
      <c r="F94" s="55" cm="1">
        <f t="array" ref="F94">IF(Settings!$E$15="POINTS",E94-VLOOKUP(B$2,C1:E407,3,FALSE),J94)</f>
        <v>2.3879510811950055E-2</v>
      </c>
      <c r="G94" s="55"/>
      <c r="H94" s="166" cm="1">
        <f t="array" ref="H94">RANK(I94,I3:I407)</f>
        <v>65</v>
      </c>
      <c r="I94" s="167" cm="1">
        <f t="array" ref="I94">VLOOKUP(A94,'Standard Deviations'!A1:C672,3,FALSE)</f>
        <v>5.3390818852859141</v>
      </c>
      <c r="J94" s="167" cm="1">
        <f t="array" ref="J94">I94-VLOOKUP(B$2,H1:J407,2,FALSE)</f>
        <v>2.3879510811950055E-2</v>
      </c>
    </row>
    <row r="95" spans="1:10" ht="21.25" customHeight="1" x14ac:dyDescent="0.15">
      <c r="A95" s="10" t="s">
        <v>296</v>
      </c>
      <c r="B95" s="165" t="str" cm="1">
        <f t="array" ref="B95">VLOOKUP(A95,'The List'!B1:D671,3,FALSE)</f>
        <v>LW,RW</v>
      </c>
      <c r="C95" s="74" cm="1">
        <f t="array" ref="C95">IF(Settings!$E$15="POINTS",RANK(E95,E3:E407),H95)</f>
        <v>113</v>
      </c>
      <c r="D95" s="18" t="str" cm="1">
        <f t="array" ref="D95">VLOOKUP(A95,'The List'!B1:F671,5,FALSE)</f>
        <v>BOS</v>
      </c>
      <c r="E95" s="55" cm="1">
        <f t="array" ref="E95">VLOOKUP(A95,'The List'!B1:I671,8,FALSE)</f>
        <v>2.7846380843270113</v>
      </c>
      <c r="F95" s="55" cm="1">
        <f t="array" ref="F95">IF(Settings!$E$15="POINTS",E95-VLOOKUP(B$2,C1:E407,3,FALSE),J95)</f>
        <v>-2.5305642901469527</v>
      </c>
      <c r="G95" s="55"/>
      <c r="H95" s="166" cm="1">
        <f t="array" ref="H95">RANK(I95,I3:I407)</f>
        <v>113</v>
      </c>
      <c r="I95" s="167" cm="1">
        <f t="array" ref="I95">VLOOKUP(A95,'Standard Deviations'!A1:C672,3,FALSE)</f>
        <v>2.7846380843270113</v>
      </c>
      <c r="J95" s="167" cm="1">
        <f t="array" ref="J95">I95-VLOOKUP(B$2,H1:J407,2,FALSE)</f>
        <v>-2.5305642901469527</v>
      </c>
    </row>
    <row r="96" spans="1:10" ht="21.25" customHeight="1" x14ac:dyDescent="0.15">
      <c r="A96" s="10" t="s">
        <v>283</v>
      </c>
      <c r="B96" s="165" t="str" cm="1">
        <f t="array" ref="B96">VLOOKUP(A96,'The List'!B1:D671,3,FALSE)</f>
        <v>C</v>
      </c>
      <c r="C96" s="74" cm="1">
        <f t="array" ref="C96">IF(Settings!$E$15="POINTS",RANK(E96,E3:E407),H96)</f>
        <v>75</v>
      </c>
      <c r="D96" s="18" t="str" cm="1">
        <f t="array" ref="D96">VLOOKUP(A96,'The List'!B1:F671,5,FALSE)</f>
        <v>COL</v>
      </c>
      <c r="E96" s="55" cm="1">
        <f t="array" ref="E96">VLOOKUP(A96,'The List'!B1:I671,8,FALSE)</f>
        <v>4.6672198059600962</v>
      </c>
      <c r="F96" s="55" cm="1">
        <f t="array" ref="F96">IF(Settings!$E$15="POINTS",E96-VLOOKUP(B$2,C1:E407,3,FALSE),J96)</f>
        <v>-0.64798256851386782</v>
      </c>
      <c r="G96" s="55"/>
      <c r="H96" s="166" cm="1">
        <f t="array" ref="H96">RANK(I96,I3:I407)</f>
        <v>75</v>
      </c>
      <c r="I96" s="167" cm="1">
        <f t="array" ref="I96">VLOOKUP(A96,'Standard Deviations'!A1:C672,3,FALSE)</f>
        <v>4.6672198059600962</v>
      </c>
      <c r="J96" s="167" cm="1">
        <f t="array" ref="J96">I96-VLOOKUP(B$2,H1:J407,2,FALSE)</f>
        <v>-0.64798256851386782</v>
      </c>
    </row>
    <row r="97" spans="1:10" ht="21.25" customHeight="1" x14ac:dyDescent="0.15">
      <c r="A97" s="10" t="s">
        <v>285</v>
      </c>
      <c r="B97" s="165" t="str" cm="1">
        <f t="array" ref="B97">VLOOKUP(A97,'The List'!B1:D671,3,FALSE)</f>
        <v>C</v>
      </c>
      <c r="C97" s="74" cm="1">
        <f t="array" ref="C97">IF(Settings!$E$15="POINTS",RANK(E97,E3:E407),H97)</f>
        <v>136</v>
      </c>
      <c r="D97" s="18" t="str" cm="1">
        <f t="array" ref="D97">VLOOKUP(A97,'The List'!B1:F671,5,FALSE)</f>
        <v>S.J</v>
      </c>
      <c r="E97" s="55" cm="1">
        <f t="array" ref="E97">VLOOKUP(A97,'The List'!B1:I671,8,FALSE)</f>
        <v>1.8667163114523855</v>
      </c>
      <c r="F97" s="55" cm="1">
        <f t="array" ref="F97">IF(Settings!$E$15="POINTS",E97-VLOOKUP(B$2,C1:E407,3,FALSE),J97)</f>
        <v>-3.4484860630215786</v>
      </c>
      <c r="G97" s="55"/>
      <c r="H97" s="166" cm="1">
        <f t="array" ref="H97">RANK(I97,I3:I407)</f>
        <v>136</v>
      </c>
      <c r="I97" s="167" cm="1">
        <f t="array" ref="I97">VLOOKUP(A97,'Standard Deviations'!A1:C672,3,FALSE)</f>
        <v>1.8667163114523855</v>
      </c>
      <c r="J97" s="167" cm="1">
        <f t="array" ref="J97">I97-VLOOKUP(B$2,H1:J407,2,FALSE)</f>
        <v>-3.4484860630215786</v>
      </c>
    </row>
    <row r="98" spans="1:10" ht="21.25" customHeight="1" x14ac:dyDescent="0.15">
      <c r="A98" s="10" t="s">
        <v>301</v>
      </c>
      <c r="B98" s="165" t="str" cm="1">
        <f t="array" ref="B98">VLOOKUP(A98,'The List'!B1:D671,3,FALSE)</f>
        <v>C,RW</v>
      </c>
      <c r="C98" s="74" cm="1">
        <f t="array" ref="C98">IF(Settings!$E$15="POINTS",RANK(E98,E3:E407),H98)</f>
        <v>106</v>
      </c>
      <c r="D98" s="18" t="str" cm="1">
        <f t="array" ref="D98">VLOOKUP(A98,'The List'!B1:F671,5,FALSE)</f>
        <v>WPG</v>
      </c>
      <c r="E98" s="55" cm="1">
        <f t="array" ref="E98">VLOOKUP(A98,'The List'!B1:I671,8,FALSE)</f>
        <v>3.1531162562679746</v>
      </c>
      <c r="F98" s="55" cm="1">
        <f t="array" ref="F98">IF(Settings!$E$15="POINTS",E98-VLOOKUP(B$2,C1:E407,3,FALSE),J98)</f>
        <v>-2.1620861182059894</v>
      </c>
      <c r="G98" s="55"/>
      <c r="H98" s="166" cm="1">
        <f t="array" ref="H98">RANK(I98,I3:I407)</f>
        <v>106</v>
      </c>
      <c r="I98" s="167" cm="1">
        <f t="array" ref="I98">VLOOKUP(A98,'Standard Deviations'!A1:C672,3,FALSE)</f>
        <v>3.1531162562679746</v>
      </c>
      <c r="J98" s="167" cm="1">
        <f t="array" ref="J98">I98-VLOOKUP(B$2,H1:J407,2,FALSE)</f>
        <v>-2.1620861182059894</v>
      </c>
    </row>
    <row r="99" spans="1:10" ht="21.25" customHeight="1" x14ac:dyDescent="0.15">
      <c r="A99" s="10" t="s">
        <v>290</v>
      </c>
      <c r="B99" s="165" t="str" cm="1">
        <f t="array" ref="B99">VLOOKUP(A99,'The List'!B1:D671,3,FALSE)</f>
        <v>C</v>
      </c>
      <c r="C99" s="74" cm="1">
        <f t="array" ref="C99">IF(Settings!$E$15="POINTS",RANK(E99,E3:E407),H99)</f>
        <v>34</v>
      </c>
      <c r="D99" s="18" t="str" cm="1">
        <f t="array" ref="D99">VLOOKUP(A99,'The List'!B1:F671,5,FALSE)</f>
        <v>OTT</v>
      </c>
      <c r="E99" s="55" cm="1">
        <f t="array" ref="E99">VLOOKUP(A99,'The List'!B1:I671,8,FALSE)</f>
        <v>7.3149739051616676</v>
      </c>
      <c r="F99" s="55" cm="1">
        <f t="array" ref="F99">IF(Settings!$E$15="POINTS",E99-VLOOKUP(B$2,C1:E407,3,FALSE),J99)</f>
        <v>1.9997715306877035</v>
      </c>
      <c r="G99" s="55"/>
      <c r="H99" s="166" cm="1">
        <f t="array" ref="H99">RANK(I99,I3:I407)</f>
        <v>34</v>
      </c>
      <c r="I99" s="167" cm="1">
        <f t="array" ref="I99">VLOOKUP(A99,'Standard Deviations'!A1:C672,3,FALSE)</f>
        <v>7.3149739051616676</v>
      </c>
      <c r="J99" s="167" cm="1">
        <f t="array" ref="J99">I99-VLOOKUP(B$2,H1:J407,2,FALSE)</f>
        <v>1.9997715306877035</v>
      </c>
    </row>
    <row r="100" spans="1:10" ht="21.25" customHeight="1" x14ac:dyDescent="0.15">
      <c r="A100" s="10" t="s">
        <v>312</v>
      </c>
      <c r="B100" s="165" t="str" cm="1">
        <f t="array" ref="B100">VLOOKUP(A100,'The List'!B1:D671,3,FALSE)</f>
        <v>LW</v>
      </c>
      <c r="C100" s="74" cm="1">
        <f t="array" ref="C100">IF(Settings!$E$15="POINTS",RANK(E100,E3:E407),H100)</f>
        <v>119</v>
      </c>
      <c r="D100" s="18" t="str" cm="1">
        <f t="array" ref="D100">VLOOKUP(A100,'The List'!B1:F671,5,FALSE)</f>
        <v>L.A</v>
      </c>
      <c r="E100" s="55" cm="1">
        <f t="array" ref="E100">VLOOKUP(A100,'The List'!B1:I671,8,FALSE)</f>
        <v>2.5808534245508383</v>
      </c>
      <c r="F100" s="55" cm="1">
        <f t="array" ref="F100">IF(Settings!$E$15="POINTS",E100-VLOOKUP(B$2,C1:E407,3,FALSE),J100)</f>
        <v>-2.7343489499231257</v>
      </c>
      <c r="G100" s="55"/>
      <c r="H100" s="166" cm="1">
        <f t="array" ref="H100">RANK(I100,I3:I407)</f>
        <v>119</v>
      </c>
      <c r="I100" s="167" cm="1">
        <f t="array" ref="I100">VLOOKUP(A100,'Standard Deviations'!A1:C672,3,FALSE)</f>
        <v>2.5808534245508383</v>
      </c>
      <c r="J100" s="167" cm="1">
        <f t="array" ref="J100">I100-VLOOKUP(B$2,H1:J407,2,FALSE)</f>
        <v>-2.7343489499231257</v>
      </c>
    </row>
    <row r="101" spans="1:10" ht="21.25" customHeight="1" x14ac:dyDescent="0.15">
      <c r="A101" s="10" t="s">
        <v>306</v>
      </c>
      <c r="B101" s="165" t="str" cm="1">
        <f t="array" ref="B101">VLOOKUP(A101,'The List'!B1:D671,3,FALSE)</f>
        <v>C,RW</v>
      </c>
      <c r="C101" s="74" cm="1">
        <f t="array" ref="C101">IF(Settings!$E$15="POINTS",RANK(E101,E3:E407),H101)</f>
        <v>98</v>
      </c>
      <c r="D101" s="18" t="str" cm="1">
        <f t="array" ref="D101">VLOOKUP(A101,'The List'!B1:F671,5,FALSE)</f>
        <v>MIN</v>
      </c>
      <c r="E101" s="55" cm="1">
        <f t="array" ref="E101">VLOOKUP(A101,'The List'!B1:I671,8,FALSE)</f>
        <v>3.7144735881746609</v>
      </c>
      <c r="F101" s="55" cm="1">
        <f t="array" ref="F101">IF(Settings!$E$15="POINTS",E101-VLOOKUP(B$2,C1:E407,3,FALSE),J101)</f>
        <v>-1.6007287862993032</v>
      </c>
      <c r="G101" s="55"/>
      <c r="H101" s="166" cm="1">
        <f t="array" ref="H101">RANK(I101,I3:I407)</f>
        <v>98</v>
      </c>
      <c r="I101" s="167" cm="1">
        <f t="array" ref="I101">VLOOKUP(A101,'Standard Deviations'!A1:C672,3,FALSE)</f>
        <v>3.7144735881746609</v>
      </c>
      <c r="J101" s="167" cm="1">
        <f t="array" ref="J101">I101-VLOOKUP(B$2,H1:J407,2,FALSE)</f>
        <v>-1.6007287862993032</v>
      </c>
    </row>
    <row r="102" spans="1:10" ht="21.25" customHeight="1" x14ac:dyDescent="0.15">
      <c r="A102" s="10" t="s">
        <v>318</v>
      </c>
      <c r="B102" s="165" t="str" cm="1">
        <f t="array" ref="B102">VLOOKUP(A102,'The List'!B1:D671,3,FALSE)</f>
        <v>C,LW</v>
      </c>
      <c r="C102" s="74" cm="1">
        <f t="array" ref="C102">IF(Settings!$E$15="POINTS",RANK(E102,E3:E407),H102)</f>
        <v>128</v>
      </c>
      <c r="D102" s="18" t="str" cm="1">
        <f t="array" ref="D102">VLOOKUP(A102,'The List'!B1:F671,5,FALSE)</f>
        <v>SEA</v>
      </c>
      <c r="E102" s="55" cm="1">
        <f t="array" ref="E102">VLOOKUP(A102,'The List'!B1:I671,8,FALSE)</f>
        <v>2.2491374797989487</v>
      </c>
      <c r="F102" s="55" cm="1">
        <f t="array" ref="F102">IF(Settings!$E$15="POINTS",E102-VLOOKUP(B$2,C1:E407,3,FALSE),J102)</f>
        <v>-3.0660648946750153</v>
      </c>
      <c r="G102" s="55"/>
      <c r="H102" s="166" cm="1">
        <f t="array" ref="H102">RANK(I102,I3:I407)</f>
        <v>128</v>
      </c>
      <c r="I102" s="167" cm="1">
        <f t="array" ref="I102">VLOOKUP(A102,'Standard Deviations'!A1:C672,3,FALSE)</f>
        <v>2.2491374797989487</v>
      </c>
      <c r="J102" s="167" cm="1">
        <f t="array" ref="J102">I102-VLOOKUP(B$2,H1:J407,2,FALSE)</f>
        <v>-3.0660648946750153</v>
      </c>
    </row>
    <row r="103" spans="1:10" ht="21.25" customHeight="1" x14ac:dyDescent="0.15">
      <c r="A103" s="10" t="s">
        <v>313</v>
      </c>
      <c r="B103" s="165" t="str" cm="1">
        <f t="array" ref="B103">VLOOKUP(A103,'The List'!B1:D671,3,FALSE)</f>
        <v>LW,RW</v>
      </c>
      <c r="C103" s="74" cm="1">
        <f t="array" ref="C103">IF(Settings!$E$15="POINTS",RANK(E103,E3:E407),H103)</f>
        <v>160</v>
      </c>
      <c r="D103" s="18" t="str" cm="1">
        <f t="array" ref="D103">VLOOKUP(A103,'The List'!B1:F671,5,FALSE)</f>
        <v>VAN</v>
      </c>
      <c r="E103" s="55" cm="1">
        <f t="array" ref="E103">VLOOKUP(A103,'The List'!B1:I671,8,FALSE)</f>
        <v>0.904929393653362</v>
      </c>
      <c r="F103" s="55" cm="1">
        <f t="array" ref="F103">IF(Settings!$E$15="POINTS",E103-VLOOKUP(B$2,C1:E407,3,FALSE),J103)</f>
        <v>-4.4102729808206025</v>
      </c>
      <c r="G103" s="55"/>
      <c r="H103" s="166" cm="1">
        <f t="array" ref="H103">RANK(I103,I3:I407)</f>
        <v>160</v>
      </c>
      <c r="I103" s="167" cm="1">
        <f t="array" ref="I103">VLOOKUP(A103,'Standard Deviations'!A1:C672,3,FALSE)</f>
        <v>0.904929393653362</v>
      </c>
      <c r="J103" s="167" cm="1">
        <f t="array" ref="J103">I103-VLOOKUP(B$2,H1:J407,2,FALSE)</f>
        <v>-4.4102729808206025</v>
      </c>
    </row>
    <row r="104" spans="1:10" ht="21.25" customHeight="1" x14ac:dyDescent="0.15">
      <c r="A104" s="10" t="s">
        <v>316</v>
      </c>
      <c r="B104" s="165" t="str" cm="1">
        <f t="array" ref="B104">VLOOKUP(A104,'The List'!B1:D671,3,FALSE)</f>
        <v>LW,RW</v>
      </c>
      <c r="C104" s="74" cm="1">
        <f t="array" ref="C104">IF(Settings!$E$15="POINTS",RANK(E104,E3:E407),H104)</f>
        <v>55</v>
      </c>
      <c r="D104" s="18" t="str" cm="1">
        <f t="array" ref="D104">VLOOKUP(A104,'The List'!B1:F671,5,FALSE)</f>
        <v>CAR</v>
      </c>
      <c r="E104" s="55" cm="1">
        <f t="array" ref="E104">VLOOKUP(A104,'The List'!B1:I671,8,FALSE)</f>
        <v>6.0248230104492233</v>
      </c>
      <c r="F104" s="55" cm="1">
        <f t="array" ref="F104">IF(Settings!$E$15="POINTS",E104-VLOOKUP(B$2,C1:E407,3,FALSE),J104)</f>
        <v>0.70962063597525926</v>
      </c>
      <c r="G104" s="55"/>
      <c r="H104" s="166" cm="1">
        <f t="array" ref="H104">RANK(I104,I3:I407)</f>
        <v>55</v>
      </c>
      <c r="I104" s="167" cm="1">
        <f t="array" ref="I104">VLOOKUP(A104,'Standard Deviations'!A1:C672,3,FALSE)</f>
        <v>6.0248230104492233</v>
      </c>
      <c r="J104" s="167" cm="1">
        <f t="array" ref="J104">I104-VLOOKUP(B$2,H1:J407,2,FALSE)</f>
        <v>0.70962063597525926</v>
      </c>
    </row>
    <row r="105" spans="1:10" ht="21.25" customHeight="1" x14ac:dyDescent="0.15">
      <c r="A105" s="10" t="s">
        <v>319</v>
      </c>
      <c r="B105" s="165" t="str" cm="1">
        <f t="array" ref="B105">VLOOKUP(A105,'The List'!B1:D671,3,FALSE)</f>
        <v>LW,RW</v>
      </c>
      <c r="C105" s="74" cm="1">
        <f t="array" ref="C105">IF(Settings!$E$15="POINTS",RANK(E105,E3:E407),H105)</f>
        <v>135</v>
      </c>
      <c r="D105" s="18" t="str" cm="1">
        <f t="array" ref="D105">VLOOKUP(A105,'The List'!B1:F671,5,FALSE)</f>
        <v>VAN</v>
      </c>
      <c r="E105" s="55" cm="1">
        <f t="array" ref="E105">VLOOKUP(A105,'The List'!B1:I671,8,FALSE)</f>
        <v>1.8804872106825958</v>
      </c>
      <c r="F105" s="55" cm="1">
        <f t="array" ref="F105">IF(Settings!$E$15="POINTS",E105-VLOOKUP(B$2,C1:E407,3,FALSE),J105)</f>
        <v>-3.4347151637913682</v>
      </c>
      <c r="G105" s="55"/>
      <c r="H105" s="166" cm="1">
        <f t="array" ref="H105">RANK(I105,I3:I407)</f>
        <v>135</v>
      </c>
      <c r="I105" s="167" cm="1">
        <f t="array" ref="I105">VLOOKUP(A105,'Standard Deviations'!A1:C672,3,FALSE)</f>
        <v>1.8804872106825958</v>
      </c>
      <c r="J105" s="167" cm="1">
        <f t="array" ref="J105">I105-VLOOKUP(B$2,H1:J407,2,FALSE)</f>
        <v>-3.4347151637913682</v>
      </c>
    </row>
    <row r="106" spans="1:10" ht="21.25" customHeight="1" x14ac:dyDescent="0.15">
      <c r="A106" s="10" t="s">
        <v>325</v>
      </c>
      <c r="B106" s="165" t="str" cm="1">
        <f t="array" ref="B106">VLOOKUP(A106,'The List'!B1:D671,3,FALSE)</f>
        <v>LW,RW</v>
      </c>
      <c r="C106" s="74" cm="1">
        <f t="array" ref="C106">IF(Settings!$E$15="POINTS",RANK(E106,E3:E407),H106)</f>
        <v>122</v>
      </c>
      <c r="D106" s="18" t="str" cm="1">
        <f t="array" ref="D106">VLOOKUP(A106,'The List'!B1:F671,5,FALSE)</f>
        <v>NSH</v>
      </c>
      <c r="E106" s="55" cm="1">
        <f t="array" ref="E106">VLOOKUP(A106,'The List'!B1:I671,8,FALSE)</f>
        <v>2.4675081876005462</v>
      </c>
      <c r="F106" s="55" cm="1">
        <f t="array" ref="F106">IF(Settings!$E$15="POINTS",E106-VLOOKUP(B$2,C1:E407,3,FALSE),J106)</f>
        <v>-2.8476941868734178</v>
      </c>
      <c r="G106" s="55"/>
      <c r="H106" s="166" cm="1">
        <f t="array" ref="H106">RANK(I106,I3:I407)</f>
        <v>122</v>
      </c>
      <c r="I106" s="167" cm="1">
        <f t="array" ref="I106">VLOOKUP(A106,'Standard Deviations'!A1:C672,3,FALSE)</f>
        <v>2.4675081876005462</v>
      </c>
      <c r="J106" s="167" cm="1">
        <f t="array" ref="J106">I106-VLOOKUP(B$2,H1:J407,2,FALSE)</f>
        <v>-2.8476941868734178</v>
      </c>
    </row>
    <row r="107" spans="1:10" ht="21.25" customHeight="1" x14ac:dyDescent="0.15">
      <c r="A107" s="10" t="s">
        <v>310</v>
      </c>
      <c r="B107" s="165" t="str" cm="1">
        <f t="array" ref="B107">VLOOKUP(A107,'The List'!B1:D671,3,FALSE)</f>
        <v>C</v>
      </c>
      <c r="C107" s="74" cm="1">
        <f t="array" ref="C107">IF(Settings!$E$15="POINTS",RANK(E107,E3:E407),H107)</f>
        <v>161</v>
      </c>
      <c r="D107" s="18" t="str" cm="1">
        <f t="array" ref="D107">VLOOKUP(A107,'The List'!B1:F671,5,FALSE)</f>
        <v>VAN</v>
      </c>
      <c r="E107" s="55" cm="1">
        <f t="array" ref="E107">VLOOKUP(A107,'The List'!B1:I671,8,FALSE)</f>
        <v>0.85367784570938654</v>
      </c>
      <c r="F107" s="55" cm="1">
        <f t="array" ref="F107">IF(Settings!$E$15="POINTS",E107-VLOOKUP(B$2,C1:E407,3,FALSE),J107)</f>
        <v>-4.4615245287645777</v>
      </c>
      <c r="G107" s="55"/>
      <c r="H107" s="166" cm="1">
        <f t="array" ref="H107">RANK(I107,I3:I407)</f>
        <v>161</v>
      </c>
      <c r="I107" s="167" cm="1">
        <f t="array" ref="I107">VLOOKUP(A107,'Standard Deviations'!A1:C672,3,FALSE)</f>
        <v>0.85367784570938654</v>
      </c>
      <c r="J107" s="167" cm="1">
        <f t="array" ref="J107">I107-VLOOKUP(B$2,H1:J407,2,FALSE)</f>
        <v>-4.4615245287645777</v>
      </c>
    </row>
    <row r="108" spans="1:10" ht="21.25" customHeight="1" x14ac:dyDescent="0.15">
      <c r="A108" s="10" t="s">
        <v>327</v>
      </c>
      <c r="B108" s="165" t="str" cm="1">
        <f t="array" ref="B108">VLOOKUP(A108,'The List'!B1:D671,3,FALSE)</f>
        <v>C,LW,RW</v>
      </c>
      <c r="C108" s="74" cm="1">
        <f t="array" ref="C108">IF(Settings!$E$15="POINTS",RANK(E108,E3:E407),H108)</f>
        <v>109</v>
      </c>
      <c r="D108" s="18" t="str" cm="1">
        <f t="array" ref="D108">VLOOKUP(A108,'The List'!B1:F671,5,FALSE)</f>
        <v>PHI</v>
      </c>
      <c r="E108" s="55" cm="1">
        <f t="array" ref="E108">VLOOKUP(A108,'The List'!B1:I671,8,FALSE)</f>
        <v>3.0541569889542113</v>
      </c>
      <c r="F108" s="55" cm="1">
        <f t="array" ref="F108">IF(Settings!$E$15="POINTS",E108-VLOOKUP(B$2,C1:E407,3,FALSE),J108)</f>
        <v>-2.2610453855197528</v>
      </c>
      <c r="G108" s="55"/>
      <c r="H108" s="166" cm="1">
        <f t="array" ref="H108">RANK(I108,I3:I407)</f>
        <v>109</v>
      </c>
      <c r="I108" s="167" cm="1">
        <f t="array" ref="I108">VLOOKUP(A108,'Standard Deviations'!A1:C672,3,FALSE)</f>
        <v>3.0541569889542113</v>
      </c>
      <c r="J108" s="167" cm="1">
        <f t="array" ref="J108">I108-VLOOKUP(B$2,H1:J407,2,FALSE)</f>
        <v>-2.2610453855197528</v>
      </c>
    </row>
    <row r="109" spans="1:10" ht="21.25" customHeight="1" x14ac:dyDescent="0.15">
      <c r="A109" s="10" t="s">
        <v>329</v>
      </c>
      <c r="B109" s="165" t="str" cm="1">
        <f t="array" ref="B109">VLOOKUP(A109,'The List'!B1:D671,3,FALSE)</f>
        <v>RW</v>
      </c>
      <c r="C109" s="74" cm="1">
        <f t="array" ref="C109">IF(Settings!$E$15="POINTS",RANK(E109,E3:E407),H109)</f>
        <v>90</v>
      </c>
      <c r="D109" s="18" t="str" cm="1">
        <f t="array" ref="D109">VLOOKUP(A109,'The List'!B1:F671,5,FALSE)</f>
        <v>CAR</v>
      </c>
      <c r="E109" s="55" cm="1">
        <f t="array" ref="E109">VLOOKUP(A109,'The List'!B1:I671,8,FALSE)</f>
        <v>4.1212716633536726</v>
      </c>
      <c r="F109" s="55" cm="1">
        <f t="array" ref="F109">IF(Settings!$E$15="POINTS",E109-VLOOKUP(B$2,C1:E407,3,FALSE),J109)</f>
        <v>-1.1939307111202915</v>
      </c>
      <c r="G109" s="55"/>
      <c r="H109" s="166" cm="1">
        <f t="array" ref="H109">RANK(I109,I3:I407)</f>
        <v>90</v>
      </c>
      <c r="I109" s="167" cm="1">
        <f t="array" ref="I109">VLOOKUP(A109,'Standard Deviations'!A1:C672,3,FALSE)</f>
        <v>4.1212716633536726</v>
      </c>
      <c r="J109" s="167" cm="1">
        <f t="array" ref="J109">I109-VLOOKUP(B$2,H1:J407,2,FALSE)</f>
        <v>-1.1939307111202915</v>
      </c>
    </row>
    <row r="110" spans="1:10" ht="21.25" customHeight="1" x14ac:dyDescent="0.15">
      <c r="A110" s="10" t="s">
        <v>330</v>
      </c>
      <c r="B110" s="165" t="str" cm="1">
        <f t="array" ref="B110">VLOOKUP(A110,'The List'!B1:D671,3,FALSE)</f>
        <v>RW</v>
      </c>
      <c r="C110" s="74" cm="1">
        <f t="array" ref="C110">IF(Settings!$E$15="POINTS",RANK(E110,E3:E407),H110)</f>
        <v>157</v>
      </c>
      <c r="D110" s="18" t="str" cm="1">
        <f t="array" ref="D110">VLOOKUP(A110,'The List'!B1:F671,5,FALSE)</f>
        <v>CHI</v>
      </c>
      <c r="E110" s="55" cm="1">
        <f t="array" ref="E110">VLOOKUP(A110,'The List'!B1:I671,8,FALSE)</f>
        <v>1.1701183337854659</v>
      </c>
      <c r="F110" s="55" cm="1">
        <f t="array" ref="F110">IF(Settings!$E$15="POINTS",E110-VLOOKUP(B$2,C1:E407,3,FALSE),J110)</f>
        <v>-4.1450840406884986</v>
      </c>
      <c r="G110" s="55"/>
      <c r="H110" s="166" cm="1">
        <f t="array" ref="H110">RANK(I110,I3:I407)</f>
        <v>157</v>
      </c>
      <c r="I110" s="167" cm="1">
        <f t="array" ref="I110">VLOOKUP(A110,'Standard Deviations'!A1:C672,3,FALSE)</f>
        <v>1.1701183337854659</v>
      </c>
      <c r="J110" s="167" cm="1">
        <f t="array" ref="J110">I110-VLOOKUP(B$2,H1:J407,2,FALSE)</f>
        <v>-4.1450840406884986</v>
      </c>
    </row>
    <row r="111" spans="1:10" ht="21.25" customHeight="1" x14ac:dyDescent="0.15">
      <c r="A111" s="10" t="s">
        <v>338</v>
      </c>
      <c r="B111" s="165" t="str" cm="1">
        <f t="array" ref="B111">VLOOKUP(A111,'The List'!B1:D671,3,FALSE)</f>
        <v>C,LW</v>
      </c>
      <c r="C111" s="74" cm="1">
        <f t="array" ref="C111">IF(Settings!$E$15="POINTS",RANK(E111,E3:E407),H111)</f>
        <v>89</v>
      </c>
      <c r="D111" s="18" t="str" cm="1">
        <f t="array" ref="D111">VLOOKUP(A111,'The List'!B1:F671,5,FALSE)</f>
        <v>EDM</v>
      </c>
      <c r="E111" s="55" cm="1">
        <f t="array" ref="E111">VLOOKUP(A111,'The List'!B1:I671,8,FALSE)</f>
        <v>4.1391253521735507</v>
      </c>
      <c r="F111" s="55" cm="1">
        <f t="array" ref="F111">IF(Settings!$E$15="POINTS",E111-VLOOKUP(B$2,C1:E407,3,FALSE),J111)</f>
        <v>-1.1760770223004133</v>
      </c>
      <c r="G111" s="55"/>
      <c r="H111" s="166" cm="1">
        <f t="array" ref="H111">RANK(I111,I3:I407)</f>
        <v>89</v>
      </c>
      <c r="I111" s="167" cm="1">
        <f t="array" ref="I111">VLOOKUP(A111,'Standard Deviations'!A1:C672,3,FALSE)</f>
        <v>4.1391253521735507</v>
      </c>
      <c r="J111" s="167" cm="1">
        <f t="array" ref="J111">I111-VLOOKUP(B$2,H1:J407,2,FALSE)</f>
        <v>-1.1760770223004133</v>
      </c>
    </row>
    <row r="112" spans="1:10" ht="21.25" customHeight="1" x14ac:dyDescent="0.15">
      <c r="A112" s="10" t="s">
        <v>332</v>
      </c>
      <c r="B112" s="165" t="str" cm="1">
        <f t="array" ref="B112">VLOOKUP(A112,'The List'!B1:D671,3,FALSE)</f>
        <v>LW,RW</v>
      </c>
      <c r="C112" s="74" cm="1">
        <f t="array" ref="C112">IF(Settings!$E$15="POINTS",RANK(E112,E3:E407),H112)</f>
        <v>159</v>
      </c>
      <c r="D112" s="18" t="str" cm="1">
        <f t="array" ref="D112">VLOOKUP(A112,'The List'!B1:F671,5,FALSE)</f>
        <v>FLA</v>
      </c>
      <c r="E112" s="55" cm="1">
        <f t="array" ref="E112">VLOOKUP(A112,'The List'!B1:I671,8,FALSE)</f>
        <v>1.0796955962659789</v>
      </c>
      <c r="F112" s="55" cm="1">
        <f t="array" ref="F112">IF(Settings!$E$15="POINTS",E112-VLOOKUP(B$2,C1:E407,3,FALSE),J112)</f>
        <v>-4.2355067782079852</v>
      </c>
      <c r="G112" s="55"/>
      <c r="H112" s="166" cm="1">
        <f t="array" ref="H112">RANK(I112,I3:I407)</f>
        <v>159</v>
      </c>
      <c r="I112" s="167" cm="1">
        <f t="array" ref="I112">VLOOKUP(A112,'Standard Deviations'!A1:C672,3,FALSE)</f>
        <v>1.0796955962659789</v>
      </c>
      <c r="J112" s="167" cm="1">
        <f t="array" ref="J112">I112-VLOOKUP(B$2,H1:J407,2,FALSE)</f>
        <v>-4.2355067782079852</v>
      </c>
    </row>
    <row r="113" spans="1:10" ht="21.25" customHeight="1" x14ac:dyDescent="0.15">
      <c r="A113" s="10" t="s">
        <v>333</v>
      </c>
      <c r="B113" s="165" t="str" cm="1">
        <f t="array" ref="B113">VLOOKUP(A113,'The List'!B1:D671,3,FALSE)</f>
        <v>LW,RW</v>
      </c>
      <c r="C113" s="74" cm="1">
        <f t="array" ref="C113">IF(Settings!$E$15="POINTS",RANK(E113,E3:E407),H113)</f>
        <v>112</v>
      </c>
      <c r="D113" s="18" t="str" cm="1">
        <f t="array" ref="D113">VLOOKUP(A113,'The List'!B1:F671,5,FALSE)</f>
        <v>PHI</v>
      </c>
      <c r="E113" s="55" cm="1">
        <f t="array" ref="E113">VLOOKUP(A113,'The List'!B1:I671,8,FALSE)</f>
        <v>2.8012577930622831</v>
      </c>
      <c r="F113" s="55" cm="1">
        <f t="array" ref="F113">IF(Settings!$E$15="POINTS",E113-VLOOKUP(B$2,C1:E407,3,FALSE),J113)</f>
        <v>-2.513944581411681</v>
      </c>
      <c r="G113" s="55"/>
      <c r="H113" s="166" cm="1">
        <f t="array" ref="H113">RANK(I113,I3:I407)</f>
        <v>112</v>
      </c>
      <c r="I113" s="167" cm="1">
        <f t="array" ref="I113">VLOOKUP(A113,'Standard Deviations'!A1:C672,3,FALSE)</f>
        <v>2.8012577930622831</v>
      </c>
      <c r="J113" s="167" cm="1">
        <f t="array" ref="J113">I113-VLOOKUP(B$2,H1:J407,2,FALSE)</f>
        <v>-2.513944581411681</v>
      </c>
    </row>
    <row r="114" spans="1:10" ht="21.25" customHeight="1" x14ac:dyDescent="0.15">
      <c r="A114" s="10" t="s">
        <v>317</v>
      </c>
      <c r="B114" s="165" t="str" cm="1">
        <f t="array" ref="B114">VLOOKUP(A114,'The List'!B1:D671,3,FALSE)</f>
        <v>C</v>
      </c>
      <c r="C114" s="74" cm="1">
        <f t="array" ref="C114">IF(Settings!$E$15="POINTS",RANK(E114,E3:E407),H114)</f>
        <v>189</v>
      </c>
      <c r="D114" s="18" t="str" cm="1">
        <f t="array" ref="D114">VLOOKUP(A114,'The List'!B1:F671,5,FALSE)</f>
        <v>SEA</v>
      </c>
      <c r="E114" s="55" cm="1">
        <f t="array" ref="E114">VLOOKUP(A114,'The List'!B1:I671,8,FALSE)</f>
        <v>3.74115864641138E-2</v>
      </c>
      <c r="F114" s="55" cm="1">
        <f t="array" ref="F114">IF(Settings!$E$15="POINTS",E114-VLOOKUP(B$2,C1:E407,3,FALSE),J114)</f>
        <v>-5.2777907880098507</v>
      </c>
      <c r="G114" s="55"/>
      <c r="H114" s="166" cm="1">
        <f t="array" ref="H114">RANK(I114,I3:I407)</f>
        <v>189</v>
      </c>
      <c r="I114" s="167" cm="1">
        <f t="array" ref="I114">VLOOKUP(A114,'Standard Deviations'!A1:C672,3,FALSE)</f>
        <v>3.74115864641138E-2</v>
      </c>
      <c r="J114" s="167" cm="1">
        <f t="array" ref="J114">I114-VLOOKUP(B$2,H1:J407,2,FALSE)</f>
        <v>-5.2777907880098507</v>
      </c>
    </row>
    <row r="115" spans="1:10" ht="21.25" customHeight="1" x14ac:dyDescent="0.15">
      <c r="A115" s="10" t="s">
        <v>335</v>
      </c>
      <c r="B115" s="165" t="str" cm="1">
        <f t="array" ref="B115">VLOOKUP(A115,'The List'!B1:D671,3,FALSE)</f>
        <v>RW</v>
      </c>
      <c r="C115" s="74" cm="1">
        <f t="array" ref="C115">IF(Settings!$E$15="POINTS",RANK(E115,E3:E407),H115)</f>
        <v>177</v>
      </c>
      <c r="D115" s="18" t="str" cm="1">
        <f t="array" ref="D115">VLOOKUP(A115,'The List'!B1:F671,5,FALSE)</f>
        <v>CGY</v>
      </c>
      <c r="E115" s="55" cm="1">
        <f t="array" ref="E115">VLOOKUP(A115,'The List'!B1:I671,8,FALSE)</f>
        <v>0.35672529280345389</v>
      </c>
      <c r="F115" s="55" cm="1">
        <f t="array" ref="F115">IF(Settings!$E$15="POINTS",E115-VLOOKUP(B$2,C1:E407,3,FALSE),J115)</f>
        <v>-4.9584770816705106</v>
      </c>
      <c r="G115" s="55"/>
      <c r="H115" s="166" cm="1">
        <f t="array" ref="H115">RANK(I115,I3:I407)</f>
        <v>177</v>
      </c>
      <c r="I115" s="167" cm="1">
        <f t="array" ref="I115">VLOOKUP(A115,'Standard Deviations'!A1:C672,3,FALSE)</f>
        <v>0.35672529280345389</v>
      </c>
      <c r="J115" s="167" cm="1">
        <f t="array" ref="J115">I115-VLOOKUP(B$2,H1:J407,2,FALSE)</f>
        <v>-4.9584770816705106</v>
      </c>
    </row>
    <row r="116" spans="1:10" ht="21.25" customHeight="1" x14ac:dyDescent="0.15">
      <c r="A116" s="10" t="s">
        <v>344</v>
      </c>
      <c r="B116" s="165" t="str" cm="1">
        <f t="array" ref="B116">VLOOKUP(A116,'The List'!B1:D671,3,FALSE)</f>
        <v>LW,RW</v>
      </c>
      <c r="C116" s="74" cm="1">
        <f t="array" ref="C116">IF(Settings!$E$15="POINTS",RANK(E116,E3:E407),H116)</f>
        <v>77</v>
      </c>
      <c r="D116" s="18" t="str" cm="1">
        <f t="array" ref="D116">VLOOKUP(A116,'The List'!B1:F671,5,FALSE)</f>
        <v>PHI</v>
      </c>
      <c r="E116" s="55" cm="1">
        <f t="array" ref="E116">VLOOKUP(A116,'The List'!B1:I671,8,FALSE)</f>
        <v>4.6336823797787394</v>
      </c>
      <c r="F116" s="55" cm="1">
        <f t="array" ref="F116">IF(Settings!$E$15="POINTS",E116-VLOOKUP(B$2,C1:E407,3,FALSE),J116)</f>
        <v>-0.68151999469522462</v>
      </c>
      <c r="G116" s="55"/>
      <c r="H116" s="166" cm="1">
        <f t="array" ref="H116">RANK(I116,I3:I407)</f>
        <v>77</v>
      </c>
      <c r="I116" s="167" cm="1">
        <f t="array" ref="I116">VLOOKUP(A116,'Standard Deviations'!A1:C672,3,FALSE)</f>
        <v>4.6336823797787394</v>
      </c>
      <c r="J116" s="167" cm="1">
        <f t="array" ref="J116">I116-VLOOKUP(B$2,H1:J407,2,FALSE)</f>
        <v>-0.68151999469522462</v>
      </c>
    </row>
    <row r="117" spans="1:10" ht="21.25" customHeight="1" x14ac:dyDescent="0.15">
      <c r="A117" s="10" t="s">
        <v>331</v>
      </c>
      <c r="B117" s="165" t="str" cm="1">
        <f t="array" ref="B117">VLOOKUP(A117,'The List'!B1:D671,3,FALSE)</f>
        <v>C</v>
      </c>
      <c r="C117" s="74" cm="1">
        <f t="array" ref="C117">IF(Settings!$E$15="POINTS",RANK(E117,E3:E407),H117)</f>
        <v>118</v>
      </c>
      <c r="D117" s="18" t="str" cm="1">
        <f t="array" ref="D117">VLOOKUP(A117,'The List'!B1:F671,5,FALSE)</f>
        <v>STL</v>
      </c>
      <c r="E117" s="55" cm="1">
        <f t="array" ref="E117">VLOOKUP(A117,'The List'!B1:I671,8,FALSE)</f>
        <v>2.6789282143720397</v>
      </c>
      <c r="F117" s="55" cm="1">
        <f t="array" ref="F117">IF(Settings!$E$15="POINTS",E117-VLOOKUP(B$2,C1:E407,3,FALSE),J117)</f>
        <v>-2.6362741601019244</v>
      </c>
      <c r="G117" s="55"/>
      <c r="H117" s="166" cm="1">
        <f t="array" ref="H117">RANK(I117,I3:I407)</f>
        <v>118</v>
      </c>
      <c r="I117" s="167" cm="1">
        <f t="array" ref="I117">VLOOKUP(A117,'Standard Deviations'!A1:C672,3,FALSE)</f>
        <v>2.6789282143720397</v>
      </c>
      <c r="J117" s="167" cm="1">
        <f t="array" ref="J117">I117-VLOOKUP(B$2,H1:J407,2,FALSE)</f>
        <v>-2.6362741601019244</v>
      </c>
    </row>
    <row r="118" spans="1:10" ht="21.25" customHeight="1" x14ac:dyDescent="0.15">
      <c r="A118" s="10" t="s">
        <v>347</v>
      </c>
      <c r="B118" s="165" t="str" cm="1">
        <f t="array" ref="B118">VLOOKUP(A118,'The List'!B1:D671,3,FALSE)</f>
        <v>LW,RW</v>
      </c>
      <c r="C118" s="74" cm="1">
        <f t="array" ref="C118">IF(Settings!$E$15="POINTS",RANK(E118,E3:E407),H118)</f>
        <v>190</v>
      </c>
      <c r="D118" s="18" t="str" cm="1">
        <f t="array" ref="D118">VLOOKUP(A118,'The List'!B1:F671,5,FALSE)</f>
        <v>CGY</v>
      </c>
      <c r="E118" s="55" cm="1">
        <f t="array" ref="E118">VLOOKUP(A118,'The List'!B1:I671,8,FALSE)</f>
        <v>2.8593388043536283E-2</v>
      </c>
      <c r="F118" s="55" cm="1">
        <f t="array" ref="F118">IF(Settings!$E$15="POINTS",E118-VLOOKUP(B$2,C1:E407,3,FALSE),J118)</f>
        <v>-5.2866089864304282</v>
      </c>
      <c r="G118" s="55"/>
      <c r="H118" s="166" cm="1">
        <f t="array" ref="H118">RANK(I118,I3:I407)</f>
        <v>190</v>
      </c>
      <c r="I118" s="167" cm="1">
        <f t="array" ref="I118">VLOOKUP(A118,'Standard Deviations'!A1:C672,3,FALSE)</f>
        <v>2.8593388043536283E-2</v>
      </c>
      <c r="J118" s="167" cm="1">
        <f t="array" ref="J118">I118-VLOOKUP(B$2,H1:J407,2,FALSE)</f>
        <v>-5.2866089864304282</v>
      </c>
    </row>
    <row r="119" spans="1:10" ht="21.25" customHeight="1" x14ac:dyDescent="0.15">
      <c r="A119" s="10" t="s">
        <v>353</v>
      </c>
      <c r="B119" s="165" t="str" cm="1">
        <f t="array" ref="B119">VLOOKUP(A119,'The List'!B1:D671,3,FALSE)</f>
        <v>C,RW</v>
      </c>
      <c r="C119" s="74" cm="1">
        <f t="array" ref="C119">IF(Settings!$E$15="POINTS",RANK(E119,E3:E407),H119)</f>
        <v>95</v>
      </c>
      <c r="D119" s="18" t="str" cm="1">
        <f t="array" ref="D119">VLOOKUP(A119,'The List'!B1:F671,5,FALSE)</f>
        <v>CAR</v>
      </c>
      <c r="E119" s="55" cm="1">
        <f t="array" ref="E119">VLOOKUP(A119,'The List'!B1:I671,8,FALSE)</f>
        <v>3.9937038316669402</v>
      </c>
      <c r="F119" s="55" cm="1">
        <f t="array" ref="F119">IF(Settings!$E$15="POINTS",E119-VLOOKUP(B$2,C1:E407,3,FALSE),J119)</f>
        <v>-1.3214985428070238</v>
      </c>
      <c r="G119" s="55"/>
      <c r="H119" s="166" cm="1">
        <f t="array" ref="H119">RANK(I119,I3:I407)</f>
        <v>95</v>
      </c>
      <c r="I119" s="167" cm="1">
        <f t="array" ref="I119">VLOOKUP(A119,'Standard Deviations'!A1:C672,3,FALSE)</f>
        <v>3.9937038316669402</v>
      </c>
      <c r="J119" s="167" cm="1">
        <f t="array" ref="J119">I119-VLOOKUP(B$2,H1:J407,2,FALSE)</f>
        <v>-1.3214985428070238</v>
      </c>
    </row>
    <row r="120" spans="1:10" ht="21.25" customHeight="1" x14ac:dyDescent="0.15">
      <c r="A120" s="10" t="s">
        <v>354</v>
      </c>
      <c r="B120" s="165" t="str" cm="1">
        <f t="array" ref="B120">VLOOKUP(A120,'The List'!B1:D671,3,FALSE)</f>
        <v>LW,RW</v>
      </c>
      <c r="C120" s="74" cm="1">
        <f t="array" ref="C120">IF(Settings!$E$15="POINTS",RANK(E120,E3:E407),H120)</f>
        <v>153</v>
      </c>
      <c r="D120" s="18" t="str" cm="1">
        <f t="array" ref="D120">VLOOKUP(A120,'The List'!B1:F671,5,FALSE)</f>
        <v>CHI</v>
      </c>
      <c r="E120" s="55" cm="1">
        <f t="array" ref="E120">VLOOKUP(A120,'The List'!B1:I671,8,FALSE)</f>
        <v>1.2759586930884397</v>
      </c>
      <c r="F120" s="55" cm="1">
        <f t="array" ref="F120">IF(Settings!$E$15="POINTS",E120-VLOOKUP(B$2,C1:E407,3,FALSE),J120)</f>
        <v>-4.0392436813855248</v>
      </c>
      <c r="G120" s="55"/>
      <c r="H120" s="166" cm="1">
        <f t="array" ref="H120">RANK(I120,I3:I407)</f>
        <v>153</v>
      </c>
      <c r="I120" s="167" cm="1">
        <f t="array" ref="I120">VLOOKUP(A120,'Standard Deviations'!A1:C672,3,FALSE)</f>
        <v>1.2759586930884397</v>
      </c>
      <c r="J120" s="167" cm="1">
        <f t="array" ref="J120">I120-VLOOKUP(B$2,H1:J407,2,FALSE)</f>
        <v>-4.0392436813855248</v>
      </c>
    </row>
    <row r="121" spans="1:10" ht="21.25" customHeight="1" x14ac:dyDescent="0.15">
      <c r="A121" s="10" t="s">
        <v>356</v>
      </c>
      <c r="B121" s="165" t="str" cm="1">
        <f t="array" ref="B121">VLOOKUP(A121,'The List'!B1:D671,3,FALSE)</f>
        <v>LW,RW</v>
      </c>
      <c r="C121" s="74" cm="1">
        <f t="array" ref="C121">IF(Settings!$E$15="POINTS",RANK(E121,E3:E407),H121)</f>
        <v>73</v>
      </c>
      <c r="D121" s="18" t="str" cm="1">
        <f t="array" ref="D121">VLOOKUP(A121,'The List'!B1:F671,5,FALSE)</f>
        <v>WSH</v>
      </c>
      <c r="E121" s="55" cm="1">
        <f t="array" ref="E121">VLOOKUP(A121,'The List'!B1:I671,8,FALSE)</f>
        <v>4.7696262282094164</v>
      </c>
      <c r="F121" s="55" cm="1">
        <f t="array" ref="F121">IF(Settings!$E$15="POINTS",E121-VLOOKUP(B$2,C1:E407,3,FALSE),J121)</f>
        <v>-0.54557614626454765</v>
      </c>
      <c r="G121" s="55"/>
      <c r="H121" s="166" cm="1">
        <f t="array" ref="H121">RANK(I121,I3:I407)</f>
        <v>73</v>
      </c>
      <c r="I121" s="167" cm="1">
        <f t="array" ref="I121">VLOOKUP(A121,'Standard Deviations'!A1:C672,3,FALSE)</f>
        <v>4.7696262282094164</v>
      </c>
      <c r="J121" s="167" cm="1">
        <f t="array" ref="J121">I121-VLOOKUP(B$2,H1:J407,2,FALSE)</f>
        <v>-0.54557614626454765</v>
      </c>
    </row>
    <row r="122" spans="1:10" ht="21.25" customHeight="1" x14ac:dyDescent="0.15">
      <c r="A122" s="10" t="s">
        <v>342</v>
      </c>
      <c r="B122" s="165" t="str" cm="1">
        <f t="array" ref="B122">VLOOKUP(A122,'The List'!B1:D671,3,FALSE)</f>
        <v>C</v>
      </c>
      <c r="C122" s="74" cm="1">
        <f t="array" ref="C122">IF(Settings!$E$15="POINTS",RANK(E122,E3:E407),H122)</f>
        <v>87</v>
      </c>
      <c r="D122" s="18" t="str" cm="1">
        <f t="array" ref="D122">VLOOKUP(A122,'The List'!B1:F671,5,FALSE)</f>
        <v>FLA</v>
      </c>
      <c r="E122" s="55" cm="1">
        <f t="array" ref="E122">VLOOKUP(A122,'The List'!B1:I671,8,FALSE)</f>
        <v>4.1645746272694888</v>
      </c>
      <c r="F122" s="55" cm="1">
        <f t="array" ref="F122">IF(Settings!$E$15="POINTS",E122-VLOOKUP(B$2,C1:E407,3,FALSE),J122)</f>
        <v>-1.1506277472044752</v>
      </c>
      <c r="G122" s="55"/>
      <c r="H122" s="166" cm="1">
        <f t="array" ref="H122">RANK(I122,I3:I407)</f>
        <v>87</v>
      </c>
      <c r="I122" s="167" cm="1">
        <f t="array" ref="I122">VLOOKUP(A122,'Standard Deviations'!A1:C672,3,FALSE)</f>
        <v>4.1645746272694888</v>
      </c>
      <c r="J122" s="167" cm="1">
        <f t="array" ref="J122">I122-VLOOKUP(B$2,H1:J407,2,FALSE)</f>
        <v>-1.1506277472044752</v>
      </c>
    </row>
    <row r="123" spans="1:10" ht="21.25" customHeight="1" x14ac:dyDescent="0.15">
      <c r="A123" s="10" t="s">
        <v>366</v>
      </c>
      <c r="B123" s="165" t="str" cm="1">
        <f t="array" ref="B123">VLOOKUP(A123,'The List'!B1:D671,3,FALSE)</f>
        <v>C,LW</v>
      </c>
      <c r="C123" s="74" cm="1">
        <f t="array" ref="C123">IF(Settings!$E$15="POINTS",RANK(E123,E3:E407),H123)</f>
        <v>123</v>
      </c>
      <c r="D123" s="18" t="str" cm="1">
        <f t="array" ref="D123">VLOOKUP(A123,'The List'!B1:F671,5,FALSE)</f>
        <v>BOS</v>
      </c>
      <c r="E123" s="55" cm="1">
        <f t="array" ref="E123">VLOOKUP(A123,'The List'!B1:I671,8,FALSE)</f>
        <v>2.4624214224663592</v>
      </c>
      <c r="F123" s="55" cm="1">
        <f t="array" ref="F123">IF(Settings!$E$15="POINTS",E123-VLOOKUP(B$2,C1:E407,3,FALSE),J123)</f>
        <v>-2.8527809520076048</v>
      </c>
      <c r="G123" s="55"/>
      <c r="H123" s="166" cm="1">
        <f t="array" ref="H123">RANK(I123,I3:I407)</f>
        <v>123</v>
      </c>
      <c r="I123" s="167" cm="1">
        <f t="array" ref="I123">VLOOKUP(A123,'Standard Deviations'!A1:C672,3,FALSE)</f>
        <v>2.4624214224663592</v>
      </c>
      <c r="J123" s="167" cm="1">
        <f t="array" ref="J123">I123-VLOOKUP(B$2,H1:J407,2,FALSE)</f>
        <v>-2.8527809520076048</v>
      </c>
    </row>
    <row r="124" spans="1:10" ht="21.25" customHeight="1" x14ac:dyDescent="0.15">
      <c r="A124" s="10" t="s">
        <v>372</v>
      </c>
      <c r="B124" s="165" t="str" cm="1">
        <f t="array" ref="B124">VLOOKUP(A124,'The List'!B1:D671,3,FALSE)</f>
        <v>C,LW</v>
      </c>
      <c r="C124" s="74" cm="1">
        <f t="array" ref="C124">IF(Settings!$E$15="POINTS",RANK(E124,E3:E407),H124)</f>
        <v>134</v>
      </c>
      <c r="D124" s="18" t="str" cm="1">
        <f t="array" ref="D124">VLOOKUP(A124,'The List'!B1:F671,5,FALSE)</f>
        <v>ANA</v>
      </c>
      <c r="E124" s="55" cm="1">
        <f t="array" ref="E124">VLOOKUP(A124,'The List'!B1:I671,8,FALSE)</f>
        <v>1.935815440417896</v>
      </c>
      <c r="F124" s="55" cm="1">
        <f t="array" ref="F124">IF(Settings!$E$15="POINTS",E124-VLOOKUP(B$2,C1:E407,3,FALSE),J124)</f>
        <v>-3.3793869340560683</v>
      </c>
      <c r="G124" s="55"/>
      <c r="H124" s="166" cm="1">
        <f t="array" ref="H124">RANK(I124,I3:I407)</f>
        <v>134</v>
      </c>
      <c r="I124" s="167" cm="1">
        <f t="array" ref="I124">VLOOKUP(A124,'Standard Deviations'!A1:C672,3,FALSE)</f>
        <v>1.935815440417896</v>
      </c>
      <c r="J124" s="167" cm="1">
        <f t="array" ref="J124">I124-VLOOKUP(B$2,H1:J407,2,FALSE)</f>
        <v>-3.3793869340560683</v>
      </c>
    </row>
    <row r="125" spans="1:10" ht="21.25" customHeight="1" x14ac:dyDescent="0.15">
      <c r="A125" s="10" t="s">
        <v>362</v>
      </c>
      <c r="B125" s="165" t="str" cm="1">
        <f t="array" ref="B125">VLOOKUP(A125,'The List'!B1:D671,3,FALSE)</f>
        <v>LW,RW</v>
      </c>
      <c r="C125" s="74" cm="1">
        <f t="array" ref="C125">IF(Settings!$E$15="POINTS",RANK(E125,E3:E407),H125)</f>
        <v>100</v>
      </c>
      <c r="D125" s="18" t="str" cm="1">
        <f t="array" ref="D125">VLOOKUP(A125,'The List'!B1:F671,5,FALSE)</f>
        <v>WPG</v>
      </c>
      <c r="E125" s="55" cm="1">
        <f t="array" ref="E125">VLOOKUP(A125,'The List'!B1:I671,8,FALSE)</f>
        <v>3.5117010275489218</v>
      </c>
      <c r="F125" s="55" cm="1">
        <f t="array" ref="F125">IF(Settings!$E$15="POINTS",E125-VLOOKUP(B$2,C1:E407,3,FALSE),J125)</f>
        <v>-1.8035013469250423</v>
      </c>
      <c r="G125" s="55"/>
      <c r="H125" s="166" cm="1">
        <f t="array" ref="H125">RANK(I125,I3:I407)</f>
        <v>100</v>
      </c>
      <c r="I125" s="167" cm="1">
        <f t="array" ref="I125">VLOOKUP(A125,'Standard Deviations'!A1:C672,3,FALSE)</f>
        <v>3.5117010275489218</v>
      </c>
      <c r="J125" s="167" cm="1">
        <f t="array" ref="J125">I125-VLOOKUP(B$2,H1:J407,2,FALSE)</f>
        <v>-1.8035013469250423</v>
      </c>
    </row>
    <row r="126" spans="1:10" ht="21.25" customHeight="1" x14ac:dyDescent="0.15">
      <c r="A126" s="10" t="s">
        <v>363</v>
      </c>
      <c r="B126" s="165" t="str" cm="1">
        <f t="array" ref="B126">VLOOKUP(A126,'The List'!B1:D671,3,FALSE)</f>
        <v>LW,RW</v>
      </c>
      <c r="C126" s="74" cm="1">
        <f t="array" ref="C126">IF(Settings!$E$15="POINTS",RANK(E126,E3:E407),H126)</f>
        <v>146</v>
      </c>
      <c r="D126" s="18" t="str" cm="1">
        <f t="array" ref="D126">VLOOKUP(A126,'The List'!B1:F671,5,FALSE)</f>
        <v>CBJ</v>
      </c>
      <c r="E126" s="55" cm="1">
        <f t="array" ref="E126">VLOOKUP(A126,'The List'!B1:I671,8,FALSE)</f>
        <v>1.5721087725076734</v>
      </c>
      <c r="F126" s="55" cm="1">
        <f t="array" ref="F126">IF(Settings!$E$15="POINTS",E126-VLOOKUP(B$2,C1:E407,3,FALSE),J126)</f>
        <v>-3.7430936019662906</v>
      </c>
      <c r="G126" s="55"/>
      <c r="H126" s="166" cm="1">
        <f t="array" ref="H126">RANK(I126,I3:I407)</f>
        <v>146</v>
      </c>
      <c r="I126" s="167" cm="1">
        <f t="array" ref="I126">VLOOKUP(A126,'Standard Deviations'!A1:C672,3,FALSE)</f>
        <v>1.5721087725076734</v>
      </c>
      <c r="J126" s="167" cm="1">
        <f t="array" ref="J126">I126-VLOOKUP(B$2,H1:J407,2,FALSE)</f>
        <v>-3.7430936019662906</v>
      </c>
    </row>
    <row r="127" spans="1:10" ht="21.25" customHeight="1" x14ac:dyDescent="0.15">
      <c r="A127" s="10" t="s">
        <v>369</v>
      </c>
      <c r="B127" s="165" t="str" cm="1">
        <f t="array" ref="B127">VLOOKUP(A127,'The List'!B1:D671,3,FALSE)</f>
        <v>LW,RW</v>
      </c>
      <c r="C127" s="74" cm="1">
        <f t="array" ref="C127">IF(Settings!$E$15="POINTS",RANK(E127,E3:E407),H127)</f>
        <v>132</v>
      </c>
      <c r="D127" s="18" t="str" cm="1">
        <f t="array" ref="D127">VLOOKUP(A127,'The List'!B1:F671,5,FALSE)</f>
        <v>WSH</v>
      </c>
      <c r="E127" s="55" cm="1">
        <f t="array" ref="E127">VLOOKUP(A127,'The List'!B1:I671,8,FALSE)</f>
        <v>1.9616488612455536</v>
      </c>
      <c r="F127" s="55" cm="1">
        <f t="array" ref="F127">IF(Settings!$E$15="POINTS",E127-VLOOKUP(B$2,C1:E407,3,FALSE),J127)</f>
        <v>-3.3535535132284107</v>
      </c>
      <c r="G127" s="55"/>
      <c r="H127" s="166" cm="1">
        <f t="array" ref="H127">RANK(I127,I3:I407)</f>
        <v>132</v>
      </c>
      <c r="I127" s="167" cm="1">
        <f t="array" ref="I127">VLOOKUP(A127,'Standard Deviations'!A1:C672,3,FALSE)</f>
        <v>1.9616488612455536</v>
      </c>
      <c r="J127" s="167" cm="1">
        <f t="array" ref="J127">I127-VLOOKUP(B$2,H1:J407,2,FALSE)</f>
        <v>-3.3535535132284107</v>
      </c>
    </row>
    <row r="128" spans="1:10" ht="21.25" customHeight="1" x14ac:dyDescent="0.15">
      <c r="A128" s="10" t="s">
        <v>370</v>
      </c>
      <c r="B128" s="165" t="str" cm="1">
        <f t="array" ref="B128">VLOOKUP(A128,'The List'!B1:D671,3,FALSE)</f>
        <v>RW</v>
      </c>
      <c r="C128" s="74" cm="1">
        <f t="array" ref="C128">IF(Settings!$E$15="POINTS",RANK(E128,E3:E407),H128)</f>
        <v>96</v>
      </c>
      <c r="D128" s="18" t="str" cm="1">
        <f t="array" ref="D128">VLOOKUP(A128,'The List'!B1:F671,5,FALSE)</f>
        <v>BUF</v>
      </c>
      <c r="E128" s="55" cm="1">
        <f t="array" ref="E128">VLOOKUP(A128,'The List'!B1:I671,8,FALSE)</f>
        <v>3.9731035109537971</v>
      </c>
      <c r="F128" s="55" cm="1">
        <f t="array" ref="F128">IF(Settings!$E$15="POINTS",E128-VLOOKUP(B$2,C1:E407,3,FALSE),J128)</f>
        <v>-1.3420988635201669</v>
      </c>
      <c r="G128" s="55"/>
      <c r="H128" s="166" cm="1">
        <f t="array" ref="H128">RANK(I128,I3:I407)</f>
        <v>96</v>
      </c>
      <c r="I128" s="167" cm="1">
        <f t="array" ref="I128">VLOOKUP(A128,'Standard Deviations'!A1:C672,3,FALSE)</f>
        <v>3.9731035109537971</v>
      </c>
      <c r="J128" s="167" cm="1">
        <f t="array" ref="J128">I128-VLOOKUP(B$2,H1:J407,2,FALSE)</f>
        <v>-1.3420988635201669</v>
      </c>
    </row>
    <row r="129" spans="1:10" ht="21.25" customHeight="1" x14ac:dyDescent="0.15">
      <c r="A129" s="10" t="s">
        <v>383</v>
      </c>
      <c r="B129" s="165" t="str" cm="1">
        <f t="array" ref="B129">VLOOKUP(A129,'The List'!B1:D671,3,FALSE)</f>
        <v>LW</v>
      </c>
      <c r="C129" s="74" cm="1">
        <f t="array" ref="C129">IF(Settings!$E$15="POINTS",RANK(E129,E3:E407),H129)</f>
        <v>104</v>
      </c>
      <c r="D129" s="18" t="str" cm="1">
        <f t="array" ref="D129">VLOOKUP(A129,'The List'!B1:F671,5,FALSE)</f>
        <v>FLA</v>
      </c>
      <c r="E129" s="55" cm="1">
        <f t="array" ref="E129">VLOOKUP(A129,'The List'!B1:I671,8,FALSE)</f>
        <v>3.2707890084101536</v>
      </c>
      <c r="F129" s="55" cm="1">
        <f t="array" ref="F129">IF(Settings!$E$15="POINTS",E129-VLOOKUP(B$2,C1:E407,3,FALSE),J129)</f>
        <v>-2.0444133660638104</v>
      </c>
      <c r="G129" s="55"/>
      <c r="H129" s="166" cm="1">
        <f t="array" ref="H129">RANK(I129,I3:I407)</f>
        <v>104</v>
      </c>
      <c r="I129" s="167" cm="1">
        <f t="array" ref="I129">VLOOKUP(A129,'Standard Deviations'!A1:C672,3,FALSE)</f>
        <v>3.2707890084101536</v>
      </c>
      <c r="J129" s="167" cm="1">
        <f t="array" ref="J129">I129-VLOOKUP(B$2,H1:J407,2,FALSE)</f>
        <v>-2.0444133660638104</v>
      </c>
    </row>
    <row r="130" spans="1:10" ht="21.25" customHeight="1" x14ac:dyDescent="0.15">
      <c r="A130" s="10" t="s">
        <v>377</v>
      </c>
      <c r="B130" s="165" t="str" cm="1">
        <f t="array" ref="B130">VLOOKUP(A130,'The List'!B1:D671,3,FALSE)</f>
        <v>LW,RW</v>
      </c>
      <c r="C130" s="74" cm="1">
        <f t="array" ref="C130">IF(Settings!$E$15="POINTS",RANK(E130,E3:E407),H130)</f>
        <v>147</v>
      </c>
      <c r="D130" s="18" t="str" cm="1">
        <f t="array" ref="D130">VLOOKUP(A130,'The List'!B1:F671,5,FALSE)</f>
        <v>DET</v>
      </c>
      <c r="E130" s="55" cm="1">
        <f t="array" ref="E130">VLOOKUP(A130,'The List'!B1:I671,8,FALSE)</f>
        <v>1.5717455871639181</v>
      </c>
      <c r="F130" s="55" cm="1">
        <f t="array" ref="F130">IF(Settings!$E$15="POINTS",E130-VLOOKUP(B$2,C1:E407,3,FALSE),J130)</f>
        <v>-3.7434567873100457</v>
      </c>
      <c r="G130" s="55"/>
      <c r="H130" s="166" cm="1">
        <f t="array" ref="H130">RANK(I130,I3:I407)</f>
        <v>147</v>
      </c>
      <c r="I130" s="167" cm="1">
        <f t="array" ref="I130">VLOOKUP(A130,'Standard Deviations'!A1:C672,3,FALSE)</f>
        <v>1.5717455871639181</v>
      </c>
      <c r="J130" s="167" cm="1">
        <f t="array" ref="J130">I130-VLOOKUP(B$2,H1:J407,2,FALSE)</f>
        <v>-3.7434567873100457</v>
      </c>
    </row>
    <row r="131" spans="1:10" ht="21.25" customHeight="1" x14ac:dyDescent="0.15">
      <c r="A131" s="10" t="s">
        <v>360</v>
      </c>
      <c r="B131" s="165" t="str" cm="1">
        <f t="array" ref="B131">VLOOKUP(A131,'The List'!B1:D671,3,FALSE)</f>
        <v>C</v>
      </c>
      <c r="C131" s="74" cm="1">
        <f t="array" ref="C131">IF(Settings!$E$15="POINTS",RANK(E131,E3:E407),H131)</f>
        <v>110</v>
      </c>
      <c r="D131" s="18" t="str" cm="1">
        <f t="array" ref="D131">VLOOKUP(A131,'The List'!B1:F671,5,FALSE)</f>
        <v>FLA</v>
      </c>
      <c r="E131" s="55" cm="1">
        <f t="array" ref="E131">VLOOKUP(A131,'The List'!B1:I671,8,FALSE)</f>
        <v>3.0278514873229914</v>
      </c>
      <c r="F131" s="55" cm="1">
        <f t="array" ref="F131">IF(Settings!$E$15="POINTS",E131-VLOOKUP(B$2,C1:E407,3,FALSE),J131)</f>
        <v>-2.2873508871509727</v>
      </c>
      <c r="G131" s="55"/>
      <c r="H131" s="166" cm="1">
        <f t="array" ref="H131">RANK(I131,I3:I407)</f>
        <v>110</v>
      </c>
      <c r="I131" s="167" cm="1">
        <f t="array" ref="I131">VLOOKUP(A131,'Standard Deviations'!A1:C672,3,FALSE)</f>
        <v>3.0278514873229914</v>
      </c>
      <c r="J131" s="167" cm="1">
        <f t="array" ref="J131">I131-VLOOKUP(B$2,H1:J407,2,FALSE)</f>
        <v>-2.2873508871509727</v>
      </c>
    </row>
    <row r="132" spans="1:10" ht="21.25" customHeight="1" x14ac:dyDescent="0.15">
      <c r="A132" s="10" t="s">
        <v>364</v>
      </c>
      <c r="B132" s="165" t="str" cm="1">
        <f t="array" ref="B132">VLOOKUP(A132,'The List'!B1:D671,3,FALSE)</f>
        <v>C</v>
      </c>
      <c r="C132" s="74" cm="1">
        <f t="array" ref="C132">IF(Settings!$E$15="POINTS",RANK(E132,E3:E407),H132)</f>
        <v>124</v>
      </c>
      <c r="D132" s="18" t="str" cm="1">
        <f t="array" ref="D132">VLOOKUP(A132,'The List'!B1:F671,5,FALSE)</f>
        <v>T.B</v>
      </c>
      <c r="E132" s="55" cm="1">
        <f t="array" ref="E132">VLOOKUP(A132,'The List'!B1:I671,8,FALSE)</f>
        <v>2.4578858395279841</v>
      </c>
      <c r="F132" s="55" cm="1">
        <f t="array" ref="F132">IF(Settings!$E$15="POINTS",E132-VLOOKUP(B$2,C1:E407,3,FALSE),J132)</f>
        <v>-2.8573165349459799</v>
      </c>
      <c r="G132" s="55"/>
      <c r="H132" s="166" cm="1">
        <f t="array" ref="H132">RANK(I132,I3:I407)</f>
        <v>124</v>
      </c>
      <c r="I132" s="167" cm="1">
        <f t="array" ref="I132">VLOOKUP(A132,'Standard Deviations'!A1:C672,3,FALSE)</f>
        <v>2.4578858395279841</v>
      </c>
      <c r="J132" s="167" cm="1">
        <f t="array" ref="J132">I132-VLOOKUP(B$2,H1:J407,2,FALSE)</f>
        <v>-2.8573165349459799</v>
      </c>
    </row>
    <row r="133" spans="1:10" ht="21.25" customHeight="1" x14ac:dyDescent="0.15">
      <c r="A133" s="10" t="s">
        <v>388</v>
      </c>
      <c r="B133" s="165" t="str" cm="1">
        <f t="array" ref="B133">VLOOKUP(A133,'The List'!B1:D671,3,FALSE)</f>
        <v>RW</v>
      </c>
      <c r="C133" s="74" cm="1">
        <f t="array" ref="C133">IF(Settings!$E$15="POINTS",RANK(E133,E3:E407),H133)</f>
        <v>81</v>
      </c>
      <c r="D133" s="18" t="str" cm="1">
        <f t="array" ref="D133">VLOOKUP(A133,'The List'!B1:F671,5,FALSE)</f>
        <v>WSH</v>
      </c>
      <c r="E133" s="55" cm="1">
        <f t="array" ref="E133">VLOOKUP(A133,'The List'!B1:I671,8,FALSE)</f>
        <v>4.4531089924854896</v>
      </c>
      <c r="F133" s="55" cm="1">
        <f t="array" ref="F133">IF(Settings!$E$15="POINTS",E133-VLOOKUP(B$2,C1:E407,3,FALSE),J133)</f>
        <v>-0.86209338198847441</v>
      </c>
      <c r="G133" s="55"/>
      <c r="H133" s="166" cm="1">
        <f t="array" ref="H133">RANK(I133,I3:I407)</f>
        <v>81</v>
      </c>
      <c r="I133" s="167" cm="1">
        <f t="array" ref="I133">VLOOKUP(A133,'Standard Deviations'!A1:C672,3,FALSE)</f>
        <v>4.4531089924854896</v>
      </c>
      <c r="J133" s="167" cm="1">
        <f t="array" ref="J133">I133-VLOOKUP(B$2,H1:J407,2,FALSE)</f>
        <v>-0.86209338198847441</v>
      </c>
    </row>
    <row r="134" spans="1:10" ht="21.25" customHeight="1" x14ac:dyDescent="0.15">
      <c r="A134" s="10" t="s">
        <v>371</v>
      </c>
      <c r="B134" s="165" t="str" cm="1">
        <f t="array" ref="B134">VLOOKUP(A134,'The List'!B1:D671,3,FALSE)</f>
        <v>C</v>
      </c>
      <c r="C134" s="74" cm="1">
        <f t="array" ref="C134">IF(Settings!$E$15="POINTS",RANK(E134,E3:E407),H134)</f>
        <v>127</v>
      </c>
      <c r="D134" s="18" t="str" cm="1">
        <f t="array" ref="D134">VLOOKUP(A134,'The List'!B1:F671,5,FALSE)</f>
        <v>OTT</v>
      </c>
      <c r="E134" s="55" cm="1">
        <f t="array" ref="E134">VLOOKUP(A134,'The List'!B1:I671,8,FALSE)</f>
        <v>2.2518295975805098</v>
      </c>
      <c r="F134" s="55" cm="1">
        <f t="array" ref="F134">IF(Settings!$E$15="POINTS",E134-VLOOKUP(B$2,C1:E407,3,FALSE),J134)</f>
        <v>-3.0633727768934542</v>
      </c>
      <c r="G134" s="55"/>
      <c r="H134" s="166" cm="1">
        <f t="array" ref="H134">RANK(I134,I3:I407)</f>
        <v>127</v>
      </c>
      <c r="I134" s="167" cm="1">
        <f t="array" ref="I134">VLOOKUP(A134,'Standard Deviations'!A1:C672,3,FALSE)</f>
        <v>2.2518295975805098</v>
      </c>
      <c r="J134" s="167" cm="1">
        <f t="array" ref="J134">I134-VLOOKUP(B$2,H1:J407,2,FALSE)</f>
        <v>-3.0633727768934542</v>
      </c>
    </row>
    <row r="135" spans="1:10" ht="21.25" customHeight="1" x14ac:dyDescent="0.15">
      <c r="A135" s="10" t="s">
        <v>398</v>
      </c>
      <c r="B135" s="165" t="str" cm="1">
        <f t="array" ref="B135">VLOOKUP(A135,'The List'!B1:D671,3,FALSE)</f>
        <v>RW</v>
      </c>
      <c r="C135" s="74" cm="1">
        <f t="array" ref="C135">IF(Settings!$E$15="POINTS",RANK(E135,E3:E407),H135)</f>
        <v>200</v>
      </c>
      <c r="D135" s="18" t="str" cm="1">
        <f t="array" ref="D135">VLOOKUP(A135,'The List'!B1:F671,5,FALSE)</f>
        <v>SEA</v>
      </c>
      <c r="E135" s="55" cm="1">
        <f t="array" ref="E135">VLOOKUP(A135,'The List'!B1:I671,8,FALSE)</f>
        <v>-0.10182593788952765</v>
      </c>
      <c r="F135" s="55" cm="1">
        <f t="array" ref="F135">IF(Settings!$E$15="POINTS",E135-VLOOKUP(B$2,C1:E407,3,FALSE),J135)</f>
        <v>-5.4170283123634917</v>
      </c>
      <c r="G135" s="55"/>
      <c r="H135" s="166" cm="1">
        <f t="array" ref="H135">RANK(I135,I3:I407)</f>
        <v>200</v>
      </c>
      <c r="I135" s="167" cm="1">
        <f t="array" ref="I135">VLOOKUP(A135,'Standard Deviations'!A1:C672,3,FALSE)</f>
        <v>-0.10182593788952765</v>
      </c>
      <c r="J135" s="167" cm="1">
        <f t="array" ref="J135">I135-VLOOKUP(B$2,H1:J407,2,FALSE)</f>
        <v>-5.4170283123634917</v>
      </c>
    </row>
    <row r="136" spans="1:10" ht="21.25" customHeight="1" x14ac:dyDescent="0.15">
      <c r="A136" s="10" t="s">
        <v>386</v>
      </c>
      <c r="B136" s="165" t="str" cm="1">
        <f t="array" ref="B136">VLOOKUP(A136,'The List'!B1:D671,3,FALSE)</f>
        <v>C</v>
      </c>
      <c r="C136" s="74" cm="1">
        <f t="array" ref="C136">IF(Settings!$E$15="POINTS",RANK(E136,E3:E407),H136)</f>
        <v>115</v>
      </c>
      <c r="D136" s="18" t="str" cm="1">
        <f t="array" ref="D136">VLOOKUP(A136,'The List'!B1:F671,5,FALSE)</f>
        <v>UTA</v>
      </c>
      <c r="E136" s="55" cm="1">
        <f t="array" ref="E136">VLOOKUP(A136,'The List'!B1:I671,8,FALSE)</f>
        <v>2.7610208407701426</v>
      </c>
      <c r="F136" s="55" cm="1">
        <f t="array" ref="F136">IF(Settings!$E$15="POINTS",E136-VLOOKUP(B$2,C1:E407,3,FALSE),J136)</f>
        <v>-2.5541815337038214</v>
      </c>
      <c r="G136" s="55"/>
      <c r="H136" s="166" cm="1">
        <f t="array" ref="H136">RANK(I136,I3:I407)</f>
        <v>115</v>
      </c>
      <c r="I136" s="167" cm="1">
        <f t="array" ref="I136">VLOOKUP(A136,'Standard Deviations'!A1:C672,3,FALSE)</f>
        <v>2.7610208407701426</v>
      </c>
      <c r="J136" s="167" cm="1">
        <f t="array" ref="J136">I136-VLOOKUP(B$2,H1:J407,2,FALSE)</f>
        <v>-2.5541815337038214</v>
      </c>
    </row>
    <row r="137" spans="1:10" ht="21.25" customHeight="1" x14ac:dyDescent="0.15">
      <c r="A137" s="10" t="s">
        <v>401</v>
      </c>
      <c r="B137" s="165" t="str" cm="1">
        <f t="array" ref="B137">VLOOKUP(A137,'The List'!B1:D671,3,FALSE)</f>
        <v>RW</v>
      </c>
      <c r="C137" s="74" cm="1">
        <f t="array" ref="C137">IF(Settings!$E$15="POINTS",RANK(E137,E3:E407),H137)</f>
        <v>138</v>
      </c>
      <c r="D137" s="18" t="str" cm="1">
        <f t="array" ref="D137">VLOOKUP(A137,'The List'!B1:F671,5,FALSE)</f>
        <v>BUF</v>
      </c>
      <c r="E137" s="55" cm="1">
        <f t="array" ref="E137">VLOOKUP(A137,'The List'!B1:I671,8,FALSE)</f>
        <v>1.8361168039480686</v>
      </c>
      <c r="F137" s="55" cm="1">
        <f t="array" ref="F137">IF(Settings!$E$15="POINTS",E137-VLOOKUP(B$2,C1:E407,3,FALSE),J137)</f>
        <v>-3.4790855705258954</v>
      </c>
      <c r="G137" s="55"/>
      <c r="H137" s="166" cm="1">
        <f t="array" ref="H137">RANK(I137,I3:I407)</f>
        <v>138</v>
      </c>
      <c r="I137" s="167" cm="1">
        <f t="array" ref="I137">VLOOKUP(A137,'Standard Deviations'!A1:C672,3,FALSE)</f>
        <v>1.8361168039480686</v>
      </c>
      <c r="J137" s="167" cm="1">
        <f t="array" ref="J137">I137-VLOOKUP(B$2,H1:J407,2,FALSE)</f>
        <v>-3.4790855705258954</v>
      </c>
    </row>
    <row r="138" spans="1:10" ht="21.25" customHeight="1" x14ac:dyDescent="0.15">
      <c r="A138" s="10" t="s">
        <v>418</v>
      </c>
      <c r="B138" s="165" t="str" cm="1">
        <f t="array" ref="B138">VLOOKUP(A138,'The List'!B1:D671,3,FALSE)</f>
        <v>LW</v>
      </c>
      <c r="C138" s="74" cm="1">
        <f t="array" ref="C138">IF(Settings!$E$15="POINTS",RANK(E138,E3:E407),H138)</f>
        <v>94</v>
      </c>
      <c r="D138" s="18" t="str" cm="1">
        <f t="array" ref="D138">VLOOKUP(A138,'The List'!B1:F671,5,FALSE)</f>
        <v>S.J</v>
      </c>
      <c r="E138" s="55" cm="1">
        <f t="array" ref="E138">VLOOKUP(A138,'The List'!B1:I671,8,FALSE)</f>
        <v>4.0112194631827229</v>
      </c>
      <c r="F138" s="55" cm="1">
        <f t="array" ref="F138">IF(Settings!$E$15="POINTS",E138-VLOOKUP(B$2,C1:E407,3,FALSE),J138)</f>
        <v>-1.3039829112912411</v>
      </c>
      <c r="G138" s="55"/>
      <c r="H138" s="166" cm="1">
        <f t="array" ref="H138">RANK(I138,I3:I407)</f>
        <v>94</v>
      </c>
      <c r="I138" s="167" cm="1">
        <f t="array" ref="I138">VLOOKUP(A138,'Standard Deviations'!A1:C672,3,FALSE)</f>
        <v>4.0112194631827229</v>
      </c>
      <c r="J138" s="167" cm="1">
        <f t="array" ref="J138">I138-VLOOKUP(B$2,H1:J407,2,FALSE)</f>
        <v>-1.3039829112912411</v>
      </c>
    </row>
    <row r="139" spans="1:10" ht="21.25" customHeight="1" x14ac:dyDescent="0.15">
      <c r="A139" s="10" t="s">
        <v>403</v>
      </c>
      <c r="B139" s="165" t="str" cm="1">
        <f t="array" ref="B139">VLOOKUP(A139,'The List'!B1:D671,3,FALSE)</f>
        <v>LW,RW</v>
      </c>
      <c r="C139" s="74" cm="1">
        <f t="array" ref="C139">IF(Settings!$E$15="POINTS",RANK(E139,E3:E407),H139)</f>
        <v>70</v>
      </c>
      <c r="D139" s="18" t="str" cm="1">
        <f t="array" ref="D139">VLOOKUP(A139,'The List'!B1:F671,5,FALSE)</f>
        <v>NYR</v>
      </c>
      <c r="E139" s="55" cm="1">
        <f t="array" ref="E139">VLOOKUP(A139,'The List'!B1:I671,8,FALSE)</f>
        <v>5.0264346670579334</v>
      </c>
      <c r="F139" s="55" cm="1">
        <f t="array" ref="F139">IF(Settings!$E$15="POINTS",E139-VLOOKUP(B$2,C1:E407,3,FALSE),J139)</f>
        <v>-0.28876770741603064</v>
      </c>
      <c r="G139" s="55"/>
      <c r="H139" s="166" cm="1">
        <f t="array" ref="H139">RANK(I139,I3:I407)</f>
        <v>70</v>
      </c>
      <c r="I139" s="167" cm="1">
        <f t="array" ref="I139">VLOOKUP(A139,'Standard Deviations'!A1:C672,3,FALSE)</f>
        <v>5.0264346670579334</v>
      </c>
      <c r="J139" s="167" cm="1">
        <f t="array" ref="J139">I139-VLOOKUP(B$2,H1:J407,2,FALSE)</f>
        <v>-0.28876770741603064</v>
      </c>
    </row>
    <row r="140" spans="1:10" ht="21.25" customHeight="1" x14ac:dyDescent="0.15">
      <c r="A140" s="10" t="s">
        <v>405</v>
      </c>
      <c r="B140" s="165" t="str" cm="1">
        <f t="array" ref="B140">VLOOKUP(A140,'The List'!B1:D671,3,FALSE)</f>
        <v>C,LW,RW</v>
      </c>
      <c r="C140" s="74" cm="1">
        <f t="array" ref="C140">IF(Settings!$E$15="POINTS",RANK(E140,E3:E407),H140)</f>
        <v>173</v>
      </c>
      <c r="D140" s="18" t="str" cm="1">
        <f t="array" ref="D140">VLOOKUP(A140,'The List'!B1:F671,5,FALSE)</f>
        <v>STL</v>
      </c>
      <c r="E140" s="55" cm="1">
        <f t="array" ref="E140">VLOOKUP(A140,'The List'!B1:I671,8,FALSE)</f>
        <v>0.47492829953690191</v>
      </c>
      <c r="F140" s="55" cm="1">
        <f t="array" ref="F140">IF(Settings!$E$15="POINTS",E140-VLOOKUP(B$2,C1:E407,3,FALSE),J140)</f>
        <v>-4.8402740749370619</v>
      </c>
      <c r="G140" s="55"/>
      <c r="H140" s="166" cm="1">
        <f t="array" ref="H140">RANK(I140,I3:I407)</f>
        <v>173</v>
      </c>
      <c r="I140" s="167" cm="1">
        <f t="array" ref="I140">VLOOKUP(A140,'Standard Deviations'!A1:C672,3,FALSE)</f>
        <v>0.47492829953690191</v>
      </c>
      <c r="J140" s="167" cm="1">
        <f t="array" ref="J140">I140-VLOOKUP(B$2,H1:J407,2,FALSE)</f>
        <v>-4.8402740749370619</v>
      </c>
    </row>
    <row r="141" spans="1:10" ht="21.25" customHeight="1" x14ac:dyDescent="0.15">
      <c r="A141" s="10" t="s">
        <v>409</v>
      </c>
      <c r="B141" s="165" t="str" cm="1">
        <f t="array" ref="B141">VLOOKUP(A141,'The List'!B1:D671,3,FALSE)</f>
        <v>RW</v>
      </c>
      <c r="C141" s="74" cm="1">
        <f t="array" ref="C141">IF(Settings!$E$15="POINTS",RANK(E141,E3:E407),H141)</f>
        <v>169</v>
      </c>
      <c r="D141" s="18" t="str" cm="1">
        <f t="array" ref="D141">VLOOKUP(A141,'The List'!B1:F671,5,FALSE)</f>
        <v>NYI</v>
      </c>
      <c r="E141" s="55" cm="1">
        <f t="array" ref="E141">VLOOKUP(A141,'The List'!B1:I671,8,FALSE)</f>
        <v>0.58350898171183985</v>
      </c>
      <c r="F141" s="55" cm="1">
        <f t="array" ref="F141">IF(Settings!$E$15="POINTS",E141-VLOOKUP(B$2,C1:E407,3,FALSE),J141)</f>
        <v>-4.7316933927621241</v>
      </c>
      <c r="G141" s="55"/>
      <c r="H141" s="166" cm="1">
        <f t="array" ref="H141">RANK(I141,I3:I407)</f>
        <v>169</v>
      </c>
      <c r="I141" s="167" cm="1">
        <f t="array" ref="I141">VLOOKUP(A141,'Standard Deviations'!A1:C672,3,FALSE)</f>
        <v>0.58350898171183985</v>
      </c>
      <c r="J141" s="167" cm="1">
        <f t="array" ref="J141">I141-VLOOKUP(B$2,H1:J407,2,FALSE)</f>
        <v>-4.7316933927621241</v>
      </c>
    </row>
    <row r="142" spans="1:10" ht="21.25" customHeight="1" x14ac:dyDescent="0.15">
      <c r="A142" s="10" t="s">
        <v>392</v>
      </c>
      <c r="B142" s="165" t="str" cm="1">
        <f t="array" ref="B142">VLOOKUP(A142,'The List'!B1:D671,3,FALSE)</f>
        <v>C</v>
      </c>
      <c r="C142" s="74" cm="1">
        <f t="array" ref="C142">IF(Settings!$E$15="POINTS",RANK(E142,E3:E407),H142)</f>
        <v>277</v>
      </c>
      <c r="D142" s="18" t="str" cm="1">
        <f t="array" ref="D142">VLOOKUP(A142,'The List'!B1:F671,5,FALSE)</f>
        <v>CHI</v>
      </c>
      <c r="E142" s="55" cm="1">
        <f t="array" ref="E142">VLOOKUP(A142,'The List'!B1:I671,8,FALSE)</f>
        <v>-1.5115879104757712</v>
      </c>
      <c r="F142" s="55" cm="1">
        <f t="array" ref="F142">IF(Settings!$E$15="POINTS",E142-VLOOKUP(B$2,C1:E407,3,FALSE),J142)</f>
        <v>-6.8267902849497357</v>
      </c>
      <c r="G142" s="55"/>
      <c r="H142" s="166" cm="1">
        <f t="array" ref="H142">RANK(I142,I3:I407)</f>
        <v>277</v>
      </c>
      <c r="I142" s="167" cm="1">
        <f t="array" ref="I142">VLOOKUP(A142,'Standard Deviations'!A1:C672,3,FALSE)</f>
        <v>-1.5115879104757712</v>
      </c>
      <c r="J142" s="167" cm="1">
        <f t="array" ref="J142">I142-VLOOKUP(B$2,H1:J407,2,FALSE)</f>
        <v>-6.8267902849497357</v>
      </c>
    </row>
    <row r="143" spans="1:10" ht="21.25" customHeight="1" x14ac:dyDescent="0.15">
      <c r="A143" s="10" t="s">
        <v>412</v>
      </c>
      <c r="B143" s="165" t="str" cm="1">
        <f t="array" ref="B143">VLOOKUP(A143,'The List'!B1:D671,3,FALSE)</f>
        <v>C,LW,RW</v>
      </c>
      <c r="C143" s="74" cm="1">
        <f t="array" ref="C143">IF(Settings!$E$15="POINTS",RANK(E143,E3:E407),H143)</f>
        <v>101</v>
      </c>
      <c r="D143" s="18" t="str" cm="1">
        <f t="array" ref="D143">VLOOKUP(A143,'The List'!B1:F671,5,FALSE)</f>
        <v>L.A</v>
      </c>
      <c r="E143" s="55" cm="1">
        <f t="array" ref="E143">VLOOKUP(A143,'The List'!B1:I671,8,FALSE)</f>
        <v>3.5095118872038258</v>
      </c>
      <c r="F143" s="55" cm="1">
        <f t="array" ref="F143">IF(Settings!$E$15="POINTS",E143-VLOOKUP(B$2,C1:E407,3,FALSE),J143)</f>
        <v>-1.8056904872701383</v>
      </c>
      <c r="G143" s="55"/>
      <c r="H143" s="166" cm="1">
        <f t="array" ref="H143">RANK(I143,I3:I407)</f>
        <v>101</v>
      </c>
      <c r="I143" s="167" cm="1">
        <f t="array" ref="I143">VLOOKUP(A143,'Standard Deviations'!A1:C672,3,FALSE)</f>
        <v>3.5095118872038258</v>
      </c>
      <c r="J143" s="167" cm="1">
        <f t="array" ref="J143">I143-VLOOKUP(B$2,H1:J407,2,FALSE)</f>
        <v>-1.8056904872701383</v>
      </c>
    </row>
    <row r="144" spans="1:10" ht="21.25" customHeight="1" x14ac:dyDescent="0.15">
      <c r="A144" s="10" t="s">
        <v>415</v>
      </c>
      <c r="B144" s="165" t="str" cm="1">
        <f t="array" ref="B144">VLOOKUP(A144,'The List'!B1:D671,3,FALSE)</f>
        <v>RW</v>
      </c>
      <c r="C144" s="74" cm="1">
        <f t="array" ref="C144">IF(Settings!$E$15="POINTS",RANK(E144,E3:E407),H144)</f>
        <v>176</v>
      </c>
      <c r="D144" s="18" t="str" cm="1">
        <f t="array" ref="D144">VLOOKUP(A144,'The List'!B1:F671,5,FALSE)</f>
        <v>L.A</v>
      </c>
      <c r="E144" s="55" cm="1">
        <f t="array" ref="E144">VLOOKUP(A144,'The List'!B1:I671,8,FALSE)</f>
        <v>0.37385773034224135</v>
      </c>
      <c r="F144" s="55" cm="1">
        <f t="array" ref="F144">IF(Settings!$E$15="POINTS",E144-VLOOKUP(B$2,C1:E407,3,FALSE),J144)</f>
        <v>-4.941344644131723</v>
      </c>
      <c r="G144" s="55"/>
      <c r="H144" s="166" cm="1">
        <f t="array" ref="H144">RANK(I144,I3:I407)</f>
        <v>176</v>
      </c>
      <c r="I144" s="167" cm="1">
        <f t="array" ref="I144">VLOOKUP(A144,'Standard Deviations'!A1:C672,3,FALSE)</f>
        <v>0.37385773034224135</v>
      </c>
      <c r="J144" s="167" cm="1">
        <f t="array" ref="J144">I144-VLOOKUP(B$2,H1:J407,2,FALSE)</f>
        <v>-4.941344644131723</v>
      </c>
    </row>
    <row r="145" spans="1:10" ht="21.25" customHeight="1" x14ac:dyDescent="0.15">
      <c r="A145" s="10" t="s">
        <v>438</v>
      </c>
      <c r="B145" s="165" t="str" cm="1">
        <f t="array" ref="B145">VLOOKUP(A145,'The List'!B1:D671,3,FALSE)</f>
        <v>LW</v>
      </c>
      <c r="C145" s="74" cm="1">
        <f t="array" ref="C145">IF(Settings!$E$15="POINTS",RANK(E145,E3:E407),H145)</f>
        <v>201</v>
      </c>
      <c r="D145" s="18" t="str" cm="1">
        <f t="array" ref="D145">VLOOKUP(A145,'The List'!B1:F671,5,FALSE)</f>
        <v>ANA</v>
      </c>
      <c r="E145" s="55" cm="1">
        <f t="array" ref="E145">VLOOKUP(A145,'The List'!B1:I671,8,FALSE)</f>
        <v>-0.11116062319155884</v>
      </c>
      <c r="F145" s="55" cm="1">
        <f t="array" ref="F145">IF(Settings!$E$15="POINTS",E145-VLOOKUP(B$2,C1:E407,3,FALSE),J145)</f>
        <v>-5.4263629976655228</v>
      </c>
      <c r="G145" s="55"/>
      <c r="H145" s="166" cm="1">
        <f t="array" ref="H145">RANK(I145,I3:I407)</f>
        <v>201</v>
      </c>
      <c r="I145" s="167" cm="1">
        <f t="array" ref="I145">VLOOKUP(A145,'Standard Deviations'!A1:C672,3,FALSE)</f>
        <v>-0.11116062319155884</v>
      </c>
      <c r="J145" s="167" cm="1">
        <f t="array" ref="J145">I145-VLOOKUP(B$2,H1:J407,2,FALSE)</f>
        <v>-5.4263629976655228</v>
      </c>
    </row>
    <row r="146" spans="1:10" ht="21.25" customHeight="1" x14ac:dyDescent="0.15">
      <c r="A146" s="10" t="s">
        <v>441</v>
      </c>
      <c r="B146" s="165" t="str" cm="1">
        <f t="array" ref="B146">VLOOKUP(A146,'The List'!B1:D671,3,FALSE)</f>
        <v>C,LW</v>
      </c>
      <c r="C146" s="74" cm="1">
        <f t="array" ref="C146">IF(Settings!$E$15="POINTS",RANK(E146,E3:E407),H146)</f>
        <v>178</v>
      </c>
      <c r="D146" s="18" t="str" cm="1">
        <f t="array" ref="D146">VLOOKUP(A146,'The List'!B1:F671,5,FALSE)</f>
        <v>STL</v>
      </c>
      <c r="E146" s="55" cm="1">
        <f t="array" ref="E146">VLOOKUP(A146,'The List'!B1:I671,8,FALSE)</f>
        <v>0.35096192515902436</v>
      </c>
      <c r="F146" s="55" cm="1">
        <f t="array" ref="F146">IF(Settings!$E$15="POINTS",E146-VLOOKUP(B$2,C1:E407,3,FALSE),J146)</f>
        <v>-4.9642404493149392</v>
      </c>
      <c r="G146" s="55"/>
      <c r="H146" s="166" cm="1">
        <f t="array" ref="H146">RANK(I146,I3:I407)</f>
        <v>178</v>
      </c>
      <c r="I146" s="167" cm="1">
        <f t="array" ref="I146">VLOOKUP(A146,'Standard Deviations'!A1:C672,3,FALSE)</f>
        <v>0.35096192515902436</v>
      </c>
      <c r="J146" s="167" cm="1">
        <f t="array" ref="J146">I146-VLOOKUP(B$2,H1:J407,2,FALSE)</f>
        <v>-4.9642404493149392</v>
      </c>
    </row>
    <row r="147" spans="1:10" ht="21.25" customHeight="1" x14ac:dyDescent="0.15">
      <c r="A147" s="10" t="s">
        <v>430</v>
      </c>
      <c r="B147" s="165" t="str" cm="1">
        <f t="array" ref="B147">VLOOKUP(A147,'The List'!B1:D671,3,FALSE)</f>
        <v>LW,RW</v>
      </c>
      <c r="C147" s="74" cm="1">
        <f t="array" ref="C147">IF(Settings!$E$15="POINTS",RANK(E147,E3:E407),H147)</f>
        <v>299</v>
      </c>
      <c r="D147" s="18" t="str" cm="1">
        <f t="array" ref="D147">VLOOKUP(A147,'The List'!B1:F671,5,FALSE)</f>
        <v>CGY</v>
      </c>
      <c r="E147" s="55" cm="1">
        <f t="array" ref="E147">VLOOKUP(A147,'The List'!B1:I671,8,FALSE)</f>
        <v>-1.9040250149974633</v>
      </c>
      <c r="F147" s="55" cm="1">
        <f t="array" ref="F147">IF(Settings!$E$15="POINTS",E147-VLOOKUP(B$2,C1:E407,3,FALSE),J147)</f>
        <v>-7.2192273894714276</v>
      </c>
      <c r="G147" s="55"/>
      <c r="H147" s="166" cm="1">
        <f t="array" ref="H147">RANK(I147,I3:I407)</f>
        <v>299</v>
      </c>
      <c r="I147" s="167" cm="1">
        <f t="array" ref="I147">VLOOKUP(A147,'Standard Deviations'!A1:C672,3,FALSE)</f>
        <v>-1.9040250149974633</v>
      </c>
      <c r="J147" s="167" cm="1">
        <f t="array" ref="J147">I147-VLOOKUP(B$2,H1:J407,2,FALSE)</f>
        <v>-7.2192273894714276</v>
      </c>
    </row>
    <row r="148" spans="1:10" ht="21.25" customHeight="1" x14ac:dyDescent="0.15">
      <c r="A148" s="10" t="s">
        <v>446</v>
      </c>
      <c r="B148" s="165" t="str" cm="1">
        <f t="array" ref="B148">VLOOKUP(A148,'The List'!B1:D671,3,FALSE)</f>
        <v>C,LW</v>
      </c>
      <c r="C148" s="74" cm="1">
        <f t="array" ref="C148">IF(Settings!$E$15="POINTS",RANK(E148,E3:E407),H148)</f>
        <v>111</v>
      </c>
      <c r="D148" s="18" t="str" cm="1">
        <f t="array" ref="D148">VLOOKUP(A148,'The List'!B1:F671,5,FALSE)</f>
        <v>MIN</v>
      </c>
      <c r="E148" s="55" cm="1">
        <f t="array" ref="E148">VLOOKUP(A148,'The List'!B1:I671,8,FALSE)</f>
        <v>2.9755536799609792</v>
      </c>
      <c r="F148" s="55" cm="1">
        <f t="array" ref="F148">IF(Settings!$E$15="POINTS",E148-VLOOKUP(B$2,C1:E407,3,FALSE),J148)</f>
        <v>-2.3396486945129849</v>
      </c>
      <c r="G148" s="55"/>
      <c r="H148" s="166" cm="1">
        <f t="array" ref="H148">RANK(I148,I3:I407)</f>
        <v>111</v>
      </c>
      <c r="I148" s="167" cm="1">
        <f t="array" ref="I148">VLOOKUP(A148,'Standard Deviations'!A1:C672,3,FALSE)</f>
        <v>2.9755536799609792</v>
      </c>
      <c r="J148" s="167" cm="1">
        <f t="array" ref="J148">I148-VLOOKUP(B$2,H1:J407,2,FALSE)</f>
        <v>-2.3396486945129849</v>
      </c>
    </row>
    <row r="149" spans="1:10" ht="21.25" customHeight="1" x14ac:dyDescent="0.15">
      <c r="A149" s="10" t="s">
        <v>435</v>
      </c>
      <c r="B149" s="165" t="str" cm="1">
        <f t="array" ref="B149">VLOOKUP(A149,'The List'!B1:D671,3,FALSE)</f>
        <v>LW,RW</v>
      </c>
      <c r="C149" s="74" cm="1">
        <f t="array" ref="C149">IF(Settings!$E$15="POINTS",RANK(E149,E3:E407),H149)</f>
        <v>144</v>
      </c>
      <c r="D149" s="18" t="str" cm="1">
        <f t="array" ref="D149">VLOOKUP(A149,'The List'!B1:F671,5,FALSE)</f>
        <v>SEA</v>
      </c>
      <c r="E149" s="55" cm="1">
        <f t="array" ref="E149">VLOOKUP(A149,'The List'!B1:I671,8,FALSE)</f>
        <v>1.6638795859358606</v>
      </c>
      <c r="F149" s="55" cm="1">
        <f t="array" ref="F149">IF(Settings!$E$15="POINTS",E149-VLOOKUP(B$2,C1:E407,3,FALSE),J149)</f>
        <v>-3.6513227885381037</v>
      </c>
      <c r="G149" s="55"/>
      <c r="H149" s="166" cm="1">
        <f t="array" ref="H149">RANK(I149,I3:I407)</f>
        <v>144</v>
      </c>
      <c r="I149" s="167" cm="1">
        <f t="array" ref="I149">VLOOKUP(A149,'Standard Deviations'!A1:C672,3,FALSE)</f>
        <v>1.6638795859358606</v>
      </c>
      <c r="J149" s="167" cm="1">
        <f t="array" ref="J149">I149-VLOOKUP(B$2,H1:J407,2,FALSE)</f>
        <v>-3.6513227885381037</v>
      </c>
    </row>
    <row r="150" spans="1:10" ht="21.25" customHeight="1" x14ac:dyDescent="0.15">
      <c r="A150" s="10" t="s">
        <v>450</v>
      </c>
      <c r="B150" s="165" t="str" cm="1">
        <f t="array" ref="B150">VLOOKUP(A150,'The List'!B1:D671,3,FALSE)</f>
        <v>C,LW</v>
      </c>
      <c r="C150" s="74" cm="1">
        <f t="array" ref="C150">IF(Settings!$E$15="POINTS",RANK(E150,E3:E407),H150)</f>
        <v>121</v>
      </c>
      <c r="D150" s="18" t="str" cm="1">
        <f t="array" ref="D150">VLOOKUP(A150,'The List'!B1:F671,5,FALSE)</f>
        <v>WSH</v>
      </c>
      <c r="E150" s="55" cm="1">
        <f t="array" ref="E150">VLOOKUP(A150,'The List'!B1:I671,8,FALSE)</f>
        <v>2.4790132116005834</v>
      </c>
      <c r="F150" s="55" cm="1">
        <f t="array" ref="F150">IF(Settings!$E$15="POINTS",E150-VLOOKUP(B$2,C1:E407,3,FALSE),J150)</f>
        <v>-2.8361891628733806</v>
      </c>
      <c r="G150" s="55"/>
      <c r="H150" s="166" cm="1">
        <f t="array" ref="H150">RANK(I150,I3:I407)</f>
        <v>121</v>
      </c>
      <c r="I150" s="167" cm="1">
        <f t="array" ref="I150">VLOOKUP(A150,'Standard Deviations'!A1:C672,3,FALSE)</f>
        <v>2.4790132116005834</v>
      </c>
      <c r="J150" s="167" cm="1">
        <f t="array" ref="J150">I150-VLOOKUP(B$2,H1:J407,2,FALSE)</f>
        <v>-2.8361891628733806</v>
      </c>
    </row>
    <row r="151" spans="1:10" ht="21.25" customHeight="1" x14ac:dyDescent="0.15">
      <c r="A151" s="10" t="s">
        <v>451</v>
      </c>
      <c r="B151" s="165" t="str" cm="1">
        <f t="array" ref="B151">VLOOKUP(A151,'The List'!B1:D671,3,FALSE)</f>
        <v>LW</v>
      </c>
      <c r="C151" s="74" cm="1">
        <f t="array" ref="C151">IF(Settings!$E$15="POINTS",RANK(E151,E3:E407),H151)</f>
        <v>141</v>
      </c>
      <c r="D151" s="18" t="str" cm="1">
        <f t="array" ref="D151">VLOOKUP(A151,'The List'!B1:F671,5,FALSE)</f>
        <v>S.J</v>
      </c>
      <c r="E151" s="55" cm="1">
        <f t="array" ref="E151">VLOOKUP(A151,'The List'!B1:I671,8,FALSE)</f>
        <v>1.7797162366062214</v>
      </c>
      <c r="F151" s="55" cm="1">
        <f t="array" ref="F151">IF(Settings!$E$15="POINTS",E151-VLOOKUP(B$2,C1:E407,3,FALSE),J151)</f>
        <v>-3.5354861378677427</v>
      </c>
      <c r="G151" s="55"/>
      <c r="H151" s="166" cm="1">
        <f t="array" ref="H151">RANK(I151,I3:I407)</f>
        <v>141</v>
      </c>
      <c r="I151" s="167" cm="1">
        <f t="array" ref="I151">VLOOKUP(A151,'Standard Deviations'!A1:C672,3,FALSE)</f>
        <v>1.7797162366062214</v>
      </c>
      <c r="J151" s="167" cm="1">
        <f t="array" ref="J151">I151-VLOOKUP(B$2,H1:J407,2,FALSE)</f>
        <v>-3.5354861378677427</v>
      </c>
    </row>
    <row r="152" spans="1:10" ht="21.25" customHeight="1" x14ac:dyDescent="0.15">
      <c r="A152" s="10" t="s">
        <v>410</v>
      </c>
      <c r="B152" s="165" t="str" cm="1">
        <f t="array" ref="B152">VLOOKUP(A152,'The List'!B1:D671,3,FALSE)</f>
        <v>C</v>
      </c>
      <c r="C152" s="74" cm="1">
        <f t="array" ref="C152">IF(Settings!$E$15="POINTS",RANK(E152,E3:E407),H152)</f>
        <v>324</v>
      </c>
      <c r="D152" s="18" t="str" cm="1">
        <f t="array" ref="D152">VLOOKUP(A152,'The List'!B1:F671,5,FALSE)</f>
        <v>SEA</v>
      </c>
      <c r="E152" s="55" cm="1">
        <f t="array" ref="E152">VLOOKUP(A152,'The List'!B1:I671,8,FALSE)</f>
        <v>-2.6668357658408421</v>
      </c>
      <c r="F152" s="55" cm="1">
        <f t="array" ref="F152">IF(Settings!$E$15="POINTS",E152-VLOOKUP(B$2,C1:E407,3,FALSE),J152)</f>
        <v>-7.9820381403148062</v>
      </c>
      <c r="G152" s="55"/>
      <c r="H152" s="166" cm="1">
        <f t="array" ref="H152">RANK(I152,I3:I407)</f>
        <v>324</v>
      </c>
      <c r="I152" s="167" cm="1">
        <f t="array" ref="I152">VLOOKUP(A152,'Standard Deviations'!A1:C672,3,FALSE)</f>
        <v>-2.6668357658408421</v>
      </c>
      <c r="J152" s="167" cm="1">
        <f t="array" ref="J152">I152-VLOOKUP(B$2,H1:J407,2,FALSE)</f>
        <v>-7.9820381403148062</v>
      </c>
    </row>
    <row r="153" spans="1:10" ht="21.25" customHeight="1" x14ac:dyDescent="0.15">
      <c r="A153" s="10" t="s">
        <v>443</v>
      </c>
      <c r="B153" s="165" t="str" cm="1">
        <f t="array" ref="B153">VLOOKUP(A153,'The List'!B1:D671,3,FALSE)</f>
        <v>LW,RW</v>
      </c>
      <c r="C153" s="74" cm="1">
        <f t="array" ref="C153">IF(Settings!$E$15="POINTS",RANK(E153,E3:E407),H153)</f>
        <v>148</v>
      </c>
      <c r="D153" s="18" t="str" cm="1">
        <f t="array" ref="D153">VLOOKUP(A153,'The List'!B1:F671,5,FALSE)</f>
        <v>PHI</v>
      </c>
      <c r="E153" s="55" cm="1">
        <f t="array" ref="E153">VLOOKUP(A153,'The List'!B1:I671,8,FALSE)</f>
        <v>1.5627608533187733</v>
      </c>
      <c r="F153" s="55" cm="1">
        <f t="array" ref="F153">IF(Settings!$E$15="POINTS",E153-VLOOKUP(B$2,C1:E407,3,FALSE),J153)</f>
        <v>-3.7524415211551907</v>
      </c>
      <c r="G153" s="55"/>
      <c r="H153" s="166" cm="1">
        <f t="array" ref="H153">RANK(I153,I3:I407)</f>
        <v>148</v>
      </c>
      <c r="I153" s="167" cm="1">
        <f t="array" ref="I153">VLOOKUP(A153,'Standard Deviations'!A1:C672,3,FALSE)</f>
        <v>1.5627608533187733</v>
      </c>
      <c r="J153" s="167" cm="1">
        <f t="array" ref="J153">I153-VLOOKUP(B$2,H1:J407,2,FALSE)</f>
        <v>-3.7524415211551907</v>
      </c>
    </row>
    <row r="154" spans="1:10" ht="21.25" customHeight="1" x14ac:dyDescent="0.15">
      <c r="A154" s="10" t="s">
        <v>455</v>
      </c>
      <c r="B154" s="165" t="str" cm="1">
        <f t="array" ref="B154">VLOOKUP(A154,'The List'!B1:D671,3,FALSE)</f>
        <v>LW</v>
      </c>
      <c r="C154" s="74" cm="1">
        <f t="array" ref="C154">IF(Settings!$E$15="POINTS",RANK(E154,E3:E407),H154)</f>
        <v>107</v>
      </c>
      <c r="D154" s="18" t="str" cm="1">
        <f t="array" ref="D154">VLOOKUP(A154,'The List'!B1:F671,5,FALSE)</f>
        <v>VGK</v>
      </c>
      <c r="E154" s="55" cm="1">
        <f t="array" ref="E154">VLOOKUP(A154,'The List'!B1:I671,8,FALSE)</f>
        <v>3.1363407471087372</v>
      </c>
      <c r="F154" s="55" cm="1">
        <f t="array" ref="F154">IF(Settings!$E$15="POINTS",E154-VLOOKUP(B$2,C1:E407,3,FALSE),J154)</f>
        <v>-2.1788616273652268</v>
      </c>
      <c r="G154" s="55"/>
      <c r="H154" s="166" cm="1">
        <f t="array" ref="H154">RANK(I154,I3:I407)</f>
        <v>107</v>
      </c>
      <c r="I154" s="167" cm="1">
        <f t="array" ref="I154">VLOOKUP(A154,'Standard Deviations'!A1:C672,3,FALSE)</f>
        <v>3.1363407471087372</v>
      </c>
      <c r="J154" s="167" cm="1">
        <f t="array" ref="J154">I154-VLOOKUP(B$2,H1:J407,2,FALSE)</f>
        <v>-2.1788616273652268</v>
      </c>
    </row>
    <row r="155" spans="1:10" ht="21.25" customHeight="1" x14ac:dyDescent="0.15">
      <c r="A155" s="10" t="s">
        <v>416</v>
      </c>
      <c r="B155" s="165" t="str" cm="1">
        <f t="array" ref="B155">VLOOKUP(A155,'The List'!B1:D671,3,FALSE)</f>
        <v>C</v>
      </c>
      <c r="C155" s="74" cm="1">
        <f t="array" ref="C155">IF(Settings!$E$15="POINTS",RANK(E155,E3:E407),H155)</f>
        <v>195</v>
      </c>
      <c r="D155" s="18" t="str" cm="1">
        <f t="array" ref="D155">VLOOKUP(A155,'The List'!B1:F671,5,FALSE)</f>
        <v>CGY</v>
      </c>
      <c r="E155" s="55" cm="1">
        <f t="array" ref="E155">VLOOKUP(A155,'The List'!B1:I671,8,FALSE)</f>
        <v>-1.7596548786048993E-2</v>
      </c>
      <c r="F155" s="55" cm="1">
        <f t="array" ref="F155">IF(Settings!$E$15="POINTS",E155-VLOOKUP(B$2,C1:E407,3,FALSE),J155)</f>
        <v>-5.3327989232600128</v>
      </c>
      <c r="G155" s="55"/>
      <c r="H155" s="166" cm="1">
        <f t="array" ref="H155">RANK(I155,I3:I407)</f>
        <v>195</v>
      </c>
      <c r="I155" s="167" cm="1">
        <f t="array" ref="I155">VLOOKUP(A155,'Standard Deviations'!A1:C672,3,FALSE)</f>
        <v>-1.7596548786048993E-2</v>
      </c>
      <c r="J155" s="167" cm="1">
        <f t="array" ref="J155">I155-VLOOKUP(B$2,H1:J407,2,FALSE)</f>
        <v>-5.3327989232600128</v>
      </c>
    </row>
    <row r="156" spans="1:10" ht="21.25" customHeight="1" x14ac:dyDescent="0.15">
      <c r="A156" s="10" t="s">
        <v>419</v>
      </c>
      <c r="B156" s="165" t="str" cm="1">
        <f t="array" ref="B156">VLOOKUP(A156,'The List'!B1:D671,3,FALSE)</f>
        <v>C</v>
      </c>
      <c r="C156" s="74" cm="1">
        <f t="array" ref="C156">IF(Settings!$E$15="POINTS",RANK(E156,E3:E407),H156)</f>
        <v>268</v>
      </c>
      <c r="D156" s="18" t="str" cm="1">
        <f t="array" ref="D156">VLOOKUP(A156,'The List'!B1:F671,5,FALSE)</f>
        <v>S.J</v>
      </c>
      <c r="E156" s="55" cm="1">
        <f t="array" ref="E156">VLOOKUP(A156,'The List'!B1:I671,8,FALSE)</f>
        <v>-1.3285785019127041</v>
      </c>
      <c r="F156" s="55" cm="1">
        <f t="array" ref="F156">IF(Settings!$E$15="POINTS",E156-VLOOKUP(B$2,C1:E407,3,FALSE),J156)</f>
        <v>-6.6437808763866677</v>
      </c>
      <c r="G156" s="55"/>
      <c r="H156" s="166" cm="1">
        <f t="array" ref="H156">RANK(I156,I3:I407)</f>
        <v>268</v>
      </c>
      <c r="I156" s="167" cm="1">
        <f t="array" ref="I156">VLOOKUP(A156,'Standard Deviations'!A1:C672,3,FALSE)</f>
        <v>-1.3285785019127041</v>
      </c>
      <c r="J156" s="167" cm="1">
        <f t="array" ref="J156">I156-VLOOKUP(B$2,H1:J407,2,FALSE)</f>
        <v>-6.6437808763866677</v>
      </c>
    </row>
    <row r="157" spans="1:10" ht="21.25" customHeight="1" x14ac:dyDescent="0.15">
      <c r="A157" s="10" t="s">
        <v>448</v>
      </c>
      <c r="B157" s="165" t="str" cm="1">
        <f t="array" ref="B157">VLOOKUP(A157,'The List'!B1:D671,3,FALSE)</f>
        <v>C,RW</v>
      </c>
      <c r="C157" s="74" cm="1">
        <f t="array" ref="C157">IF(Settings!$E$15="POINTS",RANK(E157,E3:E407),H157)</f>
        <v>126</v>
      </c>
      <c r="D157" s="18" t="str" cm="1">
        <f t="array" ref="D157">VLOOKUP(A157,'The List'!B1:F671,5,FALSE)</f>
        <v>DAL</v>
      </c>
      <c r="E157" s="55" cm="1">
        <f t="array" ref="E157">VLOOKUP(A157,'The List'!B1:I671,8,FALSE)</f>
        <v>2.4098861633475046</v>
      </c>
      <c r="F157" s="55" cm="1">
        <f t="array" ref="F157">IF(Settings!$E$15="POINTS",E157-VLOOKUP(B$2,C1:E407,3,FALSE),J157)</f>
        <v>-2.9053162111264594</v>
      </c>
      <c r="G157" s="55"/>
      <c r="H157" s="166" cm="1">
        <f t="array" ref="H157">RANK(I157,I3:I407)</f>
        <v>126</v>
      </c>
      <c r="I157" s="167" cm="1">
        <f t="array" ref="I157">VLOOKUP(A157,'Standard Deviations'!A1:C672,3,FALSE)</f>
        <v>2.4098861633475046</v>
      </c>
      <c r="J157" s="167" cm="1">
        <f t="array" ref="J157">I157-VLOOKUP(B$2,H1:J407,2,FALSE)</f>
        <v>-2.9053162111264594</v>
      </c>
    </row>
    <row r="158" spans="1:10" ht="21.25" customHeight="1" x14ac:dyDescent="0.15">
      <c r="A158" s="10" t="s">
        <v>420</v>
      </c>
      <c r="B158" s="165" t="str" cm="1">
        <f t="array" ref="B158">VLOOKUP(A158,'The List'!B1:D671,3,FALSE)</f>
        <v>C</v>
      </c>
      <c r="C158" s="74" cm="1">
        <f t="array" ref="C158">IF(Settings!$E$15="POINTS",RANK(E158,E3:E407),H158)</f>
        <v>199</v>
      </c>
      <c r="D158" s="18" t="str" cm="1">
        <f t="array" ref="D158">VLOOKUP(A158,'The List'!B1:F671,5,FALSE)</f>
        <v>PIT</v>
      </c>
      <c r="E158" s="55" cm="1">
        <f t="array" ref="E158">VLOOKUP(A158,'The List'!B1:I671,8,FALSE)</f>
        <v>-6.9349538817844794E-2</v>
      </c>
      <c r="F158" s="55" cm="1">
        <f t="array" ref="F158">IF(Settings!$E$15="POINTS",E158-VLOOKUP(B$2,C1:E407,3,FALSE),J158)</f>
        <v>-5.3845519132918085</v>
      </c>
      <c r="G158" s="55"/>
      <c r="H158" s="166" cm="1">
        <f t="array" ref="H158">RANK(I158,I3:I407)</f>
        <v>199</v>
      </c>
      <c r="I158" s="167" cm="1">
        <f t="array" ref="I158">VLOOKUP(A158,'Standard Deviations'!A1:C672,3,FALSE)</f>
        <v>-6.9349538817844794E-2</v>
      </c>
      <c r="J158" s="167" cm="1">
        <f t="array" ref="J158">I158-VLOOKUP(B$2,H1:J407,2,FALSE)</f>
        <v>-5.3845519132918085</v>
      </c>
    </row>
    <row r="159" spans="1:10" ht="21.25" customHeight="1" x14ac:dyDescent="0.15">
      <c r="A159" s="10" t="s">
        <v>452</v>
      </c>
      <c r="B159" s="165" t="str" cm="1">
        <f t="array" ref="B159">VLOOKUP(A159,'The List'!B1:D671,3,FALSE)</f>
        <v>C,RW</v>
      </c>
      <c r="C159" s="74" cm="1">
        <f t="array" ref="C159">IF(Settings!$E$15="POINTS",RANK(E159,E3:E407),H159)</f>
        <v>220</v>
      </c>
      <c r="D159" s="18" t="str" cm="1">
        <f t="array" ref="D159">VLOOKUP(A159,'The List'!B1:F671,5,FALSE)</f>
        <v>NYI</v>
      </c>
      <c r="E159" s="55" cm="1">
        <f t="array" ref="E159">VLOOKUP(A159,'The List'!B1:I671,8,FALSE)</f>
        <v>-0.47225503998160145</v>
      </c>
      <c r="F159" s="55" cm="1">
        <f t="array" ref="F159">IF(Settings!$E$15="POINTS",E159-VLOOKUP(B$2,C1:E407,3,FALSE),J159)</f>
        <v>-5.7874574144555657</v>
      </c>
      <c r="G159" s="55"/>
      <c r="H159" s="166" cm="1">
        <f t="array" ref="H159">RANK(I159,I3:I407)</f>
        <v>220</v>
      </c>
      <c r="I159" s="167" cm="1">
        <f t="array" ref="I159">VLOOKUP(A159,'Standard Deviations'!A1:C672,3,FALSE)</f>
        <v>-0.47225503998160145</v>
      </c>
      <c r="J159" s="167" cm="1">
        <f t="array" ref="J159">I159-VLOOKUP(B$2,H1:J407,2,FALSE)</f>
        <v>-5.7874574144555657</v>
      </c>
    </row>
    <row r="160" spans="1:10" ht="21.25" customHeight="1" x14ac:dyDescent="0.15">
      <c r="A160" s="10" t="s">
        <v>425</v>
      </c>
      <c r="B160" s="165" t="str" cm="1">
        <f t="array" ref="B160">VLOOKUP(A160,'The List'!B1:D671,3,FALSE)</f>
        <v>C</v>
      </c>
      <c r="C160" s="74" cm="1">
        <f t="array" ref="C160">IF(Settings!$E$15="POINTS",RANK(E160,E3:E407),H160)</f>
        <v>197</v>
      </c>
      <c r="D160" s="18" t="str" cm="1">
        <f t="array" ref="D160">VLOOKUP(A160,'The List'!B1:F671,5,FALSE)</f>
        <v>BOS</v>
      </c>
      <c r="E160" s="55" cm="1">
        <f t="array" ref="E160">VLOOKUP(A160,'The List'!B1:I671,8,FALSE)</f>
        <v>-5.458255523612765E-2</v>
      </c>
      <c r="F160" s="55" cm="1">
        <f t="array" ref="F160">IF(Settings!$E$15="POINTS",E160-VLOOKUP(B$2,C1:E407,3,FALSE),J160)</f>
        <v>-5.3697849297100912</v>
      </c>
      <c r="G160" s="55"/>
      <c r="H160" s="166" cm="1">
        <f t="array" ref="H160">RANK(I160,I3:I407)</f>
        <v>197</v>
      </c>
      <c r="I160" s="167" cm="1">
        <f t="array" ref="I160">VLOOKUP(A160,'Standard Deviations'!A1:C672,3,FALSE)</f>
        <v>-5.458255523612765E-2</v>
      </c>
      <c r="J160" s="167" cm="1">
        <f t="array" ref="J160">I160-VLOOKUP(B$2,H1:J407,2,FALSE)</f>
        <v>-5.3697849297100912</v>
      </c>
    </row>
    <row r="161" spans="1:10" ht="21.25" customHeight="1" x14ac:dyDescent="0.15">
      <c r="A161" s="10" t="s">
        <v>426</v>
      </c>
      <c r="B161" s="165" t="str" cm="1">
        <f t="array" ref="B161">VLOOKUP(A161,'The List'!B1:D671,3,FALSE)</f>
        <v>C</v>
      </c>
      <c r="C161" s="74" cm="1">
        <f t="array" ref="C161">IF(Settings!$E$15="POINTS",RANK(E161,E3:E407),H161)</f>
        <v>149</v>
      </c>
      <c r="D161" s="18" t="str" cm="1">
        <f t="array" ref="D161">VLOOKUP(A161,'The List'!B1:F671,5,FALSE)</f>
        <v>BOS</v>
      </c>
      <c r="E161" s="55" cm="1">
        <f t="array" ref="E161">VLOOKUP(A161,'The List'!B1:I671,8,FALSE)</f>
        <v>1.5077295014378802</v>
      </c>
      <c r="F161" s="55" cm="1">
        <f t="array" ref="F161">IF(Settings!$E$15="POINTS",E161-VLOOKUP(B$2,C1:E407,3,FALSE),J161)</f>
        <v>-3.8074728730360841</v>
      </c>
      <c r="G161" s="55"/>
      <c r="H161" s="166" cm="1">
        <f t="array" ref="H161">RANK(I161,I3:I407)</f>
        <v>149</v>
      </c>
      <c r="I161" s="167" cm="1">
        <f t="array" ref="I161">VLOOKUP(A161,'Standard Deviations'!A1:C672,3,FALSE)</f>
        <v>1.5077295014378802</v>
      </c>
      <c r="J161" s="167" cm="1">
        <f t="array" ref="J161">I161-VLOOKUP(B$2,H1:J407,2,FALSE)</f>
        <v>-3.8074728730360841</v>
      </c>
    </row>
    <row r="162" spans="1:10" ht="21.25" customHeight="1" x14ac:dyDescent="0.15">
      <c r="A162" s="10" t="s">
        <v>468</v>
      </c>
      <c r="B162" s="165" t="str" cm="1">
        <f t="array" ref="B162">VLOOKUP(A162,'The List'!B1:D671,3,FALSE)</f>
        <v>LW</v>
      </c>
      <c r="C162" s="74" cm="1">
        <f t="array" ref="C162">IF(Settings!$E$15="POINTS",RANK(E162,E3:E407),H162)</f>
        <v>145</v>
      </c>
      <c r="D162" s="18" t="str" cm="1">
        <f t="array" ref="D162">VLOOKUP(A162,'The List'!B1:F671,5,FALSE)</f>
        <v>CBJ</v>
      </c>
      <c r="E162" s="55" cm="1">
        <f t="array" ref="E162">VLOOKUP(A162,'The List'!B1:I671,8,FALSE)</f>
        <v>1.6074994153132207</v>
      </c>
      <c r="F162" s="55" cm="1">
        <f t="array" ref="F162">IF(Settings!$E$15="POINTS",E162-VLOOKUP(B$2,C1:E407,3,FALSE),J162)</f>
        <v>-3.7077029591607431</v>
      </c>
      <c r="G162" s="55"/>
      <c r="H162" s="166" cm="1">
        <f t="array" ref="H162">RANK(I162,I3:I407)</f>
        <v>145</v>
      </c>
      <c r="I162" s="167" cm="1">
        <f t="array" ref="I162">VLOOKUP(A162,'Standard Deviations'!A1:C672,3,FALSE)</f>
        <v>1.6074994153132207</v>
      </c>
      <c r="J162" s="167" cm="1">
        <f t="array" ref="J162">I162-VLOOKUP(B$2,H1:J407,2,FALSE)</f>
        <v>-3.7077029591607431</v>
      </c>
    </row>
    <row r="163" spans="1:10" ht="21.25" customHeight="1" x14ac:dyDescent="0.15">
      <c r="A163" s="10" t="s">
        <v>460</v>
      </c>
      <c r="B163" s="165" t="str" cm="1">
        <f t="array" ref="B163">VLOOKUP(A163,'The List'!B1:D671,3,FALSE)</f>
        <v>LW,RW</v>
      </c>
      <c r="C163" s="74" cm="1">
        <f t="array" ref="C163">IF(Settings!$E$15="POINTS",RANK(E163,E3:E407),H163)</f>
        <v>279</v>
      </c>
      <c r="D163" s="18" t="str" cm="1">
        <f t="array" ref="D163">VLOOKUP(A163,'The List'!B1:F671,5,FALSE)</f>
        <v>NYI</v>
      </c>
      <c r="E163" s="55" cm="1">
        <f t="array" ref="E163">VLOOKUP(A163,'The List'!B1:I671,8,FALSE)</f>
        <v>-1.5582882553853754</v>
      </c>
      <c r="F163" s="55" cm="1">
        <f t="array" ref="F163">IF(Settings!$E$15="POINTS",E163-VLOOKUP(B$2,C1:E407,3,FALSE),J163)</f>
        <v>-6.8734906298593392</v>
      </c>
      <c r="G163" s="55"/>
      <c r="H163" s="166" cm="1">
        <f t="array" ref="H163">RANK(I163,I3:I407)</f>
        <v>279</v>
      </c>
      <c r="I163" s="167" cm="1">
        <f t="array" ref="I163">VLOOKUP(A163,'Standard Deviations'!A1:C672,3,FALSE)</f>
        <v>-1.5582882553853754</v>
      </c>
      <c r="J163" s="167" cm="1">
        <f t="array" ref="J163">I163-VLOOKUP(B$2,H1:J407,2,FALSE)</f>
        <v>-6.8734906298593392</v>
      </c>
    </row>
    <row r="164" spans="1:10" ht="21.25" customHeight="1" x14ac:dyDescent="0.15">
      <c r="A164" s="10" t="s">
        <v>462</v>
      </c>
      <c r="B164" s="165" t="str" cm="1">
        <f t="array" ref="B164">VLOOKUP(A164,'The List'!B1:D671,3,FALSE)</f>
        <v>LW,RW</v>
      </c>
      <c r="C164" s="74" cm="1">
        <f t="array" ref="C164">IF(Settings!$E$15="POINTS",RANK(E164,E3:E407),H164)</f>
        <v>130</v>
      </c>
      <c r="D164" s="18" t="str" cm="1">
        <f t="array" ref="D164">VLOOKUP(A164,'The List'!B1:F671,5,FALSE)</f>
        <v>COL</v>
      </c>
      <c r="E164" s="55" cm="1">
        <f t="array" ref="E164">VLOOKUP(A164,'The List'!B1:I671,8,FALSE)</f>
        <v>2.1078335059837792</v>
      </c>
      <c r="F164" s="55" cm="1">
        <f t="array" ref="F164">IF(Settings!$E$15="POINTS",E164-VLOOKUP(B$2,C1:E407,3,FALSE),J164)</f>
        <v>-3.2073688684901849</v>
      </c>
      <c r="G164" s="55"/>
      <c r="H164" s="166" cm="1">
        <f t="array" ref="H164">RANK(I164,I3:I407)</f>
        <v>130</v>
      </c>
      <c r="I164" s="167" cm="1">
        <f t="array" ref="I164">VLOOKUP(A164,'Standard Deviations'!A1:C672,3,FALSE)</f>
        <v>2.1078335059837792</v>
      </c>
      <c r="J164" s="167" cm="1">
        <f t="array" ref="J164">I164-VLOOKUP(B$2,H1:J407,2,FALSE)</f>
        <v>-3.2073688684901849</v>
      </c>
    </row>
    <row r="165" spans="1:10" ht="21.25" customHeight="1" x14ac:dyDescent="0.15">
      <c r="A165" s="10" t="s">
        <v>440</v>
      </c>
      <c r="B165" s="165" t="str" cm="1">
        <f t="array" ref="B165">VLOOKUP(A165,'The List'!B1:D671,3,FALSE)</f>
        <v>C</v>
      </c>
      <c r="C165" s="74" cm="1">
        <f t="array" ref="C165">IF(Settings!$E$15="POINTS",RANK(E165,E3:E407),H165)</f>
        <v>196</v>
      </c>
      <c r="D165" s="18" t="str" cm="1">
        <f t="array" ref="D165">VLOOKUP(A165,'The List'!B1:F671,5,FALSE)</f>
        <v>BUF</v>
      </c>
      <c r="E165" s="55" cm="1">
        <f t="array" ref="E165">VLOOKUP(A165,'The List'!B1:I671,8,FALSE)</f>
        <v>-2.7705415505515751E-2</v>
      </c>
      <c r="F165" s="55" cm="1">
        <f t="array" ref="F165">IF(Settings!$E$15="POINTS",E165-VLOOKUP(B$2,C1:E407,3,FALSE),J165)</f>
        <v>-5.3429077899794795</v>
      </c>
      <c r="G165" s="55"/>
      <c r="H165" s="166" cm="1">
        <f t="array" ref="H165">RANK(I165,I3:I407)</f>
        <v>196</v>
      </c>
      <c r="I165" s="167" cm="1">
        <f t="array" ref="I165">VLOOKUP(A165,'Standard Deviations'!A1:C672,3,FALSE)</f>
        <v>-2.7705415505515751E-2</v>
      </c>
      <c r="J165" s="167" cm="1">
        <f t="array" ref="J165">I165-VLOOKUP(B$2,H1:J407,2,FALSE)</f>
        <v>-5.3429077899794795</v>
      </c>
    </row>
    <row r="166" spans="1:10" ht="21.25" customHeight="1" x14ac:dyDescent="0.15">
      <c r="A166" s="10" t="s">
        <v>442</v>
      </c>
      <c r="B166" s="165" t="str" cm="1">
        <f t="array" ref="B166">VLOOKUP(A166,'The List'!B1:D671,3,FALSE)</f>
        <v>C</v>
      </c>
      <c r="C166" s="74" cm="1">
        <f t="array" ref="C166">IF(Settings!$E$15="POINTS",RANK(E166,E3:E407),H166)</f>
        <v>116</v>
      </c>
      <c r="D166" s="18" t="str" cm="1">
        <f t="array" ref="D166">VLOOKUP(A166,'The List'!B1:F671,5,FALSE)</f>
        <v>CBJ</v>
      </c>
      <c r="E166" s="55" cm="1">
        <f t="array" ref="E166">VLOOKUP(A166,'The List'!B1:I671,8,FALSE)</f>
        <v>2.7470006652397121</v>
      </c>
      <c r="F166" s="55" cm="1">
        <f t="array" ref="F166">IF(Settings!$E$15="POINTS",E166-VLOOKUP(B$2,C1:E407,3,FALSE),J166)</f>
        <v>-2.568201709234252</v>
      </c>
      <c r="G166" s="55"/>
      <c r="H166" s="166" cm="1">
        <f t="array" ref="H166">RANK(I166,I3:I407)</f>
        <v>116</v>
      </c>
      <c r="I166" s="167" cm="1">
        <f t="array" ref="I166">VLOOKUP(A166,'Standard Deviations'!A1:C672,3,FALSE)</f>
        <v>2.7470006652397121</v>
      </c>
      <c r="J166" s="167" cm="1">
        <f t="array" ref="J166">I166-VLOOKUP(B$2,H1:J407,2,FALSE)</f>
        <v>-2.568201709234252</v>
      </c>
    </row>
    <row r="167" spans="1:10" ht="21.25" customHeight="1" x14ac:dyDescent="0.15">
      <c r="A167" s="10" t="s">
        <v>469</v>
      </c>
      <c r="B167" s="165" t="str" cm="1">
        <f t="array" ref="B167">VLOOKUP(A167,'The List'!B1:D671,3,FALSE)</f>
        <v>C,RW</v>
      </c>
      <c r="C167" s="74" cm="1">
        <f t="array" ref="C167">IF(Settings!$E$15="POINTS",RANK(E167,E3:E407),H167)</f>
        <v>287</v>
      </c>
      <c r="D167" s="18" t="str" cm="1">
        <f t="array" ref="D167">VLOOKUP(A167,'The List'!B1:F671,5,FALSE)</f>
        <v>N.J</v>
      </c>
      <c r="E167" s="55" cm="1">
        <f t="array" ref="E167">VLOOKUP(A167,'The List'!B1:I671,8,FALSE)</f>
        <v>-1.7040895708625621</v>
      </c>
      <c r="F167" s="55" cm="1">
        <f t="array" ref="F167">IF(Settings!$E$15="POINTS",E167-VLOOKUP(B$2,C1:E407,3,FALSE),J167)</f>
        <v>-7.0192919453365263</v>
      </c>
      <c r="G167" s="55"/>
      <c r="H167" s="166" cm="1">
        <f t="array" ref="H167">RANK(I167,I3:I407)</f>
        <v>287</v>
      </c>
      <c r="I167" s="167" cm="1">
        <f t="array" ref="I167">VLOOKUP(A167,'Standard Deviations'!A1:C672,3,FALSE)</f>
        <v>-1.7040895708625621</v>
      </c>
      <c r="J167" s="167" cm="1">
        <f t="array" ref="J167">I167-VLOOKUP(B$2,H1:J407,2,FALSE)</f>
        <v>-7.0192919453365263</v>
      </c>
    </row>
    <row r="168" spans="1:10" ht="21.25" customHeight="1" x14ac:dyDescent="0.15">
      <c r="A168" s="10" t="s">
        <v>470</v>
      </c>
      <c r="B168" s="165" t="str" cm="1">
        <f t="array" ref="B168">VLOOKUP(A168,'The List'!B1:D671,3,FALSE)</f>
        <v>LW,RW</v>
      </c>
      <c r="C168" s="74" cm="1">
        <f t="array" ref="C168">IF(Settings!$E$15="POINTS",RANK(E168,E3:E407),H168)</f>
        <v>242</v>
      </c>
      <c r="D168" s="18" t="str" cm="1">
        <f t="array" ref="D168">VLOOKUP(A168,'The List'!B1:F671,5,FALSE)</f>
        <v>CGY</v>
      </c>
      <c r="E168" s="55" cm="1">
        <f t="array" ref="E168">VLOOKUP(A168,'The List'!B1:I671,8,FALSE)</f>
        <v>-1.0029587954988544</v>
      </c>
      <c r="F168" s="55" cm="1">
        <f t="array" ref="F168">IF(Settings!$E$15="POINTS",E168-VLOOKUP(B$2,C1:E407,3,FALSE),J168)</f>
        <v>-6.318161169972818</v>
      </c>
      <c r="G168" s="55"/>
      <c r="H168" s="166" cm="1">
        <f t="array" ref="H168">RANK(I168,I3:I407)</f>
        <v>242</v>
      </c>
      <c r="I168" s="167" cm="1">
        <f t="array" ref="I168">VLOOKUP(A168,'Standard Deviations'!A1:C672,3,FALSE)</f>
        <v>-1.0029587954988544</v>
      </c>
      <c r="J168" s="167" cm="1">
        <f t="array" ref="J168">I168-VLOOKUP(B$2,H1:J407,2,FALSE)</f>
        <v>-6.318161169972818</v>
      </c>
    </row>
    <row r="169" spans="1:10" ht="21.25" customHeight="1" x14ac:dyDescent="0.15">
      <c r="A169" s="10" t="s">
        <v>472</v>
      </c>
      <c r="B169" s="165" t="str" cm="1">
        <f t="array" ref="B169">VLOOKUP(A169,'The List'!B1:D671,3,FALSE)</f>
        <v>LW,RW</v>
      </c>
      <c r="C169" s="74" cm="1">
        <f t="array" ref="C169">IF(Settings!$E$15="POINTS",RANK(E169,E3:E407),H169)</f>
        <v>86</v>
      </c>
      <c r="D169" s="18" t="str" cm="1">
        <f t="array" ref="D169">VLOOKUP(A169,'The List'!B1:F671,5,FALSE)</f>
        <v>S.J</v>
      </c>
      <c r="E169" s="55" cm="1">
        <f t="array" ref="E169">VLOOKUP(A169,'The List'!B1:I671,8,FALSE)</f>
        <v>4.2151180224389782</v>
      </c>
      <c r="F169" s="55" cm="1">
        <f t="array" ref="F169">IF(Settings!$E$15="POINTS",E169-VLOOKUP(B$2,C1:E407,3,FALSE),J169)</f>
        <v>-1.1000843520349859</v>
      </c>
      <c r="G169" s="55"/>
      <c r="H169" s="166" cm="1">
        <f t="array" ref="H169">RANK(I169,I3:I407)</f>
        <v>86</v>
      </c>
      <c r="I169" s="167" cm="1">
        <f t="array" ref="I169">VLOOKUP(A169,'Standard Deviations'!A1:C672,3,FALSE)</f>
        <v>4.2151180224389782</v>
      </c>
      <c r="J169" s="167" cm="1">
        <f t="array" ref="J169">I169-VLOOKUP(B$2,H1:J407,2,FALSE)</f>
        <v>-1.1000843520349859</v>
      </c>
    </row>
    <row r="170" spans="1:10" ht="21.25" customHeight="1" x14ac:dyDescent="0.15">
      <c r="A170" s="10" t="s">
        <v>485</v>
      </c>
      <c r="B170" s="165" t="str" cm="1">
        <f t="array" ref="B170">VLOOKUP(A170,'The List'!B1:D671,3,FALSE)</f>
        <v>LW</v>
      </c>
      <c r="C170" s="74" cm="1">
        <f t="array" ref="C170">IF(Settings!$E$15="POINTS",RANK(E170,E3:E407),H170)</f>
        <v>131</v>
      </c>
      <c r="D170" s="18" t="str" cm="1">
        <f t="array" ref="D170">VLOOKUP(A170,'The List'!B1:F671,5,FALSE)</f>
        <v>UTA</v>
      </c>
      <c r="E170" s="55" cm="1">
        <f t="array" ref="E170">VLOOKUP(A170,'The List'!B1:I671,8,FALSE)</f>
        <v>2.0357275775707722</v>
      </c>
      <c r="F170" s="55" cm="1">
        <f t="array" ref="F170">IF(Settings!$E$15="POINTS",E170-VLOOKUP(B$2,C1:E407,3,FALSE),J170)</f>
        <v>-3.2794747969031919</v>
      </c>
      <c r="G170" s="55"/>
      <c r="H170" s="166" cm="1">
        <f t="array" ref="H170">RANK(I170,I3:I407)</f>
        <v>131</v>
      </c>
      <c r="I170" s="167" cm="1">
        <f t="array" ref="I170">VLOOKUP(A170,'Standard Deviations'!A1:C672,3,FALSE)</f>
        <v>2.0357275775707722</v>
      </c>
      <c r="J170" s="167" cm="1">
        <f t="array" ref="J170">I170-VLOOKUP(B$2,H1:J407,2,FALSE)</f>
        <v>-3.2794747969031919</v>
      </c>
    </row>
    <row r="171" spans="1:10" ht="21.25" customHeight="1" x14ac:dyDescent="0.15">
      <c r="A171" s="10" t="s">
        <v>482</v>
      </c>
      <c r="B171" s="165" t="str" cm="1">
        <f t="array" ref="B171">VLOOKUP(A171,'The List'!B1:D671,3,FALSE)</f>
        <v>C,RW</v>
      </c>
      <c r="C171" s="74" cm="1">
        <f t="array" ref="C171">IF(Settings!$E$15="POINTS",RANK(E171,E3:E407),H171)</f>
        <v>168</v>
      </c>
      <c r="D171" s="18" t="str" cm="1">
        <f t="array" ref="D171">VLOOKUP(A171,'The List'!B1:F671,5,FALSE)</f>
        <v>NSH</v>
      </c>
      <c r="E171" s="55" cm="1">
        <f t="array" ref="E171">VLOOKUP(A171,'The List'!B1:I671,8,FALSE)</f>
        <v>0.62485121821834455</v>
      </c>
      <c r="F171" s="55" cm="1">
        <f t="array" ref="F171">IF(Settings!$E$15="POINTS",E171-VLOOKUP(B$2,C1:E407,3,FALSE),J171)</f>
        <v>-4.6903511562556197</v>
      </c>
      <c r="G171" s="55"/>
      <c r="H171" s="166" cm="1">
        <f t="array" ref="H171">RANK(I171,I3:I407)</f>
        <v>168</v>
      </c>
      <c r="I171" s="167" cm="1">
        <f t="array" ref="I171">VLOOKUP(A171,'Standard Deviations'!A1:C672,3,FALSE)</f>
        <v>0.62485121821834455</v>
      </c>
      <c r="J171" s="167" cm="1">
        <f t="array" ref="J171">I171-VLOOKUP(B$2,H1:J407,2,FALSE)</f>
        <v>-4.6903511562556197</v>
      </c>
    </row>
    <row r="172" spans="1:10" ht="21.25" customHeight="1" x14ac:dyDescent="0.15">
      <c r="A172" s="10" t="s">
        <v>498</v>
      </c>
      <c r="B172" s="165" t="str" cm="1">
        <f t="array" ref="B172">VLOOKUP(A172,'The List'!B1:D671,3,FALSE)</f>
        <v>C,LW</v>
      </c>
      <c r="C172" s="74" cm="1">
        <f t="array" ref="C172">IF(Settings!$E$15="POINTS",RANK(E172,E3:E407),H172)</f>
        <v>249</v>
      </c>
      <c r="D172" s="18" t="str" cm="1">
        <f t="array" ref="D172">VLOOKUP(A172,'The List'!B1:F671,5,FALSE)</f>
        <v>DET</v>
      </c>
      <c r="E172" s="55" cm="1">
        <f t="array" ref="E172">VLOOKUP(A172,'The List'!B1:I671,8,FALSE)</f>
        <v>-1.0872197422009546</v>
      </c>
      <c r="F172" s="55" cm="1">
        <f t="array" ref="F172">IF(Settings!$E$15="POINTS",E172-VLOOKUP(B$2,C1:E407,3,FALSE),J172)</f>
        <v>-6.4024221166749182</v>
      </c>
      <c r="G172" s="55"/>
      <c r="H172" s="166" cm="1">
        <f t="array" ref="H172">RANK(I172,I3:I407)</f>
        <v>249</v>
      </c>
      <c r="I172" s="167" cm="1">
        <f t="array" ref="I172">VLOOKUP(A172,'Standard Deviations'!A1:C672,3,FALSE)</f>
        <v>-1.0872197422009546</v>
      </c>
      <c r="J172" s="167" cm="1">
        <f t="array" ref="J172">I172-VLOOKUP(B$2,H1:J407,2,FALSE)</f>
        <v>-6.4024221166749182</v>
      </c>
    </row>
    <row r="173" spans="1:10" ht="21.25" customHeight="1" x14ac:dyDescent="0.15">
      <c r="A173" s="10" t="s">
        <v>489</v>
      </c>
      <c r="B173" s="165" t="str" cm="1">
        <f t="array" ref="B173">VLOOKUP(A173,'The List'!B1:D671,3,FALSE)</f>
        <v>C,RW</v>
      </c>
      <c r="C173" s="74" cm="1">
        <f t="array" ref="C173">IF(Settings!$E$15="POINTS",RANK(E173,E3:E407),H173)</f>
        <v>259</v>
      </c>
      <c r="D173" s="18" t="str" cm="1">
        <f t="array" ref="D173">VLOOKUP(A173,'The List'!B1:F671,5,FALSE)</f>
        <v>SEA</v>
      </c>
      <c r="E173" s="55" cm="1">
        <f t="array" ref="E173">VLOOKUP(A173,'The List'!B1:I671,8,FALSE)</f>
        <v>-1.2188232551746023</v>
      </c>
      <c r="F173" s="55" cm="1">
        <f t="array" ref="F173">IF(Settings!$E$15="POINTS",E173-VLOOKUP(B$2,C1:E407,3,FALSE),J173)</f>
        <v>-6.5340256296485659</v>
      </c>
      <c r="G173" s="55"/>
      <c r="H173" s="166" cm="1">
        <f t="array" ref="H173">RANK(I173,I3:I407)</f>
        <v>259</v>
      </c>
      <c r="I173" s="167" cm="1">
        <f t="array" ref="I173">VLOOKUP(A173,'Standard Deviations'!A1:C672,3,FALSE)</f>
        <v>-1.2188232551746023</v>
      </c>
      <c r="J173" s="167" cm="1">
        <f t="array" ref="J173">I173-VLOOKUP(B$2,H1:J407,2,FALSE)</f>
        <v>-6.5340256296485659</v>
      </c>
    </row>
    <row r="174" spans="1:10" ht="21.25" customHeight="1" x14ac:dyDescent="0.15">
      <c r="A174" s="10" t="s">
        <v>490</v>
      </c>
      <c r="B174" s="165" t="str" cm="1">
        <f t="array" ref="B174">VLOOKUP(A174,'The List'!B1:D671,3,FALSE)</f>
        <v>C,RW</v>
      </c>
      <c r="C174" s="74" cm="1">
        <f t="array" ref="C174">IF(Settings!$E$15="POINTS",RANK(E174,E3:E407),H174)</f>
        <v>175</v>
      </c>
      <c r="D174" s="18" t="str" cm="1">
        <f t="array" ref="D174">VLOOKUP(A174,'The List'!B1:F671,5,FALSE)</f>
        <v>EDM</v>
      </c>
      <c r="E174" s="55" cm="1">
        <f t="array" ref="E174">VLOOKUP(A174,'The List'!B1:I671,8,FALSE)</f>
        <v>0.45346267784411021</v>
      </c>
      <c r="F174" s="55" cm="1">
        <f t="array" ref="F174">IF(Settings!$E$15="POINTS",E174-VLOOKUP(B$2,C1:E407,3,FALSE),J174)</f>
        <v>-4.8617396966298543</v>
      </c>
      <c r="G174" s="55"/>
      <c r="H174" s="166" cm="1">
        <f t="array" ref="H174">RANK(I174,I3:I407)</f>
        <v>175</v>
      </c>
      <c r="I174" s="167" cm="1">
        <f t="array" ref="I174">VLOOKUP(A174,'Standard Deviations'!A1:C672,3,FALSE)</f>
        <v>0.45346267784411021</v>
      </c>
      <c r="J174" s="167" cm="1">
        <f t="array" ref="J174">I174-VLOOKUP(B$2,H1:J407,2,FALSE)</f>
        <v>-4.8617396966298543</v>
      </c>
    </row>
    <row r="175" spans="1:10" ht="21.25" customHeight="1" x14ac:dyDescent="0.15">
      <c r="A175" s="10" t="s">
        <v>494</v>
      </c>
      <c r="B175" s="165" t="str" cm="1">
        <f t="array" ref="B175">VLOOKUP(A175,'The List'!B1:D671,3,FALSE)</f>
        <v>LW,RW</v>
      </c>
      <c r="C175" s="74" cm="1">
        <f t="array" ref="C175">IF(Settings!$E$15="POINTS",RANK(E175,E3:E407),H175)</f>
        <v>188</v>
      </c>
      <c r="D175" s="18" t="str" cm="1">
        <f t="array" ref="D175">VLOOKUP(A175,'The List'!B1:F671,5,FALSE)</f>
        <v>NSH</v>
      </c>
      <c r="E175" s="55" cm="1">
        <f t="array" ref="E175">VLOOKUP(A175,'The List'!B1:I671,8,FALSE)</f>
        <v>4.0514667757939105E-2</v>
      </c>
      <c r="F175" s="55" cm="1">
        <f t="array" ref="F175">IF(Settings!$E$15="POINTS",E175-VLOOKUP(B$2,C1:E407,3,FALSE),J175)</f>
        <v>-5.2746877067160245</v>
      </c>
      <c r="G175" s="55"/>
      <c r="H175" s="166" cm="1">
        <f t="array" ref="H175">RANK(I175,I3:I407)</f>
        <v>188</v>
      </c>
      <c r="I175" s="167" cm="1">
        <f t="array" ref="I175">VLOOKUP(A175,'Standard Deviations'!A1:C672,3,FALSE)</f>
        <v>4.0514667757939105E-2</v>
      </c>
      <c r="J175" s="167" cm="1">
        <f t="array" ref="J175">I175-VLOOKUP(B$2,H1:J407,2,FALSE)</f>
        <v>-5.2746877067160245</v>
      </c>
    </row>
    <row r="176" spans="1:10" ht="21.25" customHeight="1" x14ac:dyDescent="0.15">
      <c r="A176" s="10" t="s">
        <v>511</v>
      </c>
      <c r="B176" s="165" t="str" cm="1">
        <f t="array" ref="B176">VLOOKUP(A176,'The List'!B1:D671,3,FALSE)</f>
        <v>LW</v>
      </c>
      <c r="C176" s="74" cm="1">
        <f t="array" ref="C176">IF(Settings!$E$15="POINTS",RANK(E176,E3:E407),H176)</f>
        <v>151</v>
      </c>
      <c r="D176" s="18" t="str" cm="1">
        <f t="array" ref="D176">VLOOKUP(A176,'The List'!B1:F671,5,FALSE)</f>
        <v>CAR</v>
      </c>
      <c r="E176" s="55" cm="1">
        <f t="array" ref="E176">VLOOKUP(A176,'The List'!B1:I671,8,FALSE)</f>
        <v>1.4364954754847701</v>
      </c>
      <c r="F176" s="55" cm="1">
        <f t="array" ref="F176">IF(Settings!$E$15="POINTS",E176-VLOOKUP(B$2,C1:E407,3,FALSE),J176)</f>
        <v>-3.878706898989194</v>
      </c>
      <c r="G176" s="55"/>
      <c r="H176" s="166" cm="1">
        <f t="array" ref="H176">RANK(I176,I3:I407)</f>
        <v>151</v>
      </c>
      <c r="I176" s="167" cm="1">
        <f t="array" ref="I176">VLOOKUP(A176,'Standard Deviations'!A1:C672,3,FALSE)</f>
        <v>1.4364954754847701</v>
      </c>
      <c r="J176" s="167" cm="1">
        <f t="array" ref="J176">I176-VLOOKUP(B$2,H1:J407,2,FALSE)</f>
        <v>-3.878706898989194</v>
      </c>
    </row>
    <row r="177" spans="1:10" ht="21.25" customHeight="1" x14ac:dyDescent="0.15">
      <c r="A177" s="10" t="s">
        <v>495</v>
      </c>
      <c r="B177" s="165" t="str" cm="1">
        <f t="array" ref="B177">VLOOKUP(A177,'The List'!B1:D671,3,FALSE)</f>
        <v>RW</v>
      </c>
      <c r="C177" s="74" cm="1">
        <f t="array" ref="C177">IF(Settings!$E$15="POINTS",RANK(E177,E3:E407),H177)</f>
        <v>218</v>
      </c>
      <c r="D177" s="18" t="str" cm="1">
        <f t="array" ref="D177">VLOOKUP(A177,'The List'!B1:F671,5,FALSE)</f>
        <v>CBJ</v>
      </c>
      <c r="E177" s="55" cm="1">
        <f t="array" ref="E177">VLOOKUP(A177,'The List'!B1:I671,8,FALSE)</f>
        <v>-0.40306146667967141</v>
      </c>
      <c r="F177" s="55" cm="1">
        <f t="array" ref="F177">IF(Settings!$E$15="POINTS",E177-VLOOKUP(B$2,C1:E407,3,FALSE),J177)</f>
        <v>-5.7182638411536351</v>
      </c>
      <c r="G177" s="55"/>
      <c r="H177" s="166" cm="1">
        <f t="array" ref="H177">RANK(I177,I3:I407)</f>
        <v>218</v>
      </c>
      <c r="I177" s="167" cm="1">
        <f t="array" ref="I177">VLOOKUP(A177,'Standard Deviations'!A1:C672,3,FALSE)</f>
        <v>-0.40306146667967141</v>
      </c>
      <c r="J177" s="167" cm="1">
        <f t="array" ref="J177">I177-VLOOKUP(B$2,H1:J407,2,FALSE)</f>
        <v>-5.7182638411536351</v>
      </c>
    </row>
    <row r="178" spans="1:10" ht="21.25" customHeight="1" x14ac:dyDescent="0.15">
      <c r="A178" s="10" t="s">
        <v>496</v>
      </c>
      <c r="B178" s="165" t="str" cm="1">
        <f t="array" ref="B178">VLOOKUP(A178,'The List'!B1:D671,3,FALSE)</f>
        <v>LW,RW</v>
      </c>
      <c r="C178" s="74" cm="1">
        <f t="array" ref="C178">IF(Settings!$E$15="POINTS",RANK(E178,E3:E407),H178)</f>
        <v>165</v>
      </c>
      <c r="D178" s="18" t="str" cm="1">
        <f t="array" ref="D178">VLOOKUP(A178,'The List'!B1:F671,5,FALSE)</f>
        <v>S.J</v>
      </c>
      <c r="E178" s="55" cm="1">
        <f t="array" ref="E178">VLOOKUP(A178,'The List'!B1:I671,8,FALSE)</f>
        <v>0.71954987042451113</v>
      </c>
      <c r="F178" s="55" cm="1">
        <f t="array" ref="F178">IF(Settings!$E$15="POINTS",E178-VLOOKUP(B$2,C1:E407,3,FALSE),J178)</f>
        <v>-4.5956525040494531</v>
      </c>
      <c r="G178" s="55"/>
      <c r="H178" s="166" cm="1">
        <f t="array" ref="H178">RANK(I178,I3:I407)</f>
        <v>165</v>
      </c>
      <c r="I178" s="167" cm="1">
        <f t="array" ref="I178">VLOOKUP(A178,'Standard Deviations'!A1:C672,3,FALSE)</f>
        <v>0.71954987042451113</v>
      </c>
      <c r="J178" s="167" cm="1">
        <f t="array" ref="J178">I178-VLOOKUP(B$2,H1:J407,2,FALSE)</f>
        <v>-4.5956525040494531</v>
      </c>
    </row>
    <row r="179" spans="1:10" ht="21.25" customHeight="1" x14ac:dyDescent="0.15">
      <c r="A179" s="10" t="s">
        <v>497</v>
      </c>
      <c r="B179" s="165" t="str" cm="1">
        <f t="array" ref="B179">VLOOKUP(A179,'The List'!B1:D671,3,FALSE)</f>
        <v>LW,RW</v>
      </c>
      <c r="C179" s="74" cm="1">
        <f t="array" ref="C179">IF(Settings!$E$15="POINTS",RANK(E179,E3:E407),H179)</f>
        <v>186</v>
      </c>
      <c r="D179" s="18" t="str" cm="1">
        <f t="array" ref="D179">VLOOKUP(A179,'The List'!B1:F671,5,FALSE)</f>
        <v>PIT</v>
      </c>
      <c r="E179" s="55" cm="1">
        <f t="array" ref="E179">VLOOKUP(A179,'The List'!B1:I671,8,FALSE)</f>
        <v>4.3036012412418709E-2</v>
      </c>
      <c r="F179" s="55" cm="1">
        <f t="array" ref="F179">IF(Settings!$E$15="POINTS",E179-VLOOKUP(B$2,C1:E407,3,FALSE),J179)</f>
        <v>-5.2721663620615455</v>
      </c>
      <c r="G179" s="55"/>
      <c r="H179" s="166" cm="1">
        <f t="array" ref="H179">RANK(I179,I3:I407)</f>
        <v>186</v>
      </c>
      <c r="I179" s="167" cm="1">
        <f t="array" ref="I179">VLOOKUP(A179,'Standard Deviations'!A1:C672,3,FALSE)</f>
        <v>4.3036012412418709E-2</v>
      </c>
      <c r="J179" s="167" cm="1">
        <f t="array" ref="J179">I179-VLOOKUP(B$2,H1:J407,2,FALSE)</f>
        <v>-5.2721663620615455</v>
      </c>
    </row>
    <row r="180" spans="1:10" ht="21.25" customHeight="1" x14ac:dyDescent="0.15">
      <c r="A180" s="10" t="s">
        <v>473</v>
      </c>
      <c r="B180" s="165" t="str" cm="1">
        <f t="array" ref="B180">VLOOKUP(A180,'The List'!B1:D671,3,FALSE)</f>
        <v>C</v>
      </c>
      <c r="C180" s="74" cm="1">
        <f t="array" ref="C180">IF(Settings!$E$15="POINTS",RANK(E180,E3:E407),H180)</f>
        <v>270</v>
      </c>
      <c r="D180" s="18" t="str" cm="1">
        <f t="array" ref="D180">VLOOKUP(A180,'The List'!B1:F671,5,FALSE)</f>
        <v>PHI</v>
      </c>
      <c r="E180" s="55" cm="1">
        <f t="array" ref="E180">VLOOKUP(A180,'The List'!B1:I671,8,FALSE)</f>
        <v>-1.3604702784414373</v>
      </c>
      <c r="F180" s="55" cm="1">
        <f t="array" ref="F180">IF(Settings!$E$15="POINTS",E180-VLOOKUP(B$2,C1:E407,3,FALSE),J180)</f>
        <v>-6.6756726529154014</v>
      </c>
      <c r="G180" s="55"/>
      <c r="H180" s="166" cm="1">
        <f t="array" ref="H180">RANK(I180,I3:I407)</f>
        <v>270</v>
      </c>
      <c r="I180" s="167" cm="1">
        <f t="array" ref="I180">VLOOKUP(A180,'Standard Deviations'!A1:C672,3,FALSE)</f>
        <v>-1.3604702784414373</v>
      </c>
      <c r="J180" s="167" cm="1">
        <f t="array" ref="J180">I180-VLOOKUP(B$2,H1:J407,2,FALSE)</f>
        <v>-6.6756726529154014</v>
      </c>
    </row>
    <row r="181" spans="1:10" ht="21.25" customHeight="1" x14ac:dyDescent="0.15">
      <c r="A181" s="10" t="s">
        <v>475</v>
      </c>
      <c r="B181" s="165" t="str" cm="1">
        <f t="array" ref="B181">VLOOKUP(A181,'The List'!B1:D671,3,FALSE)</f>
        <v>C</v>
      </c>
      <c r="C181" s="74" cm="1">
        <f t="array" ref="C181">IF(Settings!$E$15="POINTS",RANK(E181,E3:E407),H181)</f>
        <v>326</v>
      </c>
      <c r="D181" s="18" t="str" cm="1">
        <f t="array" ref="D181">VLOOKUP(A181,'The List'!B1:F671,5,FALSE)</f>
        <v>CGY</v>
      </c>
      <c r="E181" s="55" cm="1">
        <f t="array" ref="E181">VLOOKUP(A181,'The List'!B1:I671,8,FALSE)</f>
        <v>-2.7062861341832996</v>
      </c>
      <c r="F181" s="55" cm="1">
        <f t="array" ref="F181">IF(Settings!$E$15="POINTS",E181-VLOOKUP(B$2,C1:E407,3,FALSE),J181)</f>
        <v>-8.0214885086572636</v>
      </c>
      <c r="G181" s="55"/>
      <c r="H181" s="166" cm="1">
        <f t="array" ref="H181">RANK(I181,I3:I407)</f>
        <v>326</v>
      </c>
      <c r="I181" s="167" cm="1">
        <f t="array" ref="I181">VLOOKUP(A181,'Standard Deviations'!A1:C672,3,FALSE)</f>
        <v>-2.7062861341832996</v>
      </c>
      <c r="J181" s="167" cm="1">
        <f t="array" ref="J181">I181-VLOOKUP(B$2,H1:J407,2,FALSE)</f>
        <v>-8.0214885086572636</v>
      </c>
    </row>
    <row r="182" spans="1:10" ht="21.25" customHeight="1" x14ac:dyDescent="0.15">
      <c r="A182" s="10" t="s">
        <v>499</v>
      </c>
      <c r="B182" s="165" t="str" cm="1">
        <f t="array" ref="B182">VLOOKUP(A182,'The List'!B1:D671,3,FALSE)</f>
        <v>LW,RW</v>
      </c>
      <c r="C182" s="74" cm="1">
        <f t="array" ref="C182">IF(Settings!$E$15="POINTS",RANK(E182,E3:E407),H182)</f>
        <v>129</v>
      </c>
      <c r="D182" s="18" t="str" cm="1">
        <f t="array" ref="D182">VLOOKUP(A182,'The List'!B1:F671,5,FALSE)</f>
        <v>S.J</v>
      </c>
      <c r="E182" s="55" cm="1">
        <f t="array" ref="E182">VLOOKUP(A182,'The List'!B1:I671,8,FALSE)</f>
        <v>2.1958013499609081</v>
      </c>
      <c r="F182" s="55" cm="1">
        <f t="array" ref="F182">IF(Settings!$E$15="POINTS",E182-VLOOKUP(B$2,C1:E407,3,FALSE),J182)</f>
        <v>-3.1194010245130559</v>
      </c>
      <c r="G182" s="55"/>
      <c r="H182" s="166" cm="1">
        <f t="array" ref="H182">RANK(I182,I3:I407)</f>
        <v>129</v>
      </c>
      <c r="I182" s="167" cm="1">
        <f t="array" ref="I182">VLOOKUP(A182,'Standard Deviations'!A1:C672,3,FALSE)</f>
        <v>2.1958013499609081</v>
      </c>
      <c r="J182" s="167" cm="1">
        <f t="array" ref="J182">I182-VLOOKUP(B$2,H1:J407,2,FALSE)</f>
        <v>-3.1194010245130559</v>
      </c>
    </row>
    <row r="183" spans="1:10" ht="21.25" customHeight="1" x14ac:dyDescent="0.15">
      <c r="A183" s="10" t="s">
        <v>508</v>
      </c>
      <c r="B183" s="165" t="str" cm="1">
        <f t="array" ref="B183">VLOOKUP(A183,'The List'!B1:D671,3,FALSE)</f>
        <v>RW</v>
      </c>
      <c r="C183" s="74" cm="1">
        <f t="array" ref="C183">IF(Settings!$E$15="POINTS",RANK(E183,E3:E407),H183)</f>
        <v>215</v>
      </c>
      <c r="D183" s="18" t="str" cm="1">
        <f t="array" ref="D183">VLOOKUP(A183,'The List'!B1:F671,5,FALSE)</f>
        <v>NYR</v>
      </c>
      <c r="E183" s="55" cm="1">
        <f t="array" ref="E183">VLOOKUP(A183,'The List'!B1:I671,8,FALSE)</f>
        <v>-0.36153253412186837</v>
      </c>
      <c r="F183" s="55" cm="1">
        <f t="array" ref="F183">IF(Settings!$E$15="POINTS",E183-VLOOKUP(B$2,C1:E407,3,FALSE),J183)</f>
        <v>-5.6767349085958321</v>
      </c>
      <c r="G183" s="55"/>
      <c r="H183" s="166" cm="1">
        <f t="array" ref="H183">RANK(I183,I3:I407)</f>
        <v>215</v>
      </c>
      <c r="I183" s="167" cm="1">
        <f t="array" ref="I183">VLOOKUP(A183,'Standard Deviations'!A1:C672,3,FALSE)</f>
        <v>-0.36153253412186837</v>
      </c>
      <c r="J183" s="167" cm="1">
        <f t="array" ref="J183">I183-VLOOKUP(B$2,H1:J407,2,FALSE)</f>
        <v>-5.6767349085958321</v>
      </c>
    </row>
    <row r="184" spans="1:10" ht="21.25" customHeight="1" x14ac:dyDescent="0.15">
      <c r="A184" s="10" t="s">
        <v>518</v>
      </c>
      <c r="B184" s="165" t="str" cm="1">
        <f t="array" ref="B184">VLOOKUP(A184,'The List'!B1:D671,3,FALSE)</f>
        <v>C,LW,RW</v>
      </c>
      <c r="C184" s="74" cm="1">
        <f t="array" ref="C184">IF(Settings!$E$15="POINTS",RANK(E184,E3:E407),H184)</f>
        <v>180</v>
      </c>
      <c r="D184" s="18" t="str" cm="1">
        <f t="array" ref="D184">VLOOKUP(A184,'The List'!B1:F671,5,FALSE)</f>
        <v>OTT</v>
      </c>
      <c r="E184" s="55" cm="1">
        <f t="array" ref="E184">VLOOKUP(A184,'The List'!B1:I671,8,FALSE)</f>
        <v>0.24881976396979089</v>
      </c>
      <c r="F184" s="55" cm="1">
        <f t="array" ref="F184">IF(Settings!$E$15="POINTS",E184-VLOOKUP(B$2,C1:E407,3,FALSE),J184)</f>
        <v>-5.0663826105041734</v>
      </c>
      <c r="G184" s="55"/>
      <c r="H184" s="166" cm="1">
        <f t="array" ref="H184">RANK(I184,I3:I407)</f>
        <v>180</v>
      </c>
      <c r="I184" s="167" cm="1">
        <f t="array" ref="I184">VLOOKUP(A184,'Standard Deviations'!A1:C672,3,FALSE)</f>
        <v>0.24881976396979089</v>
      </c>
      <c r="J184" s="167" cm="1">
        <f t="array" ref="J184">I184-VLOOKUP(B$2,H1:J407,2,FALSE)</f>
        <v>-5.0663826105041734</v>
      </c>
    </row>
    <row r="185" spans="1:10" ht="21.25" customHeight="1" x14ac:dyDescent="0.15">
      <c r="A185" s="10" t="s">
        <v>519</v>
      </c>
      <c r="B185" s="165" t="str" cm="1">
        <f t="array" ref="B185">VLOOKUP(A185,'The List'!B1:D671,3,FALSE)</f>
        <v>LW,RW</v>
      </c>
      <c r="C185" s="74" cm="1">
        <f t="array" ref="C185">IF(Settings!$E$15="POINTS",RANK(E185,E3:E407),H185)</f>
        <v>174</v>
      </c>
      <c r="D185" s="18" t="str" cm="1">
        <f t="array" ref="D185">VLOOKUP(A185,'The List'!B1:F671,5,FALSE)</f>
        <v>N.J</v>
      </c>
      <c r="E185" s="55" cm="1">
        <f t="array" ref="E185">VLOOKUP(A185,'The List'!B1:I671,8,FALSE)</f>
        <v>0.46581080199341396</v>
      </c>
      <c r="F185" s="55" cm="1">
        <f t="array" ref="F185">IF(Settings!$E$15="POINTS",E185-VLOOKUP(B$2,C1:E407,3,FALSE),J185)</f>
        <v>-4.8493915724805499</v>
      </c>
      <c r="G185" s="55"/>
      <c r="H185" s="166" cm="1">
        <f t="array" ref="H185">RANK(I185,I3:I407)</f>
        <v>174</v>
      </c>
      <c r="I185" s="167" cm="1">
        <f t="array" ref="I185">VLOOKUP(A185,'Standard Deviations'!A1:C672,3,FALSE)</f>
        <v>0.46581080199341396</v>
      </c>
      <c r="J185" s="167" cm="1">
        <f t="array" ref="J185">I185-VLOOKUP(B$2,H1:J407,2,FALSE)</f>
        <v>-4.8493915724805499</v>
      </c>
    </row>
    <row r="186" spans="1:10" ht="21.25" customHeight="1" x14ac:dyDescent="0.15">
      <c r="A186" s="10" t="s">
        <v>521</v>
      </c>
      <c r="B186" s="165" t="str" cm="1">
        <f t="array" ref="B186">VLOOKUP(A186,'The List'!B1:D671,3,FALSE)</f>
        <v>C,LW,RW</v>
      </c>
      <c r="C186" s="74" cm="1">
        <f t="array" ref="C186">IF(Settings!$E$15="POINTS",RANK(E186,E3:E407),H186)</f>
        <v>342</v>
      </c>
      <c r="D186" s="18" t="str" cm="1">
        <f t="array" ref="D186">VLOOKUP(A186,'The List'!B1:F671,5,FALSE)</f>
        <v>CGY</v>
      </c>
      <c r="E186" s="55" cm="1">
        <f t="array" ref="E186">VLOOKUP(A186,'The List'!B1:I671,8,FALSE)</f>
        <v>-3.0471179319455439</v>
      </c>
      <c r="F186" s="55" cm="1">
        <f t="array" ref="F186">IF(Settings!$E$15="POINTS",E186-VLOOKUP(B$2,C1:E407,3,FALSE),J186)</f>
        <v>-8.3623203064195089</v>
      </c>
      <c r="G186" s="55"/>
      <c r="H186" s="166" cm="1">
        <f t="array" ref="H186">RANK(I186,I3:I407)</f>
        <v>342</v>
      </c>
      <c r="I186" s="167" cm="1">
        <f t="array" ref="I186">VLOOKUP(A186,'Standard Deviations'!A1:C672,3,FALSE)</f>
        <v>-3.0471179319455439</v>
      </c>
      <c r="J186" s="167" cm="1">
        <f t="array" ref="J186">I186-VLOOKUP(B$2,H1:J407,2,FALSE)</f>
        <v>-8.3623203064195089</v>
      </c>
    </row>
    <row r="187" spans="1:10" ht="21.25" customHeight="1" x14ac:dyDescent="0.15">
      <c r="A187" s="10" t="s">
        <v>503</v>
      </c>
      <c r="B187" s="165" t="str" cm="1">
        <f t="array" ref="B187">VLOOKUP(A187,'The List'!B1:D671,3,FALSE)</f>
        <v>C</v>
      </c>
      <c r="C187" s="74" cm="1">
        <f t="array" ref="C187">IF(Settings!$E$15="POINTS",RANK(E187,E3:E407),H187)</f>
        <v>183</v>
      </c>
      <c r="D187" s="18" t="str" cm="1">
        <f t="array" ref="D187">VLOOKUP(A187,'The List'!B1:F671,5,FALSE)</f>
        <v>CBJ</v>
      </c>
      <c r="E187" s="55" cm="1">
        <f t="array" ref="E187">VLOOKUP(A187,'The List'!B1:I671,8,FALSE)</f>
        <v>0.11555335280860674</v>
      </c>
      <c r="F187" s="55" cm="1">
        <f t="array" ref="F187">IF(Settings!$E$15="POINTS",E187-VLOOKUP(B$2,C1:E407,3,FALSE),J187)</f>
        <v>-5.1996490216653575</v>
      </c>
      <c r="G187" s="55"/>
      <c r="H187" s="166" cm="1">
        <f t="array" ref="H187">RANK(I187,I3:I407)</f>
        <v>183</v>
      </c>
      <c r="I187" s="167" cm="1">
        <f t="array" ref="I187">VLOOKUP(A187,'Standard Deviations'!A1:C672,3,FALSE)</f>
        <v>0.11555335280860674</v>
      </c>
      <c r="J187" s="167" cm="1">
        <f t="array" ref="J187">I187-VLOOKUP(B$2,H1:J407,2,FALSE)</f>
        <v>-5.1996490216653575</v>
      </c>
    </row>
    <row r="188" spans="1:10" ht="21.25" customHeight="1" x14ac:dyDescent="0.15">
      <c r="A188" s="10" t="s">
        <v>524</v>
      </c>
      <c r="B188" s="165" t="str" cm="1">
        <f t="array" ref="B188">VLOOKUP(A188,'The List'!B1:D671,3,FALSE)</f>
        <v>LW,RW</v>
      </c>
      <c r="C188" s="74" cm="1">
        <f t="array" ref="C188">IF(Settings!$E$15="POINTS",RANK(E188,E3:E407),H188)</f>
        <v>120</v>
      </c>
      <c r="D188" s="18" t="str" cm="1">
        <f t="array" ref="D188">VLOOKUP(A188,'The List'!B1:F671,5,FALSE)</f>
        <v>UTA</v>
      </c>
      <c r="E188" s="55" cm="1">
        <f t="array" ref="E188">VLOOKUP(A188,'The List'!B1:I671,8,FALSE)</f>
        <v>2.5390116468375461</v>
      </c>
      <c r="F188" s="55" cm="1">
        <f t="array" ref="F188">IF(Settings!$E$15="POINTS",E188-VLOOKUP(B$2,C1:E407,3,FALSE),J188)</f>
        <v>-2.7761907276364179</v>
      </c>
      <c r="G188" s="55"/>
      <c r="H188" s="166" cm="1">
        <f t="array" ref="H188">RANK(I188,I3:I407)</f>
        <v>120</v>
      </c>
      <c r="I188" s="167" cm="1">
        <f t="array" ref="I188">VLOOKUP(A188,'Standard Deviations'!A1:C672,3,FALSE)</f>
        <v>2.5390116468375461</v>
      </c>
      <c r="J188" s="167" cm="1">
        <f t="array" ref="J188">I188-VLOOKUP(B$2,H1:J407,2,FALSE)</f>
        <v>-2.7761907276364179</v>
      </c>
    </row>
    <row r="189" spans="1:10" ht="21.25" customHeight="1" x14ac:dyDescent="0.15">
      <c r="A189" s="10" t="s">
        <v>537</v>
      </c>
      <c r="B189" s="165" t="str" cm="1">
        <f t="array" ref="B189">VLOOKUP(A189,'The List'!B1:D671,3,FALSE)</f>
        <v>C,LW</v>
      </c>
      <c r="C189" s="74" cm="1">
        <f t="array" ref="C189">IF(Settings!$E$15="POINTS",RANK(E189,E3:E407),H189)</f>
        <v>164</v>
      </c>
      <c r="D189" s="18" t="str" cm="1">
        <f t="array" ref="D189">VLOOKUP(A189,'The List'!B1:F671,5,FALSE)</f>
        <v>NSH</v>
      </c>
      <c r="E189" s="55" cm="1">
        <f t="array" ref="E189">VLOOKUP(A189,'The List'!B1:I671,8,FALSE)</f>
        <v>0.77160668474823146</v>
      </c>
      <c r="F189" s="55" cm="1">
        <f t="array" ref="F189">IF(Settings!$E$15="POINTS",E189-VLOOKUP(B$2,C1:E407,3,FALSE),J189)</f>
        <v>-4.5435956897257324</v>
      </c>
      <c r="G189" s="55"/>
      <c r="H189" s="166" cm="1">
        <f t="array" ref="H189">RANK(I189,I3:I407)</f>
        <v>164</v>
      </c>
      <c r="I189" s="167" cm="1">
        <f t="array" ref="I189">VLOOKUP(A189,'Standard Deviations'!A1:C672,3,FALSE)</f>
        <v>0.77160668474823146</v>
      </c>
      <c r="J189" s="167" cm="1">
        <f t="array" ref="J189">I189-VLOOKUP(B$2,H1:J407,2,FALSE)</f>
        <v>-4.5435956897257324</v>
      </c>
    </row>
    <row r="190" spans="1:10" ht="21.25" customHeight="1" x14ac:dyDescent="0.15">
      <c r="A190" s="10" t="s">
        <v>527</v>
      </c>
      <c r="B190" s="165" t="str" cm="1">
        <f t="array" ref="B190">VLOOKUP(A190,'The List'!B1:D671,3,FALSE)</f>
        <v>RW</v>
      </c>
      <c r="C190" s="74" cm="1">
        <f t="array" ref="C190">IF(Settings!$E$15="POINTS",RANK(E190,E3:E407),H190)</f>
        <v>271</v>
      </c>
      <c r="D190" s="18" t="str" cm="1">
        <f t="array" ref="D190">VLOOKUP(A190,'The List'!B1:F671,5,FALSE)</f>
        <v>SEA</v>
      </c>
      <c r="E190" s="55" cm="1">
        <f t="array" ref="E190">VLOOKUP(A190,'The List'!B1:I671,8,FALSE)</f>
        <v>-1.3644384587056608</v>
      </c>
      <c r="F190" s="55" cm="1">
        <f t="array" ref="F190">IF(Settings!$E$15="POINTS",E190-VLOOKUP(B$2,C1:E407,3,FALSE),J190)</f>
        <v>-6.6796408331796249</v>
      </c>
      <c r="G190" s="55"/>
      <c r="H190" s="166" cm="1">
        <f t="array" ref="H190">RANK(I190,I3:I407)</f>
        <v>271</v>
      </c>
      <c r="I190" s="167" cm="1">
        <f t="array" ref="I190">VLOOKUP(A190,'Standard Deviations'!A1:C672,3,FALSE)</f>
        <v>-1.3644384587056608</v>
      </c>
      <c r="J190" s="167" cm="1">
        <f t="array" ref="J190">I190-VLOOKUP(B$2,H1:J407,2,FALSE)</f>
        <v>-6.6796408331796249</v>
      </c>
    </row>
    <row r="191" spans="1:10" ht="21.25" customHeight="1" x14ac:dyDescent="0.15">
      <c r="A191" s="10" t="s">
        <v>528</v>
      </c>
      <c r="B191" s="165" t="str" cm="1">
        <f t="array" ref="B191">VLOOKUP(A191,'The List'!B1:D671,3,FALSE)</f>
        <v>LW,RW</v>
      </c>
      <c r="C191" s="74" cm="1">
        <f t="array" ref="C191">IF(Settings!$E$15="POINTS",RANK(E191,E3:E407),H191)</f>
        <v>150</v>
      </c>
      <c r="D191" s="18" t="str" cm="1">
        <f t="array" ref="D191">VLOOKUP(A191,'The List'!B1:F671,5,FALSE)</f>
        <v>STL</v>
      </c>
      <c r="E191" s="55" cm="1">
        <f t="array" ref="E191">VLOOKUP(A191,'The List'!B1:I671,8,FALSE)</f>
        <v>1.5012186707405824</v>
      </c>
      <c r="F191" s="55" cm="1">
        <f t="array" ref="F191">IF(Settings!$E$15="POINTS",E191-VLOOKUP(B$2,C1:E407,3,FALSE),J191)</f>
        <v>-3.8139837037333817</v>
      </c>
      <c r="G191" s="55"/>
      <c r="H191" s="166" cm="1">
        <f t="array" ref="H191">RANK(I191,I3:I407)</f>
        <v>150</v>
      </c>
      <c r="I191" s="167" cm="1">
        <f t="array" ref="I191">VLOOKUP(A191,'Standard Deviations'!A1:C672,3,FALSE)</f>
        <v>1.5012186707405824</v>
      </c>
      <c r="J191" s="167" cm="1">
        <f t="array" ref="J191">I191-VLOOKUP(B$2,H1:J407,2,FALSE)</f>
        <v>-3.8139837037333817</v>
      </c>
    </row>
    <row r="192" spans="1:10" ht="21.25" customHeight="1" x14ac:dyDescent="0.15">
      <c r="A192" s="10" t="s">
        <v>529</v>
      </c>
      <c r="B192" s="165" t="str" cm="1">
        <f t="array" ref="B192">VLOOKUP(A192,'The List'!B1:D671,3,FALSE)</f>
        <v>RW</v>
      </c>
      <c r="C192" s="74" cm="1">
        <f t="array" ref="C192">IF(Settings!$E$15="POINTS",RANK(E192,E3:E407),H192)</f>
        <v>170</v>
      </c>
      <c r="D192" s="18" t="str" cm="1">
        <f t="array" ref="D192">VLOOKUP(A192,'The List'!B1:F671,5,FALSE)</f>
        <v>SEA</v>
      </c>
      <c r="E192" s="55" cm="1">
        <f t="array" ref="E192">VLOOKUP(A192,'The List'!B1:I671,8,FALSE)</f>
        <v>0.56844503962675152</v>
      </c>
      <c r="F192" s="55" cm="1">
        <f t="array" ref="F192">IF(Settings!$E$15="POINTS",E192-VLOOKUP(B$2,C1:E407,3,FALSE),J192)</f>
        <v>-4.7467573348472127</v>
      </c>
      <c r="G192" s="55"/>
      <c r="H192" s="166" cm="1">
        <f t="array" ref="H192">RANK(I192,I3:I407)</f>
        <v>170</v>
      </c>
      <c r="I192" s="167" cm="1">
        <f t="array" ref="I192">VLOOKUP(A192,'Standard Deviations'!A1:C672,3,FALSE)</f>
        <v>0.56844503962675152</v>
      </c>
      <c r="J192" s="167" cm="1">
        <f t="array" ref="J192">I192-VLOOKUP(B$2,H1:J407,2,FALSE)</f>
        <v>-4.7467573348472127</v>
      </c>
    </row>
    <row r="193" spans="1:10" ht="21.25" customHeight="1" x14ac:dyDescent="0.15">
      <c r="A193" s="10" t="s">
        <v>539</v>
      </c>
      <c r="B193" s="165" t="str" cm="1">
        <f t="array" ref="B193">VLOOKUP(A193,'The List'!B1:D671,3,FALSE)</f>
        <v>C,LW</v>
      </c>
      <c r="C193" s="74" cm="1">
        <f t="array" ref="C193">IF(Settings!$E$15="POINTS",RANK(E193,E3:E407),H193)</f>
        <v>142</v>
      </c>
      <c r="D193" s="18" t="str" cm="1">
        <f t="array" ref="D193">VLOOKUP(A193,'The List'!B1:F671,5,FALSE)</f>
        <v>DET</v>
      </c>
      <c r="E193" s="55" cm="1">
        <f t="array" ref="E193">VLOOKUP(A193,'The List'!B1:I671,8,FALSE)</f>
        <v>1.7602687179570573</v>
      </c>
      <c r="F193" s="55" cm="1">
        <f t="array" ref="F193">IF(Settings!$E$15="POINTS",E193-VLOOKUP(B$2,C1:E407,3,FALSE),J193)</f>
        <v>-3.5549336565169067</v>
      </c>
      <c r="G193" s="55"/>
      <c r="H193" s="166" cm="1">
        <f t="array" ref="H193">RANK(I193,I3:I407)</f>
        <v>142</v>
      </c>
      <c r="I193" s="167" cm="1">
        <f t="array" ref="I193">VLOOKUP(A193,'Standard Deviations'!A1:C672,3,FALSE)</f>
        <v>1.7602687179570573</v>
      </c>
      <c r="J193" s="167" cm="1">
        <f t="array" ref="J193">I193-VLOOKUP(B$2,H1:J407,2,FALSE)</f>
        <v>-3.5549336565169067</v>
      </c>
    </row>
    <row r="194" spans="1:10" ht="21.25" customHeight="1" x14ac:dyDescent="0.15">
      <c r="A194" s="10" t="s">
        <v>540</v>
      </c>
      <c r="B194" s="165" t="str" cm="1">
        <f t="array" ref="B194">VLOOKUP(A194,'The List'!B1:D671,3,FALSE)</f>
        <v>LW</v>
      </c>
      <c r="C194" s="74" cm="1">
        <f t="array" ref="C194">IF(Settings!$E$15="POINTS",RANK(E194,E3:E407),H194)</f>
        <v>191</v>
      </c>
      <c r="D194" s="18" t="str" cm="1">
        <f t="array" ref="D194">VLOOKUP(A194,'The List'!B1:F671,5,FALSE)</f>
        <v>TOR</v>
      </c>
      <c r="E194" s="55" cm="1">
        <f t="array" ref="E194">VLOOKUP(A194,'The List'!B1:I671,8,FALSE)</f>
        <v>1.0756906888957918E-3</v>
      </c>
      <c r="F194" s="55" cm="1">
        <f t="array" ref="F194">IF(Settings!$E$15="POINTS",E194-VLOOKUP(B$2,C1:E407,3,FALSE),J194)</f>
        <v>-5.3141266837850685</v>
      </c>
      <c r="G194" s="55"/>
      <c r="H194" s="166" cm="1">
        <f t="array" ref="H194">RANK(I194,I3:I407)</f>
        <v>191</v>
      </c>
      <c r="I194" s="167" cm="1">
        <f t="array" ref="I194">VLOOKUP(A194,'Standard Deviations'!A1:C672,3,FALSE)</f>
        <v>1.0756906888957918E-3</v>
      </c>
      <c r="J194" s="167" cm="1">
        <f t="array" ref="J194">I194-VLOOKUP(B$2,H1:J407,2,FALSE)</f>
        <v>-5.3141266837850685</v>
      </c>
    </row>
    <row r="195" spans="1:10" ht="21.25" customHeight="1" x14ac:dyDescent="0.15">
      <c r="A195" s="10" t="s">
        <v>541</v>
      </c>
      <c r="B195" s="165" t="str" cm="1">
        <f t="array" ref="B195">VLOOKUP(A195,'The List'!B1:D671,3,FALSE)</f>
        <v>C,LW</v>
      </c>
      <c r="C195" s="74" cm="1">
        <f t="array" ref="C195">IF(Settings!$E$15="POINTS",RANK(E195,E3:E407),H195)</f>
        <v>247</v>
      </c>
      <c r="D195" s="18" t="str" cm="1">
        <f t="array" ref="D195">VLOOKUP(A195,'The List'!B1:F671,5,FALSE)</f>
        <v>PIT</v>
      </c>
      <c r="E195" s="55" cm="1">
        <f t="array" ref="E195">VLOOKUP(A195,'The List'!B1:I671,8,FALSE)</f>
        <v>-1.0781224379880312</v>
      </c>
      <c r="F195" s="55" cm="1">
        <f t="array" ref="F195">IF(Settings!$E$15="POINTS",E195-VLOOKUP(B$2,C1:E407,3,FALSE),J195)</f>
        <v>-6.3933248124619952</v>
      </c>
      <c r="G195" s="55"/>
      <c r="H195" s="166" cm="1">
        <f t="array" ref="H195">RANK(I195,I3:I407)</f>
        <v>247</v>
      </c>
      <c r="I195" s="167" cm="1">
        <f t="array" ref="I195">VLOOKUP(A195,'Standard Deviations'!A1:C672,3,FALSE)</f>
        <v>-1.0781224379880312</v>
      </c>
      <c r="J195" s="167" cm="1">
        <f t="array" ref="J195">I195-VLOOKUP(B$2,H1:J407,2,FALSE)</f>
        <v>-6.3933248124619952</v>
      </c>
    </row>
    <row r="196" spans="1:10" ht="21.25" customHeight="1" x14ac:dyDescent="0.15">
      <c r="A196" s="10" t="s">
        <v>516</v>
      </c>
      <c r="B196" s="165" t="str" cm="1">
        <f t="array" ref="B196">VLOOKUP(A196,'The List'!B1:D671,3,FALSE)</f>
        <v>C</v>
      </c>
      <c r="C196" s="74" cm="1">
        <f t="array" ref="C196">IF(Settings!$E$15="POINTS",RANK(E196,E3:E407),H196)</f>
        <v>184</v>
      </c>
      <c r="D196" s="18" t="str" cm="1">
        <f t="array" ref="D196">VLOOKUP(A196,'The List'!B1:F671,5,FALSE)</f>
        <v>BUF</v>
      </c>
      <c r="E196" s="55" cm="1">
        <f t="array" ref="E196">VLOOKUP(A196,'The List'!B1:I671,8,FALSE)</f>
        <v>8.5333851978878453E-2</v>
      </c>
      <c r="F196" s="55" cm="1">
        <f t="array" ref="F196">IF(Settings!$E$15="POINTS",E196-VLOOKUP(B$2,C1:E407,3,FALSE),J196)</f>
        <v>-5.2298685224950852</v>
      </c>
      <c r="G196" s="55"/>
      <c r="H196" s="166" cm="1">
        <f t="array" ref="H196">RANK(I196,I3:I407)</f>
        <v>184</v>
      </c>
      <c r="I196" s="167" cm="1">
        <f t="array" ref="I196">VLOOKUP(A196,'Standard Deviations'!A1:C672,3,FALSE)</f>
        <v>8.5333851978878453E-2</v>
      </c>
      <c r="J196" s="167" cm="1">
        <f t="array" ref="J196">I196-VLOOKUP(B$2,H1:J407,2,FALSE)</f>
        <v>-5.2298685224950852</v>
      </c>
    </row>
    <row r="197" spans="1:10" ht="21.25" customHeight="1" x14ac:dyDescent="0.15">
      <c r="A197" s="10" t="s">
        <v>531</v>
      </c>
      <c r="B197" s="165" t="str" cm="1">
        <f t="array" ref="B197">VLOOKUP(A197,'The List'!B1:D671,3,FALSE)</f>
        <v>RW</v>
      </c>
      <c r="C197" s="74" cm="1">
        <f t="array" ref="C197">IF(Settings!$E$15="POINTS",RANK(E197,E3:E407),H197)</f>
        <v>171</v>
      </c>
      <c r="D197" s="18" t="str" cm="1">
        <f t="array" ref="D197">VLOOKUP(A197,'The List'!B1:F671,5,FALSE)</f>
        <v>CHI</v>
      </c>
      <c r="E197" s="55" cm="1">
        <f t="array" ref="E197">VLOOKUP(A197,'The List'!B1:I671,8,FALSE)</f>
        <v>0.54410987921097398</v>
      </c>
      <c r="F197" s="55" cm="1">
        <f t="array" ref="F197">IF(Settings!$E$15="POINTS",E197-VLOOKUP(B$2,C1:E407,3,FALSE),J197)</f>
        <v>-4.7710924952629901</v>
      </c>
      <c r="G197" s="55"/>
      <c r="H197" s="166" cm="1">
        <f t="array" ref="H197">RANK(I197,I3:I407)</f>
        <v>171</v>
      </c>
      <c r="I197" s="167" cm="1">
        <f t="array" ref="I197">VLOOKUP(A197,'Standard Deviations'!A1:C672,3,FALSE)</f>
        <v>0.54410987921097398</v>
      </c>
      <c r="J197" s="167" cm="1">
        <f t="array" ref="J197">I197-VLOOKUP(B$2,H1:J407,2,FALSE)</f>
        <v>-4.7710924952629901</v>
      </c>
    </row>
    <row r="198" spans="1:10" ht="21.25" customHeight="1" x14ac:dyDescent="0.15">
      <c r="A198" s="10" t="s">
        <v>533</v>
      </c>
      <c r="B198" s="165" t="str" cm="1">
        <f t="array" ref="B198">VLOOKUP(A198,'The List'!B1:D671,3,FALSE)</f>
        <v>RW</v>
      </c>
      <c r="C198" s="74" cm="1">
        <f t="array" ref="C198">IF(Settings!$E$15="POINTS",RANK(E198,E3:E407),H198)</f>
        <v>272</v>
      </c>
      <c r="D198" s="18" t="str" cm="1">
        <f t="array" ref="D198">VLOOKUP(A198,'The List'!B1:F671,5,FALSE)</f>
        <v>ANA</v>
      </c>
      <c r="E198" s="55" cm="1">
        <f t="array" ref="E198">VLOOKUP(A198,'The List'!B1:I671,8,FALSE)</f>
        <v>-1.3849612555042985</v>
      </c>
      <c r="F198" s="55" cm="1">
        <f t="array" ref="F198">IF(Settings!$E$15="POINTS",E198-VLOOKUP(B$2,C1:E407,3,FALSE),J198)</f>
        <v>-6.7001636299782623</v>
      </c>
      <c r="G198" s="55"/>
      <c r="H198" s="166" cm="1">
        <f t="array" ref="H198">RANK(I198,I3:I407)</f>
        <v>272</v>
      </c>
      <c r="I198" s="167" cm="1">
        <f t="array" ref="I198">VLOOKUP(A198,'Standard Deviations'!A1:C672,3,FALSE)</f>
        <v>-1.3849612555042985</v>
      </c>
      <c r="J198" s="167" cm="1">
        <f t="array" ref="J198">I198-VLOOKUP(B$2,H1:J407,2,FALSE)</f>
        <v>-6.7001636299782623</v>
      </c>
    </row>
    <row r="199" spans="1:10" ht="21.25" customHeight="1" x14ac:dyDescent="0.15">
      <c r="A199" s="10" t="s">
        <v>542</v>
      </c>
      <c r="B199" s="165" t="str" cm="1">
        <f t="array" ref="B199">VLOOKUP(A199,'The List'!B1:D671,3,FALSE)</f>
        <v>LW,RW</v>
      </c>
      <c r="C199" s="74" cm="1">
        <f t="array" ref="C199">IF(Settings!$E$15="POINTS",RANK(E199,E3:E407),H199)</f>
        <v>217</v>
      </c>
      <c r="D199" s="18" t="str" cm="1">
        <f t="array" ref="D199">VLOOKUP(A199,'The List'!B1:F671,5,FALSE)</f>
        <v>L.A</v>
      </c>
      <c r="E199" s="55" cm="1">
        <f t="array" ref="E199">VLOOKUP(A199,'The List'!B1:I671,8,FALSE)</f>
        <v>-0.39971182762958651</v>
      </c>
      <c r="F199" s="55" cm="1">
        <f t="array" ref="F199">IF(Settings!$E$15="POINTS",E199-VLOOKUP(B$2,C1:E407,3,FALSE),J199)</f>
        <v>-5.7149142021035502</v>
      </c>
      <c r="G199" s="55"/>
      <c r="H199" s="166" cm="1">
        <f t="array" ref="H199">RANK(I199,I3:I407)</f>
        <v>217</v>
      </c>
      <c r="I199" s="167" cm="1">
        <f t="array" ref="I199">VLOOKUP(A199,'Standard Deviations'!A1:C672,3,FALSE)</f>
        <v>-0.39971182762958651</v>
      </c>
      <c r="J199" s="167" cm="1">
        <f t="array" ref="J199">I199-VLOOKUP(B$2,H1:J407,2,FALSE)</f>
        <v>-5.7149142021035502</v>
      </c>
    </row>
    <row r="200" spans="1:10" ht="21.25" customHeight="1" x14ac:dyDescent="0.15">
      <c r="A200" s="10" t="s">
        <v>547</v>
      </c>
      <c r="B200" s="165" t="str" cm="1">
        <f t="array" ref="B200">VLOOKUP(A200,'The List'!B1:D671,3,FALSE)</f>
        <v>LW,RW</v>
      </c>
      <c r="C200" s="74" cm="1">
        <f t="array" ref="C200">IF(Settings!$E$15="POINTS",RANK(E200,E3:E407),H200)</f>
        <v>194</v>
      </c>
      <c r="D200" s="18" t="str" cm="1">
        <f t="array" ref="D200">VLOOKUP(A200,'The List'!B1:F671,5,FALSE)</f>
        <v>N.J</v>
      </c>
      <c r="E200" s="55" cm="1">
        <f t="array" ref="E200">VLOOKUP(A200,'The List'!B1:I671,8,FALSE)</f>
        <v>-1.3544900706919008E-2</v>
      </c>
      <c r="F200" s="55" cm="1">
        <f t="array" ref="F200">IF(Settings!$E$15="POINTS",E200-VLOOKUP(B$2,C1:E407,3,FALSE),J200)</f>
        <v>-5.3287472751808833</v>
      </c>
      <c r="G200" s="55"/>
      <c r="H200" s="166" cm="1">
        <f t="array" ref="H200">RANK(I200,I3:I407)</f>
        <v>194</v>
      </c>
      <c r="I200" s="167" cm="1">
        <f t="array" ref="I200">VLOOKUP(A200,'Standard Deviations'!A1:C672,3,FALSE)</f>
        <v>-1.3544900706919008E-2</v>
      </c>
      <c r="J200" s="167" cm="1">
        <f t="array" ref="J200">I200-VLOOKUP(B$2,H1:J407,2,FALSE)</f>
        <v>-5.3287472751808833</v>
      </c>
    </row>
    <row r="201" spans="1:10" ht="21.25" customHeight="1" x14ac:dyDescent="0.15">
      <c r="A201" s="10" t="s">
        <v>551</v>
      </c>
      <c r="B201" s="165" t="str" cm="1">
        <f t="array" ref="B201">VLOOKUP(A201,'The List'!B1:D671,3,FALSE)</f>
        <v>C,RW</v>
      </c>
      <c r="C201" s="74" cm="1">
        <f t="array" ref="C201">IF(Settings!$E$15="POINTS",RANK(E201,E3:E407),H201)</f>
        <v>179</v>
      </c>
      <c r="D201" s="18" t="str" cm="1">
        <f t="array" ref="D201">VLOOKUP(A201,'The List'!B1:F671,5,FALSE)</f>
        <v>TOR</v>
      </c>
      <c r="E201" s="55" cm="1">
        <f t="array" ref="E201">VLOOKUP(A201,'The List'!B1:I671,8,FALSE)</f>
        <v>0.31408262778479779</v>
      </c>
      <c r="F201" s="55" cm="1">
        <f t="array" ref="F201">IF(Settings!$E$15="POINTS",E201-VLOOKUP(B$2,C1:E407,3,FALSE),J201)</f>
        <v>-5.0011197466891666</v>
      </c>
      <c r="G201" s="55"/>
      <c r="H201" s="166" cm="1">
        <f t="array" ref="H201">RANK(I201,I3:I407)</f>
        <v>179</v>
      </c>
      <c r="I201" s="167" cm="1">
        <f t="array" ref="I201">VLOOKUP(A201,'Standard Deviations'!A1:C672,3,FALSE)</f>
        <v>0.31408262778479779</v>
      </c>
      <c r="J201" s="167" cm="1">
        <f t="array" ref="J201">I201-VLOOKUP(B$2,H1:J407,2,FALSE)</f>
        <v>-5.0011197466891666</v>
      </c>
    </row>
    <row r="202" spans="1:10" ht="21.25" customHeight="1" x14ac:dyDescent="0.15">
      <c r="A202" s="10" t="s">
        <v>553</v>
      </c>
      <c r="B202" s="165" t="str" cm="1">
        <f t="array" ref="B202">VLOOKUP(A202,'The List'!B1:D671,3,FALSE)</f>
        <v>C,LW,RW</v>
      </c>
      <c r="C202" s="74" cm="1">
        <f t="array" ref="C202">IF(Settings!$E$15="POINTS",RANK(E202,E3:E407),H202)</f>
        <v>210</v>
      </c>
      <c r="D202" s="18" t="str" cm="1">
        <f t="array" ref="D202">VLOOKUP(A202,'The List'!B1:F671,5,FALSE)</f>
        <v>OTT</v>
      </c>
      <c r="E202" s="55" cm="1">
        <f t="array" ref="E202">VLOOKUP(A202,'The List'!B1:I671,8,FALSE)</f>
        <v>-0.23543836571466814</v>
      </c>
      <c r="F202" s="55" cm="1">
        <f t="array" ref="F202">IF(Settings!$E$15="POINTS",E202-VLOOKUP(B$2,C1:E407,3,FALSE),J202)</f>
        <v>-5.5506407401886317</v>
      </c>
      <c r="G202" s="55"/>
      <c r="H202" s="166" cm="1">
        <f t="array" ref="H202">RANK(I202,I3:I407)</f>
        <v>210</v>
      </c>
      <c r="I202" s="167" cm="1">
        <f t="array" ref="I202">VLOOKUP(A202,'Standard Deviations'!A1:C672,3,FALSE)</f>
        <v>-0.23543836571466814</v>
      </c>
      <c r="J202" s="167" cm="1">
        <f t="array" ref="J202">I202-VLOOKUP(B$2,H1:J407,2,FALSE)</f>
        <v>-5.5506407401886317</v>
      </c>
    </row>
    <row r="203" spans="1:10" ht="21.25" customHeight="1" x14ac:dyDescent="0.15">
      <c r="A203" s="10" t="s">
        <v>566</v>
      </c>
      <c r="B203" s="165" t="str" cm="1">
        <f t="array" ref="B203">VLOOKUP(A203,'The List'!B1:D671,3,FALSE)</f>
        <v>C,LW</v>
      </c>
      <c r="C203" s="74" cm="1">
        <f t="array" ref="C203">IF(Settings!$E$15="POINTS",RANK(E203,E3:E407),H203)</f>
        <v>187</v>
      </c>
      <c r="D203" s="18" t="str" cm="1">
        <f t="array" ref="D203">VLOOKUP(A203,'The List'!B1:F671,5,FALSE)</f>
        <v>NYI</v>
      </c>
      <c r="E203" s="55" cm="1">
        <f t="array" ref="E203">VLOOKUP(A203,'The List'!B1:I671,8,FALSE)</f>
        <v>4.1407157569736119E-2</v>
      </c>
      <c r="F203" s="55" cm="1">
        <f t="array" ref="F203">IF(Settings!$E$15="POINTS",E203-VLOOKUP(B$2,C1:E407,3,FALSE),J203)</f>
        <v>-5.2737952169042277</v>
      </c>
      <c r="G203" s="55"/>
      <c r="H203" s="166" cm="1">
        <f t="array" ref="H203">RANK(I203,I3:I407)</f>
        <v>187</v>
      </c>
      <c r="I203" s="167" cm="1">
        <f t="array" ref="I203">VLOOKUP(A203,'Standard Deviations'!A1:C672,3,FALSE)</f>
        <v>4.1407157569736119E-2</v>
      </c>
      <c r="J203" s="167" cm="1">
        <f t="array" ref="J203">I203-VLOOKUP(B$2,H1:J407,2,FALSE)</f>
        <v>-5.2737952169042277</v>
      </c>
    </row>
    <row r="204" spans="1:10" ht="21.25" customHeight="1" x14ac:dyDescent="0.15">
      <c r="A204" s="10" t="s">
        <v>532</v>
      </c>
      <c r="B204" s="165" t="str" cm="1">
        <f t="array" ref="B204">VLOOKUP(A204,'The List'!B1:D671,3,FALSE)</f>
        <v>C</v>
      </c>
      <c r="C204" s="74" cm="1">
        <f t="array" ref="C204">IF(Settings!$E$15="POINTS",RANK(E204,E3:E407),H204)</f>
        <v>325</v>
      </c>
      <c r="D204" s="18" t="str" cm="1">
        <f t="array" ref="D204">VLOOKUP(A204,'The List'!B1:F671,5,FALSE)</f>
        <v>ANA</v>
      </c>
      <c r="E204" s="55" cm="1">
        <f t="array" ref="E204">VLOOKUP(A204,'The List'!B1:I671,8,FALSE)</f>
        <v>-2.6738521194252218</v>
      </c>
      <c r="F204" s="55" cm="1">
        <f t="array" ref="F204">IF(Settings!$E$15="POINTS",E204-VLOOKUP(B$2,C1:E407,3,FALSE),J204)</f>
        <v>-7.9890544938991859</v>
      </c>
      <c r="G204" s="55"/>
      <c r="H204" s="166" cm="1">
        <f t="array" ref="H204">RANK(I204,I3:I407)</f>
        <v>325</v>
      </c>
      <c r="I204" s="167" cm="1">
        <f t="array" ref="I204">VLOOKUP(A204,'Standard Deviations'!A1:C672,3,FALSE)</f>
        <v>-2.6738521194252218</v>
      </c>
      <c r="J204" s="167" cm="1">
        <f t="array" ref="J204">I204-VLOOKUP(B$2,H1:J407,2,FALSE)</f>
        <v>-7.9890544938991859</v>
      </c>
    </row>
    <row r="205" spans="1:10" ht="21.25" customHeight="1" x14ac:dyDescent="0.15">
      <c r="A205" s="10" t="s">
        <v>570</v>
      </c>
      <c r="B205" s="165" t="str" cm="1">
        <f t="array" ref="B205">VLOOKUP(A205,'The List'!B1:D671,3,FALSE)</f>
        <v>C,LW</v>
      </c>
      <c r="C205" s="74" cm="1">
        <f t="array" ref="C205">IF(Settings!$E$15="POINTS",RANK(E205,E3:E407),H205)</f>
        <v>278</v>
      </c>
      <c r="D205" s="18" t="str" cm="1">
        <f t="array" ref="D205">VLOOKUP(A205,'The List'!B1:F671,5,FALSE)</f>
        <v>BOS</v>
      </c>
      <c r="E205" s="55" cm="1">
        <f t="array" ref="E205">VLOOKUP(A205,'The List'!B1:I671,8,FALSE)</f>
        <v>-1.5396413667959146</v>
      </c>
      <c r="F205" s="55" cm="1">
        <f t="array" ref="F205">IF(Settings!$E$15="POINTS",E205-VLOOKUP(B$2,C1:E407,3,FALSE),J205)</f>
        <v>-6.8548437412698782</v>
      </c>
      <c r="G205" s="55"/>
      <c r="H205" s="166" cm="1">
        <f t="array" ref="H205">RANK(I205,I3:I407)</f>
        <v>278</v>
      </c>
      <c r="I205" s="167" cm="1">
        <f t="array" ref="I205">VLOOKUP(A205,'Standard Deviations'!A1:C672,3,FALSE)</f>
        <v>-1.5396413667959146</v>
      </c>
      <c r="J205" s="167" cm="1">
        <f t="array" ref="J205">I205-VLOOKUP(B$2,H1:J407,2,FALSE)</f>
        <v>-6.8548437412698782</v>
      </c>
    </row>
    <row r="206" spans="1:10" ht="21.25" customHeight="1" x14ac:dyDescent="0.15">
      <c r="A206" s="10" t="s">
        <v>538</v>
      </c>
      <c r="B206" s="165" t="str" cm="1">
        <f t="array" ref="B206">VLOOKUP(A206,'The List'!B1:D671,3,FALSE)</f>
        <v>C</v>
      </c>
      <c r="C206" s="74" cm="1">
        <f t="array" ref="C206">IF(Settings!$E$15="POINTS",RANK(E206,E3:E407),H206)</f>
        <v>172</v>
      </c>
      <c r="D206" s="18" t="str" cm="1">
        <f t="array" ref="D206">VLOOKUP(A206,'The List'!B1:F671,5,FALSE)</f>
        <v>PHI</v>
      </c>
      <c r="E206" s="55" cm="1">
        <f t="array" ref="E206">VLOOKUP(A206,'The List'!B1:I671,8,FALSE)</f>
        <v>0.53333738844142942</v>
      </c>
      <c r="F206" s="55" cm="1">
        <f t="array" ref="F206">IF(Settings!$E$15="POINTS",E206-VLOOKUP(B$2,C1:E407,3,FALSE),J206)</f>
        <v>-4.7818649860325344</v>
      </c>
      <c r="G206" s="55"/>
      <c r="H206" s="166" cm="1">
        <f t="array" ref="H206">RANK(I206,I3:I407)</f>
        <v>172</v>
      </c>
      <c r="I206" s="167" cm="1">
        <f t="array" ref="I206">VLOOKUP(A206,'Standard Deviations'!A1:C672,3,FALSE)</f>
        <v>0.53333738844142942</v>
      </c>
      <c r="J206" s="167" cm="1">
        <f t="array" ref="J206">I206-VLOOKUP(B$2,H1:J407,2,FALSE)</f>
        <v>-4.7818649860325344</v>
      </c>
    </row>
    <row r="207" spans="1:10" ht="21.25" customHeight="1" x14ac:dyDescent="0.15">
      <c r="A207" s="10" t="s">
        <v>564</v>
      </c>
      <c r="B207" s="165" t="str" cm="1">
        <f t="array" ref="B207">VLOOKUP(A207,'The List'!B1:D671,3,FALSE)</f>
        <v>LW,RW</v>
      </c>
      <c r="C207" s="74" cm="1">
        <f t="array" ref="C207">IF(Settings!$E$15="POINTS",RANK(E207,E3:E407),H207)</f>
        <v>202</v>
      </c>
      <c r="D207" s="18" t="str" cm="1">
        <f t="array" ref="D207">VLOOKUP(A207,'The List'!B1:F671,5,FALSE)</f>
        <v>ANA</v>
      </c>
      <c r="E207" s="55" cm="1">
        <f t="array" ref="E207">VLOOKUP(A207,'The List'!B1:I671,8,FALSE)</f>
        <v>-0.1453626255798206</v>
      </c>
      <c r="F207" s="55" cm="1">
        <f t="array" ref="F207">IF(Settings!$E$15="POINTS",E207-VLOOKUP(B$2,C1:E407,3,FALSE),J207)</f>
        <v>-5.4605650000537844</v>
      </c>
      <c r="G207" s="55"/>
      <c r="H207" s="166" cm="1">
        <f t="array" ref="H207">RANK(I207,I3:I407)</f>
        <v>202</v>
      </c>
      <c r="I207" s="167" cm="1">
        <f t="array" ref="I207">VLOOKUP(A207,'Standard Deviations'!A1:C672,3,FALSE)</f>
        <v>-0.1453626255798206</v>
      </c>
      <c r="J207" s="167" cm="1">
        <f t="array" ref="J207">I207-VLOOKUP(B$2,H1:J407,2,FALSE)</f>
        <v>-5.4605650000537844</v>
      </c>
    </row>
    <row r="208" spans="1:10" ht="21.25" customHeight="1" x14ac:dyDescent="0.15">
      <c r="A208" s="10" t="s">
        <v>576</v>
      </c>
      <c r="B208" s="165" t="str" cm="1">
        <f t="array" ref="B208">VLOOKUP(A208,'The List'!B1:D671,3,FALSE)</f>
        <v>LW</v>
      </c>
      <c r="C208" s="74" cm="1">
        <f t="array" ref="C208">IF(Settings!$E$15="POINTS",RANK(E208,E3:E407),H208)</f>
        <v>205</v>
      </c>
      <c r="D208" s="18" t="str" cm="1">
        <f t="array" ref="D208">VLOOKUP(A208,'The List'!B1:F671,5,FALSE)</f>
        <v>BUF</v>
      </c>
      <c r="E208" s="55" cm="1">
        <f t="array" ref="E208">VLOOKUP(A208,'The List'!B1:I671,8,FALSE)</f>
        <v>-0.17366143142901694</v>
      </c>
      <c r="F208" s="55" cm="1">
        <f t="array" ref="F208">IF(Settings!$E$15="POINTS",E208-VLOOKUP(B$2,C1:E407,3,FALSE),J208)</f>
        <v>-5.4888638059029811</v>
      </c>
      <c r="G208" s="55"/>
      <c r="H208" s="166" cm="1">
        <f t="array" ref="H208">RANK(I208,I3:I407)</f>
        <v>205</v>
      </c>
      <c r="I208" s="167" cm="1">
        <f t="array" ref="I208">VLOOKUP(A208,'Standard Deviations'!A1:C672,3,FALSE)</f>
        <v>-0.17366143142901694</v>
      </c>
      <c r="J208" s="167" cm="1">
        <f t="array" ref="J208">I208-VLOOKUP(B$2,H1:J407,2,FALSE)</f>
        <v>-5.4888638059029811</v>
      </c>
    </row>
    <row r="209" spans="1:10" ht="21.25" customHeight="1" x14ac:dyDescent="0.15">
      <c r="A209" s="10" t="s">
        <v>545</v>
      </c>
      <c r="B209" s="165" t="str" cm="1">
        <f t="array" ref="B209">VLOOKUP(A209,'The List'!B1:D671,3,FALSE)</f>
        <v>C</v>
      </c>
      <c r="C209" s="74" cm="1">
        <f t="array" ref="C209">IF(Settings!$E$15="POINTS",RANK(E209,E3:E407),H209)</f>
        <v>267</v>
      </c>
      <c r="D209" s="18" t="str" cm="1">
        <f t="array" ref="D209">VLOOKUP(A209,'The List'!B1:F671,5,FALSE)</f>
        <v>BUF</v>
      </c>
      <c r="E209" s="55" cm="1">
        <f t="array" ref="E209">VLOOKUP(A209,'The List'!B1:I671,8,FALSE)</f>
        <v>-1.3274487032188691</v>
      </c>
      <c r="F209" s="55" cm="1">
        <f t="array" ref="F209">IF(Settings!$E$15="POINTS",E209-VLOOKUP(B$2,C1:E407,3,FALSE),J209)</f>
        <v>-6.6426510776928334</v>
      </c>
      <c r="G209" s="55"/>
      <c r="H209" s="166" cm="1">
        <f t="array" ref="H209">RANK(I209,I3:I407)</f>
        <v>267</v>
      </c>
      <c r="I209" s="167" cm="1">
        <f t="array" ref="I209">VLOOKUP(A209,'Standard Deviations'!A1:C672,3,FALSE)</f>
        <v>-1.3274487032188691</v>
      </c>
      <c r="J209" s="167" cm="1">
        <f t="array" ref="J209">I209-VLOOKUP(B$2,H1:J407,2,FALSE)</f>
        <v>-6.6426510776928334</v>
      </c>
    </row>
    <row r="210" spans="1:10" ht="21.25" customHeight="1" x14ac:dyDescent="0.15">
      <c r="A210" s="10" t="s">
        <v>567</v>
      </c>
      <c r="B210" s="165" t="str" cm="1">
        <f t="array" ref="B210">VLOOKUP(A210,'The List'!B1:D671,3,FALSE)</f>
        <v>LW,RW</v>
      </c>
      <c r="C210" s="74" cm="1">
        <f t="array" ref="C210">IF(Settings!$E$15="POINTS",RANK(E210,E3:E407),H210)</f>
        <v>163</v>
      </c>
      <c r="D210" s="18" t="str" cm="1">
        <f t="array" ref="D210">VLOOKUP(A210,'The List'!B1:F671,5,FALSE)</f>
        <v>NYI</v>
      </c>
      <c r="E210" s="55" cm="1">
        <f t="array" ref="E210">VLOOKUP(A210,'The List'!B1:I671,8,FALSE)</f>
        <v>0.81039487407421129</v>
      </c>
      <c r="F210" s="55" cm="1">
        <f t="array" ref="F210">IF(Settings!$E$15="POINTS",E210-VLOOKUP(B$2,C1:E407,3,FALSE),J210)</f>
        <v>-4.5048075003997532</v>
      </c>
      <c r="G210" s="55"/>
      <c r="H210" s="166" cm="1">
        <f t="array" ref="H210">RANK(I210,I3:I407)</f>
        <v>163</v>
      </c>
      <c r="I210" s="167" cm="1">
        <f t="array" ref="I210">VLOOKUP(A210,'Standard Deviations'!A1:C672,3,FALSE)</f>
        <v>0.81039487407421129</v>
      </c>
      <c r="J210" s="167" cm="1">
        <f t="array" ref="J210">I210-VLOOKUP(B$2,H1:J407,2,FALSE)</f>
        <v>-4.5048075003997532</v>
      </c>
    </row>
    <row r="211" spans="1:10" ht="21.25" customHeight="1" x14ac:dyDescent="0.15">
      <c r="A211" s="10" t="s">
        <v>568</v>
      </c>
      <c r="B211" s="165" t="str" cm="1">
        <f t="array" ref="B211">VLOOKUP(A211,'The List'!B1:D671,3,FALSE)</f>
        <v>RW</v>
      </c>
      <c r="C211" s="74" cm="1">
        <f t="array" ref="C211">IF(Settings!$E$15="POINTS",RANK(E211,E3:E407),H211)</f>
        <v>211</v>
      </c>
      <c r="D211" s="18" t="str" cm="1">
        <f t="array" ref="D211">VLOOKUP(A211,'The List'!B1:F671,5,FALSE)</f>
        <v>NYR</v>
      </c>
      <c r="E211" s="55" cm="1">
        <f t="array" ref="E211">VLOOKUP(A211,'The List'!B1:I671,8,FALSE)</f>
        <v>-0.27300764253380649</v>
      </c>
      <c r="F211" s="55" cm="1">
        <f t="array" ref="F211">IF(Settings!$E$15="POINTS",E211-VLOOKUP(B$2,C1:E407,3,FALSE),J211)</f>
        <v>-5.5882100170077704</v>
      </c>
      <c r="G211" s="55"/>
      <c r="H211" s="166" cm="1">
        <f t="array" ref="H211">RANK(I211,I3:I407)</f>
        <v>211</v>
      </c>
      <c r="I211" s="167" cm="1">
        <f t="array" ref="I211">VLOOKUP(A211,'Standard Deviations'!A1:C672,3,FALSE)</f>
        <v>-0.27300764253380649</v>
      </c>
      <c r="J211" s="167" cm="1">
        <f t="array" ref="J211">I211-VLOOKUP(B$2,H1:J407,2,FALSE)</f>
        <v>-5.5882100170077704</v>
      </c>
    </row>
    <row r="212" spans="1:10" ht="21.25" customHeight="1" x14ac:dyDescent="0.15">
      <c r="A212" s="10" t="s">
        <v>569</v>
      </c>
      <c r="B212" s="165" t="str" cm="1">
        <f t="array" ref="B212">VLOOKUP(A212,'The List'!B1:D671,3,FALSE)</f>
        <v>LW,RW</v>
      </c>
      <c r="C212" s="74" cm="1">
        <f t="array" ref="C212">IF(Settings!$E$15="POINTS",RANK(E212,E3:E407),H212)</f>
        <v>257</v>
      </c>
      <c r="D212" s="18" t="str" cm="1">
        <f t="array" ref="D212">VLOOKUP(A212,'The List'!B1:F671,5,FALSE)</f>
        <v>WPG</v>
      </c>
      <c r="E212" s="55" cm="1">
        <f t="array" ref="E212">VLOOKUP(A212,'The List'!B1:I671,8,FALSE)</f>
        <v>-1.2103164070106915</v>
      </c>
      <c r="F212" s="55" cm="1">
        <f t="array" ref="F212">IF(Settings!$E$15="POINTS",E212-VLOOKUP(B$2,C1:E407,3,FALSE),J212)</f>
        <v>-6.5255187814846556</v>
      </c>
      <c r="G212" s="55"/>
      <c r="H212" s="166" cm="1">
        <f t="array" ref="H212">RANK(I212,I3:I407)</f>
        <v>257</v>
      </c>
      <c r="I212" s="167" cm="1">
        <f t="array" ref="I212">VLOOKUP(A212,'Standard Deviations'!A1:C672,3,FALSE)</f>
        <v>-1.2103164070106915</v>
      </c>
      <c r="J212" s="167" cm="1">
        <f t="array" ref="J212">I212-VLOOKUP(B$2,H1:J407,2,FALSE)</f>
        <v>-6.5255187814846556</v>
      </c>
    </row>
    <row r="213" spans="1:10" ht="21.25" customHeight="1" x14ac:dyDescent="0.15">
      <c r="A213" s="10" t="s">
        <v>579</v>
      </c>
      <c r="B213" s="165" t="str" cm="1">
        <f t="array" ref="B213">VLOOKUP(A213,'The List'!B1:D671,3,FALSE)</f>
        <v>C,LW</v>
      </c>
      <c r="C213" s="74" cm="1">
        <f t="array" ref="C213">IF(Settings!$E$15="POINTS",RANK(E213,E3:E407),H213)</f>
        <v>181</v>
      </c>
      <c r="D213" s="18" t="str" cm="1">
        <f t="array" ref="D213">VLOOKUP(A213,'The List'!B1:F671,5,FALSE)</f>
        <v>DET</v>
      </c>
      <c r="E213" s="55" cm="1">
        <f t="array" ref="E213">VLOOKUP(A213,'The List'!B1:I671,8,FALSE)</f>
        <v>0.18515986298906389</v>
      </c>
      <c r="F213" s="55" cm="1">
        <f t="array" ref="F213">IF(Settings!$E$15="POINTS",E213-VLOOKUP(B$2,C1:E407,3,FALSE),J213)</f>
        <v>-5.1300425114849002</v>
      </c>
      <c r="G213" s="55"/>
      <c r="H213" s="166" cm="1">
        <f t="array" ref="H213">RANK(I213,I3:I407)</f>
        <v>181</v>
      </c>
      <c r="I213" s="167" cm="1">
        <f t="array" ref="I213">VLOOKUP(A213,'Standard Deviations'!A1:C672,3,FALSE)</f>
        <v>0.18515986298906389</v>
      </c>
      <c r="J213" s="167" cm="1">
        <f t="array" ref="J213">I213-VLOOKUP(B$2,H1:J407,2,FALSE)</f>
        <v>-5.1300425114849002</v>
      </c>
    </row>
    <row r="214" spans="1:10" ht="21.25" customHeight="1" x14ac:dyDescent="0.15">
      <c r="A214" s="10" t="s">
        <v>571</v>
      </c>
      <c r="B214" s="165" t="str" cm="1">
        <f t="array" ref="B214">VLOOKUP(A214,'The List'!B1:D671,3,FALSE)</f>
        <v>LW,RW</v>
      </c>
      <c r="C214" s="74" cm="1">
        <f t="array" ref="C214">IF(Settings!$E$15="POINTS",RANK(E214,E3:E407),H214)</f>
        <v>156</v>
      </c>
      <c r="D214" s="18" t="str" cm="1">
        <f t="array" ref="D214">VLOOKUP(A214,'The List'!B1:F671,5,FALSE)</f>
        <v>MTL</v>
      </c>
      <c r="E214" s="55" cm="1">
        <f t="array" ref="E214">VLOOKUP(A214,'The List'!B1:I671,8,FALSE)</f>
        <v>1.1862128219755155</v>
      </c>
      <c r="F214" s="55" cm="1">
        <f t="array" ref="F214">IF(Settings!$E$15="POINTS",E214-VLOOKUP(B$2,C1:E407,3,FALSE),J214)</f>
        <v>-4.1289895524984486</v>
      </c>
      <c r="G214" s="55"/>
      <c r="H214" s="166" cm="1">
        <f t="array" ref="H214">RANK(I214,I3:I407)</f>
        <v>156</v>
      </c>
      <c r="I214" s="167" cm="1">
        <f t="array" ref="I214">VLOOKUP(A214,'Standard Deviations'!A1:C672,3,FALSE)</f>
        <v>1.1862128219755155</v>
      </c>
      <c r="J214" s="167" cm="1">
        <f t="array" ref="J214">I214-VLOOKUP(B$2,H1:J407,2,FALSE)</f>
        <v>-4.1289895524984486</v>
      </c>
    </row>
    <row r="215" spans="1:10" ht="21.25" customHeight="1" x14ac:dyDescent="0.15">
      <c r="A215" s="10" t="s">
        <v>573</v>
      </c>
      <c r="B215" s="165" t="str" cm="1">
        <f t="array" ref="B215">VLOOKUP(A215,'The List'!B1:D671,3,FALSE)</f>
        <v>C,RW</v>
      </c>
      <c r="C215" s="74" cm="1">
        <f t="array" ref="C215">IF(Settings!$E$15="POINTS",RANK(E215,E3:E407),H215)</f>
        <v>239</v>
      </c>
      <c r="D215" s="18" t="str" cm="1">
        <f t="array" ref="D215">VLOOKUP(A215,'The List'!B1:F671,5,FALSE)</f>
        <v>CBJ</v>
      </c>
      <c r="E215" s="55" cm="1">
        <f t="array" ref="E215">VLOOKUP(A215,'The List'!B1:I671,8,FALSE)</f>
        <v>-0.95055809431372806</v>
      </c>
      <c r="F215" s="55" cm="1">
        <f t="array" ref="F215">IF(Settings!$E$15="POINTS",E215-VLOOKUP(B$2,C1:E407,3,FALSE),J215)</f>
        <v>-6.2657604687876924</v>
      </c>
      <c r="G215" s="55"/>
      <c r="H215" s="166" cm="1">
        <f t="array" ref="H215">RANK(I215,I3:I407)</f>
        <v>239</v>
      </c>
      <c r="I215" s="167" cm="1">
        <f t="array" ref="I215">VLOOKUP(A215,'Standard Deviations'!A1:C672,3,FALSE)</f>
        <v>-0.95055809431372806</v>
      </c>
      <c r="J215" s="167" cm="1">
        <f t="array" ref="J215">I215-VLOOKUP(B$2,H1:J407,2,FALSE)</f>
        <v>-6.2657604687876924</v>
      </c>
    </row>
    <row r="216" spans="1:10" ht="21.25" customHeight="1" x14ac:dyDescent="0.15">
      <c r="A216" s="10" t="s">
        <v>575</v>
      </c>
      <c r="B216" s="165" t="str" cm="1">
        <f t="array" ref="B216">VLOOKUP(A216,'The List'!B1:D671,3,FALSE)</f>
        <v>RW</v>
      </c>
      <c r="C216" s="74" cm="1">
        <f t="array" ref="C216">IF(Settings!$E$15="POINTS",RANK(E216,E3:E407),H216)</f>
        <v>209</v>
      </c>
      <c r="D216" s="18" t="str" cm="1">
        <f t="array" ref="D216">VLOOKUP(A216,'The List'!B1:F671,5,FALSE)</f>
        <v>MIN</v>
      </c>
      <c r="E216" s="55" cm="1">
        <f t="array" ref="E216">VLOOKUP(A216,'The List'!B1:I671,8,FALSE)</f>
        <v>-0.22850821603657123</v>
      </c>
      <c r="F216" s="55" cm="1">
        <f t="array" ref="F216">IF(Settings!$E$15="POINTS",E216-VLOOKUP(B$2,C1:E407,3,FALSE),J216)</f>
        <v>-5.5437105905105355</v>
      </c>
      <c r="G216" s="55"/>
      <c r="H216" s="166" cm="1">
        <f t="array" ref="H216">RANK(I216,I3:I407)</f>
        <v>209</v>
      </c>
      <c r="I216" s="167" cm="1">
        <f t="array" ref="I216">VLOOKUP(A216,'Standard Deviations'!A1:C672,3,FALSE)</f>
        <v>-0.22850821603657123</v>
      </c>
      <c r="J216" s="167" cm="1">
        <f t="array" ref="J216">I216-VLOOKUP(B$2,H1:J407,2,FALSE)</f>
        <v>-5.5437105905105355</v>
      </c>
    </row>
    <row r="217" spans="1:10" ht="21.25" customHeight="1" x14ac:dyDescent="0.15">
      <c r="A217" s="10" t="s">
        <v>555</v>
      </c>
      <c r="B217" s="165" t="str" cm="1">
        <f t="array" ref="B217">VLOOKUP(A217,'The List'!B1:D671,3,FALSE)</f>
        <v>C</v>
      </c>
      <c r="C217" s="74" cm="1">
        <f t="array" ref="C217">IF(Settings!$E$15="POINTS",RANK(E217,E3:E407),H217)</f>
        <v>255</v>
      </c>
      <c r="D217" s="18" t="str" cm="1">
        <f t="array" ref="D217">VLOOKUP(A217,'The List'!B1:F671,5,FALSE)</f>
        <v>BUF</v>
      </c>
      <c r="E217" s="55" cm="1">
        <f t="array" ref="E217">VLOOKUP(A217,'The List'!B1:I671,8,FALSE)</f>
        <v>-1.2003558507675713</v>
      </c>
      <c r="F217" s="55" cm="1">
        <f t="array" ref="F217">IF(Settings!$E$15="POINTS",E217-VLOOKUP(B$2,C1:E407,3,FALSE),J217)</f>
        <v>-6.5155582252415352</v>
      </c>
      <c r="G217" s="55"/>
      <c r="H217" s="166" cm="1">
        <f t="array" ref="H217">RANK(I217,I3:I407)</f>
        <v>255</v>
      </c>
      <c r="I217" s="167" cm="1">
        <f t="array" ref="I217">VLOOKUP(A217,'Standard Deviations'!A1:C672,3,FALSE)</f>
        <v>-1.2003558507675713</v>
      </c>
      <c r="J217" s="167" cm="1">
        <f t="array" ref="J217">I217-VLOOKUP(B$2,H1:J407,2,FALSE)</f>
        <v>-6.5155582252415352</v>
      </c>
    </row>
    <row r="218" spans="1:10" ht="21.25" customHeight="1" x14ac:dyDescent="0.15">
      <c r="A218" s="10" t="s">
        <v>578</v>
      </c>
      <c r="B218" s="165" t="str" cm="1">
        <f t="array" ref="B218">VLOOKUP(A218,'The List'!B1:D671,3,FALSE)</f>
        <v>LW,RW</v>
      </c>
      <c r="C218" s="74" cm="1">
        <f t="array" ref="C218">IF(Settings!$E$15="POINTS",RANK(E218,E3:E407),H218)</f>
        <v>108</v>
      </c>
      <c r="D218" s="18" t="str" cm="1">
        <f t="array" ref="D218">VLOOKUP(A218,'The List'!B1:F671,5,FALSE)</f>
        <v>EDM</v>
      </c>
      <c r="E218" s="55" cm="1">
        <f t="array" ref="E218">VLOOKUP(A218,'The List'!B1:I671,8,FALSE)</f>
        <v>3.0892637641088223</v>
      </c>
      <c r="F218" s="55" cm="1">
        <f t="array" ref="F218">IF(Settings!$E$15="POINTS",E218-VLOOKUP(B$2,C1:E407,3,FALSE),J218)</f>
        <v>-2.2259386103651417</v>
      </c>
      <c r="G218" s="55"/>
      <c r="H218" s="166" cm="1">
        <f t="array" ref="H218">RANK(I218,I3:I407)</f>
        <v>108</v>
      </c>
      <c r="I218" s="167" cm="1">
        <f t="array" ref="I218">VLOOKUP(A218,'Standard Deviations'!A1:C672,3,FALSE)</f>
        <v>3.0892637641088223</v>
      </c>
      <c r="J218" s="167" cm="1">
        <f t="array" ref="J218">I218-VLOOKUP(B$2,H1:J407,2,FALSE)</f>
        <v>-2.2259386103651417</v>
      </c>
    </row>
    <row r="219" spans="1:10" ht="21.25" customHeight="1" x14ac:dyDescent="0.15">
      <c r="A219" s="10" t="s">
        <v>591</v>
      </c>
      <c r="B219" s="165" t="str" cm="1">
        <f t="array" ref="B219">VLOOKUP(A219,'The List'!B1:D671,3,FALSE)</f>
        <v>C,LW</v>
      </c>
      <c r="C219" s="74" cm="1">
        <f t="array" ref="C219">IF(Settings!$E$15="POINTS",RANK(E219,E3:E407),H219)</f>
        <v>207</v>
      </c>
      <c r="D219" s="18" t="str" cm="1">
        <f t="array" ref="D219">VLOOKUP(A219,'The List'!B1:F671,5,FALSE)</f>
        <v>L.A</v>
      </c>
      <c r="E219" s="55" cm="1">
        <f t="array" ref="E219">VLOOKUP(A219,'The List'!B1:I671,8,FALSE)</f>
        <v>-0.21289213266009155</v>
      </c>
      <c r="F219" s="55" cm="1">
        <f t="array" ref="F219">IF(Settings!$E$15="POINTS",E219-VLOOKUP(B$2,C1:E407,3,FALSE),J219)</f>
        <v>-5.5280945071340559</v>
      </c>
      <c r="G219" s="55"/>
      <c r="H219" s="166" cm="1">
        <f t="array" ref="H219">RANK(I219,I3:I407)</f>
        <v>207</v>
      </c>
      <c r="I219" s="167" cm="1">
        <f t="array" ref="I219">VLOOKUP(A219,'Standard Deviations'!A1:C672,3,FALSE)</f>
        <v>-0.21289213266009155</v>
      </c>
      <c r="J219" s="167" cm="1">
        <f t="array" ref="J219">I219-VLOOKUP(B$2,H1:J407,2,FALSE)</f>
        <v>-5.5280945071340559</v>
      </c>
    </row>
    <row r="220" spans="1:10" ht="21.25" customHeight="1" x14ac:dyDescent="0.15">
      <c r="A220" s="10" t="s">
        <v>582</v>
      </c>
      <c r="B220" s="165" t="str" cm="1">
        <f t="array" ref="B220">VLOOKUP(A220,'The List'!B1:D671,3,FALSE)</f>
        <v>C,LW,RW</v>
      </c>
      <c r="C220" s="74" cm="1">
        <f t="array" ref="C220">IF(Settings!$E$15="POINTS",RANK(E220,E3:E407),H220)</f>
        <v>154</v>
      </c>
      <c r="D220" s="18" t="str" cm="1">
        <f t="array" ref="D220">VLOOKUP(A220,'The List'!B1:F671,5,FALSE)</f>
        <v>DAL</v>
      </c>
      <c r="E220" s="55" cm="1">
        <f t="array" ref="E220">VLOOKUP(A220,'The List'!B1:I671,8,FALSE)</f>
        <v>1.2688511221708321</v>
      </c>
      <c r="F220" s="55" cm="1">
        <f t="array" ref="F220">IF(Settings!$E$15="POINTS",E220-VLOOKUP(B$2,C1:E407,3,FALSE),J220)</f>
        <v>-4.0463512523031318</v>
      </c>
      <c r="G220" s="55"/>
      <c r="H220" s="166" cm="1">
        <f t="array" ref="H220">RANK(I220,I3:I407)</f>
        <v>154</v>
      </c>
      <c r="I220" s="167" cm="1">
        <f t="array" ref="I220">VLOOKUP(A220,'Standard Deviations'!A1:C672,3,FALSE)</f>
        <v>1.2688511221708321</v>
      </c>
      <c r="J220" s="167" cm="1">
        <f t="array" ref="J220">I220-VLOOKUP(B$2,H1:J407,2,FALSE)</f>
        <v>-4.0463512523031318</v>
      </c>
    </row>
    <row r="221" spans="1:10" ht="21.25" customHeight="1" x14ac:dyDescent="0.15">
      <c r="A221" s="10" t="s">
        <v>559</v>
      </c>
      <c r="B221" s="165" t="str" cm="1">
        <f t="array" ref="B221">VLOOKUP(A221,'The List'!B1:D671,3,FALSE)</f>
        <v>C</v>
      </c>
      <c r="C221" s="74" cm="1">
        <f t="array" ref="C221">IF(Settings!$E$15="POINTS",RANK(E221,E3:E407),H221)</f>
        <v>276</v>
      </c>
      <c r="D221" s="18" t="str" cm="1">
        <f t="array" ref="D221">VLOOKUP(A221,'The List'!B1:F671,5,FALSE)</f>
        <v>MTL</v>
      </c>
      <c r="E221" s="55" cm="1">
        <f t="array" ref="E221">VLOOKUP(A221,'The List'!B1:I671,8,FALSE)</f>
        <v>-1.4998526838265684</v>
      </c>
      <c r="F221" s="55" cm="1">
        <f t="array" ref="F221">IF(Settings!$E$15="POINTS",E221-VLOOKUP(B$2,C1:E407,3,FALSE),J221)</f>
        <v>-6.8150550583005325</v>
      </c>
      <c r="G221" s="55"/>
      <c r="H221" s="166" cm="1">
        <f t="array" ref="H221">RANK(I221,I3:I407)</f>
        <v>276</v>
      </c>
      <c r="I221" s="167" cm="1">
        <f t="array" ref="I221">VLOOKUP(A221,'Standard Deviations'!A1:C672,3,FALSE)</f>
        <v>-1.4998526838265684</v>
      </c>
      <c r="J221" s="167" cm="1">
        <f t="array" ref="J221">I221-VLOOKUP(B$2,H1:J407,2,FALSE)</f>
        <v>-6.8150550583005325</v>
      </c>
    </row>
    <row r="222" spans="1:10" ht="21.25" customHeight="1" x14ac:dyDescent="0.15">
      <c r="A222" s="10" t="s">
        <v>584</v>
      </c>
      <c r="B222" s="165" t="str" cm="1">
        <f t="array" ref="B222">VLOOKUP(A222,'The List'!B1:D671,3,FALSE)</f>
        <v>RW</v>
      </c>
      <c r="C222" s="74" cm="1">
        <f t="array" ref="C222">IF(Settings!$E$15="POINTS",RANK(E222,E3:E407),H222)</f>
        <v>231</v>
      </c>
      <c r="D222" s="18" t="str" cm="1">
        <f t="array" ref="D222">VLOOKUP(A222,'The List'!B1:F671,5,FALSE)</f>
        <v>PIT</v>
      </c>
      <c r="E222" s="55" cm="1">
        <f t="array" ref="E222">VLOOKUP(A222,'The List'!B1:I671,8,FALSE)</f>
        <v>-0.74166969821626472</v>
      </c>
      <c r="F222" s="55" cm="1">
        <f t="array" ref="F222">IF(Settings!$E$15="POINTS",E222-VLOOKUP(B$2,C1:E407,3,FALSE),J222)</f>
        <v>-6.0568720726902292</v>
      </c>
      <c r="G222" s="55"/>
      <c r="H222" s="166" cm="1">
        <f t="array" ref="H222">RANK(I222,I3:I407)</f>
        <v>231</v>
      </c>
      <c r="I222" s="167" cm="1">
        <f t="array" ref="I222">VLOOKUP(A222,'Standard Deviations'!A1:C672,3,FALSE)</f>
        <v>-0.74166969821626472</v>
      </c>
      <c r="J222" s="167" cm="1">
        <f t="array" ref="J222">I222-VLOOKUP(B$2,H1:J407,2,FALSE)</f>
        <v>-6.0568720726902292</v>
      </c>
    </row>
    <row r="223" spans="1:10" ht="21.25" customHeight="1" x14ac:dyDescent="0.15">
      <c r="A223" s="10" t="s">
        <v>585</v>
      </c>
      <c r="B223" s="165" t="str" cm="1">
        <f t="array" ref="B223">VLOOKUP(A223,'The List'!B1:D671,3,FALSE)</f>
        <v>LW,RW</v>
      </c>
      <c r="C223" s="74" cm="1">
        <f t="array" ref="C223">IF(Settings!$E$15="POINTS",RANK(E223,E3:E407),H223)</f>
        <v>397</v>
      </c>
      <c r="D223" s="18" t="str" cm="1">
        <f t="array" ref="D223">VLOOKUP(A223,'The List'!B1:F671,5,FALSE)</f>
        <v>CHI</v>
      </c>
      <c r="E223" s="55" cm="1">
        <f t="array" ref="E223">VLOOKUP(A223,'The List'!B1:I671,8,FALSE)</f>
        <v>-4.7590727663433832</v>
      </c>
      <c r="F223" s="55" cm="1">
        <f t="array" ref="F223">IF(Settings!$E$15="POINTS",E223-VLOOKUP(B$2,C1:E407,3,FALSE),J223)</f>
        <v>-10.074275140817347</v>
      </c>
      <c r="G223" s="55"/>
      <c r="H223" s="166" cm="1">
        <f t="array" ref="H223">RANK(I223,I3:I407)</f>
        <v>397</v>
      </c>
      <c r="I223" s="167" cm="1">
        <f t="array" ref="I223">VLOOKUP(A223,'Standard Deviations'!A1:C672,3,FALSE)</f>
        <v>-4.7590727663433832</v>
      </c>
      <c r="J223" s="167" cm="1">
        <f t="array" ref="J223">I223-VLOOKUP(B$2,H1:J407,2,FALSE)</f>
        <v>-10.074275140817347</v>
      </c>
    </row>
    <row r="224" spans="1:10" ht="21.25" customHeight="1" x14ac:dyDescent="0.15">
      <c r="A224" s="10" t="s">
        <v>563</v>
      </c>
      <c r="B224" s="165" t="str" cm="1">
        <f t="array" ref="B224">VLOOKUP(A224,'The List'!B1:D671,3,FALSE)</f>
        <v>C</v>
      </c>
      <c r="C224" s="74" cm="1">
        <f t="array" ref="C224">IF(Settings!$E$15="POINTS",RANK(E224,E3:E407),H224)</f>
        <v>143</v>
      </c>
      <c r="D224" s="18" t="str" cm="1">
        <f t="array" ref="D224">VLOOKUP(A224,'The List'!B1:F671,5,FALSE)</f>
        <v>CAR</v>
      </c>
      <c r="E224" s="55" cm="1">
        <f t="array" ref="E224">VLOOKUP(A224,'The List'!B1:I671,8,FALSE)</f>
        <v>1.6985267288324548</v>
      </c>
      <c r="F224" s="55" cm="1">
        <f t="array" ref="F224">IF(Settings!$E$15="POINTS",E224-VLOOKUP(B$2,C1:E407,3,FALSE),J224)</f>
        <v>-3.616675645641509</v>
      </c>
      <c r="G224" s="55"/>
      <c r="H224" s="166" cm="1">
        <f t="array" ref="H224">RANK(I224,I3:I407)</f>
        <v>143</v>
      </c>
      <c r="I224" s="167" cm="1">
        <f t="array" ref="I224">VLOOKUP(A224,'Standard Deviations'!A1:C672,3,FALSE)</f>
        <v>1.6985267288324548</v>
      </c>
      <c r="J224" s="167" cm="1">
        <f t="array" ref="J224">I224-VLOOKUP(B$2,H1:J407,2,FALSE)</f>
        <v>-3.616675645641509</v>
      </c>
    </row>
    <row r="225" spans="1:10" ht="21.25" customHeight="1" x14ac:dyDescent="0.15">
      <c r="A225" s="10" t="s">
        <v>587</v>
      </c>
      <c r="B225" s="165" t="str" cm="1">
        <f t="array" ref="B225">VLOOKUP(A225,'The List'!B1:D671,3,FALSE)</f>
        <v>C,RW</v>
      </c>
      <c r="C225" s="74" cm="1">
        <f t="array" ref="C225">IF(Settings!$E$15="POINTS",RANK(E225,E3:E407),H225)</f>
        <v>152</v>
      </c>
      <c r="D225" s="18" t="str" cm="1">
        <f t="array" ref="D225">VLOOKUP(A225,'The List'!B1:F671,5,FALSE)</f>
        <v>NSH</v>
      </c>
      <c r="E225" s="55" cm="1">
        <f t="array" ref="E225">VLOOKUP(A225,'The List'!B1:I671,8,FALSE)</f>
        <v>1.4115741189852895</v>
      </c>
      <c r="F225" s="55" cm="1">
        <f t="array" ref="F225">IF(Settings!$E$15="POINTS",E225-VLOOKUP(B$2,C1:E407,3,FALSE),J225)</f>
        <v>-3.9036282554886745</v>
      </c>
      <c r="G225" s="55"/>
      <c r="H225" s="166" cm="1">
        <f t="array" ref="H225">RANK(I225,I3:I407)</f>
        <v>152</v>
      </c>
      <c r="I225" s="167" cm="1">
        <f t="array" ref="I225">VLOOKUP(A225,'Standard Deviations'!A1:C672,3,FALSE)</f>
        <v>1.4115741189852895</v>
      </c>
      <c r="J225" s="167" cm="1">
        <f t="array" ref="J225">I225-VLOOKUP(B$2,H1:J407,2,FALSE)</f>
        <v>-3.9036282554886745</v>
      </c>
    </row>
    <row r="226" spans="1:10" ht="21.25" customHeight="1" x14ac:dyDescent="0.15">
      <c r="A226" s="10" t="s">
        <v>608</v>
      </c>
      <c r="B226" s="165" t="str" cm="1">
        <f t="array" ref="B226">VLOOKUP(A226,'The List'!B1:D671,3,FALSE)</f>
        <v>LW</v>
      </c>
      <c r="C226" s="74" cm="1">
        <f t="array" ref="C226">IF(Settings!$E$15="POINTS",RANK(E226,E3:E407),H226)</f>
        <v>216</v>
      </c>
      <c r="D226" s="18" t="str" cm="1">
        <f t="array" ref="D226">VLOOKUP(A226,'The List'!B1:F671,5,FALSE)</f>
        <v>WSH</v>
      </c>
      <c r="E226" s="55" cm="1">
        <f t="array" ref="E226">VLOOKUP(A226,'The List'!B1:I671,8,FALSE)</f>
        <v>-0.37580143466266486</v>
      </c>
      <c r="F226" s="55" cm="1">
        <f t="array" ref="F226">IF(Settings!$E$15="POINTS",E226-VLOOKUP(B$2,C1:E407,3,FALSE),J226)</f>
        <v>-5.6910038091366291</v>
      </c>
      <c r="G226" s="55"/>
      <c r="H226" s="166" cm="1">
        <f t="array" ref="H226">RANK(I226,I3:I407)</f>
        <v>216</v>
      </c>
      <c r="I226" s="167" cm="1">
        <f t="array" ref="I226">VLOOKUP(A226,'Standard Deviations'!A1:C672,3,FALSE)</f>
        <v>-0.37580143466266486</v>
      </c>
      <c r="J226" s="167" cm="1">
        <f t="array" ref="J226">I226-VLOOKUP(B$2,H1:J407,2,FALSE)</f>
        <v>-5.6910038091366291</v>
      </c>
    </row>
    <row r="227" spans="1:10" ht="21.25" customHeight="1" x14ac:dyDescent="0.15">
      <c r="A227" s="10" t="s">
        <v>589</v>
      </c>
      <c r="B227" s="165" t="str" cm="1">
        <f t="array" ref="B227">VLOOKUP(A227,'The List'!B1:D671,3,FALSE)</f>
        <v>LW,RW</v>
      </c>
      <c r="C227" s="74" cm="1">
        <f t="array" ref="C227">IF(Settings!$E$15="POINTS",RANK(E227,E3:E407),H227)</f>
        <v>308</v>
      </c>
      <c r="D227" s="18" t="str" cm="1">
        <f t="array" ref="D227">VLOOKUP(A227,'The List'!B1:F671,5,FALSE)</f>
        <v>NYI</v>
      </c>
      <c r="E227" s="55" cm="1">
        <f t="array" ref="E227">VLOOKUP(A227,'The List'!B1:I671,8,FALSE)</f>
        <v>-2.3126938165404245</v>
      </c>
      <c r="F227" s="55" cm="1">
        <f t="array" ref="F227">IF(Settings!$E$15="POINTS",E227-VLOOKUP(B$2,C1:E407,3,FALSE),J227)</f>
        <v>-7.6278961910143881</v>
      </c>
      <c r="G227" s="55"/>
      <c r="H227" s="166" cm="1">
        <f t="array" ref="H227">RANK(I227,I3:I407)</f>
        <v>308</v>
      </c>
      <c r="I227" s="167" cm="1">
        <f t="array" ref="I227">VLOOKUP(A227,'Standard Deviations'!A1:C672,3,FALSE)</f>
        <v>-2.3126938165404245</v>
      </c>
      <c r="J227" s="167" cm="1">
        <f t="array" ref="J227">I227-VLOOKUP(B$2,H1:J407,2,FALSE)</f>
        <v>-7.6278961910143881</v>
      </c>
    </row>
    <row r="228" spans="1:10" ht="21.25" customHeight="1" x14ac:dyDescent="0.15">
      <c r="A228" s="10" t="s">
        <v>593</v>
      </c>
      <c r="B228" s="165" t="str" cm="1">
        <f t="array" ref="B228">VLOOKUP(A228,'The List'!B1:D671,3,FALSE)</f>
        <v>C,RW</v>
      </c>
      <c r="C228" s="74" cm="1">
        <f t="array" ref="C228">IF(Settings!$E$15="POINTS",RANK(E228,E3:E407),H228)</f>
        <v>221</v>
      </c>
      <c r="D228" s="18" t="str" cm="1">
        <f t="array" ref="D228">VLOOKUP(A228,'The List'!B1:F671,5,FALSE)</f>
        <v>DAL</v>
      </c>
      <c r="E228" s="55" cm="1">
        <f t="array" ref="E228">VLOOKUP(A228,'The List'!B1:I671,8,FALSE)</f>
        <v>-0.51212094113553297</v>
      </c>
      <c r="F228" s="55" cm="1">
        <f t="array" ref="F228">IF(Settings!$E$15="POINTS",E228-VLOOKUP(B$2,C1:E407,3,FALSE),J228)</f>
        <v>-5.8273233156094975</v>
      </c>
      <c r="G228" s="55"/>
      <c r="H228" s="166" cm="1">
        <f t="array" ref="H228">RANK(I228,I3:I407)</f>
        <v>221</v>
      </c>
      <c r="I228" s="167" cm="1">
        <f t="array" ref="I228">VLOOKUP(A228,'Standard Deviations'!A1:C672,3,FALSE)</f>
        <v>-0.51212094113553297</v>
      </c>
      <c r="J228" s="167" cm="1">
        <f t="array" ref="J228">I228-VLOOKUP(B$2,H1:J407,2,FALSE)</f>
        <v>-5.8273233156094975</v>
      </c>
    </row>
    <row r="229" spans="1:10" ht="21.25" customHeight="1" x14ac:dyDescent="0.15">
      <c r="A229" s="10" t="s">
        <v>596</v>
      </c>
      <c r="B229" s="165" t="str" cm="1">
        <f t="array" ref="B229">VLOOKUP(A229,'The List'!B1:D671,3,FALSE)</f>
        <v>LW,RW</v>
      </c>
      <c r="C229" s="74" cm="1">
        <f t="array" ref="C229">IF(Settings!$E$15="POINTS",RANK(E229,E3:E407),H229)</f>
        <v>162</v>
      </c>
      <c r="D229" s="18" t="str" cm="1">
        <f t="array" ref="D229">VLOOKUP(A229,'The List'!B1:F671,5,FALSE)</f>
        <v>COL</v>
      </c>
      <c r="E229" s="55" cm="1">
        <f t="array" ref="E229">VLOOKUP(A229,'The List'!B1:I671,8,FALSE)</f>
        <v>0.81570949302161677</v>
      </c>
      <c r="F229" s="55" cm="1">
        <f t="array" ref="F229">IF(Settings!$E$15="POINTS",E229-VLOOKUP(B$2,C1:E407,3,FALSE),J229)</f>
        <v>-4.4994928814523476</v>
      </c>
      <c r="G229" s="55"/>
      <c r="H229" s="166" cm="1">
        <f t="array" ref="H229">RANK(I229,I3:I407)</f>
        <v>162</v>
      </c>
      <c r="I229" s="167" cm="1">
        <f t="array" ref="I229">VLOOKUP(A229,'Standard Deviations'!A1:C672,3,FALSE)</f>
        <v>0.81570949302161677</v>
      </c>
      <c r="J229" s="167" cm="1">
        <f t="array" ref="J229">I229-VLOOKUP(B$2,H1:J407,2,FALSE)</f>
        <v>-4.4994928814523476</v>
      </c>
    </row>
    <row r="230" spans="1:10" ht="21.25" customHeight="1" x14ac:dyDescent="0.15">
      <c r="A230" s="10" t="s">
        <v>612</v>
      </c>
      <c r="B230" s="165" t="str" cm="1">
        <f t="array" ref="B230">VLOOKUP(A230,'The List'!B1:D671,3,FALSE)</f>
        <v>C,LW</v>
      </c>
      <c r="C230" s="74" cm="1">
        <f t="array" ref="C230">IF(Settings!$E$15="POINTS",RANK(E230,E3:E407),H230)</f>
        <v>223</v>
      </c>
      <c r="D230" s="18" t="str" cm="1">
        <f t="array" ref="D230">VLOOKUP(A230,'The List'!B1:F671,5,FALSE)</f>
        <v>WSH</v>
      </c>
      <c r="E230" s="55" cm="1">
        <f t="array" ref="E230">VLOOKUP(A230,'The List'!B1:I671,8,FALSE)</f>
        <v>-0.54334297119588038</v>
      </c>
      <c r="F230" s="55" cm="1">
        <f t="array" ref="F230">IF(Settings!$E$15="POINTS",E230-VLOOKUP(B$2,C1:E407,3,FALSE),J230)</f>
        <v>-5.8585453456698442</v>
      </c>
      <c r="G230" s="55"/>
      <c r="H230" s="166" cm="1">
        <f t="array" ref="H230">RANK(I230,I3:I407)</f>
        <v>223</v>
      </c>
      <c r="I230" s="167" cm="1">
        <f t="array" ref="I230">VLOOKUP(A230,'Standard Deviations'!A1:C672,3,FALSE)</f>
        <v>-0.54334297119588038</v>
      </c>
      <c r="J230" s="167" cm="1">
        <f t="array" ref="J230">I230-VLOOKUP(B$2,H1:J407,2,FALSE)</f>
        <v>-5.8585453456698442</v>
      </c>
    </row>
    <row r="231" spans="1:10" ht="21.25" customHeight="1" x14ac:dyDescent="0.15">
      <c r="A231" s="10" t="s">
        <v>597</v>
      </c>
      <c r="B231" s="165" t="str" cm="1">
        <f t="array" ref="B231">VLOOKUP(A231,'The List'!B1:D671,3,FALSE)</f>
        <v>RW</v>
      </c>
      <c r="C231" s="74" cm="1">
        <f t="array" ref="C231">IF(Settings!$E$15="POINTS",RANK(E231,E3:E407),H231)</f>
        <v>369</v>
      </c>
      <c r="D231" s="18" t="str" cm="1">
        <f t="array" ref="D231">VLOOKUP(A231,'The List'!B1:F671,5,FALSE)</f>
        <v>N.J</v>
      </c>
      <c r="E231" s="55" cm="1">
        <f t="array" ref="E231">VLOOKUP(A231,'The List'!B1:I671,8,FALSE)</f>
        <v>-3.5555764349588568</v>
      </c>
      <c r="F231" s="55" cm="1">
        <f t="array" ref="F231">IF(Settings!$E$15="POINTS",E231-VLOOKUP(B$2,C1:E407,3,FALSE),J231)</f>
        <v>-8.8707788094328208</v>
      </c>
      <c r="G231" s="55"/>
      <c r="H231" s="166" cm="1">
        <f t="array" ref="H231">RANK(I231,I3:I407)</f>
        <v>369</v>
      </c>
      <c r="I231" s="167" cm="1">
        <f t="array" ref="I231">VLOOKUP(A231,'Standard Deviations'!A1:C672,3,FALSE)</f>
        <v>-3.5555764349588568</v>
      </c>
      <c r="J231" s="167" cm="1">
        <f t="array" ref="J231">I231-VLOOKUP(B$2,H1:J407,2,FALSE)</f>
        <v>-8.8707788094328208</v>
      </c>
    </row>
    <row r="232" spans="1:10" ht="21.25" customHeight="1" x14ac:dyDescent="0.15">
      <c r="A232" s="10" t="s">
        <v>574</v>
      </c>
      <c r="B232" s="165" t="str" cm="1">
        <f t="array" ref="B232">VLOOKUP(A232,'The List'!B1:D671,3,FALSE)</f>
        <v>C</v>
      </c>
      <c r="C232" s="74" cm="1">
        <f t="array" ref="C232">IF(Settings!$E$15="POINTS",RANK(E232,E3:E407),H232)</f>
        <v>269</v>
      </c>
      <c r="D232" s="18" t="str" cm="1">
        <f t="array" ref="D232">VLOOKUP(A232,'The List'!B1:F671,5,FALSE)</f>
        <v>VGK</v>
      </c>
      <c r="E232" s="55" cm="1">
        <f t="array" ref="E232">VLOOKUP(A232,'The List'!B1:I671,8,FALSE)</f>
        <v>-1.3439693578780743</v>
      </c>
      <c r="F232" s="55" cm="1">
        <f t="array" ref="F232">IF(Settings!$E$15="POINTS",E232-VLOOKUP(B$2,C1:E407,3,FALSE),J232)</f>
        <v>-6.6591717323520383</v>
      </c>
      <c r="G232" s="55"/>
      <c r="H232" s="166" cm="1">
        <f t="array" ref="H232">RANK(I232,I3:I407)</f>
        <v>269</v>
      </c>
      <c r="I232" s="167" cm="1">
        <f t="array" ref="I232">VLOOKUP(A232,'Standard Deviations'!A1:C672,3,FALSE)</f>
        <v>-1.3439693578780743</v>
      </c>
      <c r="J232" s="167" cm="1">
        <f t="array" ref="J232">I232-VLOOKUP(B$2,H1:J407,2,FALSE)</f>
        <v>-6.6591717323520383</v>
      </c>
    </row>
    <row r="233" spans="1:10" ht="21.25" customHeight="1" x14ac:dyDescent="0.15">
      <c r="A233" s="10" t="s">
        <v>598</v>
      </c>
      <c r="B233" s="165" t="str" cm="1">
        <f t="array" ref="B233">VLOOKUP(A233,'The List'!B1:D671,3,FALSE)</f>
        <v>LW,RW</v>
      </c>
      <c r="C233" s="74" cm="1">
        <f t="array" ref="C233">IF(Settings!$E$15="POINTS",RANK(E233,E3:E407),H233)</f>
        <v>380</v>
      </c>
      <c r="D233" s="18" t="str" cm="1">
        <f t="array" ref="D233">VLOOKUP(A233,'The List'!B1:F671,5,FALSE)</f>
        <v>VAN</v>
      </c>
      <c r="E233" s="55" cm="1">
        <f t="array" ref="E233">VLOOKUP(A233,'The List'!B1:I671,8,FALSE)</f>
        <v>-3.8514497783843922</v>
      </c>
      <c r="F233" s="55" cm="1">
        <f t="array" ref="F233">IF(Settings!$E$15="POINTS",E233-VLOOKUP(B$2,C1:E407,3,FALSE),J233)</f>
        <v>-9.1666521528583562</v>
      </c>
      <c r="G233" s="55"/>
      <c r="H233" s="166" cm="1">
        <f t="array" ref="H233">RANK(I233,I3:I407)</f>
        <v>380</v>
      </c>
      <c r="I233" s="167" cm="1">
        <f t="array" ref="I233">VLOOKUP(A233,'Standard Deviations'!A1:C672,3,FALSE)</f>
        <v>-3.8514497783843922</v>
      </c>
      <c r="J233" s="167" cm="1">
        <f t="array" ref="J233">I233-VLOOKUP(B$2,H1:J407,2,FALSE)</f>
        <v>-9.1666521528583562</v>
      </c>
    </row>
    <row r="234" spans="1:10" ht="21.25" customHeight="1" x14ac:dyDescent="0.15">
      <c r="A234" s="10" t="s">
        <v>600</v>
      </c>
      <c r="B234" s="165" t="str" cm="1">
        <f t="array" ref="B234">VLOOKUP(A234,'The List'!B1:D671,3,FALSE)</f>
        <v>LW,RW</v>
      </c>
      <c r="C234" s="74" cm="1">
        <f t="array" ref="C234">IF(Settings!$E$15="POINTS",RANK(E234,E3:E407),H234)</f>
        <v>285</v>
      </c>
      <c r="D234" s="18" t="str" cm="1">
        <f t="array" ref="D234">VLOOKUP(A234,'The List'!B1:F671,5,FALSE)</f>
        <v>S.J</v>
      </c>
      <c r="E234" s="55" cm="1">
        <f t="array" ref="E234">VLOOKUP(A234,'The List'!B1:I671,8,FALSE)</f>
        <v>-1.6670101965604309</v>
      </c>
      <c r="F234" s="55" cm="1">
        <f t="array" ref="F234">IF(Settings!$E$15="POINTS",E234-VLOOKUP(B$2,C1:E407,3,FALSE),J234)</f>
        <v>-6.9822125710343954</v>
      </c>
      <c r="G234" s="55"/>
      <c r="H234" s="166" cm="1">
        <f t="array" ref="H234">RANK(I234,I3:I407)</f>
        <v>285</v>
      </c>
      <c r="I234" s="167" cm="1">
        <f t="array" ref="I234">VLOOKUP(A234,'Standard Deviations'!A1:C672,3,FALSE)</f>
        <v>-1.6670101965604309</v>
      </c>
      <c r="J234" s="167" cm="1">
        <f t="array" ref="J234">I234-VLOOKUP(B$2,H1:J407,2,FALSE)</f>
        <v>-6.9822125710343954</v>
      </c>
    </row>
    <row r="235" spans="1:10" ht="21.25" customHeight="1" x14ac:dyDescent="0.15">
      <c r="A235" s="10" t="s">
        <v>601</v>
      </c>
      <c r="B235" s="165" t="str" cm="1">
        <f t="array" ref="B235">VLOOKUP(A235,'The List'!B1:D671,3,FALSE)</f>
        <v>LW,RW</v>
      </c>
      <c r="C235" s="74" cm="1">
        <f t="array" ref="C235">IF(Settings!$E$15="POINTS",RANK(E235,E3:E407),H235)</f>
        <v>256</v>
      </c>
      <c r="D235" s="18" t="str" cm="1">
        <f t="array" ref="D235">VLOOKUP(A235,'The List'!B1:F671,5,FALSE)</f>
        <v>ANA</v>
      </c>
      <c r="E235" s="55" cm="1">
        <f t="array" ref="E235">VLOOKUP(A235,'The List'!B1:I671,8,FALSE)</f>
        <v>-1.2081383921809659</v>
      </c>
      <c r="F235" s="55" cm="1">
        <f t="array" ref="F235">IF(Settings!$E$15="POINTS",E235-VLOOKUP(B$2,C1:E407,3,FALSE),J235)</f>
        <v>-6.5233407666549299</v>
      </c>
      <c r="G235" s="55"/>
      <c r="H235" s="166" cm="1">
        <f t="array" ref="H235">RANK(I235,I3:I407)</f>
        <v>256</v>
      </c>
      <c r="I235" s="167" cm="1">
        <f t="array" ref="I235">VLOOKUP(A235,'Standard Deviations'!A1:C672,3,FALSE)</f>
        <v>-1.2081383921809659</v>
      </c>
      <c r="J235" s="167" cm="1">
        <f t="array" ref="J235">I235-VLOOKUP(B$2,H1:J407,2,FALSE)</f>
        <v>-6.5233407666549299</v>
      </c>
    </row>
    <row r="236" spans="1:10" ht="21.25" customHeight="1" x14ac:dyDescent="0.15">
      <c r="A236" s="10" t="s">
        <v>603</v>
      </c>
      <c r="B236" s="165" t="str" cm="1">
        <f t="array" ref="B236">VLOOKUP(A236,'The List'!B1:D671,3,FALSE)</f>
        <v>LW,RW</v>
      </c>
      <c r="C236" s="74" cm="1">
        <f t="array" ref="C236">IF(Settings!$E$15="POINTS",RANK(E236,E3:E407),H236)</f>
        <v>139</v>
      </c>
      <c r="D236" s="18" t="str" cm="1">
        <f t="array" ref="D236">VLOOKUP(A236,'The List'!B1:F671,5,FALSE)</f>
        <v>OTT</v>
      </c>
      <c r="E236" s="55" cm="1">
        <f t="array" ref="E236">VLOOKUP(A236,'The List'!B1:I671,8,FALSE)</f>
        <v>1.8144933703892363</v>
      </c>
      <c r="F236" s="55" cm="1">
        <f t="array" ref="F236">IF(Settings!$E$15="POINTS",E236-VLOOKUP(B$2,C1:E407,3,FALSE),J236)</f>
        <v>-3.5007090040847277</v>
      </c>
      <c r="G236" s="55"/>
      <c r="H236" s="166" cm="1">
        <f t="array" ref="H236">RANK(I236,I3:I407)</f>
        <v>139</v>
      </c>
      <c r="I236" s="167" cm="1">
        <f t="array" ref="I236">VLOOKUP(A236,'Standard Deviations'!A1:C672,3,FALSE)</f>
        <v>1.8144933703892363</v>
      </c>
      <c r="J236" s="167" cm="1">
        <f t="array" ref="J236">I236-VLOOKUP(B$2,H1:J407,2,FALSE)</f>
        <v>-3.5007090040847277</v>
      </c>
    </row>
    <row r="237" spans="1:10" ht="21.25" customHeight="1" x14ac:dyDescent="0.15">
      <c r="A237" s="10" t="s">
        <v>606</v>
      </c>
      <c r="B237" s="165" t="str" cm="1">
        <f t="array" ref="B237">VLOOKUP(A237,'The List'!B1:D671,3,FALSE)</f>
        <v>C,LW,RW</v>
      </c>
      <c r="C237" s="74" cm="1">
        <f t="array" ref="C237">IF(Settings!$E$15="POINTS",RANK(E237,E3:E407),H237)</f>
        <v>331</v>
      </c>
      <c r="D237" s="18" t="str" cm="1">
        <f t="array" ref="D237">VLOOKUP(A237,'The List'!B1:F671,5,FALSE)</f>
        <v>CGY</v>
      </c>
      <c r="E237" s="55" cm="1">
        <f t="array" ref="E237">VLOOKUP(A237,'The List'!B1:I671,8,FALSE)</f>
        <v>-2.8241249987362189</v>
      </c>
      <c r="F237" s="55" cm="1">
        <f t="array" ref="F237">IF(Settings!$E$15="POINTS",E237-VLOOKUP(B$2,C1:E407,3,FALSE),J237)</f>
        <v>-8.1393273732101825</v>
      </c>
      <c r="G237" s="55"/>
      <c r="H237" s="166" cm="1">
        <f t="array" ref="H237">RANK(I237,I3:I407)</f>
        <v>331</v>
      </c>
      <c r="I237" s="167" cm="1">
        <f t="array" ref="I237">VLOOKUP(A237,'Standard Deviations'!A1:C672,3,FALSE)</f>
        <v>-2.8241249987362189</v>
      </c>
      <c r="J237" s="167" cm="1">
        <f t="array" ref="J237">I237-VLOOKUP(B$2,H1:J407,2,FALSE)</f>
        <v>-8.1393273732101825</v>
      </c>
    </row>
    <row r="238" spans="1:10" ht="21.25" customHeight="1" x14ac:dyDescent="0.15">
      <c r="A238" s="10" t="s">
        <v>609</v>
      </c>
      <c r="B238" s="165" t="str" cm="1">
        <f t="array" ref="B238">VLOOKUP(A238,'The List'!B1:D671,3,FALSE)</f>
        <v>LW,RW</v>
      </c>
      <c r="C238" s="74" cm="1">
        <f t="array" ref="C238">IF(Settings!$E$15="POINTS",RANK(E238,E3:E407),H238)</f>
        <v>232</v>
      </c>
      <c r="D238" s="18" t="str" cm="1">
        <f t="array" ref="D238">VLOOKUP(A238,'The List'!B1:F671,5,FALSE)</f>
        <v>CBJ</v>
      </c>
      <c r="E238" s="55" cm="1">
        <f t="array" ref="E238">VLOOKUP(A238,'The List'!B1:I671,8,FALSE)</f>
        <v>-0.74485413039234549</v>
      </c>
      <c r="F238" s="55" cm="1">
        <f t="array" ref="F238">IF(Settings!$E$15="POINTS",E238-VLOOKUP(B$2,C1:E407,3,FALSE),J238)</f>
        <v>-6.06005650486631</v>
      </c>
      <c r="G238" s="55"/>
      <c r="H238" s="166" cm="1">
        <f t="array" ref="H238">RANK(I238,I3:I407)</f>
        <v>232</v>
      </c>
      <c r="I238" s="167" cm="1">
        <f t="array" ref="I238">VLOOKUP(A238,'Standard Deviations'!A1:C672,3,FALSE)</f>
        <v>-0.74485413039234549</v>
      </c>
      <c r="J238" s="167" cm="1">
        <f t="array" ref="J238">I238-VLOOKUP(B$2,H1:J407,2,FALSE)</f>
        <v>-6.06005650486631</v>
      </c>
    </row>
    <row r="239" spans="1:10" ht="21.25" customHeight="1" x14ac:dyDescent="0.15">
      <c r="A239" s="10" t="s">
        <v>580</v>
      </c>
      <c r="B239" s="165" t="str" cm="1">
        <f t="array" ref="B239">VLOOKUP(A239,'The List'!B1:D671,3,FALSE)</f>
        <v>C</v>
      </c>
      <c r="C239" s="74" cm="1">
        <f t="array" ref="C239">IF(Settings!$E$15="POINTS",RANK(E239,E3:E407),H239)</f>
        <v>264</v>
      </c>
      <c r="D239" s="18" t="str" cm="1">
        <f t="array" ref="D239">VLOOKUP(A239,'The List'!B1:F671,5,FALSE)</f>
        <v>UTA</v>
      </c>
      <c r="E239" s="55" cm="1">
        <f t="array" ref="E239">VLOOKUP(A239,'The List'!B1:I671,8,FALSE)</f>
        <v>-1.2561332086468293</v>
      </c>
      <c r="F239" s="55" cm="1">
        <f t="array" ref="F239">IF(Settings!$E$15="POINTS",E239-VLOOKUP(B$2,C1:E407,3,FALSE),J239)</f>
        <v>-6.5713355831207938</v>
      </c>
      <c r="G239" s="55"/>
      <c r="H239" s="166" cm="1">
        <f t="array" ref="H239">RANK(I239,I3:I407)</f>
        <v>264</v>
      </c>
      <c r="I239" s="167" cm="1">
        <f t="array" ref="I239">VLOOKUP(A239,'Standard Deviations'!A1:C672,3,FALSE)</f>
        <v>-1.2561332086468293</v>
      </c>
      <c r="J239" s="167" cm="1">
        <f t="array" ref="J239">I239-VLOOKUP(B$2,H1:J407,2,FALSE)</f>
        <v>-6.5713355831207938</v>
      </c>
    </row>
    <row r="240" spans="1:10" ht="21.25" customHeight="1" x14ac:dyDescent="0.15">
      <c r="A240" s="10" t="s">
        <v>588</v>
      </c>
      <c r="B240" s="165" t="str" cm="1">
        <f t="array" ref="B240">VLOOKUP(A240,'The List'!B1:D671,3,FALSE)</f>
        <v>C</v>
      </c>
      <c r="C240" s="74" cm="1">
        <f t="array" ref="C240">IF(Settings!$E$15="POINTS",RANK(E240,E3:E407),H240)</f>
        <v>229</v>
      </c>
      <c r="D240" s="18" t="str" cm="1">
        <f t="array" ref="D240">VLOOKUP(A240,'The List'!B1:F671,5,FALSE)</f>
        <v>BUF</v>
      </c>
      <c r="E240" s="55" cm="1">
        <f t="array" ref="E240">VLOOKUP(A240,'The List'!B1:I671,8,FALSE)</f>
        <v>-0.70735233844897383</v>
      </c>
      <c r="F240" s="55" cm="1">
        <f t="array" ref="F240">IF(Settings!$E$15="POINTS",E240-VLOOKUP(B$2,C1:E407,3,FALSE),J240)</f>
        <v>-6.022554712922938</v>
      </c>
      <c r="G240" s="55"/>
      <c r="H240" s="166" cm="1">
        <f t="array" ref="H240">RANK(I240,I3:I407)</f>
        <v>229</v>
      </c>
      <c r="I240" s="167" cm="1">
        <f t="array" ref="I240">VLOOKUP(A240,'Standard Deviations'!A1:C672,3,FALSE)</f>
        <v>-0.70735233844897383</v>
      </c>
      <c r="J240" s="167" cm="1">
        <f t="array" ref="J240">I240-VLOOKUP(B$2,H1:J407,2,FALSE)</f>
        <v>-6.022554712922938</v>
      </c>
    </row>
    <row r="241" spans="1:10" ht="21.25" customHeight="1" x14ac:dyDescent="0.15">
      <c r="A241" s="10" t="s">
        <v>616</v>
      </c>
      <c r="B241" s="165" t="str" cm="1">
        <f t="array" ref="B241">VLOOKUP(A241,'The List'!B1:D671,3,FALSE)</f>
        <v>C,LW,RW</v>
      </c>
      <c r="C241" s="74" cm="1">
        <f t="array" ref="C241">IF(Settings!$E$15="POINTS",RANK(E241,E3:E407),H241)</f>
        <v>227</v>
      </c>
      <c r="D241" s="18" t="str" cm="1">
        <f t="array" ref="D241">VLOOKUP(A241,'The List'!B1:F671,5,FALSE)</f>
        <v>N.J</v>
      </c>
      <c r="E241" s="55" cm="1">
        <f t="array" ref="E241">VLOOKUP(A241,'The List'!B1:I671,8,FALSE)</f>
        <v>-0.64661283149079551</v>
      </c>
      <c r="F241" s="55" cm="1">
        <f t="array" ref="F241">IF(Settings!$E$15="POINTS",E241-VLOOKUP(B$2,C1:E407,3,FALSE),J241)</f>
        <v>-5.9618152059647596</v>
      </c>
      <c r="G241" s="55"/>
      <c r="H241" s="166" cm="1">
        <f t="array" ref="H241">RANK(I241,I3:I407)</f>
        <v>227</v>
      </c>
      <c r="I241" s="167" cm="1">
        <f t="array" ref="I241">VLOOKUP(A241,'Standard Deviations'!A1:C672,3,FALSE)</f>
        <v>-0.64661283149079551</v>
      </c>
      <c r="J241" s="167" cm="1">
        <f t="array" ref="J241">I241-VLOOKUP(B$2,H1:J407,2,FALSE)</f>
        <v>-5.9618152059647596</v>
      </c>
    </row>
    <row r="242" spans="1:10" ht="21.25" customHeight="1" x14ac:dyDescent="0.15">
      <c r="A242" s="10" t="s">
        <v>617</v>
      </c>
      <c r="B242" s="165" t="str" cm="1">
        <f t="array" ref="B242">VLOOKUP(A242,'The List'!B1:D671,3,FALSE)</f>
        <v>C,RW</v>
      </c>
      <c r="C242" s="74" cm="1">
        <f t="array" ref="C242">IF(Settings!$E$15="POINTS",RANK(E242,E3:E407),H242)</f>
        <v>395</v>
      </c>
      <c r="D242" s="18" t="str" cm="1">
        <f t="array" ref="D242">VLOOKUP(A242,'The List'!B1:F671,5,FALSE)</f>
        <v>CHI</v>
      </c>
      <c r="E242" s="55" cm="1">
        <f t="array" ref="E242">VLOOKUP(A242,'The List'!B1:I671,8,FALSE)</f>
        <v>-4.5172099715601881</v>
      </c>
      <c r="F242" s="55" cm="1">
        <f t="array" ref="F242">IF(Settings!$E$15="POINTS",E242-VLOOKUP(B$2,C1:E407,3,FALSE),J242)</f>
        <v>-9.8324123460341522</v>
      </c>
      <c r="G242" s="55"/>
      <c r="H242" s="166" cm="1">
        <f t="array" ref="H242">RANK(I242,I3:I407)</f>
        <v>395</v>
      </c>
      <c r="I242" s="167" cm="1">
        <f t="array" ref="I242">VLOOKUP(A242,'Standard Deviations'!A1:C672,3,FALSE)</f>
        <v>-4.5172099715601881</v>
      </c>
      <c r="J242" s="167" cm="1">
        <f t="array" ref="J242">I242-VLOOKUP(B$2,H1:J407,2,FALSE)</f>
        <v>-9.8324123460341522</v>
      </c>
    </row>
    <row r="243" spans="1:10" ht="21.25" customHeight="1" x14ac:dyDescent="0.15">
      <c r="A243" s="10" t="s">
        <v>618</v>
      </c>
      <c r="B243" s="165" t="str" cm="1">
        <f t="array" ref="B243">VLOOKUP(A243,'The List'!B1:D671,3,FALSE)</f>
        <v>RW</v>
      </c>
      <c r="C243" s="74" cm="1">
        <f t="array" ref="C243">IF(Settings!$E$15="POINTS",RANK(E243,E3:E407),H243)</f>
        <v>310</v>
      </c>
      <c r="D243" s="18" t="str" cm="1">
        <f t="array" ref="D243">VLOOKUP(A243,'The List'!B1:F671,5,FALSE)</f>
        <v>VAN</v>
      </c>
      <c r="E243" s="55" cm="1">
        <f t="array" ref="E243">VLOOKUP(A243,'The List'!B1:I671,8,FALSE)</f>
        <v>-2.3291493433084089</v>
      </c>
      <c r="F243" s="55" cm="1">
        <f t="array" ref="F243">IF(Settings!$E$15="POINTS",E243-VLOOKUP(B$2,C1:E407,3,FALSE),J243)</f>
        <v>-7.6443517177823725</v>
      </c>
      <c r="G243" s="55"/>
      <c r="H243" s="166" cm="1">
        <f t="array" ref="H243">RANK(I243,I3:I407)</f>
        <v>310</v>
      </c>
      <c r="I243" s="167" cm="1">
        <f t="array" ref="I243">VLOOKUP(A243,'Standard Deviations'!A1:C672,3,FALSE)</f>
        <v>-2.3291493433084089</v>
      </c>
      <c r="J243" s="167" cm="1">
        <f t="array" ref="J243">I243-VLOOKUP(B$2,H1:J407,2,FALSE)</f>
        <v>-7.6443517177823725</v>
      </c>
    </row>
    <row r="244" spans="1:10" ht="21.25" customHeight="1" x14ac:dyDescent="0.15">
      <c r="A244" s="10" t="s">
        <v>594</v>
      </c>
      <c r="B244" s="165" t="str" cm="1">
        <f t="array" ref="B244">VLOOKUP(A244,'The List'!B1:D671,3,FALSE)</f>
        <v>C</v>
      </c>
      <c r="C244" s="74" cm="1">
        <f t="array" ref="C244">IF(Settings!$E$15="POINTS",RANK(E244,E3:E407),H244)</f>
        <v>212</v>
      </c>
      <c r="D244" s="18" t="str" cm="1">
        <f t="array" ref="D244">VLOOKUP(A244,'The List'!B1:F671,5,FALSE)</f>
        <v>BOS</v>
      </c>
      <c r="E244" s="55" cm="1">
        <f t="array" ref="E244">VLOOKUP(A244,'The List'!B1:I671,8,FALSE)</f>
        <v>-0.30238789209029215</v>
      </c>
      <c r="F244" s="55" cm="1">
        <f t="array" ref="F244">IF(Settings!$E$15="POINTS",E244-VLOOKUP(B$2,C1:E407,3,FALSE),J244)</f>
        <v>-5.6175902665642559</v>
      </c>
      <c r="G244" s="55"/>
      <c r="H244" s="166" cm="1">
        <f t="array" ref="H244">RANK(I244,I3:I407)</f>
        <v>212</v>
      </c>
      <c r="I244" s="167" cm="1">
        <f t="array" ref="I244">VLOOKUP(A244,'Standard Deviations'!A1:C672,3,FALSE)</f>
        <v>-0.30238789209029215</v>
      </c>
      <c r="J244" s="167" cm="1">
        <f t="array" ref="J244">I244-VLOOKUP(B$2,H1:J407,2,FALSE)</f>
        <v>-5.6175902665642559</v>
      </c>
    </row>
    <row r="245" spans="1:10" ht="21.25" customHeight="1" x14ac:dyDescent="0.15">
      <c r="A245" s="10" t="s">
        <v>595</v>
      </c>
      <c r="B245" s="165" t="str" cm="1">
        <f t="array" ref="B245">VLOOKUP(A245,'The List'!B1:D671,3,FALSE)</f>
        <v>C</v>
      </c>
      <c r="C245" s="74" cm="1">
        <f t="array" ref="C245">IF(Settings!$E$15="POINTS",RANK(E245,E3:E407),H245)</f>
        <v>300</v>
      </c>
      <c r="D245" s="18" t="str" cm="1">
        <f t="array" ref="D245">VLOOKUP(A245,'The List'!B1:F671,5,FALSE)</f>
        <v>NYI</v>
      </c>
      <c r="E245" s="55" cm="1">
        <f t="array" ref="E245">VLOOKUP(A245,'The List'!B1:I671,8,FALSE)</f>
        <v>-1.9049223704493481</v>
      </c>
      <c r="F245" s="55" cm="1">
        <f t="array" ref="F245">IF(Settings!$E$15="POINTS",E245-VLOOKUP(B$2,C1:E407,3,FALSE),J245)</f>
        <v>-7.2201247449233126</v>
      </c>
      <c r="G245" s="55"/>
      <c r="H245" s="166" cm="1">
        <f t="array" ref="H245">RANK(I245,I3:I407)</f>
        <v>300</v>
      </c>
      <c r="I245" s="167" cm="1">
        <f t="array" ref="I245">VLOOKUP(A245,'Standard Deviations'!A1:C672,3,FALSE)</f>
        <v>-1.9049223704493481</v>
      </c>
      <c r="J245" s="167" cm="1">
        <f t="array" ref="J245">I245-VLOOKUP(B$2,H1:J407,2,FALSE)</f>
        <v>-7.2201247449233126</v>
      </c>
    </row>
    <row r="246" spans="1:10" ht="21.25" customHeight="1" x14ac:dyDescent="0.15">
      <c r="A246" s="10" t="s">
        <v>602</v>
      </c>
      <c r="B246" s="165" t="str" cm="1">
        <f t="array" ref="B246">VLOOKUP(A246,'The List'!B1:D671,3,FALSE)</f>
        <v>C</v>
      </c>
      <c r="C246" s="74" cm="1">
        <f t="array" ref="C246">IF(Settings!$E$15="POINTS",RANK(E246,E3:E407),H246)</f>
        <v>337</v>
      </c>
      <c r="D246" s="18" t="str" cm="1">
        <f t="array" ref="D246">VLOOKUP(A246,'The List'!B1:F671,5,FALSE)</f>
        <v>NSH</v>
      </c>
      <c r="E246" s="55" cm="1">
        <f t="array" ref="E246">VLOOKUP(A246,'The List'!B1:I671,8,FALSE)</f>
        <v>-2.9684082375585952</v>
      </c>
      <c r="F246" s="55" cm="1">
        <f t="array" ref="F246">IF(Settings!$E$15="POINTS",E246-VLOOKUP(B$2,C1:E407,3,FALSE),J246)</f>
        <v>-8.2836106120325592</v>
      </c>
      <c r="G246" s="55"/>
      <c r="H246" s="166" cm="1">
        <f t="array" ref="H246">RANK(I246,I3:I407)</f>
        <v>337</v>
      </c>
      <c r="I246" s="167" cm="1">
        <f t="array" ref="I246">VLOOKUP(A246,'Standard Deviations'!A1:C672,3,FALSE)</f>
        <v>-2.9684082375585952</v>
      </c>
      <c r="J246" s="167" cm="1">
        <f t="array" ref="J246">I246-VLOOKUP(B$2,H1:J407,2,FALSE)</f>
        <v>-8.2836106120325592</v>
      </c>
    </row>
    <row r="247" spans="1:10" ht="21.25" customHeight="1" x14ac:dyDescent="0.15">
      <c r="A247" s="10" t="s">
        <v>626</v>
      </c>
      <c r="B247" s="165" t="str" cm="1">
        <f t="array" ref="B247">VLOOKUP(A247,'The List'!B1:D671,3,FALSE)</f>
        <v>C,LW</v>
      </c>
      <c r="C247" s="74" cm="1">
        <f t="array" ref="C247">IF(Settings!$E$15="POINTS",RANK(E247,E3:E407),H247)</f>
        <v>182</v>
      </c>
      <c r="D247" s="18" t="str" cm="1">
        <f t="array" ref="D247">VLOOKUP(A247,'The List'!B1:F671,5,FALSE)</f>
        <v>VGK</v>
      </c>
      <c r="E247" s="55" cm="1">
        <f t="array" ref="E247">VLOOKUP(A247,'The List'!B1:I671,8,FALSE)</f>
        <v>0.15479596181749355</v>
      </c>
      <c r="F247" s="55" cm="1">
        <f t="array" ref="F247">IF(Settings!$E$15="POINTS",E247-VLOOKUP(B$2,C1:E407,3,FALSE),J247)</f>
        <v>-5.1604064126564708</v>
      </c>
      <c r="G247" s="55"/>
      <c r="H247" s="166" cm="1">
        <f t="array" ref="H247">RANK(I247,I3:I407)</f>
        <v>182</v>
      </c>
      <c r="I247" s="167" cm="1">
        <f t="array" ref="I247">VLOOKUP(A247,'Standard Deviations'!A1:C672,3,FALSE)</f>
        <v>0.15479596181749355</v>
      </c>
      <c r="J247" s="167" cm="1">
        <f t="array" ref="J247">I247-VLOOKUP(B$2,H1:J407,2,FALSE)</f>
        <v>-5.1604064126564708</v>
      </c>
    </row>
    <row r="248" spans="1:10" ht="21.25" customHeight="1" x14ac:dyDescent="0.15">
      <c r="A248" s="10" t="s">
        <v>621</v>
      </c>
      <c r="B248" s="165" t="str" cm="1">
        <f t="array" ref="B248">VLOOKUP(A248,'The List'!B1:D671,3,FALSE)</f>
        <v>LW,RW</v>
      </c>
      <c r="C248" s="74" cm="1">
        <f t="array" ref="C248">IF(Settings!$E$15="POINTS",RANK(E248,E3:E407),H248)</f>
        <v>246</v>
      </c>
      <c r="D248" s="18" t="str" cm="1">
        <f t="array" ref="D248">VLOOKUP(A248,'The List'!B1:F671,5,FALSE)</f>
        <v>OTT</v>
      </c>
      <c r="E248" s="55" cm="1">
        <f t="array" ref="E248">VLOOKUP(A248,'The List'!B1:I671,8,FALSE)</f>
        <v>-1.0519437435226986</v>
      </c>
      <c r="F248" s="55" cm="1">
        <f t="array" ref="F248">IF(Settings!$E$15="POINTS",E248-VLOOKUP(B$2,C1:E407,3,FALSE),J248)</f>
        <v>-6.3671461179966631</v>
      </c>
      <c r="G248" s="55"/>
      <c r="H248" s="166" cm="1">
        <f t="array" ref="H248">RANK(I248,I3:I407)</f>
        <v>246</v>
      </c>
      <c r="I248" s="167" cm="1">
        <f t="array" ref="I248">VLOOKUP(A248,'Standard Deviations'!A1:C672,3,FALSE)</f>
        <v>-1.0519437435226986</v>
      </c>
      <c r="J248" s="167" cm="1">
        <f t="array" ref="J248">I248-VLOOKUP(B$2,H1:J407,2,FALSE)</f>
        <v>-6.3671461179966631</v>
      </c>
    </row>
    <row r="249" spans="1:10" ht="21.25" customHeight="1" x14ac:dyDescent="0.15">
      <c r="A249" s="10" t="s">
        <v>622</v>
      </c>
      <c r="B249" s="165" t="str" cm="1">
        <f t="array" ref="B249">VLOOKUP(A249,'The List'!B1:D671,3,FALSE)</f>
        <v>C,LW,RW</v>
      </c>
      <c r="C249" s="74" cm="1">
        <f t="array" ref="C249">IF(Settings!$E$15="POINTS",RANK(E249,E3:E407),H249)</f>
        <v>304</v>
      </c>
      <c r="D249" s="18" t="str" cm="1">
        <f t="array" ref="D249">VLOOKUP(A249,'The List'!B1:F671,5,FALSE)</f>
        <v>CHI</v>
      </c>
      <c r="E249" s="55" cm="1">
        <f t="array" ref="E249">VLOOKUP(A249,'The List'!B1:I671,8,FALSE)</f>
        <v>-2.1597569642769132</v>
      </c>
      <c r="F249" s="55" cm="1">
        <f t="array" ref="F249">IF(Settings!$E$15="POINTS",E249-VLOOKUP(B$2,C1:E407,3,FALSE),J249)</f>
        <v>-7.4749593387508773</v>
      </c>
      <c r="G249" s="55"/>
      <c r="H249" s="166" cm="1">
        <f t="array" ref="H249">RANK(I249,I3:I407)</f>
        <v>304</v>
      </c>
      <c r="I249" s="167" cm="1">
        <f t="array" ref="I249">VLOOKUP(A249,'Standard Deviations'!A1:C672,3,FALSE)</f>
        <v>-2.1597569642769132</v>
      </c>
      <c r="J249" s="167" cm="1">
        <f t="array" ref="J249">I249-VLOOKUP(B$2,H1:J407,2,FALSE)</f>
        <v>-7.4749593387508773</v>
      </c>
    </row>
    <row r="250" spans="1:10" ht="21.25" customHeight="1" x14ac:dyDescent="0.15">
      <c r="A250" s="10" t="s">
        <v>613</v>
      </c>
      <c r="B250" s="165" t="str" cm="1">
        <f t="array" ref="B250">VLOOKUP(A250,'The List'!B1:D671,3,FALSE)</f>
        <v>C</v>
      </c>
      <c r="C250" s="74" cm="1">
        <f t="array" ref="C250">IF(Settings!$E$15="POINTS",RANK(E250,E3:E407),H250)</f>
        <v>273</v>
      </c>
      <c r="D250" s="18" t="str" cm="1">
        <f t="array" ref="D250">VLOOKUP(A250,'The List'!B1:F671,5,FALSE)</f>
        <v>PHI</v>
      </c>
      <c r="E250" s="55" cm="1">
        <f t="array" ref="E250">VLOOKUP(A250,'The List'!B1:I671,8,FALSE)</f>
        <v>-1.4341270122017449</v>
      </c>
      <c r="F250" s="55" cm="1">
        <f t="array" ref="F250">IF(Settings!$E$15="POINTS",E250-VLOOKUP(B$2,C1:E407,3,FALSE),J250)</f>
        <v>-6.7493293866757087</v>
      </c>
      <c r="G250" s="55"/>
      <c r="H250" s="166" cm="1">
        <f t="array" ref="H250">RANK(I250,I3:I407)</f>
        <v>273</v>
      </c>
      <c r="I250" s="167" cm="1">
        <f t="array" ref="I250">VLOOKUP(A250,'Standard Deviations'!A1:C672,3,FALSE)</f>
        <v>-1.4341270122017449</v>
      </c>
      <c r="J250" s="167" cm="1">
        <f t="array" ref="J250">I250-VLOOKUP(B$2,H1:J407,2,FALSE)</f>
        <v>-6.7493293866757087</v>
      </c>
    </row>
    <row r="251" spans="1:10" ht="21.25" customHeight="1" x14ac:dyDescent="0.15">
      <c r="A251" s="10" t="s">
        <v>636</v>
      </c>
      <c r="B251" s="165" t="str" cm="1">
        <f t="array" ref="B251">VLOOKUP(A251,'The List'!B1:D671,3,FALSE)</f>
        <v>LW</v>
      </c>
      <c r="C251" s="74" cm="1">
        <f t="array" ref="C251">IF(Settings!$E$15="POINTS",RANK(E251,E3:E407),H251)</f>
        <v>204</v>
      </c>
      <c r="D251" s="18" t="str" cm="1">
        <f t="array" ref="D251">VLOOKUP(A251,'The List'!B1:F671,5,FALSE)</f>
        <v>FLA</v>
      </c>
      <c r="E251" s="55" cm="1">
        <f t="array" ref="E251">VLOOKUP(A251,'The List'!B1:I671,8,FALSE)</f>
        <v>-0.14960350416542734</v>
      </c>
      <c r="F251" s="55" cm="1">
        <f t="array" ref="F251">IF(Settings!$E$15="POINTS",E251-VLOOKUP(B$2,C1:E407,3,FALSE),J251)</f>
        <v>-5.4648058786393916</v>
      </c>
      <c r="G251" s="55"/>
      <c r="H251" s="166" cm="1">
        <f t="array" ref="H251">RANK(I251,I3:I407)</f>
        <v>204</v>
      </c>
      <c r="I251" s="167" cm="1">
        <f t="array" ref="I251">VLOOKUP(A251,'Standard Deviations'!A1:C672,3,FALSE)</f>
        <v>-0.14960350416542734</v>
      </c>
      <c r="J251" s="167" cm="1">
        <f t="array" ref="J251">I251-VLOOKUP(B$2,H1:J407,2,FALSE)</f>
        <v>-5.4648058786393916</v>
      </c>
    </row>
    <row r="252" spans="1:10" ht="21.25" customHeight="1" x14ac:dyDescent="0.15">
      <c r="A252" s="10" t="s">
        <v>637</v>
      </c>
      <c r="B252" s="165" t="str" cm="1">
        <f t="array" ref="B252">VLOOKUP(A252,'The List'!B1:D671,3,FALSE)</f>
        <v>C,LW</v>
      </c>
      <c r="C252" s="74" cm="1">
        <f t="array" ref="C252">IF(Settings!$E$15="POINTS",RANK(E252,E3:E407),H252)</f>
        <v>312</v>
      </c>
      <c r="D252" s="18" t="str" cm="1">
        <f t="array" ref="D252">VLOOKUP(A252,'The List'!B1:F671,5,FALSE)</f>
        <v>STL</v>
      </c>
      <c r="E252" s="55" cm="1">
        <f t="array" ref="E252">VLOOKUP(A252,'The List'!B1:I671,8,FALSE)</f>
        <v>-2.3395357587363774</v>
      </c>
      <c r="F252" s="55" cm="1">
        <f t="array" ref="F252">IF(Settings!$E$15="POINTS",E252-VLOOKUP(B$2,C1:E407,3,FALSE),J252)</f>
        <v>-7.6547381332103415</v>
      </c>
      <c r="G252" s="55"/>
      <c r="H252" s="166" cm="1">
        <f t="array" ref="H252">RANK(I252,I3:I407)</f>
        <v>312</v>
      </c>
      <c r="I252" s="167" cm="1">
        <f t="array" ref="I252">VLOOKUP(A252,'Standard Deviations'!A1:C672,3,FALSE)</f>
        <v>-2.3395357587363774</v>
      </c>
      <c r="J252" s="167" cm="1">
        <f t="array" ref="J252">I252-VLOOKUP(B$2,H1:J407,2,FALSE)</f>
        <v>-7.6547381332103415</v>
      </c>
    </row>
    <row r="253" spans="1:10" ht="21.25" customHeight="1" x14ac:dyDescent="0.15">
      <c r="A253" s="10" t="s">
        <v>627</v>
      </c>
      <c r="B253" s="165" t="str" cm="1">
        <f t="array" ref="B253">VLOOKUP(A253,'The List'!B1:D671,3,FALSE)</f>
        <v>LW,RW</v>
      </c>
      <c r="C253" s="74" cm="1">
        <f t="array" ref="C253">IF(Settings!$E$15="POINTS",RANK(E253,E3:E407),H253)</f>
        <v>241</v>
      </c>
      <c r="D253" s="18" t="str" cm="1">
        <f t="array" ref="D253">VLOOKUP(A253,'The List'!B1:F671,5,FALSE)</f>
        <v>OTT</v>
      </c>
      <c r="E253" s="55" cm="1">
        <f t="array" ref="E253">VLOOKUP(A253,'The List'!B1:I671,8,FALSE)</f>
        <v>-0.99025770759389942</v>
      </c>
      <c r="F253" s="55" cm="1">
        <f t="array" ref="F253">IF(Settings!$E$15="POINTS",E253-VLOOKUP(B$2,C1:E407,3,FALSE),J253)</f>
        <v>-6.3054600820678637</v>
      </c>
      <c r="G253" s="55"/>
      <c r="H253" s="166" cm="1">
        <f t="array" ref="H253">RANK(I253,I3:I407)</f>
        <v>241</v>
      </c>
      <c r="I253" s="167" cm="1">
        <f t="array" ref="I253">VLOOKUP(A253,'Standard Deviations'!A1:C672,3,FALSE)</f>
        <v>-0.99025770759389942</v>
      </c>
      <c r="J253" s="167" cm="1">
        <f t="array" ref="J253">I253-VLOOKUP(B$2,H1:J407,2,FALSE)</f>
        <v>-6.3054600820678637</v>
      </c>
    </row>
    <row r="254" spans="1:10" ht="21.25" customHeight="1" x14ac:dyDescent="0.15">
      <c r="A254" s="10" t="s">
        <v>640</v>
      </c>
      <c r="B254" s="165" t="str" cm="1">
        <f t="array" ref="B254">VLOOKUP(A254,'The List'!B1:D671,3,FALSE)</f>
        <v>C,LW</v>
      </c>
      <c r="C254" s="74" cm="1">
        <f t="array" ref="C254">IF(Settings!$E$15="POINTS",RANK(E254,E3:E407),H254)</f>
        <v>258</v>
      </c>
      <c r="D254" s="18" t="str" cm="1">
        <f t="array" ref="D254">VLOOKUP(A254,'The List'!B1:F671,5,FALSE)</f>
        <v>MTL</v>
      </c>
      <c r="E254" s="55" cm="1">
        <f t="array" ref="E254">VLOOKUP(A254,'The List'!B1:I671,8,FALSE)</f>
        <v>-1.2106531449017033</v>
      </c>
      <c r="F254" s="55" cm="1">
        <f t="array" ref="F254">IF(Settings!$E$15="POINTS",E254-VLOOKUP(B$2,C1:E407,3,FALSE),J254)</f>
        <v>-6.5258555193756678</v>
      </c>
      <c r="G254" s="55"/>
      <c r="H254" s="166" cm="1">
        <f t="array" ref="H254">RANK(I254,I3:I407)</f>
        <v>258</v>
      </c>
      <c r="I254" s="167" cm="1">
        <f t="array" ref="I254">VLOOKUP(A254,'Standard Deviations'!A1:C672,3,FALSE)</f>
        <v>-1.2106531449017033</v>
      </c>
      <c r="J254" s="167" cm="1">
        <f t="array" ref="J254">I254-VLOOKUP(B$2,H1:J407,2,FALSE)</f>
        <v>-6.5258555193756678</v>
      </c>
    </row>
    <row r="255" spans="1:10" ht="21.25" customHeight="1" x14ac:dyDescent="0.15">
      <c r="A255" s="10" t="s">
        <v>641</v>
      </c>
      <c r="B255" s="165" t="str" cm="1">
        <f t="array" ref="B255">VLOOKUP(A255,'The List'!B1:D671,3,FALSE)</f>
        <v>C,LW</v>
      </c>
      <c r="C255" s="74" cm="1">
        <f t="array" ref="C255">IF(Settings!$E$15="POINTS",RANK(E255,E3:E407),H255)</f>
        <v>235</v>
      </c>
      <c r="D255" s="18" t="str" cm="1">
        <f t="array" ref="D255">VLOOKUP(A255,'The List'!B1:F671,5,FALSE)</f>
        <v>COL</v>
      </c>
      <c r="E255" s="55" cm="1">
        <f t="array" ref="E255">VLOOKUP(A255,'The List'!B1:I671,8,FALSE)</f>
        <v>-0.8061975162650401</v>
      </c>
      <c r="F255" s="55" cm="1">
        <f t="array" ref="F255">IF(Settings!$E$15="POINTS",E255-VLOOKUP(B$2,C1:E407,3,FALSE),J255)</f>
        <v>-6.1213998907390046</v>
      </c>
      <c r="G255" s="55"/>
      <c r="H255" s="166" cm="1">
        <f t="array" ref="H255">RANK(I255,I3:I407)</f>
        <v>235</v>
      </c>
      <c r="I255" s="167" cm="1">
        <f t="array" ref="I255">VLOOKUP(A255,'Standard Deviations'!A1:C672,3,FALSE)</f>
        <v>-0.8061975162650401</v>
      </c>
      <c r="J255" s="167" cm="1">
        <f t="array" ref="J255">I255-VLOOKUP(B$2,H1:J407,2,FALSE)</f>
        <v>-6.1213998907390046</v>
      </c>
    </row>
    <row r="256" spans="1:10" ht="21.25" customHeight="1" x14ac:dyDescent="0.15">
      <c r="A256" s="10" t="s">
        <v>644</v>
      </c>
      <c r="B256" s="165" t="str" cm="1">
        <f t="array" ref="B256">VLOOKUP(A256,'The List'!B1:D671,3,FALSE)</f>
        <v>C,LW</v>
      </c>
      <c r="C256" s="74" cm="1">
        <f t="array" ref="C256">IF(Settings!$E$15="POINTS",RANK(E256,E3:E407),H256)</f>
        <v>261</v>
      </c>
      <c r="D256" s="18" t="str" cm="1">
        <f t="array" ref="D256">VLOOKUP(A256,'The List'!B1:F671,5,FALSE)</f>
        <v>TOR</v>
      </c>
      <c r="E256" s="55" cm="1">
        <f t="array" ref="E256">VLOOKUP(A256,'The List'!B1:I671,8,FALSE)</f>
        <v>-1.2401911603977114</v>
      </c>
      <c r="F256" s="55" cm="1">
        <f t="array" ref="F256">IF(Settings!$E$15="POINTS",E256-VLOOKUP(B$2,C1:E407,3,FALSE),J256)</f>
        <v>-6.5553935348716754</v>
      </c>
      <c r="G256" s="55"/>
      <c r="H256" s="166" cm="1">
        <f t="array" ref="H256">RANK(I256,I3:I407)</f>
        <v>261</v>
      </c>
      <c r="I256" s="167" cm="1">
        <f t="array" ref="I256">VLOOKUP(A256,'Standard Deviations'!A1:C672,3,FALSE)</f>
        <v>-1.2401911603977114</v>
      </c>
      <c r="J256" s="167" cm="1">
        <f t="array" ref="J256">I256-VLOOKUP(B$2,H1:J407,2,FALSE)</f>
        <v>-6.5553935348716754</v>
      </c>
    </row>
    <row r="257" spans="1:10" ht="21.25" customHeight="1" x14ac:dyDescent="0.15">
      <c r="A257" s="10" t="s">
        <v>634</v>
      </c>
      <c r="B257" s="165" t="str" cm="1">
        <f t="array" ref="B257">VLOOKUP(A257,'The List'!B1:D671,3,FALSE)</f>
        <v>LW,RW</v>
      </c>
      <c r="C257" s="74" cm="1">
        <f t="array" ref="C257">IF(Settings!$E$15="POINTS",RANK(E257,E3:E407),H257)</f>
        <v>198</v>
      </c>
      <c r="D257" s="18" t="str" cm="1">
        <f t="array" ref="D257">VLOOKUP(A257,'The List'!B1:F671,5,FALSE)</f>
        <v>CAR</v>
      </c>
      <c r="E257" s="55" cm="1">
        <f t="array" ref="E257">VLOOKUP(A257,'The List'!B1:I671,8,FALSE)</f>
        <v>-5.7966698950750795E-2</v>
      </c>
      <c r="F257" s="55" cm="1">
        <f t="array" ref="F257">IF(Settings!$E$15="POINTS",E257-VLOOKUP(B$2,C1:E407,3,FALSE),J257)</f>
        <v>-5.3731690734247151</v>
      </c>
      <c r="G257" s="55"/>
      <c r="H257" s="166" cm="1">
        <f t="array" ref="H257">RANK(I257,I3:I407)</f>
        <v>198</v>
      </c>
      <c r="I257" s="167" cm="1">
        <f t="array" ref="I257">VLOOKUP(A257,'Standard Deviations'!A1:C672,3,FALSE)</f>
        <v>-5.7966698950750795E-2</v>
      </c>
      <c r="J257" s="167" cm="1">
        <f t="array" ref="J257">I257-VLOOKUP(B$2,H1:J407,2,FALSE)</f>
        <v>-5.3731690734247151</v>
      </c>
    </row>
    <row r="258" spans="1:10" ht="21.25" customHeight="1" x14ac:dyDescent="0.15">
      <c r="A258" s="10" t="s">
        <v>642</v>
      </c>
      <c r="B258" s="165" t="str" cm="1">
        <f t="array" ref="B258">VLOOKUP(A258,'The List'!B1:D671,3,FALSE)</f>
        <v>C,RW</v>
      </c>
      <c r="C258" s="74" cm="1">
        <f t="array" ref="C258">IF(Settings!$E$15="POINTS",RANK(E258,E3:E407),H258)</f>
        <v>253</v>
      </c>
      <c r="D258" s="18" t="str" cm="1">
        <f t="array" ref="D258">VLOOKUP(A258,'The List'!B1:F671,5,FALSE)</f>
        <v>MIN</v>
      </c>
      <c r="E258" s="55" cm="1">
        <f t="array" ref="E258">VLOOKUP(A258,'The List'!B1:I671,8,FALSE)</f>
        <v>-1.1810132525968216</v>
      </c>
      <c r="F258" s="55" cm="1">
        <f t="array" ref="F258">IF(Settings!$E$15="POINTS",E258-VLOOKUP(B$2,C1:E407,3,FALSE),J258)</f>
        <v>-6.4962156270707858</v>
      </c>
      <c r="G258" s="55"/>
      <c r="H258" s="166" cm="1">
        <f t="array" ref="H258">RANK(I258,I3:I407)</f>
        <v>253</v>
      </c>
      <c r="I258" s="167" cm="1">
        <f t="array" ref="I258">VLOOKUP(A258,'Standard Deviations'!A1:C672,3,FALSE)</f>
        <v>-1.1810132525968216</v>
      </c>
      <c r="J258" s="167" cm="1">
        <f t="array" ref="J258">I258-VLOOKUP(B$2,H1:J407,2,FALSE)</f>
        <v>-6.4962156270707858</v>
      </c>
    </row>
    <row r="259" spans="1:10" ht="21.25" customHeight="1" x14ac:dyDescent="0.15">
      <c r="A259" s="10" t="s">
        <v>643</v>
      </c>
      <c r="B259" s="165" t="str" cm="1">
        <f t="array" ref="B259">VLOOKUP(A259,'The List'!B1:D671,3,FALSE)</f>
        <v>RW</v>
      </c>
      <c r="C259" s="74" cm="1">
        <f t="array" ref="C259">IF(Settings!$E$15="POINTS",RANK(E259,E3:E407),H259)</f>
        <v>133</v>
      </c>
      <c r="D259" s="18" t="str" cm="1">
        <f t="array" ref="D259">VLOOKUP(A259,'The List'!B1:F671,5,FALSE)</f>
        <v>CBJ</v>
      </c>
      <c r="E259" s="55" cm="1">
        <f t="array" ref="E259">VLOOKUP(A259,'The List'!B1:I671,8,FALSE)</f>
        <v>1.9590169311411303</v>
      </c>
      <c r="F259" s="55" cm="1">
        <f t="array" ref="F259">IF(Settings!$E$15="POINTS",E259-VLOOKUP(B$2,C1:E407,3,FALSE),J259)</f>
        <v>-3.3561854433328335</v>
      </c>
      <c r="G259" s="55"/>
      <c r="H259" s="166" cm="1">
        <f t="array" ref="H259">RANK(I259,I3:I407)</f>
        <v>133</v>
      </c>
      <c r="I259" s="167" cm="1">
        <f t="array" ref="I259">VLOOKUP(A259,'Standard Deviations'!A1:C672,3,FALSE)</f>
        <v>1.9590169311411303</v>
      </c>
      <c r="J259" s="167" cm="1">
        <f t="array" ref="J259">I259-VLOOKUP(B$2,H1:J407,2,FALSE)</f>
        <v>-3.3561854433328335</v>
      </c>
    </row>
    <row r="260" spans="1:10" ht="21.25" customHeight="1" x14ac:dyDescent="0.15">
      <c r="A260" s="10" t="s">
        <v>646</v>
      </c>
      <c r="B260" s="165" t="str" cm="1">
        <f t="array" ref="B260">VLOOKUP(A260,'The List'!B1:D671,3,FALSE)</f>
        <v>C,LW</v>
      </c>
      <c r="C260" s="74" cm="1">
        <f t="array" ref="C260">IF(Settings!$E$15="POINTS",RANK(E260,E3:E407),H260)</f>
        <v>158</v>
      </c>
      <c r="D260" s="18" t="str" cm="1">
        <f t="array" ref="D260">VLOOKUP(A260,'The List'!B1:F671,5,FALSE)</f>
        <v>COL</v>
      </c>
      <c r="E260" s="55" cm="1">
        <f t="array" ref="E260">VLOOKUP(A260,'The List'!B1:I671,8,FALSE)</f>
        <v>1.1407932374886602</v>
      </c>
      <c r="F260" s="55" cm="1">
        <f t="array" ref="F260">IF(Settings!$E$15="POINTS",E260-VLOOKUP(B$2,C1:E407,3,FALSE),J260)</f>
        <v>-4.1744091369853038</v>
      </c>
      <c r="G260" s="55"/>
      <c r="H260" s="166" cm="1">
        <f t="array" ref="H260">RANK(I260,I3:I407)</f>
        <v>158</v>
      </c>
      <c r="I260" s="167" cm="1">
        <f t="array" ref="I260">VLOOKUP(A260,'Standard Deviations'!A1:C672,3,FALSE)</f>
        <v>1.1407932374886602</v>
      </c>
      <c r="J260" s="167" cm="1">
        <f t="array" ref="J260">I260-VLOOKUP(B$2,H1:J407,2,FALSE)</f>
        <v>-4.1744091369853038</v>
      </c>
    </row>
    <row r="261" spans="1:10" ht="21.25" customHeight="1" x14ac:dyDescent="0.15">
      <c r="A261" s="10" t="s">
        <v>647</v>
      </c>
      <c r="B261" s="165" t="str" cm="1">
        <f t="array" ref="B261">VLOOKUP(A261,'The List'!B1:D671,3,FALSE)</f>
        <v>C,LW</v>
      </c>
      <c r="C261" s="74" cm="1">
        <f t="array" ref="C261">IF(Settings!$E$15="POINTS",RANK(E261,E3:E407),H261)</f>
        <v>390</v>
      </c>
      <c r="D261" s="18" t="str" cm="1">
        <f t="array" ref="D261">VLOOKUP(A261,'The List'!B1:F671,5,FALSE)</f>
        <v>SEA</v>
      </c>
      <c r="E261" s="55" cm="1">
        <f t="array" ref="E261">VLOOKUP(A261,'The List'!B1:I671,8,FALSE)</f>
        <v>-4.228311474752303</v>
      </c>
      <c r="F261" s="55" cm="1">
        <f t="array" ref="F261">IF(Settings!$E$15="POINTS",E261-VLOOKUP(B$2,C1:E407,3,FALSE),J261)</f>
        <v>-9.543513849226267</v>
      </c>
      <c r="G261" s="55"/>
      <c r="H261" s="166" cm="1">
        <f t="array" ref="H261">RANK(I261,I3:I407)</f>
        <v>390</v>
      </c>
      <c r="I261" s="167" cm="1">
        <f t="array" ref="I261">VLOOKUP(A261,'Standard Deviations'!A1:C672,3,FALSE)</f>
        <v>-4.228311474752303</v>
      </c>
      <c r="J261" s="167" cm="1">
        <f t="array" ref="J261">I261-VLOOKUP(B$2,H1:J407,2,FALSE)</f>
        <v>-9.543513849226267</v>
      </c>
    </row>
    <row r="262" spans="1:10" ht="21.25" customHeight="1" x14ac:dyDescent="0.15">
      <c r="A262" s="10" t="s">
        <v>624</v>
      </c>
      <c r="B262" s="165" t="str" cm="1">
        <f t="array" ref="B262">VLOOKUP(A262,'The List'!B1:D671,3,FALSE)</f>
        <v>C</v>
      </c>
      <c r="C262" s="74" cm="1">
        <f t="array" ref="C262">IF(Settings!$E$15="POINTS",RANK(E262,E3:E407),H262)</f>
        <v>295</v>
      </c>
      <c r="D262" s="18" t="str" cm="1">
        <f t="array" ref="D262">VLOOKUP(A262,'The List'!B1:F671,5,FALSE)</f>
        <v>STL</v>
      </c>
      <c r="E262" s="55" cm="1">
        <f t="array" ref="E262">VLOOKUP(A262,'The List'!B1:I671,8,FALSE)</f>
        <v>-1.8232029198549249</v>
      </c>
      <c r="F262" s="55" cm="1">
        <f t="array" ref="F262">IF(Settings!$E$15="POINTS",E262-VLOOKUP(B$2,C1:E407,3,FALSE),J262)</f>
        <v>-7.1384052943288889</v>
      </c>
      <c r="G262" s="55"/>
      <c r="H262" s="166" cm="1">
        <f t="array" ref="H262">RANK(I262,I3:I407)</f>
        <v>295</v>
      </c>
      <c r="I262" s="167" cm="1">
        <f t="array" ref="I262">VLOOKUP(A262,'Standard Deviations'!A1:C672,3,FALSE)</f>
        <v>-1.8232029198549249</v>
      </c>
      <c r="J262" s="167" cm="1">
        <f t="array" ref="J262">I262-VLOOKUP(B$2,H1:J407,2,FALSE)</f>
        <v>-7.1384052943288889</v>
      </c>
    </row>
    <row r="263" spans="1:10" ht="21.25" customHeight="1" x14ac:dyDescent="0.15">
      <c r="A263" s="10" t="s">
        <v>625</v>
      </c>
      <c r="B263" s="165" t="str" cm="1">
        <f t="array" ref="B263">VLOOKUP(A263,'The List'!B1:D671,3,FALSE)</f>
        <v>C</v>
      </c>
      <c r="C263" s="74" cm="1">
        <f t="array" ref="C263">IF(Settings!$E$15="POINTS",RANK(E263,E3:E407),H263)</f>
        <v>360</v>
      </c>
      <c r="D263" s="18" t="str" cm="1">
        <f t="array" ref="D263">VLOOKUP(A263,'The List'!B1:F671,5,FALSE)</f>
        <v>VAN</v>
      </c>
      <c r="E263" s="55" cm="1">
        <f t="array" ref="E263">VLOOKUP(A263,'The List'!B1:I671,8,FALSE)</f>
        <v>-3.4729374871748071</v>
      </c>
      <c r="F263" s="55" cm="1">
        <f t="array" ref="F263">IF(Settings!$E$15="POINTS",E263-VLOOKUP(B$2,C1:E407,3,FALSE),J263)</f>
        <v>-8.7881398616487711</v>
      </c>
      <c r="G263" s="55"/>
      <c r="H263" s="166" cm="1">
        <f t="array" ref="H263">RANK(I263,I3:I407)</f>
        <v>360</v>
      </c>
      <c r="I263" s="167" cm="1">
        <f t="array" ref="I263">VLOOKUP(A263,'Standard Deviations'!A1:C672,3,FALSE)</f>
        <v>-3.4729374871748071</v>
      </c>
      <c r="J263" s="167" cm="1">
        <f t="array" ref="J263">I263-VLOOKUP(B$2,H1:J407,2,FALSE)</f>
        <v>-8.7881398616487711</v>
      </c>
    </row>
    <row r="264" spans="1:10" ht="21.25" customHeight="1" x14ac:dyDescent="0.15">
      <c r="A264" s="10" t="s">
        <v>628</v>
      </c>
      <c r="B264" s="165" t="str" cm="1">
        <f t="array" ref="B264">VLOOKUP(A264,'The List'!B1:D671,3,FALSE)</f>
        <v>C</v>
      </c>
      <c r="C264" s="74" cm="1">
        <f t="array" ref="C264">IF(Settings!$E$15="POINTS",RANK(E264,E3:E407),H264)</f>
        <v>297</v>
      </c>
      <c r="D264" s="18" t="str" cm="1">
        <f t="array" ref="D264">VLOOKUP(A264,'The List'!B1:F671,5,FALSE)</f>
        <v>MTL</v>
      </c>
      <c r="E264" s="55" cm="1">
        <f t="array" ref="E264">VLOOKUP(A264,'The List'!B1:I671,8,FALSE)</f>
        <v>-1.8918054087525389</v>
      </c>
      <c r="F264" s="55" cm="1">
        <f t="array" ref="F264">IF(Settings!$E$15="POINTS",E264-VLOOKUP(B$2,C1:E407,3,FALSE),J264)</f>
        <v>-7.2070077832265032</v>
      </c>
      <c r="G264" s="55"/>
      <c r="H264" s="166" cm="1">
        <f t="array" ref="H264">RANK(I264,I3:I407)</f>
        <v>297</v>
      </c>
      <c r="I264" s="167" cm="1">
        <f t="array" ref="I264">VLOOKUP(A264,'Standard Deviations'!A1:C672,3,FALSE)</f>
        <v>-1.8918054087525389</v>
      </c>
      <c r="J264" s="167" cm="1">
        <f t="array" ref="J264">I264-VLOOKUP(B$2,H1:J407,2,FALSE)</f>
        <v>-7.2070077832265032</v>
      </c>
    </row>
    <row r="265" spans="1:10" ht="21.25" customHeight="1" x14ac:dyDescent="0.15">
      <c r="A265" s="10" t="s">
        <v>645</v>
      </c>
      <c r="B265" s="165" t="str" cm="1">
        <f t="array" ref="B265">VLOOKUP(A265,'The List'!B1:D671,3,FALSE)</f>
        <v>LW,RW</v>
      </c>
      <c r="C265" s="74" cm="1">
        <f t="array" ref="C265">IF(Settings!$E$15="POINTS",RANK(E265,E3:E407),H265)</f>
        <v>265</v>
      </c>
      <c r="D265" s="18" t="str" cm="1">
        <f t="array" ref="D265">VLOOKUP(A265,'The List'!B1:F671,5,FALSE)</f>
        <v>VGK</v>
      </c>
      <c r="E265" s="55" cm="1">
        <f t="array" ref="E265">VLOOKUP(A265,'The List'!B1:I671,8,FALSE)</f>
        <v>-1.2575447680183016</v>
      </c>
      <c r="F265" s="55" cm="1">
        <f t="array" ref="F265">IF(Settings!$E$15="POINTS",E265-VLOOKUP(B$2,C1:E407,3,FALSE),J265)</f>
        <v>-6.5727471424922657</v>
      </c>
      <c r="G265" s="55"/>
      <c r="H265" s="166" cm="1">
        <f t="array" ref="H265">RANK(I265,I3:I407)</f>
        <v>265</v>
      </c>
      <c r="I265" s="167" cm="1">
        <f t="array" ref="I265">VLOOKUP(A265,'Standard Deviations'!A1:C672,3,FALSE)</f>
        <v>-1.2575447680183016</v>
      </c>
      <c r="J265" s="167" cm="1">
        <f t="array" ref="J265">I265-VLOOKUP(B$2,H1:J407,2,FALSE)</f>
        <v>-6.5727471424922657</v>
      </c>
    </row>
    <row r="266" spans="1:10" ht="21.25" customHeight="1" x14ac:dyDescent="0.15">
      <c r="A266" s="10" t="s">
        <v>631</v>
      </c>
      <c r="B266" s="165" t="str" cm="1">
        <f t="array" ref="B266">VLOOKUP(A266,'The List'!B1:D671,3,FALSE)</f>
        <v>C</v>
      </c>
      <c r="C266" s="74" cm="1">
        <f t="array" ref="C266">IF(Settings!$E$15="POINTS",RANK(E266,E3:E407),H266)</f>
        <v>275</v>
      </c>
      <c r="D266" s="18" t="str" cm="1">
        <f t="array" ref="D266">VLOOKUP(A266,'The List'!B1:F671,5,FALSE)</f>
        <v>NYR</v>
      </c>
      <c r="E266" s="55" cm="1">
        <f t="array" ref="E266">VLOOKUP(A266,'The List'!B1:I671,8,FALSE)</f>
        <v>-1.4682289157211754</v>
      </c>
      <c r="F266" s="55" cm="1">
        <f t="array" ref="F266">IF(Settings!$E$15="POINTS",E266-VLOOKUP(B$2,C1:E407,3,FALSE),J266)</f>
        <v>-6.7834312901951392</v>
      </c>
      <c r="G266" s="55"/>
      <c r="H266" s="166" cm="1">
        <f t="array" ref="H266">RANK(I266,I3:I407)</f>
        <v>275</v>
      </c>
      <c r="I266" s="167" cm="1">
        <f t="array" ref="I266">VLOOKUP(A266,'Standard Deviations'!A1:C672,3,FALSE)</f>
        <v>-1.4682289157211754</v>
      </c>
      <c r="J266" s="167" cm="1">
        <f t="array" ref="J266">I266-VLOOKUP(B$2,H1:J407,2,FALSE)</f>
        <v>-6.7834312901951392</v>
      </c>
    </row>
    <row r="267" spans="1:10" ht="21.25" customHeight="1" x14ac:dyDescent="0.15">
      <c r="A267" s="10" t="s">
        <v>633</v>
      </c>
      <c r="B267" s="165" t="str" cm="1">
        <f t="array" ref="B267">VLOOKUP(A267,'The List'!B1:D671,3,FALSE)</f>
        <v>C</v>
      </c>
      <c r="C267" s="74" cm="1">
        <f t="array" ref="C267">IF(Settings!$E$15="POINTS",RANK(E267,E3:E407),H267)</f>
        <v>219</v>
      </c>
      <c r="D267" s="18" t="str" cm="1">
        <f t="array" ref="D267">VLOOKUP(A267,'The List'!B1:F671,5,FALSE)</f>
        <v>T.B</v>
      </c>
      <c r="E267" s="55" cm="1">
        <f t="array" ref="E267">VLOOKUP(A267,'The List'!B1:I671,8,FALSE)</f>
        <v>-0.42427317063778447</v>
      </c>
      <c r="F267" s="55" cm="1">
        <f t="array" ref="F267">IF(Settings!$E$15="POINTS",E267-VLOOKUP(B$2,C1:E407,3,FALSE),J267)</f>
        <v>-5.7394755451117483</v>
      </c>
      <c r="G267" s="55"/>
      <c r="H267" s="166" cm="1">
        <f t="array" ref="H267">RANK(I267,I3:I407)</f>
        <v>219</v>
      </c>
      <c r="I267" s="167" cm="1">
        <f t="array" ref="I267">VLOOKUP(A267,'Standard Deviations'!A1:C672,3,FALSE)</f>
        <v>-0.42427317063778447</v>
      </c>
      <c r="J267" s="167" cm="1">
        <f t="array" ref="J267">I267-VLOOKUP(B$2,H1:J407,2,FALSE)</f>
        <v>-5.7394755451117483</v>
      </c>
    </row>
    <row r="268" spans="1:10" ht="21.25" customHeight="1" x14ac:dyDescent="0.15">
      <c r="A268" s="10" t="s">
        <v>657</v>
      </c>
      <c r="B268" s="165" t="str" cm="1">
        <f t="array" ref="B268">VLOOKUP(A268,'The List'!B1:D671,3,FALSE)</f>
        <v>C,LW</v>
      </c>
      <c r="C268" s="74" cm="1">
        <f t="array" ref="C268">IF(Settings!$E$15="POINTS",RANK(E268,E3:E407),H268)</f>
        <v>260</v>
      </c>
      <c r="D268" s="18" t="str" cm="1">
        <f t="array" ref="D268">VLOOKUP(A268,'The List'!B1:F671,5,FALSE)</f>
        <v>L.A</v>
      </c>
      <c r="E268" s="55" cm="1">
        <f t="array" ref="E268">VLOOKUP(A268,'The List'!B1:I671,8,FALSE)</f>
        <v>-1.2296359703829536</v>
      </c>
      <c r="F268" s="55" cm="1">
        <f t="array" ref="F268">IF(Settings!$E$15="POINTS",E268-VLOOKUP(B$2,C1:E407,3,FALSE),J268)</f>
        <v>-6.5448383448569176</v>
      </c>
      <c r="G268" s="55"/>
      <c r="H268" s="166" cm="1">
        <f t="array" ref="H268">RANK(I268,I3:I407)</f>
        <v>260</v>
      </c>
      <c r="I268" s="167" cm="1">
        <f t="array" ref="I268">VLOOKUP(A268,'Standard Deviations'!A1:C672,3,FALSE)</f>
        <v>-1.2296359703829536</v>
      </c>
      <c r="J268" s="167" cm="1">
        <f t="array" ref="J268">I268-VLOOKUP(B$2,H1:J407,2,FALSE)</f>
        <v>-6.5448383448569176</v>
      </c>
    </row>
    <row r="269" spans="1:10" ht="21.25" customHeight="1" x14ac:dyDescent="0.15">
      <c r="A269" s="10" t="s">
        <v>638</v>
      </c>
      <c r="B269" s="165" t="str" cm="1">
        <f t="array" ref="B269">VLOOKUP(A269,'The List'!B1:D671,3,FALSE)</f>
        <v>C</v>
      </c>
      <c r="C269" s="74" cm="1">
        <f t="array" ref="C269">IF(Settings!$E$15="POINTS",RANK(E269,E3:E407),H269)</f>
        <v>230</v>
      </c>
      <c r="D269" s="18" t="str" cm="1">
        <f t="array" ref="D269">VLOOKUP(A269,'The List'!B1:F671,5,FALSE)</f>
        <v>WPG</v>
      </c>
      <c r="E269" s="55" cm="1">
        <f t="array" ref="E269">VLOOKUP(A269,'The List'!B1:I671,8,FALSE)</f>
        <v>-0.73200420888704998</v>
      </c>
      <c r="F269" s="55" cm="1">
        <f t="array" ref="F269">IF(Settings!$E$15="POINTS",E269-VLOOKUP(B$2,C1:E407,3,FALSE),J269)</f>
        <v>-6.0472065833610138</v>
      </c>
      <c r="G269" s="55"/>
      <c r="H269" s="166" cm="1">
        <f t="array" ref="H269">RANK(I269,I3:I407)</f>
        <v>230</v>
      </c>
      <c r="I269" s="167" cm="1">
        <f t="array" ref="I269">VLOOKUP(A269,'Standard Deviations'!A1:C672,3,FALSE)</f>
        <v>-0.73200420888704998</v>
      </c>
      <c r="J269" s="167" cm="1">
        <f t="array" ref="J269">I269-VLOOKUP(B$2,H1:J407,2,FALSE)</f>
        <v>-6.0472065833610138</v>
      </c>
    </row>
    <row r="270" spans="1:10" ht="21.25" customHeight="1" x14ac:dyDescent="0.15">
      <c r="A270" s="10" t="s">
        <v>649</v>
      </c>
      <c r="B270" s="165" t="str" cm="1">
        <f t="array" ref="B270">VLOOKUP(A270,'The List'!B1:D671,3,FALSE)</f>
        <v>LW,RW</v>
      </c>
      <c r="C270" s="74" cm="1">
        <f t="array" ref="C270">IF(Settings!$E$15="POINTS",RANK(E270,E3:E407),H270)</f>
        <v>225</v>
      </c>
      <c r="D270" s="18" t="str" cm="1">
        <f t="array" ref="D270">VLOOKUP(A270,'The List'!B1:F671,5,FALSE)</f>
        <v>T.B</v>
      </c>
      <c r="E270" s="55" cm="1">
        <f t="array" ref="E270">VLOOKUP(A270,'The List'!B1:I671,8,FALSE)</f>
        <v>-0.63208882888598561</v>
      </c>
      <c r="F270" s="55" cm="1">
        <f t="array" ref="F270">IF(Settings!$E$15="POINTS",E270-VLOOKUP(B$2,C1:E407,3,FALSE),J270)</f>
        <v>-5.9472912033599492</v>
      </c>
      <c r="G270" s="55"/>
      <c r="H270" s="166" cm="1">
        <f t="array" ref="H270">RANK(I270,I3:I407)</f>
        <v>225</v>
      </c>
      <c r="I270" s="167" cm="1">
        <f t="array" ref="I270">VLOOKUP(A270,'Standard Deviations'!A1:C672,3,FALSE)</f>
        <v>-0.63208882888598561</v>
      </c>
      <c r="J270" s="167" cm="1">
        <f t="array" ref="J270">I270-VLOOKUP(B$2,H1:J407,2,FALSE)</f>
        <v>-5.9472912033599492</v>
      </c>
    </row>
    <row r="271" spans="1:10" ht="21.25" customHeight="1" x14ac:dyDescent="0.15">
      <c r="A271" s="10" t="s">
        <v>639</v>
      </c>
      <c r="B271" s="165" t="str" cm="1">
        <f t="array" ref="B271">VLOOKUP(A271,'The List'!B1:D671,3,FALSE)</f>
        <v>C</v>
      </c>
      <c r="C271" s="74" cm="1">
        <f t="array" ref="C271">IF(Settings!$E$15="POINTS",RANK(E271,E3:E407),H271)</f>
        <v>385</v>
      </c>
      <c r="D271" s="18" t="str" cm="1">
        <f t="array" ref="D271">VLOOKUP(A271,'The List'!B1:F671,5,FALSE)</f>
        <v>DET</v>
      </c>
      <c r="E271" s="55" cm="1">
        <f t="array" ref="E271">VLOOKUP(A271,'The List'!B1:I671,8,FALSE)</f>
        <v>-4.0797476339348249</v>
      </c>
      <c r="F271" s="55" cm="1">
        <f t="array" ref="F271">IF(Settings!$E$15="POINTS",E271-VLOOKUP(B$2,C1:E407,3,FALSE),J271)</f>
        <v>-9.394950008408788</v>
      </c>
      <c r="G271" s="55"/>
      <c r="H271" s="166" cm="1">
        <f t="array" ref="H271">RANK(I271,I3:I407)</f>
        <v>385</v>
      </c>
      <c r="I271" s="167" cm="1">
        <f t="array" ref="I271">VLOOKUP(A271,'Standard Deviations'!A1:C672,3,FALSE)</f>
        <v>-4.0797476339348249</v>
      </c>
      <c r="J271" s="167" cm="1">
        <f t="array" ref="J271">I271-VLOOKUP(B$2,H1:J407,2,FALSE)</f>
        <v>-9.394950008408788</v>
      </c>
    </row>
    <row r="272" spans="1:10" ht="21.25" customHeight="1" x14ac:dyDescent="0.15">
      <c r="A272" s="10" t="s">
        <v>654</v>
      </c>
      <c r="B272" s="165" t="str" cm="1">
        <f t="array" ref="B272">VLOOKUP(A272,'The List'!B1:D671,3,FALSE)</f>
        <v>RW</v>
      </c>
      <c r="C272" s="74" cm="1">
        <f t="array" ref="C272">IF(Settings!$E$15="POINTS",RANK(E272,E3:E407),H272)</f>
        <v>280</v>
      </c>
      <c r="D272" s="18" t="str" cm="1">
        <f t="array" ref="D272">VLOOKUP(A272,'The List'!B1:F671,5,FALSE)</f>
        <v>PIT</v>
      </c>
      <c r="E272" s="55" cm="1">
        <f t="array" ref="E272">VLOOKUP(A272,'The List'!B1:I671,8,FALSE)</f>
        <v>-1.5587072618623365</v>
      </c>
      <c r="F272" s="55" cm="1">
        <f t="array" ref="F272">IF(Settings!$E$15="POINTS",E272-VLOOKUP(B$2,C1:E407,3,FALSE),J272)</f>
        <v>-6.8739096363363004</v>
      </c>
      <c r="G272" s="55"/>
      <c r="H272" s="166" cm="1">
        <f t="array" ref="H272">RANK(I272,I3:I407)</f>
        <v>280</v>
      </c>
      <c r="I272" s="167" cm="1">
        <f t="array" ref="I272">VLOOKUP(A272,'Standard Deviations'!A1:C672,3,FALSE)</f>
        <v>-1.5587072618623365</v>
      </c>
      <c r="J272" s="167" cm="1">
        <f t="array" ref="J272">I272-VLOOKUP(B$2,H1:J407,2,FALSE)</f>
        <v>-6.8739096363363004</v>
      </c>
    </row>
    <row r="273" spans="1:10" ht="21.25" customHeight="1" x14ac:dyDescent="0.15">
      <c r="A273" s="10" t="s">
        <v>663</v>
      </c>
      <c r="B273" s="165" t="str" cm="1">
        <f t="array" ref="B273">VLOOKUP(A273,'The List'!B1:D671,3,FALSE)</f>
        <v>C,LW</v>
      </c>
      <c r="C273" s="74" cm="1">
        <f t="array" ref="C273">IF(Settings!$E$15="POINTS",RANK(E273,E3:E407),H273)</f>
        <v>166</v>
      </c>
      <c r="D273" s="18" t="str" cm="1">
        <f t="array" ref="D273">VLOOKUP(A273,'The List'!B1:F671,5,FALSE)</f>
        <v>DAL</v>
      </c>
      <c r="E273" s="55" cm="1">
        <f t="array" ref="E273">VLOOKUP(A273,'The List'!B1:I671,8,FALSE)</f>
        <v>0.71433347191421137</v>
      </c>
      <c r="F273" s="55" cm="1">
        <f t="array" ref="F273">IF(Settings!$E$15="POINTS",E273-VLOOKUP(B$2,C1:E407,3,FALSE),J273)</f>
        <v>-4.6008689025597524</v>
      </c>
      <c r="G273" s="55"/>
      <c r="H273" s="166" cm="1">
        <f t="array" ref="H273">RANK(I273,I3:I407)</f>
        <v>166</v>
      </c>
      <c r="I273" s="167" cm="1">
        <f t="array" ref="I273">VLOOKUP(A273,'Standard Deviations'!A1:C672,3,FALSE)</f>
        <v>0.71433347191421137</v>
      </c>
      <c r="J273" s="167" cm="1">
        <f t="array" ref="J273">I273-VLOOKUP(B$2,H1:J407,2,FALSE)</f>
        <v>-4.6008689025597524</v>
      </c>
    </row>
    <row r="274" spans="1:10" ht="21.25" customHeight="1" x14ac:dyDescent="0.15">
      <c r="A274" s="10" t="s">
        <v>665</v>
      </c>
      <c r="B274" s="165" t="str" cm="1">
        <f t="array" ref="B274">VLOOKUP(A274,'The List'!B1:D671,3,FALSE)</f>
        <v>C,LW</v>
      </c>
      <c r="C274" s="74" cm="1">
        <f t="array" ref="C274">IF(Settings!$E$15="POINTS",RANK(E274,E3:E407),H274)</f>
        <v>185</v>
      </c>
      <c r="D274" s="18" t="str" cm="1">
        <f t="array" ref="D274">VLOOKUP(A274,'The List'!B1:F671,5,FALSE)</f>
        <v>T.B</v>
      </c>
      <c r="E274" s="55" cm="1">
        <f t="array" ref="E274">VLOOKUP(A274,'The List'!B1:I671,8,FALSE)</f>
        <v>4.9254592597852698E-2</v>
      </c>
      <c r="F274" s="55" cm="1">
        <f t="array" ref="F274">IF(Settings!$E$15="POINTS",E274-VLOOKUP(B$2,C1:E407,3,FALSE),J274)</f>
        <v>-5.2659477818761111</v>
      </c>
      <c r="G274" s="55"/>
      <c r="H274" s="166" cm="1">
        <f t="array" ref="H274">RANK(I274,I3:I407)</f>
        <v>185</v>
      </c>
      <c r="I274" s="167" cm="1">
        <f t="array" ref="I274">VLOOKUP(A274,'Standard Deviations'!A1:C672,3,FALSE)</f>
        <v>4.9254592597852698E-2</v>
      </c>
      <c r="J274" s="167" cm="1">
        <f t="array" ref="J274">I274-VLOOKUP(B$2,H1:J407,2,FALSE)</f>
        <v>-5.2659477818761111</v>
      </c>
    </row>
    <row r="275" spans="1:10" ht="21.25" customHeight="1" x14ac:dyDescent="0.15">
      <c r="A275" s="10" t="s">
        <v>668</v>
      </c>
      <c r="B275" s="165" t="str" cm="1">
        <f t="array" ref="B275">VLOOKUP(A275,'The List'!B1:D671,3,FALSE)</f>
        <v>LW</v>
      </c>
      <c r="C275" s="74" cm="1">
        <f t="array" ref="C275">IF(Settings!$E$15="POINTS",RANK(E275,E3:E407),H275)</f>
        <v>292</v>
      </c>
      <c r="D275" s="18" t="str" cm="1">
        <f t="array" ref="D275">VLOOKUP(A275,'The List'!B1:F671,5,FALSE)</f>
        <v>BOS</v>
      </c>
      <c r="E275" s="55" cm="1">
        <f t="array" ref="E275">VLOOKUP(A275,'The List'!B1:I671,8,FALSE)</f>
        <v>-1.7628096282874823</v>
      </c>
      <c r="F275" s="55" cm="1">
        <f t="array" ref="F275">IF(Settings!$E$15="POINTS",E275-VLOOKUP(B$2,C1:E407,3,FALSE),J275)</f>
        <v>-7.0780120027614464</v>
      </c>
      <c r="G275" s="55"/>
      <c r="H275" s="166" cm="1">
        <f t="array" ref="H275">RANK(I275,I3:I407)</f>
        <v>292</v>
      </c>
      <c r="I275" s="167" cm="1">
        <f t="array" ref="I275">VLOOKUP(A275,'Standard Deviations'!A1:C672,3,FALSE)</f>
        <v>-1.7628096282874823</v>
      </c>
      <c r="J275" s="167" cm="1">
        <f t="array" ref="J275">I275-VLOOKUP(B$2,H1:J407,2,FALSE)</f>
        <v>-7.0780120027614464</v>
      </c>
    </row>
    <row r="276" spans="1:10" ht="21.25" customHeight="1" x14ac:dyDescent="0.15">
      <c r="A276" s="10" t="s">
        <v>669</v>
      </c>
      <c r="B276" s="165" t="str" cm="1">
        <f t="array" ref="B276">VLOOKUP(A276,'The List'!B1:D671,3,FALSE)</f>
        <v>C,LW</v>
      </c>
      <c r="C276" s="74" cm="1">
        <f t="array" ref="C276">IF(Settings!$E$15="POINTS",RANK(E276,E3:E407),H276)</f>
        <v>203</v>
      </c>
      <c r="D276" s="18" t="str" cm="1">
        <f t="array" ref="D276">VLOOKUP(A276,'The List'!B1:F671,5,FALSE)</f>
        <v>WPG</v>
      </c>
      <c r="E276" s="55" cm="1">
        <f t="array" ref="E276">VLOOKUP(A276,'The List'!B1:I671,8,FALSE)</f>
        <v>-0.14917996826040231</v>
      </c>
      <c r="F276" s="55" cm="1">
        <f t="array" ref="F276">IF(Settings!$E$15="POINTS",E276-VLOOKUP(B$2,C1:E407,3,FALSE),J276)</f>
        <v>-5.4643823427343667</v>
      </c>
      <c r="G276" s="55"/>
      <c r="H276" s="166" cm="1">
        <f t="array" ref="H276">RANK(I276,I3:I407)</f>
        <v>203</v>
      </c>
      <c r="I276" s="167" cm="1">
        <f t="array" ref="I276">VLOOKUP(A276,'Standard Deviations'!A1:C672,3,FALSE)</f>
        <v>-0.14917996826040231</v>
      </c>
      <c r="J276" s="167" cm="1">
        <f t="array" ref="J276">I276-VLOOKUP(B$2,H1:J407,2,FALSE)</f>
        <v>-5.4643823427343667</v>
      </c>
    </row>
    <row r="277" spans="1:10" ht="21.25" customHeight="1" x14ac:dyDescent="0.15">
      <c r="A277" s="10" t="s">
        <v>670</v>
      </c>
      <c r="B277" s="165" t="str" cm="1">
        <f t="array" ref="B277">VLOOKUP(A277,'The List'!B1:D671,3,FALSE)</f>
        <v>C,LW</v>
      </c>
      <c r="C277" s="74" cm="1">
        <f t="array" ref="C277">IF(Settings!$E$15="POINTS",RANK(E277,E3:E407),H277)</f>
        <v>368</v>
      </c>
      <c r="D277" s="18" t="str" cm="1">
        <f t="array" ref="D277">VLOOKUP(A277,'The List'!B1:F671,5,FALSE)</f>
        <v>TOR</v>
      </c>
      <c r="E277" s="55" cm="1">
        <f t="array" ref="E277">VLOOKUP(A277,'The List'!B1:I671,8,FALSE)</f>
        <v>-3.5421308083116156</v>
      </c>
      <c r="F277" s="55" cm="1">
        <f t="array" ref="F277">IF(Settings!$E$15="POINTS",E277-VLOOKUP(B$2,C1:E407,3,FALSE),J277)</f>
        <v>-8.8573331827855792</v>
      </c>
      <c r="G277" s="55"/>
      <c r="H277" s="166" cm="1">
        <f t="array" ref="H277">RANK(I277,I3:I407)</f>
        <v>368</v>
      </c>
      <c r="I277" s="167" cm="1">
        <f t="array" ref="I277">VLOOKUP(A277,'Standard Deviations'!A1:C672,3,FALSE)</f>
        <v>-3.5421308083116156</v>
      </c>
      <c r="J277" s="167" cm="1">
        <f t="array" ref="J277">I277-VLOOKUP(B$2,H1:J407,2,FALSE)</f>
        <v>-8.8573331827855792</v>
      </c>
    </row>
    <row r="278" spans="1:10" ht="21.25" customHeight="1" x14ac:dyDescent="0.15">
      <c r="A278" s="10" t="s">
        <v>664</v>
      </c>
      <c r="B278" s="165" t="str" cm="1">
        <f t="array" ref="B278">VLOOKUP(A278,'The List'!B1:D671,3,FALSE)</f>
        <v>C,RW</v>
      </c>
      <c r="C278" s="74" cm="1">
        <f t="array" ref="C278">IF(Settings!$E$15="POINTS",RANK(E278,E3:E407),H278)</f>
        <v>240</v>
      </c>
      <c r="D278" s="18" t="str" cm="1">
        <f t="array" ref="D278">VLOOKUP(A278,'The List'!B1:F671,5,FALSE)</f>
        <v>COL</v>
      </c>
      <c r="E278" s="55" cm="1">
        <f t="array" ref="E278">VLOOKUP(A278,'The List'!B1:I671,8,FALSE)</f>
        <v>-0.9511738264205809</v>
      </c>
      <c r="F278" s="55" cm="1">
        <f t="array" ref="F278">IF(Settings!$E$15="POINTS",E278-VLOOKUP(B$2,C1:E407,3,FALSE),J278)</f>
        <v>-6.2663762008945447</v>
      </c>
      <c r="G278" s="55"/>
      <c r="H278" s="166" cm="1">
        <f t="array" ref="H278">RANK(I278,I3:I407)</f>
        <v>240</v>
      </c>
      <c r="I278" s="167" cm="1">
        <f t="array" ref="I278">VLOOKUP(A278,'Standard Deviations'!A1:C672,3,FALSE)</f>
        <v>-0.9511738264205809</v>
      </c>
      <c r="J278" s="167" cm="1">
        <f t="array" ref="J278">I278-VLOOKUP(B$2,H1:J407,2,FALSE)</f>
        <v>-6.2663762008945447</v>
      </c>
    </row>
    <row r="279" spans="1:10" ht="21.25" customHeight="1" x14ac:dyDescent="0.15">
      <c r="A279" s="10" t="s">
        <v>666</v>
      </c>
      <c r="B279" s="165" t="str" cm="1">
        <f t="array" ref="B279">VLOOKUP(A279,'The List'!B1:D671,3,FALSE)</f>
        <v>C,RW</v>
      </c>
      <c r="C279" s="74" cm="1">
        <f t="array" ref="C279">IF(Settings!$E$15="POINTS",RANK(E279,E3:E407),H279)</f>
        <v>348</v>
      </c>
      <c r="D279" s="18" t="str" cm="1">
        <f t="array" ref="D279">VLOOKUP(A279,'The List'!B1:F671,5,FALSE)</f>
        <v>N.J</v>
      </c>
      <c r="E279" s="55" cm="1">
        <f t="array" ref="E279">VLOOKUP(A279,'The List'!B1:I671,8,FALSE)</f>
        <v>-3.1341786946669719</v>
      </c>
      <c r="F279" s="55" cm="1">
        <f t="array" ref="F279">IF(Settings!$E$15="POINTS",E279-VLOOKUP(B$2,C1:E407,3,FALSE),J279)</f>
        <v>-8.4493810691409355</v>
      </c>
      <c r="G279" s="55"/>
      <c r="H279" s="166" cm="1">
        <f t="array" ref="H279">RANK(I279,I3:I407)</f>
        <v>348</v>
      </c>
      <c r="I279" s="167" cm="1">
        <f t="array" ref="I279">VLOOKUP(A279,'Standard Deviations'!A1:C672,3,FALSE)</f>
        <v>-3.1341786946669719</v>
      </c>
      <c r="J279" s="167" cm="1">
        <f t="array" ref="J279">I279-VLOOKUP(B$2,H1:J407,2,FALSE)</f>
        <v>-8.4493810691409355</v>
      </c>
    </row>
    <row r="280" spans="1:10" ht="21.25" customHeight="1" x14ac:dyDescent="0.15">
      <c r="A280" s="10" t="s">
        <v>676</v>
      </c>
      <c r="B280" s="165" t="str" cm="1">
        <f t="array" ref="B280">VLOOKUP(A280,'The List'!B1:D671,3,FALSE)</f>
        <v>C,LW</v>
      </c>
      <c r="C280" s="74" cm="1">
        <f t="array" ref="C280">IF(Settings!$E$15="POINTS",RANK(E280,E3:E407),H280)</f>
        <v>358</v>
      </c>
      <c r="D280" s="18" t="str" cm="1">
        <f t="array" ref="D280">VLOOKUP(A280,'The List'!B1:F671,5,FALSE)</f>
        <v>BOS</v>
      </c>
      <c r="E280" s="55" cm="1">
        <f t="array" ref="E280">VLOOKUP(A280,'The List'!B1:I671,8,FALSE)</f>
        <v>-3.3694763946567914</v>
      </c>
      <c r="F280" s="55" cm="1">
        <f t="array" ref="F280">IF(Settings!$E$15="POINTS",E280-VLOOKUP(B$2,C1:E407,3,FALSE),J280)</f>
        <v>-8.6846787691307554</v>
      </c>
      <c r="G280" s="55"/>
      <c r="H280" s="166" cm="1">
        <f t="array" ref="H280">RANK(I280,I3:I407)</f>
        <v>358</v>
      </c>
      <c r="I280" s="167" cm="1">
        <f t="array" ref="I280">VLOOKUP(A280,'Standard Deviations'!A1:C672,3,FALSE)</f>
        <v>-3.3694763946567914</v>
      </c>
      <c r="J280" s="167" cm="1">
        <f t="array" ref="J280">I280-VLOOKUP(B$2,H1:J407,2,FALSE)</f>
        <v>-8.6846787691307554</v>
      </c>
    </row>
    <row r="281" spans="1:10" ht="21.25" customHeight="1" x14ac:dyDescent="0.15">
      <c r="A281" s="10" t="s">
        <v>677</v>
      </c>
      <c r="B281" s="165" t="str" cm="1">
        <f t="array" ref="B281">VLOOKUP(A281,'The List'!B1:D671,3,FALSE)</f>
        <v>C,LW</v>
      </c>
      <c r="C281" s="74" cm="1">
        <f t="array" ref="C281">IF(Settings!$E$15="POINTS",RANK(E281,E3:E407),H281)</f>
        <v>250</v>
      </c>
      <c r="D281" s="18" t="str" cm="1">
        <f t="array" ref="D281">VLOOKUP(A281,'The List'!B1:F671,5,FALSE)</f>
        <v>PIT</v>
      </c>
      <c r="E281" s="55" cm="1">
        <f t="array" ref="E281">VLOOKUP(A281,'The List'!B1:I671,8,FALSE)</f>
        <v>-1.1397600834011909</v>
      </c>
      <c r="F281" s="55" cm="1">
        <f t="array" ref="F281">IF(Settings!$E$15="POINTS",E281-VLOOKUP(B$2,C1:E407,3,FALSE),J281)</f>
        <v>-6.4549624578751548</v>
      </c>
      <c r="G281" s="55"/>
      <c r="H281" s="166" cm="1">
        <f t="array" ref="H281">RANK(I281,I3:I407)</f>
        <v>250</v>
      </c>
      <c r="I281" s="167" cm="1">
        <f t="array" ref="I281">VLOOKUP(A281,'Standard Deviations'!A1:C672,3,FALSE)</f>
        <v>-1.1397600834011909</v>
      </c>
      <c r="J281" s="167" cm="1">
        <f t="array" ref="J281">I281-VLOOKUP(B$2,H1:J407,2,FALSE)</f>
        <v>-6.4549624578751548</v>
      </c>
    </row>
    <row r="282" spans="1:10" ht="21.25" customHeight="1" x14ac:dyDescent="0.15">
      <c r="A282" s="10" t="s">
        <v>653</v>
      </c>
      <c r="B282" s="165" t="str" cm="1">
        <f t="array" ref="B282">VLOOKUP(A282,'The List'!B1:D671,3,FALSE)</f>
        <v>C</v>
      </c>
      <c r="C282" s="74" cm="1">
        <f t="array" ref="C282">IF(Settings!$E$15="POINTS",RANK(E282,E3:E407),H282)</f>
        <v>311</v>
      </c>
      <c r="D282" s="18" t="str" cm="1">
        <f t="array" ref="D282">VLOOKUP(A282,'The List'!B1:F671,5,FALSE)</f>
        <v>TOR</v>
      </c>
      <c r="E282" s="55" cm="1">
        <f t="array" ref="E282">VLOOKUP(A282,'The List'!B1:I671,8,FALSE)</f>
        <v>-2.3293513954864569</v>
      </c>
      <c r="F282" s="55" cm="1">
        <f t="array" ref="F282">IF(Settings!$E$15="POINTS",E282-VLOOKUP(B$2,C1:E407,3,FALSE),J282)</f>
        <v>-7.6445537699604209</v>
      </c>
      <c r="G282" s="55"/>
      <c r="H282" s="166" cm="1">
        <f t="array" ref="H282">RANK(I282,I3:I407)</f>
        <v>311</v>
      </c>
      <c r="I282" s="167" cm="1">
        <f t="array" ref="I282">VLOOKUP(A282,'Standard Deviations'!A1:C672,3,FALSE)</f>
        <v>-2.3293513954864569</v>
      </c>
      <c r="J282" s="167" cm="1">
        <f t="array" ref="J282">I282-VLOOKUP(B$2,H1:J407,2,FALSE)</f>
        <v>-7.6445537699604209</v>
      </c>
    </row>
    <row r="283" spans="1:10" ht="21.25" customHeight="1" x14ac:dyDescent="0.15">
      <c r="A283" s="10" t="s">
        <v>656</v>
      </c>
      <c r="B283" s="165" t="str" cm="1">
        <f t="array" ref="B283">VLOOKUP(A283,'The List'!B1:D671,3,FALSE)</f>
        <v>C</v>
      </c>
      <c r="C283" s="74" cm="1">
        <f t="array" ref="C283">IF(Settings!$E$15="POINTS",RANK(E283,E3:E407),H283)</f>
        <v>263</v>
      </c>
      <c r="D283" s="18" t="str" cm="1">
        <f t="array" ref="D283">VLOOKUP(A283,'The List'!B1:F671,5,FALSE)</f>
        <v>DET</v>
      </c>
      <c r="E283" s="55" cm="1">
        <f t="array" ref="E283">VLOOKUP(A283,'The List'!B1:I671,8,FALSE)</f>
        <v>-1.254224741914155</v>
      </c>
      <c r="F283" s="55" cm="1">
        <f t="array" ref="F283">IF(Settings!$E$15="POINTS",E283-VLOOKUP(B$2,C1:E407,3,FALSE),J283)</f>
        <v>-6.5694271163881188</v>
      </c>
      <c r="G283" s="55"/>
      <c r="H283" s="166" cm="1">
        <f t="array" ref="H283">RANK(I283,I3:I407)</f>
        <v>263</v>
      </c>
      <c r="I283" s="167" cm="1">
        <f t="array" ref="I283">VLOOKUP(A283,'Standard Deviations'!A1:C672,3,FALSE)</f>
        <v>-1.254224741914155</v>
      </c>
      <c r="J283" s="167" cm="1">
        <f t="array" ref="J283">I283-VLOOKUP(B$2,H1:J407,2,FALSE)</f>
        <v>-6.5694271163881188</v>
      </c>
    </row>
    <row r="284" spans="1:10" ht="21.25" customHeight="1" x14ac:dyDescent="0.15">
      <c r="A284" s="10" t="s">
        <v>681</v>
      </c>
      <c r="B284" s="165" t="str" cm="1">
        <f t="array" ref="B284">VLOOKUP(A284,'The List'!B1:D671,3,FALSE)</f>
        <v>C,LW</v>
      </c>
      <c r="C284" s="74" cm="1">
        <f t="array" ref="C284">IF(Settings!$E$15="POINTS",RANK(E284,E3:E407),H284)</f>
        <v>155</v>
      </c>
      <c r="D284" s="18" t="str" cm="1">
        <f t="array" ref="D284">VLOOKUP(A284,'The List'!B1:F671,5,FALSE)</f>
        <v>UTA</v>
      </c>
      <c r="E284" s="55" cm="1">
        <f t="array" ref="E284">VLOOKUP(A284,'The List'!B1:I671,8,FALSE)</f>
        <v>1.232299799373078</v>
      </c>
      <c r="F284" s="55" cm="1">
        <f t="array" ref="F284">IF(Settings!$E$15="POINTS",E284-VLOOKUP(B$2,C1:E407,3,FALSE),J284)</f>
        <v>-4.0829025751008858</v>
      </c>
      <c r="G284" s="55"/>
      <c r="H284" s="166" cm="1">
        <f t="array" ref="H284">RANK(I284,I3:I407)</f>
        <v>155</v>
      </c>
      <c r="I284" s="167" cm="1">
        <f t="array" ref="I284">VLOOKUP(A284,'Standard Deviations'!A1:C672,3,FALSE)</f>
        <v>1.232299799373078</v>
      </c>
      <c r="J284" s="167" cm="1">
        <f t="array" ref="J284">I284-VLOOKUP(B$2,H1:J407,2,FALSE)</f>
        <v>-4.0829025751008858</v>
      </c>
    </row>
    <row r="285" spans="1:10" ht="21.25" customHeight="1" x14ac:dyDescent="0.15">
      <c r="A285" s="10" t="s">
        <v>658</v>
      </c>
      <c r="B285" s="165" t="str" cm="1">
        <f t="array" ref="B285">VLOOKUP(A285,'The List'!B1:D671,3,FALSE)</f>
        <v>C</v>
      </c>
      <c r="C285" s="74" cm="1">
        <f t="array" ref="C285">IF(Settings!$E$15="POINTS",RANK(E285,E3:E407),H285)</f>
        <v>389</v>
      </c>
      <c r="D285" s="18" t="str" cm="1">
        <f t="array" ref="D285">VLOOKUP(A285,'The List'!B1:F671,5,FALSE)</f>
        <v>CGY</v>
      </c>
      <c r="E285" s="55" cm="1">
        <f t="array" ref="E285">VLOOKUP(A285,'The List'!B1:I671,8,FALSE)</f>
        <v>-4.2059547490298357</v>
      </c>
      <c r="F285" s="55" cm="1">
        <f t="array" ref="F285">IF(Settings!$E$15="POINTS",E285-VLOOKUP(B$2,C1:E407,3,FALSE),J285)</f>
        <v>-9.5211571235037997</v>
      </c>
      <c r="G285" s="55"/>
      <c r="H285" s="166" cm="1">
        <f t="array" ref="H285">RANK(I285,I3:I407)</f>
        <v>389</v>
      </c>
      <c r="I285" s="167" cm="1">
        <f t="array" ref="I285">VLOOKUP(A285,'Standard Deviations'!A1:C672,3,FALSE)</f>
        <v>-4.2059547490298357</v>
      </c>
      <c r="J285" s="167" cm="1">
        <f t="array" ref="J285">I285-VLOOKUP(B$2,H1:J407,2,FALSE)</f>
        <v>-9.5211571235037997</v>
      </c>
    </row>
    <row r="286" spans="1:10" ht="21.25" customHeight="1" x14ac:dyDescent="0.15">
      <c r="A286" s="10" t="s">
        <v>671</v>
      </c>
      <c r="B286" s="165" t="str" cm="1">
        <f t="array" ref="B286">VLOOKUP(A286,'The List'!B1:D671,3,FALSE)</f>
        <v>LW,RW</v>
      </c>
      <c r="C286" s="74" cm="1">
        <f t="array" ref="C286">IF(Settings!$E$15="POINTS",RANK(E286,E3:E407),H286)</f>
        <v>286</v>
      </c>
      <c r="D286" s="18" t="str" cm="1">
        <f t="array" ref="D286">VLOOKUP(A286,'The List'!B1:F671,5,FALSE)</f>
        <v>MTL</v>
      </c>
      <c r="E286" s="55" cm="1">
        <f t="array" ref="E286">VLOOKUP(A286,'The List'!B1:I671,8,FALSE)</f>
        <v>-1.7036081245795029</v>
      </c>
      <c r="F286" s="55" cm="1">
        <f t="array" ref="F286">IF(Settings!$E$15="POINTS",E286-VLOOKUP(B$2,C1:E407,3,FALSE),J286)</f>
        <v>-7.0188104990534672</v>
      </c>
      <c r="G286" s="55"/>
      <c r="H286" s="166" cm="1">
        <f t="array" ref="H286">RANK(I286,I3:I407)</f>
        <v>286</v>
      </c>
      <c r="I286" s="167" cm="1">
        <f t="array" ref="I286">VLOOKUP(A286,'Standard Deviations'!A1:C672,3,FALSE)</f>
        <v>-1.7036081245795029</v>
      </c>
      <c r="J286" s="167" cm="1">
        <f t="array" ref="J286">I286-VLOOKUP(B$2,H1:J407,2,FALSE)</f>
        <v>-7.0188104990534672</v>
      </c>
    </row>
    <row r="287" spans="1:10" ht="21.25" customHeight="1" x14ac:dyDescent="0.15">
      <c r="A287" s="10" t="s">
        <v>672</v>
      </c>
      <c r="B287" s="165" t="str" cm="1">
        <f t="array" ref="B287">VLOOKUP(A287,'The List'!B1:D671,3,FALSE)</f>
        <v>C,RW</v>
      </c>
      <c r="C287" s="74" cm="1">
        <f t="array" ref="C287">IF(Settings!$E$15="POINTS",RANK(E287,E3:E407),H287)</f>
        <v>294</v>
      </c>
      <c r="D287" s="18" t="str" cm="1">
        <f t="array" ref="D287">VLOOKUP(A287,'The List'!B1:F671,5,FALSE)</f>
        <v>MTL</v>
      </c>
      <c r="E287" s="55" cm="1">
        <f t="array" ref="E287">VLOOKUP(A287,'The List'!B1:I671,8,FALSE)</f>
        <v>-1.8102459853513537</v>
      </c>
      <c r="F287" s="55" cm="1">
        <f t="array" ref="F287">IF(Settings!$E$15="POINTS",E287-VLOOKUP(B$2,C1:E407,3,FALSE),J287)</f>
        <v>-7.1254483598253175</v>
      </c>
      <c r="G287" s="55"/>
      <c r="H287" s="166" cm="1">
        <f t="array" ref="H287">RANK(I287,I3:I407)</f>
        <v>294</v>
      </c>
      <c r="I287" s="167" cm="1">
        <f t="array" ref="I287">VLOOKUP(A287,'Standard Deviations'!A1:C672,3,FALSE)</f>
        <v>-1.8102459853513537</v>
      </c>
      <c r="J287" s="167" cm="1">
        <f t="array" ref="J287">I287-VLOOKUP(B$2,H1:J407,2,FALSE)</f>
        <v>-7.1254483598253175</v>
      </c>
    </row>
    <row r="288" spans="1:10" ht="21.25" customHeight="1" x14ac:dyDescent="0.15">
      <c r="A288" s="10" t="s">
        <v>674</v>
      </c>
      <c r="B288" s="165" t="str" cm="1">
        <f t="array" ref="B288">VLOOKUP(A288,'The List'!B1:D671,3,FALSE)</f>
        <v>C,RW</v>
      </c>
      <c r="C288" s="74" cm="1">
        <f t="array" ref="C288">IF(Settings!$E$15="POINTS",RANK(E288,E3:E407),H288)</f>
        <v>254</v>
      </c>
      <c r="D288" s="18" t="str" cm="1">
        <f t="array" ref="D288">VLOOKUP(A288,'The List'!B1:F671,5,FALSE)</f>
        <v>WSH</v>
      </c>
      <c r="E288" s="55" cm="1">
        <f t="array" ref="E288">VLOOKUP(A288,'The List'!B1:I671,8,FALSE)</f>
        <v>-1.1902907480935121</v>
      </c>
      <c r="F288" s="55" cm="1">
        <f t="array" ref="F288">IF(Settings!$E$15="POINTS",E288-VLOOKUP(B$2,C1:E407,3,FALSE),J288)</f>
        <v>-6.5054931225674757</v>
      </c>
      <c r="G288" s="55"/>
      <c r="H288" s="166" cm="1">
        <f t="array" ref="H288">RANK(I288,I3:I407)</f>
        <v>254</v>
      </c>
      <c r="I288" s="167" cm="1">
        <f t="array" ref="I288">VLOOKUP(A288,'Standard Deviations'!A1:C672,3,FALSE)</f>
        <v>-1.1902907480935121</v>
      </c>
      <c r="J288" s="167" cm="1">
        <f t="array" ref="J288">I288-VLOOKUP(B$2,H1:J407,2,FALSE)</f>
        <v>-6.5054931225674757</v>
      </c>
    </row>
    <row r="289" spans="1:10" ht="21.25" customHeight="1" x14ac:dyDescent="0.15">
      <c r="A289" s="10" t="s">
        <v>682</v>
      </c>
      <c r="B289" s="165" t="str" cm="1">
        <f t="array" ref="B289">VLOOKUP(A289,'The List'!B1:D671,3,FALSE)</f>
        <v>C,LW</v>
      </c>
      <c r="C289" s="74" cm="1">
        <f t="array" ref="C289">IF(Settings!$E$15="POINTS",RANK(E289,E3:E407),H289)</f>
        <v>222</v>
      </c>
      <c r="D289" s="18" t="str" cm="1">
        <f t="array" ref="D289">VLOOKUP(A289,'The List'!B1:F671,5,FALSE)</f>
        <v>BUF</v>
      </c>
      <c r="E289" s="55" cm="1">
        <f t="array" ref="E289">VLOOKUP(A289,'The List'!B1:I671,8,FALSE)</f>
        <v>-0.54275777847077866</v>
      </c>
      <c r="F289" s="55" cm="1">
        <f t="array" ref="F289">IF(Settings!$E$15="POINTS",E289-VLOOKUP(B$2,C1:E407,3,FALSE),J289)</f>
        <v>-5.8579601529447425</v>
      </c>
      <c r="G289" s="55"/>
      <c r="H289" s="166" cm="1">
        <f t="array" ref="H289">RANK(I289,I3:I407)</f>
        <v>222</v>
      </c>
      <c r="I289" s="167" cm="1">
        <f t="array" ref="I289">VLOOKUP(A289,'Standard Deviations'!A1:C672,3,FALSE)</f>
        <v>-0.54275777847077866</v>
      </c>
      <c r="J289" s="167" cm="1">
        <f t="array" ref="J289">I289-VLOOKUP(B$2,H1:J407,2,FALSE)</f>
        <v>-5.8579601529447425</v>
      </c>
    </row>
    <row r="290" spans="1:10" ht="21.25" customHeight="1" x14ac:dyDescent="0.15">
      <c r="A290" s="10" t="s">
        <v>683</v>
      </c>
      <c r="B290" s="165" t="str" cm="1">
        <f t="array" ref="B290">VLOOKUP(A290,'The List'!B1:D671,3,FALSE)</f>
        <v>C,LW</v>
      </c>
      <c r="C290" s="74" cm="1">
        <f t="array" ref="C290">IF(Settings!$E$15="POINTS",RANK(E290,E3:E407),H290)</f>
        <v>237</v>
      </c>
      <c r="D290" s="18" t="str" cm="1">
        <f t="array" ref="D290">VLOOKUP(A290,'The List'!B1:F671,5,FALSE)</f>
        <v>DAL</v>
      </c>
      <c r="E290" s="55" cm="1">
        <f t="array" ref="E290">VLOOKUP(A290,'The List'!B1:I671,8,FALSE)</f>
        <v>-0.83151698307592525</v>
      </c>
      <c r="F290" s="55" cm="1">
        <f t="array" ref="F290">IF(Settings!$E$15="POINTS",E290-VLOOKUP(B$2,C1:E407,3,FALSE),J290)</f>
        <v>-6.1467193575498893</v>
      </c>
      <c r="G290" s="55"/>
      <c r="H290" s="166" cm="1">
        <f t="array" ref="H290">RANK(I290,I3:I407)</f>
        <v>237</v>
      </c>
      <c r="I290" s="167" cm="1">
        <f t="array" ref="I290">VLOOKUP(A290,'Standard Deviations'!A1:C672,3,FALSE)</f>
        <v>-0.83151698307592525</v>
      </c>
      <c r="J290" s="167" cm="1">
        <f t="array" ref="J290">I290-VLOOKUP(B$2,H1:J407,2,FALSE)</f>
        <v>-6.1467193575498893</v>
      </c>
    </row>
    <row r="291" spans="1:10" ht="21.25" customHeight="1" x14ac:dyDescent="0.15">
      <c r="A291" s="10" t="s">
        <v>675</v>
      </c>
      <c r="B291" s="165" t="str" cm="1">
        <f t="array" ref="B291">VLOOKUP(A291,'The List'!B1:D671,3,FALSE)</f>
        <v>LW,RW</v>
      </c>
      <c r="C291" s="74" cm="1">
        <f t="array" ref="C291">IF(Settings!$E$15="POINTS",RANK(E291,E3:E407),H291)</f>
        <v>330</v>
      </c>
      <c r="D291" s="18" t="str" cm="1">
        <f t="array" ref="D291">VLOOKUP(A291,'The List'!B1:F671,5,FALSE)</f>
        <v>VGK</v>
      </c>
      <c r="E291" s="55" cm="1">
        <f t="array" ref="E291">VLOOKUP(A291,'The List'!B1:I671,8,FALSE)</f>
        <v>-2.7957597946804449</v>
      </c>
      <c r="F291" s="55" cm="1">
        <f t="array" ref="F291">IF(Settings!$E$15="POINTS",E291-VLOOKUP(B$2,C1:E407,3,FALSE),J291)</f>
        <v>-8.1109621691544085</v>
      </c>
      <c r="G291" s="55"/>
      <c r="H291" s="166" cm="1">
        <f t="array" ref="H291">RANK(I291,I3:I407)</f>
        <v>330</v>
      </c>
      <c r="I291" s="167" cm="1">
        <f t="array" ref="I291">VLOOKUP(A291,'Standard Deviations'!A1:C672,3,FALSE)</f>
        <v>-2.7957597946804449</v>
      </c>
      <c r="J291" s="167" cm="1">
        <f t="array" ref="J291">I291-VLOOKUP(B$2,H1:J407,2,FALSE)</f>
        <v>-8.1109621691544085</v>
      </c>
    </row>
    <row r="292" spans="1:10" ht="21.25" customHeight="1" x14ac:dyDescent="0.15">
      <c r="A292" s="10" t="s">
        <v>661</v>
      </c>
      <c r="B292" s="165" t="str" cm="1">
        <f t="array" ref="B292">VLOOKUP(A292,'The List'!B1:D671,3,FALSE)</f>
        <v>C</v>
      </c>
      <c r="C292" s="74" cm="1">
        <f t="array" ref="C292">IF(Settings!$E$15="POINTS",RANK(E292,E3:E407),H292)</f>
        <v>318</v>
      </c>
      <c r="D292" s="18" t="str" cm="1">
        <f t="array" ref="D292">VLOOKUP(A292,'The List'!B1:F671,5,FALSE)</f>
        <v>MTL</v>
      </c>
      <c r="E292" s="55" cm="1">
        <f t="array" ref="E292">VLOOKUP(A292,'The List'!B1:I671,8,FALSE)</f>
        <v>-2.5210520289238287</v>
      </c>
      <c r="F292" s="55" cm="1">
        <f t="array" ref="F292">IF(Settings!$E$15="POINTS",E292-VLOOKUP(B$2,C1:E407,3,FALSE),J292)</f>
        <v>-7.8362544033977928</v>
      </c>
      <c r="G292" s="55"/>
      <c r="H292" s="166" cm="1">
        <f t="array" ref="H292">RANK(I292,I3:I407)</f>
        <v>318</v>
      </c>
      <c r="I292" s="167" cm="1">
        <f t="array" ref="I292">VLOOKUP(A292,'Standard Deviations'!A1:C672,3,FALSE)</f>
        <v>-2.5210520289238287</v>
      </c>
      <c r="J292" s="167" cm="1">
        <f t="array" ref="J292">I292-VLOOKUP(B$2,H1:J407,2,FALSE)</f>
        <v>-7.8362544033977928</v>
      </c>
    </row>
    <row r="293" spans="1:10" ht="21.25" customHeight="1" x14ac:dyDescent="0.15">
      <c r="A293" s="10" t="s">
        <v>678</v>
      </c>
      <c r="B293" s="165" t="str" cm="1">
        <f t="array" ref="B293">VLOOKUP(A293,'The List'!B1:D671,3,FALSE)</f>
        <v>C,RW</v>
      </c>
      <c r="C293" s="74" cm="1">
        <f t="array" ref="C293">IF(Settings!$E$15="POINTS",RANK(E293,E3:E407),H293)</f>
        <v>404</v>
      </c>
      <c r="D293" s="18" t="str" cm="1">
        <f t="array" ref="D293">VLOOKUP(A293,'The List'!B1:F671,5,FALSE)</f>
        <v>SEA</v>
      </c>
      <c r="E293" s="55" cm="1">
        <f t="array" ref="E293">VLOOKUP(A293,'The List'!B1:I671,8,FALSE)</f>
        <v>-5.6293011214189415</v>
      </c>
      <c r="F293" s="55" cm="1">
        <f t="array" ref="F293">IF(Settings!$E$15="POINTS",E293-VLOOKUP(B$2,C1:E407,3,FALSE),J293)</f>
        <v>-10.944503495892906</v>
      </c>
      <c r="G293" s="55"/>
      <c r="H293" s="166" cm="1">
        <f t="array" ref="H293">RANK(I293,I3:I407)</f>
        <v>404</v>
      </c>
      <c r="I293" s="167" cm="1">
        <f t="array" ref="I293">VLOOKUP(A293,'Standard Deviations'!A1:C672,3,FALSE)</f>
        <v>-5.6293011214189415</v>
      </c>
      <c r="J293" s="167" cm="1">
        <f t="array" ref="J293">I293-VLOOKUP(B$2,H1:J407,2,FALSE)</f>
        <v>-10.944503495892906</v>
      </c>
    </row>
    <row r="294" spans="1:10" ht="21.25" customHeight="1" x14ac:dyDescent="0.15">
      <c r="A294" s="10" t="s">
        <v>679</v>
      </c>
      <c r="B294" s="165" t="str" cm="1">
        <f t="array" ref="B294">VLOOKUP(A294,'The List'!B1:D671,3,FALSE)</f>
        <v>LW,RW</v>
      </c>
      <c r="C294" s="74" cm="1">
        <f t="array" ref="C294">IF(Settings!$E$15="POINTS",RANK(E294,E3:E407),H294)</f>
        <v>396</v>
      </c>
      <c r="D294" s="18" t="str" cm="1">
        <f t="array" ref="D294">VLOOKUP(A294,'The List'!B1:F671,5,FALSE)</f>
        <v>STL</v>
      </c>
      <c r="E294" s="55" cm="1">
        <f t="array" ref="E294">VLOOKUP(A294,'The List'!B1:I671,8,FALSE)</f>
        <v>-4.5401849625870749</v>
      </c>
      <c r="F294" s="55" cm="1">
        <f t="array" ref="F294">IF(Settings!$E$15="POINTS",E294-VLOOKUP(B$2,C1:E407,3,FALSE),J294)</f>
        <v>-9.855387337061039</v>
      </c>
      <c r="G294" s="55"/>
      <c r="H294" s="166" cm="1">
        <f t="array" ref="H294">RANK(I294,I3:I407)</f>
        <v>396</v>
      </c>
      <c r="I294" s="167" cm="1">
        <f t="array" ref="I294">VLOOKUP(A294,'Standard Deviations'!A1:C672,3,FALSE)</f>
        <v>-4.5401849625870749</v>
      </c>
      <c r="J294" s="167" cm="1">
        <f t="array" ref="J294">I294-VLOOKUP(B$2,H1:J407,2,FALSE)</f>
        <v>-9.855387337061039</v>
      </c>
    </row>
    <row r="295" spans="1:10" ht="21.25" customHeight="1" x14ac:dyDescent="0.15">
      <c r="A295" s="10" t="s">
        <v>680</v>
      </c>
      <c r="B295" s="165" t="str" cm="1">
        <f t="array" ref="B295">VLOOKUP(A295,'The List'!B1:D671,3,FALSE)</f>
        <v>LW,RW</v>
      </c>
      <c r="C295" s="74" cm="1">
        <f t="array" ref="C295">IF(Settings!$E$15="POINTS",RANK(E295,E3:E407),H295)</f>
        <v>228</v>
      </c>
      <c r="D295" s="18" t="str" cm="1">
        <f t="array" ref="D295">VLOOKUP(A295,'The List'!B1:F671,5,FALSE)</f>
        <v>WPG</v>
      </c>
      <c r="E295" s="55" cm="1">
        <f t="array" ref="E295">VLOOKUP(A295,'The List'!B1:I671,8,FALSE)</f>
        <v>-0.66577269043066101</v>
      </c>
      <c r="F295" s="55" cm="1">
        <f t="array" ref="F295">IF(Settings!$E$15="POINTS",E295-VLOOKUP(B$2,C1:E407,3,FALSE),J295)</f>
        <v>-5.9809750649046247</v>
      </c>
      <c r="G295" s="55"/>
      <c r="H295" s="166" cm="1">
        <f t="array" ref="H295">RANK(I295,I3:I407)</f>
        <v>228</v>
      </c>
      <c r="I295" s="167" cm="1">
        <f t="array" ref="I295">VLOOKUP(A295,'Standard Deviations'!A1:C672,3,FALSE)</f>
        <v>-0.66577269043066101</v>
      </c>
      <c r="J295" s="167" cm="1">
        <f t="array" ref="J295">I295-VLOOKUP(B$2,H1:J407,2,FALSE)</f>
        <v>-5.9809750649046247</v>
      </c>
    </row>
    <row r="296" spans="1:10" ht="21.25" customHeight="1" x14ac:dyDescent="0.15">
      <c r="A296" s="10" t="s">
        <v>685</v>
      </c>
      <c r="B296" s="165" t="str" cm="1">
        <f t="array" ref="B296">VLOOKUP(A296,'The List'!B1:D671,3,FALSE)</f>
        <v>LW</v>
      </c>
      <c r="C296" s="74" cm="1">
        <f t="array" ref="C296">IF(Settings!$E$15="POINTS",RANK(E296,E3:E407),H296)</f>
        <v>401</v>
      </c>
      <c r="D296" s="18" t="str" cm="1">
        <f t="array" ref="D296">VLOOKUP(A296,'The List'!B1:F671,5,FALSE)</f>
        <v>VAN</v>
      </c>
      <c r="E296" s="55" cm="1">
        <f t="array" ref="E296">VLOOKUP(A296,'The List'!B1:I671,8,FALSE)</f>
        <v>-5.1296216368504419</v>
      </c>
      <c r="F296" s="55" cm="1">
        <f t="array" ref="F296">IF(Settings!$E$15="POINTS",E296-VLOOKUP(B$2,C1:E407,3,FALSE),J296)</f>
        <v>-10.444824011324407</v>
      </c>
      <c r="G296" s="55"/>
      <c r="H296" s="166" cm="1">
        <f t="array" ref="H296">RANK(I296,I3:I407)</f>
        <v>401</v>
      </c>
      <c r="I296" s="167" cm="1">
        <f t="array" ref="I296">VLOOKUP(A296,'Standard Deviations'!A1:C672,3,FALSE)</f>
        <v>-5.1296216368504419</v>
      </c>
      <c r="J296" s="167" cm="1">
        <f t="array" ref="J296">I296-VLOOKUP(B$2,H1:J407,2,FALSE)</f>
        <v>-10.444824011324407</v>
      </c>
    </row>
    <row r="297" spans="1:10" ht="21.25" customHeight="1" x14ac:dyDescent="0.15">
      <c r="A297" s="10" t="s">
        <v>689</v>
      </c>
      <c r="B297" s="165" t="str" cm="1">
        <f t="array" ref="B297">VLOOKUP(A297,'The List'!B1:D671,3,FALSE)</f>
        <v>LW</v>
      </c>
      <c r="C297" s="74" cm="1">
        <f t="array" ref="C297">IF(Settings!$E$15="POINTS",RANK(E297,E3:E407),H297)</f>
        <v>243</v>
      </c>
      <c r="D297" s="18" t="str" cm="1">
        <f t="array" ref="D297">VLOOKUP(A297,'The List'!B1:F671,5,FALSE)</f>
        <v>UTA</v>
      </c>
      <c r="E297" s="55" cm="1">
        <f t="array" ref="E297">VLOOKUP(A297,'The List'!B1:I671,8,FALSE)</f>
        <v>-1.0074437014506903</v>
      </c>
      <c r="F297" s="55" cm="1">
        <f t="array" ref="F297">IF(Settings!$E$15="POINTS",E297-VLOOKUP(B$2,C1:E407,3,FALSE),J297)</f>
        <v>-6.3226460759246539</v>
      </c>
      <c r="G297" s="55"/>
      <c r="H297" s="166" cm="1">
        <f t="array" ref="H297">RANK(I297,I3:I407)</f>
        <v>243</v>
      </c>
      <c r="I297" s="167" cm="1">
        <f t="array" ref="I297">VLOOKUP(A297,'Standard Deviations'!A1:C672,3,FALSE)</f>
        <v>-1.0074437014506903</v>
      </c>
      <c r="J297" s="167" cm="1">
        <f t="array" ref="J297">I297-VLOOKUP(B$2,H1:J407,2,FALSE)</f>
        <v>-6.3226460759246539</v>
      </c>
    </row>
    <row r="298" spans="1:10" ht="21.25" customHeight="1" x14ac:dyDescent="0.15">
      <c r="A298" s="10" t="s">
        <v>691</v>
      </c>
      <c r="B298" s="165" t="str" cm="1">
        <f t="array" ref="B298">VLOOKUP(A298,'The List'!B1:D671,3,FALSE)</f>
        <v>LW</v>
      </c>
      <c r="C298" s="74" cm="1">
        <f t="array" ref="C298">IF(Settings!$E$15="POINTS",RANK(E298,E3:E407),H298)</f>
        <v>320</v>
      </c>
      <c r="D298" s="18" t="str" cm="1">
        <f t="array" ref="D298">VLOOKUP(A298,'The List'!B1:F671,5,FALSE)</f>
        <v>PHI</v>
      </c>
      <c r="E298" s="55" cm="1">
        <f t="array" ref="E298">VLOOKUP(A298,'The List'!B1:I671,8,FALSE)</f>
        <v>-2.542348297564009</v>
      </c>
      <c r="F298" s="55" cm="1">
        <f t="array" ref="F298">IF(Settings!$E$15="POINTS",E298-VLOOKUP(B$2,C1:E407,3,FALSE),J298)</f>
        <v>-7.8575506720379735</v>
      </c>
      <c r="G298" s="55"/>
      <c r="H298" s="166" cm="1">
        <f t="array" ref="H298">RANK(I298,I3:I407)</f>
        <v>320</v>
      </c>
      <c r="I298" s="167" cm="1">
        <f t="array" ref="I298">VLOOKUP(A298,'Standard Deviations'!A1:C672,3,FALSE)</f>
        <v>-2.542348297564009</v>
      </c>
      <c r="J298" s="167" cm="1">
        <f t="array" ref="J298">I298-VLOOKUP(B$2,H1:J407,2,FALSE)</f>
        <v>-7.8575506720379735</v>
      </c>
    </row>
    <row r="299" spans="1:10" ht="21.25" customHeight="1" x14ac:dyDescent="0.15">
      <c r="A299" s="10" t="s">
        <v>684</v>
      </c>
      <c r="B299" s="165" t="str" cm="1">
        <f t="array" ref="B299">VLOOKUP(A299,'The List'!B1:D671,3,FALSE)</f>
        <v>RW</v>
      </c>
      <c r="C299" s="74" cm="1">
        <f t="array" ref="C299">IF(Settings!$E$15="POINTS",RANK(E299,E3:E407),H299)</f>
        <v>301</v>
      </c>
      <c r="D299" s="18" t="str" cm="1">
        <f t="array" ref="D299">VLOOKUP(A299,'The List'!B1:F671,5,FALSE)</f>
        <v>WSH</v>
      </c>
      <c r="E299" s="55" cm="1">
        <f t="array" ref="E299">VLOOKUP(A299,'The List'!B1:I671,8,FALSE)</f>
        <v>-1.9100616998083231</v>
      </c>
      <c r="F299" s="55" cm="1">
        <f t="array" ref="F299">IF(Settings!$E$15="POINTS",E299-VLOOKUP(B$2,C1:E407,3,FALSE),J299)</f>
        <v>-7.2252640742822871</v>
      </c>
      <c r="G299" s="55"/>
      <c r="H299" s="166" cm="1">
        <f t="array" ref="H299">RANK(I299,I3:I407)</f>
        <v>301</v>
      </c>
      <c r="I299" s="167" cm="1">
        <f t="array" ref="I299">VLOOKUP(A299,'Standard Deviations'!A1:C672,3,FALSE)</f>
        <v>-1.9100616998083231</v>
      </c>
      <c r="J299" s="167" cm="1">
        <f t="array" ref="J299">I299-VLOOKUP(B$2,H1:J407,2,FALSE)</f>
        <v>-7.2252640742822871</v>
      </c>
    </row>
    <row r="300" spans="1:10" ht="21.25" customHeight="1" x14ac:dyDescent="0.15">
      <c r="A300" s="10" t="s">
        <v>695</v>
      </c>
      <c r="B300" s="165" t="str" cm="1">
        <f t="array" ref="B300">VLOOKUP(A300,'The List'!B1:D671,3,FALSE)</f>
        <v>C,LW</v>
      </c>
      <c r="C300" s="74" cm="1">
        <f t="array" ref="C300">IF(Settings!$E$15="POINTS",RANK(E300,E3:E407),H300)</f>
        <v>329</v>
      </c>
      <c r="D300" s="18" t="str" cm="1">
        <f t="array" ref="D300">VLOOKUP(A300,'The List'!B1:F671,5,FALSE)</f>
        <v>WPG</v>
      </c>
      <c r="E300" s="55" cm="1">
        <f t="array" ref="E300">VLOOKUP(A300,'The List'!B1:I671,8,FALSE)</f>
        <v>-2.7521995623433098</v>
      </c>
      <c r="F300" s="55" cm="1">
        <f t="array" ref="F300">IF(Settings!$E$15="POINTS",E300-VLOOKUP(B$2,C1:E407,3,FALSE),J300)</f>
        <v>-8.0674019368172729</v>
      </c>
      <c r="G300" s="55"/>
      <c r="H300" s="166" cm="1">
        <f t="array" ref="H300">RANK(I300,I3:I407)</f>
        <v>329</v>
      </c>
      <c r="I300" s="167" cm="1">
        <f t="array" ref="I300">VLOOKUP(A300,'Standard Deviations'!A1:C672,3,FALSE)</f>
        <v>-2.7521995623433098</v>
      </c>
      <c r="J300" s="167" cm="1">
        <f t="array" ref="J300">I300-VLOOKUP(B$2,H1:J407,2,FALSE)</f>
        <v>-8.0674019368172729</v>
      </c>
    </row>
    <row r="301" spans="1:10" ht="21.25" customHeight="1" x14ac:dyDescent="0.15">
      <c r="A301" s="10" t="s">
        <v>686</v>
      </c>
      <c r="B301" s="165" t="str" cm="1">
        <f t="array" ref="B301">VLOOKUP(A301,'The List'!B1:D671,3,FALSE)</f>
        <v>RW</v>
      </c>
      <c r="C301" s="74" cm="1">
        <f t="array" ref="C301">IF(Settings!$E$15="POINTS",RANK(E301,E3:E407),H301)</f>
        <v>245</v>
      </c>
      <c r="D301" s="18" t="str" cm="1">
        <f t="array" ref="D301">VLOOKUP(A301,'The List'!B1:F671,5,FALSE)</f>
        <v>MTL</v>
      </c>
      <c r="E301" s="55" cm="1">
        <f t="array" ref="E301">VLOOKUP(A301,'The List'!B1:I671,8,FALSE)</f>
        <v>-1.0511744711829583</v>
      </c>
      <c r="F301" s="55" cm="1">
        <f t="array" ref="F301">IF(Settings!$E$15="POINTS",E301-VLOOKUP(B$2,C1:E407,3,FALSE),J301)</f>
        <v>-6.3663768456569221</v>
      </c>
      <c r="G301" s="55"/>
      <c r="H301" s="166" cm="1">
        <f t="array" ref="H301">RANK(I301,I3:I407)</f>
        <v>245</v>
      </c>
      <c r="I301" s="167" cm="1">
        <f t="array" ref="I301">VLOOKUP(A301,'Standard Deviations'!A1:C672,3,FALSE)</f>
        <v>-1.0511744711829583</v>
      </c>
      <c r="J301" s="167" cm="1">
        <f t="array" ref="J301">I301-VLOOKUP(B$2,H1:J407,2,FALSE)</f>
        <v>-6.3663768456569221</v>
      </c>
    </row>
    <row r="302" spans="1:10" ht="21.25" customHeight="1" x14ac:dyDescent="0.15">
      <c r="A302" s="10" t="s">
        <v>687</v>
      </c>
      <c r="B302" s="165" t="str" cm="1">
        <f t="array" ref="B302">VLOOKUP(A302,'The List'!B1:D671,3,FALSE)</f>
        <v>C,RW</v>
      </c>
      <c r="C302" s="74" cm="1">
        <f t="array" ref="C302">IF(Settings!$E$15="POINTS",RANK(E302,E3:E407),H302)</f>
        <v>316</v>
      </c>
      <c r="D302" s="18" t="str" cm="1">
        <f t="array" ref="D302">VLOOKUP(A302,'The List'!B1:F671,5,FALSE)</f>
        <v>PHI</v>
      </c>
      <c r="E302" s="55" cm="1">
        <f t="array" ref="E302">VLOOKUP(A302,'The List'!B1:I671,8,FALSE)</f>
        <v>-2.4421427064460115</v>
      </c>
      <c r="F302" s="55" cm="1">
        <f t="array" ref="F302">IF(Settings!$E$15="POINTS",E302-VLOOKUP(B$2,C1:E407,3,FALSE),J302)</f>
        <v>-7.7573450809199755</v>
      </c>
      <c r="G302" s="55"/>
      <c r="H302" s="166" cm="1">
        <f t="array" ref="H302">RANK(I302,I3:I407)</f>
        <v>316</v>
      </c>
      <c r="I302" s="167" cm="1">
        <f t="array" ref="I302">VLOOKUP(A302,'Standard Deviations'!A1:C672,3,FALSE)</f>
        <v>-2.4421427064460115</v>
      </c>
      <c r="J302" s="167" cm="1">
        <f t="array" ref="J302">I302-VLOOKUP(B$2,H1:J407,2,FALSE)</f>
        <v>-7.7573450809199755</v>
      </c>
    </row>
    <row r="303" spans="1:10" ht="21.25" customHeight="1" x14ac:dyDescent="0.15">
      <c r="A303" s="10" t="s">
        <v>697</v>
      </c>
      <c r="B303" s="165" t="str" cm="1">
        <f t="array" ref="B303">VLOOKUP(A303,'The List'!B1:D671,3,FALSE)</f>
        <v>C,LW</v>
      </c>
      <c r="C303" s="74" cm="1">
        <f t="array" ref="C303">IF(Settings!$E$15="POINTS",RANK(E303,E3:E407),H303)</f>
        <v>356</v>
      </c>
      <c r="D303" s="18" t="str" cm="1">
        <f t="array" ref="D303">VLOOKUP(A303,'The List'!B1:F671,5,FALSE)</f>
        <v>DET</v>
      </c>
      <c r="E303" s="55" cm="1">
        <f t="array" ref="E303">VLOOKUP(A303,'The List'!B1:I671,8,FALSE)</f>
        <v>-3.2939768033201537</v>
      </c>
      <c r="F303" s="55" cm="1">
        <f t="array" ref="F303">IF(Settings!$E$15="POINTS",E303-VLOOKUP(B$2,C1:E407,3,FALSE),J303)</f>
        <v>-8.6091791777941182</v>
      </c>
      <c r="G303" s="55"/>
      <c r="H303" s="166" cm="1">
        <f t="array" ref="H303">RANK(I303,I3:I407)</f>
        <v>356</v>
      </c>
      <c r="I303" s="167" cm="1">
        <f t="array" ref="I303">VLOOKUP(A303,'Standard Deviations'!A1:C672,3,FALSE)</f>
        <v>-3.2939768033201537</v>
      </c>
      <c r="J303" s="167" cm="1">
        <f t="array" ref="J303">I303-VLOOKUP(B$2,H1:J407,2,FALSE)</f>
        <v>-8.6091791777941182</v>
      </c>
    </row>
    <row r="304" spans="1:10" ht="21.25" customHeight="1" x14ac:dyDescent="0.15">
      <c r="A304" s="10" t="s">
        <v>673</v>
      </c>
      <c r="B304" s="165" t="str" cm="1">
        <f t="array" ref="B304">VLOOKUP(A304,'The List'!B1:D671,3,FALSE)</f>
        <v>C</v>
      </c>
      <c r="C304" s="74" cm="1">
        <f t="array" ref="C304">IF(Settings!$E$15="POINTS",RANK(E304,E3:E407),H304)</f>
        <v>234</v>
      </c>
      <c r="D304" s="18" t="str" cm="1">
        <f t="array" ref="D304">VLOOKUP(A304,'The List'!B1:F671,5,FALSE)</f>
        <v>MIN</v>
      </c>
      <c r="E304" s="55" cm="1">
        <f t="array" ref="E304">VLOOKUP(A304,'The List'!B1:I671,8,FALSE)</f>
        <v>-0.80560685935972742</v>
      </c>
      <c r="F304" s="55" cm="1">
        <f t="array" ref="F304">IF(Settings!$E$15="POINTS",E304-VLOOKUP(B$2,C1:E407,3,FALSE),J304)</f>
        <v>-6.1208092338336915</v>
      </c>
      <c r="G304" s="55"/>
      <c r="H304" s="166" cm="1">
        <f t="array" ref="H304">RANK(I304,I3:I407)</f>
        <v>234</v>
      </c>
      <c r="I304" s="167" cm="1">
        <f t="array" ref="I304">VLOOKUP(A304,'Standard Deviations'!A1:C672,3,FALSE)</f>
        <v>-0.80560685935972742</v>
      </c>
      <c r="J304" s="167" cm="1">
        <f t="array" ref="J304">I304-VLOOKUP(B$2,H1:J407,2,FALSE)</f>
        <v>-6.1208092338336915</v>
      </c>
    </row>
    <row r="305" spans="1:10" ht="21.25" customHeight="1" x14ac:dyDescent="0.15">
      <c r="A305" s="10" t="s">
        <v>698</v>
      </c>
      <c r="B305" s="165" t="str" cm="1">
        <f t="array" ref="B305">VLOOKUP(A305,'The List'!B1:D671,3,FALSE)</f>
        <v>LW</v>
      </c>
      <c r="C305" s="74" cm="1">
        <f t="array" ref="C305">IF(Settings!$E$15="POINTS",RANK(E305,E3:E407),H305)</f>
        <v>333</v>
      </c>
      <c r="D305" s="18" t="str" cm="1">
        <f t="array" ref="D305">VLOOKUP(A305,'The List'!B1:F671,5,FALSE)</f>
        <v>CHI</v>
      </c>
      <c r="E305" s="55" cm="1">
        <f t="array" ref="E305">VLOOKUP(A305,'The List'!B1:I671,8,FALSE)</f>
        <v>-2.8368711303940675</v>
      </c>
      <c r="F305" s="55" cm="1">
        <f t="array" ref="F305">IF(Settings!$E$15="POINTS",E305-VLOOKUP(B$2,C1:E407,3,FALSE),J305)</f>
        <v>-8.1520735048680315</v>
      </c>
      <c r="G305" s="55"/>
      <c r="H305" s="166" cm="1">
        <f t="array" ref="H305">RANK(I305,I3:I407)</f>
        <v>333</v>
      </c>
      <c r="I305" s="167" cm="1">
        <f t="array" ref="I305">VLOOKUP(A305,'Standard Deviations'!A1:C672,3,FALSE)</f>
        <v>-2.8368711303940675</v>
      </c>
      <c r="J305" s="167" cm="1">
        <f t="array" ref="J305">I305-VLOOKUP(B$2,H1:J407,2,FALSE)</f>
        <v>-8.1520735048680315</v>
      </c>
    </row>
    <row r="306" spans="1:10" ht="21.25" customHeight="1" x14ac:dyDescent="0.15">
      <c r="A306" s="10" t="s">
        <v>700</v>
      </c>
      <c r="B306" s="165" t="str" cm="1">
        <f t="array" ref="B306">VLOOKUP(A306,'The List'!B1:D671,3,FALSE)</f>
        <v>LW</v>
      </c>
      <c r="C306" s="74" cm="1">
        <f t="array" ref="C306">IF(Settings!$E$15="POINTS",RANK(E306,E3:E407),H306)</f>
        <v>291</v>
      </c>
      <c r="D306" s="18" t="str" cm="1">
        <f t="array" ref="D306">VLOOKUP(A306,'The List'!B1:F671,5,FALSE)</f>
        <v>WSH</v>
      </c>
      <c r="E306" s="55" cm="1">
        <f t="array" ref="E306">VLOOKUP(A306,'The List'!B1:I671,8,FALSE)</f>
        <v>-1.7357624054724721</v>
      </c>
      <c r="F306" s="55" cm="1">
        <f t="array" ref="F306">IF(Settings!$E$15="POINTS",E306-VLOOKUP(B$2,C1:E407,3,FALSE),J306)</f>
        <v>-7.0509647799464359</v>
      </c>
      <c r="G306" s="55"/>
      <c r="H306" s="166" cm="1">
        <f t="array" ref="H306">RANK(I306,I3:I407)</f>
        <v>291</v>
      </c>
      <c r="I306" s="167" cm="1">
        <f t="array" ref="I306">VLOOKUP(A306,'Standard Deviations'!A1:C672,3,FALSE)</f>
        <v>-1.7357624054724721</v>
      </c>
      <c r="J306" s="167" cm="1">
        <f t="array" ref="J306">I306-VLOOKUP(B$2,H1:J407,2,FALSE)</f>
        <v>-7.0509647799464359</v>
      </c>
    </row>
    <row r="307" spans="1:10" ht="21.25" customHeight="1" x14ac:dyDescent="0.15">
      <c r="A307" s="10" t="s">
        <v>690</v>
      </c>
      <c r="B307" s="165" t="str" cm="1">
        <f t="array" ref="B307">VLOOKUP(A307,'The List'!B1:D671,3,FALSE)</f>
        <v>C,RW</v>
      </c>
      <c r="C307" s="74" cm="1">
        <f t="array" ref="C307">IF(Settings!$E$15="POINTS",RANK(E307,E3:E407),H307)</f>
        <v>236</v>
      </c>
      <c r="D307" s="18" t="str" cm="1">
        <f t="array" ref="D307">VLOOKUP(A307,'The List'!B1:F671,5,FALSE)</f>
        <v>BOS</v>
      </c>
      <c r="E307" s="55" cm="1">
        <f t="array" ref="E307">VLOOKUP(A307,'The List'!B1:I671,8,FALSE)</f>
        <v>-0.81661890518515745</v>
      </c>
      <c r="F307" s="55" cm="1">
        <f t="array" ref="F307">IF(Settings!$E$15="POINTS",E307-VLOOKUP(B$2,C1:E407,3,FALSE),J307)</f>
        <v>-6.1318212796591212</v>
      </c>
      <c r="G307" s="55"/>
      <c r="H307" s="166" cm="1">
        <f t="array" ref="H307">RANK(I307,I3:I407)</f>
        <v>236</v>
      </c>
      <c r="I307" s="167" cm="1">
        <f t="array" ref="I307">VLOOKUP(A307,'Standard Deviations'!A1:C672,3,FALSE)</f>
        <v>-0.81661890518515745</v>
      </c>
      <c r="J307" s="167" cm="1">
        <f t="array" ref="J307">I307-VLOOKUP(B$2,H1:J407,2,FALSE)</f>
        <v>-6.1318212796591212</v>
      </c>
    </row>
    <row r="308" spans="1:10" ht="21.25" customHeight="1" x14ac:dyDescent="0.15">
      <c r="A308" s="10" t="s">
        <v>692</v>
      </c>
      <c r="B308" s="165" t="str" cm="1">
        <f t="array" ref="B308">VLOOKUP(A308,'The List'!B1:D671,3,FALSE)</f>
        <v>RW</v>
      </c>
      <c r="C308" s="74" cm="1">
        <f t="array" ref="C308">IF(Settings!$E$15="POINTS",RANK(E308,E3:E407),H308)</f>
        <v>303</v>
      </c>
      <c r="D308" s="18" t="str" cm="1">
        <f t="array" ref="D308">VLOOKUP(A308,'The List'!B1:F671,5,FALSE)</f>
        <v>MIN</v>
      </c>
      <c r="E308" s="55" cm="1">
        <f t="array" ref="E308">VLOOKUP(A308,'The List'!B1:I671,8,FALSE)</f>
        <v>-2.0105980973910089</v>
      </c>
      <c r="F308" s="55" cm="1">
        <f t="array" ref="F308">IF(Settings!$E$15="POINTS",E308-VLOOKUP(B$2,C1:E407,3,FALSE),J308)</f>
        <v>-7.325800471864973</v>
      </c>
      <c r="G308" s="55"/>
      <c r="H308" s="166" cm="1">
        <f t="array" ref="H308">RANK(I308,I3:I407)</f>
        <v>303</v>
      </c>
      <c r="I308" s="167" cm="1">
        <f t="array" ref="I308">VLOOKUP(A308,'Standard Deviations'!A1:C672,3,FALSE)</f>
        <v>-2.0105980973910089</v>
      </c>
      <c r="J308" s="167" cm="1">
        <f t="array" ref="J308">I308-VLOOKUP(B$2,H1:J407,2,FALSE)</f>
        <v>-7.325800471864973</v>
      </c>
    </row>
    <row r="309" spans="1:10" ht="21.25" customHeight="1" x14ac:dyDescent="0.15">
      <c r="A309" s="10" t="s">
        <v>702</v>
      </c>
      <c r="B309" s="165" t="str" cm="1">
        <f t="array" ref="B309">VLOOKUP(A309,'The List'!B1:D671,3,FALSE)</f>
        <v>LW</v>
      </c>
      <c r="C309" s="74" cm="1">
        <f t="array" ref="C309">IF(Settings!$E$15="POINTS",RANK(E309,E3:E407),H309)</f>
        <v>298</v>
      </c>
      <c r="D309" s="18" t="str" cm="1">
        <f t="array" ref="D309">VLOOKUP(A309,'The List'!B1:F671,5,FALSE)</f>
        <v>PHI</v>
      </c>
      <c r="E309" s="55" cm="1">
        <f t="array" ref="E309">VLOOKUP(A309,'The List'!B1:I671,8,FALSE)</f>
        <v>-1.9006701707233571</v>
      </c>
      <c r="F309" s="55" cm="1">
        <f t="array" ref="F309">IF(Settings!$E$15="POINTS",E309-VLOOKUP(B$2,C1:E407,3,FALSE),J309)</f>
        <v>-7.2158725451973211</v>
      </c>
      <c r="G309" s="55"/>
      <c r="H309" s="166" cm="1">
        <f t="array" ref="H309">RANK(I309,I3:I407)</f>
        <v>298</v>
      </c>
      <c r="I309" s="167" cm="1">
        <f t="array" ref="I309">VLOOKUP(A309,'Standard Deviations'!A1:C672,3,FALSE)</f>
        <v>-1.9006701707233571</v>
      </c>
      <c r="J309" s="167" cm="1">
        <f t="array" ref="J309">I309-VLOOKUP(B$2,H1:J407,2,FALSE)</f>
        <v>-7.2158725451973211</v>
      </c>
    </row>
    <row r="310" spans="1:10" ht="21.25" customHeight="1" x14ac:dyDescent="0.15">
      <c r="A310" s="10" t="s">
        <v>693</v>
      </c>
      <c r="B310" s="165" t="str" cm="1">
        <f t="array" ref="B310">VLOOKUP(A310,'The List'!B1:D671,3,FALSE)</f>
        <v>C,LW,RW</v>
      </c>
      <c r="C310" s="74" cm="1">
        <f t="array" ref="C310">IF(Settings!$E$15="POINTS",RANK(E310,E3:E407),H310)</f>
        <v>387</v>
      </c>
      <c r="D310" s="18" t="str" cm="1">
        <f t="array" ref="D310">VLOOKUP(A310,'The List'!B1:F671,5,FALSE)</f>
        <v>NSH</v>
      </c>
      <c r="E310" s="55" cm="1">
        <f t="array" ref="E310">VLOOKUP(A310,'The List'!B1:I671,8,FALSE)</f>
        <v>-4.1446360347583466</v>
      </c>
      <c r="F310" s="55" cm="1">
        <f t="array" ref="F310">IF(Settings!$E$15="POINTS",E310-VLOOKUP(B$2,C1:E407,3,FALSE),J310)</f>
        <v>-9.4598384092323116</v>
      </c>
      <c r="G310" s="55"/>
      <c r="H310" s="166" cm="1">
        <f t="array" ref="H310">RANK(I310,I3:I407)</f>
        <v>387</v>
      </c>
      <c r="I310" s="167" cm="1">
        <f t="array" ref="I310">VLOOKUP(A310,'Standard Deviations'!A1:C672,3,FALSE)</f>
        <v>-4.1446360347583466</v>
      </c>
      <c r="J310" s="167" cm="1">
        <f t="array" ref="J310">I310-VLOOKUP(B$2,H1:J407,2,FALSE)</f>
        <v>-9.4598384092323116</v>
      </c>
    </row>
    <row r="311" spans="1:10" ht="21.25" customHeight="1" x14ac:dyDescent="0.15">
      <c r="A311" s="10" t="s">
        <v>696</v>
      </c>
      <c r="B311" s="165" t="str" cm="1">
        <f t="array" ref="B311">VLOOKUP(A311,'The List'!B1:D671,3,FALSE)</f>
        <v>RW</v>
      </c>
      <c r="C311" s="74" cm="1">
        <f t="array" ref="C311">IF(Settings!$E$15="POINTS",RANK(E311,E3:E407),H311)</f>
        <v>288</v>
      </c>
      <c r="D311" s="18" t="str" cm="1">
        <f t="array" ref="D311">VLOOKUP(A311,'The List'!B1:F671,5,FALSE)</f>
        <v>T.B</v>
      </c>
      <c r="E311" s="55" cm="1">
        <f t="array" ref="E311">VLOOKUP(A311,'The List'!B1:I671,8,FALSE)</f>
        <v>-1.7204186641133012</v>
      </c>
      <c r="F311" s="55" cm="1">
        <f t="array" ref="F311">IF(Settings!$E$15="POINTS",E311-VLOOKUP(B$2,C1:E407,3,FALSE),J311)</f>
        <v>-7.0356210385872657</v>
      </c>
      <c r="G311" s="55"/>
      <c r="H311" s="166" cm="1">
        <f t="array" ref="H311">RANK(I311,I3:I407)</f>
        <v>288</v>
      </c>
      <c r="I311" s="167" cm="1">
        <f t="array" ref="I311">VLOOKUP(A311,'Standard Deviations'!A1:C672,3,FALSE)</f>
        <v>-1.7204186641133012</v>
      </c>
      <c r="J311" s="167" cm="1">
        <f t="array" ref="J311">I311-VLOOKUP(B$2,H1:J407,2,FALSE)</f>
        <v>-7.0356210385872657</v>
      </c>
    </row>
    <row r="312" spans="1:10" ht="21.25" customHeight="1" x14ac:dyDescent="0.15">
      <c r="A312" s="10" t="s">
        <v>706</v>
      </c>
      <c r="B312" s="165" t="str" cm="1">
        <f t="array" ref="B312">VLOOKUP(A312,'The List'!B1:D671,3,FALSE)</f>
        <v>LW</v>
      </c>
      <c r="C312" s="74" cm="1">
        <f t="array" ref="C312">IF(Settings!$E$15="POINTS",RANK(E312,E3:E407),H312)</f>
        <v>323</v>
      </c>
      <c r="D312" s="18" t="str" cm="1">
        <f t="array" ref="D312">VLOOKUP(A312,'The List'!B1:F671,5,FALSE)</f>
        <v>NSH</v>
      </c>
      <c r="E312" s="55" cm="1">
        <f t="array" ref="E312">VLOOKUP(A312,'The List'!B1:I671,8,FALSE)</f>
        <v>-2.6535354085982439</v>
      </c>
      <c r="F312" s="55" cm="1">
        <f t="array" ref="F312">IF(Settings!$E$15="POINTS",E312-VLOOKUP(B$2,C1:E407,3,FALSE),J312)</f>
        <v>-7.9687377830722079</v>
      </c>
      <c r="G312" s="55"/>
      <c r="H312" s="166" cm="1">
        <f t="array" ref="H312">RANK(I312,I3:I407)</f>
        <v>323</v>
      </c>
      <c r="I312" s="167" cm="1">
        <f t="array" ref="I312">VLOOKUP(A312,'Standard Deviations'!A1:C672,3,FALSE)</f>
        <v>-2.6535354085982439</v>
      </c>
      <c r="J312" s="167" cm="1">
        <f t="array" ref="J312">I312-VLOOKUP(B$2,H1:J407,2,FALSE)</f>
        <v>-7.9687377830722079</v>
      </c>
    </row>
    <row r="313" spans="1:10" ht="21.25" customHeight="1" x14ac:dyDescent="0.15">
      <c r="A313" s="10" t="s">
        <v>703</v>
      </c>
      <c r="B313" s="165" t="str" cm="1">
        <f t="array" ref="B313">VLOOKUP(A313,'The List'!B1:D671,3,FALSE)</f>
        <v>C,RW</v>
      </c>
      <c r="C313" s="74" cm="1">
        <f t="array" ref="C313">IF(Settings!$E$15="POINTS",RANK(E313,E3:E407),H313)</f>
        <v>371</v>
      </c>
      <c r="D313" s="18" t="str" cm="1">
        <f t="array" ref="D313">VLOOKUP(A313,'The List'!B1:F671,5,FALSE)</f>
        <v>CHI</v>
      </c>
      <c r="E313" s="55" cm="1">
        <f t="array" ref="E313">VLOOKUP(A313,'The List'!B1:I671,8,FALSE)</f>
        <v>-3.6620152094877709</v>
      </c>
      <c r="F313" s="55" cm="1">
        <f t="array" ref="F313">IF(Settings!$E$15="POINTS",E313-VLOOKUP(B$2,C1:E407,3,FALSE),J313)</f>
        <v>-8.9772175839617354</v>
      </c>
      <c r="G313" s="55"/>
      <c r="H313" s="166" cm="1">
        <f t="array" ref="H313">RANK(I313,I3:I407)</f>
        <v>371</v>
      </c>
      <c r="I313" s="167" cm="1">
        <f t="array" ref="I313">VLOOKUP(A313,'Standard Deviations'!A1:C672,3,FALSE)</f>
        <v>-3.6620152094877709</v>
      </c>
      <c r="J313" s="167" cm="1">
        <f t="array" ref="J313">I313-VLOOKUP(B$2,H1:J407,2,FALSE)</f>
        <v>-8.9772175839617354</v>
      </c>
    </row>
    <row r="314" spans="1:10" ht="21.25" customHeight="1" x14ac:dyDescent="0.15">
      <c r="A314" s="10" t="s">
        <v>688</v>
      </c>
      <c r="B314" s="165" t="str" cm="1">
        <f t="array" ref="B314">VLOOKUP(A314,'The List'!B1:D671,3,FALSE)</f>
        <v>C</v>
      </c>
      <c r="C314" s="74" cm="1">
        <f t="array" ref="C314">IF(Settings!$E$15="POINTS",RANK(E314,E3:E407),H314)</f>
        <v>284</v>
      </c>
      <c r="D314" s="18" t="str" cm="1">
        <f t="array" ref="D314">VLOOKUP(A314,'The List'!B1:F671,5,FALSE)</f>
        <v>EDM</v>
      </c>
      <c r="E314" s="55" cm="1">
        <f t="array" ref="E314">VLOOKUP(A314,'The List'!B1:I671,8,FALSE)</f>
        <v>-1.6400950552983609</v>
      </c>
      <c r="F314" s="55" cm="1">
        <f t="array" ref="F314">IF(Settings!$E$15="POINTS",E314-VLOOKUP(B$2,C1:E407,3,FALSE),J314)</f>
        <v>-6.9552974297723251</v>
      </c>
      <c r="G314" s="55"/>
      <c r="H314" s="166" cm="1">
        <f t="array" ref="H314">RANK(I314,I3:I407)</f>
        <v>284</v>
      </c>
      <c r="I314" s="167" cm="1">
        <f t="array" ref="I314">VLOOKUP(A314,'Standard Deviations'!A1:C672,3,FALSE)</f>
        <v>-1.6400950552983609</v>
      </c>
      <c r="J314" s="167" cm="1">
        <f t="array" ref="J314">I314-VLOOKUP(B$2,H1:J407,2,FALSE)</f>
        <v>-6.9552974297723251</v>
      </c>
    </row>
    <row r="315" spans="1:10" ht="21.25" customHeight="1" x14ac:dyDescent="0.15">
      <c r="A315" s="10" t="s">
        <v>714</v>
      </c>
      <c r="B315" s="165" t="str" cm="1">
        <f t="array" ref="B315">VLOOKUP(A315,'The List'!B1:D671,3,FALSE)</f>
        <v>LW</v>
      </c>
      <c r="C315" s="74" cm="1">
        <f t="array" ref="C315">IF(Settings!$E$15="POINTS",RANK(E315,E3:E407),H315)</f>
        <v>238</v>
      </c>
      <c r="D315" s="18" t="str" cm="1">
        <f t="array" ref="D315">VLOOKUP(A315,'The List'!B1:F671,5,FALSE)</f>
        <v>NYR</v>
      </c>
      <c r="E315" s="55" cm="1">
        <f t="array" ref="E315">VLOOKUP(A315,'The List'!B1:I671,8,FALSE)</f>
        <v>-0.86211263915304626</v>
      </c>
      <c r="F315" s="55" cm="1">
        <f t="array" ref="F315">IF(Settings!$E$15="POINTS",E315-VLOOKUP(B$2,C1:E407,3,FALSE),J315)</f>
        <v>-6.1773150136270107</v>
      </c>
      <c r="G315" s="55"/>
      <c r="H315" s="166" cm="1">
        <f t="array" ref="H315">RANK(I315,I3:I407)</f>
        <v>238</v>
      </c>
      <c r="I315" s="167" cm="1">
        <f t="array" ref="I315">VLOOKUP(A315,'Standard Deviations'!A1:C672,3,FALSE)</f>
        <v>-0.86211263915304626</v>
      </c>
      <c r="J315" s="167" cm="1">
        <f t="array" ref="J315">I315-VLOOKUP(B$2,H1:J407,2,FALSE)</f>
        <v>-6.1773150136270107</v>
      </c>
    </row>
    <row r="316" spans="1:10" ht="21.25" customHeight="1" x14ac:dyDescent="0.15">
      <c r="A316" s="10" t="s">
        <v>707</v>
      </c>
      <c r="B316" s="165" t="str" cm="1">
        <f t="array" ref="B316">VLOOKUP(A316,'The List'!B1:D671,3,FALSE)</f>
        <v>RW</v>
      </c>
      <c r="C316" s="74" cm="1">
        <f t="array" ref="C316">IF(Settings!$E$15="POINTS",RANK(E316,E3:E407),H316)</f>
        <v>352</v>
      </c>
      <c r="D316" s="18" t="str" cm="1">
        <f t="array" ref="D316">VLOOKUP(A316,'The List'!B1:F671,5,FALSE)</f>
        <v>L.A</v>
      </c>
      <c r="E316" s="55" cm="1">
        <f t="array" ref="E316">VLOOKUP(A316,'The List'!B1:I671,8,FALSE)</f>
        <v>-3.1771374448866836</v>
      </c>
      <c r="F316" s="55" cm="1">
        <f t="array" ref="F316">IF(Settings!$E$15="POINTS",E316-VLOOKUP(B$2,C1:E407,3,FALSE),J316)</f>
        <v>-8.4923398193606481</v>
      </c>
      <c r="G316" s="55"/>
      <c r="H316" s="166" cm="1">
        <f t="array" ref="H316">RANK(I316,I3:I407)</f>
        <v>352</v>
      </c>
      <c r="I316" s="167" cm="1">
        <f t="array" ref="I316">VLOOKUP(A316,'Standard Deviations'!A1:C672,3,FALSE)</f>
        <v>-3.1771374448866836</v>
      </c>
      <c r="J316" s="167" cm="1">
        <f t="array" ref="J316">I316-VLOOKUP(B$2,H1:J407,2,FALSE)</f>
        <v>-8.4923398193606481</v>
      </c>
    </row>
    <row r="317" spans="1:10" ht="21.25" customHeight="1" x14ac:dyDescent="0.15">
      <c r="A317" s="10" t="s">
        <v>708</v>
      </c>
      <c r="B317" s="165" t="str" cm="1">
        <f t="array" ref="B317">VLOOKUP(A317,'The List'!B1:D671,3,FALSE)</f>
        <v>C,RW</v>
      </c>
      <c r="C317" s="74" cm="1">
        <f t="array" ref="C317">IF(Settings!$E$15="POINTS",RANK(E317,E3:E407),H317)</f>
        <v>289</v>
      </c>
      <c r="D317" s="18" t="str" cm="1">
        <f t="array" ref="D317">VLOOKUP(A317,'The List'!B1:F671,5,FALSE)</f>
        <v>DAL</v>
      </c>
      <c r="E317" s="55" cm="1">
        <f t="array" ref="E317">VLOOKUP(A317,'The List'!B1:I671,8,FALSE)</f>
        <v>-1.726368971078331</v>
      </c>
      <c r="F317" s="55" cm="1">
        <f t="array" ref="F317">IF(Settings!$E$15="POINTS",E317-VLOOKUP(B$2,C1:E407,3,FALSE),J317)</f>
        <v>-7.0415713455522955</v>
      </c>
      <c r="G317" s="55"/>
      <c r="H317" s="166" cm="1">
        <f t="array" ref="H317">RANK(I317,I3:I407)</f>
        <v>289</v>
      </c>
      <c r="I317" s="167" cm="1">
        <f t="array" ref="I317">VLOOKUP(A317,'Standard Deviations'!A1:C672,3,FALSE)</f>
        <v>-1.726368971078331</v>
      </c>
      <c r="J317" s="167" cm="1">
        <f t="array" ref="J317">I317-VLOOKUP(B$2,H1:J407,2,FALSE)</f>
        <v>-7.0415713455522955</v>
      </c>
    </row>
    <row r="318" spans="1:10" ht="21.25" customHeight="1" x14ac:dyDescent="0.15">
      <c r="A318" s="10" t="s">
        <v>694</v>
      </c>
      <c r="B318" s="165" t="str" cm="1">
        <f t="array" ref="B318">VLOOKUP(A318,'The List'!B1:D671,3,FALSE)</f>
        <v>C</v>
      </c>
      <c r="C318" s="74" cm="1">
        <f t="array" ref="C318">IF(Settings!$E$15="POINTS",RANK(E318,E3:E407),H318)</f>
        <v>357</v>
      </c>
      <c r="D318" s="18" t="str" cm="1">
        <f t="array" ref="D318">VLOOKUP(A318,'The List'!B1:F671,5,FALSE)</f>
        <v>PIT</v>
      </c>
      <c r="E318" s="55" cm="1">
        <f t="array" ref="E318">VLOOKUP(A318,'The List'!B1:I671,8,FALSE)</f>
        <v>-3.3650554549362419</v>
      </c>
      <c r="F318" s="55" cm="1">
        <f t="array" ref="F318">IF(Settings!$E$15="POINTS",E318-VLOOKUP(B$2,C1:E407,3,FALSE),J318)</f>
        <v>-8.6802578294102055</v>
      </c>
      <c r="G318" s="55"/>
      <c r="H318" s="166" cm="1">
        <f t="array" ref="H318">RANK(I318,I3:I407)</f>
        <v>357</v>
      </c>
      <c r="I318" s="167" cm="1">
        <f t="array" ref="I318">VLOOKUP(A318,'Standard Deviations'!A1:C672,3,FALSE)</f>
        <v>-3.3650554549362419</v>
      </c>
      <c r="J318" s="167" cm="1">
        <f t="array" ref="J318">I318-VLOOKUP(B$2,H1:J407,2,FALSE)</f>
        <v>-8.6802578294102055</v>
      </c>
    </row>
    <row r="319" spans="1:10" ht="21.25" customHeight="1" x14ac:dyDescent="0.15">
      <c r="A319" s="10" t="s">
        <v>709</v>
      </c>
      <c r="B319" s="165" t="str" cm="1">
        <f t="array" ref="B319">VLOOKUP(A319,'The List'!B1:D671,3,FALSE)</f>
        <v>C,LW,RW</v>
      </c>
      <c r="C319" s="74" cm="1">
        <f t="array" ref="C319">IF(Settings!$E$15="POINTS",RANK(E319,E3:E407),H319)</f>
        <v>117</v>
      </c>
      <c r="D319" s="18" t="str" cm="1">
        <f t="array" ref="D319">VLOOKUP(A319,'The List'!B1:F671,5,FALSE)</f>
        <v>MIN</v>
      </c>
      <c r="E319" s="55" cm="1">
        <f t="array" ref="E319">VLOOKUP(A319,'The List'!B1:I671,8,FALSE)</f>
        <v>2.6923313742704238</v>
      </c>
      <c r="F319" s="55" cm="1">
        <f t="array" ref="F319">IF(Settings!$E$15="POINTS",E319-VLOOKUP(B$2,C1:E407,3,FALSE),J319)</f>
        <v>-2.6228710002035402</v>
      </c>
      <c r="G319" s="55"/>
      <c r="H319" s="166" cm="1">
        <f t="array" ref="H319">RANK(I319,I3:I407)</f>
        <v>117</v>
      </c>
      <c r="I319" s="167" cm="1">
        <f t="array" ref="I319">VLOOKUP(A319,'Standard Deviations'!A1:C672,3,FALSE)</f>
        <v>2.6923313742704238</v>
      </c>
      <c r="J319" s="167" cm="1">
        <f t="array" ref="J319">I319-VLOOKUP(B$2,H1:J407,2,FALSE)</f>
        <v>-2.6228710002035402</v>
      </c>
    </row>
    <row r="320" spans="1:10" ht="21.25" customHeight="1" x14ac:dyDescent="0.15">
      <c r="A320" s="10" t="s">
        <v>710</v>
      </c>
      <c r="B320" s="165" t="str" cm="1">
        <f t="array" ref="B320">VLOOKUP(A320,'The List'!B1:D671,3,FALSE)</f>
        <v>C,RW</v>
      </c>
      <c r="C320" s="74" cm="1">
        <f t="array" ref="C320">IF(Settings!$E$15="POINTS",RANK(E320,E3:E407),H320)</f>
        <v>335</v>
      </c>
      <c r="D320" s="18" t="str" cm="1">
        <f t="array" ref="D320">VLOOKUP(A320,'The List'!B1:F671,5,FALSE)</f>
        <v>BOS</v>
      </c>
      <c r="E320" s="55" cm="1">
        <f t="array" ref="E320">VLOOKUP(A320,'The List'!B1:I671,8,FALSE)</f>
        <v>-2.9092596885174622</v>
      </c>
      <c r="F320" s="55" cm="1">
        <f t="array" ref="F320">IF(Settings!$E$15="POINTS",E320-VLOOKUP(B$2,C1:E407,3,FALSE),J320)</f>
        <v>-8.2244620629914262</v>
      </c>
      <c r="G320" s="55"/>
      <c r="H320" s="166" cm="1">
        <f t="array" ref="H320">RANK(I320,I3:I407)</f>
        <v>335</v>
      </c>
      <c r="I320" s="167" cm="1">
        <f t="array" ref="I320">VLOOKUP(A320,'Standard Deviations'!A1:C672,3,FALSE)</f>
        <v>-2.9092596885174622</v>
      </c>
      <c r="J320" s="167" cm="1">
        <f t="array" ref="J320">I320-VLOOKUP(B$2,H1:J407,2,FALSE)</f>
        <v>-8.2244620629914262</v>
      </c>
    </row>
    <row r="321" spans="1:10" ht="21.25" customHeight="1" x14ac:dyDescent="0.15">
      <c r="A321" s="10" t="s">
        <v>711</v>
      </c>
      <c r="B321" s="165" t="str" cm="1">
        <f t="array" ref="B321">VLOOKUP(A321,'The List'!B1:D671,3,FALSE)</f>
        <v>RW</v>
      </c>
      <c r="C321" s="74" cm="1">
        <f t="array" ref="C321">IF(Settings!$E$15="POINTS",RANK(E321,E3:E407),H321)</f>
        <v>355</v>
      </c>
      <c r="D321" s="18" t="str" cm="1">
        <f t="array" ref="D321">VLOOKUP(A321,'The List'!B1:F671,5,FALSE)</f>
        <v>L.A</v>
      </c>
      <c r="E321" s="55" cm="1">
        <f t="array" ref="E321">VLOOKUP(A321,'The List'!B1:I671,8,FALSE)</f>
        <v>-3.2894602419570238</v>
      </c>
      <c r="F321" s="55" cm="1">
        <f t="array" ref="F321">IF(Settings!$E$15="POINTS",E321-VLOOKUP(B$2,C1:E407,3,FALSE),J321)</f>
        <v>-8.6046626164309874</v>
      </c>
      <c r="G321" s="55"/>
      <c r="H321" s="166" cm="1">
        <f t="array" ref="H321">RANK(I321,I3:I407)</f>
        <v>355</v>
      </c>
      <c r="I321" s="167" cm="1">
        <f t="array" ref="I321">VLOOKUP(A321,'Standard Deviations'!A1:C672,3,FALSE)</f>
        <v>-3.2894602419570238</v>
      </c>
      <c r="J321" s="167" cm="1">
        <f t="array" ref="J321">I321-VLOOKUP(B$2,H1:J407,2,FALSE)</f>
        <v>-8.6046626164309874</v>
      </c>
    </row>
    <row r="322" spans="1:10" ht="21.25" customHeight="1" x14ac:dyDescent="0.15">
      <c r="A322" s="10" t="s">
        <v>712</v>
      </c>
      <c r="B322" s="165" t="str" cm="1">
        <f t="array" ref="B322">VLOOKUP(A322,'The List'!B1:D671,3,FALSE)</f>
        <v>LW,RW</v>
      </c>
      <c r="C322" s="74" cm="1">
        <f t="array" ref="C322">IF(Settings!$E$15="POINTS",RANK(E322,E3:E407),H322)</f>
        <v>306</v>
      </c>
      <c r="D322" s="18" t="str" cm="1">
        <f t="array" ref="D322">VLOOKUP(A322,'The List'!B1:F671,5,FALSE)</f>
        <v>STL</v>
      </c>
      <c r="E322" s="55" cm="1">
        <f t="array" ref="E322">VLOOKUP(A322,'The List'!B1:I671,8,FALSE)</f>
        <v>-2.2554325284737589</v>
      </c>
      <c r="F322" s="55" cm="1">
        <f t="array" ref="F322">IF(Settings!$E$15="POINTS",E322-VLOOKUP(B$2,C1:E407,3,FALSE),J322)</f>
        <v>-7.5706349029477229</v>
      </c>
      <c r="G322" s="55"/>
      <c r="H322" s="166" cm="1">
        <f t="array" ref="H322">RANK(I322,I3:I407)</f>
        <v>306</v>
      </c>
      <c r="I322" s="167" cm="1">
        <f t="array" ref="I322">VLOOKUP(A322,'Standard Deviations'!A1:C672,3,FALSE)</f>
        <v>-2.2554325284737589</v>
      </c>
      <c r="J322" s="167" cm="1">
        <f t="array" ref="J322">I322-VLOOKUP(B$2,H1:J407,2,FALSE)</f>
        <v>-7.5706349029477229</v>
      </c>
    </row>
    <row r="323" spans="1:10" ht="21.25" customHeight="1" x14ac:dyDescent="0.15">
      <c r="A323" s="10" t="s">
        <v>713</v>
      </c>
      <c r="B323" s="165" t="str" cm="1">
        <f t="array" ref="B323">VLOOKUP(A323,'The List'!B1:D671,3,FALSE)</f>
        <v>RW</v>
      </c>
      <c r="C323" s="74" cm="1">
        <f t="array" ref="C323">IF(Settings!$E$15="POINTS",RANK(E323,E3:E407),H323)</f>
        <v>248</v>
      </c>
      <c r="D323" s="18" t="str" cm="1">
        <f t="array" ref="D323">VLOOKUP(A323,'The List'!B1:F671,5,FALSE)</f>
        <v>CGY</v>
      </c>
      <c r="E323" s="55" cm="1">
        <f t="array" ref="E323">VLOOKUP(A323,'The List'!B1:I671,8,FALSE)</f>
        <v>-1.0808650551433439</v>
      </c>
      <c r="F323" s="55" cm="1">
        <f t="array" ref="F323">IF(Settings!$E$15="POINTS",E323-VLOOKUP(B$2,C1:E407,3,FALSE),J323)</f>
        <v>-6.3960674296173075</v>
      </c>
      <c r="G323" s="55"/>
      <c r="H323" s="166" cm="1">
        <f t="array" ref="H323">RANK(I323,I3:I407)</f>
        <v>248</v>
      </c>
      <c r="I323" s="167" cm="1">
        <f t="array" ref="I323">VLOOKUP(A323,'Standard Deviations'!A1:C672,3,FALSE)</f>
        <v>-1.0808650551433439</v>
      </c>
      <c r="J323" s="167" cm="1">
        <f t="array" ref="J323">I323-VLOOKUP(B$2,H1:J407,2,FALSE)</f>
        <v>-6.3960674296173075</v>
      </c>
    </row>
    <row r="324" spans="1:10" ht="21.25" customHeight="1" x14ac:dyDescent="0.15">
      <c r="A324" s="10" t="s">
        <v>699</v>
      </c>
      <c r="B324" s="165" t="str" cm="1">
        <f t="array" ref="B324">VLOOKUP(A324,'The List'!B1:D671,3,FALSE)</f>
        <v>C</v>
      </c>
      <c r="C324" s="74" cm="1">
        <f t="array" ref="C324">IF(Settings!$E$15="POINTS",RANK(E324,E3:E407),H324)</f>
        <v>262</v>
      </c>
      <c r="D324" s="18" t="str" cm="1">
        <f t="array" ref="D324">VLOOKUP(A324,'The List'!B1:F671,5,FALSE)</f>
        <v>T.B</v>
      </c>
      <c r="E324" s="55" cm="1">
        <f t="array" ref="E324">VLOOKUP(A324,'The List'!B1:I671,8,FALSE)</f>
        <v>-1.2449233031889242</v>
      </c>
      <c r="F324" s="55" cm="1">
        <f t="array" ref="F324">IF(Settings!$E$15="POINTS",E324-VLOOKUP(B$2,C1:E407,3,FALSE),J324)</f>
        <v>-6.5601256776628887</v>
      </c>
      <c r="G324" s="55"/>
      <c r="H324" s="166" cm="1">
        <f t="array" ref="H324">RANK(I324,I3:I407)</f>
        <v>262</v>
      </c>
      <c r="I324" s="167" cm="1">
        <f t="array" ref="I324">VLOOKUP(A324,'Standard Deviations'!A1:C672,3,FALSE)</f>
        <v>-1.2449233031889242</v>
      </c>
      <c r="J324" s="167" cm="1">
        <f t="array" ref="J324">I324-VLOOKUP(B$2,H1:J407,2,FALSE)</f>
        <v>-6.5601256776628887</v>
      </c>
    </row>
    <row r="325" spans="1:10" ht="21.25" customHeight="1" x14ac:dyDescent="0.15">
      <c r="A325" s="10" t="s">
        <v>715</v>
      </c>
      <c r="B325" s="165" t="str" cm="1">
        <f t="array" ref="B325">VLOOKUP(A325,'The List'!B1:D671,3,FALSE)</f>
        <v>RW</v>
      </c>
      <c r="C325" s="74" cm="1">
        <f t="array" ref="C325">IF(Settings!$E$15="POINTS",RANK(E325,E3:E407),H325)</f>
        <v>346</v>
      </c>
      <c r="D325" s="18" t="str" cm="1">
        <f t="array" ref="D325">VLOOKUP(A325,'The List'!B1:F671,5,FALSE)</f>
        <v>WPG</v>
      </c>
      <c r="E325" s="55" cm="1">
        <f t="array" ref="E325">VLOOKUP(A325,'The List'!B1:I671,8,FALSE)</f>
        <v>-3.0971480404689538</v>
      </c>
      <c r="F325" s="55" cm="1">
        <f t="array" ref="F325">IF(Settings!$E$15="POINTS",E325-VLOOKUP(B$2,C1:E407,3,FALSE),J325)</f>
        <v>-8.4123504149429174</v>
      </c>
      <c r="G325" s="55"/>
      <c r="H325" s="166" cm="1">
        <f t="array" ref="H325">RANK(I325,I3:I407)</f>
        <v>346</v>
      </c>
      <c r="I325" s="167" cm="1">
        <f t="array" ref="I325">VLOOKUP(A325,'Standard Deviations'!A1:C672,3,FALSE)</f>
        <v>-3.0971480404689538</v>
      </c>
      <c r="J325" s="167" cm="1">
        <f t="array" ref="J325">I325-VLOOKUP(B$2,H1:J407,2,FALSE)</f>
        <v>-8.4123504149429174</v>
      </c>
    </row>
    <row r="326" spans="1:10" ht="21.25" customHeight="1" x14ac:dyDescent="0.15">
      <c r="A326" s="10" t="s">
        <v>716</v>
      </c>
      <c r="B326" s="165" t="str" cm="1">
        <f t="array" ref="B326">VLOOKUP(A326,'The List'!B1:D671,3,FALSE)</f>
        <v>C,RW</v>
      </c>
      <c r="C326" s="74" cm="1">
        <f t="array" ref="C326">IF(Settings!$E$15="POINTS",RANK(E326,E3:E407),H326)</f>
        <v>322</v>
      </c>
      <c r="D326" s="18" t="str" cm="1">
        <f t="array" ref="D326">VLOOKUP(A326,'The List'!B1:F671,5,FALSE)</f>
        <v>TOR</v>
      </c>
      <c r="E326" s="55" cm="1">
        <f t="array" ref="E326">VLOOKUP(A326,'The List'!B1:I671,8,FALSE)</f>
        <v>-2.6295194922595329</v>
      </c>
      <c r="F326" s="55" cm="1">
        <f t="array" ref="F326">IF(Settings!$E$15="POINTS",E326-VLOOKUP(B$2,C1:E407,3,FALSE),J326)</f>
        <v>-7.9447218667334969</v>
      </c>
      <c r="G326" s="55"/>
      <c r="H326" s="166" cm="1">
        <f t="array" ref="H326">RANK(I326,I3:I407)</f>
        <v>322</v>
      </c>
      <c r="I326" s="167" cm="1">
        <f t="array" ref="I326">VLOOKUP(A326,'Standard Deviations'!A1:C672,3,FALSE)</f>
        <v>-2.6295194922595329</v>
      </c>
      <c r="J326" s="167" cm="1">
        <f t="array" ref="J326">I326-VLOOKUP(B$2,H1:J407,2,FALSE)</f>
        <v>-7.9447218667334969</v>
      </c>
    </row>
    <row r="327" spans="1:10" ht="21.25" customHeight="1" x14ac:dyDescent="0.15">
      <c r="A327" s="10" t="s">
        <v>717</v>
      </c>
      <c r="B327" s="165" t="str" cm="1">
        <f t="array" ref="B327">VLOOKUP(A327,'The List'!B1:D671,3,FALSE)</f>
        <v>RW</v>
      </c>
      <c r="C327" s="74" cm="1">
        <f t="array" ref="C327">IF(Settings!$E$15="POINTS",RANK(E327,E3:E407),H327)</f>
        <v>233</v>
      </c>
      <c r="D327" s="18" t="str" cm="1">
        <f t="array" ref="D327">VLOOKUP(A327,'The List'!B1:F671,5,FALSE)</f>
        <v>DET</v>
      </c>
      <c r="E327" s="55" cm="1">
        <f t="array" ref="E327">VLOOKUP(A327,'The List'!B1:I671,8,FALSE)</f>
        <v>-0.75007217298942763</v>
      </c>
      <c r="F327" s="55" cm="1">
        <f t="array" ref="F327">IF(Settings!$E$15="POINTS",E327-VLOOKUP(B$2,C1:E407,3,FALSE),J327)</f>
        <v>-6.0652745474633916</v>
      </c>
      <c r="G327" s="55"/>
      <c r="H327" s="166" cm="1">
        <f t="array" ref="H327">RANK(I327,I3:I407)</f>
        <v>233</v>
      </c>
      <c r="I327" s="167" cm="1">
        <f t="array" ref="I327">VLOOKUP(A327,'Standard Deviations'!A1:C672,3,FALSE)</f>
        <v>-0.75007217298942763</v>
      </c>
      <c r="J327" s="167" cm="1">
        <f t="array" ref="J327">I327-VLOOKUP(B$2,H1:J407,2,FALSE)</f>
        <v>-6.0652745474633916</v>
      </c>
    </row>
    <row r="328" spans="1:10" ht="21.25" customHeight="1" x14ac:dyDescent="0.15">
      <c r="A328" s="10" t="s">
        <v>718</v>
      </c>
      <c r="B328" s="165" t="str" cm="1">
        <f t="array" ref="B328">VLOOKUP(A328,'The List'!B1:D671,3,FALSE)</f>
        <v>LW,RW</v>
      </c>
      <c r="C328" s="74" cm="1">
        <f t="array" ref="C328">IF(Settings!$E$15="POINTS",RANK(E328,E3:E407),H328)</f>
        <v>313</v>
      </c>
      <c r="D328" s="18" t="str" cm="1">
        <f t="array" ref="D328">VLOOKUP(A328,'The List'!B1:F671,5,FALSE)</f>
        <v>OTT</v>
      </c>
      <c r="E328" s="55" cm="1">
        <f t="array" ref="E328">VLOOKUP(A328,'The List'!B1:I671,8,FALSE)</f>
        <v>-2.3505720411779167</v>
      </c>
      <c r="F328" s="55" cm="1">
        <f t="array" ref="F328">IF(Settings!$E$15="POINTS",E328-VLOOKUP(B$2,C1:E407,3,FALSE),J328)</f>
        <v>-7.6657744156518808</v>
      </c>
      <c r="G328" s="55"/>
      <c r="H328" s="166" cm="1">
        <f t="array" ref="H328">RANK(I328,I3:I407)</f>
        <v>313</v>
      </c>
      <c r="I328" s="167" cm="1">
        <f t="array" ref="I328">VLOOKUP(A328,'Standard Deviations'!A1:C672,3,FALSE)</f>
        <v>-2.3505720411779167</v>
      </c>
      <c r="J328" s="167" cm="1">
        <f t="array" ref="J328">I328-VLOOKUP(B$2,H1:J407,2,FALSE)</f>
        <v>-7.6657744156518808</v>
      </c>
    </row>
    <row r="329" spans="1:10" ht="21.25" customHeight="1" x14ac:dyDescent="0.15">
      <c r="A329" s="10" t="s">
        <v>728</v>
      </c>
      <c r="B329" s="165" t="str" cm="1">
        <f t="array" ref="B329">VLOOKUP(A329,'The List'!B1:D671,3,FALSE)</f>
        <v>LW</v>
      </c>
      <c r="C329" s="74" cm="1">
        <f t="array" ref="C329">IF(Settings!$E$15="POINTS",RANK(E329,E3:E407),H329)</f>
        <v>192</v>
      </c>
      <c r="D329" s="18" t="str" cm="1">
        <f t="array" ref="D329">VLOOKUP(A329,'The List'!B1:F671,5,FALSE)</f>
        <v>MIN</v>
      </c>
      <c r="E329" s="55" cm="1">
        <f t="array" ref="E329">VLOOKUP(A329,'The List'!B1:I671,8,FALSE)</f>
        <v>-3.2807839921433768E-6</v>
      </c>
      <c r="F329" s="55" cm="1">
        <f t="array" ref="F329">IF(Settings!$E$15="POINTS",E329-VLOOKUP(B$2,C1:E407,3,FALSE),J329)</f>
        <v>-5.3152056552579561</v>
      </c>
      <c r="G329" s="55"/>
      <c r="H329" s="166" cm="1">
        <f t="array" ref="H329">RANK(I329,I3:I407)</f>
        <v>192</v>
      </c>
      <c r="I329" s="167" cm="1">
        <f t="array" ref="I329">VLOOKUP(A329,'Standard Deviations'!A1:C672,3,FALSE)</f>
        <v>-3.2807839921433768E-6</v>
      </c>
      <c r="J329" s="167" cm="1">
        <f t="array" ref="J329">I329-VLOOKUP(B$2,H1:J407,2,FALSE)</f>
        <v>-5.3152056552579561</v>
      </c>
    </row>
    <row r="330" spans="1:10" ht="21.25" customHeight="1" x14ac:dyDescent="0.15">
      <c r="A330" s="10" t="s">
        <v>704</v>
      </c>
      <c r="B330" s="165" t="str" cm="1">
        <f t="array" ref="B330">VLOOKUP(A330,'The List'!B1:D671,3,FALSE)</f>
        <v>C</v>
      </c>
      <c r="C330" s="74" cm="1">
        <f t="array" ref="C330">IF(Settings!$E$15="POINTS",RANK(E330,E3:E407),H330)</f>
        <v>340</v>
      </c>
      <c r="D330" s="18" t="str" cm="1">
        <f t="array" ref="D330">VLOOKUP(A330,'The List'!B1:F671,5,FALSE)</f>
        <v>WPG</v>
      </c>
      <c r="E330" s="55" cm="1">
        <f t="array" ref="E330">VLOOKUP(A330,'The List'!B1:I671,8,FALSE)</f>
        <v>-3.0280993589762115</v>
      </c>
      <c r="F330" s="55" cm="1">
        <f t="array" ref="F330">IF(Settings!$E$15="POINTS",E330-VLOOKUP(B$2,C1:E407,3,FALSE),J330)</f>
        <v>-8.3433017334501756</v>
      </c>
      <c r="G330" s="55"/>
      <c r="H330" s="166" cm="1">
        <f t="array" ref="H330">RANK(I330,I3:I407)</f>
        <v>340</v>
      </c>
      <c r="I330" s="167" cm="1">
        <f t="array" ref="I330">VLOOKUP(A330,'Standard Deviations'!A1:C672,3,FALSE)</f>
        <v>-3.0280993589762115</v>
      </c>
      <c r="J330" s="167" cm="1">
        <f t="array" ref="J330">I330-VLOOKUP(B$2,H1:J407,2,FALSE)</f>
        <v>-8.3433017334501756</v>
      </c>
    </row>
    <row r="331" spans="1:10" ht="21.25" customHeight="1" x14ac:dyDescent="0.15">
      <c r="A331" s="10" t="s">
        <v>719</v>
      </c>
      <c r="B331" s="165" t="str" cm="1">
        <f t="array" ref="B331">VLOOKUP(A331,'The List'!B1:D671,3,FALSE)</f>
        <v>C,RW</v>
      </c>
      <c r="C331" s="74" cm="1">
        <f t="array" ref="C331">IF(Settings!$E$15="POINTS",RANK(E331,E3:E407),H331)</f>
        <v>361</v>
      </c>
      <c r="D331" s="18" t="str" cm="1">
        <f t="array" ref="D331">VLOOKUP(A331,'The List'!B1:F671,5,FALSE)</f>
        <v>S.J</v>
      </c>
      <c r="E331" s="55" cm="1">
        <f t="array" ref="E331">VLOOKUP(A331,'The List'!B1:I671,8,FALSE)</f>
        <v>-3.4730851234203177</v>
      </c>
      <c r="F331" s="55" cm="1">
        <f t="array" ref="F331">IF(Settings!$E$15="POINTS",E331-VLOOKUP(B$2,C1:E407,3,FALSE),J331)</f>
        <v>-8.7882874978942809</v>
      </c>
      <c r="G331" s="55"/>
      <c r="H331" s="166" cm="1">
        <f t="array" ref="H331">RANK(I331,I3:I407)</f>
        <v>361</v>
      </c>
      <c r="I331" s="167" cm="1">
        <f t="array" ref="I331">VLOOKUP(A331,'Standard Deviations'!A1:C672,3,FALSE)</f>
        <v>-3.4730851234203177</v>
      </c>
      <c r="J331" s="167" cm="1">
        <f t="array" ref="J331">I331-VLOOKUP(B$2,H1:J407,2,FALSE)</f>
        <v>-8.7882874978942809</v>
      </c>
    </row>
    <row r="332" spans="1:10" ht="21.25" customHeight="1" x14ac:dyDescent="0.15">
      <c r="A332" s="10" t="s">
        <v>722</v>
      </c>
      <c r="B332" s="165" t="str" cm="1">
        <f t="array" ref="B332">VLOOKUP(A332,'The List'!B1:D671,3,FALSE)</f>
        <v>LW,RW</v>
      </c>
      <c r="C332" s="74" cm="1">
        <f t="array" ref="C332">IF(Settings!$E$15="POINTS",RANK(E332,E3:E407),H332)</f>
        <v>252</v>
      </c>
      <c r="D332" s="18" t="str" cm="1">
        <f t="array" ref="D332">VLOOKUP(A332,'The List'!B1:F671,5,FALSE)</f>
        <v>BOS</v>
      </c>
      <c r="E332" s="55" cm="1">
        <f t="array" ref="E332">VLOOKUP(A332,'The List'!B1:I671,8,FALSE)</f>
        <v>-1.1794715691308397</v>
      </c>
      <c r="F332" s="55" cm="1">
        <f t="array" ref="F332">IF(Settings!$E$15="POINTS",E332-VLOOKUP(B$2,C1:E407,3,FALSE),J332)</f>
        <v>-6.4946739436048038</v>
      </c>
      <c r="G332" s="55"/>
      <c r="H332" s="166" cm="1">
        <f t="array" ref="H332">RANK(I332,I3:I407)</f>
        <v>252</v>
      </c>
      <c r="I332" s="167" cm="1">
        <f t="array" ref="I332">VLOOKUP(A332,'Standard Deviations'!A1:C672,3,FALSE)</f>
        <v>-1.1794715691308397</v>
      </c>
      <c r="J332" s="167" cm="1">
        <f t="array" ref="J332">I332-VLOOKUP(B$2,H1:J407,2,FALSE)</f>
        <v>-6.4946739436048038</v>
      </c>
    </row>
    <row r="333" spans="1:10" ht="21.25" customHeight="1" x14ac:dyDescent="0.15">
      <c r="A333" s="10" t="s">
        <v>734</v>
      </c>
      <c r="B333" s="165" t="str" cm="1">
        <f t="array" ref="B333">VLOOKUP(A333,'The List'!B1:D671,3,FALSE)</f>
        <v>LW</v>
      </c>
      <c r="C333" s="74" cm="1">
        <f t="array" ref="C333">IF(Settings!$E$15="POINTS",RANK(E333,E3:E407),H333)</f>
        <v>208</v>
      </c>
      <c r="D333" s="18" t="str" cm="1">
        <f t="array" ref="D333">VLOOKUP(A333,'The List'!B1:F671,5,FALSE)</f>
        <v>T.B</v>
      </c>
      <c r="E333" s="55" cm="1">
        <f t="array" ref="E333">VLOOKUP(A333,'The List'!B1:I671,8,FALSE)</f>
        <v>-0.21308998417946112</v>
      </c>
      <c r="F333" s="55" cm="1">
        <f t="array" ref="F333">IF(Settings!$E$15="POINTS",E333-VLOOKUP(B$2,C1:E407,3,FALSE),J333)</f>
        <v>-5.5282923586534256</v>
      </c>
      <c r="G333" s="55"/>
      <c r="H333" s="166" cm="1">
        <f t="array" ref="H333">RANK(I333,I3:I407)</f>
        <v>208</v>
      </c>
      <c r="I333" s="167" cm="1">
        <f t="array" ref="I333">VLOOKUP(A333,'Standard Deviations'!A1:C672,3,FALSE)</f>
        <v>-0.21308998417946112</v>
      </c>
      <c r="J333" s="167" cm="1">
        <f t="array" ref="J333">I333-VLOOKUP(B$2,H1:J407,2,FALSE)</f>
        <v>-5.5282923586534256</v>
      </c>
    </row>
    <row r="334" spans="1:10" ht="21.25" customHeight="1" x14ac:dyDescent="0.15">
      <c r="A334" s="10" t="s">
        <v>723</v>
      </c>
      <c r="B334" s="165" t="str" cm="1">
        <f t="array" ref="B334">VLOOKUP(A334,'The List'!B1:D671,3,FALSE)</f>
        <v>LW,RW</v>
      </c>
      <c r="C334" s="74" cm="1">
        <f t="array" ref="C334">IF(Settings!$E$15="POINTS",RANK(E334,E3:E407),H334)</f>
        <v>282</v>
      </c>
      <c r="D334" s="18" t="str" cm="1">
        <f t="array" ref="D334">VLOOKUP(A334,'The List'!B1:F671,5,FALSE)</f>
        <v>TOR</v>
      </c>
      <c r="E334" s="55" cm="1">
        <f t="array" ref="E334">VLOOKUP(A334,'The List'!B1:I671,8,FALSE)</f>
        <v>-1.5854709524943382</v>
      </c>
      <c r="F334" s="55" cm="1">
        <f t="array" ref="F334">IF(Settings!$E$15="POINTS",E334-VLOOKUP(B$2,C1:E407,3,FALSE),J334)</f>
        <v>-6.9006733269683025</v>
      </c>
      <c r="G334" s="55"/>
      <c r="H334" s="166" cm="1">
        <f t="array" ref="H334">RANK(I334,I3:I407)</f>
        <v>282</v>
      </c>
      <c r="I334" s="167" cm="1">
        <f t="array" ref="I334">VLOOKUP(A334,'Standard Deviations'!A1:C672,3,FALSE)</f>
        <v>-1.5854709524943382</v>
      </c>
      <c r="J334" s="167" cm="1">
        <f t="array" ref="J334">I334-VLOOKUP(B$2,H1:J407,2,FALSE)</f>
        <v>-6.9006733269683025</v>
      </c>
    </row>
    <row r="335" spans="1:10" ht="21.25" customHeight="1" x14ac:dyDescent="0.15">
      <c r="A335" s="10" t="s">
        <v>735</v>
      </c>
      <c r="B335" s="165" t="str" cm="1">
        <f t="array" ref="B335">VLOOKUP(A335,'The List'!B1:D671,3,FALSE)</f>
        <v>LW</v>
      </c>
      <c r="C335" s="74" cm="1">
        <f t="array" ref="C335">IF(Settings!$E$15="POINTS",RANK(E335,E3:E407),H335)</f>
        <v>366</v>
      </c>
      <c r="D335" s="18" t="str" cm="1">
        <f t="array" ref="D335">VLOOKUP(A335,'The List'!B1:F671,5,FALSE)</f>
        <v>NYI</v>
      </c>
      <c r="E335" s="55" cm="1">
        <f t="array" ref="E335">VLOOKUP(A335,'The List'!B1:I671,8,FALSE)</f>
        <v>-3.5240950743821609</v>
      </c>
      <c r="F335" s="55" cm="1">
        <f t="array" ref="F335">IF(Settings!$E$15="POINTS",E335-VLOOKUP(B$2,C1:E407,3,FALSE),J335)</f>
        <v>-8.8392974488561258</v>
      </c>
      <c r="G335" s="55"/>
      <c r="H335" s="166" cm="1">
        <f t="array" ref="H335">RANK(I335,I3:I407)</f>
        <v>366</v>
      </c>
      <c r="I335" s="167" cm="1">
        <f t="array" ref="I335">VLOOKUP(A335,'Standard Deviations'!A1:C672,3,FALSE)</f>
        <v>-3.5240950743821609</v>
      </c>
      <c r="J335" s="167" cm="1">
        <f t="array" ref="J335">I335-VLOOKUP(B$2,H1:J407,2,FALSE)</f>
        <v>-8.8392974488561258</v>
      </c>
    </row>
    <row r="336" spans="1:10" ht="21.25" customHeight="1" x14ac:dyDescent="0.15">
      <c r="A336" s="10" t="s">
        <v>726</v>
      </c>
      <c r="B336" s="165" t="str" cm="1">
        <f t="array" ref="B336">VLOOKUP(A336,'The List'!B1:D671,3,FALSE)</f>
        <v>LW,RW</v>
      </c>
      <c r="C336" s="74" cm="1">
        <f t="array" ref="C336">IF(Settings!$E$15="POINTS",RANK(E336,E3:E407),H336)</f>
        <v>398</v>
      </c>
      <c r="D336" s="18" t="str" cm="1">
        <f t="array" ref="D336">VLOOKUP(A336,'The List'!B1:F671,5,FALSE)</f>
        <v>CHI</v>
      </c>
      <c r="E336" s="55" cm="1">
        <f t="array" ref="E336">VLOOKUP(A336,'The List'!B1:I671,8,FALSE)</f>
        <v>-4.8028475090220795</v>
      </c>
      <c r="F336" s="55" cm="1">
        <f t="array" ref="F336">IF(Settings!$E$15="POINTS",E336-VLOOKUP(B$2,C1:E407,3,FALSE),J336)</f>
        <v>-10.118049883496044</v>
      </c>
      <c r="G336" s="55"/>
      <c r="H336" s="166" cm="1">
        <f t="array" ref="H336">RANK(I336,I3:I407)</f>
        <v>398</v>
      </c>
      <c r="I336" s="167" cm="1">
        <f t="array" ref="I336">VLOOKUP(A336,'Standard Deviations'!A1:C672,3,FALSE)</f>
        <v>-4.8028475090220795</v>
      </c>
      <c r="J336" s="167" cm="1">
        <f t="array" ref="J336">I336-VLOOKUP(B$2,H1:J407,2,FALSE)</f>
        <v>-10.118049883496044</v>
      </c>
    </row>
    <row r="337" spans="1:10" ht="21.25" customHeight="1" x14ac:dyDescent="0.15">
      <c r="A337" s="10" t="s">
        <v>727</v>
      </c>
      <c r="B337" s="165" t="str" cm="1">
        <f t="array" ref="B337">VLOOKUP(A337,'The List'!B1:D671,3,FALSE)</f>
        <v>RW</v>
      </c>
      <c r="C337" s="74" cm="1">
        <f t="array" ref="C337">IF(Settings!$E$15="POINTS",RANK(E337,E3:E407),H337)</f>
        <v>274</v>
      </c>
      <c r="D337" s="18" t="str" cm="1">
        <f t="array" ref="D337">VLOOKUP(A337,'The List'!B1:F671,5,FALSE)</f>
        <v>EDM</v>
      </c>
      <c r="E337" s="55" cm="1">
        <f t="array" ref="E337">VLOOKUP(A337,'The List'!B1:I671,8,FALSE)</f>
        <v>-1.4501069590465332</v>
      </c>
      <c r="F337" s="55" cm="1">
        <f t="array" ref="F337">IF(Settings!$E$15="POINTS",E337-VLOOKUP(B$2,C1:E407,3,FALSE),J337)</f>
        <v>-6.7653093335204968</v>
      </c>
      <c r="G337" s="55"/>
      <c r="H337" s="166" cm="1">
        <f t="array" ref="H337">RANK(I337,I3:I407)</f>
        <v>274</v>
      </c>
      <c r="I337" s="167" cm="1">
        <f t="array" ref="I337">VLOOKUP(A337,'Standard Deviations'!A1:C672,3,FALSE)</f>
        <v>-1.4501069590465332</v>
      </c>
      <c r="J337" s="167" cm="1">
        <f t="array" ref="J337">I337-VLOOKUP(B$2,H1:J407,2,FALSE)</f>
        <v>-6.7653093335204968</v>
      </c>
    </row>
    <row r="338" spans="1:10" ht="21.25" customHeight="1" x14ac:dyDescent="0.15">
      <c r="A338" s="10" t="s">
        <v>729</v>
      </c>
      <c r="B338" s="165" t="str" cm="1">
        <f t="array" ref="B338">VLOOKUP(A338,'The List'!B1:D671,3,FALSE)</f>
        <v>RW</v>
      </c>
      <c r="C338" s="74" cm="1">
        <f t="array" ref="C338">IF(Settings!$E$15="POINTS",RANK(E338,E3:E407),H338)</f>
        <v>374</v>
      </c>
      <c r="D338" s="18" t="str" cm="1">
        <f t="array" ref="D338">VLOOKUP(A338,'The List'!B1:F671,5,FALSE)</f>
        <v>NYR</v>
      </c>
      <c r="E338" s="55" cm="1">
        <f t="array" ref="E338">VLOOKUP(A338,'The List'!B1:I671,8,FALSE)</f>
        <v>-3.6941076043270926</v>
      </c>
      <c r="F338" s="55" cm="1">
        <f t="array" ref="F338">IF(Settings!$E$15="POINTS",E338-VLOOKUP(B$2,C1:E407,3,FALSE),J338)</f>
        <v>-9.0093099788010562</v>
      </c>
      <c r="G338" s="55"/>
      <c r="H338" s="166" cm="1">
        <f t="array" ref="H338">RANK(I338,I3:I407)</f>
        <v>374</v>
      </c>
      <c r="I338" s="167" cm="1">
        <f t="array" ref="I338">VLOOKUP(A338,'Standard Deviations'!A1:C672,3,FALSE)</f>
        <v>-3.6941076043270926</v>
      </c>
      <c r="J338" s="167" cm="1">
        <f t="array" ref="J338">I338-VLOOKUP(B$2,H1:J407,2,FALSE)</f>
        <v>-9.0093099788010562</v>
      </c>
    </row>
    <row r="339" spans="1:10" ht="21.25" customHeight="1" x14ac:dyDescent="0.15">
      <c r="A339" s="10" t="s">
        <v>738</v>
      </c>
      <c r="B339" s="165" t="str" cm="1">
        <f t="array" ref="B339">VLOOKUP(A339,'The List'!B1:D671,3,FALSE)</f>
        <v>C,LW</v>
      </c>
      <c r="C339" s="74" cm="1">
        <f t="array" ref="C339">IF(Settings!$E$15="POINTS",RANK(E339,E3:E407),H339)</f>
        <v>405</v>
      </c>
      <c r="D339" s="18" t="str" cm="1">
        <f t="array" ref="D339">VLOOKUP(A339,'The List'!B1:F671,5,FALSE)</f>
        <v>VAN</v>
      </c>
      <c r="E339" s="55" cm="1">
        <f t="array" ref="E339">VLOOKUP(A339,'The List'!B1:I671,8,FALSE)</f>
        <v>-5.7337138951162325</v>
      </c>
      <c r="F339" s="55" cm="1">
        <f t="array" ref="F339">IF(Settings!$E$15="POINTS",E339-VLOOKUP(B$2,C1:E407,3,FALSE),J339)</f>
        <v>-11.048916269590197</v>
      </c>
      <c r="G339" s="55"/>
      <c r="H339" s="166" cm="1">
        <f t="array" ref="H339">RANK(I339,I3:I407)</f>
        <v>405</v>
      </c>
      <c r="I339" s="167" cm="1">
        <f t="array" ref="I339">VLOOKUP(A339,'Standard Deviations'!A1:C672,3,FALSE)</f>
        <v>-5.7337138951162325</v>
      </c>
      <c r="J339" s="167" cm="1">
        <f t="array" ref="J339">I339-VLOOKUP(B$2,H1:J407,2,FALSE)</f>
        <v>-11.048916269590197</v>
      </c>
    </row>
    <row r="340" spans="1:10" ht="21.25" customHeight="1" x14ac:dyDescent="0.15">
      <c r="A340" s="10" t="s">
        <v>730</v>
      </c>
      <c r="B340" s="165" t="str" cm="1">
        <f t="array" ref="B340">VLOOKUP(A340,'The List'!B1:D671,3,FALSE)</f>
        <v>LW,RW</v>
      </c>
      <c r="C340" s="74" cm="1">
        <f t="array" ref="C340">IF(Settings!$E$15="POINTS",RANK(E340,E3:E407),H340)</f>
        <v>339</v>
      </c>
      <c r="D340" s="18" t="str" cm="1">
        <f t="array" ref="D340">VLOOKUP(A340,'The List'!B1:F671,5,FALSE)</f>
        <v>UTA</v>
      </c>
      <c r="E340" s="55" cm="1">
        <f t="array" ref="E340">VLOOKUP(A340,'The List'!B1:I671,8,FALSE)</f>
        <v>-2.9853942071396324</v>
      </c>
      <c r="F340" s="55" cm="1">
        <f t="array" ref="F340">IF(Settings!$E$15="POINTS",E340-VLOOKUP(B$2,C1:E407,3,FALSE),J340)</f>
        <v>-8.3005965816135969</v>
      </c>
      <c r="G340" s="55"/>
      <c r="H340" s="166" cm="1">
        <f t="array" ref="H340">RANK(I340,I3:I407)</f>
        <v>339</v>
      </c>
      <c r="I340" s="167" cm="1">
        <f t="array" ref="I340">VLOOKUP(A340,'Standard Deviations'!A1:C672,3,FALSE)</f>
        <v>-2.9853942071396324</v>
      </c>
      <c r="J340" s="167" cm="1">
        <f t="array" ref="J340">I340-VLOOKUP(B$2,H1:J407,2,FALSE)</f>
        <v>-8.3005965816135969</v>
      </c>
    </row>
    <row r="341" spans="1:10" ht="21.25" customHeight="1" x14ac:dyDescent="0.15">
      <c r="A341" s="10" t="s">
        <v>731</v>
      </c>
      <c r="B341" s="165" t="str" cm="1">
        <f t="array" ref="B341">VLOOKUP(A341,'The List'!B1:D671,3,FALSE)</f>
        <v>LW,RW</v>
      </c>
      <c r="C341" s="74" cm="1">
        <f t="array" ref="C341">IF(Settings!$E$15="POINTS",RANK(E341,E3:E407),H341)</f>
        <v>244</v>
      </c>
      <c r="D341" s="18" t="str" cm="1">
        <f t="array" ref="D341">VLOOKUP(A341,'The List'!B1:F671,5,FALSE)</f>
        <v>CAR</v>
      </c>
      <c r="E341" s="55" cm="1">
        <f t="array" ref="E341">VLOOKUP(A341,'The List'!B1:I671,8,FALSE)</f>
        <v>-1.0146216631431979</v>
      </c>
      <c r="F341" s="55" cm="1">
        <f t="array" ref="F341">IF(Settings!$E$15="POINTS",E341-VLOOKUP(B$2,C1:E407,3,FALSE),J341)</f>
        <v>-6.3298240376171622</v>
      </c>
      <c r="G341" s="55"/>
      <c r="H341" s="166" cm="1">
        <f t="array" ref="H341">RANK(I341,I3:I407)</f>
        <v>244</v>
      </c>
      <c r="I341" s="167" cm="1">
        <f t="array" ref="I341">VLOOKUP(A341,'Standard Deviations'!A1:C672,3,FALSE)</f>
        <v>-1.0146216631431979</v>
      </c>
      <c r="J341" s="167" cm="1">
        <f t="array" ref="J341">I341-VLOOKUP(B$2,H1:J407,2,FALSE)</f>
        <v>-6.3298240376171622</v>
      </c>
    </row>
    <row r="342" spans="1:10" ht="21.25" customHeight="1" x14ac:dyDescent="0.15">
      <c r="A342" s="10" t="s">
        <v>740</v>
      </c>
      <c r="B342" s="165" t="str" cm="1">
        <f t="array" ref="B342">VLOOKUP(A342,'The List'!B1:D671,3,FALSE)</f>
        <v>LW</v>
      </c>
      <c r="C342" s="74" cm="1">
        <f t="array" ref="C342">IF(Settings!$E$15="POINTS",RANK(E342,E3:E407),H342)</f>
        <v>193</v>
      </c>
      <c r="D342" s="18" t="str" cm="1">
        <f t="array" ref="D342">VLOOKUP(A342,'The List'!B1:F671,5,FALSE)</f>
        <v>COL</v>
      </c>
      <c r="E342" s="55" cm="1">
        <f t="array" ref="E342">VLOOKUP(A342,'The List'!B1:I671,8,FALSE)</f>
        <v>-5.3452417971500132E-3</v>
      </c>
      <c r="F342" s="55" cm="1">
        <f t="array" ref="F342">IF(Settings!$E$15="POINTS",E342-VLOOKUP(B$2,C1:E407,3,FALSE),J342)</f>
        <v>-5.3205476162711136</v>
      </c>
      <c r="G342" s="55"/>
      <c r="H342" s="166" cm="1">
        <f t="array" ref="H342">RANK(I342,I3:I407)</f>
        <v>193</v>
      </c>
      <c r="I342" s="167" cm="1">
        <f t="array" ref="I342">VLOOKUP(A342,'Standard Deviations'!A1:C672,3,FALSE)</f>
        <v>-5.3452417971500132E-3</v>
      </c>
      <c r="J342" s="167" cm="1">
        <f t="array" ref="J342">I342-VLOOKUP(B$2,H1:J407,2,FALSE)</f>
        <v>-5.3205476162711136</v>
      </c>
    </row>
    <row r="343" spans="1:10" ht="21.25" customHeight="1" x14ac:dyDescent="0.15">
      <c r="A343" s="10" t="s">
        <v>741</v>
      </c>
      <c r="B343" s="165" t="str" cm="1">
        <f t="array" ref="B343">VLOOKUP(A343,'The List'!B1:D671,3,FALSE)</f>
        <v>LW</v>
      </c>
      <c r="C343" s="74" cm="1">
        <f t="array" ref="C343">IF(Settings!$E$15="POINTS",RANK(E343,E3:E407),H343)</f>
        <v>399</v>
      </c>
      <c r="D343" s="18" t="str" cm="1">
        <f t="array" ref="D343">VLOOKUP(A343,'The List'!B1:F671,5,FALSE)</f>
        <v>NYI</v>
      </c>
      <c r="E343" s="55" cm="1">
        <f t="array" ref="E343">VLOOKUP(A343,'The List'!B1:I671,8,FALSE)</f>
        <v>-4.8481514882743637</v>
      </c>
      <c r="F343" s="55" cm="1">
        <f t="array" ref="F343">IF(Settings!$E$15="POINTS",E343-VLOOKUP(B$2,C1:E407,3,FALSE),J343)</f>
        <v>-10.163353862748327</v>
      </c>
      <c r="G343" s="55"/>
      <c r="H343" s="166" cm="1">
        <f t="array" ref="H343">RANK(I343,I3:I407)</f>
        <v>399</v>
      </c>
      <c r="I343" s="167" cm="1">
        <f t="array" ref="I343">VLOOKUP(A343,'Standard Deviations'!A1:C672,3,FALSE)</f>
        <v>-4.8481514882743637</v>
      </c>
      <c r="J343" s="167" cm="1">
        <f t="array" ref="J343">I343-VLOOKUP(B$2,H1:J407,2,FALSE)</f>
        <v>-10.163353862748327</v>
      </c>
    </row>
    <row r="344" spans="1:10" ht="21.25" customHeight="1" x14ac:dyDescent="0.15">
      <c r="A344" s="10" t="s">
        <v>743</v>
      </c>
      <c r="B344" s="165" t="str" cm="1">
        <f t="array" ref="B344">VLOOKUP(A344,'The List'!B1:D671,3,FALSE)</f>
        <v>LW</v>
      </c>
      <c r="C344" s="74" cm="1">
        <f t="array" ref="C344">IF(Settings!$E$15="POINTS",RANK(E344,E3:E407),H344)</f>
        <v>224</v>
      </c>
      <c r="D344" s="18" t="str" cm="1">
        <f t="array" ref="D344">VLOOKUP(A344,'The List'!B1:F671,5,FALSE)</f>
        <v>WPG</v>
      </c>
      <c r="E344" s="55" cm="1">
        <f t="array" ref="E344">VLOOKUP(A344,'The List'!B1:I671,8,FALSE)</f>
        <v>-0.56201023685147022</v>
      </c>
      <c r="F344" s="55" cm="1">
        <f t="array" ref="F344">IF(Settings!$E$15="POINTS",E344-VLOOKUP(B$2,C1:E407,3,FALSE),J344)</f>
        <v>-5.8772126113254339</v>
      </c>
      <c r="G344" s="55"/>
      <c r="H344" s="166" cm="1">
        <f t="array" ref="H344">RANK(I344,I3:I407)</f>
        <v>224</v>
      </c>
      <c r="I344" s="167" cm="1">
        <f t="array" ref="I344">VLOOKUP(A344,'Standard Deviations'!A1:C672,3,FALSE)</f>
        <v>-0.56201023685147022</v>
      </c>
      <c r="J344" s="167" cm="1">
        <f t="array" ref="J344">I344-VLOOKUP(B$2,H1:J407,2,FALSE)</f>
        <v>-5.8772126113254339</v>
      </c>
    </row>
    <row r="345" spans="1:10" ht="21.25" customHeight="1" x14ac:dyDescent="0.15">
      <c r="A345" s="10" t="s">
        <v>744</v>
      </c>
      <c r="B345" s="165" t="str" cm="1">
        <f t="array" ref="B345">VLOOKUP(A345,'The List'!B1:D671,3,FALSE)</f>
        <v>C,LW</v>
      </c>
      <c r="C345" s="74" cm="1">
        <f t="array" ref="C345">IF(Settings!$E$15="POINTS",RANK(E345,E3:E407),H345)</f>
        <v>370</v>
      </c>
      <c r="D345" s="18" t="str" cm="1">
        <f t="array" ref="D345">VLOOKUP(A345,'The List'!B1:F671,5,FALSE)</f>
        <v>L.A</v>
      </c>
      <c r="E345" s="55" cm="1">
        <f t="array" ref="E345">VLOOKUP(A345,'The List'!B1:I671,8,FALSE)</f>
        <v>-3.5793658419889987</v>
      </c>
      <c r="F345" s="55" cm="1">
        <f t="array" ref="F345">IF(Settings!$E$15="POINTS",E345-VLOOKUP(B$2,C1:E407,3,FALSE),J345)</f>
        <v>-8.8945682164629627</v>
      </c>
      <c r="G345" s="55"/>
      <c r="H345" s="166" cm="1">
        <f t="array" ref="H345">RANK(I345,I3:I407)</f>
        <v>370</v>
      </c>
      <c r="I345" s="167" cm="1">
        <f t="array" ref="I345">VLOOKUP(A345,'Standard Deviations'!A1:C672,3,FALSE)</f>
        <v>-3.5793658419889987</v>
      </c>
      <c r="J345" s="167" cm="1">
        <f t="array" ref="J345">I345-VLOOKUP(B$2,H1:J407,2,FALSE)</f>
        <v>-8.8945682164629627</v>
      </c>
    </row>
    <row r="346" spans="1:10" ht="21.25" customHeight="1" x14ac:dyDescent="0.15">
      <c r="A346" s="10" t="s">
        <v>733</v>
      </c>
      <c r="B346" s="165" t="str" cm="1">
        <f t="array" ref="B346">VLOOKUP(A346,'The List'!B1:D671,3,FALSE)</f>
        <v>RW</v>
      </c>
      <c r="C346" s="74" cm="1">
        <f t="array" ref="C346">IF(Settings!$E$15="POINTS",RANK(E346,E3:E407),H346)</f>
        <v>359</v>
      </c>
      <c r="D346" s="18" t="str" cm="1">
        <f t="array" ref="D346">VLOOKUP(A346,'The List'!B1:F671,5,FALSE)</f>
        <v>DET</v>
      </c>
      <c r="E346" s="55" cm="1">
        <f t="array" ref="E346">VLOOKUP(A346,'The List'!B1:I671,8,FALSE)</f>
        <v>-3.4217523248872075</v>
      </c>
      <c r="F346" s="55" cm="1">
        <f t="array" ref="F346">IF(Settings!$E$15="POINTS",E346-VLOOKUP(B$2,C1:E407,3,FALSE),J346)</f>
        <v>-8.7369546993611706</v>
      </c>
      <c r="G346" s="55"/>
      <c r="H346" s="166" cm="1">
        <f t="array" ref="H346">RANK(I346,I3:I407)</f>
        <v>359</v>
      </c>
      <c r="I346" s="167" cm="1">
        <f t="array" ref="I346">VLOOKUP(A346,'Standard Deviations'!A1:C672,3,FALSE)</f>
        <v>-3.4217523248872075</v>
      </c>
      <c r="J346" s="167" cm="1">
        <f t="array" ref="J346">I346-VLOOKUP(B$2,H1:J407,2,FALSE)</f>
        <v>-8.7369546993611706</v>
      </c>
    </row>
    <row r="347" spans="1:10" ht="21.25" customHeight="1" x14ac:dyDescent="0.15">
      <c r="A347" s="10" t="s">
        <v>748</v>
      </c>
      <c r="B347" s="165" t="str" cm="1">
        <f t="array" ref="B347">VLOOKUP(A347,'The List'!B1:D671,3,FALSE)</f>
        <v>LW</v>
      </c>
      <c r="C347" s="74" cm="1">
        <f t="array" ref="C347">IF(Settings!$E$15="POINTS",RANK(E347,E3:E407),H347)</f>
        <v>334</v>
      </c>
      <c r="D347" s="18" t="str" cm="1">
        <f t="array" ref="D347">VLOOKUP(A347,'The List'!B1:F671,5,FALSE)</f>
        <v>CBJ</v>
      </c>
      <c r="E347" s="55" cm="1">
        <f t="array" ref="E347">VLOOKUP(A347,'The List'!B1:I671,8,FALSE)</f>
        <v>-2.8992825348890658</v>
      </c>
      <c r="F347" s="55" cm="1">
        <f t="array" ref="F347">IF(Settings!$E$15="POINTS",E347-VLOOKUP(B$2,C1:E407,3,FALSE),J347)</f>
        <v>-8.2144849093630299</v>
      </c>
      <c r="G347" s="55"/>
      <c r="H347" s="166" cm="1">
        <f t="array" ref="H347">RANK(I347,I3:I407)</f>
        <v>334</v>
      </c>
      <c r="I347" s="167" cm="1">
        <f t="array" ref="I347">VLOOKUP(A347,'Standard Deviations'!A1:C672,3,FALSE)</f>
        <v>-2.8992825348890658</v>
      </c>
      <c r="J347" s="167" cm="1">
        <f t="array" ref="J347">I347-VLOOKUP(B$2,H1:J407,2,FALSE)</f>
        <v>-8.2144849093630299</v>
      </c>
    </row>
    <row r="348" spans="1:10" ht="21.25" customHeight="1" x14ac:dyDescent="0.15">
      <c r="A348" s="10" t="s">
        <v>749</v>
      </c>
      <c r="B348" s="165" t="str" cm="1">
        <f t="array" ref="B348">VLOOKUP(A348,'The List'!B1:D671,3,FALSE)</f>
        <v>C,LW</v>
      </c>
      <c r="C348" s="74" cm="1">
        <f t="array" ref="C348">IF(Settings!$E$15="POINTS",RANK(E348,E3:E407),H348)</f>
        <v>214</v>
      </c>
      <c r="D348" s="18" t="str" cm="1">
        <f t="array" ref="D348">VLOOKUP(A348,'The List'!B1:F671,5,FALSE)</f>
        <v>TOR</v>
      </c>
      <c r="E348" s="55" cm="1">
        <f t="array" ref="E348">VLOOKUP(A348,'The List'!B1:I671,8,FALSE)</f>
        <v>-0.35265592108372457</v>
      </c>
      <c r="F348" s="55" cm="1">
        <f t="array" ref="F348">IF(Settings!$E$15="POINTS",E348-VLOOKUP(B$2,C1:E407,3,FALSE),J348)</f>
        <v>-5.6678582955576884</v>
      </c>
      <c r="G348" s="55"/>
      <c r="H348" s="166" cm="1">
        <f t="array" ref="H348">RANK(I348,I3:I407)</f>
        <v>214</v>
      </c>
      <c r="I348" s="167" cm="1">
        <f t="array" ref="I348">VLOOKUP(A348,'Standard Deviations'!A1:C672,3,FALSE)</f>
        <v>-0.35265592108372457</v>
      </c>
      <c r="J348" s="167" cm="1">
        <f t="array" ref="J348">I348-VLOOKUP(B$2,H1:J407,2,FALSE)</f>
        <v>-5.6678582955576884</v>
      </c>
    </row>
    <row r="349" spans="1:10" ht="21.25" customHeight="1" x14ac:dyDescent="0.15">
      <c r="A349" s="10" t="s">
        <v>736</v>
      </c>
      <c r="B349" s="165" t="str" cm="1">
        <f t="array" ref="B349">VLOOKUP(A349,'The List'!B1:D671,3,FALSE)</f>
        <v>C,RW</v>
      </c>
      <c r="C349" s="74" cm="1">
        <f t="array" ref="C349">IF(Settings!$E$15="POINTS",RANK(E349,E3:E407),H349)</f>
        <v>283</v>
      </c>
      <c r="D349" s="18" t="str" cm="1">
        <f t="array" ref="D349">VLOOKUP(A349,'The List'!B1:F671,5,FALSE)</f>
        <v>CGY</v>
      </c>
      <c r="E349" s="55" cm="1">
        <f t="array" ref="E349">VLOOKUP(A349,'The List'!B1:I671,8,FALSE)</f>
        <v>-1.619234432600376</v>
      </c>
      <c r="F349" s="55" cm="1">
        <f t="array" ref="F349">IF(Settings!$E$15="POINTS",E349-VLOOKUP(B$2,C1:E407,3,FALSE),J349)</f>
        <v>-6.9344368070743396</v>
      </c>
      <c r="G349" s="55"/>
      <c r="H349" s="166" cm="1">
        <f t="array" ref="H349">RANK(I349,I3:I407)</f>
        <v>283</v>
      </c>
      <c r="I349" s="167" cm="1">
        <f t="array" ref="I349">VLOOKUP(A349,'Standard Deviations'!A1:C672,3,FALSE)</f>
        <v>-1.619234432600376</v>
      </c>
      <c r="J349" s="167" cm="1">
        <f t="array" ref="J349">I349-VLOOKUP(B$2,H1:J407,2,FALSE)</f>
        <v>-6.9344368070743396</v>
      </c>
    </row>
    <row r="350" spans="1:10" ht="21.25" customHeight="1" x14ac:dyDescent="0.15">
      <c r="A350" s="10" t="s">
        <v>750</v>
      </c>
      <c r="B350" s="165" t="str" cm="1">
        <f t="array" ref="B350">VLOOKUP(A350,'The List'!B1:D671,3,FALSE)</f>
        <v>C,LW</v>
      </c>
      <c r="C350" s="74" cm="1">
        <f t="array" ref="C350">IF(Settings!$E$15="POINTS",RANK(E350,E3:E407),H350)</f>
        <v>167</v>
      </c>
      <c r="D350" s="18" t="str" cm="1">
        <f t="array" ref="D350">VLOOKUP(A350,'The List'!B1:F671,5,FALSE)</f>
        <v>EDM</v>
      </c>
      <c r="E350" s="55" cm="1">
        <f t="array" ref="E350">VLOOKUP(A350,'The List'!B1:I671,8,FALSE)</f>
        <v>0.70853096857718834</v>
      </c>
      <c r="F350" s="55" cm="1">
        <f t="array" ref="F350">IF(Settings!$E$15="POINTS",E350-VLOOKUP(B$2,C1:E407,3,FALSE),J350)</f>
        <v>-4.6066714058967762</v>
      </c>
      <c r="G350" s="55"/>
      <c r="H350" s="166" cm="1">
        <f t="array" ref="H350">RANK(I350,I3:I407)</f>
        <v>167</v>
      </c>
      <c r="I350" s="167" cm="1">
        <f t="array" ref="I350">VLOOKUP(A350,'Standard Deviations'!A1:C672,3,FALSE)</f>
        <v>0.70853096857718834</v>
      </c>
      <c r="J350" s="167" cm="1">
        <f t="array" ref="J350">I350-VLOOKUP(B$2,H1:J407,2,FALSE)</f>
        <v>-4.6066714058967762</v>
      </c>
    </row>
    <row r="351" spans="1:10" ht="21.25" customHeight="1" x14ac:dyDescent="0.15">
      <c r="A351" s="10" t="s">
        <v>751</v>
      </c>
      <c r="B351" s="165" t="str" cm="1">
        <f t="array" ref="B351">VLOOKUP(A351,'The List'!B1:D671,3,FALSE)</f>
        <v>LW</v>
      </c>
      <c r="C351" s="74" cm="1">
        <f t="array" ref="C351">IF(Settings!$E$15="POINTS",RANK(E351,E3:E407),H351)</f>
        <v>281</v>
      </c>
      <c r="D351" s="18" t="str" cm="1">
        <f t="array" ref="D351">VLOOKUP(A351,'The List'!B1:F671,5,FALSE)</f>
        <v>OTT</v>
      </c>
      <c r="E351" s="55" cm="1">
        <f t="array" ref="E351">VLOOKUP(A351,'The List'!B1:I671,8,FALSE)</f>
        <v>-1.5589041044680725</v>
      </c>
      <c r="F351" s="55" cm="1">
        <f t="array" ref="F351">IF(Settings!$E$15="POINTS",E351-VLOOKUP(B$2,C1:E407,3,FALSE),J351)</f>
        <v>-6.8741064789420365</v>
      </c>
      <c r="G351" s="55"/>
      <c r="H351" s="166" cm="1">
        <f t="array" ref="H351">RANK(I351,I3:I407)</f>
        <v>281</v>
      </c>
      <c r="I351" s="167" cm="1">
        <f t="array" ref="I351">VLOOKUP(A351,'Standard Deviations'!A1:C672,3,FALSE)</f>
        <v>-1.5589041044680725</v>
      </c>
      <c r="J351" s="167" cm="1">
        <f t="array" ref="J351">I351-VLOOKUP(B$2,H1:J407,2,FALSE)</f>
        <v>-6.8741064789420365</v>
      </c>
    </row>
    <row r="352" spans="1:10" ht="21.25" customHeight="1" x14ac:dyDescent="0.15">
      <c r="A352" s="10" t="s">
        <v>755</v>
      </c>
      <c r="B352" s="165" t="str" cm="1">
        <f t="array" ref="B352">VLOOKUP(A352,'The List'!B1:D671,3,FALSE)</f>
        <v>C,LW</v>
      </c>
      <c r="C352" s="74" cm="1">
        <f t="array" ref="C352">IF(Settings!$E$15="POINTS",RANK(E352,E3:E407),H352)</f>
        <v>336</v>
      </c>
      <c r="D352" s="18" t="str" cm="1">
        <f t="array" ref="D352">VLOOKUP(A352,'The List'!B1:F671,5,FALSE)</f>
        <v>NYI</v>
      </c>
      <c r="E352" s="55" cm="1">
        <f t="array" ref="E352">VLOOKUP(A352,'The List'!B1:I671,8,FALSE)</f>
        <v>-2.9348833950168505</v>
      </c>
      <c r="F352" s="55" cm="1">
        <f t="array" ref="F352">IF(Settings!$E$15="POINTS",E352-VLOOKUP(B$2,C1:E407,3,FALSE),J352)</f>
        <v>-8.2500857694908145</v>
      </c>
      <c r="G352" s="55"/>
      <c r="H352" s="166" cm="1">
        <f t="array" ref="H352">RANK(I352,I3:I407)</f>
        <v>336</v>
      </c>
      <c r="I352" s="167" cm="1">
        <f t="array" ref="I352">VLOOKUP(A352,'Standard Deviations'!A1:C672,3,FALSE)</f>
        <v>-2.9348833950168505</v>
      </c>
      <c r="J352" s="167" cm="1">
        <f t="array" ref="J352">I352-VLOOKUP(B$2,H1:J407,2,FALSE)</f>
        <v>-8.2500857694908145</v>
      </c>
    </row>
    <row r="353" spans="1:10" ht="21.25" customHeight="1" x14ac:dyDescent="0.15">
      <c r="A353" s="10" t="s">
        <v>720</v>
      </c>
      <c r="B353" s="165" t="str" cm="1">
        <f t="array" ref="B353">VLOOKUP(A353,'The List'!B1:D671,3,FALSE)</f>
        <v>C</v>
      </c>
      <c r="C353" s="74" cm="1">
        <f t="array" ref="C353">IF(Settings!$E$15="POINTS",RANK(E353,E3:E407),H353)</f>
        <v>307</v>
      </c>
      <c r="D353" s="18" t="str" cm="1">
        <f t="array" ref="D353">VLOOKUP(A353,'The List'!B1:F671,5,FALSE)</f>
        <v>VGK</v>
      </c>
      <c r="E353" s="55" cm="1">
        <f t="array" ref="E353">VLOOKUP(A353,'The List'!B1:I671,8,FALSE)</f>
        <v>-2.258050240993283</v>
      </c>
      <c r="F353" s="55" cm="1">
        <f t="array" ref="F353">IF(Settings!$E$15="POINTS",E353-VLOOKUP(B$2,C1:E407,3,FALSE),J353)</f>
        <v>-7.573252615467247</v>
      </c>
      <c r="G353" s="55"/>
      <c r="H353" s="166" cm="1">
        <f t="array" ref="H353">RANK(I353,I3:I407)</f>
        <v>307</v>
      </c>
      <c r="I353" s="167" cm="1">
        <f t="array" ref="I353">VLOOKUP(A353,'Standard Deviations'!A1:C672,3,FALSE)</f>
        <v>-2.258050240993283</v>
      </c>
      <c r="J353" s="167" cm="1">
        <f t="array" ref="J353">I353-VLOOKUP(B$2,H1:J407,2,FALSE)</f>
        <v>-7.573252615467247</v>
      </c>
    </row>
    <row r="354" spans="1:10" ht="21.25" customHeight="1" x14ac:dyDescent="0.15">
      <c r="A354" s="10" t="s">
        <v>721</v>
      </c>
      <c r="B354" s="165" t="str" cm="1">
        <f t="array" ref="B354">VLOOKUP(A354,'The List'!B1:D671,3,FALSE)</f>
        <v>C</v>
      </c>
      <c r="C354" s="74" cm="1">
        <f t="array" ref="C354">IF(Settings!$E$15="POINTS",RANK(E354,E3:E407),H354)</f>
        <v>321</v>
      </c>
      <c r="D354" s="18" t="str" cm="1">
        <f t="array" ref="D354">VLOOKUP(A354,'The List'!B1:F671,5,FALSE)</f>
        <v>N.J</v>
      </c>
      <c r="E354" s="55" cm="1">
        <f t="array" ref="E354">VLOOKUP(A354,'The List'!B1:I671,8,FALSE)</f>
        <v>-2.6199986135741415</v>
      </c>
      <c r="F354" s="55" cm="1">
        <f t="array" ref="F354">IF(Settings!$E$15="POINTS",E354-VLOOKUP(B$2,C1:E407,3,FALSE),J354)</f>
        <v>-7.9352009880481056</v>
      </c>
      <c r="G354" s="55"/>
      <c r="H354" s="166" cm="1">
        <f t="array" ref="H354">RANK(I354,I3:I407)</f>
        <v>321</v>
      </c>
      <c r="I354" s="167" cm="1">
        <f t="array" ref="I354">VLOOKUP(A354,'Standard Deviations'!A1:C672,3,FALSE)</f>
        <v>-2.6199986135741415</v>
      </c>
      <c r="J354" s="167" cm="1">
        <f t="array" ref="J354">I354-VLOOKUP(B$2,H1:J407,2,FALSE)</f>
        <v>-7.9352009880481056</v>
      </c>
    </row>
    <row r="355" spans="1:10" ht="21.25" customHeight="1" x14ac:dyDescent="0.15">
      <c r="A355" s="10" t="s">
        <v>758</v>
      </c>
      <c r="B355" s="165" t="str" cm="1">
        <f t="array" ref="B355">VLOOKUP(A355,'The List'!B1:D671,3,FALSE)</f>
        <v>C,LW</v>
      </c>
      <c r="C355" s="74" cm="1">
        <f t="array" ref="C355">IF(Settings!$E$15="POINTS",RANK(E355,E3:E407),H355)</f>
        <v>251</v>
      </c>
      <c r="D355" s="18" t="str" cm="1">
        <f t="array" ref="D355">VLOOKUP(A355,'The List'!B1:F671,5,FALSE)</f>
        <v>MIN</v>
      </c>
      <c r="E355" s="55" cm="1">
        <f t="array" ref="E355">VLOOKUP(A355,'The List'!B1:I671,8,FALSE)</f>
        <v>-1.1763249349317575</v>
      </c>
      <c r="F355" s="55" cm="1">
        <f t="array" ref="F355">IF(Settings!$E$15="POINTS",E355-VLOOKUP(B$2,C1:E407,3,FALSE),J355)</f>
        <v>-6.491527309405722</v>
      </c>
      <c r="G355" s="55"/>
      <c r="H355" s="166" cm="1">
        <f t="array" ref="H355">RANK(I355,I3:I407)</f>
        <v>251</v>
      </c>
      <c r="I355" s="167" cm="1">
        <f t="array" ref="I355">VLOOKUP(A355,'Standard Deviations'!A1:C672,3,FALSE)</f>
        <v>-1.1763249349317575</v>
      </c>
      <c r="J355" s="167" cm="1">
        <f t="array" ref="J355">I355-VLOOKUP(B$2,H1:J407,2,FALSE)</f>
        <v>-6.491527309405722</v>
      </c>
    </row>
    <row r="356" spans="1:10" ht="21.25" customHeight="1" x14ac:dyDescent="0.15">
      <c r="A356" s="10" t="s">
        <v>745</v>
      </c>
      <c r="B356" s="165" t="str" cm="1">
        <f t="array" ref="B356">VLOOKUP(A356,'The List'!B1:D671,3,FALSE)</f>
        <v>RW</v>
      </c>
      <c r="C356" s="74" cm="1">
        <f t="array" ref="C356">IF(Settings!$E$15="POINTS",RANK(E356,E3:E407),H356)</f>
        <v>354</v>
      </c>
      <c r="D356" s="18" t="str" cm="1">
        <f t="array" ref="D356">VLOOKUP(A356,'The List'!B1:F671,5,FALSE)</f>
        <v>N.J</v>
      </c>
      <c r="E356" s="55" cm="1">
        <f t="array" ref="E356">VLOOKUP(A356,'The List'!B1:I671,8,FALSE)</f>
        <v>-3.2310887533119801</v>
      </c>
      <c r="F356" s="55" cm="1">
        <f t="array" ref="F356">IF(Settings!$E$15="POINTS",E356-VLOOKUP(B$2,C1:E407,3,FALSE),J356)</f>
        <v>-8.5462911277859437</v>
      </c>
      <c r="G356" s="55"/>
      <c r="H356" s="166" cm="1">
        <f t="array" ref="H356">RANK(I356,I3:I407)</f>
        <v>354</v>
      </c>
      <c r="I356" s="167" cm="1">
        <f t="array" ref="I356">VLOOKUP(A356,'Standard Deviations'!A1:C672,3,FALSE)</f>
        <v>-3.2310887533119801</v>
      </c>
      <c r="J356" s="167" cm="1">
        <f t="array" ref="J356">I356-VLOOKUP(B$2,H1:J407,2,FALSE)</f>
        <v>-8.5462911277859437</v>
      </c>
    </row>
    <row r="357" spans="1:10" ht="21.25" customHeight="1" x14ac:dyDescent="0.15">
      <c r="A357" s="10" t="s">
        <v>746</v>
      </c>
      <c r="B357" s="165" t="str" cm="1">
        <f t="array" ref="B357">VLOOKUP(A357,'The List'!B1:D671,3,FALSE)</f>
        <v>RW</v>
      </c>
      <c r="C357" s="74" cm="1">
        <f t="array" ref="C357">IF(Settings!$E$15="POINTS",RANK(E357,E3:E407),H357)</f>
        <v>393</v>
      </c>
      <c r="D357" s="18" t="str" cm="1">
        <f t="array" ref="D357">VLOOKUP(A357,'The List'!B1:F671,5,FALSE)</f>
        <v>VAN</v>
      </c>
      <c r="E357" s="55" cm="1">
        <f t="array" ref="E357">VLOOKUP(A357,'The List'!B1:I671,8,FALSE)</f>
        <v>-4.4066524949900705</v>
      </c>
      <c r="F357" s="55" cm="1">
        <f t="array" ref="F357">IF(Settings!$E$15="POINTS",E357-VLOOKUP(B$2,C1:E407,3,FALSE),J357)</f>
        <v>-9.7218548694640354</v>
      </c>
      <c r="G357" s="55"/>
      <c r="H357" s="166" cm="1">
        <f t="array" ref="H357">RANK(I357,I3:I407)</f>
        <v>393</v>
      </c>
      <c r="I357" s="167" cm="1">
        <f t="array" ref="I357">VLOOKUP(A357,'Standard Deviations'!A1:C672,3,FALSE)</f>
        <v>-4.4066524949900705</v>
      </c>
      <c r="J357" s="167" cm="1">
        <f t="array" ref="J357">I357-VLOOKUP(B$2,H1:J407,2,FALSE)</f>
        <v>-9.7218548694640354</v>
      </c>
    </row>
    <row r="358" spans="1:10" ht="21.25" customHeight="1" x14ac:dyDescent="0.15">
      <c r="A358" s="10" t="s">
        <v>724</v>
      </c>
      <c r="B358" s="165" t="str" cm="1">
        <f t="array" ref="B358">VLOOKUP(A358,'The List'!B1:D671,3,FALSE)</f>
        <v>C</v>
      </c>
      <c r="C358" s="74" cm="1">
        <f t="array" ref="C358">IF(Settings!$E$15="POINTS",RANK(E358,E3:E407),H358)</f>
        <v>315</v>
      </c>
      <c r="D358" s="18" t="str" cm="1">
        <f t="array" ref="D358">VLOOKUP(A358,'The List'!B1:F671,5,FALSE)</f>
        <v>CAR</v>
      </c>
      <c r="E358" s="55" cm="1">
        <f t="array" ref="E358">VLOOKUP(A358,'The List'!B1:I671,8,FALSE)</f>
        <v>-2.4084530914898847</v>
      </c>
      <c r="F358" s="55" cm="1">
        <f t="array" ref="F358">IF(Settings!$E$15="POINTS",E358-VLOOKUP(B$2,C1:E407,3,FALSE),J358)</f>
        <v>-7.7236554659638488</v>
      </c>
      <c r="G358" s="55"/>
      <c r="H358" s="166" cm="1">
        <f t="array" ref="H358">RANK(I358,I3:I407)</f>
        <v>315</v>
      </c>
      <c r="I358" s="167" cm="1">
        <f t="array" ref="I358">VLOOKUP(A358,'Standard Deviations'!A1:C672,3,FALSE)</f>
        <v>-2.4084530914898847</v>
      </c>
      <c r="J358" s="167" cm="1">
        <f t="array" ref="J358">I358-VLOOKUP(B$2,H1:J407,2,FALSE)</f>
        <v>-7.7236554659638488</v>
      </c>
    </row>
    <row r="359" spans="1:10" ht="21.25" customHeight="1" x14ac:dyDescent="0.15">
      <c r="A359" s="10" t="s">
        <v>752</v>
      </c>
      <c r="B359" s="165" t="str" cm="1">
        <f t="array" ref="B359">VLOOKUP(A359,'The List'!B1:D671,3,FALSE)</f>
        <v>C,LW,RW</v>
      </c>
      <c r="C359" s="74" cm="1">
        <f t="array" ref="C359">IF(Settings!$E$15="POINTS",RANK(E359,E3:E407),H359)</f>
        <v>213</v>
      </c>
      <c r="D359" s="18" t="str" cm="1">
        <f t="array" ref="D359">VLOOKUP(A359,'The List'!B1:F671,5,FALSE)</f>
        <v>EDM</v>
      </c>
      <c r="E359" s="55" cm="1">
        <f t="array" ref="E359">VLOOKUP(A359,'The List'!B1:I671,8,FALSE)</f>
        <v>-0.33342779672342404</v>
      </c>
      <c r="F359" s="55" cm="1">
        <f t="array" ref="F359">IF(Settings!$E$15="POINTS",E359-VLOOKUP(B$2,C1:E407,3,FALSE),J359)</f>
        <v>-5.6486301711973876</v>
      </c>
      <c r="G359" s="55"/>
      <c r="H359" s="166" cm="1">
        <f t="array" ref="H359">RANK(I359,I3:I407)</f>
        <v>213</v>
      </c>
      <c r="I359" s="167" cm="1">
        <f t="array" ref="I359">VLOOKUP(A359,'Standard Deviations'!A1:C672,3,FALSE)</f>
        <v>-0.33342779672342404</v>
      </c>
      <c r="J359" s="167" cm="1">
        <f t="array" ref="J359">I359-VLOOKUP(B$2,H1:J407,2,FALSE)</f>
        <v>-5.6486301711973876</v>
      </c>
    </row>
    <row r="360" spans="1:10" ht="21.25" customHeight="1" x14ac:dyDescent="0.15">
      <c r="A360" s="10" t="s">
        <v>725</v>
      </c>
      <c r="B360" s="165" t="str" cm="1">
        <f t="array" ref="B360">VLOOKUP(A360,'The List'!B1:D671,3,FALSE)</f>
        <v>C</v>
      </c>
      <c r="C360" s="74" cm="1">
        <f t="array" ref="C360">IF(Settings!$E$15="POINTS",RANK(E360,E3:E407),H360)</f>
        <v>314</v>
      </c>
      <c r="D360" s="18" t="str" cm="1">
        <f t="array" ref="D360">VLOOKUP(A360,'The List'!B1:F671,5,FALSE)</f>
        <v>BUF</v>
      </c>
      <c r="E360" s="55" cm="1">
        <f t="array" ref="E360">VLOOKUP(A360,'The List'!B1:I671,8,FALSE)</f>
        <v>-2.3986269876138806</v>
      </c>
      <c r="F360" s="55" cm="1">
        <f t="array" ref="F360">IF(Settings!$E$15="POINTS",E360-VLOOKUP(B$2,C1:E407,3,FALSE),J360)</f>
        <v>-7.7138293620878446</v>
      </c>
      <c r="G360" s="55"/>
      <c r="H360" s="166" cm="1">
        <f t="array" ref="H360">RANK(I360,I3:I407)</f>
        <v>314</v>
      </c>
      <c r="I360" s="167" cm="1">
        <f t="array" ref="I360">VLOOKUP(A360,'Standard Deviations'!A1:C672,3,FALSE)</f>
        <v>-2.3986269876138806</v>
      </c>
      <c r="J360" s="167" cm="1">
        <f t="array" ref="J360">I360-VLOOKUP(B$2,H1:J407,2,FALSE)</f>
        <v>-7.7138293620878446</v>
      </c>
    </row>
    <row r="361" spans="1:10" ht="21.25" customHeight="1" x14ac:dyDescent="0.15">
      <c r="A361" s="10" t="s">
        <v>753</v>
      </c>
      <c r="B361" s="165" t="str" cm="1">
        <f t="array" ref="B361">VLOOKUP(A361,'The List'!B1:D671,3,FALSE)</f>
        <v>RW</v>
      </c>
      <c r="C361" s="74" cm="1">
        <f t="array" ref="C361">IF(Settings!$E$15="POINTS",RANK(E361,E3:E407),H361)</f>
        <v>381</v>
      </c>
      <c r="D361" s="18" t="str" cm="1">
        <f t="array" ref="D361">VLOOKUP(A361,'The List'!B1:F671,5,FALSE)</f>
        <v>STL</v>
      </c>
      <c r="E361" s="55" cm="1">
        <f t="array" ref="E361">VLOOKUP(A361,'The List'!B1:I671,8,FALSE)</f>
        <v>-3.8707791597885675</v>
      </c>
      <c r="F361" s="55" cm="1">
        <f t="array" ref="F361">IF(Settings!$E$15="POINTS",E361-VLOOKUP(B$2,C1:E407,3,FALSE),J361)</f>
        <v>-9.1859815342625311</v>
      </c>
      <c r="G361" s="55"/>
      <c r="H361" s="166" cm="1">
        <f t="array" ref="H361">RANK(I361,I3:I407)</f>
        <v>381</v>
      </c>
      <c r="I361" s="167" cm="1">
        <f t="array" ref="I361">VLOOKUP(A361,'Standard Deviations'!A1:C672,3,FALSE)</f>
        <v>-3.8707791597885675</v>
      </c>
      <c r="J361" s="167" cm="1">
        <f t="array" ref="J361">I361-VLOOKUP(B$2,H1:J407,2,FALSE)</f>
        <v>-9.1859815342625311</v>
      </c>
    </row>
    <row r="362" spans="1:10" ht="21.25" customHeight="1" x14ac:dyDescent="0.15">
      <c r="A362" s="10" t="s">
        <v>756</v>
      </c>
      <c r="B362" s="165" t="str" cm="1">
        <f t="array" ref="B362">VLOOKUP(A362,'The List'!B1:D671,3,FALSE)</f>
        <v>RW</v>
      </c>
      <c r="C362" s="74" cm="1">
        <f t="array" ref="C362">IF(Settings!$E$15="POINTS",RANK(E362,E3:E407),H362)</f>
        <v>377</v>
      </c>
      <c r="D362" s="18" t="str" cm="1">
        <f t="array" ref="D362">VLOOKUP(A362,'The List'!B1:F671,5,FALSE)</f>
        <v>N.J</v>
      </c>
      <c r="E362" s="55" cm="1">
        <f t="array" ref="E362">VLOOKUP(A362,'The List'!B1:I671,8,FALSE)</f>
        <v>-3.7842982068751092</v>
      </c>
      <c r="F362" s="55" cm="1">
        <f t="array" ref="F362">IF(Settings!$E$15="POINTS",E362-VLOOKUP(B$2,C1:E407,3,FALSE),J362)</f>
        <v>-9.0995005813490728</v>
      </c>
      <c r="G362" s="55"/>
      <c r="H362" s="166" cm="1">
        <f t="array" ref="H362">RANK(I362,I3:I407)</f>
        <v>377</v>
      </c>
      <c r="I362" s="167" cm="1">
        <f t="array" ref="I362">VLOOKUP(A362,'Standard Deviations'!A1:C672,3,FALSE)</f>
        <v>-3.7842982068751092</v>
      </c>
      <c r="J362" s="167" cm="1">
        <f t="array" ref="J362">I362-VLOOKUP(B$2,H1:J407,2,FALSE)</f>
        <v>-9.0995005813490728</v>
      </c>
    </row>
    <row r="363" spans="1:10" ht="21.25" customHeight="1" x14ac:dyDescent="0.15">
      <c r="A363" s="10" t="s">
        <v>732</v>
      </c>
      <c r="B363" s="165" t="str" cm="1">
        <f t="array" ref="B363">VLOOKUP(A363,'The List'!B1:D671,3,FALSE)</f>
        <v>C</v>
      </c>
      <c r="C363" s="74" cm="1">
        <f t="array" ref="C363">IF(Settings!$E$15="POINTS",RANK(E363,E3:E407),H363)</f>
        <v>319</v>
      </c>
      <c r="D363" s="18" t="str" cm="1">
        <f t="array" ref="D363">VLOOKUP(A363,'The List'!B1:F671,5,FALSE)</f>
        <v>DAL</v>
      </c>
      <c r="E363" s="55" cm="1">
        <f t="array" ref="E363">VLOOKUP(A363,'The List'!B1:I671,8,FALSE)</f>
        <v>-2.5237820972325968</v>
      </c>
      <c r="F363" s="55" cm="1">
        <f t="array" ref="F363">IF(Settings!$E$15="POINTS",E363-VLOOKUP(B$2,C1:E407,3,FALSE),J363)</f>
        <v>-7.8389844717065609</v>
      </c>
      <c r="G363" s="55"/>
      <c r="H363" s="166" cm="1">
        <f t="array" ref="H363">RANK(I363,I3:I407)</f>
        <v>319</v>
      </c>
      <c r="I363" s="167" cm="1">
        <f t="array" ref="I363">VLOOKUP(A363,'Standard Deviations'!A1:C672,3,FALSE)</f>
        <v>-2.5237820972325968</v>
      </c>
      <c r="J363" s="167" cm="1">
        <f t="array" ref="J363">I363-VLOOKUP(B$2,H1:J407,2,FALSE)</f>
        <v>-7.8389844717065609</v>
      </c>
    </row>
    <row r="364" spans="1:10" ht="21.25" customHeight="1" x14ac:dyDescent="0.15">
      <c r="A364" s="10" t="s">
        <v>759</v>
      </c>
      <c r="B364" s="165" t="str" cm="1">
        <f t="array" ref="B364">VLOOKUP(A364,'The List'!B1:D671,3,FALSE)</f>
        <v>LW,RW</v>
      </c>
      <c r="C364" s="74" cm="1">
        <f t="array" ref="C364">IF(Settings!$E$15="POINTS",RANK(E364,E3:E407),H364)</f>
        <v>327</v>
      </c>
      <c r="D364" s="18" t="str" cm="1">
        <f t="array" ref="D364">VLOOKUP(A364,'The List'!B1:F671,5,FALSE)</f>
        <v>PIT</v>
      </c>
      <c r="E364" s="55" cm="1">
        <f t="array" ref="E364">VLOOKUP(A364,'The List'!B1:I671,8,FALSE)</f>
        <v>-2.7186296687408822</v>
      </c>
      <c r="F364" s="55" cm="1">
        <f t="array" ref="F364">IF(Settings!$E$15="POINTS",E364-VLOOKUP(B$2,C1:E407,3,FALSE),J364)</f>
        <v>-8.0338320432148471</v>
      </c>
      <c r="G364" s="55"/>
      <c r="H364" s="166" cm="1">
        <f t="array" ref="H364">RANK(I364,I3:I407)</f>
        <v>327</v>
      </c>
      <c r="I364" s="167" cm="1">
        <f t="array" ref="I364">VLOOKUP(A364,'Standard Deviations'!A1:C672,3,FALSE)</f>
        <v>-2.7186296687408822</v>
      </c>
      <c r="J364" s="167" cm="1">
        <f t="array" ref="J364">I364-VLOOKUP(B$2,H1:J407,2,FALSE)</f>
        <v>-8.0338320432148471</v>
      </c>
    </row>
    <row r="365" spans="1:10" ht="21.25" customHeight="1" x14ac:dyDescent="0.15">
      <c r="A365" s="10" t="s">
        <v>761</v>
      </c>
      <c r="B365" s="165" t="str" cm="1">
        <f t="array" ref="B365">VLOOKUP(A365,'The List'!B1:D671,3,FALSE)</f>
        <v>RW</v>
      </c>
      <c r="C365" s="74" cm="1">
        <f t="array" ref="C365">IF(Settings!$E$15="POINTS",RANK(E365,E3:E407),H365)</f>
        <v>343</v>
      </c>
      <c r="D365" s="18" t="str" cm="1">
        <f t="array" ref="D365">VLOOKUP(A365,'The List'!B1:F671,5,FALSE)</f>
        <v>VGK</v>
      </c>
      <c r="E365" s="55" cm="1">
        <f t="array" ref="E365">VLOOKUP(A365,'The List'!B1:I671,8,FALSE)</f>
        <v>-3.0606294096661228</v>
      </c>
      <c r="F365" s="55" cm="1">
        <f t="array" ref="F365">IF(Settings!$E$15="POINTS",E365-VLOOKUP(B$2,C1:E407,3,FALSE),J365)</f>
        <v>-8.375831784140086</v>
      </c>
      <c r="G365" s="55"/>
      <c r="H365" s="166" cm="1">
        <f t="array" ref="H365">RANK(I365,I3:I407)</f>
        <v>343</v>
      </c>
      <c r="I365" s="167" cm="1">
        <f t="array" ref="I365">VLOOKUP(A365,'Standard Deviations'!A1:C672,3,FALSE)</f>
        <v>-3.0606294096661228</v>
      </c>
      <c r="J365" s="167" cm="1">
        <f t="array" ref="J365">I365-VLOOKUP(B$2,H1:J407,2,FALSE)</f>
        <v>-8.375831784140086</v>
      </c>
    </row>
    <row r="366" spans="1:10" ht="21.25" customHeight="1" x14ac:dyDescent="0.15">
      <c r="A366" s="10" t="s">
        <v>765</v>
      </c>
      <c r="B366" s="165" t="str" cm="1">
        <f t="array" ref="B366">VLOOKUP(A366,'The List'!B1:D671,3,FALSE)</f>
        <v>LW</v>
      </c>
      <c r="C366" s="74" cm="1">
        <f t="array" ref="C366">IF(Settings!$E$15="POINTS",RANK(E366,E3:E407),H366)</f>
        <v>382</v>
      </c>
      <c r="D366" s="18" t="str" cm="1">
        <f t="array" ref="D366">VLOOKUP(A366,'The List'!B1:F671,5,FALSE)</f>
        <v>PIT</v>
      </c>
      <c r="E366" s="55" cm="1">
        <f t="array" ref="E366">VLOOKUP(A366,'The List'!B1:I671,8,FALSE)</f>
        <v>-3.9799700446689483</v>
      </c>
      <c r="F366" s="55" cm="1">
        <f t="array" ref="F366">IF(Settings!$E$15="POINTS",E366-VLOOKUP(B$2,C1:E407,3,FALSE),J366)</f>
        <v>-9.2951724191429115</v>
      </c>
      <c r="G366" s="55"/>
      <c r="H366" s="166" cm="1">
        <f t="array" ref="H366">RANK(I366,I3:I407)</f>
        <v>382</v>
      </c>
      <c r="I366" s="167" cm="1">
        <f t="array" ref="I366">VLOOKUP(A366,'Standard Deviations'!A1:C672,3,FALSE)</f>
        <v>-3.9799700446689483</v>
      </c>
      <c r="J366" s="167" cm="1">
        <f t="array" ref="J366">I366-VLOOKUP(B$2,H1:J407,2,FALSE)</f>
        <v>-9.2951724191429115</v>
      </c>
    </row>
    <row r="367" spans="1:10" ht="21.25" customHeight="1" x14ac:dyDescent="0.15">
      <c r="A367" s="10" t="s">
        <v>762</v>
      </c>
      <c r="B367" s="165" t="str" cm="1">
        <f t="array" ref="B367">VLOOKUP(A367,'The List'!B1:D671,3,FALSE)</f>
        <v>LW,RW</v>
      </c>
      <c r="C367" s="74" cm="1">
        <f t="array" ref="C367">IF(Settings!$E$15="POINTS",RANK(E367,E3:E407),H367)</f>
        <v>305</v>
      </c>
      <c r="D367" s="18" t="str" cm="1">
        <f t="array" ref="D367">VLOOKUP(A367,'The List'!B1:F671,5,FALSE)</f>
        <v>TOR</v>
      </c>
      <c r="E367" s="55" cm="1">
        <f t="array" ref="E367">VLOOKUP(A367,'The List'!B1:I671,8,FALSE)</f>
        <v>-2.1703472375258155</v>
      </c>
      <c r="F367" s="55" cm="1">
        <f t="array" ref="F367">IF(Settings!$E$15="POINTS",E367-VLOOKUP(B$2,C1:E407,3,FALSE),J367)</f>
        <v>-7.4855496119997795</v>
      </c>
      <c r="G367" s="55"/>
      <c r="H367" s="166" cm="1">
        <f t="array" ref="H367">RANK(I367,I3:I407)</f>
        <v>305</v>
      </c>
      <c r="I367" s="167" cm="1">
        <f t="array" ref="I367">VLOOKUP(A367,'Standard Deviations'!A1:C672,3,FALSE)</f>
        <v>-2.1703472375258155</v>
      </c>
      <c r="J367" s="167" cm="1">
        <f t="array" ref="J367">I367-VLOOKUP(B$2,H1:J407,2,FALSE)</f>
        <v>-7.4855496119997795</v>
      </c>
    </row>
    <row r="368" spans="1:10" ht="21.25" customHeight="1" x14ac:dyDescent="0.15">
      <c r="A368" s="10" t="s">
        <v>766</v>
      </c>
      <c r="B368" s="165" t="str" cm="1">
        <f t="array" ref="B368">VLOOKUP(A368,'The List'!B1:D671,3,FALSE)</f>
        <v>C,LW</v>
      </c>
      <c r="C368" s="74" cm="1">
        <f t="array" ref="C368">IF(Settings!$E$15="POINTS",RANK(E368,E3:E407),H368)</f>
        <v>296</v>
      </c>
      <c r="D368" s="18" t="str" cm="1">
        <f t="array" ref="D368">VLOOKUP(A368,'The List'!B1:F671,5,FALSE)</f>
        <v>BOS</v>
      </c>
      <c r="E368" s="55" cm="1">
        <f t="array" ref="E368">VLOOKUP(A368,'The List'!B1:I671,8,FALSE)</f>
        <v>-1.8542978686534763</v>
      </c>
      <c r="F368" s="55" cm="1">
        <f t="array" ref="F368">IF(Settings!$E$15="POINTS",E368-VLOOKUP(B$2,C1:E407,3,FALSE),J368)</f>
        <v>-7.1695002431274402</v>
      </c>
      <c r="G368" s="55"/>
      <c r="H368" s="166" cm="1">
        <f t="array" ref="H368">RANK(I368,I3:I407)</f>
        <v>296</v>
      </c>
      <c r="I368" s="167" cm="1">
        <f t="array" ref="I368">VLOOKUP(A368,'Standard Deviations'!A1:C672,3,FALSE)</f>
        <v>-1.8542978686534763</v>
      </c>
      <c r="J368" s="167" cm="1">
        <f t="array" ref="J368">I368-VLOOKUP(B$2,H1:J407,2,FALSE)</f>
        <v>-7.1695002431274402</v>
      </c>
    </row>
    <row r="369" spans="1:10" ht="21.25" customHeight="1" x14ac:dyDescent="0.15">
      <c r="A369" s="10" t="s">
        <v>737</v>
      </c>
      <c r="B369" s="165" t="str" cm="1">
        <f t="array" ref="B369">VLOOKUP(A369,'The List'!B1:D671,3,FALSE)</f>
        <v>C</v>
      </c>
      <c r="C369" s="74" cm="1">
        <f t="array" ref="C369">IF(Settings!$E$15="POINTS",RANK(E369,E3:E407),H369)</f>
        <v>332</v>
      </c>
      <c r="D369" s="18" t="str" cm="1">
        <f t="array" ref="D369">VLOOKUP(A369,'The List'!B1:F671,5,FALSE)</f>
        <v>COL</v>
      </c>
      <c r="E369" s="55" cm="1">
        <f t="array" ref="E369">VLOOKUP(A369,'The List'!B1:I671,8,FALSE)</f>
        <v>-2.831584267157591</v>
      </c>
      <c r="F369" s="55" cm="1">
        <f t="array" ref="F369">IF(Settings!$E$15="POINTS",E369-VLOOKUP(B$2,C1:E407,3,FALSE),J369)</f>
        <v>-8.1467866416315555</v>
      </c>
      <c r="G369" s="55"/>
      <c r="H369" s="166" cm="1">
        <f t="array" ref="H369">RANK(I369,I3:I407)</f>
        <v>332</v>
      </c>
      <c r="I369" s="167" cm="1">
        <f t="array" ref="I369">VLOOKUP(A369,'Standard Deviations'!A1:C672,3,FALSE)</f>
        <v>-2.831584267157591</v>
      </c>
      <c r="J369" s="167" cm="1">
        <f t="array" ref="J369">I369-VLOOKUP(B$2,H1:J407,2,FALSE)</f>
        <v>-8.1467866416315555</v>
      </c>
    </row>
    <row r="370" spans="1:10" ht="21.25" customHeight="1" x14ac:dyDescent="0.15">
      <c r="A370" s="10" t="s">
        <v>767</v>
      </c>
      <c r="B370" s="165" t="str" cm="1">
        <f t="array" ref="B370">VLOOKUP(A370,'The List'!B1:D671,3,FALSE)</f>
        <v>LW</v>
      </c>
      <c r="C370" s="74" cm="1">
        <f t="array" ref="C370">IF(Settings!$E$15="POINTS",RANK(E370,E3:E407),H370)</f>
        <v>206</v>
      </c>
      <c r="D370" s="18" t="str" cm="1">
        <f t="array" ref="D370">VLOOKUP(A370,'The List'!B1:F671,5,FALSE)</f>
        <v>CAR</v>
      </c>
      <c r="E370" s="55" cm="1">
        <f t="array" ref="E370">VLOOKUP(A370,'The List'!B1:I671,8,FALSE)</f>
        <v>-0.20251232233313554</v>
      </c>
      <c r="F370" s="55" cm="1">
        <f t="array" ref="F370">IF(Settings!$E$15="POINTS",E370-VLOOKUP(B$2,C1:E407,3,FALSE),J370)</f>
        <v>-5.5177146968070998</v>
      </c>
      <c r="G370" s="55"/>
      <c r="H370" s="166" cm="1">
        <f t="array" ref="H370">RANK(I370,I3:I407)</f>
        <v>206</v>
      </c>
      <c r="I370" s="167" cm="1">
        <f t="array" ref="I370">VLOOKUP(A370,'Standard Deviations'!A1:C672,3,FALSE)</f>
        <v>-0.20251232233313554</v>
      </c>
      <c r="J370" s="167" cm="1">
        <f t="array" ref="J370">I370-VLOOKUP(B$2,H1:J407,2,FALSE)</f>
        <v>-5.5177146968070998</v>
      </c>
    </row>
    <row r="371" spans="1:10" ht="21.25" customHeight="1" x14ac:dyDescent="0.15">
      <c r="A371" s="10" t="s">
        <v>763</v>
      </c>
      <c r="B371" s="165" t="str" cm="1">
        <f t="array" ref="B371">VLOOKUP(A371,'The List'!B1:D671,3,FALSE)</f>
        <v>LW,RW</v>
      </c>
      <c r="C371" s="74" cm="1">
        <f t="array" ref="C371">IF(Settings!$E$15="POINTS",RANK(E371,E3:E407),H371)</f>
        <v>383</v>
      </c>
      <c r="D371" s="18" t="str" cm="1">
        <f t="array" ref="D371">VLOOKUP(A371,'The List'!B1:F671,5,FALSE)</f>
        <v>CGY</v>
      </c>
      <c r="E371" s="55" cm="1">
        <f t="array" ref="E371">VLOOKUP(A371,'The List'!B1:I671,8,FALSE)</f>
        <v>-4.0634360510744019</v>
      </c>
      <c r="F371" s="55" cm="1">
        <f t="array" ref="F371">IF(Settings!$E$15="POINTS",E371-VLOOKUP(B$2,C1:E407,3,FALSE),J371)</f>
        <v>-9.3786384255483668</v>
      </c>
      <c r="G371" s="55"/>
      <c r="H371" s="166" cm="1">
        <f t="array" ref="H371">RANK(I371,I3:I407)</f>
        <v>383</v>
      </c>
      <c r="I371" s="167" cm="1">
        <f t="array" ref="I371">VLOOKUP(A371,'Standard Deviations'!A1:C672,3,FALSE)</f>
        <v>-4.0634360510744019</v>
      </c>
      <c r="J371" s="167" cm="1">
        <f t="array" ref="J371">I371-VLOOKUP(B$2,H1:J407,2,FALSE)</f>
        <v>-9.3786384255483668</v>
      </c>
    </row>
    <row r="372" spans="1:10" ht="21.25" customHeight="1" x14ac:dyDescent="0.15">
      <c r="A372" s="10" t="s">
        <v>739</v>
      </c>
      <c r="B372" s="165" t="str" cm="1">
        <f t="array" ref="B372">VLOOKUP(A372,'The List'!B1:D671,3,FALSE)</f>
        <v>C</v>
      </c>
      <c r="C372" s="74" cm="1">
        <f t="array" ref="C372">IF(Settings!$E$15="POINTS",RANK(E372,E3:E407),H372)</f>
        <v>388</v>
      </c>
      <c r="D372" s="18" t="str" cm="1">
        <f t="array" ref="D372">VLOOKUP(A372,'The List'!B1:F671,5,FALSE)</f>
        <v>PIT</v>
      </c>
      <c r="E372" s="55" cm="1">
        <f t="array" ref="E372">VLOOKUP(A372,'The List'!B1:I671,8,FALSE)</f>
        <v>-4.1669641457534263</v>
      </c>
      <c r="F372" s="55" cm="1">
        <f t="array" ref="F372">IF(Settings!$E$15="POINTS",E372-VLOOKUP(B$2,C1:E407,3,FALSE),J372)</f>
        <v>-9.4821665202273913</v>
      </c>
      <c r="G372" s="55"/>
      <c r="H372" s="166" cm="1">
        <f t="array" ref="H372">RANK(I372,I3:I407)</f>
        <v>388</v>
      </c>
      <c r="I372" s="167" cm="1">
        <f t="array" ref="I372">VLOOKUP(A372,'Standard Deviations'!A1:C672,3,FALSE)</f>
        <v>-4.1669641457534263</v>
      </c>
      <c r="J372" s="167" cm="1">
        <f t="array" ref="J372">I372-VLOOKUP(B$2,H1:J407,2,FALSE)</f>
        <v>-9.4821665202273913</v>
      </c>
    </row>
    <row r="373" spans="1:10" ht="21.25" customHeight="1" x14ac:dyDescent="0.15">
      <c r="A373" s="10" t="s">
        <v>768</v>
      </c>
      <c r="B373" s="165" t="str" cm="1">
        <f t="array" ref="B373">VLOOKUP(A373,'The List'!B1:D671,3,FALSE)</f>
        <v>LW</v>
      </c>
      <c r="C373" s="74" cm="1">
        <f t="array" ref="C373">IF(Settings!$E$15="POINTS",RANK(E373,E3:E407),H373)</f>
        <v>328</v>
      </c>
      <c r="D373" s="18" t="str" cm="1">
        <f t="array" ref="D373">VLOOKUP(A373,'The List'!B1:F671,5,FALSE)</f>
        <v>EDM</v>
      </c>
      <c r="E373" s="55" cm="1">
        <f t="array" ref="E373">VLOOKUP(A373,'The List'!B1:I671,8,FALSE)</f>
        <v>-2.7384303578022071</v>
      </c>
      <c r="F373" s="55" cm="1">
        <f t="array" ref="F373">IF(Settings!$E$15="POINTS",E373-VLOOKUP(B$2,C1:E407,3,FALSE),J373)</f>
        <v>-8.0536327322761707</v>
      </c>
      <c r="G373" s="55"/>
      <c r="H373" s="166" cm="1">
        <f t="array" ref="H373">RANK(I373,I3:I407)</f>
        <v>328</v>
      </c>
      <c r="I373" s="167" cm="1">
        <f t="array" ref="I373">VLOOKUP(A373,'Standard Deviations'!A1:C672,3,FALSE)</f>
        <v>-2.7384303578022071</v>
      </c>
      <c r="J373" s="167" cm="1">
        <f t="array" ref="J373">I373-VLOOKUP(B$2,H1:J407,2,FALSE)</f>
        <v>-8.0536327322761707</v>
      </c>
    </row>
    <row r="374" spans="1:10" ht="21.25" customHeight="1" x14ac:dyDescent="0.15">
      <c r="A374" s="10" t="s">
        <v>742</v>
      </c>
      <c r="B374" s="165" t="str" cm="1">
        <f t="array" ref="B374">VLOOKUP(A374,'The List'!B1:D671,3,FALSE)</f>
        <v>C</v>
      </c>
      <c r="C374" s="74" cm="1">
        <f t="array" ref="C374">IF(Settings!$E$15="POINTS",RANK(E374,E3:E407),H374)</f>
        <v>378</v>
      </c>
      <c r="D374" s="18" t="str" cm="1">
        <f t="array" ref="D374">VLOOKUP(A374,'The List'!B1:F671,5,FALSE)</f>
        <v>STL</v>
      </c>
      <c r="E374" s="55" cm="1">
        <f t="array" ref="E374">VLOOKUP(A374,'The List'!B1:I671,8,FALSE)</f>
        <v>-3.8166862939821766</v>
      </c>
      <c r="F374" s="55" cm="1">
        <f t="array" ref="F374">IF(Settings!$E$15="POINTS",E374-VLOOKUP(B$2,C1:E407,3,FALSE),J374)</f>
        <v>-9.1318886684561402</v>
      </c>
      <c r="G374" s="55"/>
      <c r="H374" s="166" cm="1">
        <f t="array" ref="H374">RANK(I374,I3:I407)</f>
        <v>378</v>
      </c>
      <c r="I374" s="167" cm="1">
        <f t="array" ref="I374">VLOOKUP(A374,'Standard Deviations'!A1:C672,3,FALSE)</f>
        <v>-3.8166862939821766</v>
      </c>
      <c r="J374" s="167" cm="1">
        <f t="array" ref="J374">I374-VLOOKUP(B$2,H1:J407,2,FALSE)</f>
        <v>-9.1318886684561402</v>
      </c>
    </row>
    <row r="375" spans="1:10" ht="21.25" customHeight="1" x14ac:dyDescent="0.15">
      <c r="A375" s="10" t="s">
        <v>770</v>
      </c>
      <c r="B375" s="165" t="str" cm="1">
        <f t="array" ref="B375">VLOOKUP(A375,'The List'!B1:D671,3,FALSE)</f>
        <v>LW</v>
      </c>
      <c r="C375" s="74" cm="1">
        <f t="array" ref="C375">IF(Settings!$E$15="POINTS",RANK(E375,E3:E407),H375)</f>
        <v>344</v>
      </c>
      <c r="D375" s="18" t="str" cm="1">
        <f t="array" ref="D375">VLOOKUP(A375,'The List'!B1:F671,5,FALSE)</f>
        <v>VAN</v>
      </c>
      <c r="E375" s="55" cm="1">
        <f t="array" ref="E375">VLOOKUP(A375,'The List'!B1:I671,8,FALSE)</f>
        <v>-3.0727250031253059</v>
      </c>
      <c r="F375" s="55" cm="1">
        <f t="array" ref="F375">IF(Settings!$E$15="POINTS",E375-VLOOKUP(B$2,C1:E407,3,FALSE),J375)</f>
        <v>-8.3879273775992704</v>
      </c>
      <c r="G375" s="55"/>
      <c r="H375" s="166" cm="1">
        <f t="array" ref="H375">RANK(I375,I3:I407)</f>
        <v>344</v>
      </c>
      <c r="I375" s="167" cm="1">
        <f t="array" ref="I375">VLOOKUP(A375,'Standard Deviations'!A1:C672,3,FALSE)</f>
        <v>-3.0727250031253059</v>
      </c>
      <c r="J375" s="167" cm="1">
        <f t="array" ref="J375">I375-VLOOKUP(B$2,H1:J407,2,FALSE)</f>
        <v>-8.3879273775992704</v>
      </c>
    </row>
    <row r="376" spans="1:10" ht="21.25" customHeight="1" x14ac:dyDescent="0.15">
      <c r="A376" s="10" t="s">
        <v>747</v>
      </c>
      <c r="B376" s="165" t="str" cm="1">
        <f t="array" ref="B376">VLOOKUP(A376,'The List'!B1:D671,3,FALSE)</f>
        <v>C</v>
      </c>
      <c r="C376" s="74" cm="1">
        <f t="array" ref="C376">IF(Settings!$E$15="POINTS",RANK(E376,E3:E407),H376)</f>
        <v>376</v>
      </c>
      <c r="D376" s="18" t="str" cm="1">
        <f t="array" ref="D376">VLOOKUP(A376,'The List'!B1:F671,5,FALSE)</f>
        <v>VAN</v>
      </c>
      <c r="E376" s="55" cm="1">
        <f t="array" ref="E376">VLOOKUP(A376,'The List'!B1:I671,8,FALSE)</f>
        <v>-3.7310258894068888</v>
      </c>
      <c r="F376" s="55" cm="1">
        <f t="array" ref="F376">IF(Settings!$E$15="POINTS",E376-VLOOKUP(B$2,C1:E407,3,FALSE),J376)</f>
        <v>-9.0462282638808524</v>
      </c>
      <c r="G376" s="55"/>
      <c r="H376" s="166" cm="1">
        <f t="array" ref="H376">RANK(I376,I3:I407)</f>
        <v>376</v>
      </c>
      <c r="I376" s="167" cm="1">
        <f t="array" ref="I376">VLOOKUP(A376,'Standard Deviations'!A1:C672,3,FALSE)</f>
        <v>-3.7310258894068888</v>
      </c>
      <c r="J376" s="167" cm="1">
        <f t="array" ref="J376">I376-VLOOKUP(B$2,H1:J407,2,FALSE)</f>
        <v>-9.0462282638808524</v>
      </c>
    </row>
    <row r="377" spans="1:10" ht="21.25" customHeight="1" x14ac:dyDescent="0.15">
      <c r="A377" s="10" t="s">
        <v>754</v>
      </c>
      <c r="B377" s="165" t="str" cm="1">
        <f t="array" ref="B377">VLOOKUP(A377,'The List'!B1:D671,3,FALSE)</f>
        <v>C</v>
      </c>
      <c r="C377" s="74" cm="1">
        <f t="array" ref="C377">IF(Settings!$E$15="POINTS",RANK(E377,E3:E407),H377)</f>
        <v>293</v>
      </c>
      <c r="D377" s="18" t="str" cm="1">
        <f t="array" ref="D377">VLOOKUP(A377,'The List'!B1:F671,5,FALSE)</f>
        <v>T.B</v>
      </c>
      <c r="E377" s="55" cm="1">
        <f t="array" ref="E377">VLOOKUP(A377,'The List'!B1:I671,8,FALSE)</f>
        <v>-1.7722092005993726</v>
      </c>
      <c r="F377" s="55" cm="1">
        <f t="array" ref="F377">IF(Settings!$E$15="POINTS",E377-VLOOKUP(B$2,C1:E407,3,FALSE),J377)</f>
        <v>-7.0874115750733369</v>
      </c>
      <c r="G377" s="55"/>
      <c r="H377" s="166" cm="1">
        <f t="array" ref="H377">RANK(I377,I3:I407)</f>
        <v>293</v>
      </c>
      <c r="I377" s="167" cm="1">
        <f t="array" ref="I377">VLOOKUP(A377,'Standard Deviations'!A1:C672,3,FALSE)</f>
        <v>-1.7722092005993726</v>
      </c>
      <c r="J377" s="167" cm="1">
        <f t="array" ref="J377">I377-VLOOKUP(B$2,H1:J407,2,FALSE)</f>
        <v>-7.0874115750733369</v>
      </c>
    </row>
    <row r="378" spans="1:10" ht="21.25" customHeight="1" x14ac:dyDescent="0.15">
      <c r="A378" s="10" t="s">
        <v>757</v>
      </c>
      <c r="B378" s="165" t="str" cm="1">
        <f t="array" ref="B378">VLOOKUP(A378,'The List'!B1:D671,3,FALSE)</f>
        <v>C</v>
      </c>
      <c r="C378" s="74" cm="1">
        <f t="array" ref="C378">IF(Settings!$E$15="POINTS",RANK(E378,E3:E407),H378)</f>
        <v>394</v>
      </c>
      <c r="D378" s="18" t="str" cm="1">
        <f t="array" ref="D378">VLOOKUP(A378,'The List'!B1:F671,5,FALSE)</f>
        <v>CBJ</v>
      </c>
      <c r="E378" s="55" cm="1">
        <f t="array" ref="E378">VLOOKUP(A378,'The List'!B1:I671,8,FALSE)</f>
        <v>-4.4184116384583918</v>
      </c>
      <c r="F378" s="55" cm="1">
        <f t="array" ref="F378">IF(Settings!$E$15="POINTS",E378-VLOOKUP(B$2,C1:E407,3,FALSE),J378)</f>
        <v>-9.7336140129323567</v>
      </c>
      <c r="G378" s="55"/>
      <c r="H378" s="166" cm="1">
        <f t="array" ref="H378">RANK(I378,I3:I407)</f>
        <v>394</v>
      </c>
      <c r="I378" s="167" cm="1">
        <f t="array" ref="I378">VLOOKUP(A378,'Standard Deviations'!A1:C672,3,FALSE)</f>
        <v>-4.4184116384583918</v>
      </c>
      <c r="J378" s="167" cm="1">
        <f t="array" ref="J378">I378-VLOOKUP(B$2,H1:J407,2,FALSE)</f>
        <v>-9.7336140129323567</v>
      </c>
    </row>
    <row r="379" spans="1:10" ht="21.25" customHeight="1" x14ac:dyDescent="0.15">
      <c r="A379" s="10" t="s">
        <v>769</v>
      </c>
      <c r="B379" s="165" t="str" cm="1">
        <f t="array" ref="B379">VLOOKUP(A379,'The List'!B1:D671,3,FALSE)</f>
        <v>C,RW</v>
      </c>
      <c r="C379" s="74" cm="1">
        <f t="array" ref="C379">IF(Settings!$E$15="POINTS",RANK(E379,E3:E407),H379)</f>
        <v>309</v>
      </c>
      <c r="D379" s="18" t="str" cm="1">
        <f t="array" ref="D379">VLOOKUP(A379,'The List'!B1:F671,5,FALSE)</f>
        <v>DAL</v>
      </c>
      <c r="E379" s="55" cm="1">
        <f t="array" ref="E379">VLOOKUP(A379,'The List'!B1:I671,8,FALSE)</f>
        <v>-2.3143111037597985</v>
      </c>
      <c r="F379" s="55" cm="1">
        <f t="array" ref="F379">IF(Settings!$E$15="POINTS",E379-VLOOKUP(B$2,C1:E407,3,FALSE),J379)</f>
        <v>-7.629513478233763</v>
      </c>
      <c r="G379" s="55"/>
      <c r="H379" s="166" cm="1">
        <f t="array" ref="H379">RANK(I379,I3:I407)</f>
        <v>309</v>
      </c>
      <c r="I379" s="167" cm="1">
        <f t="array" ref="I379">VLOOKUP(A379,'Standard Deviations'!A1:C672,3,FALSE)</f>
        <v>-2.3143111037597985</v>
      </c>
      <c r="J379" s="167" cm="1">
        <f t="array" ref="J379">I379-VLOOKUP(B$2,H1:J407,2,FALSE)</f>
        <v>-7.629513478233763</v>
      </c>
    </row>
    <row r="380" spans="1:10" ht="21.25" customHeight="1" x14ac:dyDescent="0.15">
      <c r="A380" s="10" t="s">
        <v>760</v>
      </c>
      <c r="B380" s="165" t="str" cm="1">
        <f t="array" ref="B380">VLOOKUP(A380,'The List'!B1:D671,3,FALSE)</f>
        <v>C</v>
      </c>
      <c r="C380" s="74" cm="1">
        <f t="array" ref="C380">IF(Settings!$E$15="POINTS",RANK(E380,E3:E407),H380)</f>
        <v>372</v>
      </c>
      <c r="D380" s="18" t="str" cm="1">
        <f t="array" ref="D380">VLOOKUP(A380,'The List'!B1:F671,5,FALSE)</f>
        <v>FLA</v>
      </c>
      <c r="E380" s="55" cm="1">
        <f t="array" ref="E380">VLOOKUP(A380,'The List'!B1:I671,8,FALSE)</f>
        <v>-3.6710145341838385</v>
      </c>
      <c r="F380" s="55" cm="1">
        <f t="array" ref="F380">IF(Settings!$E$15="POINTS",E380-VLOOKUP(B$2,C1:E407,3,FALSE),J380)</f>
        <v>-8.9862169086578021</v>
      </c>
      <c r="G380" s="55"/>
      <c r="H380" s="166" cm="1">
        <f t="array" ref="H380">RANK(I380,I3:I407)</f>
        <v>372</v>
      </c>
      <c r="I380" s="167" cm="1">
        <f t="array" ref="I380">VLOOKUP(A380,'Standard Deviations'!A1:C672,3,FALSE)</f>
        <v>-3.6710145341838385</v>
      </c>
      <c r="J380" s="167" cm="1">
        <f t="array" ref="J380">I380-VLOOKUP(B$2,H1:J407,2,FALSE)</f>
        <v>-8.9862169086578021</v>
      </c>
    </row>
    <row r="381" spans="1:10" ht="21.25" customHeight="1" x14ac:dyDescent="0.15">
      <c r="A381" s="10" t="s">
        <v>774</v>
      </c>
      <c r="B381" s="165" t="str" cm="1">
        <f t="array" ref="B381">VLOOKUP(A381,'The List'!B1:D671,3,FALSE)</f>
        <v>C,LW</v>
      </c>
      <c r="C381" s="74" cm="1">
        <f t="array" ref="C381">IF(Settings!$E$15="POINTS",RANK(E381,E3:E407),H381)</f>
        <v>365</v>
      </c>
      <c r="D381" s="18" t="str" cm="1">
        <f t="array" ref="D381">VLOOKUP(A381,'The List'!B1:F671,5,FALSE)</f>
        <v>NSH</v>
      </c>
      <c r="E381" s="55" cm="1">
        <f t="array" ref="E381">VLOOKUP(A381,'The List'!B1:I671,8,FALSE)</f>
        <v>-3.5213081359452563</v>
      </c>
      <c r="F381" s="55" cm="1">
        <f t="array" ref="F381">IF(Settings!$E$15="POINTS",E381-VLOOKUP(B$2,C1:E407,3,FALSE),J381)</f>
        <v>-8.8365105104192203</v>
      </c>
      <c r="G381" s="55"/>
      <c r="H381" s="166" cm="1">
        <f t="array" ref="H381">RANK(I381,I3:I407)</f>
        <v>365</v>
      </c>
      <c r="I381" s="167" cm="1">
        <f t="array" ref="I381">VLOOKUP(A381,'Standard Deviations'!A1:C672,3,FALSE)</f>
        <v>-3.5213081359452563</v>
      </c>
      <c r="J381" s="167" cm="1">
        <f t="array" ref="J381">I381-VLOOKUP(B$2,H1:J407,2,FALSE)</f>
        <v>-8.8365105104192203</v>
      </c>
    </row>
    <row r="382" spans="1:10" ht="21.25" customHeight="1" x14ac:dyDescent="0.15">
      <c r="A382" s="10" t="s">
        <v>772</v>
      </c>
      <c r="B382" s="165" t="str" cm="1">
        <f t="array" ref="B382">VLOOKUP(A382,'The List'!B1:D671,3,FALSE)</f>
        <v>RW</v>
      </c>
      <c r="C382" s="74" cm="1">
        <f t="array" ref="C382">IF(Settings!$E$15="POINTS",RANK(E382,E3:E407),H382)</f>
        <v>341</v>
      </c>
      <c r="D382" s="18" t="str" cm="1">
        <f t="array" ref="D382">VLOOKUP(A382,'The List'!B1:F671,5,FALSE)</f>
        <v>COL</v>
      </c>
      <c r="E382" s="55" cm="1">
        <f t="array" ref="E382">VLOOKUP(A382,'The List'!B1:I671,8,FALSE)</f>
        <v>-3.0396598546849933</v>
      </c>
      <c r="F382" s="55" cm="1">
        <f t="array" ref="F382">IF(Settings!$E$15="POINTS",E382-VLOOKUP(B$2,C1:E407,3,FALSE),J382)</f>
        <v>-8.3548622291589574</v>
      </c>
      <c r="G382" s="55"/>
      <c r="H382" s="166" cm="1">
        <f t="array" ref="H382">RANK(I382,I3:I407)</f>
        <v>341</v>
      </c>
      <c r="I382" s="167" cm="1">
        <f t="array" ref="I382">VLOOKUP(A382,'Standard Deviations'!A1:C672,3,FALSE)</f>
        <v>-3.0396598546849933</v>
      </c>
      <c r="J382" s="167" cm="1">
        <f t="array" ref="J382">I382-VLOOKUP(B$2,H1:J407,2,FALSE)</f>
        <v>-8.3548622291589574</v>
      </c>
    </row>
    <row r="383" spans="1:10" ht="21.25" customHeight="1" x14ac:dyDescent="0.15">
      <c r="A383" s="10" t="s">
        <v>776</v>
      </c>
      <c r="B383" s="165" t="str" cm="1">
        <f t="array" ref="B383">VLOOKUP(A383,'The List'!B1:D671,3,FALSE)</f>
        <v>C,LW</v>
      </c>
      <c r="C383" s="74" cm="1">
        <f t="array" ref="C383">IF(Settings!$E$15="POINTS",RANK(E383,E3:E407),H383)</f>
        <v>373</v>
      </c>
      <c r="D383" s="18" t="str" cm="1">
        <f t="array" ref="D383">VLOOKUP(A383,'The List'!B1:F671,5,FALSE)</f>
        <v>DAL</v>
      </c>
      <c r="E383" s="55" cm="1">
        <f t="array" ref="E383">VLOOKUP(A383,'The List'!B1:I671,8,FALSE)</f>
        <v>-3.6829667851601449</v>
      </c>
      <c r="F383" s="55" cm="1">
        <f t="array" ref="F383">IF(Settings!$E$15="POINTS",E383-VLOOKUP(B$2,C1:E407,3,FALSE),J383)</f>
        <v>-8.9981691596341093</v>
      </c>
      <c r="G383" s="55"/>
      <c r="H383" s="166" cm="1">
        <f t="array" ref="H383">RANK(I383,I3:I407)</f>
        <v>373</v>
      </c>
      <c r="I383" s="167" cm="1">
        <f t="array" ref="I383">VLOOKUP(A383,'Standard Deviations'!A1:C672,3,FALSE)</f>
        <v>-3.6829667851601449</v>
      </c>
      <c r="J383" s="167" cm="1">
        <f t="array" ref="J383">I383-VLOOKUP(B$2,H1:J407,2,FALSE)</f>
        <v>-8.9981691596341093</v>
      </c>
    </row>
    <row r="384" spans="1:10" ht="21.25" customHeight="1" x14ac:dyDescent="0.15">
      <c r="A384" s="10" t="s">
        <v>764</v>
      </c>
      <c r="B384" s="165" t="str" cm="1">
        <f t="array" ref="B384">VLOOKUP(A384,'The List'!B1:D671,3,FALSE)</f>
        <v>C</v>
      </c>
      <c r="C384" s="74" cm="1">
        <f t="array" ref="C384">IF(Settings!$E$15="POINTS",RANK(E384,E3:E407),H384)</f>
        <v>351</v>
      </c>
      <c r="D384" s="18" t="str" cm="1">
        <f t="array" ref="D384">VLOOKUP(A384,'The List'!B1:F671,5,FALSE)</f>
        <v>EDM</v>
      </c>
      <c r="E384" s="55" cm="1">
        <f t="array" ref="E384">VLOOKUP(A384,'The List'!B1:I671,8,FALSE)</f>
        <v>-3.1544924011314275</v>
      </c>
      <c r="F384" s="55" cm="1">
        <f t="array" ref="F384">IF(Settings!$E$15="POINTS",E384-VLOOKUP(B$2,C1:E407,3,FALSE),J384)</f>
        <v>-8.469694775605392</v>
      </c>
      <c r="G384" s="55"/>
      <c r="H384" s="166" cm="1">
        <f t="array" ref="H384">RANK(I384,I3:I407)</f>
        <v>351</v>
      </c>
      <c r="I384" s="167" cm="1">
        <f t="array" ref="I384">VLOOKUP(A384,'Standard Deviations'!A1:C672,3,FALSE)</f>
        <v>-3.1544924011314275</v>
      </c>
      <c r="J384" s="167" cm="1">
        <f t="array" ref="J384">I384-VLOOKUP(B$2,H1:J407,2,FALSE)</f>
        <v>-8.469694775605392</v>
      </c>
    </row>
    <row r="385" spans="1:10" ht="21.25" customHeight="1" x14ac:dyDescent="0.15">
      <c r="A385" s="10" t="s">
        <v>779</v>
      </c>
      <c r="B385" s="165" t="str" cm="1">
        <f t="array" ref="B385">VLOOKUP(A385,'The List'!B1:D671,3,FALSE)</f>
        <v>C,LW</v>
      </c>
      <c r="C385" s="74" cm="1">
        <f t="array" ref="C385">IF(Settings!$E$15="POINTS",RANK(E385,E3:E407),H385)</f>
        <v>400</v>
      </c>
      <c r="D385" s="18" t="str" cm="1">
        <f t="array" ref="D385">VLOOKUP(A385,'The List'!B1:F671,5,FALSE)</f>
        <v>SEA</v>
      </c>
      <c r="E385" s="55" cm="1">
        <f t="array" ref="E385">VLOOKUP(A385,'The List'!B1:I671,8,FALSE)</f>
        <v>-4.861795825206344</v>
      </c>
      <c r="F385" s="55" cm="1">
        <f t="array" ref="F385">IF(Settings!$E$15="POINTS",E385-VLOOKUP(B$2,C1:E407,3,FALSE),J385)</f>
        <v>-10.176998199680309</v>
      </c>
      <c r="G385" s="55"/>
      <c r="H385" s="166" cm="1">
        <f t="array" ref="H385">RANK(I385,I3:I407)</f>
        <v>400</v>
      </c>
      <c r="I385" s="167" cm="1">
        <f t="array" ref="I385">VLOOKUP(A385,'Standard Deviations'!A1:C672,3,FALSE)</f>
        <v>-4.861795825206344</v>
      </c>
      <c r="J385" s="167" cm="1">
        <f t="array" ref="J385">I385-VLOOKUP(B$2,H1:J407,2,FALSE)</f>
        <v>-10.176998199680309</v>
      </c>
    </row>
    <row r="386" spans="1:10" ht="21.25" customHeight="1" x14ac:dyDescent="0.15">
      <c r="A386" s="10" t="s">
        <v>781</v>
      </c>
      <c r="B386" s="165" t="str" cm="1">
        <f t="array" ref="B386">VLOOKUP(A386,'The List'!B1:D671,3,FALSE)</f>
        <v>LW</v>
      </c>
      <c r="C386" s="74" cm="1">
        <f t="array" ref="C386">IF(Settings!$E$15="POINTS",RANK(E386,E3:E407),H386)</f>
        <v>367</v>
      </c>
      <c r="D386" s="18" t="str" cm="1">
        <f t="array" ref="D386">VLOOKUP(A386,'The List'!B1:F671,5,FALSE)</f>
        <v>NSH</v>
      </c>
      <c r="E386" s="55" cm="1">
        <f t="array" ref="E386">VLOOKUP(A386,'The List'!B1:I671,8,FALSE)</f>
        <v>-3.5242294259694704</v>
      </c>
      <c r="F386" s="55" cm="1">
        <f t="array" ref="F386">IF(Settings!$E$15="POINTS",E386-VLOOKUP(B$2,C1:E407,3,FALSE),J386)</f>
        <v>-8.8394318004434353</v>
      </c>
      <c r="G386" s="55"/>
      <c r="H386" s="166" cm="1">
        <f t="array" ref="H386">RANK(I386,I3:I407)</f>
        <v>367</v>
      </c>
      <c r="I386" s="167" cm="1">
        <f t="array" ref="I386">VLOOKUP(A386,'Standard Deviations'!A1:C672,3,FALSE)</f>
        <v>-3.5242294259694704</v>
      </c>
      <c r="J386" s="167" cm="1">
        <f t="array" ref="J386">I386-VLOOKUP(B$2,H1:J407,2,FALSE)</f>
        <v>-8.8394318004434353</v>
      </c>
    </row>
    <row r="387" spans="1:10" ht="21.25" customHeight="1" x14ac:dyDescent="0.15">
      <c r="A387" s="10" t="s">
        <v>777</v>
      </c>
      <c r="B387" s="165" t="str" cm="1">
        <f t="array" ref="B387">VLOOKUP(A387,'The List'!B1:D671,3,FALSE)</f>
        <v>LW,RW</v>
      </c>
      <c r="C387" s="74" cm="1">
        <f t="array" ref="C387">IF(Settings!$E$15="POINTS",RANK(E387,E3:E407),H387)</f>
        <v>363</v>
      </c>
      <c r="D387" s="18" t="str" cm="1">
        <f t="array" ref="D387">VLOOKUP(A387,'The List'!B1:F671,5,FALSE)</f>
        <v>PHI</v>
      </c>
      <c r="E387" s="55" cm="1">
        <f t="array" ref="E387">VLOOKUP(A387,'The List'!B1:I671,8,FALSE)</f>
        <v>-3.5019036343420527</v>
      </c>
      <c r="F387" s="55" cm="1">
        <f t="array" ref="F387">IF(Settings!$E$15="POINTS",E387-VLOOKUP(B$2,C1:E407,3,FALSE),J387)</f>
        <v>-8.8171060088160171</v>
      </c>
      <c r="G387" s="55"/>
      <c r="H387" s="166" cm="1">
        <f t="array" ref="H387">RANK(I387,I3:I407)</f>
        <v>363</v>
      </c>
      <c r="I387" s="167" cm="1">
        <f t="array" ref="I387">VLOOKUP(A387,'Standard Deviations'!A1:C672,3,FALSE)</f>
        <v>-3.5019036343420527</v>
      </c>
      <c r="J387" s="167" cm="1">
        <f t="array" ref="J387">I387-VLOOKUP(B$2,H1:J407,2,FALSE)</f>
        <v>-8.8171060088160171</v>
      </c>
    </row>
    <row r="388" spans="1:10" ht="21.25" customHeight="1" x14ac:dyDescent="0.15">
      <c r="A388" s="10" t="s">
        <v>771</v>
      </c>
      <c r="B388" s="165" t="str" cm="1">
        <f t="array" ref="B388">VLOOKUP(A388,'The List'!B1:D671,3,FALSE)</f>
        <v>C</v>
      </c>
      <c r="C388" s="74" cm="1">
        <f t="array" ref="C388">IF(Settings!$E$15="POINTS",RANK(E388,E3:E407),H388)</f>
        <v>353</v>
      </c>
      <c r="D388" s="18" t="str" cm="1">
        <f t="array" ref="D388">VLOOKUP(A388,'The List'!B1:F671,5,FALSE)</f>
        <v>MIN</v>
      </c>
      <c r="E388" s="55" cm="1">
        <f t="array" ref="E388">VLOOKUP(A388,'The List'!B1:I671,8,FALSE)</f>
        <v>-3.2074098836058398</v>
      </c>
      <c r="F388" s="55" cm="1">
        <f t="array" ref="F388">IF(Settings!$E$15="POINTS",E388-VLOOKUP(B$2,C1:E407,3,FALSE),J388)</f>
        <v>-8.5226122580798034</v>
      </c>
      <c r="G388" s="55"/>
      <c r="H388" s="166" cm="1">
        <f t="array" ref="H388">RANK(I388,I3:I407)</f>
        <v>353</v>
      </c>
      <c r="I388" s="167" cm="1">
        <f t="array" ref="I388">VLOOKUP(A388,'Standard Deviations'!A1:C672,3,FALSE)</f>
        <v>-3.2074098836058398</v>
      </c>
      <c r="J388" s="167" cm="1">
        <f t="array" ref="J388">I388-VLOOKUP(B$2,H1:J407,2,FALSE)</f>
        <v>-8.5226122580798034</v>
      </c>
    </row>
    <row r="389" spans="1:10" ht="21.25" customHeight="1" x14ac:dyDescent="0.15">
      <c r="A389" s="10" t="s">
        <v>783</v>
      </c>
      <c r="B389" s="165" t="str" cm="1">
        <f t="array" ref="B389">VLOOKUP(A389,'The List'!B1:D671,3,FALSE)</f>
        <v>LW</v>
      </c>
      <c r="C389" s="74" cm="1">
        <f t="array" ref="C389">IF(Settings!$E$15="POINTS",RANK(E389,E3:E407),H389)</f>
        <v>290</v>
      </c>
      <c r="D389" s="18" t="str" cm="1">
        <f t="array" ref="D389">VLOOKUP(A389,'The List'!B1:F671,5,FALSE)</f>
        <v>T.B</v>
      </c>
      <c r="E389" s="55" cm="1">
        <f t="array" ref="E389">VLOOKUP(A389,'The List'!B1:I671,8,FALSE)</f>
        <v>-1.7283872596701955</v>
      </c>
      <c r="F389" s="55" cm="1">
        <f t="array" ref="F389">IF(Settings!$E$15="POINTS",E389-VLOOKUP(B$2,C1:E407,3,FALSE),J389)</f>
        <v>-7.0435896341441593</v>
      </c>
      <c r="G389" s="55"/>
      <c r="H389" s="166" cm="1">
        <f t="array" ref="H389">RANK(I389,I3:I407)</f>
        <v>290</v>
      </c>
      <c r="I389" s="167" cm="1">
        <f t="array" ref="I389">VLOOKUP(A389,'Standard Deviations'!A1:C672,3,FALSE)</f>
        <v>-1.7283872596701955</v>
      </c>
      <c r="J389" s="167" cm="1">
        <f t="array" ref="J389">I389-VLOOKUP(B$2,H1:J407,2,FALSE)</f>
        <v>-7.0435896341441593</v>
      </c>
    </row>
    <row r="390" spans="1:10" ht="21.25" customHeight="1" x14ac:dyDescent="0.15">
      <c r="A390" s="10" t="s">
        <v>773</v>
      </c>
      <c r="B390" s="165" t="str" cm="1">
        <f t="array" ref="B390">VLOOKUP(A390,'The List'!B1:D671,3,FALSE)</f>
        <v>C</v>
      </c>
      <c r="C390" s="74" cm="1">
        <f t="array" ref="C390">IF(Settings!$E$15="POINTS",RANK(E390,E3:E407),H390)</f>
        <v>349</v>
      </c>
      <c r="D390" s="18" t="str" cm="1">
        <f t="array" ref="D390">VLOOKUP(A390,'The List'!B1:F671,5,FALSE)</f>
        <v>NYR</v>
      </c>
      <c r="E390" s="55" cm="1">
        <f t="array" ref="E390">VLOOKUP(A390,'The List'!B1:I671,8,FALSE)</f>
        <v>-3.1371640795047884</v>
      </c>
      <c r="F390" s="55" cm="1">
        <f t="array" ref="F390">IF(Settings!$E$15="POINTS",E390-VLOOKUP(B$2,C1:E407,3,FALSE),J390)</f>
        <v>-8.4523664539787529</v>
      </c>
      <c r="G390" s="55"/>
      <c r="H390" s="166" cm="1">
        <f t="array" ref="H390">RANK(I390,I3:I407)</f>
        <v>349</v>
      </c>
      <c r="I390" s="167" cm="1">
        <f t="array" ref="I390">VLOOKUP(A390,'Standard Deviations'!A1:C672,3,FALSE)</f>
        <v>-3.1371640795047884</v>
      </c>
      <c r="J390" s="167" cm="1">
        <f t="array" ref="J390">I390-VLOOKUP(B$2,H1:J407,2,FALSE)</f>
        <v>-8.4523664539787529</v>
      </c>
    </row>
    <row r="391" spans="1:10" ht="21.25" customHeight="1" x14ac:dyDescent="0.15">
      <c r="A391" s="10" t="s">
        <v>780</v>
      </c>
      <c r="B391" s="165" t="str" cm="1">
        <f t="array" ref="B391">VLOOKUP(A391,'The List'!B1:D671,3,FALSE)</f>
        <v>RW</v>
      </c>
      <c r="C391" s="74" cm="1">
        <f t="array" ref="C391">IF(Settings!$E$15="POINTS",RANK(E391,E3:E407),H391)</f>
        <v>403</v>
      </c>
      <c r="D391" s="18" t="str" cm="1">
        <f t="array" ref="D391">VLOOKUP(A391,'The List'!B1:F671,5,FALSE)</f>
        <v>SEA</v>
      </c>
      <c r="E391" s="55" cm="1">
        <f t="array" ref="E391">VLOOKUP(A391,'The List'!B1:I671,8,FALSE)</f>
        <v>-5.4349542901548968</v>
      </c>
      <c r="F391" s="55" cm="1">
        <f t="array" ref="F391">IF(Settings!$E$15="POINTS",E391-VLOOKUP(B$2,C1:E407,3,FALSE),J391)</f>
        <v>-10.750156664628861</v>
      </c>
      <c r="G391" s="55"/>
      <c r="H391" s="166" cm="1">
        <f t="array" ref="H391">RANK(I391,I3:I407)</f>
        <v>403</v>
      </c>
      <c r="I391" s="167" cm="1">
        <f t="array" ref="I391">VLOOKUP(A391,'Standard Deviations'!A1:C672,3,FALSE)</f>
        <v>-5.4349542901548968</v>
      </c>
      <c r="J391" s="167" cm="1">
        <f t="array" ref="J391">I391-VLOOKUP(B$2,H1:J407,2,FALSE)</f>
        <v>-10.750156664628861</v>
      </c>
    </row>
    <row r="392" spans="1:10" ht="21.25" customHeight="1" x14ac:dyDescent="0.15">
      <c r="A392" s="10" t="s">
        <v>785</v>
      </c>
      <c r="B392" s="165" t="str" cm="1">
        <f t="array" ref="B392">VLOOKUP(A392,'The List'!B1:D671,3,FALSE)</f>
        <v>C,LW</v>
      </c>
      <c r="C392" s="74" cm="1">
        <f t="array" ref="C392">IF(Settings!$E$15="POINTS",RANK(E392,E3:E407),H392)</f>
        <v>345</v>
      </c>
      <c r="D392" s="18" t="str" cm="1">
        <f t="array" ref="D392">VLOOKUP(A392,'The List'!B1:F671,5,FALSE)</f>
        <v>N.J</v>
      </c>
      <c r="E392" s="55" cm="1">
        <f t="array" ref="E392">VLOOKUP(A392,'The List'!B1:I671,8,FALSE)</f>
        <v>-3.0795150760567567</v>
      </c>
      <c r="F392" s="55" cm="1">
        <f t="array" ref="F392">IF(Settings!$E$15="POINTS",E392-VLOOKUP(B$2,C1:E407,3,FALSE),J392)</f>
        <v>-8.3947174505307203</v>
      </c>
      <c r="G392" s="55"/>
      <c r="H392" s="166" cm="1">
        <f t="array" ref="H392">RANK(I392,I3:I407)</f>
        <v>345</v>
      </c>
      <c r="I392" s="167" cm="1">
        <f t="array" ref="I392">VLOOKUP(A392,'Standard Deviations'!A1:C672,3,FALSE)</f>
        <v>-3.0795150760567567</v>
      </c>
      <c r="J392" s="167" cm="1">
        <f t="array" ref="J392">I392-VLOOKUP(B$2,H1:J407,2,FALSE)</f>
        <v>-8.3947174505307203</v>
      </c>
    </row>
    <row r="393" spans="1:10" ht="21.25" customHeight="1" x14ac:dyDescent="0.15">
      <c r="A393" s="10" t="s">
        <v>782</v>
      </c>
      <c r="B393" s="165" t="str" cm="1">
        <f t="array" ref="B393">VLOOKUP(A393,'The List'!B1:D671,3,FALSE)</f>
        <v>LW,RW</v>
      </c>
      <c r="C393" s="74" cm="1">
        <f t="array" ref="C393">IF(Settings!$E$15="POINTS",RANK(E393,E3:E407),H393)</f>
        <v>338</v>
      </c>
      <c r="D393" s="18" t="str" cm="1">
        <f t="array" ref="D393">VLOOKUP(A393,'The List'!B1:F671,5,FALSE)</f>
        <v>UTA</v>
      </c>
      <c r="E393" s="55" cm="1">
        <f t="array" ref="E393">VLOOKUP(A393,'The List'!B1:I671,8,FALSE)</f>
        <v>-2.9801103622299596</v>
      </c>
      <c r="F393" s="55" cm="1">
        <f t="array" ref="F393">IF(Settings!$E$15="POINTS",E393-VLOOKUP(B$2,C1:E407,3,FALSE),J393)</f>
        <v>-8.2953127367039237</v>
      </c>
      <c r="G393" s="55"/>
      <c r="H393" s="166" cm="1">
        <f t="array" ref="H393">RANK(I393,I3:I407)</f>
        <v>338</v>
      </c>
      <c r="I393" s="167" cm="1">
        <f t="array" ref="I393">VLOOKUP(A393,'Standard Deviations'!A1:C672,3,FALSE)</f>
        <v>-2.9801103622299596</v>
      </c>
      <c r="J393" s="167" cm="1">
        <f t="array" ref="J393">I393-VLOOKUP(B$2,H1:J407,2,FALSE)</f>
        <v>-8.2953127367039237</v>
      </c>
    </row>
    <row r="394" spans="1:10" ht="21.25" customHeight="1" x14ac:dyDescent="0.15">
      <c r="A394" s="10" t="s">
        <v>784</v>
      </c>
      <c r="B394" s="165" t="str" cm="1">
        <f t="array" ref="B394">VLOOKUP(A394,'The List'!B1:D671,3,FALSE)</f>
        <v>RW</v>
      </c>
      <c r="C394" s="74" cm="1">
        <f t="array" ref="C394">IF(Settings!$E$15="POINTS",RANK(E394,E3:E407),H394)</f>
        <v>226</v>
      </c>
      <c r="D394" s="18" t="str" cm="1">
        <f t="array" ref="D394">VLOOKUP(A394,'The List'!B1:F671,5,FALSE)</f>
        <v>FLA</v>
      </c>
      <c r="E394" s="55" cm="1">
        <f t="array" ref="E394">VLOOKUP(A394,'The List'!B1:I671,8,FALSE)</f>
        <v>-0.64621268206791205</v>
      </c>
      <c r="F394" s="55" cm="1">
        <f t="array" ref="F394">IF(Settings!$E$15="POINTS",E394-VLOOKUP(B$2,C1:E407,3,FALSE),J394)</f>
        <v>-5.9614150565418758</v>
      </c>
      <c r="G394" s="55"/>
      <c r="H394" s="166" cm="1">
        <f t="array" ref="H394">RANK(I394,I3:I407)</f>
        <v>226</v>
      </c>
      <c r="I394" s="167" cm="1">
        <f t="array" ref="I394">VLOOKUP(A394,'Standard Deviations'!A1:C672,3,FALSE)</f>
        <v>-0.64621268206791205</v>
      </c>
      <c r="J394" s="167" cm="1">
        <f t="array" ref="J394">I394-VLOOKUP(B$2,H1:J407,2,FALSE)</f>
        <v>-5.9614150565418758</v>
      </c>
    </row>
    <row r="395" spans="1:10" ht="21.25" customHeight="1" x14ac:dyDescent="0.15">
      <c r="A395" s="10" t="s">
        <v>775</v>
      </c>
      <c r="B395" s="165" t="str" cm="1">
        <f t="array" ref="B395">VLOOKUP(A395,'The List'!B1:D671,3,FALSE)</f>
        <v>C</v>
      </c>
      <c r="C395" s="74" cm="1">
        <f t="array" ref="C395">IF(Settings!$E$15="POINTS",RANK(E395,E3:E407),H395)</f>
        <v>302</v>
      </c>
      <c r="D395" s="18" t="str" cm="1">
        <f t="array" ref="D395">VLOOKUP(A395,'The List'!B1:F671,5,FALSE)</f>
        <v>L.A</v>
      </c>
      <c r="E395" s="55" cm="1">
        <f t="array" ref="E395">VLOOKUP(A395,'The List'!B1:I671,8,FALSE)</f>
        <v>-1.9323844006867246</v>
      </c>
      <c r="F395" s="55" cm="1">
        <f t="array" ref="F395">IF(Settings!$E$15="POINTS",E395-VLOOKUP(B$2,C1:E407,3,FALSE),J395)</f>
        <v>-7.2475867751606886</v>
      </c>
      <c r="G395" s="55"/>
      <c r="H395" s="166" cm="1">
        <f t="array" ref="H395">RANK(I395,I3:I407)</f>
        <v>302</v>
      </c>
      <c r="I395" s="167" cm="1">
        <f t="array" ref="I395">VLOOKUP(A395,'Standard Deviations'!A1:C672,3,FALSE)</f>
        <v>-1.9323844006867246</v>
      </c>
      <c r="J395" s="167" cm="1">
        <f t="array" ref="J395">I395-VLOOKUP(B$2,H1:J407,2,FALSE)</f>
        <v>-7.2475867751606886</v>
      </c>
    </row>
    <row r="396" spans="1:10" ht="21.25" customHeight="1" x14ac:dyDescent="0.15">
      <c r="A396" s="10" t="s">
        <v>786</v>
      </c>
      <c r="B396" s="165" t="str" cm="1">
        <f t="array" ref="B396">VLOOKUP(A396,'The List'!B1:D671,3,FALSE)</f>
        <v>RW</v>
      </c>
      <c r="C396" s="74" cm="1">
        <f t="array" ref="C396">IF(Settings!$E$15="POINTS",RANK(E396,E3:E407),H396)</f>
        <v>364</v>
      </c>
      <c r="D396" s="18" t="str" cm="1">
        <f t="array" ref="D396">VLOOKUP(A396,'The List'!B1:F671,5,FALSE)</f>
        <v>NSH</v>
      </c>
      <c r="E396" s="55" cm="1">
        <f t="array" ref="E396">VLOOKUP(A396,'The List'!B1:I671,8,FALSE)</f>
        <v>-3.515069715972825</v>
      </c>
      <c r="F396" s="55" cm="1">
        <f t="array" ref="F396">IF(Settings!$E$15="POINTS",E396-VLOOKUP(B$2,C1:E407,3,FALSE),J396)</f>
        <v>-8.8302720904467886</v>
      </c>
      <c r="G396" s="55"/>
      <c r="H396" s="166" cm="1">
        <f t="array" ref="H396">RANK(I396,I3:I407)</f>
        <v>364</v>
      </c>
      <c r="I396" s="167" cm="1">
        <f t="array" ref="I396">VLOOKUP(A396,'Standard Deviations'!A1:C672,3,FALSE)</f>
        <v>-3.515069715972825</v>
      </c>
      <c r="J396" s="167" cm="1">
        <f t="array" ref="J396">I396-VLOOKUP(B$2,H1:J407,2,FALSE)</f>
        <v>-8.8302720904467886</v>
      </c>
    </row>
    <row r="397" spans="1:10" ht="21.25" customHeight="1" x14ac:dyDescent="0.15">
      <c r="A397" s="10" t="s">
        <v>787</v>
      </c>
      <c r="B397" s="165" t="str" cm="1">
        <f t="array" ref="B397">VLOOKUP(A397,'The List'!B1:D671,3,FALSE)</f>
        <v>LW,RW</v>
      </c>
      <c r="C397" s="74" cm="1">
        <f t="array" ref="C397">IF(Settings!$E$15="POINTS",RANK(E397,E3:E407),H397)</f>
        <v>402</v>
      </c>
      <c r="D397" s="18" t="str" cm="1">
        <f t="array" ref="D397">VLOOKUP(A397,'The List'!B1:F671,5,FALSE)</f>
        <v>CHI</v>
      </c>
      <c r="E397" s="55" cm="1">
        <f t="array" ref="E397">VLOOKUP(A397,'The List'!B1:I671,8,FALSE)</f>
        <v>-5.3817048702612533</v>
      </c>
      <c r="F397" s="55" cm="1">
        <f t="array" ref="F397">IF(Settings!$E$15="POINTS",E397-VLOOKUP(B$2,C1:E407,3,FALSE),J397)</f>
        <v>-10.696907244735218</v>
      </c>
      <c r="G397" s="55"/>
      <c r="H397" s="166" cm="1">
        <f t="array" ref="H397">RANK(I397,I3:I407)</f>
        <v>402</v>
      </c>
      <c r="I397" s="167" cm="1">
        <f t="array" ref="I397">VLOOKUP(A397,'Standard Deviations'!A1:C672,3,FALSE)</f>
        <v>-5.3817048702612533</v>
      </c>
      <c r="J397" s="167" cm="1">
        <f t="array" ref="J397">I397-VLOOKUP(B$2,H1:J407,2,FALSE)</f>
        <v>-10.696907244735218</v>
      </c>
    </row>
    <row r="398" spans="1:10" ht="21.25" customHeight="1" x14ac:dyDescent="0.15">
      <c r="A398" s="10" t="s">
        <v>778</v>
      </c>
      <c r="B398" s="165" t="str" cm="1">
        <f t="array" ref="B398">VLOOKUP(A398,'The List'!B1:D671,3,FALSE)</f>
        <v>C</v>
      </c>
      <c r="C398" s="74" cm="1">
        <f t="array" ref="C398">IF(Settings!$E$15="POINTS",RANK(E398,E3:E407),H398)</f>
        <v>386</v>
      </c>
      <c r="D398" s="18" t="str" cm="1">
        <f t="array" ref="D398">VLOOKUP(A398,'The List'!B1:F671,5,FALSE)</f>
        <v>ANA</v>
      </c>
      <c r="E398" s="55" cm="1">
        <f t="array" ref="E398">VLOOKUP(A398,'The List'!B1:I671,8,FALSE)</f>
        <v>-4.1055687671862326</v>
      </c>
      <c r="F398" s="55" cm="1">
        <f t="array" ref="F398">IF(Settings!$E$15="POINTS",E398-VLOOKUP(B$2,C1:E407,3,FALSE),J398)</f>
        <v>-9.4207711416601967</v>
      </c>
      <c r="G398" s="55"/>
      <c r="H398" s="166" cm="1">
        <f t="array" ref="H398">RANK(I398,I3:I407)</f>
        <v>386</v>
      </c>
      <c r="I398" s="167" cm="1">
        <f t="array" ref="I398">VLOOKUP(A398,'Standard Deviations'!A1:C672,3,FALSE)</f>
        <v>-4.1055687671862326</v>
      </c>
      <c r="J398" s="167" cm="1">
        <f t="array" ref="J398">I398-VLOOKUP(B$2,H1:J407,2,FALSE)</f>
        <v>-9.4207711416601967</v>
      </c>
    </row>
    <row r="399" spans="1:10" ht="21.25" customHeight="1" x14ac:dyDescent="0.15">
      <c r="A399" s="10" t="s">
        <v>789</v>
      </c>
      <c r="B399" s="165" t="str" cm="1">
        <f t="array" ref="B399">VLOOKUP(A399,'The List'!B1:D671,3,FALSE)</f>
        <v>RW</v>
      </c>
      <c r="C399" s="74" cm="1">
        <f t="array" ref="C399">IF(Settings!$E$15="POINTS",RANK(E399,E3:E407),H399)</f>
        <v>375</v>
      </c>
      <c r="D399" s="18" t="str" cm="1">
        <f t="array" ref="D399">VLOOKUP(A399,'The List'!B1:F671,5,FALSE)</f>
        <v>NYR</v>
      </c>
      <c r="E399" s="55" cm="1">
        <f t="array" ref="E399">VLOOKUP(A399,'The List'!B1:I671,8,FALSE)</f>
        <v>-3.70261586159394</v>
      </c>
      <c r="F399" s="55" cm="1">
        <f t="array" ref="F399">IF(Settings!$E$15="POINTS",E399-VLOOKUP(B$2,C1:E407,3,FALSE),J399)</f>
        <v>-9.0178182360679031</v>
      </c>
      <c r="G399" s="55"/>
      <c r="H399" s="166" cm="1">
        <f t="array" ref="H399">RANK(I399,I3:I407)</f>
        <v>375</v>
      </c>
      <c r="I399" s="167" cm="1">
        <f t="array" ref="I399">VLOOKUP(A399,'Standard Deviations'!A1:C672,3,FALSE)</f>
        <v>-3.70261586159394</v>
      </c>
      <c r="J399" s="167" cm="1">
        <f t="array" ref="J399">I399-VLOOKUP(B$2,H1:J407,2,FALSE)</f>
        <v>-9.0178182360679031</v>
      </c>
    </row>
    <row r="400" spans="1:10" ht="21.25" customHeight="1" x14ac:dyDescent="0.15">
      <c r="A400" s="10" t="s">
        <v>790</v>
      </c>
      <c r="B400" s="165" t="str" cm="1">
        <f t="array" ref="B400">VLOOKUP(A400,'The List'!B1:D671,3,FALSE)</f>
        <v>RW</v>
      </c>
      <c r="C400" s="74" cm="1">
        <f t="array" ref="C400">IF(Settings!$E$15="POINTS",RANK(E400,E3:E407),H400)</f>
        <v>391</v>
      </c>
      <c r="D400" s="18" t="str" cm="1">
        <f t="array" ref="D400">VLOOKUP(A400,'The List'!B1:F671,5,FALSE)</f>
        <v>VGK</v>
      </c>
      <c r="E400" s="55" cm="1">
        <f t="array" ref="E400">VLOOKUP(A400,'The List'!B1:I671,8,FALSE)</f>
        <v>-4.2781138537097068</v>
      </c>
      <c r="F400" s="55" cm="1">
        <f t="array" ref="F400">IF(Settings!$E$15="POINTS",E400-VLOOKUP(B$2,C1:E407,3,FALSE),J400)</f>
        <v>-9.5933162281836708</v>
      </c>
      <c r="G400" s="55"/>
      <c r="H400" s="166" cm="1">
        <f t="array" ref="H400">RANK(I400,I3:I407)</f>
        <v>391</v>
      </c>
      <c r="I400" s="167" cm="1">
        <f t="array" ref="I400">VLOOKUP(A400,'Standard Deviations'!A1:C672,3,FALSE)</f>
        <v>-4.2781138537097068</v>
      </c>
      <c r="J400" s="167" cm="1">
        <f t="array" ref="J400">I400-VLOOKUP(B$2,H1:J407,2,FALSE)</f>
        <v>-9.5933162281836708</v>
      </c>
    </row>
    <row r="401" spans="1:10" ht="21.25" customHeight="1" x14ac:dyDescent="0.15">
      <c r="A401" s="10" t="s">
        <v>788</v>
      </c>
      <c r="B401" s="165" t="str" cm="1">
        <f t="array" ref="B401">VLOOKUP(A401,'The List'!B1:D671,3,FALSE)</f>
        <v>C</v>
      </c>
      <c r="C401" s="74" cm="1">
        <f t="array" ref="C401">IF(Settings!$E$15="POINTS",RANK(E401,E3:E407),H401)</f>
        <v>379</v>
      </c>
      <c r="D401" s="18" t="str" cm="1">
        <f t="array" ref="D401">VLOOKUP(A401,'The List'!B1:F671,5,FALSE)</f>
        <v>S.J</v>
      </c>
      <c r="E401" s="55" cm="1">
        <f t="array" ref="E401">VLOOKUP(A401,'The List'!B1:I671,8,FALSE)</f>
        <v>-3.8457789091109822</v>
      </c>
      <c r="F401" s="55" cm="1">
        <f t="array" ref="F401">IF(Settings!$E$15="POINTS",E401-VLOOKUP(B$2,C1:E407,3,FALSE),J401)</f>
        <v>-9.1609812835849453</v>
      </c>
      <c r="G401" s="55"/>
      <c r="H401" s="166" cm="1">
        <f t="array" ref="H401">RANK(I401,I3:I407)</f>
        <v>379</v>
      </c>
      <c r="I401" s="167" cm="1">
        <f t="array" ref="I401">VLOOKUP(A401,'Standard Deviations'!A1:C672,3,FALSE)</f>
        <v>-3.8457789091109822</v>
      </c>
      <c r="J401" s="167" cm="1">
        <f t="array" ref="J401">I401-VLOOKUP(B$2,H1:J407,2,FALSE)</f>
        <v>-9.1609812835849453</v>
      </c>
    </row>
    <row r="402" spans="1:10" ht="21.25" customHeight="1" x14ac:dyDescent="0.15">
      <c r="A402" s="10" t="s">
        <v>792</v>
      </c>
      <c r="B402" s="165" t="str" cm="1">
        <f t="array" ref="B402">VLOOKUP(A402,'The List'!B1:D671,3,FALSE)</f>
        <v>LW</v>
      </c>
      <c r="C402" s="74" cm="1">
        <f t="array" ref="C402">IF(Settings!$E$15="POINTS",RANK(E402,E3:E407),H402)</f>
        <v>362</v>
      </c>
      <c r="D402" s="18" t="str" cm="1">
        <f t="array" ref="D402">VLOOKUP(A402,'The List'!B1:F671,5,FALSE)</f>
        <v>ANA</v>
      </c>
      <c r="E402" s="55" cm="1">
        <f t="array" ref="E402">VLOOKUP(A402,'The List'!B1:I671,8,FALSE)</f>
        <v>-3.4858021253717495</v>
      </c>
      <c r="F402" s="55" cm="1">
        <f t="array" ref="F402">IF(Settings!$E$15="POINTS",E402-VLOOKUP(B$2,C1:E407,3,FALSE),J402)</f>
        <v>-8.801004499845714</v>
      </c>
      <c r="G402" s="55"/>
      <c r="H402" s="166" cm="1">
        <f t="array" ref="H402">RANK(I402,I3:I407)</f>
        <v>362</v>
      </c>
      <c r="I402" s="167" cm="1">
        <f t="array" ref="I402">VLOOKUP(A402,'Standard Deviations'!A1:C672,3,FALSE)</f>
        <v>-3.4858021253717495</v>
      </c>
      <c r="J402" s="167" cm="1">
        <f t="array" ref="J402">I402-VLOOKUP(B$2,H1:J407,2,FALSE)</f>
        <v>-8.801004499845714</v>
      </c>
    </row>
    <row r="403" spans="1:10" ht="21.25" customHeight="1" x14ac:dyDescent="0.15">
      <c r="A403" s="10" t="s">
        <v>791</v>
      </c>
      <c r="B403" s="165" t="str" cm="1">
        <f t="array" ref="B403">VLOOKUP(A403,'The List'!B1:D671,3,FALSE)</f>
        <v>C</v>
      </c>
      <c r="C403" s="74" cm="1">
        <f t="array" ref="C403">IF(Settings!$E$15="POINTS",RANK(E403,E3:E407),H403)</f>
        <v>384</v>
      </c>
      <c r="D403" s="18" t="str" cm="1">
        <f t="array" ref="D403">VLOOKUP(A403,'The List'!B1:F671,5,FALSE)</f>
        <v>TOR</v>
      </c>
      <c r="E403" s="55" cm="1">
        <f t="array" ref="E403">VLOOKUP(A403,'The List'!B1:I671,8,FALSE)</f>
        <v>-4.0738569847346957</v>
      </c>
      <c r="F403" s="55" cm="1">
        <f t="array" ref="F403">IF(Settings!$E$15="POINTS",E403-VLOOKUP(B$2,C1:E407,3,FALSE),J403)</f>
        <v>-9.3890593592086589</v>
      </c>
      <c r="G403" s="55"/>
      <c r="H403" s="166" cm="1">
        <f t="array" ref="H403">RANK(I403,I3:I407)</f>
        <v>384</v>
      </c>
      <c r="I403" s="167" cm="1">
        <f t="array" ref="I403">VLOOKUP(A403,'Standard Deviations'!A1:C672,3,FALSE)</f>
        <v>-4.0738569847346957</v>
      </c>
      <c r="J403" s="167" cm="1">
        <f t="array" ref="J403">I403-VLOOKUP(B$2,H1:J407,2,FALSE)</f>
        <v>-9.3890593592086589</v>
      </c>
    </row>
    <row r="404" spans="1:10" ht="21.25" customHeight="1" x14ac:dyDescent="0.15">
      <c r="A404" s="10" t="s">
        <v>794</v>
      </c>
      <c r="B404" s="165" t="str" cm="1">
        <f t="array" ref="B404">VLOOKUP(A404,'The List'!B1:D671,3,FALSE)</f>
        <v>LW,RW</v>
      </c>
      <c r="C404" s="74" cm="1">
        <f t="array" ref="C404">IF(Settings!$E$15="POINTS",RANK(E404,E3:E407),H404)</f>
        <v>317</v>
      </c>
      <c r="D404" s="18" t="str" cm="1">
        <f t="array" ref="D404">VLOOKUP(A404,'The List'!B1:F671,5,FALSE)</f>
        <v>UTA</v>
      </c>
      <c r="E404" s="55" cm="1">
        <f t="array" ref="E404">VLOOKUP(A404,'The List'!B1:I671,8,FALSE)</f>
        <v>-2.5185366996230396</v>
      </c>
      <c r="F404" s="55" cm="1">
        <f t="array" ref="F404">IF(Settings!$E$15="POINTS",E404-VLOOKUP(B$2,C1:E407,3,FALSE),J404)</f>
        <v>-7.8337390740970037</v>
      </c>
      <c r="G404" s="55"/>
      <c r="H404" s="166" cm="1">
        <f t="array" ref="H404">RANK(I404,I3:I407)</f>
        <v>317</v>
      </c>
      <c r="I404" s="167" cm="1">
        <f t="array" ref="I404">VLOOKUP(A404,'Standard Deviations'!A1:C672,3,FALSE)</f>
        <v>-2.5185366996230396</v>
      </c>
      <c r="J404" s="167" cm="1">
        <f t="array" ref="J404">I404-VLOOKUP(B$2,H1:J407,2,FALSE)</f>
        <v>-7.8337390740970037</v>
      </c>
    </row>
    <row r="405" spans="1:10" ht="21.25" customHeight="1" x14ac:dyDescent="0.15">
      <c r="A405" s="10" t="s">
        <v>796</v>
      </c>
      <c r="B405" s="165" t="str" cm="1">
        <f t="array" ref="B405">VLOOKUP(A405,'The List'!B1:D671,3,FALSE)</f>
        <v>LW</v>
      </c>
      <c r="C405" s="74" cm="1">
        <f t="array" ref="C405">IF(Settings!$E$15="POINTS",RANK(E405,E3:E407),H405)</f>
        <v>347</v>
      </c>
      <c r="D405" s="18" t="str" cm="1">
        <f t="array" ref="D405">VLOOKUP(A405,'The List'!B1:F671,5,FALSE)</f>
        <v>FLA</v>
      </c>
      <c r="E405" s="55" cm="1">
        <f t="array" ref="E405">VLOOKUP(A405,'The List'!B1:I671,8,FALSE)</f>
        <v>-3.1177692923723512</v>
      </c>
      <c r="F405" s="55" cm="1">
        <f t="array" ref="F405">IF(Settings!$E$15="POINTS",E405-VLOOKUP(B$2,C1:E407,3,FALSE),J405)</f>
        <v>-8.4329716668463153</v>
      </c>
      <c r="G405" s="55"/>
      <c r="H405" s="166" cm="1">
        <f t="array" ref="H405">RANK(I405,I3:I407)</f>
        <v>347</v>
      </c>
      <c r="I405" s="167" cm="1">
        <f t="array" ref="I405">VLOOKUP(A405,'Standard Deviations'!A1:C672,3,FALSE)</f>
        <v>-3.1177692923723512</v>
      </c>
      <c r="J405" s="167" cm="1">
        <f t="array" ref="J405">I405-VLOOKUP(B$2,H1:J407,2,FALSE)</f>
        <v>-8.4329716668463153</v>
      </c>
    </row>
    <row r="406" spans="1:10" ht="21.25" customHeight="1" x14ac:dyDescent="0.15">
      <c r="A406" s="10" t="s">
        <v>795</v>
      </c>
      <c r="B406" s="165" t="str" cm="1">
        <f t="array" ref="B406">VLOOKUP(A406,'The List'!B1:D671,3,FALSE)</f>
        <v>RW</v>
      </c>
      <c r="C406" s="74" cm="1">
        <f t="array" ref="C406">IF(Settings!$E$15="POINTS",RANK(E406,E3:E407),H406)</f>
        <v>350</v>
      </c>
      <c r="D406" s="18" t="str" cm="1">
        <f t="array" ref="D406">VLOOKUP(A406,'The List'!B1:F671,5,FALSE)</f>
        <v>NYR</v>
      </c>
      <c r="E406" s="55" cm="1">
        <f t="array" ref="E406">VLOOKUP(A406,'The List'!B1:I671,8,FALSE)</f>
        <v>-3.1488417995710858</v>
      </c>
      <c r="F406" s="55" cm="1">
        <f t="array" ref="F406">IF(Settings!$E$15="POINTS",E406-VLOOKUP(B$2,C1:E407,3,FALSE),J406)</f>
        <v>-8.4640441740450498</v>
      </c>
      <c r="G406" s="55"/>
      <c r="H406" s="166" cm="1">
        <f t="array" ref="H406">RANK(I406,I3:I407)</f>
        <v>350</v>
      </c>
      <c r="I406" s="167" cm="1">
        <f t="array" ref="I406">VLOOKUP(A406,'Standard Deviations'!A1:C672,3,FALSE)</f>
        <v>-3.1488417995710858</v>
      </c>
      <c r="J406" s="167" cm="1">
        <f t="array" ref="J406">I406-VLOOKUP(B$2,H1:J407,2,FALSE)</f>
        <v>-8.4640441740450498</v>
      </c>
    </row>
    <row r="407" spans="1:10" ht="21.25" customHeight="1" x14ac:dyDescent="0.15">
      <c r="A407" s="10" t="s">
        <v>793</v>
      </c>
      <c r="B407" s="165" t="str" cm="1">
        <f t="array" ref="B407">VLOOKUP(A407,'The List'!B1:D671,3,FALSE)</f>
        <v>C</v>
      </c>
      <c r="C407" s="74" cm="1">
        <f t="array" ref="C407">IF(Settings!$E$15="POINTS",RANK(E407,E3:E407),H407)</f>
        <v>392</v>
      </c>
      <c r="D407" s="18" t="str" cm="1">
        <f t="array" ref="D407">VLOOKUP(A407,'The List'!B1:F671,5,FALSE)</f>
        <v>MIN</v>
      </c>
      <c r="E407" s="55" cm="1">
        <f t="array" ref="E407">VLOOKUP(A407,'The List'!B1:I671,8,FALSE)</f>
        <v>-4.3540708711477585</v>
      </c>
      <c r="F407" s="55" cm="1">
        <f t="array" ref="F407">IF(Settings!$E$15="POINTS",E407-VLOOKUP(B$2,C1:E407,3,FALSE),J407)</f>
        <v>-9.6692732456217225</v>
      </c>
      <c r="G407" s="55"/>
      <c r="H407" s="166" cm="1">
        <f t="array" ref="H407">RANK(I407,I3:I407)</f>
        <v>392</v>
      </c>
      <c r="I407" s="167" cm="1">
        <f t="array" ref="I407">VLOOKUP(A407,'Standard Deviations'!A1:C672,3,FALSE)</f>
        <v>-4.3540708711477585</v>
      </c>
      <c r="J407" s="167" cm="1">
        <f t="array" ref="J407">I407-VLOOKUP(B$2,H1:J407,2,FALSE)</f>
        <v>-9.6692732456217225</v>
      </c>
    </row>
  </sheetData>
  <conditionalFormatting sqref="C3:C407 H3:H407">
    <cfRule type="containsText" dxfId="35" priority="1" stopIfTrue="1" operator="containsText" text="/">
      <formula>NOT(ISERROR(FIND(UPPER("/"),UPPER(C3))))</formula>
      <formula>"/"</formula>
    </cfRule>
    <cfRule type="containsText" dxfId="34" priority="2" stopIfTrue="1" operator="containsText" text="C">
      <formula>NOT(ISERROR(FIND(UPPER("C"),UPPER(C3))))</formula>
      <formula>"C"</formula>
    </cfRule>
    <cfRule type="containsText" dxfId="33" priority="3" stopIfTrue="1" operator="containsText" text="D">
      <formula>NOT(ISERROR(FIND(UPPER("D"),UPPER(C3))))</formula>
      <formula>"D"</formula>
    </cfRule>
    <cfRule type="containsText" dxfId="32" priority="4" stopIfTrue="1" operator="containsText" text="LW">
      <formula>NOT(ISERROR(FIND(UPPER("LW"),UPPER(C3))))</formula>
      <formula>"LW"</formula>
    </cfRule>
    <cfRule type="containsText" dxfId="31" priority="5" stopIfTrue="1" operator="containsText" text="RW">
      <formula>NOT(ISERROR(FIND(UPPER("RW"),UPPER(C3))))</formula>
      <formula>"RW"</formula>
    </cfRule>
    <cfRule type="containsText" dxfId="30" priority="6" stopIfTrue="1" operator="containsText" text="G">
      <formula>NOT(ISERROR(FIND(UPPER("G"),UPPER(C3))))</formula>
      <formula>"G"</formula>
    </cfRule>
  </conditionalFormatting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210"/>
  <sheetViews>
    <sheetView showGridLines="0" workbookViewId="0">
      <pane ySplit="2" topLeftCell="A3" activePane="bottomLeft" state="frozen"/>
      <selection pane="bottomLeft"/>
    </sheetView>
  </sheetViews>
  <sheetFormatPr baseColWidth="10" defaultColWidth="8" defaultRowHeight="16.25" customHeight="1" x14ac:dyDescent="0.15"/>
  <cols>
    <col min="1" max="1" width="33" style="1" customWidth="1"/>
    <col min="2" max="2" width="7.1640625" style="1" customWidth="1"/>
    <col min="3" max="3" width="6" style="1" customWidth="1"/>
    <col min="4" max="6" width="8.33203125" style="1" customWidth="1"/>
    <col min="7" max="10" width="1.33203125" style="1" customWidth="1"/>
    <col min="11" max="11" width="8" style="1" customWidth="1"/>
    <col min="12" max="16384" width="8" style="1"/>
  </cols>
  <sheetData>
    <row r="1" spans="1:10" ht="28.25" customHeight="1" x14ac:dyDescent="0.15">
      <c r="A1" s="150" t="s">
        <v>816</v>
      </c>
      <c r="B1" s="151" t="s">
        <v>820</v>
      </c>
      <c r="C1" s="152"/>
      <c r="D1" s="4" t="s">
        <v>13</v>
      </c>
      <c r="E1" s="153" t="s">
        <v>818</v>
      </c>
      <c r="F1" s="151" t="s">
        <v>98</v>
      </c>
      <c r="G1" s="154"/>
      <c r="H1" s="155"/>
      <c r="I1" s="156" t="s">
        <v>819</v>
      </c>
      <c r="J1" s="157" t="s">
        <v>98</v>
      </c>
    </row>
    <row r="2" spans="1:10" ht="28.25" customHeight="1" x14ac:dyDescent="0.15">
      <c r="A2" s="158" t="s">
        <v>62</v>
      </c>
      <c r="B2" s="159" cm="1">
        <f t="array" ref="B2">Settings!F2</f>
        <v>23</v>
      </c>
      <c r="C2" s="160"/>
      <c r="D2" s="161"/>
      <c r="E2" s="162"/>
      <c r="F2" s="162"/>
      <c r="G2" s="162"/>
      <c r="H2" s="168"/>
      <c r="I2" s="164"/>
      <c r="J2" s="169"/>
    </row>
    <row r="3" spans="1:10" ht="21.25" customHeight="1" x14ac:dyDescent="0.15">
      <c r="A3" s="10" t="s">
        <v>126</v>
      </c>
      <c r="B3" s="87" t="str" cm="1">
        <f t="array" ref="B3">VLOOKUP(A3,'The List'!B1:D671,3,FALSE)</f>
        <v>C</v>
      </c>
      <c r="C3" s="88" cm="1">
        <f t="array" ref="C3">IF(Settings!$E$15="POINTS",RANK(E3,E3:E210),H3)</f>
        <v>1</v>
      </c>
      <c r="D3" s="18" t="str" cm="1">
        <f t="array" ref="D3">VLOOKUP(A3,'The List'!B1:F671,5,FALSE)</f>
        <v>COL</v>
      </c>
      <c r="E3" s="55" cm="1">
        <f t="array" ref="E3">VLOOKUP(A3,'The List'!B1:I671,8,FALSE)</f>
        <v>15.810473107741965</v>
      </c>
      <c r="F3" s="55" cm="1">
        <f t="array" ref="F3">IF(Settings!$E$15="POINTS",E3-VLOOKUP(B$2,C1:E210,3,FALSE),J3)</f>
        <v>9.4504635501269014</v>
      </c>
      <c r="G3" s="55"/>
      <c r="H3" s="170" cm="1">
        <f t="array" ref="H3">RANK(I3,I3:I210)</f>
        <v>1</v>
      </c>
      <c r="I3" s="167" cm="1">
        <f t="array" ref="I3">VLOOKUP(A3,'Standard Deviations'!A1:C672,3,FALSE)</f>
        <v>15.810473107741965</v>
      </c>
      <c r="J3" s="171" cm="1">
        <f t="array" ref="J3">I3-VLOOKUP(B$2,H1:J210,2,FALSE)</f>
        <v>9.4504635501269014</v>
      </c>
    </row>
    <row r="4" spans="1:10" ht="21.25" customHeight="1" x14ac:dyDescent="0.15">
      <c r="A4" s="10" t="s">
        <v>127</v>
      </c>
      <c r="B4" s="87" t="str" cm="1">
        <f t="array" ref="B4">VLOOKUP(A4,'The List'!B1:D671,3,FALSE)</f>
        <v>C</v>
      </c>
      <c r="C4" s="88" cm="1">
        <f t="array" ref="C4">IF(Settings!$E$15="POINTS",RANK(E4,E3:E210),H4)</f>
        <v>2</v>
      </c>
      <c r="D4" s="18" t="str" cm="1">
        <f t="array" ref="D4">VLOOKUP(A4,'The List'!B1:F671,5,FALSE)</f>
        <v>EDM</v>
      </c>
      <c r="E4" s="55" cm="1">
        <f t="array" ref="E4">VLOOKUP(A4,'The List'!B1:I671,8,FALSE)</f>
        <v>15.623746502828114</v>
      </c>
      <c r="F4" s="55" cm="1">
        <f t="array" ref="F4">IF(Settings!$E$15="POINTS",E4-VLOOKUP(B$2,C1:E210,3,FALSE),J4)</f>
        <v>9.2637369452130507</v>
      </c>
      <c r="G4" s="55"/>
      <c r="H4" s="166" cm="1">
        <f t="array" ref="H4">RANK(I4,I3:I210)</f>
        <v>2</v>
      </c>
      <c r="I4" s="167" cm="1">
        <f t="array" ref="I4">VLOOKUP(A4,'Standard Deviations'!A1:C672,3,FALSE)</f>
        <v>15.623746502828114</v>
      </c>
      <c r="J4" s="167" cm="1">
        <f t="array" ref="J4">I4-VLOOKUP(B$2,H1:J210,2,FALSE)</f>
        <v>9.2637369452130507</v>
      </c>
    </row>
    <row r="5" spans="1:10" ht="21.25" customHeight="1" x14ac:dyDescent="0.15">
      <c r="A5" s="10" t="s">
        <v>132</v>
      </c>
      <c r="B5" s="87" t="str" cm="1">
        <f t="array" ref="B5">VLOOKUP(A5,'The List'!B1:D671,3,FALSE)</f>
        <v>C</v>
      </c>
      <c r="C5" s="88" cm="1">
        <f t="array" ref="C5">IF(Settings!$E$15="POINTS",RANK(E5,E3:E210),H5)</f>
        <v>4</v>
      </c>
      <c r="D5" s="18" t="str" cm="1">
        <f t="array" ref="D5">VLOOKUP(A5,'The List'!B1:F671,5,FALSE)</f>
        <v>S.J</v>
      </c>
      <c r="E5" s="55" cm="1">
        <f t="array" ref="E5">VLOOKUP(A5,'The List'!B1:I671,8,FALSE)</f>
        <v>10.746074224773066</v>
      </c>
      <c r="F5" s="55" cm="1">
        <f t="array" ref="F5">IF(Settings!$E$15="POINTS",E5-VLOOKUP(B$2,C1:E210,3,FALSE),J5)</f>
        <v>4.3860646671580019</v>
      </c>
      <c r="G5" s="55"/>
      <c r="H5" s="166" cm="1">
        <f t="array" ref="H5">RANK(I5,I3:I210)</f>
        <v>4</v>
      </c>
      <c r="I5" s="167" cm="1">
        <f t="array" ref="I5">VLOOKUP(A5,'Standard Deviations'!A1:C672,3,FALSE)</f>
        <v>10.746074224773066</v>
      </c>
      <c r="J5" s="167" cm="1">
        <f t="array" ref="J5">I5-VLOOKUP(B$2,H1:J210,2,FALSE)</f>
        <v>4.3860646671580019</v>
      </c>
    </row>
    <row r="6" spans="1:10" ht="21.25" customHeight="1" x14ac:dyDescent="0.15">
      <c r="A6" s="10" t="s">
        <v>136</v>
      </c>
      <c r="B6" s="87" t="str" cm="1">
        <f t="array" ref="B6">VLOOKUP(A6,'The List'!B1:D671,3,FALSE)</f>
        <v>C,LW</v>
      </c>
      <c r="C6" s="88" cm="1">
        <f t="array" ref="C6">IF(Settings!$E$15="POINTS",RANK(E6,E3:E210),H6)</f>
        <v>3</v>
      </c>
      <c r="D6" s="18" t="str" cm="1">
        <f t="array" ref="D6">VLOOKUP(A6,'The List'!B1:F671,5,FALSE)</f>
        <v>EDM</v>
      </c>
      <c r="E6" s="55" cm="1">
        <f t="array" ref="E6">VLOOKUP(A6,'The List'!B1:I671,8,FALSE)</f>
        <v>12.747492940258208</v>
      </c>
      <c r="F6" s="55" cm="1">
        <f t="array" ref="F6">IF(Settings!$E$15="POINTS",E6-VLOOKUP(B$2,C1:E210,3,FALSE),J6)</f>
        <v>6.3874833826431443</v>
      </c>
      <c r="G6" s="55"/>
      <c r="H6" s="166" cm="1">
        <f t="array" ref="H6">RANK(I6,I3:I210)</f>
        <v>3</v>
      </c>
      <c r="I6" s="167" cm="1">
        <f t="array" ref="I6">VLOOKUP(A6,'Standard Deviations'!A1:C672,3,FALSE)</f>
        <v>12.747492940258208</v>
      </c>
      <c r="J6" s="167" cm="1">
        <f t="array" ref="J6">I6-VLOOKUP(B$2,H1:J210,2,FALSE)</f>
        <v>6.3874833826431443</v>
      </c>
    </row>
    <row r="7" spans="1:10" ht="21.25" customHeight="1" x14ac:dyDescent="0.15">
      <c r="A7" s="10" t="s">
        <v>140</v>
      </c>
      <c r="B7" s="87" t="str" cm="1">
        <f t="array" ref="B7">VLOOKUP(A7,'The List'!B1:D671,3,FALSE)</f>
        <v>C,LW</v>
      </c>
      <c r="C7" s="88" cm="1">
        <f t="array" ref="C7">IF(Settings!$E$15="POINTS",RANK(E7,E3:E210),H7)</f>
        <v>10</v>
      </c>
      <c r="D7" s="18" t="str" cm="1">
        <f t="array" ref="D7">VLOOKUP(A7,'The List'!B1:F671,5,FALSE)</f>
        <v>N.J</v>
      </c>
      <c r="E7" s="55" cm="1">
        <f t="array" ref="E7">VLOOKUP(A7,'The List'!B1:I671,8,FALSE)</f>
        <v>9.2474854787857712</v>
      </c>
      <c r="F7" s="55" cm="1">
        <f t="array" ref="F7">IF(Settings!$E$15="POINTS",E7-VLOOKUP(B$2,C1:E210,3,FALSE),J7)</f>
        <v>2.8874759211707071</v>
      </c>
      <c r="G7" s="55"/>
      <c r="H7" s="166" cm="1">
        <f t="array" ref="H7">RANK(I7,I3:I210)</f>
        <v>10</v>
      </c>
      <c r="I7" s="167" cm="1">
        <f t="array" ref="I7">VLOOKUP(A7,'Standard Deviations'!A1:C672,3,FALSE)</f>
        <v>9.2474854787857712</v>
      </c>
      <c r="J7" s="167" cm="1">
        <f t="array" ref="J7">I7-VLOOKUP(B$2,H1:J210,2,FALSE)</f>
        <v>2.8874759211707071</v>
      </c>
    </row>
    <row r="8" spans="1:10" ht="21.25" customHeight="1" x14ac:dyDescent="0.15">
      <c r="A8" s="10" t="s">
        <v>137</v>
      </c>
      <c r="B8" s="87" t="str" cm="1">
        <f t="array" ref="B8">VLOOKUP(A8,'The List'!B1:D671,3,FALSE)</f>
        <v>C</v>
      </c>
      <c r="C8" s="88" cm="1">
        <f t="array" ref="C8">IF(Settings!$E$15="POINTS",RANK(E8,E3:E210),H8)</f>
        <v>5</v>
      </c>
      <c r="D8" s="18" t="str" cm="1">
        <f t="array" ref="D8">VLOOKUP(A8,'The List'!B1:F671,5,FALSE)</f>
        <v>VGK</v>
      </c>
      <c r="E8" s="55" cm="1">
        <f t="array" ref="E8">VLOOKUP(A8,'The List'!B1:I671,8,FALSE)</f>
        <v>10.711307408813042</v>
      </c>
      <c r="F8" s="55" cm="1">
        <f t="array" ref="F8">IF(Settings!$E$15="POINTS",E8-VLOOKUP(B$2,C1:E210,3,FALSE),J8)</f>
        <v>4.3512978511979776</v>
      </c>
      <c r="G8" s="55"/>
      <c r="H8" s="166" cm="1">
        <f t="array" ref="H8">RANK(I8,I3:I210)</f>
        <v>5</v>
      </c>
      <c r="I8" s="167" cm="1">
        <f t="array" ref="I8">VLOOKUP(A8,'Standard Deviations'!A1:C672,3,FALSE)</f>
        <v>10.711307408813042</v>
      </c>
      <c r="J8" s="167" cm="1">
        <f t="array" ref="J8">I8-VLOOKUP(B$2,H1:J210,2,FALSE)</f>
        <v>4.3512978511979776</v>
      </c>
    </row>
    <row r="9" spans="1:10" ht="21.25" customHeight="1" x14ac:dyDescent="0.15">
      <c r="A9" s="10" t="s">
        <v>138</v>
      </c>
      <c r="B9" s="87" t="str" cm="1">
        <f t="array" ref="B9">VLOOKUP(A9,'The List'!B1:D671,3,FALSE)</f>
        <v>C</v>
      </c>
      <c r="C9" s="88" cm="1">
        <f t="array" ref="C9">IF(Settings!$E$15="POINTS",RANK(E9,E3:E210),H9)</f>
        <v>7</v>
      </c>
      <c r="D9" s="18" t="str" cm="1">
        <f t="array" ref="D9">VLOOKUP(A9,'The List'!B1:F671,5,FALSE)</f>
        <v>TOR</v>
      </c>
      <c r="E9" s="55" cm="1">
        <f t="array" ref="E9">VLOOKUP(A9,'The List'!B1:I671,8,FALSE)</f>
        <v>9.6959346747623361</v>
      </c>
      <c r="F9" s="55" cm="1">
        <f t="array" ref="F9">IF(Settings!$E$15="POINTS",E9-VLOOKUP(B$2,C1:E210,3,FALSE),J9)</f>
        <v>3.3359251171472719</v>
      </c>
      <c r="G9" s="55"/>
      <c r="H9" s="166" cm="1">
        <f t="array" ref="H9">RANK(I9,I3:I210)</f>
        <v>7</v>
      </c>
      <c r="I9" s="167" cm="1">
        <f t="array" ref="I9">VLOOKUP(A9,'Standard Deviations'!A1:C672,3,FALSE)</f>
        <v>9.6959346747623361</v>
      </c>
      <c r="J9" s="167" cm="1">
        <f t="array" ref="J9">I9-VLOOKUP(B$2,H1:J210,2,FALSE)</f>
        <v>3.3359251171472719</v>
      </c>
    </row>
    <row r="10" spans="1:10" ht="21.25" customHeight="1" x14ac:dyDescent="0.15">
      <c r="A10" s="10" t="s">
        <v>147</v>
      </c>
      <c r="B10" s="87" t="str" cm="1">
        <f t="array" ref="B10">VLOOKUP(A10,'The List'!B1:D671,3,FALSE)</f>
        <v>C</v>
      </c>
      <c r="C10" s="88" cm="1">
        <f t="array" ref="C10">IF(Settings!$E$15="POINTS",RANK(E10,E3:E210),H10)</f>
        <v>8</v>
      </c>
      <c r="D10" s="18" t="str" cm="1">
        <f t="array" ref="D10">VLOOKUP(A10,'The List'!B1:F671,5,FALSE)</f>
        <v>MTL</v>
      </c>
      <c r="E10" s="55" cm="1">
        <f t="array" ref="E10">VLOOKUP(A10,'The List'!B1:I671,8,FALSE)</f>
        <v>9.3877295099022167</v>
      </c>
      <c r="F10" s="55" cm="1">
        <f t="array" ref="F10">IF(Settings!$E$15="POINTS",E10-VLOOKUP(B$2,C1:E210,3,FALSE),J10)</f>
        <v>3.0277199522871525</v>
      </c>
      <c r="G10" s="55"/>
      <c r="H10" s="166" cm="1">
        <f t="array" ref="H10">RANK(I10,I3:I210)</f>
        <v>8</v>
      </c>
      <c r="I10" s="167" cm="1">
        <f t="array" ref="I10">VLOOKUP(A10,'Standard Deviations'!A1:C672,3,FALSE)</f>
        <v>9.3877295099022167</v>
      </c>
      <c r="J10" s="167" cm="1">
        <f t="array" ref="J10">I10-VLOOKUP(B$2,H1:J210,2,FALSE)</f>
        <v>3.0277199522871525</v>
      </c>
    </row>
    <row r="11" spans="1:10" ht="21.25" customHeight="1" x14ac:dyDescent="0.15">
      <c r="A11" s="10" t="s">
        <v>154</v>
      </c>
      <c r="B11" s="87" t="str" cm="1">
        <f t="array" ref="B11">VLOOKUP(A11,'The List'!B1:D671,3,FALSE)</f>
        <v>C,RW</v>
      </c>
      <c r="C11" s="88" cm="1">
        <f t="array" ref="C11">IF(Settings!$E$15="POINTS",RANK(E11,E3:E210),H11)</f>
        <v>9</v>
      </c>
      <c r="D11" s="18" t="str" cm="1">
        <f t="array" ref="D11">VLOOKUP(A11,'The List'!B1:F671,5,FALSE)</f>
        <v>DAL</v>
      </c>
      <c r="E11" s="55" cm="1">
        <f t="array" ref="E11">VLOOKUP(A11,'The List'!B1:I671,8,FALSE)</f>
        <v>9.3644110030371781</v>
      </c>
      <c r="F11" s="55" cm="1">
        <f t="array" ref="F11">IF(Settings!$E$15="POINTS",E11-VLOOKUP(B$2,C1:E210,3,FALSE),J11)</f>
        <v>3.004401445422114</v>
      </c>
      <c r="G11" s="55"/>
      <c r="H11" s="166" cm="1">
        <f t="array" ref="H11">RANK(I11,I3:I210)</f>
        <v>9</v>
      </c>
      <c r="I11" s="167" cm="1">
        <f t="array" ref="I11">VLOOKUP(A11,'Standard Deviations'!A1:C672,3,FALSE)</f>
        <v>9.3644110030371781</v>
      </c>
      <c r="J11" s="167" cm="1">
        <f t="array" ref="J11">I11-VLOOKUP(B$2,H1:J210,2,FALSE)</f>
        <v>3.004401445422114</v>
      </c>
    </row>
    <row r="12" spans="1:10" ht="21.25" customHeight="1" x14ac:dyDescent="0.15">
      <c r="A12" s="10" t="s">
        <v>157</v>
      </c>
      <c r="B12" s="87" t="str" cm="1">
        <f t="array" ref="B12">VLOOKUP(A12,'The List'!B1:D671,3,FALSE)</f>
        <v>C,RW</v>
      </c>
      <c r="C12" s="88" cm="1">
        <f t="array" ref="C12">IF(Settings!$E$15="POINTS",RANK(E12,E3:E210),H12)</f>
        <v>16</v>
      </c>
      <c r="D12" s="18" t="str" cm="1">
        <f t="array" ref="D12">VLOOKUP(A12,'The List'!B1:F671,5,FALSE)</f>
        <v>TOR</v>
      </c>
      <c r="E12" s="55" cm="1">
        <f t="array" ref="E12">VLOOKUP(A12,'The List'!B1:I671,8,FALSE)</f>
        <v>7.5593186307306963</v>
      </c>
      <c r="F12" s="55" cm="1">
        <f t="array" ref="F12">IF(Settings!$E$15="POINTS",E12-VLOOKUP(B$2,C1:E210,3,FALSE),J12)</f>
        <v>1.1993090731156322</v>
      </c>
      <c r="G12" s="55"/>
      <c r="H12" s="166" cm="1">
        <f t="array" ref="H12">RANK(I12,I3:I210)</f>
        <v>16</v>
      </c>
      <c r="I12" s="167" cm="1">
        <f t="array" ref="I12">VLOOKUP(A12,'Standard Deviations'!A1:C672,3,FALSE)</f>
        <v>7.5593186307306963</v>
      </c>
      <c r="J12" s="167" cm="1">
        <f t="array" ref="J12">I12-VLOOKUP(B$2,H1:J210,2,FALSE)</f>
        <v>1.1993090731156322</v>
      </c>
    </row>
    <row r="13" spans="1:10" ht="21.25" customHeight="1" x14ac:dyDescent="0.15">
      <c r="A13" s="10" t="s">
        <v>160</v>
      </c>
      <c r="B13" s="87" t="str" cm="1">
        <f t="array" ref="B13">VLOOKUP(A13,'The List'!B1:D671,3,FALSE)</f>
        <v>C,LW,RW</v>
      </c>
      <c r="C13" s="88" cm="1">
        <f t="array" ref="C13">IF(Settings!$E$15="POINTS",RANK(E13,E3:E210),H13)</f>
        <v>13</v>
      </c>
      <c r="D13" s="18" t="str" cm="1">
        <f t="array" ref="D13">VLOOKUP(A13,'The List'!B1:F671,5,FALSE)</f>
        <v>ANA</v>
      </c>
      <c r="E13" s="55" cm="1">
        <f t="array" ref="E13">VLOOKUP(A13,'The List'!B1:I671,8,FALSE)</f>
        <v>8.0044150915522536</v>
      </c>
      <c r="F13" s="55" cm="1">
        <f t="array" ref="F13">IF(Settings!$E$15="POINTS",E13-VLOOKUP(B$2,C1:E210,3,FALSE),J13)</f>
        <v>1.6444055339371895</v>
      </c>
      <c r="G13" s="55"/>
      <c r="H13" s="166" cm="1">
        <f t="array" ref="H13">RANK(I13,I3:I210)</f>
        <v>13</v>
      </c>
      <c r="I13" s="167" cm="1">
        <f t="array" ref="I13">VLOOKUP(A13,'Standard Deviations'!A1:C672,3,FALSE)</f>
        <v>8.0044150915522536</v>
      </c>
      <c r="J13" s="167" cm="1">
        <f t="array" ref="J13">I13-VLOOKUP(B$2,H1:J210,2,FALSE)</f>
        <v>1.6444055339371895</v>
      </c>
    </row>
    <row r="14" spans="1:10" ht="21.25" customHeight="1" x14ac:dyDescent="0.15">
      <c r="A14" s="10" t="s">
        <v>163</v>
      </c>
      <c r="B14" s="87" t="str" cm="1">
        <f t="array" ref="B14">VLOOKUP(A14,'The List'!B1:D671,3,FALSE)</f>
        <v>C</v>
      </c>
      <c r="C14" s="88" cm="1">
        <f t="array" ref="C14">IF(Settings!$E$15="POINTS",RANK(E14,E3:E210),H14)</f>
        <v>33</v>
      </c>
      <c r="D14" s="18" t="str" cm="1">
        <f t="array" ref="D14">VLOOKUP(A14,'The List'!B1:F671,5,FALSE)</f>
        <v>ANA</v>
      </c>
      <c r="E14" s="55" cm="1">
        <f t="array" ref="E14">VLOOKUP(A14,'The List'!B1:I671,8,FALSE)</f>
        <v>5.5113339978520228</v>
      </c>
      <c r="F14" s="55" cm="1">
        <f t="array" ref="F14">IF(Settings!$E$15="POINTS",E14-VLOOKUP(B$2,C1:E210,3,FALSE),J14)</f>
        <v>-0.84867555976304132</v>
      </c>
      <c r="G14" s="55"/>
      <c r="H14" s="166" cm="1">
        <f t="array" ref="H14">RANK(I14,I3:I210)</f>
        <v>33</v>
      </c>
      <c r="I14" s="167" cm="1">
        <f t="array" ref="I14">VLOOKUP(A14,'Standard Deviations'!A1:C672,3,FALSE)</f>
        <v>5.5113339978520228</v>
      </c>
      <c r="J14" s="167" cm="1">
        <f t="array" ref="J14">I14-VLOOKUP(B$2,H1:J210,2,FALSE)</f>
        <v>-0.84867555976304132</v>
      </c>
    </row>
    <row r="15" spans="1:10" ht="21.25" customHeight="1" x14ac:dyDescent="0.15">
      <c r="A15" s="10" t="s">
        <v>169</v>
      </c>
      <c r="B15" s="87" t="str" cm="1">
        <f t="array" ref="B15">VLOOKUP(A15,'The List'!B1:D671,3,FALSE)</f>
        <v>C,RW</v>
      </c>
      <c r="C15" s="88" cm="1">
        <f t="array" ref="C15">IF(Settings!$E$15="POINTS",RANK(E15,E3:E210),H15)</f>
        <v>12</v>
      </c>
      <c r="D15" s="18" t="str" cm="1">
        <f t="array" ref="D15">VLOOKUP(A15,'The List'!B1:F671,5,FALSE)</f>
        <v>BUF</v>
      </c>
      <c r="E15" s="55" cm="1">
        <f t="array" ref="E15">VLOOKUP(A15,'The List'!B1:I671,8,FALSE)</f>
        <v>8.0469109376480308</v>
      </c>
      <c r="F15" s="55" cm="1">
        <f t="array" ref="F15">IF(Settings!$E$15="POINTS",E15-VLOOKUP(B$2,C1:E210,3,FALSE),J15)</f>
        <v>1.6869013800329666</v>
      </c>
      <c r="G15" s="55"/>
      <c r="H15" s="166" cm="1">
        <f t="array" ref="H15">RANK(I15,I3:I210)</f>
        <v>12</v>
      </c>
      <c r="I15" s="167" cm="1">
        <f t="array" ref="I15">VLOOKUP(A15,'Standard Deviations'!A1:C672,3,FALSE)</f>
        <v>8.0469109376480308</v>
      </c>
      <c r="J15" s="167" cm="1">
        <f t="array" ref="J15">I15-VLOOKUP(B$2,H1:J210,2,FALSE)</f>
        <v>1.6869013800329666</v>
      </c>
    </row>
    <row r="16" spans="1:10" ht="21.25" customHeight="1" x14ac:dyDescent="0.15">
      <c r="A16" s="10" t="s">
        <v>171</v>
      </c>
      <c r="B16" s="87" t="str" cm="1">
        <f t="array" ref="B16">VLOOKUP(A16,'The List'!B1:D671,3,FALSE)</f>
        <v>C</v>
      </c>
      <c r="C16" s="88" cm="1">
        <f t="array" ref="C16">IF(Settings!$E$15="POINTS",RANK(E16,E3:E210),H16)</f>
        <v>11</v>
      </c>
      <c r="D16" s="18" t="str" cm="1">
        <f t="array" ref="D16">VLOOKUP(A16,'The List'!B1:F671,5,FALSE)</f>
        <v>FLA</v>
      </c>
      <c r="E16" s="55" cm="1">
        <f t="array" ref="E16">VLOOKUP(A16,'The List'!B1:I671,8,FALSE)</f>
        <v>8.4487396570364766</v>
      </c>
      <c r="F16" s="55" cm="1">
        <f t="array" ref="F16">IF(Settings!$E$15="POINTS",E16-VLOOKUP(B$2,C1:E210,3,FALSE),J16)</f>
        <v>2.0887300994214124</v>
      </c>
      <c r="G16" s="55"/>
      <c r="H16" s="166" cm="1">
        <f t="array" ref="H16">RANK(I16,I3:I210)</f>
        <v>11</v>
      </c>
      <c r="I16" s="167" cm="1">
        <f t="array" ref="I16">VLOOKUP(A16,'Standard Deviations'!A1:C672,3,FALSE)</f>
        <v>8.4487396570364766</v>
      </c>
      <c r="J16" s="167" cm="1">
        <f t="array" ref="J16">I16-VLOOKUP(B$2,H1:J210,2,FALSE)</f>
        <v>2.0887300994214124</v>
      </c>
    </row>
    <row r="17" spans="1:10" ht="21.25" customHeight="1" x14ac:dyDescent="0.15">
      <c r="A17" s="10" t="s">
        <v>185</v>
      </c>
      <c r="B17" s="87" t="str" cm="1">
        <f t="array" ref="B17">VLOOKUP(A17,'The List'!B1:D671,3,FALSE)</f>
        <v>C,LW,RW</v>
      </c>
      <c r="C17" s="88" cm="1">
        <f t="array" ref="C17">IF(Settings!$E$15="POINTS",RANK(E17,E3:E210),H17)</f>
        <v>17</v>
      </c>
      <c r="D17" s="18" t="str" cm="1">
        <f t="array" ref="D17">VLOOKUP(A17,'The List'!B1:F671,5,FALSE)</f>
        <v>VGK</v>
      </c>
      <c r="E17" s="55" cm="1">
        <f t="array" ref="E17">VLOOKUP(A17,'The List'!B1:I671,8,FALSE)</f>
        <v>7.452029453130919</v>
      </c>
      <c r="F17" s="55" cm="1">
        <f t="array" ref="F17">IF(Settings!$E$15="POINTS",E17-VLOOKUP(B$2,C1:E210,3,FALSE),J17)</f>
        <v>1.0920198955158549</v>
      </c>
      <c r="G17" s="55"/>
      <c r="H17" s="166" cm="1">
        <f t="array" ref="H17">RANK(I17,I3:I210)</f>
        <v>17</v>
      </c>
      <c r="I17" s="167" cm="1">
        <f t="array" ref="I17">VLOOKUP(A17,'Standard Deviations'!A1:C672,3,FALSE)</f>
        <v>7.452029453130919</v>
      </c>
      <c r="J17" s="167" cm="1">
        <f t="array" ref="J17">I17-VLOOKUP(B$2,H1:J210,2,FALSE)</f>
        <v>1.0920198955158549</v>
      </c>
    </row>
    <row r="18" spans="1:10" ht="21.25" customHeight="1" x14ac:dyDescent="0.15">
      <c r="A18" s="10" t="s">
        <v>173</v>
      </c>
      <c r="B18" s="87" t="str" cm="1">
        <f t="array" ref="B18">VLOOKUP(A18,'The List'!B1:D671,3,FALSE)</f>
        <v>C</v>
      </c>
      <c r="C18" s="88" cm="1">
        <f t="array" ref="C18">IF(Settings!$E$15="POINTS",RANK(E18,E3:E210),H18)</f>
        <v>19</v>
      </c>
      <c r="D18" s="18" t="str" cm="1">
        <f t="array" ref="D18">VLOOKUP(A18,'The List'!B1:F671,5,FALSE)</f>
        <v>PIT</v>
      </c>
      <c r="E18" s="55" cm="1">
        <f t="array" ref="E18">VLOOKUP(A18,'The List'!B1:I671,8,FALSE)</f>
        <v>7.0849097889380364</v>
      </c>
      <c r="F18" s="55" cm="1">
        <f t="array" ref="F18">IF(Settings!$E$15="POINTS",E18-VLOOKUP(B$2,C1:E210,3,FALSE),J18)</f>
        <v>0.72490023132297221</v>
      </c>
      <c r="G18" s="55"/>
      <c r="H18" s="166" cm="1">
        <f t="array" ref="H18">RANK(I18,I3:I210)</f>
        <v>19</v>
      </c>
      <c r="I18" s="167" cm="1">
        <f t="array" ref="I18">VLOOKUP(A18,'Standard Deviations'!A1:C672,3,FALSE)</f>
        <v>7.0849097889380364</v>
      </c>
      <c r="J18" s="167" cm="1">
        <f t="array" ref="J18">I18-VLOOKUP(B$2,H1:J210,2,FALSE)</f>
        <v>0.72490023132297221</v>
      </c>
    </row>
    <row r="19" spans="1:10" ht="21.25" customHeight="1" x14ac:dyDescent="0.15">
      <c r="A19" s="10" t="s">
        <v>179</v>
      </c>
      <c r="B19" s="87" t="str" cm="1">
        <f t="array" ref="B19">VLOOKUP(A19,'The List'!B1:D671,3,FALSE)</f>
        <v>C</v>
      </c>
      <c r="C19" s="88" cm="1">
        <f t="array" ref="C19">IF(Settings!$E$15="POINTS",RANK(E19,E3:E210),H19)</f>
        <v>30</v>
      </c>
      <c r="D19" s="18" t="str" cm="1">
        <f t="array" ref="D19">VLOOKUP(A19,'The List'!B1:F671,5,FALSE)</f>
        <v>WPG</v>
      </c>
      <c r="E19" s="55" cm="1">
        <f t="array" ref="E19">VLOOKUP(A19,'The List'!B1:I671,8,FALSE)</f>
        <v>5.8234709054452694</v>
      </c>
      <c r="F19" s="55" cm="1">
        <f t="array" ref="F19">IF(Settings!$E$15="POINTS",E19-VLOOKUP(B$2,C1:E210,3,FALSE),J19)</f>
        <v>-0.53653865216979479</v>
      </c>
      <c r="G19" s="55"/>
      <c r="H19" s="166" cm="1">
        <f t="array" ref="H19">RANK(I19,I3:I210)</f>
        <v>30</v>
      </c>
      <c r="I19" s="167" cm="1">
        <f t="array" ref="I19">VLOOKUP(A19,'Standard Deviations'!A1:C672,3,FALSE)</f>
        <v>5.8234709054452694</v>
      </c>
      <c r="J19" s="167" cm="1">
        <f t="array" ref="J19">I19-VLOOKUP(B$2,H1:J210,2,FALSE)</f>
        <v>-0.53653865216979479</v>
      </c>
    </row>
    <row r="20" spans="1:10" ht="21.25" customHeight="1" x14ac:dyDescent="0.15">
      <c r="A20" s="10" t="s">
        <v>195</v>
      </c>
      <c r="B20" s="87" t="str" cm="1">
        <f t="array" ref="B20">VLOOKUP(A20,'The List'!B1:D671,3,FALSE)</f>
        <v>C,RW</v>
      </c>
      <c r="C20" s="88" cm="1">
        <f t="array" ref="C20">IF(Settings!$E$15="POINTS",RANK(E20,E3:E210),H20)</f>
        <v>21</v>
      </c>
      <c r="D20" s="18" t="str" cm="1">
        <f t="array" ref="D20">VLOOKUP(A20,'The List'!B1:F671,5,FALSE)</f>
        <v>NYR</v>
      </c>
      <c r="E20" s="55" cm="1">
        <f t="array" ref="E20">VLOOKUP(A20,'The List'!B1:I671,8,FALSE)</f>
        <v>6.7566070852954736</v>
      </c>
      <c r="F20" s="55" cm="1">
        <f t="array" ref="F20">IF(Settings!$E$15="POINTS",E20-VLOOKUP(B$2,C1:E210,3,FALSE),J20)</f>
        <v>0.39659752768040946</v>
      </c>
      <c r="G20" s="55"/>
      <c r="H20" s="166" cm="1">
        <f t="array" ref="H20">RANK(I20,I3:I210)</f>
        <v>21</v>
      </c>
      <c r="I20" s="167" cm="1">
        <f t="array" ref="I20">VLOOKUP(A20,'Standard Deviations'!A1:C672,3,FALSE)</f>
        <v>6.7566070852954736</v>
      </c>
      <c r="J20" s="167" cm="1">
        <f t="array" ref="J20">I20-VLOOKUP(B$2,H1:J210,2,FALSE)</f>
        <v>0.39659752768040946</v>
      </c>
    </row>
    <row r="21" spans="1:10" ht="21.25" customHeight="1" x14ac:dyDescent="0.15">
      <c r="A21" s="10" t="s">
        <v>193</v>
      </c>
      <c r="B21" s="87" t="str" cm="1">
        <f t="array" ref="B21">VLOOKUP(A21,'The List'!B1:D671,3,FALSE)</f>
        <v>C</v>
      </c>
      <c r="C21" s="88" cm="1">
        <f t="array" ref="C21">IF(Settings!$E$15="POINTS",RANK(E21,E3:E210),H21)</f>
        <v>25</v>
      </c>
      <c r="D21" s="18" t="str" cm="1">
        <f t="array" ref="D21">VLOOKUP(A21,'The List'!B1:F671,5,FALSE)</f>
        <v>N.J</v>
      </c>
      <c r="E21" s="55" cm="1">
        <f t="array" ref="E21">VLOOKUP(A21,'The List'!B1:I671,8,FALSE)</f>
        <v>6.0686657682051646</v>
      </c>
      <c r="F21" s="55" cm="1">
        <f t="array" ref="F21">IF(Settings!$E$15="POINTS",E21-VLOOKUP(B$2,C1:E210,3,FALSE),J21)</f>
        <v>-0.29134378940989958</v>
      </c>
      <c r="G21" s="55"/>
      <c r="H21" s="166" cm="1">
        <f t="array" ref="H21">RANK(I21,I3:I210)</f>
        <v>25</v>
      </c>
      <c r="I21" s="167" cm="1">
        <f t="array" ref="I21">VLOOKUP(A21,'Standard Deviations'!A1:C672,3,FALSE)</f>
        <v>6.0686657682051646</v>
      </c>
      <c r="J21" s="167" cm="1">
        <f t="array" ref="J21">I21-VLOOKUP(B$2,H1:J210,2,FALSE)</f>
        <v>-0.29134378940989958</v>
      </c>
    </row>
    <row r="22" spans="1:10" ht="21.25" customHeight="1" x14ac:dyDescent="0.15">
      <c r="A22" s="10" t="s">
        <v>194</v>
      </c>
      <c r="B22" s="87" t="str" cm="1">
        <f t="array" ref="B22">VLOOKUP(A22,'The List'!B1:D671,3,FALSE)</f>
        <v>C</v>
      </c>
      <c r="C22" s="88" cm="1">
        <f t="array" ref="C22">IF(Settings!$E$15="POINTS",RANK(E22,E3:E210),H22)</f>
        <v>14</v>
      </c>
      <c r="D22" s="18" t="str" cm="1">
        <f t="array" ref="D22">VLOOKUP(A22,'The List'!B1:F671,5,FALSE)</f>
        <v>CAR</v>
      </c>
      <c r="E22" s="55" cm="1">
        <f t="array" ref="E22">VLOOKUP(A22,'The List'!B1:I671,8,FALSE)</f>
        <v>7.7126021183076503</v>
      </c>
      <c r="F22" s="55" cm="1">
        <f t="array" ref="F22">IF(Settings!$E$15="POINTS",E22-VLOOKUP(B$2,C1:E210,3,FALSE),J22)</f>
        <v>1.3525925606925862</v>
      </c>
      <c r="G22" s="55"/>
      <c r="H22" s="166" cm="1">
        <f t="array" ref="H22">RANK(I22,I3:I210)</f>
        <v>14</v>
      </c>
      <c r="I22" s="167" cm="1">
        <f t="array" ref="I22">VLOOKUP(A22,'Standard Deviations'!A1:C672,3,FALSE)</f>
        <v>7.7126021183076503</v>
      </c>
      <c r="J22" s="167" cm="1">
        <f t="array" ref="J22">I22-VLOOKUP(B$2,H1:J210,2,FALSE)</f>
        <v>1.3525925606925862</v>
      </c>
    </row>
    <row r="23" spans="1:10" ht="21.25" customHeight="1" x14ac:dyDescent="0.15">
      <c r="A23" s="10" t="s">
        <v>208</v>
      </c>
      <c r="B23" s="87" t="str" cm="1">
        <f t="array" ref="B23">VLOOKUP(A23,'The List'!B1:D671,3,FALSE)</f>
        <v>C,LW</v>
      </c>
      <c r="C23" s="88" cm="1">
        <f t="array" ref="C23">IF(Settings!$E$15="POINTS",RANK(E23,E3:E210),H23)</f>
        <v>15</v>
      </c>
      <c r="D23" s="18" t="str" cm="1">
        <f t="array" ref="D23">VLOOKUP(A23,'The List'!B1:F671,5,FALSE)</f>
        <v>OTT</v>
      </c>
      <c r="E23" s="55" cm="1">
        <f t="array" ref="E23">VLOOKUP(A23,'The List'!B1:I671,8,FALSE)</f>
        <v>7.7123335151329222</v>
      </c>
      <c r="F23" s="55" cm="1">
        <f t="array" ref="F23">IF(Settings!$E$15="POINTS",E23-VLOOKUP(B$2,C1:E210,3,FALSE),J23)</f>
        <v>1.3523239575178581</v>
      </c>
      <c r="G23" s="55"/>
      <c r="H23" s="166" cm="1">
        <f t="array" ref="H23">RANK(I23,I3:I210)</f>
        <v>15</v>
      </c>
      <c r="I23" s="167" cm="1">
        <f t="array" ref="I23">VLOOKUP(A23,'Standard Deviations'!A1:C672,3,FALSE)</f>
        <v>7.7123335151329222</v>
      </c>
      <c r="J23" s="167" cm="1">
        <f t="array" ref="J23">I23-VLOOKUP(B$2,H1:J210,2,FALSE)</f>
        <v>1.3523239575178581</v>
      </c>
    </row>
    <row r="24" spans="1:10" ht="21.25" customHeight="1" x14ac:dyDescent="0.15">
      <c r="A24" s="10" t="s">
        <v>200</v>
      </c>
      <c r="B24" s="87" t="str" cm="1">
        <f t="array" ref="B24">VLOOKUP(A24,'The List'!B1:D671,3,FALSE)</f>
        <v>C</v>
      </c>
      <c r="C24" s="88" cm="1">
        <f t="array" ref="C24">IF(Settings!$E$15="POINTS",RANK(E24,E3:E210),H24)</f>
        <v>32</v>
      </c>
      <c r="D24" s="18" t="str" cm="1">
        <f t="array" ref="D24">VLOOKUP(A24,'The List'!B1:F671,5,FALSE)</f>
        <v>DET</v>
      </c>
      <c r="E24" s="55" cm="1">
        <f t="array" ref="E24">VLOOKUP(A24,'The List'!B1:I671,8,FALSE)</f>
        <v>5.5140939176584007</v>
      </c>
      <c r="F24" s="55" cm="1">
        <f t="array" ref="F24">IF(Settings!$E$15="POINTS",E24-VLOOKUP(B$2,C1:E210,3,FALSE),J24)</f>
        <v>-0.84591563995666341</v>
      </c>
      <c r="G24" s="55"/>
      <c r="H24" s="166" cm="1">
        <f t="array" ref="H24">RANK(I24,I3:I210)</f>
        <v>32</v>
      </c>
      <c r="I24" s="167" cm="1">
        <f t="array" ref="I24">VLOOKUP(A24,'Standard Deviations'!A1:C672,3,FALSE)</f>
        <v>5.5140939176584007</v>
      </c>
      <c r="J24" s="167" cm="1">
        <f t="array" ref="J24">I24-VLOOKUP(B$2,H1:J210,2,FALSE)</f>
        <v>-0.84591563995666341</v>
      </c>
    </row>
    <row r="25" spans="1:10" ht="21.25" customHeight="1" x14ac:dyDescent="0.15">
      <c r="A25" s="10" t="s">
        <v>201</v>
      </c>
      <c r="B25" s="87" t="str" cm="1">
        <f t="array" ref="B25">VLOOKUP(A25,'The List'!B1:D671,3,FALSE)</f>
        <v>C</v>
      </c>
      <c r="C25" s="88" cm="1">
        <f t="array" ref="C25">IF(Settings!$E$15="POINTS",RANK(E25,E3:E210),H25)</f>
        <v>133</v>
      </c>
      <c r="D25" s="18" t="str" cm="1">
        <f t="array" ref="D25">VLOOKUP(A25,'The List'!B1:F671,5,FALSE)</f>
        <v>NYI</v>
      </c>
      <c r="E25" s="55" cm="1">
        <f t="array" ref="E25">VLOOKUP(A25,'The List'!B1:I671,8,FALSE)</f>
        <v>-1.2603599746349046</v>
      </c>
      <c r="F25" s="55" cm="1">
        <f t="array" ref="F25">IF(Settings!$E$15="POINTS",E25-VLOOKUP(B$2,C1:E210,3,FALSE),J25)</f>
        <v>-7.6203695322499687</v>
      </c>
      <c r="G25" s="55"/>
      <c r="H25" s="166" cm="1">
        <f t="array" ref="H25">RANK(I25,I3:I210)</f>
        <v>133</v>
      </c>
      <c r="I25" s="167" cm="1">
        <f t="array" ref="I25">VLOOKUP(A25,'Standard Deviations'!A1:C672,3,FALSE)</f>
        <v>-1.2603599746349046</v>
      </c>
      <c r="J25" s="167" cm="1">
        <f t="array" ref="J25">I25-VLOOKUP(B$2,H1:J210,2,FALSE)</f>
        <v>-7.6203695322499687</v>
      </c>
    </row>
    <row r="26" spans="1:10" ht="21.25" customHeight="1" x14ac:dyDescent="0.15">
      <c r="A26" s="10" t="s">
        <v>212</v>
      </c>
      <c r="B26" s="87" t="str" cm="1">
        <f t="array" ref="B26">VLOOKUP(A26,'The List'!B1:D671,3,FALSE)</f>
        <v>C,RW</v>
      </c>
      <c r="C26" s="88" cm="1">
        <f t="array" ref="C26">IF(Settings!$E$15="POINTS",RANK(E26,E3:E210),H26)</f>
        <v>50</v>
      </c>
      <c r="D26" s="18" t="str" cm="1">
        <f t="array" ref="D26">VLOOKUP(A26,'The List'!B1:F671,5,FALSE)</f>
        <v>CHI</v>
      </c>
      <c r="E26" s="55" cm="1">
        <f t="array" ref="E26">VLOOKUP(A26,'The List'!B1:I671,8,FALSE)</f>
        <v>3.3407085925006084</v>
      </c>
      <c r="F26" s="55" cm="1">
        <f t="array" ref="F26">IF(Settings!$E$15="POINTS",E26-VLOOKUP(B$2,C1:E210,3,FALSE),J26)</f>
        <v>-3.0193009651144558</v>
      </c>
      <c r="G26" s="55"/>
      <c r="H26" s="166" cm="1">
        <f t="array" ref="H26">RANK(I26,I3:I210)</f>
        <v>50</v>
      </c>
      <c r="I26" s="167" cm="1">
        <f t="array" ref="I26">VLOOKUP(A26,'Standard Deviations'!A1:C672,3,FALSE)</f>
        <v>3.3407085925006084</v>
      </c>
      <c r="J26" s="167" cm="1">
        <f t="array" ref="J26">I26-VLOOKUP(B$2,H1:J210,2,FALSE)</f>
        <v>-3.0193009651144558</v>
      </c>
    </row>
    <row r="27" spans="1:10" ht="21.25" customHeight="1" x14ac:dyDescent="0.15">
      <c r="A27" s="10" t="s">
        <v>209</v>
      </c>
      <c r="B27" s="87" t="str" cm="1">
        <f t="array" ref="B27">VLOOKUP(A27,'The List'!B1:D671,3,FALSE)</f>
        <v>C</v>
      </c>
      <c r="C27" s="88" cm="1">
        <f t="array" ref="C27">IF(Settings!$E$15="POINTS",RANK(E27,E3:E210),H27)</f>
        <v>22</v>
      </c>
      <c r="D27" s="18" t="str" cm="1">
        <f t="array" ref="D27">VLOOKUP(A27,'The List'!B1:F671,5,FALSE)</f>
        <v>UTA</v>
      </c>
      <c r="E27" s="55" cm="1">
        <f t="array" ref="E27">VLOOKUP(A27,'The List'!B1:I671,8,FALSE)</f>
        <v>6.498822946941254</v>
      </c>
      <c r="F27" s="55" cm="1">
        <f t="array" ref="F27">IF(Settings!$E$15="POINTS",E27-VLOOKUP(B$2,C1:E210,3,FALSE),J27)</f>
        <v>0.13881338932618981</v>
      </c>
      <c r="G27" s="55"/>
      <c r="H27" s="166" cm="1">
        <f t="array" ref="H27">RANK(I27,I3:I210)</f>
        <v>22</v>
      </c>
      <c r="I27" s="167" cm="1">
        <f t="array" ref="I27">VLOOKUP(A27,'Standard Deviations'!A1:C672,3,FALSE)</f>
        <v>6.498822946941254</v>
      </c>
      <c r="J27" s="167" cm="1">
        <f t="array" ref="J27">I27-VLOOKUP(B$2,H1:J210,2,FALSE)</f>
        <v>0.13881338932618981</v>
      </c>
    </row>
    <row r="28" spans="1:10" ht="21.25" customHeight="1" x14ac:dyDescent="0.15">
      <c r="A28" s="10" t="s">
        <v>213</v>
      </c>
      <c r="B28" s="87" t="str" cm="1">
        <f t="array" ref="B28">VLOOKUP(A28,'The List'!B1:D671,3,FALSE)</f>
        <v>C</v>
      </c>
      <c r="C28" s="88" cm="1">
        <f t="array" ref="C28">IF(Settings!$E$15="POINTS",RANK(E28,E3:E210),H28)</f>
        <v>26</v>
      </c>
      <c r="D28" s="18" t="str" cm="1">
        <f t="array" ref="D28">VLOOKUP(A28,'The List'!B1:F671,5,FALSE)</f>
        <v>CBJ</v>
      </c>
      <c r="E28" s="55" cm="1">
        <f t="array" ref="E28">VLOOKUP(A28,'The List'!B1:I671,8,FALSE)</f>
        <v>6.01368038721973</v>
      </c>
      <c r="F28" s="55" cm="1">
        <f t="array" ref="F28">IF(Settings!$E$15="POINTS",E28-VLOOKUP(B$2,C1:E210,3,FALSE),J28)</f>
        <v>-0.34632917039533417</v>
      </c>
      <c r="G28" s="55"/>
      <c r="H28" s="166" cm="1">
        <f t="array" ref="H28">RANK(I28,I3:I210)</f>
        <v>26</v>
      </c>
      <c r="I28" s="167" cm="1">
        <f t="array" ref="I28">VLOOKUP(A28,'Standard Deviations'!A1:C672,3,FALSE)</f>
        <v>6.01368038721973</v>
      </c>
      <c r="J28" s="167" cm="1">
        <f t="array" ref="J28">I28-VLOOKUP(B$2,H1:J210,2,FALSE)</f>
        <v>-0.34632917039533417</v>
      </c>
    </row>
    <row r="29" spans="1:10" ht="21.25" customHeight="1" x14ac:dyDescent="0.15">
      <c r="A29" s="10" t="s">
        <v>226</v>
      </c>
      <c r="B29" s="87" t="str" cm="1">
        <f t="array" ref="B29">VLOOKUP(A29,'The List'!B1:D671,3,FALSE)</f>
        <v>C,LW</v>
      </c>
      <c r="C29" s="88" cm="1">
        <f t="array" ref="C29">IF(Settings!$E$15="POINTS",RANK(E29,E3:E210),H29)</f>
        <v>6</v>
      </c>
      <c r="D29" s="18" t="str" cm="1">
        <f t="array" ref="D29">VLOOKUP(A29,'The List'!B1:F671,5,FALSE)</f>
        <v>FLA</v>
      </c>
      <c r="E29" s="55" cm="1">
        <f t="array" ref="E29">VLOOKUP(A29,'The List'!B1:I671,8,FALSE)</f>
        <v>10.567812064490829</v>
      </c>
      <c r="F29" s="55" cm="1">
        <f t="array" ref="F29">IF(Settings!$E$15="POINTS",E29-VLOOKUP(B$2,C1:E210,3,FALSE),J29)</f>
        <v>4.2078025068757645</v>
      </c>
      <c r="G29" s="55"/>
      <c r="H29" s="166" cm="1">
        <f t="array" ref="H29">RANK(I29,I3:I210)</f>
        <v>6</v>
      </c>
      <c r="I29" s="167" cm="1">
        <f t="array" ref="I29">VLOOKUP(A29,'Standard Deviations'!A1:C672,3,FALSE)</f>
        <v>10.567812064490829</v>
      </c>
      <c r="J29" s="167" cm="1">
        <f t="array" ref="J29">I29-VLOOKUP(B$2,H1:J210,2,FALSE)</f>
        <v>4.2078025068757645</v>
      </c>
    </row>
    <row r="30" spans="1:10" ht="21.25" customHeight="1" x14ac:dyDescent="0.15">
      <c r="A30" s="10" t="s">
        <v>219</v>
      </c>
      <c r="B30" s="87" t="str" cm="1">
        <f t="array" ref="B30">VLOOKUP(A30,'The List'!B1:D671,3,FALSE)</f>
        <v>C</v>
      </c>
      <c r="C30" s="88" cm="1">
        <f t="array" ref="C30">IF(Settings!$E$15="POINTS",RANK(E30,E3:E210),H30)</f>
        <v>44</v>
      </c>
      <c r="D30" s="18" t="str" cm="1">
        <f t="array" ref="D30">VLOOKUP(A30,'The List'!B1:F671,5,FALSE)</f>
        <v>STL</v>
      </c>
      <c r="E30" s="55" cm="1">
        <f t="array" ref="E30">VLOOKUP(A30,'The List'!B1:I671,8,FALSE)</f>
        <v>4.0355525585880336</v>
      </c>
      <c r="F30" s="55" cm="1">
        <f t="array" ref="F30">IF(Settings!$E$15="POINTS",E30-VLOOKUP(B$2,C1:E210,3,FALSE),J30)</f>
        <v>-2.3244569990270305</v>
      </c>
      <c r="G30" s="55"/>
      <c r="H30" s="166" cm="1">
        <f t="array" ref="H30">RANK(I30,I3:I210)</f>
        <v>44</v>
      </c>
      <c r="I30" s="167" cm="1">
        <f t="array" ref="I30">VLOOKUP(A30,'Standard Deviations'!A1:C672,3,FALSE)</f>
        <v>4.0355525585880336</v>
      </c>
      <c r="J30" s="167" cm="1">
        <f t="array" ref="J30">I30-VLOOKUP(B$2,H1:J210,2,FALSE)</f>
        <v>-2.3244569990270305</v>
      </c>
    </row>
    <row r="31" spans="1:10" ht="21.25" customHeight="1" x14ac:dyDescent="0.15">
      <c r="A31" s="10" t="s">
        <v>225</v>
      </c>
      <c r="B31" s="87" t="str" cm="1">
        <f t="array" ref="B31">VLOOKUP(A31,'The List'!B1:D671,3,FALSE)</f>
        <v>C</v>
      </c>
      <c r="C31" s="88" cm="1">
        <f t="array" ref="C31">IF(Settings!$E$15="POINTS",RANK(E31,E3:E210),H31)</f>
        <v>24</v>
      </c>
      <c r="D31" s="18" t="str" cm="1">
        <f t="array" ref="D31">VLOOKUP(A31,'The List'!B1:F671,5,FALSE)</f>
        <v>T.B</v>
      </c>
      <c r="E31" s="55" cm="1">
        <f t="array" ref="E31">VLOOKUP(A31,'The List'!B1:I671,8,FALSE)</f>
        <v>6.2967915213931303</v>
      </c>
      <c r="F31" s="55" cm="1">
        <f t="array" ref="F31">IF(Settings!$E$15="POINTS",E31-VLOOKUP(B$2,C1:E210,3,FALSE),J31)</f>
        <v>-6.3218036221933893E-2</v>
      </c>
      <c r="G31" s="55"/>
      <c r="H31" s="166" cm="1">
        <f t="array" ref="H31">RANK(I31,I3:I210)</f>
        <v>24</v>
      </c>
      <c r="I31" s="167" cm="1">
        <f t="array" ref="I31">VLOOKUP(A31,'Standard Deviations'!A1:C672,3,FALSE)</f>
        <v>6.2967915213931303</v>
      </c>
      <c r="J31" s="167" cm="1">
        <f t="array" ref="J31">I31-VLOOKUP(B$2,H1:J210,2,FALSE)</f>
        <v>-6.3218036221933893E-2</v>
      </c>
    </row>
    <row r="32" spans="1:10" ht="21.25" customHeight="1" x14ac:dyDescent="0.15">
      <c r="A32" s="10" t="s">
        <v>240</v>
      </c>
      <c r="B32" s="87" t="str" cm="1">
        <f t="array" ref="B32">VLOOKUP(A32,'The List'!B1:D671,3,FALSE)</f>
        <v>C,LW</v>
      </c>
      <c r="C32" s="88" cm="1">
        <f t="array" ref="C32">IF(Settings!$E$15="POINTS",RANK(E32,E3:E210),H32)</f>
        <v>20</v>
      </c>
      <c r="D32" s="18" t="str" cm="1">
        <f t="array" ref="D32">VLOOKUP(A32,'The List'!B1:F671,5,FALSE)</f>
        <v>STL</v>
      </c>
      <c r="E32" s="55" cm="1">
        <f t="array" ref="E32">VLOOKUP(A32,'The List'!B1:I671,8,FALSE)</f>
        <v>6.8566941417719347</v>
      </c>
      <c r="F32" s="55" cm="1">
        <f t="array" ref="F32">IF(Settings!$E$15="POINTS",E32-VLOOKUP(B$2,C1:E210,3,FALSE),J32)</f>
        <v>0.49668458415687056</v>
      </c>
      <c r="G32" s="55"/>
      <c r="H32" s="166" cm="1">
        <f t="array" ref="H32">RANK(I32,I3:I210)</f>
        <v>20</v>
      </c>
      <c r="I32" s="167" cm="1">
        <f t="array" ref="I32">VLOOKUP(A32,'Standard Deviations'!A1:C672,3,FALSE)</f>
        <v>6.8566941417719347</v>
      </c>
      <c r="J32" s="167" cm="1">
        <f t="array" ref="J32">I32-VLOOKUP(B$2,H1:J210,2,FALSE)</f>
        <v>0.49668458415687056</v>
      </c>
    </row>
    <row r="33" spans="1:10" ht="21.25" customHeight="1" x14ac:dyDescent="0.15">
      <c r="A33" s="10" t="s">
        <v>227</v>
      </c>
      <c r="B33" s="87" t="str" cm="1">
        <f t="array" ref="B33">VLOOKUP(A33,'The List'!B1:D671,3,FALSE)</f>
        <v>C</v>
      </c>
      <c r="C33" s="88" cm="1">
        <f t="array" ref="C33">IF(Settings!$E$15="POINTS",RANK(E33,E3:E210),H33)</f>
        <v>29</v>
      </c>
      <c r="D33" s="18" t="str" cm="1">
        <f t="array" ref="D33">VLOOKUP(A33,'The List'!B1:F671,5,FALSE)</f>
        <v>DAL</v>
      </c>
      <c r="E33" s="55" cm="1">
        <f t="array" ref="E33">VLOOKUP(A33,'The List'!B1:I671,8,FALSE)</f>
        <v>5.8259822016433942</v>
      </c>
      <c r="F33" s="55" cm="1">
        <f t="array" ref="F33">IF(Settings!$E$15="POINTS",E33-VLOOKUP(B$2,C1:E210,3,FALSE),J33)</f>
        <v>-0.53402735597166995</v>
      </c>
      <c r="G33" s="55"/>
      <c r="H33" s="166" cm="1">
        <f t="array" ref="H33">RANK(I33,I3:I210)</f>
        <v>29</v>
      </c>
      <c r="I33" s="167" cm="1">
        <f t="array" ref="I33">VLOOKUP(A33,'Standard Deviations'!A1:C672,3,FALSE)</f>
        <v>5.8259822016433942</v>
      </c>
      <c r="J33" s="167" cm="1">
        <f t="array" ref="J33">I33-VLOOKUP(B$2,H1:J210,2,FALSE)</f>
        <v>-0.53402735597166995</v>
      </c>
    </row>
    <row r="34" spans="1:10" ht="21.25" customHeight="1" x14ac:dyDescent="0.15">
      <c r="A34" s="10" t="s">
        <v>243</v>
      </c>
      <c r="B34" s="87" t="str" cm="1">
        <f t="array" ref="B34">VLOOKUP(A34,'The List'!B1:D671,3,FALSE)</f>
        <v>C,RW</v>
      </c>
      <c r="C34" s="88" cm="1">
        <f t="array" ref="C34">IF(Settings!$E$15="POINTS",RANK(E34,E3:E210),H34)</f>
        <v>39</v>
      </c>
      <c r="D34" s="18" t="str" cm="1">
        <f t="array" ref="D34">VLOOKUP(A34,'The List'!B1:F671,5,FALSE)</f>
        <v>UTA</v>
      </c>
      <c r="E34" s="55" cm="1">
        <f t="array" ref="E34">VLOOKUP(A34,'The List'!B1:I671,8,FALSE)</f>
        <v>4.3916714033430972</v>
      </c>
      <c r="F34" s="55" cm="1">
        <f t="array" ref="F34">IF(Settings!$E$15="POINTS",E34-VLOOKUP(B$2,C1:E210,3,FALSE),J34)</f>
        <v>-1.9683381542719669</v>
      </c>
      <c r="G34" s="55"/>
      <c r="H34" s="166" cm="1">
        <f t="array" ref="H34">RANK(I34,I3:I210)</f>
        <v>39</v>
      </c>
      <c r="I34" s="167" cm="1">
        <f t="array" ref="I34">VLOOKUP(A34,'Standard Deviations'!A1:C672,3,FALSE)</f>
        <v>4.3916714033430972</v>
      </c>
      <c r="J34" s="167" cm="1">
        <f t="array" ref="J34">I34-VLOOKUP(B$2,H1:J210,2,FALSE)</f>
        <v>-1.9683381542719669</v>
      </c>
    </row>
    <row r="35" spans="1:10" ht="21.25" customHeight="1" x14ac:dyDescent="0.15">
      <c r="A35" s="10" t="s">
        <v>232</v>
      </c>
      <c r="B35" s="87" t="str" cm="1">
        <f t="array" ref="B35">VLOOKUP(A35,'The List'!B1:D671,3,FALSE)</f>
        <v>D</v>
      </c>
      <c r="C35" s="88" cm="1">
        <f t="array" ref="C35">IF(Settings!$E$15="POINTS",RANK(E35,E3:E210),H35)</f>
        <v>69</v>
      </c>
      <c r="D35" s="18" t="str" cm="1">
        <f t="array" ref="D35">VLOOKUP(A35,'The List'!B1:F671,5,FALSE)</f>
        <v>VAN</v>
      </c>
      <c r="E35" s="55" cm="1">
        <f t="array" ref="E35">VLOOKUP(A35,'The List'!B1:I671,8,FALSE)</f>
        <v>1.7818902646793893</v>
      </c>
      <c r="F35" s="55" cm="1">
        <f t="array" ref="F35">IF(Settings!$E$15="POINTS",E35-VLOOKUP(B$2,C1:E210,3,FALSE),J35)</f>
        <v>-4.5781192929356749</v>
      </c>
      <c r="G35" s="55"/>
      <c r="H35" s="166" cm="1">
        <f t="array" ref="H35">RANK(I35,I3:I210)</f>
        <v>69</v>
      </c>
      <c r="I35" s="167" cm="1">
        <f t="array" ref="I35">VLOOKUP(A35,'Standard Deviations'!A1:C672,3,FALSE)</f>
        <v>1.7818902646793893</v>
      </c>
      <c r="J35" s="167" cm="1">
        <f t="array" ref="J35">I35-VLOOKUP(B$2,H1:J210,2,FALSE)</f>
        <v>-4.5781192929356749</v>
      </c>
    </row>
    <row r="36" spans="1:10" ht="21.25" customHeight="1" x14ac:dyDescent="0.15">
      <c r="A36" s="10" t="s">
        <v>235</v>
      </c>
      <c r="B36" s="87" t="str" cm="1">
        <f t="array" ref="B36">VLOOKUP(A36,'The List'!B1:D671,3,FALSE)</f>
        <v>C</v>
      </c>
      <c r="C36" s="88" cm="1">
        <f t="array" ref="C36">IF(Settings!$E$15="POINTS",RANK(E36,E3:E210),H36)</f>
        <v>68</v>
      </c>
      <c r="D36" s="18" t="str" cm="1">
        <f t="array" ref="D36">VLOOKUP(A36,'The List'!B1:F671,5,FALSE)</f>
        <v>CHI</v>
      </c>
      <c r="E36" s="55" cm="1">
        <f t="array" ref="E36">VLOOKUP(A36,'The List'!B1:I671,8,FALSE)</f>
        <v>1.8498351956534491</v>
      </c>
      <c r="F36" s="55" cm="1">
        <f t="array" ref="F36">IF(Settings!$E$15="POINTS",E36-VLOOKUP(B$2,C1:E210,3,FALSE),J36)</f>
        <v>-4.5101743619616155</v>
      </c>
      <c r="G36" s="55"/>
      <c r="H36" s="166" cm="1">
        <f t="array" ref="H36">RANK(I36,I3:I210)</f>
        <v>68</v>
      </c>
      <c r="I36" s="167" cm="1">
        <f t="array" ref="I36">VLOOKUP(A36,'Standard Deviations'!A1:C672,3,FALSE)</f>
        <v>1.8498351956534491</v>
      </c>
      <c r="J36" s="167" cm="1">
        <f t="array" ref="J36">I36-VLOOKUP(B$2,H1:J210,2,FALSE)</f>
        <v>-4.5101743619616155</v>
      </c>
    </row>
    <row r="37" spans="1:10" ht="21.25" customHeight="1" x14ac:dyDescent="0.15">
      <c r="A37" s="10" t="s">
        <v>250</v>
      </c>
      <c r="B37" s="87" t="str" cm="1">
        <f t="array" ref="B37">VLOOKUP(A37,'The List'!B1:D671,3,FALSE)</f>
        <v>C,RW</v>
      </c>
      <c r="C37" s="88" cm="1">
        <f t="array" ref="C37">IF(Settings!$E$15="POINTS",RANK(E37,E3:E210),H37)</f>
        <v>49</v>
      </c>
      <c r="D37" s="18" t="str" cm="1">
        <f t="array" ref="D37">VLOOKUP(A37,'The List'!B1:F671,5,FALSE)</f>
        <v>NYI</v>
      </c>
      <c r="E37" s="55" cm="1">
        <f t="array" ref="E37">VLOOKUP(A37,'The List'!B1:I671,8,FALSE)</f>
        <v>3.3482307644787275</v>
      </c>
      <c r="F37" s="55" cm="1">
        <f t="array" ref="F37">IF(Settings!$E$15="POINTS",E37-VLOOKUP(B$2,C1:E210,3,FALSE),J37)</f>
        <v>-3.0117787931363367</v>
      </c>
      <c r="G37" s="55"/>
      <c r="H37" s="166" cm="1">
        <f t="array" ref="H37">RANK(I37,I3:I210)</f>
        <v>49</v>
      </c>
      <c r="I37" s="167" cm="1">
        <f t="array" ref="I37">VLOOKUP(A37,'Standard Deviations'!A1:C672,3,FALSE)</f>
        <v>3.3482307644787275</v>
      </c>
      <c r="J37" s="167" cm="1">
        <f t="array" ref="J37">I37-VLOOKUP(B$2,H1:J210,2,FALSE)</f>
        <v>-3.0117787931363367</v>
      </c>
    </row>
    <row r="38" spans="1:10" ht="21.25" customHeight="1" x14ac:dyDescent="0.15">
      <c r="A38" s="10" t="s">
        <v>255</v>
      </c>
      <c r="B38" s="87" t="str" cm="1">
        <f t="array" ref="B38">VLOOKUP(A38,'The List'!B1:D671,3,FALSE)</f>
        <v>C,LW,RW</v>
      </c>
      <c r="C38" s="88" cm="1">
        <f t="array" ref="C38">IF(Settings!$E$15="POINTS",RANK(E38,E3:E210),H38)</f>
        <v>28</v>
      </c>
      <c r="D38" s="18" t="str" cm="1">
        <f t="array" ref="D38">VLOOKUP(A38,'The List'!B1:F671,5,FALSE)</f>
        <v>NYR</v>
      </c>
      <c r="E38" s="55" cm="1">
        <f t="array" ref="E38">VLOOKUP(A38,'The List'!B1:I671,8,FALSE)</f>
        <v>5.9317549820803022</v>
      </c>
      <c r="F38" s="55" cm="1">
        <f t="array" ref="F38">IF(Settings!$E$15="POINTS",E38-VLOOKUP(B$2,C1:E210,3,FALSE),J38)</f>
        <v>-0.42825457553476198</v>
      </c>
      <c r="G38" s="55"/>
      <c r="H38" s="166" cm="1">
        <f t="array" ref="H38">RANK(I38,I3:I210)</f>
        <v>28</v>
      </c>
      <c r="I38" s="167" cm="1">
        <f t="array" ref="I38">VLOOKUP(A38,'Standard Deviations'!A1:C672,3,FALSE)</f>
        <v>5.9317549820803022</v>
      </c>
      <c r="J38" s="167" cm="1">
        <f t="array" ref="J38">I38-VLOOKUP(B$2,H1:J210,2,FALSE)</f>
        <v>-0.42825457553476198</v>
      </c>
    </row>
    <row r="39" spans="1:10" ht="21.25" customHeight="1" x14ac:dyDescent="0.15">
      <c r="A39" s="10" t="s">
        <v>263</v>
      </c>
      <c r="B39" s="87" t="str" cm="1">
        <f t="array" ref="B39">VLOOKUP(A39,'The List'!B1:D671,3,FALSE)</f>
        <v>C,RW</v>
      </c>
      <c r="C39" s="88" cm="1">
        <f t="array" ref="C39">IF(Settings!$E$15="POINTS",RANK(E39,E3:E210),H39)</f>
        <v>36</v>
      </c>
      <c r="D39" s="18" t="str" cm="1">
        <f t="array" ref="D39">VLOOKUP(A39,'The List'!B1:F671,5,FALSE)</f>
        <v>NSH</v>
      </c>
      <c r="E39" s="55" cm="1">
        <f t="array" ref="E39">VLOOKUP(A39,'The List'!B1:I671,8,FALSE)</f>
        <v>4.7106056162291967</v>
      </c>
      <c r="F39" s="55" cm="1">
        <f t="array" ref="F39">IF(Settings!$E$15="POINTS",E39-VLOOKUP(B$2,C1:E210,3,FALSE),J39)</f>
        <v>-1.6494039413858674</v>
      </c>
      <c r="G39" s="55"/>
      <c r="H39" s="166" cm="1">
        <f t="array" ref="H39">RANK(I39,I3:I210)</f>
        <v>36</v>
      </c>
      <c r="I39" s="167" cm="1">
        <f t="array" ref="I39">VLOOKUP(A39,'Standard Deviations'!A1:C672,3,FALSE)</f>
        <v>4.7106056162291967</v>
      </c>
      <c r="J39" s="167" cm="1">
        <f t="array" ref="J39">I39-VLOOKUP(B$2,H1:J210,2,FALSE)</f>
        <v>-1.6494039413858674</v>
      </c>
    </row>
    <row r="40" spans="1:10" ht="21.25" customHeight="1" x14ac:dyDescent="0.15">
      <c r="A40" s="10" t="s">
        <v>264</v>
      </c>
      <c r="B40" s="87" t="str" cm="1">
        <f t="array" ref="B40">VLOOKUP(A40,'The List'!B1:D671,3,FALSE)</f>
        <v>C,LW,RW</v>
      </c>
      <c r="C40" s="88" cm="1">
        <f t="array" ref="C40">IF(Settings!$E$15="POINTS",RANK(E40,E3:E210),H40)</f>
        <v>38</v>
      </c>
      <c r="D40" s="18" t="str" cm="1">
        <f t="array" ref="D40">VLOOKUP(A40,'The List'!B1:F671,5,FALSE)</f>
        <v>PIT</v>
      </c>
      <c r="E40" s="55" cm="1">
        <f t="array" ref="E40">VLOOKUP(A40,'The List'!B1:I671,8,FALSE)</f>
        <v>4.5813572957295028</v>
      </c>
      <c r="F40" s="55" cm="1">
        <f t="array" ref="F40">IF(Settings!$E$15="POINTS",E40-VLOOKUP(B$2,C1:E210,3,FALSE),J40)</f>
        <v>-1.7786522618855614</v>
      </c>
      <c r="G40" s="55"/>
      <c r="H40" s="166" cm="1">
        <f t="array" ref="H40">RANK(I40,I3:I210)</f>
        <v>38</v>
      </c>
      <c r="I40" s="167" cm="1">
        <f t="array" ref="I40">VLOOKUP(A40,'Standard Deviations'!A1:C672,3,FALSE)</f>
        <v>4.5813572957295028</v>
      </c>
      <c r="J40" s="167" cm="1">
        <f t="array" ref="J40">I40-VLOOKUP(B$2,H1:J210,2,FALSE)</f>
        <v>-1.7786522618855614</v>
      </c>
    </row>
    <row r="41" spans="1:10" ht="21.25" customHeight="1" x14ac:dyDescent="0.15">
      <c r="A41" s="10" t="s">
        <v>245</v>
      </c>
      <c r="B41" s="87" t="str" cm="1">
        <f t="array" ref="B41">VLOOKUP(A41,'The List'!B1:D671,3,FALSE)</f>
        <v>C</v>
      </c>
      <c r="C41" s="88" cm="1">
        <f t="array" ref="C41">IF(Settings!$E$15="POINTS",RANK(E41,E3:E210),H41)</f>
        <v>23</v>
      </c>
      <c r="D41" s="18" t="str" cm="1">
        <f t="array" ref="D41">VLOOKUP(A41,'The List'!B1:F671,5,FALSE)</f>
        <v>MIN</v>
      </c>
      <c r="E41" s="55" cm="1">
        <f t="array" ref="E41">VLOOKUP(A41,'The List'!B1:I671,8,FALSE)</f>
        <v>6.3600095576150641</v>
      </c>
      <c r="F41" s="55" cm="1">
        <f t="array" ref="F41">IF(Settings!$E$15="POINTS",E41-VLOOKUP(B$2,C1:E210,3,FALSE),J41)</f>
        <v>0</v>
      </c>
      <c r="G41" s="55"/>
      <c r="H41" s="166" cm="1">
        <f t="array" ref="H41">RANK(I41,I3:I210)</f>
        <v>23</v>
      </c>
      <c r="I41" s="167" cm="1">
        <f t="array" ref="I41">VLOOKUP(A41,'Standard Deviations'!A1:C672,3,FALSE)</f>
        <v>6.3600095576150641</v>
      </c>
      <c r="J41" s="167" cm="1">
        <f t="array" ref="J41">I41-VLOOKUP(B$2,H1:J210,2,FALSE)</f>
        <v>0</v>
      </c>
    </row>
    <row r="42" spans="1:10" ht="21.25" customHeight="1" x14ac:dyDescent="0.15">
      <c r="A42" s="10" t="s">
        <v>248</v>
      </c>
      <c r="B42" s="87" t="str" cm="1">
        <f t="array" ref="B42">VLOOKUP(A42,'The List'!B1:D671,3,FALSE)</f>
        <v>C</v>
      </c>
      <c r="C42" s="88" cm="1">
        <f t="array" ref="C42">IF(Settings!$E$15="POINTS",RANK(E42,E3:E210),H42)</f>
        <v>41</v>
      </c>
      <c r="D42" s="18" t="str" cm="1">
        <f t="array" ref="D42">VLOOKUP(A42,'The List'!B1:F671,5,FALSE)</f>
        <v>WSH</v>
      </c>
      <c r="E42" s="55" cm="1">
        <f t="array" ref="E42">VLOOKUP(A42,'The List'!B1:I671,8,FALSE)</f>
        <v>4.2291310170733647</v>
      </c>
      <c r="F42" s="55" cm="1">
        <f t="array" ref="F42">IF(Settings!$E$15="POINTS",E42-VLOOKUP(B$2,C1:E210,3,FALSE),J42)</f>
        <v>-2.1308785405416995</v>
      </c>
      <c r="G42" s="55"/>
      <c r="H42" s="166" cm="1">
        <f t="array" ref="H42">RANK(I42,I3:I210)</f>
        <v>41</v>
      </c>
      <c r="I42" s="167" cm="1">
        <f t="array" ref="I42">VLOOKUP(A42,'Standard Deviations'!A1:C672,3,FALSE)</f>
        <v>4.2291310170733647</v>
      </c>
      <c r="J42" s="167" cm="1">
        <f t="array" ref="J42">I42-VLOOKUP(B$2,H1:J210,2,FALSE)</f>
        <v>-2.1308785405416995</v>
      </c>
    </row>
    <row r="43" spans="1:10" ht="21.25" customHeight="1" x14ac:dyDescent="0.15">
      <c r="A43" s="10" t="s">
        <v>251</v>
      </c>
      <c r="B43" s="87" t="str" cm="1">
        <f t="array" ref="B43">VLOOKUP(A43,'The List'!B1:D671,3,FALSE)</f>
        <v>C</v>
      </c>
      <c r="C43" s="88" cm="1">
        <f t="array" ref="C43">IF(Settings!$E$15="POINTS",RANK(E43,E3:E210),H43)</f>
        <v>62</v>
      </c>
      <c r="D43" s="18" t="str" cm="1">
        <f t="array" ref="D43">VLOOKUP(A43,'The List'!B1:F671,5,FALSE)</f>
        <v>NSH</v>
      </c>
      <c r="E43" s="55" cm="1">
        <f t="array" ref="E43">VLOOKUP(A43,'The List'!B1:I671,8,FALSE)</f>
        <v>2.424054126315772</v>
      </c>
      <c r="F43" s="55" cm="1">
        <f t="array" ref="F43">IF(Settings!$E$15="POINTS",E43-VLOOKUP(B$2,C1:E210,3,FALSE),J43)</f>
        <v>-3.9359554312992922</v>
      </c>
      <c r="G43" s="55"/>
      <c r="H43" s="166" cm="1">
        <f t="array" ref="H43">RANK(I43,I3:I210)</f>
        <v>62</v>
      </c>
      <c r="I43" s="167" cm="1">
        <f t="array" ref="I43">VLOOKUP(A43,'Standard Deviations'!A1:C672,3,FALSE)</f>
        <v>2.424054126315772</v>
      </c>
      <c r="J43" s="167" cm="1">
        <f t="array" ref="J43">I43-VLOOKUP(B$2,H1:J210,2,FALSE)</f>
        <v>-3.9359554312992922</v>
      </c>
    </row>
    <row r="44" spans="1:10" ht="21.25" customHeight="1" x14ac:dyDescent="0.15">
      <c r="A44" s="10" t="s">
        <v>259</v>
      </c>
      <c r="B44" s="87" t="str" cm="1">
        <f t="array" ref="B44">VLOOKUP(A44,'The List'!B1:D671,3,FALSE)</f>
        <v>C</v>
      </c>
      <c r="C44" s="88" cm="1">
        <f t="array" ref="C44">IF(Settings!$E$15="POINTS",RANK(E44,E3:E210),H44)</f>
        <v>40</v>
      </c>
      <c r="D44" s="18" t="str" cm="1">
        <f t="array" ref="D44">VLOOKUP(A44,'The List'!B1:F671,5,FALSE)</f>
        <v>L.A</v>
      </c>
      <c r="E44" s="55" cm="1">
        <f t="array" ref="E44">VLOOKUP(A44,'The List'!B1:I671,8,FALSE)</f>
        <v>4.2911657462044595</v>
      </c>
      <c r="F44" s="55" cm="1">
        <f t="array" ref="F44">IF(Settings!$E$15="POINTS",E44-VLOOKUP(B$2,C1:E210,3,FALSE),J44)</f>
        <v>-2.0688438114106047</v>
      </c>
      <c r="G44" s="55"/>
      <c r="H44" s="166" cm="1">
        <f t="array" ref="H44">RANK(I44,I3:I210)</f>
        <v>40</v>
      </c>
      <c r="I44" s="167" cm="1">
        <f t="array" ref="I44">VLOOKUP(A44,'Standard Deviations'!A1:C672,3,FALSE)</f>
        <v>4.2911657462044595</v>
      </c>
      <c r="J44" s="167" cm="1">
        <f t="array" ref="J44">I44-VLOOKUP(B$2,H1:J210,2,FALSE)</f>
        <v>-2.0688438114106047</v>
      </c>
    </row>
    <row r="45" spans="1:10" ht="21.25" customHeight="1" x14ac:dyDescent="0.15">
      <c r="A45" s="10" t="s">
        <v>275</v>
      </c>
      <c r="B45" s="87" t="str" cm="1">
        <f t="array" ref="B45">VLOOKUP(A45,'The List'!B1:D671,3,FALSE)</f>
        <v>C,LW,RW</v>
      </c>
      <c r="C45" s="88" cm="1">
        <f t="array" ref="C45">IF(Settings!$E$15="POINTS",RANK(E45,E3:E210),H45)</f>
        <v>35</v>
      </c>
      <c r="D45" s="18" t="str" cm="1">
        <f t="array" ref="D45">VLOOKUP(A45,'The List'!B1:F671,5,FALSE)</f>
        <v>BOS</v>
      </c>
      <c r="E45" s="55" cm="1">
        <f t="array" ref="E45">VLOOKUP(A45,'The List'!B1:I671,8,FALSE)</f>
        <v>5.2657629345430648</v>
      </c>
      <c r="F45" s="55" cm="1">
        <f t="array" ref="F45">IF(Settings!$E$15="POINTS",E45-VLOOKUP(B$2,C1:E210,3,FALSE),J45)</f>
        <v>-1.0942466230719994</v>
      </c>
      <c r="G45" s="55"/>
      <c r="H45" s="166" cm="1">
        <f t="array" ref="H45">RANK(I45,I3:I210)</f>
        <v>35</v>
      </c>
      <c r="I45" s="167" cm="1">
        <f t="array" ref="I45">VLOOKUP(A45,'Standard Deviations'!A1:C672,3,FALSE)</f>
        <v>5.2657629345430648</v>
      </c>
      <c r="J45" s="167" cm="1">
        <f t="array" ref="J45">I45-VLOOKUP(B$2,H1:J210,2,FALSE)</f>
        <v>-1.0942466230719994</v>
      </c>
    </row>
    <row r="46" spans="1:10" ht="21.25" customHeight="1" x14ac:dyDescent="0.15">
      <c r="A46" s="10" t="s">
        <v>280</v>
      </c>
      <c r="B46" s="87" t="str" cm="1">
        <f t="array" ref="B46">VLOOKUP(A46,'The List'!B1:D671,3,FALSE)</f>
        <v>C,LW</v>
      </c>
      <c r="C46" s="88" cm="1">
        <f t="array" ref="C46">IF(Settings!$E$15="POINTS",RANK(E46,E3:E210),H46)</f>
        <v>27</v>
      </c>
      <c r="D46" s="18" t="str" cm="1">
        <f t="array" ref="D46">VLOOKUP(A46,'The List'!B1:F671,5,FALSE)</f>
        <v>VGK</v>
      </c>
      <c r="E46" s="55" cm="1">
        <f t="array" ref="E46">VLOOKUP(A46,'The List'!B1:I671,8,FALSE)</f>
        <v>5.9468735902394814</v>
      </c>
      <c r="F46" s="55" cm="1">
        <f t="array" ref="F46">IF(Settings!$E$15="POINTS",E46-VLOOKUP(B$2,C1:E210,3,FALSE),J46)</f>
        <v>-0.41313596737558278</v>
      </c>
      <c r="G46" s="55"/>
      <c r="H46" s="166" cm="1">
        <f t="array" ref="H46">RANK(I46,I3:I210)</f>
        <v>27</v>
      </c>
      <c r="I46" s="167" cm="1">
        <f t="array" ref="I46">VLOOKUP(A46,'Standard Deviations'!A1:C672,3,FALSE)</f>
        <v>5.9468735902394814</v>
      </c>
      <c r="J46" s="167" cm="1">
        <f t="array" ref="J46">I46-VLOOKUP(B$2,H1:J210,2,FALSE)</f>
        <v>-0.41313596737558278</v>
      </c>
    </row>
    <row r="47" spans="1:10" ht="21.25" customHeight="1" x14ac:dyDescent="0.15">
      <c r="A47" s="10" t="s">
        <v>276</v>
      </c>
      <c r="B47" s="87" t="str" cm="1">
        <f t="array" ref="B47">VLOOKUP(A47,'The List'!B1:D671,3,FALSE)</f>
        <v>C,LW,RW</v>
      </c>
      <c r="C47" s="88" cm="1">
        <f t="array" ref="C47">IF(Settings!$E$15="POINTS",RANK(E47,E3:E210),H47)</f>
        <v>47</v>
      </c>
      <c r="D47" s="18" t="str" cm="1">
        <f t="array" ref="D47">VLOOKUP(A47,'The List'!B1:F671,5,FALSE)</f>
        <v>PIT</v>
      </c>
      <c r="E47" s="55" cm="1">
        <f t="array" ref="E47">VLOOKUP(A47,'The List'!B1:I671,8,FALSE)</f>
        <v>3.6979420703450154</v>
      </c>
      <c r="F47" s="55" cm="1">
        <f t="array" ref="F47">IF(Settings!$E$15="POINTS",E47-VLOOKUP(B$2,C1:E210,3,FALSE),J47)</f>
        <v>-2.6620674872700487</v>
      </c>
      <c r="G47" s="55"/>
      <c r="H47" s="166" cm="1">
        <f t="array" ref="H47">RANK(I47,I3:I210)</f>
        <v>47</v>
      </c>
      <c r="I47" s="167" cm="1">
        <f t="array" ref="I47">VLOOKUP(A47,'Standard Deviations'!A1:C672,3,FALSE)</f>
        <v>3.6979420703450154</v>
      </c>
      <c r="J47" s="167" cm="1">
        <f t="array" ref="J47">I47-VLOOKUP(B$2,H1:J210,2,FALSE)</f>
        <v>-2.6620674872700487</v>
      </c>
    </row>
    <row r="48" spans="1:10" ht="21.25" customHeight="1" x14ac:dyDescent="0.15">
      <c r="A48" s="10" t="s">
        <v>266</v>
      </c>
      <c r="B48" s="87" t="str" cm="1">
        <f t="array" ref="B48">VLOOKUP(A48,'The List'!B1:D671,3,FALSE)</f>
        <v>C</v>
      </c>
      <c r="C48" s="88" cm="1">
        <f t="array" ref="C48">IF(Settings!$E$15="POINTS",RANK(E48,E3:E210),H48)</f>
        <v>31</v>
      </c>
      <c r="D48" s="18" t="str" cm="1">
        <f t="array" ref="D48">VLOOKUP(A48,'The List'!B1:F671,5,FALSE)</f>
        <v>TOR</v>
      </c>
      <c r="E48" s="55" cm="1">
        <f t="array" ref="E48">VLOOKUP(A48,'The List'!B1:I671,8,FALSE)</f>
        <v>5.6592062446940474</v>
      </c>
      <c r="F48" s="55" cm="1">
        <f t="array" ref="F48">IF(Settings!$E$15="POINTS",E48-VLOOKUP(B$2,C1:E210,3,FALSE),J48)</f>
        <v>-0.70080331292101672</v>
      </c>
      <c r="G48" s="55"/>
      <c r="H48" s="166" cm="1">
        <f t="array" ref="H48">RANK(I48,I3:I210)</f>
        <v>31</v>
      </c>
      <c r="I48" s="167" cm="1">
        <f t="array" ref="I48">VLOOKUP(A48,'Standard Deviations'!A1:C672,3,FALSE)</f>
        <v>5.6592062446940474</v>
      </c>
      <c r="J48" s="167" cm="1">
        <f t="array" ref="J48">I48-VLOOKUP(B$2,H1:J210,2,FALSE)</f>
        <v>-0.70080331292101672</v>
      </c>
    </row>
    <row r="49" spans="1:10" ht="21.25" customHeight="1" x14ac:dyDescent="0.15">
      <c r="A49" s="10" t="s">
        <v>298</v>
      </c>
      <c r="B49" s="87" t="str" cm="1">
        <f t="array" ref="B49">VLOOKUP(A49,'The List'!B1:D671,3,FALSE)</f>
        <v>C,LW</v>
      </c>
      <c r="C49" s="88" cm="1">
        <f t="array" ref="C49">IF(Settings!$E$15="POINTS",RANK(E49,E3:E210),H49)</f>
        <v>34</v>
      </c>
      <c r="D49" s="18" t="str" cm="1">
        <f t="array" ref="D49">VLOOKUP(A49,'The List'!B1:F671,5,FALSE)</f>
        <v>COL</v>
      </c>
      <c r="E49" s="55" cm="1">
        <f t="array" ref="E49">VLOOKUP(A49,'The List'!B1:I671,8,FALSE)</f>
        <v>5.3390818852859141</v>
      </c>
      <c r="F49" s="55" cm="1">
        <f t="array" ref="F49">IF(Settings!$E$15="POINTS",E49-VLOOKUP(B$2,C1:E210,3,FALSE),J49)</f>
        <v>-1.02092767232915</v>
      </c>
      <c r="G49" s="55"/>
      <c r="H49" s="166" cm="1">
        <f t="array" ref="H49">RANK(I49,I3:I210)</f>
        <v>34</v>
      </c>
      <c r="I49" s="167" cm="1">
        <f t="array" ref="I49">VLOOKUP(A49,'Standard Deviations'!A1:C672,3,FALSE)</f>
        <v>5.3390818852859141</v>
      </c>
      <c r="J49" s="167" cm="1">
        <f t="array" ref="J49">I49-VLOOKUP(B$2,H1:J210,2,FALSE)</f>
        <v>-1.02092767232915</v>
      </c>
    </row>
    <row r="50" spans="1:10" ht="21.25" customHeight="1" x14ac:dyDescent="0.15">
      <c r="A50" s="10" t="s">
        <v>283</v>
      </c>
      <c r="B50" s="87" t="str" cm="1">
        <f t="array" ref="B50">VLOOKUP(A50,'The List'!B1:D671,3,FALSE)</f>
        <v>C</v>
      </c>
      <c r="C50" s="88" cm="1">
        <f t="array" ref="C50">IF(Settings!$E$15="POINTS",RANK(E50,E3:E210),H50)</f>
        <v>37</v>
      </c>
      <c r="D50" s="18" t="str" cm="1">
        <f t="array" ref="D50">VLOOKUP(A50,'The List'!B1:F671,5,FALSE)</f>
        <v>COL</v>
      </c>
      <c r="E50" s="55" cm="1">
        <f t="array" ref="E50">VLOOKUP(A50,'The List'!B1:I671,8,FALSE)</f>
        <v>4.6672198059600962</v>
      </c>
      <c r="F50" s="55" cm="1">
        <f t="array" ref="F50">IF(Settings!$E$15="POINTS",E50-VLOOKUP(B$2,C1:E210,3,FALSE),J50)</f>
        <v>-1.6927897516549679</v>
      </c>
      <c r="G50" s="55"/>
      <c r="H50" s="166" cm="1">
        <f t="array" ref="H50">RANK(I50,I3:I210)</f>
        <v>37</v>
      </c>
      <c r="I50" s="167" cm="1">
        <f t="array" ref="I50">VLOOKUP(A50,'Standard Deviations'!A1:C672,3,FALSE)</f>
        <v>4.6672198059600962</v>
      </c>
      <c r="J50" s="167" cm="1">
        <f t="array" ref="J50">I50-VLOOKUP(B$2,H1:J210,2,FALSE)</f>
        <v>-1.6927897516549679</v>
      </c>
    </row>
    <row r="51" spans="1:10" ht="21.25" customHeight="1" x14ac:dyDescent="0.15">
      <c r="A51" s="10" t="s">
        <v>285</v>
      </c>
      <c r="B51" s="87" t="str" cm="1">
        <f t="array" ref="B51">VLOOKUP(A51,'The List'!B1:D671,3,FALSE)</f>
        <v>C</v>
      </c>
      <c r="C51" s="88" cm="1">
        <f t="array" ref="C51">IF(Settings!$E$15="POINTS",RANK(E51,E3:E210),H51)</f>
        <v>67</v>
      </c>
      <c r="D51" s="18" t="str" cm="1">
        <f t="array" ref="D51">VLOOKUP(A51,'The List'!B1:F671,5,FALSE)</f>
        <v>S.J</v>
      </c>
      <c r="E51" s="55" cm="1">
        <f t="array" ref="E51">VLOOKUP(A51,'The List'!B1:I671,8,FALSE)</f>
        <v>1.8667163114523855</v>
      </c>
      <c r="F51" s="55" cm="1">
        <f t="array" ref="F51">IF(Settings!$E$15="POINTS",E51-VLOOKUP(B$2,C1:E210,3,FALSE),J51)</f>
        <v>-4.4932932461626791</v>
      </c>
      <c r="G51" s="55"/>
      <c r="H51" s="166" cm="1">
        <f t="array" ref="H51">RANK(I51,I3:I210)</f>
        <v>67</v>
      </c>
      <c r="I51" s="167" cm="1">
        <f t="array" ref="I51">VLOOKUP(A51,'Standard Deviations'!A1:C672,3,FALSE)</f>
        <v>1.8667163114523855</v>
      </c>
      <c r="J51" s="167" cm="1">
        <f t="array" ref="J51">I51-VLOOKUP(B$2,H1:J210,2,FALSE)</f>
        <v>-4.4932932461626791</v>
      </c>
    </row>
    <row r="52" spans="1:10" ht="21.25" customHeight="1" x14ac:dyDescent="0.15">
      <c r="A52" s="10" t="s">
        <v>301</v>
      </c>
      <c r="B52" s="87" t="str" cm="1">
        <f t="array" ref="B52">VLOOKUP(A52,'The List'!B1:D671,3,FALSE)</f>
        <v>C,RW</v>
      </c>
      <c r="C52" s="88" cm="1">
        <f t="array" ref="C52">IF(Settings!$E$15="POINTS",RANK(E52,E3:E210),H52)</f>
        <v>51</v>
      </c>
      <c r="D52" s="18" t="str" cm="1">
        <f t="array" ref="D52">VLOOKUP(A52,'The List'!B1:F671,5,FALSE)</f>
        <v>WPG</v>
      </c>
      <c r="E52" s="55" cm="1">
        <f t="array" ref="E52">VLOOKUP(A52,'The List'!B1:I671,8,FALSE)</f>
        <v>3.1531162562679746</v>
      </c>
      <c r="F52" s="55" cm="1">
        <f t="array" ref="F52">IF(Settings!$E$15="POINTS",E52-VLOOKUP(B$2,C1:E210,3,FALSE),J52)</f>
        <v>-3.2068933013470895</v>
      </c>
      <c r="G52" s="55"/>
      <c r="H52" s="166" cm="1">
        <f t="array" ref="H52">RANK(I52,I3:I210)</f>
        <v>51</v>
      </c>
      <c r="I52" s="167" cm="1">
        <f t="array" ref="I52">VLOOKUP(A52,'Standard Deviations'!A1:C672,3,FALSE)</f>
        <v>3.1531162562679746</v>
      </c>
      <c r="J52" s="167" cm="1">
        <f t="array" ref="J52">I52-VLOOKUP(B$2,H1:J210,2,FALSE)</f>
        <v>-3.2068933013470895</v>
      </c>
    </row>
    <row r="53" spans="1:10" ht="21.25" customHeight="1" x14ac:dyDescent="0.15">
      <c r="A53" s="10" t="s">
        <v>290</v>
      </c>
      <c r="B53" s="87" t="str" cm="1">
        <f t="array" ref="B53">VLOOKUP(A53,'The List'!B1:D671,3,FALSE)</f>
        <v>C</v>
      </c>
      <c r="C53" s="88" cm="1">
        <f t="array" ref="C53">IF(Settings!$E$15="POINTS",RANK(E53,E3:E210),H53)</f>
        <v>18</v>
      </c>
      <c r="D53" s="18" t="str" cm="1">
        <f t="array" ref="D53">VLOOKUP(A53,'The List'!B1:F671,5,FALSE)</f>
        <v>OTT</v>
      </c>
      <c r="E53" s="55" cm="1">
        <f t="array" ref="E53">VLOOKUP(A53,'The List'!B1:I671,8,FALSE)</f>
        <v>7.3149739051616676</v>
      </c>
      <c r="F53" s="55" cm="1">
        <f t="array" ref="F53">IF(Settings!$E$15="POINTS",E53-VLOOKUP(B$2,C1:E210,3,FALSE),J53)</f>
        <v>0.95496434754660342</v>
      </c>
      <c r="G53" s="55"/>
      <c r="H53" s="166" cm="1">
        <f t="array" ref="H53">RANK(I53,I3:I210)</f>
        <v>18</v>
      </c>
      <c r="I53" s="167" cm="1">
        <f t="array" ref="I53">VLOOKUP(A53,'Standard Deviations'!A1:C672,3,FALSE)</f>
        <v>7.3149739051616676</v>
      </c>
      <c r="J53" s="167" cm="1">
        <f t="array" ref="J53">I53-VLOOKUP(B$2,H1:J210,2,FALSE)</f>
        <v>0.95496434754660342</v>
      </c>
    </row>
    <row r="54" spans="1:10" ht="21.25" customHeight="1" x14ac:dyDescent="0.15">
      <c r="A54" s="10" t="s">
        <v>306</v>
      </c>
      <c r="B54" s="87" t="str" cm="1">
        <f t="array" ref="B54">VLOOKUP(A54,'The List'!B1:D671,3,FALSE)</f>
        <v>C,RW</v>
      </c>
      <c r="C54" s="88" cm="1">
        <f t="array" ref="C54">IF(Settings!$E$15="POINTS",RANK(E54,E3:E210),H54)</f>
        <v>46</v>
      </c>
      <c r="D54" s="18" t="str" cm="1">
        <f t="array" ref="D54">VLOOKUP(A54,'The List'!B1:F671,5,FALSE)</f>
        <v>MIN</v>
      </c>
      <c r="E54" s="55" cm="1">
        <f t="array" ref="E54">VLOOKUP(A54,'The List'!B1:I671,8,FALSE)</f>
        <v>3.7144735881746609</v>
      </c>
      <c r="F54" s="55" cm="1">
        <f t="array" ref="F54">IF(Settings!$E$15="POINTS",E54-VLOOKUP(B$2,C1:E210,3,FALSE),J54)</f>
        <v>-2.6455359694404033</v>
      </c>
      <c r="G54" s="55"/>
      <c r="H54" s="166" cm="1">
        <f t="array" ref="H54">RANK(I54,I3:I210)</f>
        <v>46</v>
      </c>
      <c r="I54" s="167" cm="1">
        <f t="array" ref="I54">VLOOKUP(A54,'Standard Deviations'!A1:C672,3,FALSE)</f>
        <v>3.7144735881746609</v>
      </c>
      <c r="J54" s="167" cm="1">
        <f t="array" ref="J54">I54-VLOOKUP(B$2,H1:J210,2,FALSE)</f>
        <v>-2.6455359694404033</v>
      </c>
    </row>
    <row r="55" spans="1:10" ht="21.25" customHeight="1" x14ac:dyDescent="0.15">
      <c r="A55" s="10" t="s">
        <v>318</v>
      </c>
      <c r="B55" s="87" t="str" cm="1">
        <f t="array" ref="B55">VLOOKUP(A55,'The List'!B1:D671,3,FALSE)</f>
        <v>C,LW</v>
      </c>
      <c r="C55" s="88" cm="1">
        <f t="array" ref="C55">IF(Settings!$E$15="POINTS",RANK(E55,E3:E210),H55)</f>
        <v>65</v>
      </c>
      <c r="D55" s="18" t="str" cm="1">
        <f t="array" ref="D55">VLOOKUP(A55,'The List'!B1:F671,5,FALSE)</f>
        <v>SEA</v>
      </c>
      <c r="E55" s="55" cm="1">
        <f t="array" ref="E55">VLOOKUP(A55,'The List'!B1:I671,8,FALSE)</f>
        <v>2.2491374797989487</v>
      </c>
      <c r="F55" s="55" cm="1">
        <f t="array" ref="F55">IF(Settings!$E$15="POINTS",E55-VLOOKUP(B$2,C1:E210,3,FALSE),J55)</f>
        <v>-4.110872077816115</v>
      </c>
      <c r="G55" s="55"/>
      <c r="H55" s="166" cm="1">
        <f t="array" ref="H55">RANK(I55,I3:I210)</f>
        <v>65</v>
      </c>
      <c r="I55" s="167" cm="1">
        <f t="array" ref="I55">VLOOKUP(A55,'Standard Deviations'!A1:C672,3,FALSE)</f>
        <v>2.2491374797989487</v>
      </c>
      <c r="J55" s="167" cm="1">
        <f t="array" ref="J55">I55-VLOOKUP(B$2,H1:J210,2,FALSE)</f>
        <v>-4.110872077816115</v>
      </c>
    </row>
    <row r="56" spans="1:10" ht="21.25" customHeight="1" x14ac:dyDescent="0.15">
      <c r="A56" s="10" t="s">
        <v>310</v>
      </c>
      <c r="B56" s="87" t="str" cm="1">
        <f t="array" ref="B56">VLOOKUP(A56,'The List'!B1:D671,3,FALSE)</f>
        <v>C</v>
      </c>
      <c r="C56" s="88" cm="1">
        <f t="array" ref="C56">IF(Settings!$E$15="POINTS",RANK(E56,E3:E210),H56)</f>
        <v>77</v>
      </c>
      <c r="D56" s="18" t="str" cm="1">
        <f t="array" ref="D56">VLOOKUP(A56,'The List'!B1:F671,5,FALSE)</f>
        <v>VAN</v>
      </c>
      <c r="E56" s="55" cm="1">
        <f t="array" ref="E56">VLOOKUP(A56,'The List'!B1:I671,8,FALSE)</f>
        <v>0.85367784570938654</v>
      </c>
      <c r="F56" s="55" cm="1">
        <f t="array" ref="F56">IF(Settings!$E$15="POINTS",E56-VLOOKUP(B$2,C1:E210,3,FALSE),J56)</f>
        <v>-5.5063317119056778</v>
      </c>
      <c r="G56" s="55"/>
      <c r="H56" s="166" cm="1">
        <f t="array" ref="H56">RANK(I56,I3:I210)</f>
        <v>77</v>
      </c>
      <c r="I56" s="167" cm="1">
        <f t="array" ref="I56">VLOOKUP(A56,'Standard Deviations'!A1:C672,3,FALSE)</f>
        <v>0.85367784570938654</v>
      </c>
      <c r="J56" s="167" cm="1">
        <f t="array" ref="J56">I56-VLOOKUP(B$2,H1:J210,2,FALSE)</f>
        <v>-5.5063317119056778</v>
      </c>
    </row>
    <row r="57" spans="1:10" ht="21.25" customHeight="1" x14ac:dyDescent="0.15">
      <c r="A57" s="10" t="s">
        <v>327</v>
      </c>
      <c r="B57" s="87" t="str" cm="1">
        <f t="array" ref="B57">VLOOKUP(A57,'The List'!B1:D671,3,FALSE)</f>
        <v>C,LW,RW</v>
      </c>
      <c r="C57" s="88" cm="1">
        <f t="array" ref="C57">IF(Settings!$E$15="POINTS",RANK(E57,E3:E210),H57)</f>
        <v>52</v>
      </c>
      <c r="D57" s="18" t="str" cm="1">
        <f t="array" ref="D57">VLOOKUP(A57,'The List'!B1:F671,5,FALSE)</f>
        <v>PHI</v>
      </c>
      <c r="E57" s="55" cm="1">
        <f t="array" ref="E57">VLOOKUP(A57,'The List'!B1:I671,8,FALSE)</f>
        <v>3.0541569889542113</v>
      </c>
      <c r="F57" s="55" cm="1">
        <f t="array" ref="F57">IF(Settings!$E$15="POINTS",E57-VLOOKUP(B$2,C1:E210,3,FALSE),J57)</f>
        <v>-3.3058525686608529</v>
      </c>
      <c r="G57" s="55"/>
      <c r="H57" s="166" cm="1">
        <f t="array" ref="H57">RANK(I57,I3:I210)</f>
        <v>52</v>
      </c>
      <c r="I57" s="167" cm="1">
        <f t="array" ref="I57">VLOOKUP(A57,'Standard Deviations'!A1:C672,3,FALSE)</f>
        <v>3.0541569889542113</v>
      </c>
      <c r="J57" s="167" cm="1">
        <f t="array" ref="J57">I57-VLOOKUP(B$2,H1:J210,2,FALSE)</f>
        <v>-3.3058525686608529</v>
      </c>
    </row>
    <row r="58" spans="1:10" ht="21.25" customHeight="1" x14ac:dyDescent="0.15">
      <c r="A58" s="10" t="s">
        <v>338</v>
      </c>
      <c r="B58" s="87" t="str" cm="1">
        <f t="array" ref="B58">VLOOKUP(A58,'The List'!B1:D671,3,FALSE)</f>
        <v>C,LW</v>
      </c>
      <c r="C58" s="88" cm="1">
        <f t="array" ref="C58">IF(Settings!$E$15="POINTS",RANK(E58,E3:E210),H58)</f>
        <v>43</v>
      </c>
      <c r="D58" s="18" t="str" cm="1">
        <f t="array" ref="D58">VLOOKUP(A58,'The List'!B1:F671,5,FALSE)</f>
        <v>EDM</v>
      </c>
      <c r="E58" s="55" cm="1">
        <f t="array" ref="E58">VLOOKUP(A58,'The List'!B1:I671,8,FALSE)</f>
        <v>4.1391253521735507</v>
      </c>
      <c r="F58" s="55" cm="1">
        <f t="array" ref="F58">IF(Settings!$E$15="POINTS",E58-VLOOKUP(B$2,C1:E210,3,FALSE),J58)</f>
        <v>-2.2208842054415134</v>
      </c>
      <c r="G58" s="55"/>
      <c r="H58" s="166" cm="1">
        <f t="array" ref="H58">RANK(I58,I3:I210)</f>
        <v>43</v>
      </c>
      <c r="I58" s="167" cm="1">
        <f t="array" ref="I58">VLOOKUP(A58,'Standard Deviations'!A1:C672,3,FALSE)</f>
        <v>4.1391253521735507</v>
      </c>
      <c r="J58" s="167" cm="1">
        <f t="array" ref="J58">I58-VLOOKUP(B$2,H1:J210,2,FALSE)</f>
        <v>-2.2208842054415134</v>
      </c>
    </row>
    <row r="59" spans="1:10" ht="21.25" customHeight="1" x14ac:dyDescent="0.15">
      <c r="A59" s="10" t="s">
        <v>317</v>
      </c>
      <c r="B59" s="87" t="str" cm="1">
        <f t="array" ref="B59">VLOOKUP(A59,'The List'!B1:D671,3,FALSE)</f>
        <v>C</v>
      </c>
      <c r="C59" s="88" cm="1">
        <f t="array" ref="C59">IF(Settings!$E$15="POINTS",RANK(E59,E3:E210),H59)</f>
        <v>94</v>
      </c>
      <c r="D59" s="18" t="str" cm="1">
        <f t="array" ref="D59">VLOOKUP(A59,'The List'!B1:F671,5,FALSE)</f>
        <v>SEA</v>
      </c>
      <c r="E59" s="55" cm="1">
        <f t="array" ref="E59">VLOOKUP(A59,'The List'!B1:I671,8,FALSE)</f>
        <v>3.74115864641138E-2</v>
      </c>
      <c r="F59" s="55" cm="1">
        <f t="array" ref="F59">IF(Settings!$E$15="POINTS",E59-VLOOKUP(B$2,C1:E210,3,FALSE),J59)</f>
        <v>-6.3225979711509499</v>
      </c>
      <c r="G59" s="55"/>
      <c r="H59" s="166" cm="1">
        <f t="array" ref="H59">RANK(I59,I3:I210)</f>
        <v>94</v>
      </c>
      <c r="I59" s="167" cm="1">
        <f t="array" ref="I59">VLOOKUP(A59,'Standard Deviations'!A1:C672,3,FALSE)</f>
        <v>3.74115864641138E-2</v>
      </c>
      <c r="J59" s="167" cm="1">
        <f t="array" ref="J59">I59-VLOOKUP(B$2,H1:J210,2,FALSE)</f>
        <v>-6.3225979711509499</v>
      </c>
    </row>
    <row r="60" spans="1:10" ht="21.25" customHeight="1" x14ac:dyDescent="0.15">
      <c r="A60" s="10" t="s">
        <v>331</v>
      </c>
      <c r="B60" s="87" t="str" cm="1">
        <f t="array" ref="B60">VLOOKUP(A60,'The List'!B1:D671,3,FALSE)</f>
        <v>C</v>
      </c>
      <c r="C60" s="88" cm="1">
        <f t="array" ref="C60">IF(Settings!$E$15="POINTS",RANK(E60,E3:E210),H60)</f>
        <v>58</v>
      </c>
      <c r="D60" s="18" t="str" cm="1">
        <f t="array" ref="D60">VLOOKUP(A60,'The List'!B1:F671,5,FALSE)</f>
        <v>STL</v>
      </c>
      <c r="E60" s="55" cm="1">
        <f t="array" ref="E60">VLOOKUP(A60,'The List'!B1:I671,8,FALSE)</f>
        <v>2.6789282143720397</v>
      </c>
      <c r="F60" s="55" cm="1">
        <f t="array" ref="F60">IF(Settings!$E$15="POINTS",E60-VLOOKUP(B$2,C1:E210,3,FALSE),J60)</f>
        <v>-3.6810813432430245</v>
      </c>
      <c r="G60" s="55"/>
      <c r="H60" s="166" cm="1">
        <f t="array" ref="H60">RANK(I60,I3:I210)</f>
        <v>58</v>
      </c>
      <c r="I60" s="167" cm="1">
        <f t="array" ref="I60">VLOOKUP(A60,'Standard Deviations'!A1:C672,3,FALSE)</f>
        <v>2.6789282143720397</v>
      </c>
      <c r="J60" s="167" cm="1">
        <f t="array" ref="J60">I60-VLOOKUP(B$2,H1:J210,2,FALSE)</f>
        <v>-3.6810813432430245</v>
      </c>
    </row>
    <row r="61" spans="1:10" ht="21.25" customHeight="1" x14ac:dyDescent="0.15">
      <c r="A61" s="10" t="s">
        <v>353</v>
      </c>
      <c r="B61" s="87" t="str" cm="1">
        <f t="array" ref="B61">VLOOKUP(A61,'The List'!B1:D671,3,FALSE)</f>
        <v>C,RW</v>
      </c>
      <c r="C61" s="88" cm="1">
        <f t="array" ref="C61">IF(Settings!$E$15="POINTS",RANK(E61,E3:E210),H61)</f>
        <v>45</v>
      </c>
      <c r="D61" s="18" t="str" cm="1">
        <f t="array" ref="D61">VLOOKUP(A61,'The List'!B1:F671,5,FALSE)</f>
        <v>CAR</v>
      </c>
      <c r="E61" s="55" cm="1">
        <f t="array" ref="E61">VLOOKUP(A61,'The List'!B1:I671,8,FALSE)</f>
        <v>3.9937038316669402</v>
      </c>
      <c r="F61" s="55" cm="1">
        <f t="array" ref="F61">IF(Settings!$E$15="POINTS",E61-VLOOKUP(B$2,C1:E210,3,FALSE),J61)</f>
        <v>-2.3663057259481239</v>
      </c>
      <c r="G61" s="55"/>
      <c r="H61" s="166" cm="1">
        <f t="array" ref="H61">RANK(I61,I3:I210)</f>
        <v>45</v>
      </c>
      <c r="I61" s="167" cm="1">
        <f t="array" ref="I61">VLOOKUP(A61,'Standard Deviations'!A1:C672,3,FALSE)</f>
        <v>3.9937038316669402</v>
      </c>
      <c r="J61" s="167" cm="1">
        <f t="array" ref="J61">I61-VLOOKUP(B$2,H1:J210,2,FALSE)</f>
        <v>-2.3663057259481239</v>
      </c>
    </row>
    <row r="62" spans="1:10" ht="21.25" customHeight="1" x14ac:dyDescent="0.15">
      <c r="A62" s="10" t="s">
        <v>342</v>
      </c>
      <c r="B62" s="87" t="str" cm="1">
        <f t="array" ref="B62">VLOOKUP(A62,'The List'!B1:D671,3,FALSE)</f>
        <v>C</v>
      </c>
      <c r="C62" s="88" cm="1">
        <f t="array" ref="C62">IF(Settings!$E$15="POINTS",RANK(E62,E3:E210),H62)</f>
        <v>42</v>
      </c>
      <c r="D62" s="18" t="str" cm="1">
        <f t="array" ref="D62">VLOOKUP(A62,'The List'!B1:F671,5,FALSE)</f>
        <v>FLA</v>
      </c>
      <c r="E62" s="55" cm="1">
        <f t="array" ref="E62">VLOOKUP(A62,'The List'!B1:I671,8,FALSE)</f>
        <v>4.1645746272694888</v>
      </c>
      <c r="F62" s="55" cm="1">
        <f t="array" ref="F62">IF(Settings!$E$15="POINTS",E62-VLOOKUP(B$2,C1:E210,3,FALSE),J62)</f>
        <v>-2.1954349303455754</v>
      </c>
      <c r="G62" s="55"/>
      <c r="H62" s="166" cm="1">
        <f t="array" ref="H62">RANK(I62,I3:I210)</f>
        <v>42</v>
      </c>
      <c r="I62" s="167" cm="1">
        <f t="array" ref="I62">VLOOKUP(A62,'Standard Deviations'!A1:C672,3,FALSE)</f>
        <v>4.1645746272694888</v>
      </c>
      <c r="J62" s="167" cm="1">
        <f t="array" ref="J62">I62-VLOOKUP(B$2,H1:J210,2,FALSE)</f>
        <v>-2.1954349303455754</v>
      </c>
    </row>
    <row r="63" spans="1:10" ht="21.25" customHeight="1" x14ac:dyDescent="0.15">
      <c r="A63" s="10" t="s">
        <v>366</v>
      </c>
      <c r="B63" s="87" t="str" cm="1">
        <f t="array" ref="B63">VLOOKUP(A63,'The List'!B1:D671,3,FALSE)</f>
        <v>C,LW</v>
      </c>
      <c r="C63" s="88" cm="1">
        <f t="array" ref="C63">IF(Settings!$E$15="POINTS",RANK(E63,E3:E210),H63)</f>
        <v>60</v>
      </c>
      <c r="D63" s="18" t="str" cm="1">
        <f t="array" ref="D63">VLOOKUP(A63,'The List'!B1:F671,5,FALSE)</f>
        <v>BOS</v>
      </c>
      <c r="E63" s="55" cm="1">
        <f t="array" ref="E63">VLOOKUP(A63,'The List'!B1:I671,8,FALSE)</f>
        <v>2.4624214224663592</v>
      </c>
      <c r="F63" s="55" cm="1">
        <f t="array" ref="F63">IF(Settings!$E$15="POINTS",E63-VLOOKUP(B$2,C1:E210,3,FALSE),J63)</f>
        <v>-3.8975881351487049</v>
      </c>
      <c r="G63" s="55"/>
      <c r="H63" s="166" cm="1">
        <f t="array" ref="H63">RANK(I63,I3:I210)</f>
        <v>60</v>
      </c>
      <c r="I63" s="167" cm="1">
        <f t="array" ref="I63">VLOOKUP(A63,'Standard Deviations'!A1:C672,3,FALSE)</f>
        <v>2.4624214224663592</v>
      </c>
      <c r="J63" s="167" cm="1">
        <f t="array" ref="J63">I63-VLOOKUP(B$2,H1:J210,2,FALSE)</f>
        <v>-3.8975881351487049</v>
      </c>
    </row>
    <row r="64" spans="1:10" ht="21.25" customHeight="1" x14ac:dyDescent="0.15">
      <c r="A64" s="10" t="s">
        <v>372</v>
      </c>
      <c r="B64" s="87" t="str" cm="1">
        <f t="array" ref="B64">VLOOKUP(A64,'The List'!B1:D671,3,FALSE)</f>
        <v>C,LW</v>
      </c>
      <c r="C64" s="88" cm="1">
        <f t="array" ref="C64">IF(Settings!$E$15="POINTS",RANK(E64,E3:E210),H64)</f>
        <v>66</v>
      </c>
      <c r="D64" s="18" t="str" cm="1">
        <f t="array" ref="D64">VLOOKUP(A64,'The List'!B1:F671,5,FALSE)</f>
        <v>ANA</v>
      </c>
      <c r="E64" s="55" cm="1">
        <f t="array" ref="E64">VLOOKUP(A64,'The List'!B1:I671,8,FALSE)</f>
        <v>1.935815440417896</v>
      </c>
      <c r="F64" s="55" cm="1">
        <f t="array" ref="F64">IF(Settings!$E$15="POINTS",E64-VLOOKUP(B$2,C1:E210,3,FALSE),J64)</f>
        <v>-4.4241941171971684</v>
      </c>
      <c r="G64" s="55"/>
      <c r="H64" s="166" cm="1">
        <f t="array" ref="H64">RANK(I64,I3:I210)</f>
        <v>66</v>
      </c>
      <c r="I64" s="167" cm="1">
        <f t="array" ref="I64">VLOOKUP(A64,'Standard Deviations'!A1:C672,3,FALSE)</f>
        <v>1.935815440417896</v>
      </c>
      <c r="J64" s="167" cm="1">
        <f t="array" ref="J64">I64-VLOOKUP(B$2,H1:J210,2,FALSE)</f>
        <v>-4.4241941171971684</v>
      </c>
    </row>
    <row r="65" spans="1:10" ht="21.25" customHeight="1" x14ac:dyDescent="0.15">
      <c r="A65" s="10" t="s">
        <v>360</v>
      </c>
      <c r="B65" s="87" t="str" cm="1">
        <f t="array" ref="B65">VLOOKUP(A65,'The List'!B1:D671,3,FALSE)</f>
        <v>C</v>
      </c>
      <c r="C65" s="88" cm="1">
        <f t="array" ref="C65">IF(Settings!$E$15="POINTS",RANK(E65,E3:E210),H65)</f>
        <v>53</v>
      </c>
      <c r="D65" s="18" t="str" cm="1">
        <f t="array" ref="D65">VLOOKUP(A65,'The List'!B1:F671,5,FALSE)</f>
        <v>FLA</v>
      </c>
      <c r="E65" s="55" cm="1">
        <f t="array" ref="E65">VLOOKUP(A65,'The List'!B1:I671,8,FALSE)</f>
        <v>3.0278514873229914</v>
      </c>
      <c r="F65" s="55" cm="1">
        <f t="array" ref="F65">IF(Settings!$E$15="POINTS",E65-VLOOKUP(B$2,C1:E210,3,FALSE),J65)</f>
        <v>-3.3321580702920728</v>
      </c>
      <c r="G65" s="55"/>
      <c r="H65" s="166" cm="1">
        <f t="array" ref="H65">RANK(I65,I3:I210)</f>
        <v>53</v>
      </c>
      <c r="I65" s="167" cm="1">
        <f t="array" ref="I65">VLOOKUP(A65,'Standard Deviations'!A1:C672,3,FALSE)</f>
        <v>3.0278514873229914</v>
      </c>
      <c r="J65" s="167" cm="1">
        <f t="array" ref="J65">I65-VLOOKUP(B$2,H1:J210,2,FALSE)</f>
        <v>-3.3321580702920728</v>
      </c>
    </row>
    <row r="66" spans="1:10" ht="21.25" customHeight="1" x14ac:dyDescent="0.15">
      <c r="A66" s="10" t="s">
        <v>364</v>
      </c>
      <c r="B66" s="87" t="str" cm="1">
        <f t="array" ref="B66">VLOOKUP(A66,'The List'!B1:D671,3,FALSE)</f>
        <v>C</v>
      </c>
      <c r="C66" s="88" cm="1">
        <f t="array" ref="C66">IF(Settings!$E$15="POINTS",RANK(E66,E3:E210),H66)</f>
        <v>61</v>
      </c>
      <c r="D66" s="18" t="str" cm="1">
        <f t="array" ref="D66">VLOOKUP(A66,'The List'!B1:F671,5,FALSE)</f>
        <v>T.B</v>
      </c>
      <c r="E66" s="55" cm="1">
        <f t="array" ref="E66">VLOOKUP(A66,'The List'!B1:I671,8,FALSE)</f>
        <v>2.4578858395279841</v>
      </c>
      <c r="F66" s="55" cm="1">
        <f t="array" ref="F66">IF(Settings!$E$15="POINTS",E66-VLOOKUP(B$2,C1:E210,3,FALSE),J66)</f>
        <v>-3.90212371808708</v>
      </c>
      <c r="G66" s="55"/>
      <c r="H66" s="166" cm="1">
        <f t="array" ref="H66">RANK(I66,I3:I210)</f>
        <v>61</v>
      </c>
      <c r="I66" s="167" cm="1">
        <f t="array" ref="I66">VLOOKUP(A66,'Standard Deviations'!A1:C672,3,FALSE)</f>
        <v>2.4578858395279841</v>
      </c>
      <c r="J66" s="167" cm="1">
        <f t="array" ref="J66">I66-VLOOKUP(B$2,H1:J210,2,FALSE)</f>
        <v>-3.90212371808708</v>
      </c>
    </row>
    <row r="67" spans="1:10" ht="21.25" customHeight="1" x14ac:dyDescent="0.15">
      <c r="A67" s="10" t="s">
        <v>371</v>
      </c>
      <c r="B67" s="87" t="str" cm="1">
        <f t="array" ref="B67">VLOOKUP(A67,'The List'!B1:D671,3,FALSE)</f>
        <v>C</v>
      </c>
      <c r="C67" s="88" cm="1">
        <f t="array" ref="C67">IF(Settings!$E$15="POINTS",RANK(E67,E3:E210),H67)</f>
        <v>64</v>
      </c>
      <c r="D67" s="18" t="str" cm="1">
        <f t="array" ref="D67">VLOOKUP(A67,'The List'!B1:F671,5,FALSE)</f>
        <v>OTT</v>
      </c>
      <c r="E67" s="55" cm="1">
        <f t="array" ref="E67">VLOOKUP(A67,'The List'!B1:I671,8,FALSE)</f>
        <v>2.2518295975805098</v>
      </c>
      <c r="F67" s="55" cm="1">
        <f t="array" ref="F67">IF(Settings!$E$15="POINTS",E67-VLOOKUP(B$2,C1:E210,3,FALSE),J67)</f>
        <v>-4.1081799600345548</v>
      </c>
      <c r="G67" s="55"/>
      <c r="H67" s="166" cm="1">
        <f t="array" ref="H67">RANK(I67,I3:I210)</f>
        <v>64</v>
      </c>
      <c r="I67" s="167" cm="1">
        <f t="array" ref="I67">VLOOKUP(A67,'Standard Deviations'!A1:C672,3,FALSE)</f>
        <v>2.2518295975805098</v>
      </c>
      <c r="J67" s="167" cm="1">
        <f t="array" ref="J67">I67-VLOOKUP(B$2,H1:J210,2,FALSE)</f>
        <v>-4.1081799600345548</v>
      </c>
    </row>
    <row r="68" spans="1:10" ht="21.25" customHeight="1" x14ac:dyDescent="0.15">
      <c r="A68" s="10" t="s">
        <v>386</v>
      </c>
      <c r="B68" s="87" t="str" cm="1">
        <f t="array" ref="B68">VLOOKUP(A68,'The List'!B1:D671,3,FALSE)</f>
        <v>C</v>
      </c>
      <c r="C68" s="88" cm="1">
        <f t="array" ref="C68">IF(Settings!$E$15="POINTS",RANK(E68,E3:E210),H68)</f>
        <v>55</v>
      </c>
      <c r="D68" s="18" t="str" cm="1">
        <f t="array" ref="D68">VLOOKUP(A68,'The List'!B1:F671,5,FALSE)</f>
        <v>UTA</v>
      </c>
      <c r="E68" s="55" cm="1">
        <f t="array" ref="E68">VLOOKUP(A68,'The List'!B1:I671,8,FALSE)</f>
        <v>2.7610208407701426</v>
      </c>
      <c r="F68" s="55" cm="1">
        <f t="array" ref="F68">IF(Settings!$E$15="POINTS",E68-VLOOKUP(B$2,C1:E210,3,FALSE),J68)</f>
        <v>-3.5989887168449215</v>
      </c>
      <c r="G68" s="55"/>
      <c r="H68" s="166" cm="1">
        <f t="array" ref="H68">RANK(I68,I3:I210)</f>
        <v>55</v>
      </c>
      <c r="I68" s="167" cm="1">
        <f t="array" ref="I68">VLOOKUP(A68,'Standard Deviations'!A1:C672,3,FALSE)</f>
        <v>2.7610208407701426</v>
      </c>
      <c r="J68" s="167" cm="1">
        <f t="array" ref="J68">I68-VLOOKUP(B$2,H1:J210,2,FALSE)</f>
        <v>-3.5989887168449215</v>
      </c>
    </row>
    <row r="69" spans="1:10" ht="21.25" customHeight="1" x14ac:dyDescent="0.15">
      <c r="A69" s="10" t="s">
        <v>405</v>
      </c>
      <c r="B69" s="87" t="str" cm="1">
        <f t="array" ref="B69">VLOOKUP(A69,'The List'!B1:D671,3,FALSE)</f>
        <v>C,LW,RW</v>
      </c>
      <c r="C69" s="88" cm="1">
        <f t="array" ref="C69">IF(Settings!$E$15="POINTS",RANK(E69,E3:E210),H69)</f>
        <v>83</v>
      </c>
      <c r="D69" s="18" t="str" cm="1">
        <f t="array" ref="D69">VLOOKUP(A69,'The List'!B1:F671,5,FALSE)</f>
        <v>STL</v>
      </c>
      <c r="E69" s="55" cm="1">
        <f t="array" ref="E69">VLOOKUP(A69,'The List'!B1:I671,8,FALSE)</f>
        <v>0.47492829953690191</v>
      </c>
      <c r="F69" s="55" cm="1">
        <f t="array" ref="F69">IF(Settings!$E$15="POINTS",E69-VLOOKUP(B$2,C1:E210,3,FALSE),J69)</f>
        <v>-5.885081258078162</v>
      </c>
      <c r="G69" s="55"/>
      <c r="H69" s="166" cm="1">
        <f t="array" ref="H69">RANK(I69,I3:I210)</f>
        <v>83</v>
      </c>
      <c r="I69" s="167" cm="1">
        <f t="array" ref="I69">VLOOKUP(A69,'Standard Deviations'!A1:C672,3,FALSE)</f>
        <v>0.47492829953690191</v>
      </c>
      <c r="J69" s="167" cm="1">
        <f t="array" ref="J69">I69-VLOOKUP(B$2,H1:J210,2,FALSE)</f>
        <v>-5.885081258078162</v>
      </c>
    </row>
    <row r="70" spans="1:10" ht="21.25" customHeight="1" x14ac:dyDescent="0.15">
      <c r="A70" s="10" t="s">
        <v>392</v>
      </c>
      <c r="B70" s="87" t="str" cm="1">
        <f t="array" ref="B70">VLOOKUP(A70,'The List'!B1:D671,3,FALSE)</f>
        <v>C</v>
      </c>
      <c r="C70" s="88" cm="1">
        <f t="array" ref="C70">IF(Settings!$E$15="POINTS",RANK(E70,E3:E210),H70)</f>
        <v>141</v>
      </c>
      <c r="D70" s="18" t="str" cm="1">
        <f t="array" ref="D70">VLOOKUP(A70,'The List'!B1:F671,5,FALSE)</f>
        <v>CHI</v>
      </c>
      <c r="E70" s="55" cm="1">
        <f t="array" ref="E70">VLOOKUP(A70,'The List'!B1:I671,8,FALSE)</f>
        <v>-1.5115879104757712</v>
      </c>
      <c r="F70" s="55" cm="1">
        <f t="array" ref="F70">IF(Settings!$E$15="POINTS",E70-VLOOKUP(B$2,C1:E210,3,FALSE),J70)</f>
        <v>-7.8715974680908349</v>
      </c>
      <c r="G70" s="55"/>
      <c r="H70" s="166" cm="1">
        <f t="array" ref="H70">RANK(I70,I3:I210)</f>
        <v>141</v>
      </c>
      <c r="I70" s="167" cm="1">
        <f t="array" ref="I70">VLOOKUP(A70,'Standard Deviations'!A1:C672,3,FALSE)</f>
        <v>-1.5115879104757712</v>
      </c>
      <c r="J70" s="167" cm="1">
        <f t="array" ref="J70">I70-VLOOKUP(B$2,H1:J210,2,FALSE)</f>
        <v>-7.8715974680908349</v>
      </c>
    </row>
    <row r="71" spans="1:10" ht="21.25" customHeight="1" x14ac:dyDescent="0.15">
      <c r="A71" s="10" t="s">
        <v>412</v>
      </c>
      <c r="B71" s="87" t="str" cm="1">
        <f t="array" ref="B71">VLOOKUP(A71,'The List'!B1:D671,3,FALSE)</f>
        <v>C,LW,RW</v>
      </c>
      <c r="C71" s="88" cm="1">
        <f t="array" ref="C71">IF(Settings!$E$15="POINTS",RANK(E71,E3:E210),H71)</f>
        <v>48</v>
      </c>
      <c r="D71" s="18" t="str" cm="1">
        <f t="array" ref="D71">VLOOKUP(A71,'The List'!B1:F671,5,FALSE)</f>
        <v>L.A</v>
      </c>
      <c r="E71" s="55" cm="1">
        <f t="array" ref="E71">VLOOKUP(A71,'The List'!B1:I671,8,FALSE)</f>
        <v>3.5095118872038258</v>
      </c>
      <c r="F71" s="55" cm="1">
        <f t="array" ref="F71">IF(Settings!$E$15="POINTS",E71-VLOOKUP(B$2,C1:E210,3,FALSE),J71)</f>
        <v>-2.8504976704112384</v>
      </c>
      <c r="G71" s="55"/>
      <c r="H71" s="166" cm="1">
        <f t="array" ref="H71">RANK(I71,I3:I210)</f>
        <v>48</v>
      </c>
      <c r="I71" s="167" cm="1">
        <f t="array" ref="I71">VLOOKUP(A71,'Standard Deviations'!A1:C672,3,FALSE)</f>
        <v>3.5095118872038258</v>
      </c>
      <c r="J71" s="167" cm="1">
        <f t="array" ref="J71">I71-VLOOKUP(B$2,H1:J210,2,FALSE)</f>
        <v>-2.8504976704112384</v>
      </c>
    </row>
    <row r="72" spans="1:10" ht="21.25" customHeight="1" x14ac:dyDescent="0.15">
      <c r="A72" s="10" t="s">
        <v>441</v>
      </c>
      <c r="B72" s="87" t="str" cm="1">
        <f t="array" ref="B72">VLOOKUP(A72,'The List'!B1:D671,3,FALSE)</f>
        <v>C,LW</v>
      </c>
      <c r="C72" s="88" cm="1">
        <f t="array" ref="C72">IF(Settings!$E$15="POINTS",RANK(E72,E3:E210),H72)</f>
        <v>85</v>
      </c>
      <c r="D72" s="18" t="str" cm="1">
        <f t="array" ref="D72">VLOOKUP(A72,'The List'!B1:F671,5,FALSE)</f>
        <v>STL</v>
      </c>
      <c r="E72" s="55" cm="1">
        <f t="array" ref="E72">VLOOKUP(A72,'The List'!B1:I671,8,FALSE)</f>
        <v>0.35096192515902436</v>
      </c>
      <c r="F72" s="55" cm="1">
        <f t="array" ref="F72">IF(Settings!$E$15="POINTS",E72-VLOOKUP(B$2,C1:E210,3,FALSE),J72)</f>
        <v>-6.0090476324560402</v>
      </c>
      <c r="G72" s="55"/>
      <c r="H72" s="166" cm="1">
        <f t="array" ref="H72">RANK(I72,I3:I210)</f>
        <v>85</v>
      </c>
      <c r="I72" s="167" cm="1">
        <f t="array" ref="I72">VLOOKUP(A72,'Standard Deviations'!A1:C672,3,FALSE)</f>
        <v>0.35096192515902436</v>
      </c>
      <c r="J72" s="167" cm="1">
        <f t="array" ref="J72">I72-VLOOKUP(B$2,H1:J210,2,FALSE)</f>
        <v>-6.0090476324560402</v>
      </c>
    </row>
    <row r="73" spans="1:10" ht="21.25" customHeight="1" x14ac:dyDescent="0.15">
      <c r="A73" s="10" t="s">
        <v>446</v>
      </c>
      <c r="B73" s="87" t="str" cm="1">
        <f t="array" ref="B73">VLOOKUP(A73,'The List'!B1:D671,3,FALSE)</f>
        <v>C,LW</v>
      </c>
      <c r="C73" s="88" cm="1">
        <f t="array" ref="C73">IF(Settings!$E$15="POINTS",RANK(E73,E3:E210),H73)</f>
        <v>54</v>
      </c>
      <c r="D73" s="18" t="str" cm="1">
        <f t="array" ref="D73">VLOOKUP(A73,'The List'!B1:F671,5,FALSE)</f>
        <v>MIN</v>
      </c>
      <c r="E73" s="55" cm="1">
        <f t="array" ref="E73">VLOOKUP(A73,'The List'!B1:I671,8,FALSE)</f>
        <v>2.9755536799609792</v>
      </c>
      <c r="F73" s="55" cm="1">
        <f t="array" ref="F73">IF(Settings!$E$15="POINTS",E73-VLOOKUP(B$2,C1:E210,3,FALSE),J73)</f>
        <v>-3.384455877654085</v>
      </c>
      <c r="G73" s="55"/>
      <c r="H73" s="166" cm="1">
        <f t="array" ref="H73">RANK(I73,I3:I210)</f>
        <v>54</v>
      </c>
      <c r="I73" s="167" cm="1">
        <f t="array" ref="I73">VLOOKUP(A73,'Standard Deviations'!A1:C672,3,FALSE)</f>
        <v>2.9755536799609792</v>
      </c>
      <c r="J73" s="167" cm="1">
        <f t="array" ref="J73">I73-VLOOKUP(B$2,H1:J210,2,FALSE)</f>
        <v>-3.384455877654085</v>
      </c>
    </row>
    <row r="74" spans="1:10" ht="21.25" customHeight="1" x14ac:dyDescent="0.15">
      <c r="A74" s="10" t="s">
        <v>450</v>
      </c>
      <c r="B74" s="87" t="str" cm="1">
        <f t="array" ref="B74">VLOOKUP(A74,'The List'!B1:D671,3,FALSE)</f>
        <v>C,LW</v>
      </c>
      <c r="C74" s="88" cm="1">
        <f t="array" ref="C74">IF(Settings!$E$15="POINTS",RANK(E74,E3:E210),H74)</f>
        <v>59</v>
      </c>
      <c r="D74" s="18" t="str" cm="1">
        <f t="array" ref="D74">VLOOKUP(A74,'The List'!B1:F671,5,FALSE)</f>
        <v>WSH</v>
      </c>
      <c r="E74" s="55" cm="1">
        <f t="array" ref="E74">VLOOKUP(A74,'The List'!B1:I671,8,FALSE)</f>
        <v>2.4790132116005834</v>
      </c>
      <c r="F74" s="55" cm="1">
        <f t="array" ref="F74">IF(Settings!$E$15="POINTS",E74-VLOOKUP(B$2,C1:E210,3,FALSE),J74)</f>
        <v>-3.8809963460144807</v>
      </c>
      <c r="G74" s="55"/>
      <c r="H74" s="166" cm="1">
        <f t="array" ref="H74">RANK(I74,I3:I210)</f>
        <v>59</v>
      </c>
      <c r="I74" s="167" cm="1">
        <f t="array" ref="I74">VLOOKUP(A74,'Standard Deviations'!A1:C672,3,FALSE)</f>
        <v>2.4790132116005834</v>
      </c>
      <c r="J74" s="167" cm="1">
        <f t="array" ref="J74">I74-VLOOKUP(B$2,H1:J210,2,FALSE)</f>
        <v>-3.8809963460144807</v>
      </c>
    </row>
    <row r="75" spans="1:10" ht="21.25" customHeight="1" x14ac:dyDescent="0.15">
      <c r="A75" s="10" t="s">
        <v>410</v>
      </c>
      <c r="B75" s="87" t="str" cm="1">
        <f t="array" ref="B75">VLOOKUP(A75,'The List'!B1:D671,3,FALSE)</f>
        <v>C</v>
      </c>
      <c r="C75" s="88" cm="1">
        <f t="array" ref="C75">IF(Settings!$E$15="POINTS",RANK(E75,E3:E210),H75)</f>
        <v>166</v>
      </c>
      <c r="D75" s="18" t="str" cm="1">
        <f t="array" ref="D75">VLOOKUP(A75,'The List'!B1:F671,5,FALSE)</f>
        <v>SEA</v>
      </c>
      <c r="E75" s="55" cm="1">
        <f t="array" ref="E75">VLOOKUP(A75,'The List'!B1:I671,8,FALSE)</f>
        <v>-2.6668357658408421</v>
      </c>
      <c r="F75" s="55" cm="1">
        <f t="array" ref="F75">IF(Settings!$E$15="POINTS",E75-VLOOKUP(B$2,C1:E210,3,FALSE),J75)</f>
        <v>-9.0268453234559054</v>
      </c>
      <c r="G75" s="55"/>
      <c r="H75" s="166" cm="1">
        <f t="array" ref="H75">RANK(I75,I3:I210)</f>
        <v>166</v>
      </c>
      <c r="I75" s="167" cm="1">
        <f t="array" ref="I75">VLOOKUP(A75,'Standard Deviations'!A1:C672,3,FALSE)</f>
        <v>-2.6668357658408421</v>
      </c>
      <c r="J75" s="167" cm="1">
        <f t="array" ref="J75">I75-VLOOKUP(B$2,H1:J210,2,FALSE)</f>
        <v>-9.0268453234559054</v>
      </c>
    </row>
    <row r="76" spans="1:10" ht="21.25" customHeight="1" x14ac:dyDescent="0.15">
      <c r="A76" s="10" t="s">
        <v>416</v>
      </c>
      <c r="B76" s="87" t="str" cm="1">
        <f t="array" ref="B76">VLOOKUP(A76,'The List'!B1:D671,3,FALSE)</f>
        <v>C</v>
      </c>
      <c r="C76" s="88" cm="1">
        <f t="array" ref="C76">IF(Settings!$E$15="POINTS",RANK(E76,E3:E210),H76)</f>
        <v>95</v>
      </c>
      <c r="D76" s="18" t="str" cm="1">
        <f t="array" ref="D76">VLOOKUP(A76,'The List'!B1:F671,5,FALSE)</f>
        <v>CGY</v>
      </c>
      <c r="E76" s="55" cm="1">
        <f t="array" ref="E76">VLOOKUP(A76,'The List'!B1:I671,8,FALSE)</f>
        <v>-1.7596548786048993E-2</v>
      </c>
      <c r="F76" s="55" cm="1">
        <f t="array" ref="F76">IF(Settings!$E$15="POINTS",E76-VLOOKUP(B$2,C1:E210,3,FALSE),J76)</f>
        <v>-6.3776061064011129</v>
      </c>
      <c r="G76" s="55"/>
      <c r="H76" s="166" cm="1">
        <f t="array" ref="H76">RANK(I76,I3:I210)</f>
        <v>95</v>
      </c>
      <c r="I76" s="167" cm="1">
        <f t="array" ref="I76">VLOOKUP(A76,'Standard Deviations'!A1:C672,3,FALSE)</f>
        <v>-1.7596548786048993E-2</v>
      </c>
      <c r="J76" s="167" cm="1">
        <f t="array" ref="J76">I76-VLOOKUP(B$2,H1:J210,2,FALSE)</f>
        <v>-6.3776061064011129</v>
      </c>
    </row>
    <row r="77" spans="1:10" ht="21.25" customHeight="1" x14ac:dyDescent="0.15">
      <c r="A77" s="10" t="s">
        <v>419</v>
      </c>
      <c r="B77" s="87" t="str" cm="1">
        <f t="array" ref="B77">VLOOKUP(A77,'The List'!B1:D671,3,FALSE)</f>
        <v>C</v>
      </c>
      <c r="C77" s="88" cm="1">
        <f t="array" ref="C77">IF(Settings!$E$15="POINTS",RANK(E77,E3:E210),H77)</f>
        <v>135</v>
      </c>
      <c r="D77" s="18" t="str" cm="1">
        <f t="array" ref="D77">VLOOKUP(A77,'The List'!B1:F671,5,FALSE)</f>
        <v>S.J</v>
      </c>
      <c r="E77" s="55" cm="1">
        <f t="array" ref="E77">VLOOKUP(A77,'The List'!B1:I671,8,FALSE)</f>
        <v>-1.3285785019127041</v>
      </c>
      <c r="F77" s="55" cm="1">
        <f t="array" ref="F77">IF(Settings!$E$15="POINTS",E77-VLOOKUP(B$2,C1:E210,3,FALSE),J77)</f>
        <v>-7.6885880595277687</v>
      </c>
      <c r="G77" s="55"/>
      <c r="H77" s="166" cm="1">
        <f t="array" ref="H77">RANK(I77,I3:I210)</f>
        <v>135</v>
      </c>
      <c r="I77" s="167" cm="1">
        <f t="array" ref="I77">VLOOKUP(A77,'Standard Deviations'!A1:C672,3,FALSE)</f>
        <v>-1.3285785019127041</v>
      </c>
      <c r="J77" s="167" cm="1">
        <f t="array" ref="J77">I77-VLOOKUP(B$2,H1:J210,2,FALSE)</f>
        <v>-7.6885880595277687</v>
      </c>
    </row>
    <row r="78" spans="1:10" ht="21.25" customHeight="1" x14ac:dyDescent="0.15">
      <c r="A78" s="10" t="s">
        <v>448</v>
      </c>
      <c r="B78" s="87" t="str" cm="1">
        <f t="array" ref="B78">VLOOKUP(A78,'The List'!B1:D671,3,FALSE)</f>
        <v>C,RW</v>
      </c>
      <c r="C78" s="88" cm="1">
        <f t="array" ref="C78">IF(Settings!$E$15="POINTS",RANK(E78,E3:E210),H78)</f>
        <v>63</v>
      </c>
      <c r="D78" s="18" t="str" cm="1">
        <f t="array" ref="D78">VLOOKUP(A78,'The List'!B1:F671,5,FALSE)</f>
        <v>DAL</v>
      </c>
      <c r="E78" s="55" cm="1">
        <f t="array" ref="E78">VLOOKUP(A78,'The List'!B1:I671,8,FALSE)</f>
        <v>2.4098861633475046</v>
      </c>
      <c r="F78" s="55" cm="1">
        <f t="array" ref="F78">IF(Settings!$E$15="POINTS",E78-VLOOKUP(B$2,C1:E210,3,FALSE),J78)</f>
        <v>-3.9501233942675595</v>
      </c>
      <c r="G78" s="55"/>
      <c r="H78" s="166" cm="1">
        <f t="array" ref="H78">RANK(I78,I3:I210)</f>
        <v>63</v>
      </c>
      <c r="I78" s="167" cm="1">
        <f t="array" ref="I78">VLOOKUP(A78,'Standard Deviations'!A1:C672,3,FALSE)</f>
        <v>2.4098861633475046</v>
      </c>
      <c r="J78" s="167" cm="1">
        <f t="array" ref="J78">I78-VLOOKUP(B$2,H1:J210,2,FALSE)</f>
        <v>-3.9501233942675595</v>
      </c>
    </row>
    <row r="79" spans="1:10" ht="21.25" customHeight="1" x14ac:dyDescent="0.15">
      <c r="A79" s="10" t="s">
        <v>420</v>
      </c>
      <c r="B79" s="87" t="str" cm="1">
        <f t="array" ref="B79">VLOOKUP(A79,'The List'!B1:D671,3,FALSE)</f>
        <v>C</v>
      </c>
      <c r="C79" s="88" cm="1">
        <f t="array" ref="C79">IF(Settings!$E$15="POINTS",RANK(E79,E3:E210),H79)</f>
        <v>98</v>
      </c>
      <c r="D79" s="18" t="str" cm="1">
        <f t="array" ref="D79">VLOOKUP(A79,'The List'!B1:F671,5,FALSE)</f>
        <v>PIT</v>
      </c>
      <c r="E79" s="55" cm="1">
        <f t="array" ref="E79">VLOOKUP(A79,'The List'!B1:I671,8,FALSE)</f>
        <v>-6.9349538817844794E-2</v>
      </c>
      <c r="F79" s="55" cm="1">
        <f t="array" ref="F79">IF(Settings!$E$15="POINTS",E79-VLOOKUP(B$2,C1:E210,3,FALSE),J79)</f>
        <v>-6.4293590964329086</v>
      </c>
      <c r="G79" s="55"/>
      <c r="H79" s="166" cm="1">
        <f t="array" ref="H79">RANK(I79,I3:I210)</f>
        <v>98</v>
      </c>
      <c r="I79" s="167" cm="1">
        <f t="array" ref="I79">VLOOKUP(A79,'Standard Deviations'!A1:C672,3,FALSE)</f>
        <v>-6.9349538817844794E-2</v>
      </c>
      <c r="J79" s="167" cm="1">
        <f t="array" ref="J79">I79-VLOOKUP(B$2,H1:J210,2,FALSE)</f>
        <v>-6.4293590964329086</v>
      </c>
    </row>
    <row r="80" spans="1:10" ht="21.25" customHeight="1" x14ac:dyDescent="0.15">
      <c r="A80" s="10" t="s">
        <v>452</v>
      </c>
      <c r="B80" s="87" t="str" cm="1">
        <f t="array" ref="B80">VLOOKUP(A80,'The List'!B1:D671,3,FALSE)</f>
        <v>C,RW</v>
      </c>
      <c r="C80" s="88" cm="1">
        <f t="array" ref="C80">IF(Settings!$E$15="POINTS",RANK(E80,E3:E210),H80)</f>
        <v>106</v>
      </c>
      <c r="D80" s="18" t="str" cm="1">
        <f t="array" ref="D80">VLOOKUP(A80,'The List'!B1:F671,5,FALSE)</f>
        <v>NYI</v>
      </c>
      <c r="E80" s="55" cm="1">
        <f t="array" ref="E80">VLOOKUP(A80,'The List'!B1:I671,8,FALSE)</f>
        <v>-0.47225503998160145</v>
      </c>
      <c r="F80" s="55" cm="1">
        <f t="array" ref="F80">IF(Settings!$E$15="POINTS",E80-VLOOKUP(B$2,C1:E210,3,FALSE),J80)</f>
        <v>-6.8322645975966658</v>
      </c>
      <c r="G80" s="55"/>
      <c r="H80" s="166" cm="1">
        <f t="array" ref="H80">RANK(I80,I3:I210)</f>
        <v>106</v>
      </c>
      <c r="I80" s="167" cm="1">
        <f t="array" ref="I80">VLOOKUP(A80,'Standard Deviations'!A1:C672,3,FALSE)</f>
        <v>-0.47225503998160145</v>
      </c>
      <c r="J80" s="167" cm="1">
        <f t="array" ref="J80">I80-VLOOKUP(B$2,H1:J210,2,FALSE)</f>
        <v>-6.8322645975966658</v>
      </c>
    </row>
    <row r="81" spans="1:10" ht="21.25" customHeight="1" x14ac:dyDescent="0.15">
      <c r="A81" s="10" t="s">
        <v>425</v>
      </c>
      <c r="B81" s="87" t="str" cm="1">
        <f t="array" ref="B81">VLOOKUP(A81,'The List'!B1:D671,3,FALSE)</f>
        <v>C</v>
      </c>
      <c r="C81" s="88" cm="1">
        <f t="array" ref="C81">IF(Settings!$E$15="POINTS",RANK(E81,E3:E210),H81)</f>
        <v>97</v>
      </c>
      <c r="D81" s="18" t="str" cm="1">
        <f t="array" ref="D81">VLOOKUP(A81,'The List'!B1:F671,5,FALSE)</f>
        <v>BOS</v>
      </c>
      <c r="E81" s="55" cm="1">
        <f t="array" ref="E81">VLOOKUP(A81,'The List'!B1:I671,8,FALSE)</f>
        <v>-5.458255523612765E-2</v>
      </c>
      <c r="F81" s="55" cm="1">
        <f t="array" ref="F81">IF(Settings!$E$15="POINTS",E81-VLOOKUP(B$2,C1:E210,3,FALSE),J81)</f>
        <v>-6.4145921128511922</v>
      </c>
      <c r="G81" s="55"/>
      <c r="H81" s="166" cm="1">
        <f t="array" ref="H81">RANK(I81,I3:I210)</f>
        <v>97</v>
      </c>
      <c r="I81" s="167" cm="1">
        <f t="array" ref="I81">VLOOKUP(A81,'Standard Deviations'!A1:C672,3,FALSE)</f>
        <v>-5.458255523612765E-2</v>
      </c>
      <c r="J81" s="167" cm="1">
        <f t="array" ref="J81">I81-VLOOKUP(B$2,H1:J210,2,FALSE)</f>
        <v>-6.4145921128511922</v>
      </c>
    </row>
    <row r="82" spans="1:10" ht="21.25" customHeight="1" x14ac:dyDescent="0.15">
      <c r="A82" s="10" t="s">
        <v>426</v>
      </c>
      <c r="B82" s="87" t="str" cm="1">
        <f t="array" ref="B82">VLOOKUP(A82,'The List'!B1:D671,3,FALSE)</f>
        <v>C</v>
      </c>
      <c r="C82" s="88" cm="1">
        <f t="array" ref="C82">IF(Settings!$E$15="POINTS",RANK(E82,E3:E210),H82)</f>
        <v>72</v>
      </c>
      <c r="D82" s="18" t="str" cm="1">
        <f t="array" ref="D82">VLOOKUP(A82,'The List'!B1:F671,5,FALSE)</f>
        <v>BOS</v>
      </c>
      <c r="E82" s="55" cm="1">
        <f t="array" ref="E82">VLOOKUP(A82,'The List'!B1:I671,8,FALSE)</f>
        <v>1.5077295014378802</v>
      </c>
      <c r="F82" s="55" cm="1">
        <f t="array" ref="F82">IF(Settings!$E$15="POINTS",E82-VLOOKUP(B$2,C1:E210,3,FALSE),J82)</f>
        <v>-4.8522800561771842</v>
      </c>
      <c r="G82" s="55"/>
      <c r="H82" s="166" cm="1">
        <f t="array" ref="H82">RANK(I82,I3:I210)</f>
        <v>72</v>
      </c>
      <c r="I82" s="167" cm="1">
        <f t="array" ref="I82">VLOOKUP(A82,'Standard Deviations'!A1:C672,3,FALSE)</f>
        <v>1.5077295014378802</v>
      </c>
      <c r="J82" s="167" cm="1">
        <f t="array" ref="J82">I82-VLOOKUP(B$2,H1:J210,2,FALSE)</f>
        <v>-4.8522800561771842</v>
      </c>
    </row>
    <row r="83" spans="1:10" ht="21.25" customHeight="1" x14ac:dyDescent="0.15">
      <c r="A83" s="10" t="s">
        <v>440</v>
      </c>
      <c r="B83" s="87" t="str" cm="1">
        <f t="array" ref="B83">VLOOKUP(A83,'The List'!B1:D671,3,FALSE)</f>
        <v>C</v>
      </c>
      <c r="C83" s="88" cm="1">
        <f t="array" ref="C83">IF(Settings!$E$15="POINTS",RANK(E83,E3:E210),H83)</f>
        <v>96</v>
      </c>
      <c r="D83" s="18" t="str" cm="1">
        <f t="array" ref="D83">VLOOKUP(A83,'The List'!B1:F671,5,FALSE)</f>
        <v>BUF</v>
      </c>
      <c r="E83" s="55" cm="1">
        <f t="array" ref="E83">VLOOKUP(A83,'The List'!B1:I671,8,FALSE)</f>
        <v>-2.7705415505515751E-2</v>
      </c>
      <c r="F83" s="55" cm="1">
        <f t="array" ref="F83">IF(Settings!$E$15="POINTS",E83-VLOOKUP(B$2,C1:E210,3,FALSE),J83)</f>
        <v>-6.3877149731205796</v>
      </c>
      <c r="G83" s="55"/>
      <c r="H83" s="166" cm="1">
        <f t="array" ref="H83">RANK(I83,I3:I210)</f>
        <v>96</v>
      </c>
      <c r="I83" s="167" cm="1">
        <f t="array" ref="I83">VLOOKUP(A83,'Standard Deviations'!A1:C672,3,FALSE)</f>
        <v>-2.7705415505515751E-2</v>
      </c>
      <c r="J83" s="167" cm="1">
        <f t="array" ref="J83">I83-VLOOKUP(B$2,H1:J210,2,FALSE)</f>
        <v>-6.3877149731205796</v>
      </c>
    </row>
    <row r="84" spans="1:10" ht="21.25" customHeight="1" x14ac:dyDescent="0.15">
      <c r="A84" s="10" t="s">
        <v>442</v>
      </c>
      <c r="B84" s="87" t="str" cm="1">
        <f t="array" ref="B84">VLOOKUP(A84,'The List'!B1:D671,3,FALSE)</f>
        <v>C</v>
      </c>
      <c r="C84" s="88" cm="1">
        <f t="array" ref="C84">IF(Settings!$E$15="POINTS",RANK(E84,E3:E210),H84)</f>
        <v>56</v>
      </c>
      <c r="D84" s="18" t="str" cm="1">
        <f t="array" ref="D84">VLOOKUP(A84,'The List'!B1:F671,5,FALSE)</f>
        <v>CBJ</v>
      </c>
      <c r="E84" s="55" cm="1">
        <f t="array" ref="E84">VLOOKUP(A84,'The List'!B1:I671,8,FALSE)</f>
        <v>2.7470006652397121</v>
      </c>
      <c r="F84" s="55" cm="1">
        <f t="array" ref="F84">IF(Settings!$E$15="POINTS",E84-VLOOKUP(B$2,C1:E210,3,FALSE),J84)</f>
        <v>-3.6130088923753521</v>
      </c>
      <c r="G84" s="55"/>
      <c r="H84" s="166" cm="1">
        <f t="array" ref="H84">RANK(I84,I3:I210)</f>
        <v>56</v>
      </c>
      <c r="I84" s="167" cm="1">
        <f t="array" ref="I84">VLOOKUP(A84,'Standard Deviations'!A1:C672,3,FALSE)</f>
        <v>2.7470006652397121</v>
      </c>
      <c r="J84" s="167" cm="1">
        <f t="array" ref="J84">I84-VLOOKUP(B$2,H1:J210,2,FALSE)</f>
        <v>-3.6130088923753521</v>
      </c>
    </row>
    <row r="85" spans="1:10" ht="21.25" customHeight="1" x14ac:dyDescent="0.15">
      <c r="A85" s="10" t="s">
        <v>469</v>
      </c>
      <c r="B85" s="87" t="str" cm="1">
        <f t="array" ref="B85">VLOOKUP(A85,'The List'!B1:D671,3,FALSE)</f>
        <v>C,RW</v>
      </c>
      <c r="C85" s="88" cm="1">
        <f t="array" ref="C85">IF(Settings!$E$15="POINTS",RANK(E85,E3:E210),H85)</f>
        <v>145</v>
      </c>
      <c r="D85" s="18" t="str" cm="1">
        <f t="array" ref="D85">VLOOKUP(A85,'The List'!B1:F671,5,FALSE)</f>
        <v>N.J</v>
      </c>
      <c r="E85" s="55" cm="1">
        <f t="array" ref="E85">VLOOKUP(A85,'The List'!B1:I671,8,FALSE)</f>
        <v>-1.7040895708625621</v>
      </c>
      <c r="F85" s="55" cm="1">
        <f t="array" ref="F85">IF(Settings!$E$15="POINTS",E85-VLOOKUP(B$2,C1:E210,3,FALSE),J85)</f>
        <v>-8.0640991284776256</v>
      </c>
      <c r="G85" s="55"/>
      <c r="H85" s="166" cm="1">
        <f t="array" ref="H85">RANK(I85,I3:I210)</f>
        <v>145</v>
      </c>
      <c r="I85" s="167" cm="1">
        <f t="array" ref="I85">VLOOKUP(A85,'Standard Deviations'!A1:C672,3,FALSE)</f>
        <v>-1.7040895708625621</v>
      </c>
      <c r="J85" s="167" cm="1">
        <f t="array" ref="J85">I85-VLOOKUP(B$2,H1:J210,2,FALSE)</f>
        <v>-8.0640991284776256</v>
      </c>
    </row>
    <row r="86" spans="1:10" ht="21.25" customHeight="1" x14ac:dyDescent="0.15">
      <c r="A86" s="10" t="s">
        <v>482</v>
      </c>
      <c r="B86" s="87" t="str" cm="1">
        <f t="array" ref="B86">VLOOKUP(A86,'The List'!B1:D671,3,FALSE)</f>
        <v>C,RW</v>
      </c>
      <c r="C86" s="88" cm="1">
        <f t="array" ref="C86">IF(Settings!$E$15="POINTS",RANK(E86,E3:E210),H86)</f>
        <v>81</v>
      </c>
      <c r="D86" s="18" t="str" cm="1">
        <f t="array" ref="D86">VLOOKUP(A86,'The List'!B1:F671,5,FALSE)</f>
        <v>NSH</v>
      </c>
      <c r="E86" s="55" cm="1">
        <f t="array" ref="E86">VLOOKUP(A86,'The List'!B1:I671,8,FALSE)</f>
        <v>0.62485121821834455</v>
      </c>
      <c r="F86" s="55" cm="1">
        <f t="array" ref="F86">IF(Settings!$E$15="POINTS",E86-VLOOKUP(B$2,C1:E210,3,FALSE),J86)</f>
        <v>-5.7351583393967198</v>
      </c>
      <c r="G86" s="55"/>
      <c r="H86" s="166" cm="1">
        <f t="array" ref="H86">RANK(I86,I3:I210)</f>
        <v>81</v>
      </c>
      <c r="I86" s="167" cm="1">
        <f t="array" ref="I86">VLOOKUP(A86,'Standard Deviations'!A1:C672,3,FALSE)</f>
        <v>0.62485121821834455</v>
      </c>
      <c r="J86" s="167" cm="1">
        <f t="array" ref="J86">I86-VLOOKUP(B$2,H1:J210,2,FALSE)</f>
        <v>-5.7351583393967198</v>
      </c>
    </row>
    <row r="87" spans="1:10" ht="21.25" customHeight="1" x14ac:dyDescent="0.15">
      <c r="A87" s="10" t="s">
        <v>498</v>
      </c>
      <c r="B87" s="87" t="str" cm="1">
        <f t="array" ref="B87">VLOOKUP(A87,'The List'!B1:D671,3,FALSE)</f>
        <v>C,LW</v>
      </c>
      <c r="C87" s="88" cm="1">
        <f t="array" ref="C87">IF(Settings!$E$15="POINTS",RANK(E87,E3:E210),H87)</f>
        <v>120</v>
      </c>
      <c r="D87" s="18" t="str" cm="1">
        <f t="array" ref="D87">VLOOKUP(A87,'The List'!B1:F671,5,FALSE)</f>
        <v>DET</v>
      </c>
      <c r="E87" s="55" cm="1">
        <f t="array" ref="E87">VLOOKUP(A87,'The List'!B1:I671,8,FALSE)</f>
        <v>-1.0872197422009546</v>
      </c>
      <c r="F87" s="55" cm="1">
        <f t="array" ref="F87">IF(Settings!$E$15="POINTS",E87-VLOOKUP(B$2,C1:E210,3,FALSE),J87)</f>
        <v>-7.4472292998160192</v>
      </c>
      <c r="G87" s="55"/>
      <c r="H87" s="166" cm="1">
        <f t="array" ref="H87">RANK(I87,I3:I210)</f>
        <v>120</v>
      </c>
      <c r="I87" s="167" cm="1">
        <f t="array" ref="I87">VLOOKUP(A87,'Standard Deviations'!A1:C672,3,FALSE)</f>
        <v>-1.0872197422009546</v>
      </c>
      <c r="J87" s="167" cm="1">
        <f t="array" ref="J87">I87-VLOOKUP(B$2,H1:J210,2,FALSE)</f>
        <v>-7.4472292998160192</v>
      </c>
    </row>
    <row r="88" spans="1:10" ht="21.25" customHeight="1" x14ac:dyDescent="0.15">
      <c r="A88" s="10" t="s">
        <v>489</v>
      </c>
      <c r="B88" s="87" t="str" cm="1">
        <f t="array" ref="B88">VLOOKUP(A88,'The List'!B1:D671,3,FALSE)</f>
        <v>C,RW</v>
      </c>
      <c r="C88" s="88" cm="1">
        <f t="array" ref="C88">IF(Settings!$E$15="POINTS",RANK(E88,E3:E210),H88)</f>
        <v>127</v>
      </c>
      <c r="D88" s="18" t="str" cm="1">
        <f t="array" ref="D88">VLOOKUP(A88,'The List'!B1:F671,5,FALSE)</f>
        <v>SEA</v>
      </c>
      <c r="E88" s="55" cm="1">
        <f t="array" ref="E88">VLOOKUP(A88,'The List'!B1:I671,8,FALSE)</f>
        <v>-1.2188232551746023</v>
      </c>
      <c r="F88" s="55" cm="1">
        <f t="array" ref="F88">IF(Settings!$E$15="POINTS",E88-VLOOKUP(B$2,C1:E210,3,FALSE),J88)</f>
        <v>-7.5788328127896669</v>
      </c>
      <c r="G88" s="55"/>
      <c r="H88" s="166" cm="1">
        <f t="array" ref="H88">RANK(I88,I3:I210)</f>
        <v>127</v>
      </c>
      <c r="I88" s="167" cm="1">
        <f t="array" ref="I88">VLOOKUP(A88,'Standard Deviations'!A1:C672,3,FALSE)</f>
        <v>-1.2188232551746023</v>
      </c>
      <c r="J88" s="167" cm="1">
        <f t="array" ref="J88">I88-VLOOKUP(B$2,H1:J210,2,FALSE)</f>
        <v>-7.5788328127896669</v>
      </c>
    </row>
    <row r="89" spans="1:10" ht="21.25" customHeight="1" x14ac:dyDescent="0.15">
      <c r="A89" s="10" t="s">
        <v>490</v>
      </c>
      <c r="B89" s="87" t="str" cm="1">
        <f t="array" ref="B89">VLOOKUP(A89,'The List'!B1:D671,3,FALSE)</f>
        <v>C,RW</v>
      </c>
      <c r="C89" s="88" cm="1">
        <f t="array" ref="C89">IF(Settings!$E$15="POINTS",RANK(E89,E3:E210),H89)</f>
        <v>84</v>
      </c>
      <c r="D89" s="18" t="str" cm="1">
        <f t="array" ref="D89">VLOOKUP(A89,'The List'!B1:F671,5,FALSE)</f>
        <v>EDM</v>
      </c>
      <c r="E89" s="55" cm="1">
        <f t="array" ref="E89">VLOOKUP(A89,'The List'!B1:I671,8,FALSE)</f>
        <v>0.45346267784411021</v>
      </c>
      <c r="F89" s="55" cm="1">
        <f t="array" ref="F89">IF(Settings!$E$15="POINTS",E89-VLOOKUP(B$2,C1:E210,3,FALSE),J89)</f>
        <v>-5.9065468797709535</v>
      </c>
      <c r="G89" s="55"/>
      <c r="H89" s="166" cm="1">
        <f t="array" ref="H89">RANK(I89,I3:I210)</f>
        <v>84</v>
      </c>
      <c r="I89" s="167" cm="1">
        <f t="array" ref="I89">VLOOKUP(A89,'Standard Deviations'!A1:C672,3,FALSE)</f>
        <v>0.45346267784411021</v>
      </c>
      <c r="J89" s="167" cm="1">
        <f t="array" ref="J89">I89-VLOOKUP(B$2,H1:J210,2,FALSE)</f>
        <v>-5.9065468797709535</v>
      </c>
    </row>
    <row r="90" spans="1:10" ht="21.25" customHeight="1" x14ac:dyDescent="0.15">
      <c r="A90" s="10" t="s">
        <v>473</v>
      </c>
      <c r="B90" s="87" t="str" cm="1">
        <f t="array" ref="B90">VLOOKUP(A90,'The List'!B1:D671,3,FALSE)</f>
        <v>C</v>
      </c>
      <c r="C90" s="88" cm="1">
        <f t="array" ref="C90">IF(Settings!$E$15="POINTS",RANK(E90,E3:E210),H90)</f>
        <v>137</v>
      </c>
      <c r="D90" s="18" t="str" cm="1">
        <f t="array" ref="D90">VLOOKUP(A90,'The List'!B1:F671,5,FALSE)</f>
        <v>PHI</v>
      </c>
      <c r="E90" s="55" cm="1">
        <f t="array" ref="E90">VLOOKUP(A90,'The List'!B1:I671,8,FALSE)</f>
        <v>-1.3604702784414373</v>
      </c>
      <c r="F90" s="55" cm="1">
        <f t="array" ref="F90">IF(Settings!$E$15="POINTS",E90-VLOOKUP(B$2,C1:E210,3,FALSE),J90)</f>
        <v>-7.7204798360565015</v>
      </c>
      <c r="G90" s="55"/>
      <c r="H90" s="166" cm="1">
        <f t="array" ref="H90">RANK(I90,I3:I210)</f>
        <v>137</v>
      </c>
      <c r="I90" s="167" cm="1">
        <f t="array" ref="I90">VLOOKUP(A90,'Standard Deviations'!A1:C672,3,FALSE)</f>
        <v>-1.3604702784414373</v>
      </c>
      <c r="J90" s="167" cm="1">
        <f t="array" ref="J90">I90-VLOOKUP(B$2,H1:J210,2,FALSE)</f>
        <v>-7.7204798360565015</v>
      </c>
    </row>
    <row r="91" spans="1:10" ht="21.25" customHeight="1" x14ac:dyDescent="0.15">
      <c r="A91" s="10" t="s">
        <v>475</v>
      </c>
      <c r="B91" s="87" t="str" cm="1">
        <f t="array" ref="B91">VLOOKUP(A91,'The List'!B1:D671,3,FALSE)</f>
        <v>C</v>
      </c>
      <c r="C91" s="88" cm="1">
        <f t="array" ref="C91">IF(Settings!$E$15="POINTS",RANK(E91,E3:E210),H91)</f>
        <v>168</v>
      </c>
      <c r="D91" s="18" t="str" cm="1">
        <f t="array" ref="D91">VLOOKUP(A91,'The List'!B1:F671,5,FALSE)</f>
        <v>CGY</v>
      </c>
      <c r="E91" s="55" cm="1">
        <f t="array" ref="E91">VLOOKUP(A91,'The List'!B1:I671,8,FALSE)</f>
        <v>-2.7062861341832996</v>
      </c>
      <c r="F91" s="55" cm="1">
        <f t="array" ref="F91">IF(Settings!$E$15="POINTS",E91-VLOOKUP(B$2,C1:E210,3,FALSE),J91)</f>
        <v>-9.0662956917983628</v>
      </c>
      <c r="G91" s="55"/>
      <c r="H91" s="166" cm="1">
        <f t="array" ref="H91">RANK(I91,I3:I210)</f>
        <v>168</v>
      </c>
      <c r="I91" s="167" cm="1">
        <f t="array" ref="I91">VLOOKUP(A91,'Standard Deviations'!A1:C672,3,FALSE)</f>
        <v>-2.7062861341832996</v>
      </c>
      <c r="J91" s="167" cm="1">
        <f t="array" ref="J91">I91-VLOOKUP(B$2,H1:J210,2,FALSE)</f>
        <v>-9.0662956917983628</v>
      </c>
    </row>
    <row r="92" spans="1:10" ht="21.25" customHeight="1" x14ac:dyDescent="0.15">
      <c r="A92" s="10" t="s">
        <v>518</v>
      </c>
      <c r="B92" s="87" t="str" cm="1">
        <f t="array" ref="B92">VLOOKUP(A92,'The List'!B1:D671,3,FALSE)</f>
        <v>C,LW,RW</v>
      </c>
      <c r="C92" s="88" cm="1">
        <f t="array" ref="C92">IF(Settings!$E$15="POINTS",RANK(E92,E3:E210),H92)</f>
        <v>87</v>
      </c>
      <c r="D92" s="18" t="str" cm="1">
        <f t="array" ref="D92">VLOOKUP(A92,'The List'!B1:F671,5,FALSE)</f>
        <v>OTT</v>
      </c>
      <c r="E92" s="55" cm="1">
        <f t="array" ref="E92">VLOOKUP(A92,'The List'!B1:I671,8,FALSE)</f>
        <v>0.24881976396979089</v>
      </c>
      <c r="F92" s="55" cm="1">
        <f t="array" ref="F92">IF(Settings!$E$15="POINTS",E92-VLOOKUP(B$2,C1:E210,3,FALSE),J92)</f>
        <v>-6.1111897936452735</v>
      </c>
      <c r="G92" s="55"/>
      <c r="H92" s="166" cm="1">
        <f t="array" ref="H92">RANK(I92,I3:I210)</f>
        <v>87</v>
      </c>
      <c r="I92" s="167" cm="1">
        <f t="array" ref="I92">VLOOKUP(A92,'Standard Deviations'!A1:C672,3,FALSE)</f>
        <v>0.24881976396979089</v>
      </c>
      <c r="J92" s="167" cm="1">
        <f t="array" ref="J92">I92-VLOOKUP(B$2,H1:J210,2,FALSE)</f>
        <v>-6.1111897936452735</v>
      </c>
    </row>
    <row r="93" spans="1:10" ht="21.25" customHeight="1" x14ac:dyDescent="0.15">
      <c r="A93" s="10" t="s">
        <v>521</v>
      </c>
      <c r="B93" s="87" t="str" cm="1">
        <f t="array" ref="B93">VLOOKUP(A93,'The List'!B1:D671,3,FALSE)</f>
        <v>C,LW,RW</v>
      </c>
      <c r="C93" s="88" cm="1">
        <f t="array" ref="C93">IF(Settings!$E$15="POINTS",RANK(E93,E3:E210),H93)</f>
        <v>176</v>
      </c>
      <c r="D93" s="18" t="str" cm="1">
        <f t="array" ref="D93">VLOOKUP(A93,'The List'!B1:F671,5,FALSE)</f>
        <v>CGY</v>
      </c>
      <c r="E93" s="55" cm="1">
        <f t="array" ref="E93">VLOOKUP(A93,'The List'!B1:I671,8,FALSE)</f>
        <v>-3.0471179319455439</v>
      </c>
      <c r="F93" s="55" cm="1">
        <f t="array" ref="F93">IF(Settings!$E$15="POINTS",E93-VLOOKUP(B$2,C1:E210,3,FALSE),J93)</f>
        <v>-9.4071274895606081</v>
      </c>
      <c r="G93" s="55"/>
      <c r="H93" s="166" cm="1">
        <f t="array" ref="H93">RANK(I93,I3:I210)</f>
        <v>176</v>
      </c>
      <c r="I93" s="167" cm="1">
        <f t="array" ref="I93">VLOOKUP(A93,'Standard Deviations'!A1:C672,3,FALSE)</f>
        <v>-3.0471179319455439</v>
      </c>
      <c r="J93" s="167" cm="1">
        <f t="array" ref="J93">I93-VLOOKUP(B$2,H1:J210,2,FALSE)</f>
        <v>-9.4071274895606081</v>
      </c>
    </row>
    <row r="94" spans="1:10" ht="21.25" customHeight="1" x14ac:dyDescent="0.15">
      <c r="A94" s="10" t="s">
        <v>503</v>
      </c>
      <c r="B94" s="87" t="str" cm="1">
        <f t="array" ref="B94">VLOOKUP(A94,'The List'!B1:D671,3,FALSE)</f>
        <v>C</v>
      </c>
      <c r="C94" s="88" cm="1">
        <f t="array" ref="C94">IF(Settings!$E$15="POINTS",RANK(E94,E3:E210),H94)</f>
        <v>90</v>
      </c>
      <c r="D94" s="18" t="str" cm="1">
        <f t="array" ref="D94">VLOOKUP(A94,'The List'!B1:F671,5,FALSE)</f>
        <v>CBJ</v>
      </c>
      <c r="E94" s="55" cm="1">
        <f t="array" ref="E94">VLOOKUP(A94,'The List'!B1:I671,8,FALSE)</f>
        <v>0.11555335280860674</v>
      </c>
      <c r="F94" s="55" cm="1">
        <f t="array" ref="F94">IF(Settings!$E$15="POINTS",E94-VLOOKUP(B$2,C1:E210,3,FALSE),J94)</f>
        <v>-6.2444562048064576</v>
      </c>
      <c r="G94" s="55"/>
      <c r="H94" s="166" cm="1">
        <f t="array" ref="H94">RANK(I94,I3:I210)</f>
        <v>90</v>
      </c>
      <c r="I94" s="167" cm="1">
        <f t="array" ref="I94">VLOOKUP(A94,'Standard Deviations'!A1:C672,3,FALSE)</f>
        <v>0.11555335280860674</v>
      </c>
      <c r="J94" s="167" cm="1">
        <f t="array" ref="J94">I94-VLOOKUP(B$2,H1:J210,2,FALSE)</f>
        <v>-6.2444562048064576</v>
      </c>
    </row>
    <row r="95" spans="1:10" ht="21.25" customHeight="1" x14ac:dyDescent="0.15">
      <c r="A95" s="10" t="s">
        <v>537</v>
      </c>
      <c r="B95" s="87" t="str" cm="1">
        <f t="array" ref="B95">VLOOKUP(A95,'The List'!B1:D671,3,FALSE)</f>
        <v>C,LW</v>
      </c>
      <c r="C95" s="88" cm="1">
        <f t="array" ref="C95">IF(Settings!$E$15="POINTS",RANK(E95,E3:E210),H95)</f>
        <v>78</v>
      </c>
      <c r="D95" s="18" t="str" cm="1">
        <f t="array" ref="D95">VLOOKUP(A95,'The List'!B1:F671,5,FALSE)</f>
        <v>NSH</v>
      </c>
      <c r="E95" s="55" cm="1">
        <f t="array" ref="E95">VLOOKUP(A95,'The List'!B1:I671,8,FALSE)</f>
        <v>0.77160668474823146</v>
      </c>
      <c r="F95" s="55" cm="1">
        <f t="array" ref="F95">IF(Settings!$E$15="POINTS",E95-VLOOKUP(B$2,C1:E210,3,FALSE),J95)</f>
        <v>-5.5884028728668325</v>
      </c>
      <c r="G95" s="55"/>
      <c r="H95" s="166" cm="1">
        <f t="array" ref="H95">RANK(I95,I3:I210)</f>
        <v>78</v>
      </c>
      <c r="I95" s="167" cm="1">
        <f t="array" ref="I95">VLOOKUP(A95,'Standard Deviations'!A1:C672,3,FALSE)</f>
        <v>0.77160668474823146</v>
      </c>
      <c r="J95" s="167" cm="1">
        <f t="array" ref="J95">I95-VLOOKUP(B$2,H1:J210,2,FALSE)</f>
        <v>-5.5884028728668325</v>
      </c>
    </row>
    <row r="96" spans="1:10" ht="21.25" customHeight="1" x14ac:dyDescent="0.15">
      <c r="A96" s="10" t="s">
        <v>539</v>
      </c>
      <c r="B96" s="87" t="str" cm="1">
        <f t="array" ref="B96">VLOOKUP(A96,'The List'!B1:D671,3,FALSE)</f>
        <v>C,LW</v>
      </c>
      <c r="C96" s="88" cm="1">
        <f t="array" ref="C96">IF(Settings!$E$15="POINTS",RANK(E96,E3:E210),H96)</f>
        <v>70</v>
      </c>
      <c r="D96" s="18" t="str" cm="1">
        <f t="array" ref="D96">VLOOKUP(A96,'The List'!B1:F671,5,FALSE)</f>
        <v>DET</v>
      </c>
      <c r="E96" s="55" cm="1">
        <f t="array" ref="E96">VLOOKUP(A96,'The List'!B1:I671,8,FALSE)</f>
        <v>1.7602687179570573</v>
      </c>
      <c r="F96" s="55" cm="1">
        <f t="array" ref="F96">IF(Settings!$E$15="POINTS",E96-VLOOKUP(B$2,C1:E210,3,FALSE),J96)</f>
        <v>-4.5997408396580068</v>
      </c>
      <c r="G96" s="55"/>
      <c r="H96" s="166" cm="1">
        <f t="array" ref="H96">RANK(I96,I3:I210)</f>
        <v>70</v>
      </c>
      <c r="I96" s="167" cm="1">
        <f t="array" ref="I96">VLOOKUP(A96,'Standard Deviations'!A1:C672,3,FALSE)</f>
        <v>1.7602687179570573</v>
      </c>
      <c r="J96" s="167" cm="1">
        <f t="array" ref="J96">I96-VLOOKUP(B$2,H1:J210,2,FALSE)</f>
        <v>-4.5997408396580068</v>
      </c>
    </row>
    <row r="97" spans="1:10" ht="21.25" customHeight="1" x14ac:dyDescent="0.15">
      <c r="A97" s="10" t="s">
        <v>541</v>
      </c>
      <c r="B97" s="87" t="str" cm="1">
        <f t="array" ref="B97">VLOOKUP(A97,'The List'!B1:D671,3,FALSE)</f>
        <v>C,LW</v>
      </c>
      <c r="C97" s="88" cm="1">
        <f t="array" ref="C97">IF(Settings!$E$15="POINTS",RANK(E97,E3:E210),H97)</f>
        <v>119</v>
      </c>
      <c r="D97" s="18" t="str" cm="1">
        <f t="array" ref="D97">VLOOKUP(A97,'The List'!B1:F671,5,FALSE)</f>
        <v>PIT</v>
      </c>
      <c r="E97" s="55" cm="1">
        <f t="array" ref="E97">VLOOKUP(A97,'The List'!B1:I671,8,FALSE)</f>
        <v>-1.0781224379880312</v>
      </c>
      <c r="F97" s="55" cm="1">
        <f t="array" ref="F97">IF(Settings!$E$15="POINTS",E97-VLOOKUP(B$2,C1:E210,3,FALSE),J97)</f>
        <v>-7.4381319956030953</v>
      </c>
      <c r="G97" s="55"/>
      <c r="H97" s="166" cm="1">
        <f t="array" ref="H97">RANK(I97,I3:I210)</f>
        <v>119</v>
      </c>
      <c r="I97" s="167" cm="1">
        <f t="array" ref="I97">VLOOKUP(A97,'Standard Deviations'!A1:C672,3,FALSE)</f>
        <v>-1.0781224379880312</v>
      </c>
      <c r="J97" s="167" cm="1">
        <f t="array" ref="J97">I97-VLOOKUP(B$2,H1:J210,2,FALSE)</f>
        <v>-7.4381319956030953</v>
      </c>
    </row>
    <row r="98" spans="1:10" ht="21.25" customHeight="1" x14ac:dyDescent="0.15">
      <c r="A98" s="10" t="s">
        <v>516</v>
      </c>
      <c r="B98" s="87" t="str" cm="1">
        <f t="array" ref="B98">VLOOKUP(A98,'The List'!B1:D671,3,FALSE)</f>
        <v>C</v>
      </c>
      <c r="C98" s="88" cm="1">
        <f t="array" ref="C98">IF(Settings!$E$15="POINTS",RANK(E98,E3:E210),H98)</f>
        <v>91</v>
      </c>
      <c r="D98" s="18" t="str" cm="1">
        <f t="array" ref="D98">VLOOKUP(A98,'The List'!B1:F671,5,FALSE)</f>
        <v>BUF</v>
      </c>
      <c r="E98" s="55" cm="1">
        <f t="array" ref="E98">VLOOKUP(A98,'The List'!B1:I671,8,FALSE)</f>
        <v>8.5333851978878453E-2</v>
      </c>
      <c r="F98" s="55" cm="1">
        <f t="array" ref="F98">IF(Settings!$E$15="POINTS",E98-VLOOKUP(B$2,C1:E210,3,FALSE),J98)</f>
        <v>-6.2746757056361853</v>
      </c>
      <c r="G98" s="55"/>
      <c r="H98" s="166" cm="1">
        <f t="array" ref="H98">RANK(I98,I3:I210)</f>
        <v>91</v>
      </c>
      <c r="I98" s="167" cm="1">
        <f t="array" ref="I98">VLOOKUP(A98,'Standard Deviations'!A1:C672,3,FALSE)</f>
        <v>8.5333851978878453E-2</v>
      </c>
      <c r="J98" s="167" cm="1">
        <f t="array" ref="J98">I98-VLOOKUP(B$2,H1:J210,2,FALSE)</f>
        <v>-6.2746757056361853</v>
      </c>
    </row>
    <row r="99" spans="1:10" ht="21.25" customHeight="1" x14ac:dyDescent="0.15">
      <c r="A99" s="10" t="s">
        <v>551</v>
      </c>
      <c r="B99" s="87" t="str" cm="1">
        <f t="array" ref="B99">VLOOKUP(A99,'The List'!B1:D671,3,FALSE)</f>
        <v>C,RW</v>
      </c>
      <c r="C99" s="88" cm="1">
        <f t="array" ref="C99">IF(Settings!$E$15="POINTS",RANK(E99,E3:E210),H99)</f>
        <v>86</v>
      </c>
      <c r="D99" s="18" t="str" cm="1">
        <f t="array" ref="D99">VLOOKUP(A99,'The List'!B1:F671,5,FALSE)</f>
        <v>TOR</v>
      </c>
      <c r="E99" s="55" cm="1">
        <f t="array" ref="E99">VLOOKUP(A99,'The List'!B1:I671,8,FALSE)</f>
        <v>0.31408262778479779</v>
      </c>
      <c r="F99" s="55" cm="1">
        <f t="array" ref="F99">IF(Settings!$E$15="POINTS",E99-VLOOKUP(B$2,C1:E210,3,FALSE),J99)</f>
        <v>-6.0459269298302667</v>
      </c>
      <c r="G99" s="55"/>
      <c r="H99" s="166" cm="1">
        <f t="array" ref="H99">RANK(I99,I3:I210)</f>
        <v>86</v>
      </c>
      <c r="I99" s="167" cm="1">
        <f t="array" ref="I99">VLOOKUP(A99,'Standard Deviations'!A1:C672,3,FALSE)</f>
        <v>0.31408262778479779</v>
      </c>
      <c r="J99" s="167" cm="1">
        <f t="array" ref="J99">I99-VLOOKUP(B$2,H1:J210,2,FALSE)</f>
        <v>-6.0459269298302667</v>
      </c>
    </row>
    <row r="100" spans="1:10" ht="21.25" customHeight="1" x14ac:dyDescent="0.15">
      <c r="A100" s="10" t="s">
        <v>553</v>
      </c>
      <c r="B100" s="87" t="str" cm="1">
        <f t="array" ref="B100">VLOOKUP(A100,'The List'!B1:D671,3,FALSE)</f>
        <v>C,LW,RW</v>
      </c>
      <c r="C100" s="88" cm="1">
        <f t="array" ref="C100">IF(Settings!$E$15="POINTS",RANK(E100,E3:E210),H100)</f>
        <v>101</v>
      </c>
      <c r="D100" s="18" t="str" cm="1">
        <f t="array" ref="D100">VLOOKUP(A100,'The List'!B1:F671,5,FALSE)</f>
        <v>OTT</v>
      </c>
      <c r="E100" s="55" cm="1">
        <f t="array" ref="E100">VLOOKUP(A100,'The List'!B1:I671,8,FALSE)</f>
        <v>-0.23543836571466814</v>
      </c>
      <c r="F100" s="55" cm="1">
        <f t="array" ref="F100">IF(Settings!$E$15="POINTS",E100-VLOOKUP(B$2,C1:E210,3,FALSE),J100)</f>
        <v>-6.5954479233297327</v>
      </c>
      <c r="G100" s="55"/>
      <c r="H100" s="166" cm="1">
        <f t="array" ref="H100">RANK(I100,I3:I210)</f>
        <v>101</v>
      </c>
      <c r="I100" s="167" cm="1">
        <f t="array" ref="I100">VLOOKUP(A100,'Standard Deviations'!A1:C672,3,FALSE)</f>
        <v>-0.23543836571466814</v>
      </c>
      <c r="J100" s="167" cm="1">
        <f t="array" ref="J100">I100-VLOOKUP(B$2,H1:J210,2,FALSE)</f>
        <v>-6.5954479233297327</v>
      </c>
    </row>
    <row r="101" spans="1:10" ht="21.25" customHeight="1" x14ac:dyDescent="0.15">
      <c r="A101" s="10" t="s">
        <v>566</v>
      </c>
      <c r="B101" s="87" t="str" cm="1">
        <f t="array" ref="B101">VLOOKUP(A101,'The List'!B1:D671,3,FALSE)</f>
        <v>C,LW</v>
      </c>
      <c r="C101" s="88" cm="1">
        <f t="array" ref="C101">IF(Settings!$E$15="POINTS",RANK(E101,E3:E210),H101)</f>
        <v>93</v>
      </c>
      <c r="D101" s="18" t="str" cm="1">
        <f t="array" ref="D101">VLOOKUP(A101,'The List'!B1:F671,5,FALSE)</f>
        <v>NYI</v>
      </c>
      <c r="E101" s="55" cm="1">
        <f t="array" ref="E101">VLOOKUP(A101,'The List'!B1:I671,8,FALSE)</f>
        <v>4.1407157569736119E-2</v>
      </c>
      <c r="F101" s="55" cm="1">
        <f t="array" ref="F101">IF(Settings!$E$15="POINTS",E101-VLOOKUP(B$2,C1:E210,3,FALSE),J101)</f>
        <v>-6.3186024000453278</v>
      </c>
      <c r="G101" s="55"/>
      <c r="H101" s="166" cm="1">
        <f t="array" ref="H101">RANK(I101,I3:I210)</f>
        <v>93</v>
      </c>
      <c r="I101" s="167" cm="1">
        <f t="array" ref="I101">VLOOKUP(A101,'Standard Deviations'!A1:C672,3,FALSE)</f>
        <v>4.1407157569736119E-2</v>
      </c>
      <c r="J101" s="167" cm="1">
        <f t="array" ref="J101">I101-VLOOKUP(B$2,H1:J210,2,FALSE)</f>
        <v>-6.3186024000453278</v>
      </c>
    </row>
    <row r="102" spans="1:10" ht="21.25" customHeight="1" x14ac:dyDescent="0.15">
      <c r="A102" s="10" t="s">
        <v>532</v>
      </c>
      <c r="B102" s="87" t="str" cm="1">
        <f t="array" ref="B102">VLOOKUP(A102,'The List'!B1:D671,3,FALSE)</f>
        <v>C</v>
      </c>
      <c r="C102" s="88" cm="1">
        <f t="array" ref="C102">IF(Settings!$E$15="POINTS",RANK(E102,E3:E210),H102)</f>
        <v>167</v>
      </c>
      <c r="D102" s="18" t="str" cm="1">
        <f t="array" ref="D102">VLOOKUP(A102,'The List'!B1:F671,5,FALSE)</f>
        <v>ANA</v>
      </c>
      <c r="E102" s="55" cm="1">
        <f t="array" ref="E102">VLOOKUP(A102,'The List'!B1:I671,8,FALSE)</f>
        <v>-2.6738521194252218</v>
      </c>
      <c r="F102" s="55" cm="1">
        <f t="array" ref="F102">IF(Settings!$E$15="POINTS",E102-VLOOKUP(B$2,C1:E210,3,FALSE),J102)</f>
        <v>-9.0338616770402851</v>
      </c>
      <c r="G102" s="55"/>
      <c r="H102" s="166" cm="1">
        <f t="array" ref="H102">RANK(I102,I3:I210)</f>
        <v>167</v>
      </c>
      <c r="I102" s="167" cm="1">
        <f t="array" ref="I102">VLOOKUP(A102,'Standard Deviations'!A1:C672,3,FALSE)</f>
        <v>-2.6738521194252218</v>
      </c>
      <c r="J102" s="167" cm="1">
        <f t="array" ref="J102">I102-VLOOKUP(B$2,H1:J210,2,FALSE)</f>
        <v>-9.0338616770402851</v>
      </c>
    </row>
    <row r="103" spans="1:10" ht="21.25" customHeight="1" x14ac:dyDescent="0.15">
      <c r="A103" s="10" t="s">
        <v>570</v>
      </c>
      <c r="B103" s="87" t="str" cm="1">
        <f t="array" ref="B103">VLOOKUP(A103,'The List'!B1:D671,3,FALSE)</f>
        <v>C,LW</v>
      </c>
      <c r="C103" s="88" cm="1">
        <f t="array" ref="C103">IF(Settings!$E$15="POINTS",RANK(E103,E3:E210),H103)</f>
        <v>142</v>
      </c>
      <c r="D103" s="18" t="str" cm="1">
        <f t="array" ref="D103">VLOOKUP(A103,'The List'!B1:F671,5,FALSE)</f>
        <v>BOS</v>
      </c>
      <c r="E103" s="55" cm="1">
        <f t="array" ref="E103">VLOOKUP(A103,'The List'!B1:I671,8,FALSE)</f>
        <v>-1.5396413667959146</v>
      </c>
      <c r="F103" s="55" cm="1">
        <f t="array" ref="F103">IF(Settings!$E$15="POINTS",E103-VLOOKUP(B$2,C1:E210,3,FALSE),J103)</f>
        <v>-7.8996509244109792</v>
      </c>
      <c r="G103" s="55"/>
      <c r="H103" s="166" cm="1">
        <f t="array" ref="H103">RANK(I103,I3:I210)</f>
        <v>142</v>
      </c>
      <c r="I103" s="167" cm="1">
        <f t="array" ref="I103">VLOOKUP(A103,'Standard Deviations'!A1:C672,3,FALSE)</f>
        <v>-1.5396413667959146</v>
      </c>
      <c r="J103" s="167" cm="1">
        <f t="array" ref="J103">I103-VLOOKUP(B$2,H1:J210,2,FALSE)</f>
        <v>-7.8996509244109792</v>
      </c>
    </row>
    <row r="104" spans="1:10" ht="21.25" customHeight="1" x14ac:dyDescent="0.15">
      <c r="A104" s="10" t="s">
        <v>538</v>
      </c>
      <c r="B104" s="87" t="str" cm="1">
        <f t="array" ref="B104">VLOOKUP(A104,'The List'!B1:D671,3,FALSE)</f>
        <v>C</v>
      </c>
      <c r="C104" s="88" cm="1">
        <f t="array" ref="C104">IF(Settings!$E$15="POINTS",RANK(E104,E3:E210),H104)</f>
        <v>82</v>
      </c>
      <c r="D104" s="18" t="str" cm="1">
        <f t="array" ref="D104">VLOOKUP(A104,'The List'!B1:F671,5,FALSE)</f>
        <v>PHI</v>
      </c>
      <c r="E104" s="55" cm="1">
        <f t="array" ref="E104">VLOOKUP(A104,'The List'!B1:I671,8,FALSE)</f>
        <v>0.53333738844142942</v>
      </c>
      <c r="F104" s="55" cm="1">
        <f t="array" ref="F104">IF(Settings!$E$15="POINTS",E104-VLOOKUP(B$2,C1:E210,3,FALSE),J104)</f>
        <v>-5.8266721691736345</v>
      </c>
      <c r="G104" s="55"/>
      <c r="H104" s="166" cm="1">
        <f t="array" ref="H104">RANK(I104,I3:I210)</f>
        <v>82</v>
      </c>
      <c r="I104" s="167" cm="1">
        <f t="array" ref="I104">VLOOKUP(A104,'Standard Deviations'!A1:C672,3,FALSE)</f>
        <v>0.53333738844142942</v>
      </c>
      <c r="J104" s="167" cm="1">
        <f t="array" ref="J104">I104-VLOOKUP(B$2,H1:J210,2,FALSE)</f>
        <v>-5.8266721691736345</v>
      </c>
    </row>
    <row r="105" spans="1:10" ht="21.25" customHeight="1" x14ac:dyDescent="0.15">
      <c r="A105" s="10" t="s">
        <v>545</v>
      </c>
      <c r="B105" s="87" t="str" cm="1">
        <f t="array" ref="B105">VLOOKUP(A105,'The List'!B1:D671,3,FALSE)</f>
        <v>C</v>
      </c>
      <c r="C105" s="88" cm="1">
        <f t="array" ref="C105">IF(Settings!$E$15="POINTS",RANK(E105,E3:E210),H105)</f>
        <v>134</v>
      </c>
      <c r="D105" s="18" t="str" cm="1">
        <f t="array" ref="D105">VLOOKUP(A105,'The List'!B1:F671,5,FALSE)</f>
        <v>BUF</v>
      </c>
      <c r="E105" s="55" cm="1">
        <f t="array" ref="E105">VLOOKUP(A105,'The List'!B1:I671,8,FALSE)</f>
        <v>-1.3274487032188691</v>
      </c>
      <c r="F105" s="55" cm="1">
        <f t="array" ref="F105">IF(Settings!$E$15="POINTS",E105-VLOOKUP(B$2,C1:E210,3,FALSE),J105)</f>
        <v>-7.6874582608339335</v>
      </c>
      <c r="G105" s="55"/>
      <c r="H105" s="166" cm="1">
        <f t="array" ref="H105">RANK(I105,I3:I210)</f>
        <v>134</v>
      </c>
      <c r="I105" s="167" cm="1">
        <f t="array" ref="I105">VLOOKUP(A105,'Standard Deviations'!A1:C672,3,FALSE)</f>
        <v>-1.3274487032188691</v>
      </c>
      <c r="J105" s="167" cm="1">
        <f t="array" ref="J105">I105-VLOOKUP(B$2,H1:J210,2,FALSE)</f>
        <v>-7.6874582608339335</v>
      </c>
    </row>
    <row r="106" spans="1:10" ht="21.25" customHeight="1" x14ac:dyDescent="0.15">
      <c r="A106" s="10" t="s">
        <v>579</v>
      </c>
      <c r="B106" s="87" t="str" cm="1">
        <f t="array" ref="B106">VLOOKUP(A106,'The List'!B1:D671,3,FALSE)</f>
        <v>C,LW</v>
      </c>
      <c r="C106" s="88" cm="1">
        <f t="array" ref="C106">IF(Settings!$E$15="POINTS",RANK(E106,E3:E210),H106)</f>
        <v>88</v>
      </c>
      <c r="D106" s="18" t="str" cm="1">
        <f t="array" ref="D106">VLOOKUP(A106,'The List'!B1:F671,5,FALSE)</f>
        <v>DET</v>
      </c>
      <c r="E106" s="55" cm="1">
        <f t="array" ref="E106">VLOOKUP(A106,'The List'!B1:I671,8,FALSE)</f>
        <v>0.18515986298906389</v>
      </c>
      <c r="F106" s="55" cm="1">
        <f t="array" ref="F106">IF(Settings!$E$15="POINTS",E106-VLOOKUP(B$2,C1:E210,3,FALSE),J106)</f>
        <v>-6.1748496946260003</v>
      </c>
      <c r="G106" s="55"/>
      <c r="H106" s="166" cm="1">
        <f t="array" ref="H106">RANK(I106,I3:I210)</f>
        <v>88</v>
      </c>
      <c r="I106" s="167" cm="1">
        <f t="array" ref="I106">VLOOKUP(A106,'Standard Deviations'!A1:C672,3,FALSE)</f>
        <v>0.18515986298906389</v>
      </c>
      <c r="J106" s="167" cm="1">
        <f t="array" ref="J106">I106-VLOOKUP(B$2,H1:J210,2,FALSE)</f>
        <v>-6.1748496946260003</v>
      </c>
    </row>
    <row r="107" spans="1:10" ht="21.25" customHeight="1" x14ac:dyDescent="0.15">
      <c r="A107" s="10" t="s">
        <v>573</v>
      </c>
      <c r="B107" s="87" t="str" cm="1">
        <f t="array" ref="B107">VLOOKUP(A107,'The List'!B1:D671,3,FALSE)</f>
        <v>C,RW</v>
      </c>
      <c r="C107" s="88" cm="1">
        <f t="array" ref="C107">IF(Settings!$E$15="POINTS",RANK(E107,E3:E210),H107)</f>
        <v>117</v>
      </c>
      <c r="D107" s="18" t="str" cm="1">
        <f t="array" ref="D107">VLOOKUP(A107,'The List'!B1:F671,5,FALSE)</f>
        <v>CBJ</v>
      </c>
      <c r="E107" s="55" cm="1">
        <f t="array" ref="E107">VLOOKUP(A107,'The List'!B1:I671,8,FALSE)</f>
        <v>-0.95055809431372806</v>
      </c>
      <c r="F107" s="55" cm="1">
        <f t="array" ref="F107">IF(Settings!$E$15="POINTS",E107-VLOOKUP(B$2,C1:E210,3,FALSE),J107)</f>
        <v>-7.3105676519287925</v>
      </c>
      <c r="G107" s="55"/>
      <c r="H107" s="166" cm="1">
        <f t="array" ref="H107">RANK(I107,I3:I210)</f>
        <v>117</v>
      </c>
      <c r="I107" s="167" cm="1">
        <f t="array" ref="I107">VLOOKUP(A107,'Standard Deviations'!A1:C672,3,FALSE)</f>
        <v>-0.95055809431372806</v>
      </c>
      <c r="J107" s="167" cm="1">
        <f t="array" ref="J107">I107-VLOOKUP(B$2,H1:J210,2,FALSE)</f>
        <v>-7.3105676519287925</v>
      </c>
    </row>
    <row r="108" spans="1:10" ht="21.25" customHeight="1" x14ac:dyDescent="0.15">
      <c r="A108" s="10" t="s">
        <v>555</v>
      </c>
      <c r="B108" s="87" t="str" cm="1">
        <f t="array" ref="B108">VLOOKUP(A108,'The List'!B1:D671,3,FALSE)</f>
        <v>C</v>
      </c>
      <c r="C108" s="88" cm="1">
        <f t="array" ref="C108">IF(Settings!$E$15="POINTS",RANK(E108,E3:E210),H108)</f>
        <v>125</v>
      </c>
      <c r="D108" s="18" t="str" cm="1">
        <f t="array" ref="D108">VLOOKUP(A108,'The List'!B1:F671,5,FALSE)</f>
        <v>BUF</v>
      </c>
      <c r="E108" s="55" cm="1">
        <f t="array" ref="E108">VLOOKUP(A108,'The List'!B1:I671,8,FALSE)</f>
        <v>-1.2003558507675713</v>
      </c>
      <c r="F108" s="55" cm="1">
        <f t="array" ref="F108">IF(Settings!$E$15="POINTS",E108-VLOOKUP(B$2,C1:E210,3,FALSE),J108)</f>
        <v>-7.5603654083826353</v>
      </c>
      <c r="G108" s="55"/>
      <c r="H108" s="166" cm="1">
        <f t="array" ref="H108">RANK(I108,I3:I210)</f>
        <v>125</v>
      </c>
      <c r="I108" s="167" cm="1">
        <f t="array" ref="I108">VLOOKUP(A108,'Standard Deviations'!A1:C672,3,FALSE)</f>
        <v>-1.2003558507675713</v>
      </c>
      <c r="J108" s="167" cm="1">
        <f t="array" ref="J108">I108-VLOOKUP(B$2,H1:J210,2,FALSE)</f>
        <v>-7.5603654083826353</v>
      </c>
    </row>
    <row r="109" spans="1:10" ht="21.25" customHeight="1" x14ac:dyDescent="0.15">
      <c r="A109" s="10" t="s">
        <v>591</v>
      </c>
      <c r="B109" s="87" t="str" cm="1">
        <f t="array" ref="B109">VLOOKUP(A109,'The List'!B1:D671,3,FALSE)</f>
        <v>C,LW</v>
      </c>
      <c r="C109" s="88" cm="1">
        <f t="array" ref="C109">IF(Settings!$E$15="POINTS",RANK(E109,E3:E210),H109)</f>
        <v>100</v>
      </c>
      <c r="D109" s="18" t="str" cm="1">
        <f t="array" ref="D109">VLOOKUP(A109,'The List'!B1:F671,5,FALSE)</f>
        <v>L.A</v>
      </c>
      <c r="E109" s="55" cm="1">
        <f t="array" ref="E109">VLOOKUP(A109,'The List'!B1:I671,8,FALSE)</f>
        <v>-0.21289213266009155</v>
      </c>
      <c r="F109" s="55" cm="1">
        <f t="array" ref="F109">IF(Settings!$E$15="POINTS",E109-VLOOKUP(B$2,C1:E210,3,FALSE),J109)</f>
        <v>-6.572901690275156</v>
      </c>
      <c r="G109" s="55"/>
      <c r="H109" s="166" cm="1">
        <f t="array" ref="H109">RANK(I109,I3:I210)</f>
        <v>100</v>
      </c>
      <c r="I109" s="167" cm="1">
        <f t="array" ref="I109">VLOOKUP(A109,'Standard Deviations'!A1:C672,3,FALSE)</f>
        <v>-0.21289213266009155</v>
      </c>
      <c r="J109" s="167" cm="1">
        <f t="array" ref="J109">I109-VLOOKUP(B$2,H1:J210,2,FALSE)</f>
        <v>-6.572901690275156</v>
      </c>
    </row>
    <row r="110" spans="1:10" ht="21.25" customHeight="1" x14ac:dyDescent="0.15">
      <c r="A110" s="10" t="s">
        <v>582</v>
      </c>
      <c r="B110" s="87" t="str" cm="1">
        <f t="array" ref="B110">VLOOKUP(A110,'The List'!B1:D671,3,FALSE)</f>
        <v>C,LW,RW</v>
      </c>
      <c r="C110" s="88" cm="1">
        <f t="array" ref="C110">IF(Settings!$E$15="POINTS",RANK(E110,E3:E210),H110)</f>
        <v>74</v>
      </c>
      <c r="D110" s="18" t="str" cm="1">
        <f t="array" ref="D110">VLOOKUP(A110,'The List'!B1:F671,5,FALSE)</f>
        <v>DAL</v>
      </c>
      <c r="E110" s="55" cm="1">
        <f t="array" ref="E110">VLOOKUP(A110,'The List'!B1:I671,8,FALSE)</f>
        <v>1.2688511221708321</v>
      </c>
      <c r="F110" s="55" cm="1">
        <f t="array" ref="F110">IF(Settings!$E$15="POINTS",E110-VLOOKUP(B$2,C1:E210,3,FALSE),J110)</f>
        <v>-5.0911584354442319</v>
      </c>
      <c r="G110" s="55"/>
      <c r="H110" s="166" cm="1">
        <f t="array" ref="H110">RANK(I110,I3:I210)</f>
        <v>74</v>
      </c>
      <c r="I110" s="167" cm="1">
        <f t="array" ref="I110">VLOOKUP(A110,'Standard Deviations'!A1:C672,3,FALSE)</f>
        <v>1.2688511221708321</v>
      </c>
      <c r="J110" s="167" cm="1">
        <f t="array" ref="J110">I110-VLOOKUP(B$2,H1:J210,2,FALSE)</f>
        <v>-5.0911584354442319</v>
      </c>
    </row>
    <row r="111" spans="1:10" ht="21.25" customHeight="1" x14ac:dyDescent="0.15">
      <c r="A111" s="10" t="s">
        <v>559</v>
      </c>
      <c r="B111" s="87" t="str" cm="1">
        <f t="array" ref="B111">VLOOKUP(A111,'The List'!B1:D671,3,FALSE)</f>
        <v>C</v>
      </c>
      <c r="C111" s="88" cm="1">
        <f t="array" ref="C111">IF(Settings!$E$15="POINTS",RANK(E111,E3:E210),H111)</f>
        <v>140</v>
      </c>
      <c r="D111" s="18" t="str" cm="1">
        <f t="array" ref="D111">VLOOKUP(A111,'The List'!B1:F671,5,FALSE)</f>
        <v>MTL</v>
      </c>
      <c r="E111" s="55" cm="1">
        <f t="array" ref="E111">VLOOKUP(A111,'The List'!B1:I671,8,FALSE)</f>
        <v>-1.4998526838265684</v>
      </c>
      <c r="F111" s="55" cm="1">
        <f t="array" ref="F111">IF(Settings!$E$15="POINTS",E111-VLOOKUP(B$2,C1:E210,3,FALSE),J111)</f>
        <v>-7.8598622414416326</v>
      </c>
      <c r="G111" s="55"/>
      <c r="H111" s="166" cm="1">
        <f t="array" ref="H111">RANK(I111,I3:I210)</f>
        <v>140</v>
      </c>
      <c r="I111" s="167" cm="1">
        <f t="array" ref="I111">VLOOKUP(A111,'Standard Deviations'!A1:C672,3,FALSE)</f>
        <v>-1.4998526838265684</v>
      </c>
      <c r="J111" s="167" cm="1">
        <f t="array" ref="J111">I111-VLOOKUP(B$2,H1:J210,2,FALSE)</f>
        <v>-7.8598622414416326</v>
      </c>
    </row>
    <row r="112" spans="1:10" ht="21.25" customHeight="1" x14ac:dyDescent="0.15">
      <c r="A112" s="10" t="s">
        <v>563</v>
      </c>
      <c r="B112" s="87" t="str" cm="1">
        <f t="array" ref="B112">VLOOKUP(A112,'The List'!B1:D671,3,FALSE)</f>
        <v>C</v>
      </c>
      <c r="C112" s="88" cm="1">
        <f t="array" ref="C112">IF(Settings!$E$15="POINTS",RANK(E112,E3:E210),H112)</f>
        <v>71</v>
      </c>
      <c r="D112" s="18" t="str" cm="1">
        <f t="array" ref="D112">VLOOKUP(A112,'The List'!B1:F671,5,FALSE)</f>
        <v>CAR</v>
      </c>
      <c r="E112" s="55" cm="1">
        <f t="array" ref="E112">VLOOKUP(A112,'The List'!B1:I671,8,FALSE)</f>
        <v>1.6985267288324548</v>
      </c>
      <c r="F112" s="55" cm="1">
        <f t="array" ref="F112">IF(Settings!$E$15="POINTS",E112-VLOOKUP(B$2,C1:E210,3,FALSE),J112)</f>
        <v>-4.6614828287826091</v>
      </c>
      <c r="G112" s="55"/>
      <c r="H112" s="166" cm="1">
        <f t="array" ref="H112">RANK(I112,I3:I210)</f>
        <v>71</v>
      </c>
      <c r="I112" s="167" cm="1">
        <f t="array" ref="I112">VLOOKUP(A112,'Standard Deviations'!A1:C672,3,FALSE)</f>
        <v>1.6985267288324548</v>
      </c>
      <c r="J112" s="167" cm="1">
        <f t="array" ref="J112">I112-VLOOKUP(B$2,H1:J210,2,FALSE)</f>
        <v>-4.6614828287826091</v>
      </c>
    </row>
    <row r="113" spans="1:10" ht="21.25" customHeight="1" x14ac:dyDescent="0.15">
      <c r="A113" s="10" t="s">
        <v>587</v>
      </c>
      <c r="B113" s="87" t="str" cm="1">
        <f t="array" ref="B113">VLOOKUP(A113,'The List'!B1:D671,3,FALSE)</f>
        <v>C,RW</v>
      </c>
      <c r="C113" s="88" cm="1">
        <f t="array" ref="C113">IF(Settings!$E$15="POINTS",RANK(E113,E3:E210),H113)</f>
        <v>73</v>
      </c>
      <c r="D113" s="18" t="str" cm="1">
        <f t="array" ref="D113">VLOOKUP(A113,'The List'!B1:F671,5,FALSE)</f>
        <v>NSH</v>
      </c>
      <c r="E113" s="55" cm="1">
        <f t="array" ref="E113">VLOOKUP(A113,'The List'!B1:I671,8,FALSE)</f>
        <v>1.4115741189852895</v>
      </c>
      <c r="F113" s="55" cm="1">
        <f t="array" ref="F113">IF(Settings!$E$15="POINTS",E113-VLOOKUP(B$2,C1:E210,3,FALSE),J113)</f>
        <v>-4.9484354386297742</v>
      </c>
      <c r="G113" s="55"/>
      <c r="H113" s="166" cm="1">
        <f t="array" ref="H113">RANK(I113,I3:I210)</f>
        <v>73</v>
      </c>
      <c r="I113" s="167" cm="1">
        <f t="array" ref="I113">VLOOKUP(A113,'Standard Deviations'!A1:C672,3,FALSE)</f>
        <v>1.4115741189852895</v>
      </c>
      <c r="J113" s="167" cm="1">
        <f t="array" ref="J113">I113-VLOOKUP(B$2,H1:J210,2,FALSE)</f>
        <v>-4.9484354386297742</v>
      </c>
    </row>
    <row r="114" spans="1:10" ht="21.25" customHeight="1" x14ac:dyDescent="0.15">
      <c r="A114" s="10" t="s">
        <v>593</v>
      </c>
      <c r="B114" s="87" t="str" cm="1">
        <f t="array" ref="B114">VLOOKUP(A114,'The List'!B1:D671,3,FALSE)</f>
        <v>C,RW</v>
      </c>
      <c r="C114" s="88" cm="1">
        <f t="array" ref="C114">IF(Settings!$E$15="POINTS",RANK(E114,E3:E210),H114)</f>
        <v>107</v>
      </c>
      <c r="D114" s="18" t="str" cm="1">
        <f t="array" ref="D114">VLOOKUP(A114,'The List'!B1:F671,5,FALSE)</f>
        <v>DAL</v>
      </c>
      <c r="E114" s="55" cm="1">
        <f t="array" ref="E114">VLOOKUP(A114,'The List'!B1:I671,8,FALSE)</f>
        <v>-0.51212094113553297</v>
      </c>
      <c r="F114" s="55" cm="1">
        <f t="array" ref="F114">IF(Settings!$E$15="POINTS",E114-VLOOKUP(B$2,C1:E210,3,FALSE),J114)</f>
        <v>-6.8721304987505967</v>
      </c>
      <c r="G114" s="55"/>
      <c r="H114" s="166" cm="1">
        <f t="array" ref="H114">RANK(I114,I3:I210)</f>
        <v>107</v>
      </c>
      <c r="I114" s="167" cm="1">
        <f t="array" ref="I114">VLOOKUP(A114,'Standard Deviations'!A1:C672,3,FALSE)</f>
        <v>-0.51212094113553297</v>
      </c>
      <c r="J114" s="167" cm="1">
        <f t="array" ref="J114">I114-VLOOKUP(B$2,H1:J210,2,FALSE)</f>
        <v>-6.8721304987505967</v>
      </c>
    </row>
    <row r="115" spans="1:10" ht="21.25" customHeight="1" x14ac:dyDescent="0.15">
      <c r="A115" s="10" t="s">
        <v>612</v>
      </c>
      <c r="B115" s="87" t="str" cm="1">
        <f t="array" ref="B115">VLOOKUP(A115,'The List'!B1:D671,3,FALSE)</f>
        <v>C,LW</v>
      </c>
      <c r="C115" s="88" cm="1">
        <f t="array" ref="C115">IF(Settings!$E$15="POINTS",RANK(E115,E3:E210),H115)</f>
        <v>109</v>
      </c>
      <c r="D115" s="18" t="str" cm="1">
        <f t="array" ref="D115">VLOOKUP(A115,'The List'!B1:F671,5,FALSE)</f>
        <v>WSH</v>
      </c>
      <c r="E115" s="55" cm="1">
        <f t="array" ref="E115">VLOOKUP(A115,'The List'!B1:I671,8,FALSE)</f>
        <v>-0.54334297119588038</v>
      </c>
      <c r="F115" s="55" cm="1">
        <f t="array" ref="F115">IF(Settings!$E$15="POINTS",E115-VLOOKUP(B$2,C1:E210,3,FALSE),J115)</f>
        <v>-6.9033525288109443</v>
      </c>
      <c r="G115" s="55"/>
      <c r="H115" s="166" cm="1">
        <f t="array" ref="H115">RANK(I115,I3:I210)</f>
        <v>109</v>
      </c>
      <c r="I115" s="167" cm="1">
        <f t="array" ref="I115">VLOOKUP(A115,'Standard Deviations'!A1:C672,3,FALSE)</f>
        <v>-0.54334297119588038</v>
      </c>
      <c r="J115" s="167" cm="1">
        <f t="array" ref="J115">I115-VLOOKUP(B$2,H1:J210,2,FALSE)</f>
        <v>-6.9033525288109443</v>
      </c>
    </row>
    <row r="116" spans="1:10" ht="21.25" customHeight="1" x14ac:dyDescent="0.15">
      <c r="A116" s="10" t="s">
        <v>574</v>
      </c>
      <c r="B116" s="87" t="str" cm="1">
        <f t="array" ref="B116">VLOOKUP(A116,'The List'!B1:D671,3,FALSE)</f>
        <v>C</v>
      </c>
      <c r="C116" s="88" cm="1">
        <f t="array" ref="C116">IF(Settings!$E$15="POINTS",RANK(E116,E3:E210),H116)</f>
        <v>136</v>
      </c>
      <c r="D116" s="18" t="str" cm="1">
        <f t="array" ref="D116">VLOOKUP(A116,'The List'!B1:F671,5,FALSE)</f>
        <v>VGK</v>
      </c>
      <c r="E116" s="55" cm="1">
        <f t="array" ref="E116">VLOOKUP(A116,'The List'!B1:I671,8,FALSE)</f>
        <v>-1.3439693578780743</v>
      </c>
      <c r="F116" s="55" cm="1">
        <f t="array" ref="F116">IF(Settings!$E$15="POINTS",E116-VLOOKUP(B$2,C1:E210,3,FALSE),J116)</f>
        <v>-7.7039789154931384</v>
      </c>
      <c r="G116" s="55"/>
      <c r="H116" s="166" cm="1">
        <f t="array" ref="H116">RANK(I116,I3:I210)</f>
        <v>136</v>
      </c>
      <c r="I116" s="167" cm="1">
        <f t="array" ref="I116">VLOOKUP(A116,'Standard Deviations'!A1:C672,3,FALSE)</f>
        <v>-1.3439693578780743</v>
      </c>
      <c r="J116" s="167" cm="1">
        <f t="array" ref="J116">I116-VLOOKUP(B$2,H1:J210,2,FALSE)</f>
        <v>-7.7039789154931384</v>
      </c>
    </row>
    <row r="117" spans="1:10" ht="21.25" customHeight="1" x14ac:dyDescent="0.15">
      <c r="A117" s="10" t="s">
        <v>606</v>
      </c>
      <c r="B117" s="87" t="str" cm="1">
        <f t="array" ref="B117">VLOOKUP(A117,'The List'!B1:D671,3,FALSE)</f>
        <v>C,LW,RW</v>
      </c>
      <c r="C117" s="88" cm="1">
        <f t="array" ref="C117">IF(Settings!$E$15="POINTS",RANK(E117,E3:E210),H117)</f>
        <v>170</v>
      </c>
      <c r="D117" s="18" t="str" cm="1">
        <f t="array" ref="D117">VLOOKUP(A117,'The List'!B1:F671,5,FALSE)</f>
        <v>CGY</v>
      </c>
      <c r="E117" s="55" cm="1">
        <f t="array" ref="E117">VLOOKUP(A117,'The List'!B1:I671,8,FALSE)</f>
        <v>-2.8241249987362189</v>
      </c>
      <c r="F117" s="55" cm="1">
        <f t="array" ref="F117">IF(Settings!$E$15="POINTS",E117-VLOOKUP(B$2,C1:E210,3,FALSE),J117)</f>
        <v>-9.1841345563512835</v>
      </c>
      <c r="G117" s="55"/>
      <c r="H117" s="166" cm="1">
        <f t="array" ref="H117">RANK(I117,I3:I210)</f>
        <v>170</v>
      </c>
      <c r="I117" s="167" cm="1">
        <f t="array" ref="I117">VLOOKUP(A117,'Standard Deviations'!A1:C672,3,FALSE)</f>
        <v>-2.8241249987362189</v>
      </c>
      <c r="J117" s="167" cm="1">
        <f t="array" ref="J117">I117-VLOOKUP(B$2,H1:J210,2,FALSE)</f>
        <v>-9.1841345563512835</v>
      </c>
    </row>
    <row r="118" spans="1:10" ht="21.25" customHeight="1" x14ac:dyDescent="0.15">
      <c r="A118" s="10" t="s">
        <v>580</v>
      </c>
      <c r="B118" s="87" t="str" cm="1">
        <f t="array" ref="B118">VLOOKUP(A118,'The List'!B1:D671,3,FALSE)</f>
        <v>C</v>
      </c>
      <c r="C118" s="88" cm="1">
        <f t="array" ref="C118">IF(Settings!$E$15="POINTS",RANK(E118,E3:E210),H118)</f>
        <v>132</v>
      </c>
      <c r="D118" s="18" t="str" cm="1">
        <f t="array" ref="D118">VLOOKUP(A118,'The List'!B1:F671,5,FALSE)</f>
        <v>UTA</v>
      </c>
      <c r="E118" s="55" cm="1">
        <f t="array" ref="E118">VLOOKUP(A118,'The List'!B1:I671,8,FALSE)</f>
        <v>-1.2561332086468293</v>
      </c>
      <c r="F118" s="55" cm="1">
        <f t="array" ref="F118">IF(Settings!$E$15="POINTS",E118-VLOOKUP(B$2,C1:E210,3,FALSE),J118)</f>
        <v>-7.616142766261893</v>
      </c>
      <c r="G118" s="55"/>
      <c r="H118" s="166" cm="1">
        <f t="array" ref="H118">RANK(I118,I3:I210)</f>
        <v>132</v>
      </c>
      <c r="I118" s="167" cm="1">
        <f t="array" ref="I118">VLOOKUP(A118,'Standard Deviations'!A1:C672,3,FALSE)</f>
        <v>-1.2561332086468293</v>
      </c>
      <c r="J118" s="167" cm="1">
        <f t="array" ref="J118">I118-VLOOKUP(B$2,H1:J210,2,FALSE)</f>
        <v>-7.616142766261893</v>
      </c>
    </row>
    <row r="119" spans="1:10" ht="21.25" customHeight="1" x14ac:dyDescent="0.15">
      <c r="A119" s="10" t="s">
        <v>588</v>
      </c>
      <c r="B119" s="87" t="str" cm="1">
        <f t="array" ref="B119">VLOOKUP(A119,'The List'!B1:D671,3,FALSE)</f>
        <v>C</v>
      </c>
      <c r="C119" s="88" cm="1">
        <f t="array" ref="C119">IF(Settings!$E$15="POINTS",RANK(E119,E3:E210),H119)</f>
        <v>111</v>
      </c>
      <c r="D119" s="18" t="str" cm="1">
        <f t="array" ref="D119">VLOOKUP(A119,'The List'!B1:F671,5,FALSE)</f>
        <v>BUF</v>
      </c>
      <c r="E119" s="55" cm="1">
        <f t="array" ref="E119">VLOOKUP(A119,'The List'!B1:I671,8,FALSE)</f>
        <v>-0.70735233844897383</v>
      </c>
      <c r="F119" s="55" cm="1">
        <f t="array" ref="F119">IF(Settings!$E$15="POINTS",E119-VLOOKUP(B$2,C1:E210,3,FALSE),J119)</f>
        <v>-7.0673618960640381</v>
      </c>
      <c r="G119" s="55"/>
      <c r="H119" s="166" cm="1">
        <f t="array" ref="H119">RANK(I119,I3:I210)</f>
        <v>111</v>
      </c>
      <c r="I119" s="167" cm="1">
        <f t="array" ref="I119">VLOOKUP(A119,'Standard Deviations'!A1:C672,3,FALSE)</f>
        <v>-0.70735233844897383</v>
      </c>
      <c r="J119" s="167" cm="1">
        <f t="array" ref="J119">I119-VLOOKUP(B$2,H1:J210,2,FALSE)</f>
        <v>-7.0673618960640381</v>
      </c>
    </row>
    <row r="120" spans="1:10" ht="21.25" customHeight="1" x14ac:dyDescent="0.15">
      <c r="A120" s="10" t="s">
        <v>616</v>
      </c>
      <c r="B120" s="87" t="str" cm="1">
        <f t="array" ref="B120">VLOOKUP(A120,'The List'!B1:D671,3,FALSE)</f>
        <v>C,LW,RW</v>
      </c>
      <c r="C120" s="88" cm="1">
        <f t="array" ref="C120">IF(Settings!$E$15="POINTS",RANK(E120,E3:E210),H120)</f>
        <v>110</v>
      </c>
      <c r="D120" s="18" t="str" cm="1">
        <f t="array" ref="D120">VLOOKUP(A120,'The List'!B1:F671,5,FALSE)</f>
        <v>N.J</v>
      </c>
      <c r="E120" s="55" cm="1">
        <f t="array" ref="E120">VLOOKUP(A120,'The List'!B1:I671,8,FALSE)</f>
        <v>-0.64661283149079551</v>
      </c>
      <c r="F120" s="55" cm="1">
        <f t="array" ref="F120">IF(Settings!$E$15="POINTS",E120-VLOOKUP(B$2,C1:E210,3,FALSE),J120)</f>
        <v>-7.0066223891058597</v>
      </c>
      <c r="G120" s="55"/>
      <c r="H120" s="166" cm="1">
        <f t="array" ref="H120">RANK(I120,I3:I210)</f>
        <v>110</v>
      </c>
      <c r="I120" s="167" cm="1">
        <f t="array" ref="I120">VLOOKUP(A120,'Standard Deviations'!A1:C672,3,FALSE)</f>
        <v>-0.64661283149079551</v>
      </c>
      <c r="J120" s="167" cm="1">
        <f t="array" ref="J120">I120-VLOOKUP(B$2,H1:J210,2,FALSE)</f>
        <v>-7.0066223891058597</v>
      </c>
    </row>
    <row r="121" spans="1:10" ht="21.25" customHeight="1" x14ac:dyDescent="0.15">
      <c r="A121" s="10" t="s">
        <v>617</v>
      </c>
      <c r="B121" s="87" t="str" cm="1">
        <f t="array" ref="B121">VLOOKUP(A121,'The List'!B1:D671,3,FALSE)</f>
        <v>C,RW</v>
      </c>
      <c r="C121" s="88" cm="1">
        <f t="array" ref="C121">IF(Settings!$E$15="POINTS",RANK(E121,E3:E210),H121)</f>
        <v>205</v>
      </c>
      <c r="D121" s="18" t="str" cm="1">
        <f t="array" ref="D121">VLOOKUP(A121,'The List'!B1:F671,5,FALSE)</f>
        <v>CHI</v>
      </c>
      <c r="E121" s="55" cm="1">
        <f t="array" ref="E121">VLOOKUP(A121,'The List'!B1:I671,8,FALSE)</f>
        <v>-4.5172099715601881</v>
      </c>
      <c r="F121" s="55" cm="1">
        <f t="array" ref="F121">IF(Settings!$E$15="POINTS",E121-VLOOKUP(B$2,C1:E210,3,FALSE),J121)</f>
        <v>-10.877219529175253</v>
      </c>
      <c r="G121" s="55"/>
      <c r="H121" s="166" cm="1">
        <f t="array" ref="H121">RANK(I121,I3:I210)</f>
        <v>205</v>
      </c>
      <c r="I121" s="167" cm="1">
        <f t="array" ref="I121">VLOOKUP(A121,'Standard Deviations'!A1:C672,3,FALSE)</f>
        <v>-4.5172099715601881</v>
      </c>
      <c r="J121" s="167" cm="1">
        <f t="array" ref="J121">I121-VLOOKUP(B$2,H1:J210,2,FALSE)</f>
        <v>-10.877219529175253</v>
      </c>
    </row>
    <row r="122" spans="1:10" ht="21.25" customHeight="1" x14ac:dyDescent="0.15">
      <c r="A122" s="10" t="s">
        <v>594</v>
      </c>
      <c r="B122" s="87" t="str" cm="1">
        <f t="array" ref="B122">VLOOKUP(A122,'The List'!B1:D671,3,FALSE)</f>
        <v>C</v>
      </c>
      <c r="C122" s="88" cm="1">
        <f t="array" ref="C122">IF(Settings!$E$15="POINTS",RANK(E122,E3:E210),H122)</f>
        <v>102</v>
      </c>
      <c r="D122" s="18" t="str" cm="1">
        <f t="array" ref="D122">VLOOKUP(A122,'The List'!B1:F671,5,FALSE)</f>
        <v>BOS</v>
      </c>
      <c r="E122" s="55" cm="1">
        <f t="array" ref="E122">VLOOKUP(A122,'The List'!B1:I671,8,FALSE)</f>
        <v>-0.30238789209029215</v>
      </c>
      <c r="F122" s="55" cm="1">
        <f t="array" ref="F122">IF(Settings!$E$15="POINTS",E122-VLOOKUP(B$2,C1:E210,3,FALSE),J122)</f>
        <v>-6.662397449705356</v>
      </c>
      <c r="G122" s="55"/>
      <c r="H122" s="166" cm="1">
        <f t="array" ref="H122">RANK(I122,I3:I210)</f>
        <v>102</v>
      </c>
      <c r="I122" s="167" cm="1">
        <f t="array" ref="I122">VLOOKUP(A122,'Standard Deviations'!A1:C672,3,FALSE)</f>
        <v>-0.30238789209029215</v>
      </c>
      <c r="J122" s="167" cm="1">
        <f t="array" ref="J122">I122-VLOOKUP(B$2,H1:J210,2,FALSE)</f>
        <v>-6.662397449705356</v>
      </c>
    </row>
    <row r="123" spans="1:10" ht="21.25" customHeight="1" x14ac:dyDescent="0.15">
      <c r="A123" s="10" t="s">
        <v>595</v>
      </c>
      <c r="B123" s="87" t="str" cm="1">
        <f t="array" ref="B123">VLOOKUP(A123,'The List'!B1:D671,3,FALSE)</f>
        <v>C</v>
      </c>
      <c r="C123" s="88" cm="1">
        <f t="array" ref="C123">IF(Settings!$E$15="POINTS",RANK(E123,E3:E210),H123)</f>
        <v>152</v>
      </c>
      <c r="D123" s="18" t="str" cm="1">
        <f t="array" ref="D123">VLOOKUP(A123,'The List'!B1:F671,5,FALSE)</f>
        <v>NYI</v>
      </c>
      <c r="E123" s="55" cm="1">
        <f t="array" ref="E123">VLOOKUP(A123,'The List'!B1:I671,8,FALSE)</f>
        <v>-1.9049223704493481</v>
      </c>
      <c r="F123" s="55" cm="1">
        <f t="array" ref="F123">IF(Settings!$E$15="POINTS",E123-VLOOKUP(B$2,C1:E210,3,FALSE),J123)</f>
        <v>-8.2649319280644118</v>
      </c>
      <c r="G123" s="55"/>
      <c r="H123" s="166" cm="1">
        <f t="array" ref="H123">RANK(I123,I3:I210)</f>
        <v>152</v>
      </c>
      <c r="I123" s="167" cm="1">
        <f t="array" ref="I123">VLOOKUP(A123,'Standard Deviations'!A1:C672,3,FALSE)</f>
        <v>-1.9049223704493481</v>
      </c>
      <c r="J123" s="167" cm="1">
        <f t="array" ref="J123">I123-VLOOKUP(B$2,H1:J210,2,FALSE)</f>
        <v>-8.2649319280644118</v>
      </c>
    </row>
    <row r="124" spans="1:10" ht="21.25" customHeight="1" x14ac:dyDescent="0.15">
      <c r="A124" s="10" t="s">
        <v>602</v>
      </c>
      <c r="B124" s="87" t="str" cm="1">
        <f t="array" ref="B124">VLOOKUP(A124,'The List'!B1:D671,3,FALSE)</f>
        <v>C</v>
      </c>
      <c r="C124" s="88" cm="1">
        <f t="array" ref="C124">IF(Settings!$E$15="POINTS",RANK(E124,E3:E210),H124)</f>
        <v>174</v>
      </c>
      <c r="D124" s="18" t="str" cm="1">
        <f t="array" ref="D124">VLOOKUP(A124,'The List'!B1:F671,5,FALSE)</f>
        <v>NSH</v>
      </c>
      <c r="E124" s="55" cm="1">
        <f t="array" ref="E124">VLOOKUP(A124,'The List'!B1:I671,8,FALSE)</f>
        <v>-2.9684082375585952</v>
      </c>
      <c r="F124" s="55" cm="1">
        <f t="array" ref="F124">IF(Settings!$E$15="POINTS",E124-VLOOKUP(B$2,C1:E210,3,FALSE),J124)</f>
        <v>-9.3284177951736602</v>
      </c>
      <c r="G124" s="55"/>
      <c r="H124" s="166" cm="1">
        <f t="array" ref="H124">RANK(I124,I3:I210)</f>
        <v>174</v>
      </c>
      <c r="I124" s="167" cm="1">
        <f t="array" ref="I124">VLOOKUP(A124,'Standard Deviations'!A1:C672,3,FALSE)</f>
        <v>-2.9684082375585952</v>
      </c>
      <c r="J124" s="167" cm="1">
        <f t="array" ref="J124">I124-VLOOKUP(B$2,H1:J210,2,FALSE)</f>
        <v>-9.3284177951736602</v>
      </c>
    </row>
    <row r="125" spans="1:10" ht="21.25" customHeight="1" x14ac:dyDescent="0.15">
      <c r="A125" s="10" t="s">
        <v>626</v>
      </c>
      <c r="B125" s="87" t="str" cm="1">
        <f t="array" ref="B125">VLOOKUP(A125,'The List'!B1:D671,3,FALSE)</f>
        <v>C,LW</v>
      </c>
      <c r="C125" s="88" cm="1">
        <f t="array" ref="C125">IF(Settings!$E$15="POINTS",RANK(E125,E3:E210),H125)</f>
        <v>89</v>
      </c>
      <c r="D125" s="18" t="str" cm="1">
        <f t="array" ref="D125">VLOOKUP(A125,'The List'!B1:F671,5,FALSE)</f>
        <v>VGK</v>
      </c>
      <c r="E125" s="55" cm="1">
        <f t="array" ref="E125">VLOOKUP(A125,'The List'!B1:I671,8,FALSE)</f>
        <v>0.15479596181749355</v>
      </c>
      <c r="F125" s="55" cm="1">
        <f t="array" ref="F125">IF(Settings!$E$15="POINTS",E125-VLOOKUP(B$2,C1:E210,3,FALSE),J125)</f>
        <v>-6.2052135957975709</v>
      </c>
      <c r="G125" s="55"/>
      <c r="H125" s="166" cm="1">
        <f t="array" ref="H125">RANK(I125,I3:I210)</f>
        <v>89</v>
      </c>
      <c r="I125" s="167" cm="1">
        <f t="array" ref="I125">VLOOKUP(A125,'Standard Deviations'!A1:C672,3,FALSE)</f>
        <v>0.15479596181749355</v>
      </c>
      <c r="J125" s="167" cm="1">
        <f t="array" ref="J125">I125-VLOOKUP(B$2,H1:J210,2,FALSE)</f>
        <v>-6.2052135957975709</v>
      </c>
    </row>
    <row r="126" spans="1:10" ht="21.25" customHeight="1" x14ac:dyDescent="0.15">
      <c r="A126" s="10" t="s">
        <v>622</v>
      </c>
      <c r="B126" s="87" t="str" cm="1">
        <f t="array" ref="B126">VLOOKUP(A126,'The List'!B1:D671,3,FALSE)</f>
        <v>C,LW,RW</v>
      </c>
      <c r="C126" s="88" cm="1">
        <f t="array" ref="C126">IF(Settings!$E$15="POINTS",RANK(E126,E3:E210),H126)</f>
        <v>154</v>
      </c>
      <c r="D126" s="18" t="str" cm="1">
        <f t="array" ref="D126">VLOOKUP(A126,'The List'!B1:F671,5,FALSE)</f>
        <v>CHI</v>
      </c>
      <c r="E126" s="55" cm="1">
        <f t="array" ref="E126">VLOOKUP(A126,'The List'!B1:I671,8,FALSE)</f>
        <v>-2.1597569642769132</v>
      </c>
      <c r="F126" s="55" cm="1">
        <f t="array" ref="F126">IF(Settings!$E$15="POINTS",E126-VLOOKUP(B$2,C1:E210,3,FALSE),J126)</f>
        <v>-8.5197665218919774</v>
      </c>
      <c r="G126" s="55"/>
      <c r="H126" s="166" cm="1">
        <f t="array" ref="H126">RANK(I126,I3:I210)</f>
        <v>154</v>
      </c>
      <c r="I126" s="167" cm="1">
        <f t="array" ref="I126">VLOOKUP(A126,'Standard Deviations'!A1:C672,3,FALSE)</f>
        <v>-2.1597569642769132</v>
      </c>
      <c r="J126" s="167" cm="1">
        <f t="array" ref="J126">I126-VLOOKUP(B$2,H1:J210,2,FALSE)</f>
        <v>-8.5197665218919774</v>
      </c>
    </row>
    <row r="127" spans="1:10" ht="21.25" customHeight="1" x14ac:dyDescent="0.15">
      <c r="A127" s="10" t="s">
        <v>613</v>
      </c>
      <c r="B127" s="87" t="str" cm="1">
        <f t="array" ref="B127">VLOOKUP(A127,'The List'!B1:D671,3,FALSE)</f>
        <v>C</v>
      </c>
      <c r="C127" s="88" cm="1">
        <f t="array" ref="C127">IF(Settings!$E$15="POINTS",RANK(E127,E3:E210),H127)</f>
        <v>138</v>
      </c>
      <c r="D127" s="18" t="str" cm="1">
        <f t="array" ref="D127">VLOOKUP(A127,'The List'!B1:F671,5,FALSE)</f>
        <v>PHI</v>
      </c>
      <c r="E127" s="55" cm="1">
        <f t="array" ref="E127">VLOOKUP(A127,'The List'!B1:I671,8,FALSE)</f>
        <v>-1.4341270122017449</v>
      </c>
      <c r="F127" s="55" cm="1">
        <f t="array" ref="F127">IF(Settings!$E$15="POINTS",E127-VLOOKUP(B$2,C1:E210,3,FALSE),J127)</f>
        <v>-7.7941365698168088</v>
      </c>
      <c r="G127" s="55"/>
      <c r="H127" s="166" cm="1">
        <f t="array" ref="H127">RANK(I127,I3:I210)</f>
        <v>138</v>
      </c>
      <c r="I127" s="167" cm="1">
        <f t="array" ref="I127">VLOOKUP(A127,'Standard Deviations'!A1:C672,3,FALSE)</f>
        <v>-1.4341270122017449</v>
      </c>
      <c r="J127" s="167" cm="1">
        <f t="array" ref="J127">I127-VLOOKUP(B$2,H1:J210,2,FALSE)</f>
        <v>-7.7941365698168088</v>
      </c>
    </row>
    <row r="128" spans="1:10" ht="21.25" customHeight="1" x14ac:dyDescent="0.15">
      <c r="A128" s="10" t="s">
        <v>637</v>
      </c>
      <c r="B128" s="87" t="str" cm="1">
        <f t="array" ref="B128">VLOOKUP(A128,'The List'!B1:D671,3,FALSE)</f>
        <v>C,LW</v>
      </c>
      <c r="C128" s="88" cm="1">
        <f t="array" ref="C128">IF(Settings!$E$15="POINTS",RANK(E128,E3:E210),H128)</f>
        <v>158</v>
      </c>
      <c r="D128" s="18" t="str" cm="1">
        <f t="array" ref="D128">VLOOKUP(A128,'The List'!B1:F671,5,FALSE)</f>
        <v>STL</v>
      </c>
      <c r="E128" s="55" cm="1">
        <f t="array" ref="E128">VLOOKUP(A128,'The List'!B1:I671,8,FALSE)</f>
        <v>-2.3395357587363774</v>
      </c>
      <c r="F128" s="55" cm="1">
        <f t="array" ref="F128">IF(Settings!$E$15="POINTS",E128-VLOOKUP(B$2,C1:E210,3,FALSE),J128)</f>
        <v>-8.6995453163514416</v>
      </c>
      <c r="G128" s="55"/>
      <c r="H128" s="166" cm="1">
        <f t="array" ref="H128">RANK(I128,I3:I210)</f>
        <v>158</v>
      </c>
      <c r="I128" s="167" cm="1">
        <f t="array" ref="I128">VLOOKUP(A128,'Standard Deviations'!A1:C672,3,FALSE)</f>
        <v>-2.3395357587363774</v>
      </c>
      <c r="J128" s="167" cm="1">
        <f t="array" ref="J128">I128-VLOOKUP(B$2,H1:J210,2,FALSE)</f>
        <v>-8.6995453163514416</v>
      </c>
    </row>
    <row r="129" spans="1:10" ht="21.25" customHeight="1" x14ac:dyDescent="0.15">
      <c r="A129" s="10" t="s">
        <v>640</v>
      </c>
      <c r="B129" s="87" t="str" cm="1">
        <f t="array" ref="B129">VLOOKUP(A129,'The List'!B1:D671,3,FALSE)</f>
        <v>C,LW</v>
      </c>
      <c r="C129" s="88" cm="1">
        <f t="array" ref="C129">IF(Settings!$E$15="POINTS",RANK(E129,E3:E210),H129)</f>
        <v>126</v>
      </c>
      <c r="D129" s="18" t="str" cm="1">
        <f t="array" ref="D129">VLOOKUP(A129,'The List'!B1:F671,5,FALSE)</f>
        <v>MTL</v>
      </c>
      <c r="E129" s="55" cm="1">
        <f t="array" ref="E129">VLOOKUP(A129,'The List'!B1:I671,8,FALSE)</f>
        <v>-1.2106531449017033</v>
      </c>
      <c r="F129" s="55" cm="1">
        <f t="array" ref="F129">IF(Settings!$E$15="POINTS",E129-VLOOKUP(B$2,C1:E210,3,FALSE),J129)</f>
        <v>-7.570662702516767</v>
      </c>
      <c r="G129" s="55"/>
      <c r="H129" s="166" cm="1">
        <f t="array" ref="H129">RANK(I129,I3:I210)</f>
        <v>126</v>
      </c>
      <c r="I129" s="167" cm="1">
        <f t="array" ref="I129">VLOOKUP(A129,'Standard Deviations'!A1:C672,3,FALSE)</f>
        <v>-1.2106531449017033</v>
      </c>
      <c r="J129" s="167" cm="1">
        <f t="array" ref="J129">I129-VLOOKUP(B$2,H1:J210,2,FALSE)</f>
        <v>-7.570662702516767</v>
      </c>
    </row>
    <row r="130" spans="1:10" ht="21.25" customHeight="1" x14ac:dyDescent="0.15">
      <c r="A130" s="10" t="s">
        <v>641</v>
      </c>
      <c r="B130" s="87" t="str" cm="1">
        <f t="array" ref="B130">VLOOKUP(A130,'The List'!B1:D671,3,FALSE)</f>
        <v>C,LW</v>
      </c>
      <c r="C130" s="88" cm="1">
        <f t="array" ref="C130">IF(Settings!$E$15="POINTS",RANK(E130,E3:E210),H130)</f>
        <v>114</v>
      </c>
      <c r="D130" s="18" t="str" cm="1">
        <f t="array" ref="D130">VLOOKUP(A130,'The List'!B1:F671,5,FALSE)</f>
        <v>COL</v>
      </c>
      <c r="E130" s="55" cm="1">
        <f t="array" ref="E130">VLOOKUP(A130,'The List'!B1:I671,8,FALSE)</f>
        <v>-0.8061975162650401</v>
      </c>
      <c r="F130" s="55" cm="1">
        <f t="array" ref="F130">IF(Settings!$E$15="POINTS",E130-VLOOKUP(B$2,C1:E210,3,FALSE),J130)</f>
        <v>-7.1662070738801038</v>
      </c>
      <c r="G130" s="55"/>
      <c r="H130" s="166" cm="1">
        <f t="array" ref="H130">RANK(I130,I3:I210)</f>
        <v>114</v>
      </c>
      <c r="I130" s="167" cm="1">
        <f t="array" ref="I130">VLOOKUP(A130,'Standard Deviations'!A1:C672,3,FALSE)</f>
        <v>-0.8061975162650401</v>
      </c>
      <c r="J130" s="167" cm="1">
        <f t="array" ref="J130">I130-VLOOKUP(B$2,H1:J210,2,FALSE)</f>
        <v>-7.1662070738801038</v>
      </c>
    </row>
    <row r="131" spans="1:10" ht="21.25" customHeight="1" x14ac:dyDescent="0.15">
      <c r="A131" s="10" t="s">
        <v>644</v>
      </c>
      <c r="B131" s="87" t="str" cm="1">
        <f t="array" ref="B131">VLOOKUP(A131,'The List'!B1:D671,3,FALSE)</f>
        <v>C,LW</v>
      </c>
      <c r="C131" s="88" cm="1">
        <f t="array" ref="C131">IF(Settings!$E$15="POINTS",RANK(E131,E3:E210),H131)</f>
        <v>129</v>
      </c>
      <c r="D131" s="18" t="str" cm="1">
        <f t="array" ref="D131">VLOOKUP(A131,'The List'!B1:F671,5,FALSE)</f>
        <v>TOR</v>
      </c>
      <c r="E131" s="55" cm="1">
        <f t="array" ref="E131">VLOOKUP(A131,'The List'!B1:I671,8,FALSE)</f>
        <v>-1.2401911603977114</v>
      </c>
      <c r="F131" s="55" cm="1">
        <f t="array" ref="F131">IF(Settings!$E$15="POINTS",E131-VLOOKUP(B$2,C1:E210,3,FALSE),J131)</f>
        <v>-7.6002007180127755</v>
      </c>
      <c r="G131" s="55"/>
      <c r="H131" s="166" cm="1">
        <f t="array" ref="H131">RANK(I131,I3:I210)</f>
        <v>129</v>
      </c>
      <c r="I131" s="167" cm="1">
        <f t="array" ref="I131">VLOOKUP(A131,'Standard Deviations'!A1:C672,3,FALSE)</f>
        <v>-1.2401911603977114</v>
      </c>
      <c r="J131" s="167" cm="1">
        <f t="array" ref="J131">I131-VLOOKUP(B$2,H1:J210,2,FALSE)</f>
        <v>-7.6002007180127755</v>
      </c>
    </row>
    <row r="132" spans="1:10" ht="21.25" customHeight="1" x14ac:dyDescent="0.15">
      <c r="A132" s="10" t="s">
        <v>642</v>
      </c>
      <c r="B132" s="87" t="str" cm="1">
        <f t="array" ref="B132">VLOOKUP(A132,'The List'!B1:D671,3,FALSE)</f>
        <v>C,RW</v>
      </c>
      <c r="C132" s="88" cm="1">
        <f t="array" ref="C132">IF(Settings!$E$15="POINTS",RANK(E132,E3:E210),H132)</f>
        <v>123</v>
      </c>
      <c r="D132" s="18" t="str" cm="1">
        <f t="array" ref="D132">VLOOKUP(A132,'The List'!B1:F671,5,FALSE)</f>
        <v>MIN</v>
      </c>
      <c r="E132" s="55" cm="1">
        <f t="array" ref="E132">VLOOKUP(A132,'The List'!B1:I671,8,FALSE)</f>
        <v>-1.1810132525968216</v>
      </c>
      <c r="F132" s="55" cm="1">
        <f t="array" ref="F132">IF(Settings!$E$15="POINTS",E132-VLOOKUP(B$2,C1:E210,3,FALSE),J132)</f>
        <v>-7.5410228102118859</v>
      </c>
      <c r="G132" s="55"/>
      <c r="H132" s="166" cm="1">
        <f t="array" ref="H132">RANK(I132,I3:I210)</f>
        <v>123</v>
      </c>
      <c r="I132" s="167" cm="1">
        <f t="array" ref="I132">VLOOKUP(A132,'Standard Deviations'!A1:C672,3,FALSE)</f>
        <v>-1.1810132525968216</v>
      </c>
      <c r="J132" s="167" cm="1">
        <f t="array" ref="J132">I132-VLOOKUP(B$2,H1:J210,2,FALSE)</f>
        <v>-7.5410228102118859</v>
      </c>
    </row>
    <row r="133" spans="1:10" ht="21.25" customHeight="1" x14ac:dyDescent="0.15">
      <c r="A133" s="10" t="s">
        <v>646</v>
      </c>
      <c r="B133" s="87" t="str" cm="1">
        <f t="array" ref="B133">VLOOKUP(A133,'The List'!B1:D671,3,FALSE)</f>
        <v>C,LW</v>
      </c>
      <c r="C133" s="88" cm="1">
        <f t="array" ref="C133">IF(Settings!$E$15="POINTS",RANK(E133,E3:E210),H133)</f>
        <v>76</v>
      </c>
      <c r="D133" s="18" t="str" cm="1">
        <f t="array" ref="D133">VLOOKUP(A133,'The List'!B1:F671,5,FALSE)</f>
        <v>COL</v>
      </c>
      <c r="E133" s="55" cm="1">
        <f t="array" ref="E133">VLOOKUP(A133,'The List'!B1:I671,8,FALSE)</f>
        <v>1.1407932374886602</v>
      </c>
      <c r="F133" s="55" cm="1">
        <f t="array" ref="F133">IF(Settings!$E$15="POINTS",E133-VLOOKUP(B$2,C1:E210,3,FALSE),J133)</f>
        <v>-5.2192163201264039</v>
      </c>
      <c r="G133" s="55"/>
      <c r="H133" s="166" cm="1">
        <f t="array" ref="H133">RANK(I133,I3:I210)</f>
        <v>76</v>
      </c>
      <c r="I133" s="167" cm="1">
        <f t="array" ref="I133">VLOOKUP(A133,'Standard Deviations'!A1:C672,3,FALSE)</f>
        <v>1.1407932374886602</v>
      </c>
      <c r="J133" s="167" cm="1">
        <f t="array" ref="J133">I133-VLOOKUP(B$2,H1:J210,2,FALSE)</f>
        <v>-5.2192163201264039</v>
      </c>
    </row>
    <row r="134" spans="1:10" ht="21.25" customHeight="1" x14ac:dyDescent="0.15">
      <c r="A134" s="10" t="s">
        <v>647</v>
      </c>
      <c r="B134" s="87" t="str" cm="1">
        <f t="array" ref="B134">VLOOKUP(A134,'The List'!B1:D671,3,FALSE)</f>
        <v>C,LW</v>
      </c>
      <c r="C134" s="88" cm="1">
        <f t="array" ref="C134">IF(Settings!$E$15="POINTS",RANK(E134,E3:E210),H134)</f>
        <v>202</v>
      </c>
      <c r="D134" s="18" t="str" cm="1">
        <f t="array" ref="D134">VLOOKUP(A134,'The List'!B1:F671,5,FALSE)</f>
        <v>SEA</v>
      </c>
      <c r="E134" s="55" cm="1">
        <f t="array" ref="E134">VLOOKUP(A134,'The List'!B1:I671,8,FALSE)</f>
        <v>-4.228311474752303</v>
      </c>
      <c r="F134" s="55" cm="1">
        <f t="array" ref="F134">IF(Settings!$E$15="POINTS",E134-VLOOKUP(B$2,C1:E210,3,FALSE),J134)</f>
        <v>-10.588321032367368</v>
      </c>
      <c r="G134" s="55"/>
      <c r="H134" s="166" cm="1">
        <f t="array" ref="H134">RANK(I134,I3:I210)</f>
        <v>202</v>
      </c>
      <c r="I134" s="167" cm="1">
        <f t="array" ref="I134">VLOOKUP(A134,'Standard Deviations'!A1:C672,3,FALSE)</f>
        <v>-4.228311474752303</v>
      </c>
      <c r="J134" s="167" cm="1">
        <f t="array" ref="J134">I134-VLOOKUP(B$2,H1:J210,2,FALSE)</f>
        <v>-10.588321032367368</v>
      </c>
    </row>
    <row r="135" spans="1:10" ht="21.25" customHeight="1" x14ac:dyDescent="0.15">
      <c r="A135" s="10" t="s">
        <v>624</v>
      </c>
      <c r="B135" s="87" t="str" cm="1">
        <f t="array" ref="B135">VLOOKUP(A135,'The List'!B1:D671,3,FALSE)</f>
        <v>C</v>
      </c>
      <c r="C135" s="88" cm="1">
        <f t="array" ref="C135">IF(Settings!$E$15="POINTS",RANK(E135,E3:E210),H135)</f>
        <v>149</v>
      </c>
      <c r="D135" s="18" t="str" cm="1">
        <f t="array" ref="D135">VLOOKUP(A135,'The List'!B1:F671,5,FALSE)</f>
        <v>STL</v>
      </c>
      <c r="E135" s="55" cm="1">
        <f t="array" ref="E135">VLOOKUP(A135,'The List'!B1:I671,8,FALSE)</f>
        <v>-1.8232029198549249</v>
      </c>
      <c r="F135" s="55" cm="1">
        <f t="array" ref="F135">IF(Settings!$E$15="POINTS",E135-VLOOKUP(B$2,C1:E210,3,FALSE),J135)</f>
        <v>-8.1832124774699899</v>
      </c>
      <c r="G135" s="55"/>
      <c r="H135" s="166" cm="1">
        <f t="array" ref="H135">RANK(I135,I3:I210)</f>
        <v>149</v>
      </c>
      <c r="I135" s="167" cm="1">
        <f t="array" ref="I135">VLOOKUP(A135,'Standard Deviations'!A1:C672,3,FALSE)</f>
        <v>-1.8232029198549249</v>
      </c>
      <c r="J135" s="167" cm="1">
        <f t="array" ref="J135">I135-VLOOKUP(B$2,H1:J210,2,FALSE)</f>
        <v>-8.1832124774699899</v>
      </c>
    </row>
    <row r="136" spans="1:10" ht="21.25" customHeight="1" x14ac:dyDescent="0.15">
      <c r="A136" s="10" t="s">
        <v>625</v>
      </c>
      <c r="B136" s="87" t="str" cm="1">
        <f t="array" ref="B136">VLOOKUP(A136,'The List'!B1:D671,3,FALSE)</f>
        <v>C</v>
      </c>
      <c r="C136" s="88" cm="1">
        <f t="array" ref="C136">IF(Settings!$E$15="POINTS",RANK(E136,E3:E210),H136)</f>
        <v>185</v>
      </c>
      <c r="D136" s="18" t="str" cm="1">
        <f t="array" ref="D136">VLOOKUP(A136,'The List'!B1:F671,5,FALSE)</f>
        <v>VAN</v>
      </c>
      <c r="E136" s="55" cm="1">
        <f t="array" ref="E136">VLOOKUP(A136,'The List'!B1:I671,8,FALSE)</f>
        <v>-3.4729374871748071</v>
      </c>
      <c r="F136" s="55" cm="1">
        <f t="array" ref="F136">IF(Settings!$E$15="POINTS",E136-VLOOKUP(B$2,C1:E210,3,FALSE),J136)</f>
        <v>-9.8329470447898721</v>
      </c>
      <c r="G136" s="55"/>
      <c r="H136" s="166" cm="1">
        <f t="array" ref="H136">RANK(I136,I3:I210)</f>
        <v>185</v>
      </c>
      <c r="I136" s="167" cm="1">
        <f t="array" ref="I136">VLOOKUP(A136,'Standard Deviations'!A1:C672,3,FALSE)</f>
        <v>-3.4729374871748071</v>
      </c>
      <c r="J136" s="167" cm="1">
        <f t="array" ref="J136">I136-VLOOKUP(B$2,H1:J210,2,FALSE)</f>
        <v>-9.8329470447898721</v>
      </c>
    </row>
    <row r="137" spans="1:10" ht="21.25" customHeight="1" x14ac:dyDescent="0.15">
      <c r="A137" s="10" t="s">
        <v>628</v>
      </c>
      <c r="B137" s="87" t="str" cm="1">
        <f t="array" ref="B137">VLOOKUP(A137,'The List'!B1:D671,3,FALSE)</f>
        <v>C</v>
      </c>
      <c r="C137" s="88" cm="1">
        <f t="array" ref="C137">IF(Settings!$E$15="POINTS",RANK(E137,E3:E210),H137)</f>
        <v>151</v>
      </c>
      <c r="D137" s="18" t="str" cm="1">
        <f t="array" ref="D137">VLOOKUP(A137,'The List'!B1:F671,5,FALSE)</f>
        <v>MTL</v>
      </c>
      <c r="E137" s="55" cm="1">
        <f t="array" ref="E137">VLOOKUP(A137,'The List'!B1:I671,8,FALSE)</f>
        <v>-1.8918054087525389</v>
      </c>
      <c r="F137" s="55" cm="1">
        <f t="array" ref="F137">IF(Settings!$E$15="POINTS",E137-VLOOKUP(B$2,C1:E210,3,FALSE),J137)</f>
        <v>-8.2518149663676024</v>
      </c>
      <c r="G137" s="55"/>
      <c r="H137" s="166" cm="1">
        <f t="array" ref="H137">RANK(I137,I3:I210)</f>
        <v>151</v>
      </c>
      <c r="I137" s="167" cm="1">
        <f t="array" ref="I137">VLOOKUP(A137,'Standard Deviations'!A1:C672,3,FALSE)</f>
        <v>-1.8918054087525389</v>
      </c>
      <c r="J137" s="167" cm="1">
        <f t="array" ref="J137">I137-VLOOKUP(B$2,H1:J210,2,FALSE)</f>
        <v>-8.2518149663676024</v>
      </c>
    </row>
    <row r="138" spans="1:10" ht="21.25" customHeight="1" x14ac:dyDescent="0.15">
      <c r="A138" s="10" t="s">
        <v>631</v>
      </c>
      <c r="B138" s="87" t="str" cm="1">
        <f t="array" ref="B138">VLOOKUP(A138,'The List'!B1:D671,3,FALSE)</f>
        <v>C</v>
      </c>
      <c r="C138" s="88" cm="1">
        <f t="array" ref="C138">IF(Settings!$E$15="POINTS",RANK(E138,E3:E210),H138)</f>
        <v>139</v>
      </c>
      <c r="D138" s="18" t="str" cm="1">
        <f t="array" ref="D138">VLOOKUP(A138,'The List'!B1:F671,5,FALSE)</f>
        <v>NYR</v>
      </c>
      <c r="E138" s="55" cm="1">
        <f t="array" ref="E138">VLOOKUP(A138,'The List'!B1:I671,8,FALSE)</f>
        <v>-1.4682289157211754</v>
      </c>
      <c r="F138" s="55" cm="1">
        <f t="array" ref="F138">IF(Settings!$E$15="POINTS",E138-VLOOKUP(B$2,C1:E210,3,FALSE),J138)</f>
        <v>-7.8282384733362393</v>
      </c>
      <c r="G138" s="55"/>
      <c r="H138" s="166" cm="1">
        <f t="array" ref="H138">RANK(I138,I3:I210)</f>
        <v>139</v>
      </c>
      <c r="I138" s="167" cm="1">
        <f t="array" ref="I138">VLOOKUP(A138,'Standard Deviations'!A1:C672,3,FALSE)</f>
        <v>-1.4682289157211754</v>
      </c>
      <c r="J138" s="167" cm="1">
        <f t="array" ref="J138">I138-VLOOKUP(B$2,H1:J210,2,FALSE)</f>
        <v>-7.8282384733362393</v>
      </c>
    </row>
    <row r="139" spans="1:10" ht="21.25" customHeight="1" x14ac:dyDescent="0.15">
      <c r="A139" s="10" t="s">
        <v>633</v>
      </c>
      <c r="B139" s="87" t="str" cm="1">
        <f t="array" ref="B139">VLOOKUP(A139,'The List'!B1:D671,3,FALSE)</f>
        <v>C</v>
      </c>
      <c r="C139" s="88" cm="1">
        <f t="array" ref="C139">IF(Settings!$E$15="POINTS",RANK(E139,E3:E210),H139)</f>
        <v>105</v>
      </c>
      <c r="D139" s="18" t="str" cm="1">
        <f t="array" ref="D139">VLOOKUP(A139,'The List'!B1:F671,5,FALSE)</f>
        <v>T.B</v>
      </c>
      <c r="E139" s="55" cm="1">
        <f t="array" ref="E139">VLOOKUP(A139,'The List'!B1:I671,8,FALSE)</f>
        <v>-0.42427317063778447</v>
      </c>
      <c r="F139" s="55" cm="1">
        <f t="array" ref="F139">IF(Settings!$E$15="POINTS",E139-VLOOKUP(B$2,C1:E210,3,FALSE),J139)</f>
        <v>-6.7842827282528484</v>
      </c>
      <c r="G139" s="55"/>
      <c r="H139" s="166" cm="1">
        <f t="array" ref="H139">RANK(I139,I3:I210)</f>
        <v>105</v>
      </c>
      <c r="I139" s="167" cm="1">
        <f t="array" ref="I139">VLOOKUP(A139,'Standard Deviations'!A1:C672,3,FALSE)</f>
        <v>-0.42427317063778447</v>
      </c>
      <c r="J139" s="167" cm="1">
        <f t="array" ref="J139">I139-VLOOKUP(B$2,H1:J210,2,FALSE)</f>
        <v>-6.7842827282528484</v>
      </c>
    </row>
    <row r="140" spans="1:10" ht="21.25" customHeight="1" x14ac:dyDescent="0.15">
      <c r="A140" s="10" t="s">
        <v>657</v>
      </c>
      <c r="B140" s="87" t="str" cm="1">
        <f t="array" ref="B140">VLOOKUP(A140,'The List'!B1:D671,3,FALSE)</f>
        <v>C,LW</v>
      </c>
      <c r="C140" s="88" cm="1">
        <f t="array" ref="C140">IF(Settings!$E$15="POINTS",RANK(E140,E3:E210),H140)</f>
        <v>128</v>
      </c>
      <c r="D140" s="18" t="str" cm="1">
        <f t="array" ref="D140">VLOOKUP(A140,'The List'!B1:F671,5,FALSE)</f>
        <v>L.A</v>
      </c>
      <c r="E140" s="55" cm="1">
        <f t="array" ref="E140">VLOOKUP(A140,'The List'!B1:I671,8,FALSE)</f>
        <v>-1.2296359703829536</v>
      </c>
      <c r="F140" s="55" cm="1">
        <f t="array" ref="F140">IF(Settings!$E$15="POINTS",E140-VLOOKUP(B$2,C1:E210,3,FALSE),J140)</f>
        <v>-7.5896455279980177</v>
      </c>
      <c r="G140" s="55"/>
      <c r="H140" s="166" cm="1">
        <f t="array" ref="H140">RANK(I140,I3:I210)</f>
        <v>128</v>
      </c>
      <c r="I140" s="167" cm="1">
        <f t="array" ref="I140">VLOOKUP(A140,'Standard Deviations'!A1:C672,3,FALSE)</f>
        <v>-1.2296359703829536</v>
      </c>
      <c r="J140" s="167" cm="1">
        <f t="array" ref="J140">I140-VLOOKUP(B$2,H1:J210,2,FALSE)</f>
        <v>-7.5896455279980177</v>
      </c>
    </row>
    <row r="141" spans="1:10" ht="21.25" customHeight="1" x14ac:dyDescent="0.15">
      <c r="A141" s="10" t="s">
        <v>638</v>
      </c>
      <c r="B141" s="87" t="str" cm="1">
        <f t="array" ref="B141">VLOOKUP(A141,'The List'!B1:D671,3,FALSE)</f>
        <v>C</v>
      </c>
      <c r="C141" s="88" cm="1">
        <f t="array" ref="C141">IF(Settings!$E$15="POINTS",RANK(E141,E3:E210),H141)</f>
        <v>112</v>
      </c>
      <c r="D141" s="18" t="str" cm="1">
        <f t="array" ref="D141">VLOOKUP(A141,'The List'!B1:F671,5,FALSE)</f>
        <v>WPG</v>
      </c>
      <c r="E141" s="55" cm="1">
        <f t="array" ref="E141">VLOOKUP(A141,'The List'!B1:I671,8,FALSE)</f>
        <v>-0.73200420888704998</v>
      </c>
      <c r="F141" s="55" cm="1">
        <f t="array" ref="F141">IF(Settings!$E$15="POINTS",E141-VLOOKUP(B$2,C1:E210,3,FALSE),J141)</f>
        <v>-7.0920137665021139</v>
      </c>
      <c r="G141" s="55"/>
      <c r="H141" s="166" cm="1">
        <f t="array" ref="H141">RANK(I141,I3:I210)</f>
        <v>112</v>
      </c>
      <c r="I141" s="167" cm="1">
        <f t="array" ref="I141">VLOOKUP(A141,'Standard Deviations'!A1:C672,3,FALSE)</f>
        <v>-0.73200420888704998</v>
      </c>
      <c r="J141" s="167" cm="1">
        <f t="array" ref="J141">I141-VLOOKUP(B$2,H1:J210,2,FALSE)</f>
        <v>-7.0920137665021139</v>
      </c>
    </row>
    <row r="142" spans="1:10" ht="21.25" customHeight="1" x14ac:dyDescent="0.15">
      <c r="A142" s="10" t="s">
        <v>639</v>
      </c>
      <c r="B142" s="87" t="str" cm="1">
        <f t="array" ref="B142">VLOOKUP(A142,'The List'!B1:D671,3,FALSE)</f>
        <v>C</v>
      </c>
      <c r="C142" s="88" cm="1">
        <f t="array" ref="C142">IF(Settings!$E$15="POINTS",RANK(E142,E3:E210),H142)</f>
        <v>197</v>
      </c>
      <c r="D142" s="18" t="str" cm="1">
        <f t="array" ref="D142">VLOOKUP(A142,'The List'!B1:F671,5,FALSE)</f>
        <v>DET</v>
      </c>
      <c r="E142" s="55" cm="1">
        <f t="array" ref="E142">VLOOKUP(A142,'The List'!B1:I671,8,FALSE)</f>
        <v>-4.0797476339348249</v>
      </c>
      <c r="F142" s="55" cm="1">
        <f t="array" ref="F142">IF(Settings!$E$15="POINTS",E142-VLOOKUP(B$2,C1:E210,3,FALSE),J142)</f>
        <v>-10.439757191549889</v>
      </c>
      <c r="G142" s="55"/>
      <c r="H142" s="166" cm="1">
        <f t="array" ref="H142">RANK(I142,I3:I210)</f>
        <v>197</v>
      </c>
      <c r="I142" s="167" cm="1">
        <f t="array" ref="I142">VLOOKUP(A142,'Standard Deviations'!A1:C672,3,FALSE)</f>
        <v>-4.0797476339348249</v>
      </c>
      <c r="J142" s="167" cm="1">
        <f t="array" ref="J142">I142-VLOOKUP(B$2,H1:J210,2,FALSE)</f>
        <v>-10.439757191549889</v>
      </c>
    </row>
    <row r="143" spans="1:10" ht="21.25" customHeight="1" x14ac:dyDescent="0.15">
      <c r="A143" s="10" t="s">
        <v>663</v>
      </c>
      <c r="B143" s="87" t="str" cm="1">
        <f t="array" ref="B143">VLOOKUP(A143,'The List'!B1:D671,3,FALSE)</f>
        <v>C,LW</v>
      </c>
      <c r="C143" s="88" cm="1">
        <f t="array" ref="C143">IF(Settings!$E$15="POINTS",RANK(E143,E3:E210),H143)</f>
        <v>79</v>
      </c>
      <c r="D143" s="18" t="str" cm="1">
        <f t="array" ref="D143">VLOOKUP(A143,'The List'!B1:F671,5,FALSE)</f>
        <v>DAL</v>
      </c>
      <c r="E143" s="55" cm="1">
        <f t="array" ref="E143">VLOOKUP(A143,'The List'!B1:I671,8,FALSE)</f>
        <v>0.71433347191421137</v>
      </c>
      <c r="F143" s="55" cm="1">
        <f t="array" ref="F143">IF(Settings!$E$15="POINTS",E143-VLOOKUP(B$2,C1:E210,3,FALSE),J143)</f>
        <v>-5.6456760857008526</v>
      </c>
      <c r="G143" s="55"/>
      <c r="H143" s="166" cm="1">
        <f t="array" ref="H143">RANK(I143,I3:I210)</f>
        <v>79</v>
      </c>
      <c r="I143" s="167" cm="1">
        <f t="array" ref="I143">VLOOKUP(A143,'Standard Deviations'!A1:C672,3,FALSE)</f>
        <v>0.71433347191421137</v>
      </c>
      <c r="J143" s="167" cm="1">
        <f t="array" ref="J143">I143-VLOOKUP(B$2,H1:J210,2,FALSE)</f>
        <v>-5.6456760857008526</v>
      </c>
    </row>
    <row r="144" spans="1:10" ht="21.25" customHeight="1" x14ac:dyDescent="0.15">
      <c r="A144" s="10" t="s">
        <v>665</v>
      </c>
      <c r="B144" s="87" t="str" cm="1">
        <f t="array" ref="B144">VLOOKUP(A144,'The List'!B1:D671,3,FALSE)</f>
        <v>C,LW</v>
      </c>
      <c r="C144" s="88" cm="1">
        <f t="array" ref="C144">IF(Settings!$E$15="POINTS",RANK(E144,E3:E210),H144)</f>
        <v>92</v>
      </c>
      <c r="D144" s="18" t="str" cm="1">
        <f t="array" ref="D144">VLOOKUP(A144,'The List'!B1:F671,5,FALSE)</f>
        <v>T.B</v>
      </c>
      <c r="E144" s="55" cm="1">
        <f t="array" ref="E144">VLOOKUP(A144,'The List'!B1:I671,8,FALSE)</f>
        <v>4.9254592597852698E-2</v>
      </c>
      <c r="F144" s="55" cm="1">
        <f t="array" ref="F144">IF(Settings!$E$15="POINTS",E144-VLOOKUP(B$2,C1:E210,3,FALSE),J144)</f>
        <v>-6.3107549650172112</v>
      </c>
      <c r="G144" s="55"/>
      <c r="H144" s="166" cm="1">
        <f t="array" ref="H144">RANK(I144,I3:I210)</f>
        <v>92</v>
      </c>
      <c r="I144" s="167" cm="1">
        <f t="array" ref="I144">VLOOKUP(A144,'Standard Deviations'!A1:C672,3,FALSE)</f>
        <v>4.9254592597852698E-2</v>
      </c>
      <c r="J144" s="167" cm="1">
        <f t="array" ref="J144">I144-VLOOKUP(B$2,H1:J210,2,FALSE)</f>
        <v>-6.3107549650172112</v>
      </c>
    </row>
    <row r="145" spans="1:10" ht="21.25" customHeight="1" x14ac:dyDescent="0.15">
      <c r="A145" s="10" t="s">
        <v>669</v>
      </c>
      <c r="B145" s="87" t="str" cm="1">
        <f t="array" ref="B145">VLOOKUP(A145,'The List'!B1:D671,3,FALSE)</f>
        <v>C,LW</v>
      </c>
      <c r="C145" s="88" cm="1">
        <f t="array" ref="C145">IF(Settings!$E$15="POINTS",RANK(E145,E3:E210),H145)</f>
        <v>99</v>
      </c>
      <c r="D145" s="18" t="str" cm="1">
        <f t="array" ref="D145">VLOOKUP(A145,'The List'!B1:F671,5,FALSE)</f>
        <v>WPG</v>
      </c>
      <c r="E145" s="55" cm="1">
        <f t="array" ref="E145">VLOOKUP(A145,'The List'!B1:I671,8,FALSE)</f>
        <v>-0.14917996826040231</v>
      </c>
      <c r="F145" s="55" cm="1">
        <f t="array" ref="F145">IF(Settings!$E$15="POINTS",E145-VLOOKUP(B$2,C1:E210,3,FALSE),J145)</f>
        <v>-6.5091895258754668</v>
      </c>
      <c r="G145" s="55"/>
      <c r="H145" s="166" cm="1">
        <f t="array" ref="H145">RANK(I145,I3:I210)</f>
        <v>99</v>
      </c>
      <c r="I145" s="167" cm="1">
        <f t="array" ref="I145">VLOOKUP(A145,'Standard Deviations'!A1:C672,3,FALSE)</f>
        <v>-0.14917996826040231</v>
      </c>
      <c r="J145" s="167" cm="1">
        <f t="array" ref="J145">I145-VLOOKUP(B$2,H1:J210,2,FALSE)</f>
        <v>-6.5091895258754668</v>
      </c>
    </row>
    <row r="146" spans="1:10" ht="21.25" customHeight="1" x14ac:dyDescent="0.15">
      <c r="A146" s="10" t="s">
        <v>670</v>
      </c>
      <c r="B146" s="87" t="str" cm="1">
        <f t="array" ref="B146">VLOOKUP(A146,'The List'!B1:D671,3,FALSE)</f>
        <v>C,LW</v>
      </c>
      <c r="C146" s="88" cm="1">
        <f t="array" ref="C146">IF(Settings!$E$15="POINTS",RANK(E146,E3:E210),H146)</f>
        <v>188</v>
      </c>
      <c r="D146" s="18" t="str" cm="1">
        <f t="array" ref="D146">VLOOKUP(A146,'The List'!B1:F671,5,FALSE)</f>
        <v>TOR</v>
      </c>
      <c r="E146" s="55" cm="1">
        <f t="array" ref="E146">VLOOKUP(A146,'The List'!B1:I671,8,FALSE)</f>
        <v>-3.5421308083116156</v>
      </c>
      <c r="F146" s="55" cm="1">
        <f t="array" ref="F146">IF(Settings!$E$15="POINTS",E146-VLOOKUP(B$2,C1:E210,3,FALSE),J146)</f>
        <v>-9.9021403659266802</v>
      </c>
      <c r="G146" s="55"/>
      <c r="H146" s="166" cm="1">
        <f t="array" ref="H146">RANK(I146,I3:I210)</f>
        <v>188</v>
      </c>
      <c r="I146" s="167" cm="1">
        <f t="array" ref="I146">VLOOKUP(A146,'Standard Deviations'!A1:C672,3,FALSE)</f>
        <v>-3.5421308083116156</v>
      </c>
      <c r="J146" s="167" cm="1">
        <f t="array" ref="J146">I146-VLOOKUP(B$2,H1:J210,2,FALSE)</f>
        <v>-9.9021403659266802</v>
      </c>
    </row>
    <row r="147" spans="1:10" ht="21.25" customHeight="1" x14ac:dyDescent="0.15">
      <c r="A147" s="10" t="s">
        <v>664</v>
      </c>
      <c r="B147" s="87" t="str" cm="1">
        <f t="array" ref="B147">VLOOKUP(A147,'The List'!B1:D671,3,FALSE)</f>
        <v>C,RW</v>
      </c>
      <c r="C147" s="88" cm="1">
        <f t="array" ref="C147">IF(Settings!$E$15="POINTS",RANK(E147,E3:E210),H147)</f>
        <v>118</v>
      </c>
      <c r="D147" s="18" t="str" cm="1">
        <f t="array" ref="D147">VLOOKUP(A147,'The List'!B1:F671,5,FALSE)</f>
        <v>COL</v>
      </c>
      <c r="E147" s="55" cm="1">
        <f t="array" ref="E147">VLOOKUP(A147,'The List'!B1:I671,8,FALSE)</f>
        <v>-0.9511738264205809</v>
      </c>
      <c r="F147" s="55" cm="1">
        <f t="array" ref="F147">IF(Settings!$E$15="POINTS",E147-VLOOKUP(B$2,C1:E210,3,FALSE),J147)</f>
        <v>-7.3111833840356448</v>
      </c>
      <c r="G147" s="55"/>
      <c r="H147" s="166" cm="1">
        <f t="array" ref="H147">RANK(I147,I3:I210)</f>
        <v>118</v>
      </c>
      <c r="I147" s="167" cm="1">
        <f t="array" ref="I147">VLOOKUP(A147,'Standard Deviations'!A1:C672,3,FALSE)</f>
        <v>-0.9511738264205809</v>
      </c>
      <c r="J147" s="167" cm="1">
        <f t="array" ref="J147">I147-VLOOKUP(B$2,H1:J210,2,FALSE)</f>
        <v>-7.3111833840356448</v>
      </c>
    </row>
    <row r="148" spans="1:10" ht="21.25" customHeight="1" x14ac:dyDescent="0.15">
      <c r="A148" s="10" t="s">
        <v>666</v>
      </c>
      <c r="B148" s="87" t="str" cm="1">
        <f t="array" ref="B148">VLOOKUP(A148,'The List'!B1:D671,3,FALSE)</f>
        <v>C,RW</v>
      </c>
      <c r="C148" s="88" cm="1">
        <f t="array" ref="C148">IF(Settings!$E$15="POINTS",RANK(E148,E3:E210),H148)</f>
        <v>178</v>
      </c>
      <c r="D148" s="18" t="str" cm="1">
        <f t="array" ref="D148">VLOOKUP(A148,'The List'!B1:F671,5,FALSE)</f>
        <v>N.J</v>
      </c>
      <c r="E148" s="55" cm="1">
        <f t="array" ref="E148">VLOOKUP(A148,'The List'!B1:I671,8,FALSE)</f>
        <v>-3.1341786946669719</v>
      </c>
      <c r="F148" s="55" cm="1">
        <f t="array" ref="F148">IF(Settings!$E$15="POINTS",E148-VLOOKUP(B$2,C1:E210,3,FALSE),J148)</f>
        <v>-9.4941882522820364</v>
      </c>
      <c r="G148" s="55"/>
      <c r="H148" s="166" cm="1">
        <f t="array" ref="H148">RANK(I148,I3:I210)</f>
        <v>178</v>
      </c>
      <c r="I148" s="167" cm="1">
        <f t="array" ref="I148">VLOOKUP(A148,'Standard Deviations'!A1:C672,3,FALSE)</f>
        <v>-3.1341786946669719</v>
      </c>
      <c r="J148" s="167" cm="1">
        <f t="array" ref="J148">I148-VLOOKUP(B$2,H1:J210,2,FALSE)</f>
        <v>-9.4941882522820364</v>
      </c>
    </row>
    <row r="149" spans="1:10" ht="21.25" customHeight="1" x14ac:dyDescent="0.15">
      <c r="A149" s="10" t="s">
        <v>676</v>
      </c>
      <c r="B149" s="87" t="str" cm="1">
        <f t="array" ref="B149">VLOOKUP(A149,'The List'!B1:D671,3,FALSE)</f>
        <v>C,LW</v>
      </c>
      <c r="C149" s="88" cm="1">
        <f t="array" ref="C149">IF(Settings!$E$15="POINTS",RANK(E149,E3:E210),H149)</f>
        <v>184</v>
      </c>
      <c r="D149" s="18" t="str" cm="1">
        <f t="array" ref="D149">VLOOKUP(A149,'The List'!B1:F671,5,FALSE)</f>
        <v>BOS</v>
      </c>
      <c r="E149" s="55" cm="1">
        <f t="array" ref="E149">VLOOKUP(A149,'The List'!B1:I671,8,FALSE)</f>
        <v>-3.3694763946567914</v>
      </c>
      <c r="F149" s="55" cm="1">
        <f t="array" ref="F149">IF(Settings!$E$15="POINTS",E149-VLOOKUP(B$2,C1:E210,3,FALSE),J149)</f>
        <v>-9.7294859522718546</v>
      </c>
      <c r="G149" s="55"/>
      <c r="H149" s="166" cm="1">
        <f t="array" ref="H149">RANK(I149,I3:I210)</f>
        <v>184</v>
      </c>
      <c r="I149" s="167" cm="1">
        <f t="array" ref="I149">VLOOKUP(A149,'Standard Deviations'!A1:C672,3,FALSE)</f>
        <v>-3.3694763946567914</v>
      </c>
      <c r="J149" s="167" cm="1">
        <f t="array" ref="J149">I149-VLOOKUP(B$2,H1:J210,2,FALSE)</f>
        <v>-9.7294859522718546</v>
      </c>
    </row>
    <row r="150" spans="1:10" ht="21.25" customHeight="1" x14ac:dyDescent="0.15">
      <c r="A150" s="10" t="s">
        <v>677</v>
      </c>
      <c r="B150" s="87" t="str" cm="1">
        <f t="array" ref="B150">VLOOKUP(A150,'The List'!B1:D671,3,FALSE)</f>
        <v>C,LW</v>
      </c>
      <c r="C150" s="88" cm="1">
        <f t="array" ref="C150">IF(Settings!$E$15="POINTS",RANK(E150,E3:E210),H150)</f>
        <v>121</v>
      </c>
      <c r="D150" s="18" t="str" cm="1">
        <f t="array" ref="D150">VLOOKUP(A150,'The List'!B1:F671,5,FALSE)</f>
        <v>PIT</v>
      </c>
      <c r="E150" s="55" cm="1">
        <f t="array" ref="E150">VLOOKUP(A150,'The List'!B1:I671,8,FALSE)</f>
        <v>-1.1397600834011909</v>
      </c>
      <c r="F150" s="55" cm="1">
        <f t="array" ref="F150">IF(Settings!$E$15="POINTS",E150-VLOOKUP(B$2,C1:E210,3,FALSE),J150)</f>
        <v>-7.4997696410162549</v>
      </c>
      <c r="G150" s="55"/>
      <c r="H150" s="166" cm="1">
        <f t="array" ref="H150">RANK(I150,I3:I210)</f>
        <v>121</v>
      </c>
      <c r="I150" s="167" cm="1">
        <f t="array" ref="I150">VLOOKUP(A150,'Standard Deviations'!A1:C672,3,FALSE)</f>
        <v>-1.1397600834011909</v>
      </c>
      <c r="J150" s="167" cm="1">
        <f t="array" ref="J150">I150-VLOOKUP(B$2,H1:J210,2,FALSE)</f>
        <v>-7.4997696410162549</v>
      </c>
    </row>
    <row r="151" spans="1:10" ht="21.25" customHeight="1" x14ac:dyDescent="0.15">
      <c r="A151" s="10" t="s">
        <v>653</v>
      </c>
      <c r="B151" s="87" t="str" cm="1">
        <f t="array" ref="B151">VLOOKUP(A151,'The List'!B1:D671,3,FALSE)</f>
        <v>C</v>
      </c>
      <c r="C151" s="88" cm="1">
        <f t="array" ref="C151">IF(Settings!$E$15="POINTS",RANK(E151,E3:E210),H151)</f>
        <v>157</v>
      </c>
      <c r="D151" s="18" t="str" cm="1">
        <f t="array" ref="D151">VLOOKUP(A151,'The List'!B1:F671,5,FALSE)</f>
        <v>TOR</v>
      </c>
      <c r="E151" s="55" cm="1">
        <f t="array" ref="E151">VLOOKUP(A151,'The List'!B1:I671,8,FALSE)</f>
        <v>-2.3293513954864569</v>
      </c>
      <c r="F151" s="55" cm="1">
        <f t="array" ref="F151">IF(Settings!$E$15="POINTS",E151-VLOOKUP(B$2,C1:E210,3,FALSE),J151)</f>
        <v>-8.6893609531015201</v>
      </c>
      <c r="G151" s="55"/>
      <c r="H151" s="166" cm="1">
        <f t="array" ref="H151">RANK(I151,I3:I210)</f>
        <v>157</v>
      </c>
      <c r="I151" s="167" cm="1">
        <f t="array" ref="I151">VLOOKUP(A151,'Standard Deviations'!A1:C672,3,FALSE)</f>
        <v>-2.3293513954864569</v>
      </c>
      <c r="J151" s="167" cm="1">
        <f t="array" ref="J151">I151-VLOOKUP(B$2,H1:J210,2,FALSE)</f>
        <v>-8.6893609531015201</v>
      </c>
    </row>
    <row r="152" spans="1:10" ht="21.25" customHeight="1" x14ac:dyDescent="0.15">
      <c r="A152" s="10" t="s">
        <v>656</v>
      </c>
      <c r="B152" s="87" t="str" cm="1">
        <f t="array" ref="B152">VLOOKUP(A152,'The List'!B1:D671,3,FALSE)</f>
        <v>C</v>
      </c>
      <c r="C152" s="88" cm="1">
        <f t="array" ref="C152">IF(Settings!$E$15="POINTS",RANK(E152,E3:E210),H152)</f>
        <v>131</v>
      </c>
      <c r="D152" s="18" t="str" cm="1">
        <f t="array" ref="D152">VLOOKUP(A152,'The List'!B1:F671,5,FALSE)</f>
        <v>DET</v>
      </c>
      <c r="E152" s="55" cm="1">
        <f t="array" ref="E152">VLOOKUP(A152,'The List'!B1:I671,8,FALSE)</f>
        <v>-1.254224741914155</v>
      </c>
      <c r="F152" s="55" cm="1">
        <f t="array" ref="F152">IF(Settings!$E$15="POINTS",E152-VLOOKUP(B$2,C1:E210,3,FALSE),J152)</f>
        <v>-7.6142342995292189</v>
      </c>
      <c r="G152" s="55"/>
      <c r="H152" s="166" cm="1">
        <f t="array" ref="H152">RANK(I152,I3:I210)</f>
        <v>131</v>
      </c>
      <c r="I152" s="167" cm="1">
        <f t="array" ref="I152">VLOOKUP(A152,'Standard Deviations'!A1:C672,3,FALSE)</f>
        <v>-1.254224741914155</v>
      </c>
      <c r="J152" s="167" cm="1">
        <f t="array" ref="J152">I152-VLOOKUP(B$2,H1:J210,2,FALSE)</f>
        <v>-7.6142342995292189</v>
      </c>
    </row>
    <row r="153" spans="1:10" ht="21.25" customHeight="1" x14ac:dyDescent="0.15">
      <c r="A153" s="10" t="s">
        <v>681</v>
      </c>
      <c r="B153" s="87" t="str" cm="1">
        <f t="array" ref="B153">VLOOKUP(A153,'The List'!B1:D671,3,FALSE)</f>
        <v>C,LW</v>
      </c>
      <c r="C153" s="88" cm="1">
        <f t="array" ref="C153">IF(Settings!$E$15="POINTS",RANK(E153,E3:E210),H153)</f>
        <v>75</v>
      </c>
      <c r="D153" s="18" t="str" cm="1">
        <f t="array" ref="D153">VLOOKUP(A153,'The List'!B1:F671,5,FALSE)</f>
        <v>UTA</v>
      </c>
      <c r="E153" s="55" cm="1">
        <f t="array" ref="E153">VLOOKUP(A153,'The List'!B1:I671,8,FALSE)</f>
        <v>1.232299799373078</v>
      </c>
      <c r="F153" s="55" cm="1">
        <f t="array" ref="F153">IF(Settings!$E$15="POINTS",E153-VLOOKUP(B$2,C1:E210,3,FALSE),J153)</f>
        <v>-5.1277097582419859</v>
      </c>
      <c r="G153" s="55"/>
      <c r="H153" s="166" cm="1">
        <f t="array" ref="H153">RANK(I153,I3:I210)</f>
        <v>75</v>
      </c>
      <c r="I153" s="167" cm="1">
        <f t="array" ref="I153">VLOOKUP(A153,'Standard Deviations'!A1:C672,3,FALSE)</f>
        <v>1.232299799373078</v>
      </c>
      <c r="J153" s="167" cm="1">
        <f t="array" ref="J153">I153-VLOOKUP(B$2,H1:J210,2,FALSE)</f>
        <v>-5.1277097582419859</v>
      </c>
    </row>
    <row r="154" spans="1:10" ht="21.25" customHeight="1" x14ac:dyDescent="0.15">
      <c r="A154" s="10" t="s">
        <v>658</v>
      </c>
      <c r="B154" s="87" t="str" cm="1">
        <f t="array" ref="B154">VLOOKUP(A154,'The List'!B1:D671,3,FALSE)</f>
        <v>C</v>
      </c>
      <c r="C154" s="88" cm="1">
        <f t="array" ref="C154">IF(Settings!$E$15="POINTS",RANK(E154,E3:E210),H154)</f>
        <v>201</v>
      </c>
      <c r="D154" s="18" t="str" cm="1">
        <f t="array" ref="D154">VLOOKUP(A154,'The List'!B1:F671,5,FALSE)</f>
        <v>CGY</v>
      </c>
      <c r="E154" s="55" cm="1">
        <f t="array" ref="E154">VLOOKUP(A154,'The List'!B1:I671,8,FALSE)</f>
        <v>-4.2059547490298357</v>
      </c>
      <c r="F154" s="55" cm="1">
        <f t="array" ref="F154">IF(Settings!$E$15="POINTS",E154-VLOOKUP(B$2,C1:E210,3,FALSE),J154)</f>
        <v>-10.565964306644901</v>
      </c>
      <c r="G154" s="55"/>
      <c r="H154" s="166" cm="1">
        <f t="array" ref="H154">RANK(I154,I3:I210)</f>
        <v>201</v>
      </c>
      <c r="I154" s="167" cm="1">
        <f t="array" ref="I154">VLOOKUP(A154,'Standard Deviations'!A1:C672,3,FALSE)</f>
        <v>-4.2059547490298357</v>
      </c>
      <c r="J154" s="167" cm="1">
        <f t="array" ref="J154">I154-VLOOKUP(B$2,H1:J210,2,FALSE)</f>
        <v>-10.565964306644901</v>
      </c>
    </row>
    <row r="155" spans="1:10" ht="21.25" customHeight="1" x14ac:dyDescent="0.15">
      <c r="A155" s="10" t="s">
        <v>672</v>
      </c>
      <c r="B155" s="87" t="str" cm="1">
        <f t="array" ref="B155">VLOOKUP(A155,'The List'!B1:D671,3,FALSE)</f>
        <v>C,RW</v>
      </c>
      <c r="C155" s="88" cm="1">
        <f t="array" ref="C155">IF(Settings!$E$15="POINTS",RANK(E155,E3:E210),H155)</f>
        <v>148</v>
      </c>
      <c r="D155" s="18" t="str" cm="1">
        <f t="array" ref="D155">VLOOKUP(A155,'The List'!B1:F671,5,FALSE)</f>
        <v>MTL</v>
      </c>
      <c r="E155" s="55" cm="1">
        <f t="array" ref="E155">VLOOKUP(A155,'The List'!B1:I671,8,FALSE)</f>
        <v>-1.8102459853513537</v>
      </c>
      <c r="F155" s="55" cm="1">
        <f t="array" ref="F155">IF(Settings!$E$15="POINTS",E155-VLOOKUP(B$2,C1:E210,3,FALSE),J155)</f>
        <v>-8.1702555429664177</v>
      </c>
      <c r="G155" s="55"/>
      <c r="H155" s="166" cm="1">
        <f t="array" ref="H155">RANK(I155,I3:I210)</f>
        <v>148</v>
      </c>
      <c r="I155" s="167" cm="1">
        <f t="array" ref="I155">VLOOKUP(A155,'Standard Deviations'!A1:C672,3,FALSE)</f>
        <v>-1.8102459853513537</v>
      </c>
      <c r="J155" s="167" cm="1">
        <f t="array" ref="J155">I155-VLOOKUP(B$2,H1:J210,2,FALSE)</f>
        <v>-8.1702555429664177</v>
      </c>
    </row>
    <row r="156" spans="1:10" ht="21.25" customHeight="1" x14ac:dyDescent="0.15">
      <c r="A156" s="10" t="s">
        <v>674</v>
      </c>
      <c r="B156" s="87" t="str" cm="1">
        <f t="array" ref="B156">VLOOKUP(A156,'The List'!B1:D671,3,FALSE)</f>
        <v>C,RW</v>
      </c>
      <c r="C156" s="88" cm="1">
        <f t="array" ref="C156">IF(Settings!$E$15="POINTS",RANK(E156,E3:E210),H156)</f>
        <v>124</v>
      </c>
      <c r="D156" s="18" t="str" cm="1">
        <f t="array" ref="D156">VLOOKUP(A156,'The List'!B1:F671,5,FALSE)</f>
        <v>WSH</v>
      </c>
      <c r="E156" s="55" cm="1">
        <f t="array" ref="E156">VLOOKUP(A156,'The List'!B1:I671,8,FALSE)</f>
        <v>-1.1902907480935121</v>
      </c>
      <c r="F156" s="55" cm="1">
        <f t="array" ref="F156">IF(Settings!$E$15="POINTS",E156-VLOOKUP(B$2,C1:E210,3,FALSE),J156)</f>
        <v>-7.5503003057085767</v>
      </c>
      <c r="G156" s="55"/>
      <c r="H156" s="166" cm="1">
        <f t="array" ref="H156">RANK(I156,I3:I210)</f>
        <v>124</v>
      </c>
      <c r="I156" s="167" cm="1">
        <f t="array" ref="I156">VLOOKUP(A156,'Standard Deviations'!A1:C672,3,FALSE)</f>
        <v>-1.1902907480935121</v>
      </c>
      <c r="J156" s="167" cm="1">
        <f t="array" ref="J156">I156-VLOOKUP(B$2,H1:J210,2,FALSE)</f>
        <v>-7.5503003057085767</v>
      </c>
    </row>
    <row r="157" spans="1:10" ht="21.25" customHeight="1" x14ac:dyDescent="0.15">
      <c r="A157" s="10" t="s">
        <v>682</v>
      </c>
      <c r="B157" s="87" t="str" cm="1">
        <f t="array" ref="B157">VLOOKUP(A157,'The List'!B1:D671,3,FALSE)</f>
        <v>C,LW</v>
      </c>
      <c r="C157" s="88" cm="1">
        <f t="array" ref="C157">IF(Settings!$E$15="POINTS",RANK(E157,E3:E210),H157)</f>
        <v>108</v>
      </c>
      <c r="D157" s="18" t="str" cm="1">
        <f t="array" ref="D157">VLOOKUP(A157,'The List'!B1:F671,5,FALSE)</f>
        <v>BUF</v>
      </c>
      <c r="E157" s="55" cm="1">
        <f t="array" ref="E157">VLOOKUP(A157,'The List'!B1:I671,8,FALSE)</f>
        <v>-0.54275777847077866</v>
      </c>
      <c r="F157" s="55" cm="1">
        <f t="array" ref="F157">IF(Settings!$E$15="POINTS",E157-VLOOKUP(B$2,C1:E210,3,FALSE),J157)</f>
        <v>-6.9027673360858426</v>
      </c>
      <c r="G157" s="55"/>
      <c r="H157" s="166" cm="1">
        <f t="array" ref="H157">RANK(I157,I3:I210)</f>
        <v>108</v>
      </c>
      <c r="I157" s="167" cm="1">
        <f t="array" ref="I157">VLOOKUP(A157,'Standard Deviations'!A1:C672,3,FALSE)</f>
        <v>-0.54275777847077866</v>
      </c>
      <c r="J157" s="167" cm="1">
        <f t="array" ref="J157">I157-VLOOKUP(B$2,H1:J210,2,FALSE)</f>
        <v>-6.9027673360858426</v>
      </c>
    </row>
    <row r="158" spans="1:10" ht="21.25" customHeight="1" x14ac:dyDescent="0.15">
      <c r="A158" s="10" t="s">
        <v>683</v>
      </c>
      <c r="B158" s="87" t="str" cm="1">
        <f t="array" ref="B158">VLOOKUP(A158,'The List'!B1:D671,3,FALSE)</f>
        <v>C,LW</v>
      </c>
      <c r="C158" s="88" cm="1">
        <f t="array" ref="C158">IF(Settings!$E$15="POINTS",RANK(E158,E3:E210),H158)</f>
        <v>116</v>
      </c>
      <c r="D158" s="18" t="str" cm="1">
        <f t="array" ref="D158">VLOOKUP(A158,'The List'!B1:F671,5,FALSE)</f>
        <v>DAL</v>
      </c>
      <c r="E158" s="55" cm="1">
        <f t="array" ref="E158">VLOOKUP(A158,'The List'!B1:I671,8,FALSE)</f>
        <v>-0.83151698307592525</v>
      </c>
      <c r="F158" s="55" cm="1">
        <f t="array" ref="F158">IF(Settings!$E$15="POINTS",E158-VLOOKUP(B$2,C1:E210,3,FALSE),J158)</f>
        <v>-7.1915265406909894</v>
      </c>
      <c r="G158" s="55"/>
      <c r="H158" s="166" cm="1">
        <f t="array" ref="H158">RANK(I158,I3:I210)</f>
        <v>116</v>
      </c>
      <c r="I158" s="167" cm="1">
        <f t="array" ref="I158">VLOOKUP(A158,'Standard Deviations'!A1:C672,3,FALSE)</f>
        <v>-0.83151698307592525</v>
      </c>
      <c r="J158" s="167" cm="1">
        <f t="array" ref="J158">I158-VLOOKUP(B$2,H1:J210,2,FALSE)</f>
        <v>-7.1915265406909894</v>
      </c>
    </row>
    <row r="159" spans="1:10" ht="21.25" customHeight="1" x14ac:dyDescent="0.15">
      <c r="A159" s="10" t="s">
        <v>661</v>
      </c>
      <c r="B159" s="87" t="str" cm="1">
        <f t="array" ref="B159">VLOOKUP(A159,'The List'!B1:D671,3,FALSE)</f>
        <v>C</v>
      </c>
      <c r="C159" s="88" cm="1">
        <f t="array" ref="C159">IF(Settings!$E$15="POINTS",RANK(E159,E3:E210),H159)</f>
        <v>162</v>
      </c>
      <c r="D159" s="18" t="str" cm="1">
        <f t="array" ref="D159">VLOOKUP(A159,'The List'!B1:F671,5,FALSE)</f>
        <v>MTL</v>
      </c>
      <c r="E159" s="55" cm="1">
        <f t="array" ref="E159">VLOOKUP(A159,'The List'!B1:I671,8,FALSE)</f>
        <v>-2.5210520289238287</v>
      </c>
      <c r="F159" s="55" cm="1">
        <f t="array" ref="F159">IF(Settings!$E$15="POINTS",E159-VLOOKUP(B$2,C1:E210,3,FALSE),J159)</f>
        <v>-8.8810615865388929</v>
      </c>
      <c r="G159" s="55"/>
      <c r="H159" s="166" cm="1">
        <f t="array" ref="H159">RANK(I159,I3:I210)</f>
        <v>162</v>
      </c>
      <c r="I159" s="167" cm="1">
        <f t="array" ref="I159">VLOOKUP(A159,'Standard Deviations'!A1:C672,3,FALSE)</f>
        <v>-2.5210520289238287</v>
      </c>
      <c r="J159" s="167" cm="1">
        <f t="array" ref="J159">I159-VLOOKUP(B$2,H1:J210,2,FALSE)</f>
        <v>-8.8810615865388929</v>
      </c>
    </row>
    <row r="160" spans="1:10" ht="21.25" customHeight="1" x14ac:dyDescent="0.15">
      <c r="A160" s="10" t="s">
        <v>678</v>
      </c>
      <c r="B160" s="87" t="str" cm="1">
        <f t="array" ref="B160">VLOOKUP(A160,'The List'!B1:D671,3,FALSE)</f>
        <v>C,RW</v>
      </c>
      <c r="C160" s="88" cm="1">
        <f t="array" ref="C160">IF(Settings!$E$15="POINTS",RANK(E160,E3:E210),H160)</f>
        <v>207</v>
      </c>
      <c r="D160" s="18" t="str" cm="1">
        <f t="array" ref="D160">VLOOKUP(A160,'The List'!B1:F671,5,FALSE)</f>
        <v>SEA</v>
      </c>
      <c r="E160" s="55" cm="1">
        <f t="array" ref="E160">VLOOKUP(A160,'The List'!B1:I671,8,FALSE)</f>
        <v>-5.6293011214189415</v>
      </c>
      <c r="F160" s="55" cm="1">
        <f t="array" ref="F160">IF(Settings!$E$15="POINTS",E160-VLOOKUP(B$2,C1:E210,3,FALSE),J160)</f>
        <v>-11.989310679034006</v>
      </c>
      <c r="G160" s="55"/>
      <c r="H160" s="166" cm="1">
        <f t="array" ref="H160">RANK(I160,I3:I210)</f>
        <v>207</v>
      </c>
      <c r="I160" s="167" cm="1">
        <f t="array" ref="I160">VLOOKUP(A160,'Standard Deviations'!A1:C672,3,FALSE)</f>
        <v>-5.6293011214189415</v>
      </c>
      <c r="J160" s="167" cm="1">
        <f t="array" ref="J160">I160-VLOOKUP(B$2,H1:J210,2,FALSE)</f>
        <v>-11.989310679034006</v>
      </c>
    </row>
    <row r="161" spans="1:10" ht="21.25" customHeight="1" x14ac:dyDescent="0.15">
      <c r="A161" s="10" t="s">
        <v>695</v>
      </c>
      <c r="B161" s="87" t="str" cm="1">
        <f t="array" ref="B161">VLOOKUP(A161,'The List'!B1:D671,3,FALSE)</f>
        <v>C,LW</v>
      </c>
      <c r="C161" s="88" cm="1">
        <f t="array" ref="C161">IF(Settings!$E$15="POINTS",RANK(E161,E3:E210),H161)</f>
        <v>169</v>
      </c>
      <c r="D161" s="18" t="str" cm="1">
        <f t="array" ref="D161">VLOOKUP(A161,'The List'!B1:F671,5,FALSE)</f>
        <v>WPG</v>
      </c>
      <c r="E161" s="55" cm="1">
        <f t="array" ref="E161">VLOOKUP(A161,'The List'!B1:I671,8,FALSE)</f>
        <v>-2.7521995623433098</v>
      </c>
      <c r="F161" s="55" cm="1">
        <f t="array" ref="F161">IF(Settings!$E$15="POINTS",E161-VLOOKUP(B$2,C1:E210,3,FALSE),J161)</f>
        <v>-9.1122091199583739</v>
      </c>
      <c r="G161" s="55"/>
      <c r="H161" s="166" cm="1">
        <f t="array" ref="H161">RANK(I161,I3:I210)</f>
        <v>169</v>
      </c>
      <c r="I161" s="167" cm="1">
        <f t="array" ref="I161">VLOOKUP(A161,'Standard Deviations'!A1:C672,3,FALSE)</f>
        <v>-2.7521995623433098</v>
      </c>
      <c r="J161" s="167" cm="1">
        <f t="array" ref="J161">I161-VLOOKUP(B$2,H1:J210,2,FALSE)</f>
        <v>-9.1122091199583739</v>
      </c>
    </row>
    <row r="162" spans="1:10" ht="21.25" customHeight="1" x14ac:dyDescent="0.15">
      <c r="A162" s="10" t="s">
        <v>687</v>
      </c>
      <c r="B162" s="87" t="str" cm="1">
        <f t="array" ref="B162">VLOOKUP(A162,'The List'!B1:D671,3,FALSE)</f>
        <v>C,RW</v>
      </c>
      <c r="C162" s="88" cm="1">
        <f t="array" ref="C162">IF(Settings!$E$15="POINTS",RANK(E162,E3:E210),H162)</f>
        <v>161</v>
      </c>
      <c r="D162" s="18" t="str" cm="1">
        <f t="array" ref="D162">VLOOKUP(A162,'The List'!B1:F671,5,FALSE)</f>
        <v>PHI</v>
      </c>
      <c r="E162" s="55" cm="1">
        <f t="array" ref="E162">VLOOKUP(A162,'The List'!B1:I671,8,FALSE)</f>
        <v>-2.4421427064460115</v>
      </c>
      <c r="F162" s="55" cm="1">
        <f t="array" ref="F162">IF(Settings!$E$15="POINTS",E162-VLOOKUP(B$2,C1:E210,3,FALSE),J162)</f>
        <v>-8.8021522640610748</v>
      </c>
      <c r="G162" s="55"/>
      <c r="H162" s="166" cm="1">
        <f t="array" ref="H162">RANK(I162,I3:I210)</f>
        <v>161</v>
      </c>
      <c r="I162" s="167" cm="1">
        <f t="array" ref="I162">VLOOKUP(A162,'Standard Deviations'!A1:C672,3,FALSE)</f>
        <v>-2.4421427064460115</v>
      </c>
      <c r="J162" s="167" cm="1">
        <f t="array" ref="J162">I162-VLOOKUP(B$2,H1:J210,2,FALSE)</f>
        <v>-8.8021522640610748</v>
      </c>
    </row>
    <row r="163" spans="1:10" ht="21.25" customHeight="1" x14ac:dyDescent="0.15">
      <c r="A163" s="10" t="s">
        <v>697</v>
      </c>
      <c r="B163" s="87" t="str" cm="1">
        <f t="array" ref="B163">VLOOKUP(A163,'The List'!B1:D671,3,FALSE)</f>
        <v>C,LW</v>
      </c>
      <c r="C163" s="88" cm="1">
        <f t="array" ref="C163">IF(Settings!$E$15="POINTS",RANK(E163,E3:E210),H163)</f>
        <v>182</v>
      </c>
      <c r="D163" s="18" t="str" cm="1">
        <f t="array" ref="D163">VLOOKUP(A163,'The List'!B1:F671,5,FALSE)</f>
        <v>DET</v>
      </c>
      <c r="E163" s="55" cm="1">
        <f t="array" ref="E163">VLOOKUP(A163,'The List'!B1:I671,8,FALSE)</f>
        <v>-3.2939768033201537</v>
      </c>
      <c r="F163" s="55" cm="1">
        <f t="array" ref="F163">IF(Settings!$E$15="POINTS",E163-VLOOKUP(B$2,C1:E210,3,FALSE),J163)</f>
        <v>-9.6539863609352174</v>
      </c>
      <c r="G163" s="55"/>
      <c r="H163" s="166" cm="1">
        <f t="array" ref="H163">RANK(I163,I3:I210)</f>
        <v>182</v>
      </c>
      <c r="I163" s="167" cm="1">
        <f t="array" ref="I163">VLOOKUP(A163,'Standard Deviations'!A1:C672,3,FALSE)</f>
        <v>-3.2939768033201537</v>
      </c>
      <c r="J163" s="167" cm="1">
        <f t="array" ref="J163">I163-VLOOKUP(B$2,H1:J210,2,FALSE)</f>
        <v>-9.6539863609352174</v>
      </c>
    </row>
    <row r="164" spans="1:10" ht="21.25" customHeight="1" x14ac:dyDescent="0.15">
      <c r="A164" s="10" t="s">
        <v>673</v>
      </c>
      <c r="B164" s="87" t="str" cm="1">
        <f t="array" ref="B164">VLOOKUP(A164,'The List'!B1:D671,3,FALSE)</f>
        <v>C</v>
      </c>
      <c r="C164" s="88" cm="1">
        <f t="array" ref="C164">IF(Settings!$E$15="POINTS",RANK(E164,E3:E210),H164)</f>
        <v>113</v>
      </c>
      <c r="D164" s="18" t="str" cm="1">
        <f t="array" ref="D164">VLOOKUP(A164,'The List'!B1:F671,5,FALSE)</f>
        <v>MIN</v>
      </c>
      <c r="E164" s="55" cm="1">
        <f t="array" ref="E164">VLOOKUP(A164,'The List'!B1:I671,8,FALSE)</f>
        <v>-0.80560685935972742</v>
      </c>
      <c r="F164" s="55" cm="1">
        <f t="array" ref="F164">IF(Settings!$E$15="POINTS",E164-VLOOKUP(B$2,C1:E210,3,FALSE),J164)</f>
        <v>-7.1656164169747916</v>
      </c>
      <c r="G164" s="55"/>
      <c r="H164" s="166" cm="1">
        <f t="array" ref="H164">RANK(I164,I3:I210)</f>
        <v>113</v>
      </c>
      <c r="I164" s="167" cm="1">
        <f t="array" ref="I164">VLOOKUP(A164,'Standard Deviations'!A1:C672,3,FALSE)</f>
        <v>-0.80560685935972742</v>
      </c>
      <c r="J164" s="167" cm="1">
        <f t="array" ref="J164">I164-VLOOKUP(B$2,H1:J210,2,FALSE)</f>
        <v>-7.1656164169747916</v>
      </c>
    </row>
    <row r="165" spans="1:10" ht="21.25" customHeight="1" x14ac:dyDescent="0.15">
      <c r="A165" s="10" t="s">
        <v>690</v>
      </c>
      <c r="B165" s="87" t="str" cm="1">
        <f t="array" ref="B165">VLOOKUP(A165,'The List'!B1:D671,3,FALSE)</f>
        <v>C,RW</v>
      </c>
      <c r="C165" s="88" cm="1">
        <f t="array" ref="C165">IF(Settings!$E$15="POINTS",RANK(E165,E3:E210),H165)</f>
        <v>115</v>
      </c>
      <c r="D165" s="18" t="str" cm="1">
        <f t="array" ref="D165">VLOOKUP(A165,'The List'!B1:F671,5,FALSE)</f>
        <v>BOS</v>
      </c>
      <c r="E165" s="55" cm="1">
        <f t="array" ref="E165">VLOOKUP(A165,'The List'!B1:I671,8,FALSE)</f>
        <v>-0.81661890518515745</v>
      </c>
      <c r="F165" s="55" cm="1">
        <f t="array" ref="F165">IF(Settings!$E$15="POINTS",E165-VLOOKUP(B$2,C1:E210,3,FALSE),J165)</f>
        <v>-7.1766284628002213</v>
      </c>
      <c r="G165" s="55"/>
      <c r="H165" s="166" cm="1">
        <f t="array" ref="H165">RANK(I165,I3:I210)</f>
        <v>115</v>
      </c>
      <c r="I165" s="167" cm="1">
        <f t="array" ref="I165">VLOOKUP(A165,'Standard Deviations'!A1:C672,3,FALSE)</f>
        <v>-0.81661890518515745</v>
      </c>
      <c r="J165" s="167" cm="1">
        <f t="array" ref="J165">I165-VLOOKUP(B$2,H1:J210,2,FALSE)</f>
        <v>-7.1766284628002213</v>
      </c>
    </row>
    <row r="166" spans="1:10" ht="21.25" customHeight="1" x14ac:dyDescent="0.15">
      <c r="A166" s="10" t="s">
        <v>693</v>
      </c>
      <c r="B166" s="87" t="str" cm="1">
        <f t="array" ref="B166">VLOOKUP(A166,'The List'!B1:D671,3,FALSE)</f>
        <v>C,LW,RW</v>
      </c>
      <c r="C166" s="88" cm="1">
        <f t="array" ref="C166">IF(Settings!$E$15="POINTS",RANK(E166,E3:E210),H166)</f>
        <v>199</v>
      </c>
      <c r="D166" s="18" t="str" cm="1">
        <f t="array" ref="D166">VLOOKUP(A166,'The List'!B1:F671,5,FALSE)</f>
        <v>NSH</v>
      </c>
      <c r="E166" s="55" cm="1">
        <f t="array" ref="E166">VLOOKUP(A166,'The List'!B1:I671,8,FALSE)</f>
        <v>-4.1446360347583466</v>
      </c>
      <c r="F166" s="55" cm="1">
        <f t="array" ref="F166">IF(Settings!$E$15="POINTS",E166-VLOOKUP(B$2,C1:E210,3,FALSE),J166)</f>
        <v>-10.504645592373411</v>
      </c>
      <c r="G166" s="55"/>
      <c r="H166" s="166" cm="1">
        <f t="array" ref="H166">RANK(I166,I3:I210)</f>
        <v>199</v>
      </c>
      <c r="I166" s="167" cm="1">
        <f t="array" ref="I166">VLOOKUP(A166,'Standard Deviations'!A1:C672,3,FALSE)</f>
        <v>-4.1446360347583466</v>
      </c>
      <c r="J166" s="167" cm="1">
        <f t="array" ref="J166">I166-VLOOKUP(B$2,H1:J210,2,FALSE)</f>
        <v>-10.504645592373411</v>
      </c>
    </row>
    <row r="167" spans="1:10" ht="21.25" customHeight="1" x14ac:dyDescent="0.15">
      <c r="A167" s="10" t="s">
        <v>703</v>
      </c>
      <c r="B167" s="87" t="str" cm="1">
        <f t="array" ref="B167">VLOOKUP(A167,'The List'!B1:D671,3,FALSE)</f>
        <v>C,RW</v>
      </c>
      <c r="C167" s="88" cm="1">
        <f t="array" ref="C167">IF(Settings!$E$15="POINTS",RANK(E167,E3:E210),H167)</f>
        <v>190</v>
      </c>
      <c r="D167" s="18" t="str" cm="1">
        <f t="array" ref="D167">VLOOKUP(A167,'The List'!B1:F671,5,FALSE)</f>
        <v>CHI</v>
      </c>
      <c r="E167" s="55" cm="1">
        <f t="array" ref="E167">VLOOKUP(A167,'The List'!B1:I671,8,FALSE)</f>
        <v>-3.6620152094877709</v>
      </c>
      <c r="F167" s="55" cm="1">
        <f t="array" ref="F167">IF(Settings!$E$15="POINTS",E167-VLOOKUP(B$2,C1:E210,3,FALSE),J167)</f>
        <v>-10.022024767102835</v>
      </c>
      <c r="G167" s="55"/>
      <c r="H167" s="166" cm="1">
        <f t="array" ref="H167">RANK(I167,I3:I210)</f>
        <v>190</v>
      </c>
      <c r="I167" s="167" cm="1">
        <f t="array" ref="I167">VLOOKUP(A167,'Standard Deviations'!A1:C672,3,FALSE)</f>
        <v>-3.6620152094877709</v>
      </c>
      <c r="J167" s="167" cm="1">
        <f t="array" ref="J167">I167-VLOOKUP(B$2,H1:J210,2,FALSE)</f>
        <v>-10.022024767102835</v>
      </c>
    </row>
    <row r="168" spans="1:10" ht="21.25" customHeight="1" x14ac:dyDescent="0.15">
      <c r="A168" s="10" t="s">
        <v>688</v>
      </c>
      <c r="B168" s="87" t="str" cm="1">
        <f t="array" ref="B168">VLOOKUP(A168,'The List'!B1:D671,3,FALSE)</f>
        <v>C</v>
      </c>
      <c r="C168" s="88" cm="1">
        <f t="array" ref="C168">IF(Settings!$E$15="POINTS",RANK(E168,E3:E210),H168)</f>
        <v>144</v>
      </c>
      <c r="D168" s="18" t="str" cm="1">
        <f t="array" ref="D168">VLOOKUP(A168,'The List'!B1:F671,5,FALSE)</f>
        <v>EDM</v>
      </c>
      <c r="E168" s="55" cm="1">
        <f t="array" ref="E168">VLOOKUP(A168,'The List'!B1:I671,8,FALSE)</f>
        <v>-1.6400950552983609</v>
      </c>
      <c r="F168" s="55" cm="1">
        <f t="array" ref="F168">IF(Settings!$E$15="POINTS",E168-VLOOKUP(B$2,C1:E210,3,FALSE),J168)</f>
        <v>-8.0001046129134252</v>
      </c>
      <c r="G168" s="55"/>
      <c r="H168" s="166" cm="1">
        <f t="array" ref="H168">RANK(I168,I3:I210)</f>
        <v>144</v>
      </c>
      <c r="I168" s="167" cm="1">
        <f t="array" ref="I168">VLOOKUP(A168,'Standard Deviations'!A1:C672,3,FALSE)</f>
        <v>-1.6400950552983609</v>
      </c>
      <c r="J168" s="167" cm="1">
        <f t="array" ref="J168">I168-VLOOKUP(B$2,H1:J210,2,FALSE)</f>
        <v>-8.0001046129134252</v>
      </c>
    </row>
    <row r="169" spans="1:10" ht="21.25" customHeight="1" x14ac:dyDescent="0.15">
      <c r="A169" s="10" t="s">
        <v>708</v>
      </c>
      <c r="B169" s="87" t="str" cm="1">
        <f t="array" ref="B169">VLOOKUP(A169,'The List'!B1:D671,3,FALSE)</f>
        <v>C,RW</v>
      </c>
      <c r="C169" s="88" cm="1">
        <f t="array" ref="C169">IF(Settings!$E$15="POINTS",RANK(E169,E3:E210),H169)</f>
        <v>146</v>
      </c>
      <c r="D169" s="18" t="str" cm="1">
        <f t="array" ref="D169">VLOOKUP(A169,'The List'!B1:F671,5,FALSE)</f>
        <v>DAL</v>
      </c>
      <c r="E169" s="55" cm="1">
        <f t="array" ref="E169">VLOOKUP(A169,'The List'!B1:I671,8,FALSE)</f>
        <v>-1.726368971078331</v>
      </c>
      <c r="F169" s="55" cm="1">
        <f t="array" ref="F169">IF(Settings!$E$15="POINTS",E169-VLOOKUP(B$2,C1:E210,3,FALSE),J169)</f>
        <v>-8.0863785286933947</v>
      </c>
      <c r="G169" s="55"/>
      <c r="H169" s="166" cm="1">
        <f t="array" ref="H169">RANK(I169,I3:I210)</f>
        <v>146</v>
      </c>
      <c r="I169" s="167" cm="1">
        <f t="array" ref="I169">VLOOKUP(A169,'Standard Deviations'!A1:C672,3,FALSE)</f>
        <v>-1.726368971078331</v>
      </c>
      <c r="J169" s="167" cm="1">
        <f t="array" ref="J169">I169-VLOOKUP(B$2,H1:J210,2,FALSE)</f>
        <v>-8.0863785286933947</v>
      </c>
    </row>
    <row r="170" spans="1:10" ht="21.25" customHeight="1" x14ac:dyDescent="0.15">
      <c r="A170" s="10" t="s">
        <v>694</v>
      </c>
      <c r="B170" s="87" t="str" cm="1">
        <f t="array" ref="B170">VLOOKUP(A170,'The List'!B1:D671,3,FALSE)</f>
        <v>C</v>
      </c>
      <c r="C170" s="88" cm="1">
        <f t="array" ref="C170">IF(Settings!$E$15="POINTS",RANK(E170,E3:E210),H170)</f>
        <v>183</v>
      </c>
      <c r="D170" s="18" t="str" cm="1">
        <f t="array" ref="D170">VLOOKUP(A170,'The List'!B1:F671,5,FALSE)</f>
        <v>PIT</v>
      </c>
      <c r="E170" s="55" cm="1">
        <f t="array" ref="E170">VLOOKUP(A170,'The List'!B1:I671,8,FALSE)</f>
        <v>-3.3650554549362419</v>
      </c>
      <c r="F170" s="55" cm="1">
        <f t="array" ref="F170">IF(Settings!$E$15="POINTS",E170-VLOOKUP(B$2,C1:E210,3,FALSE),J170)</f>
        <v>-9.7250650125513065</v>
      </c>
      <c r="G170" s="55"/>
      <c r="H170" s="166" cm="1">
        <f t="array" ref="H170">RANK(I170,I3:I210)</f>
        <v>183</v>
      </c>
      <c r="I170" s="167" cm="1">
        <f t="array" ref="I170">VLOOKUP(A170,'Standard Deviations'!A1:C672,3,FALSE)</f>
        <v>-3.3650554549362419</v>
      </c>
      <c r="J170" s="167" cm="1">
        <f t="array" ref="J170">I170-VLOOKUP(B$2,H1:J210,2,FALSE)</f>
        <v>-9.7250650125513065</v>
      </c>
    </row>
    <row r="171" spans="1:10" ht="21.25" customHeight="1" x14ac:dyDescent="0.15">
      <c r="A171" s="10" t="s">
        <v>709</v>
      </c>
      <c r="B171" s="87" t="str" cm="1">
        <f t="array" ref="B171">VLOOKUP(A171,'The List'!B1:D671,3,FALSE)</f>
        <v>C,LW,RW</v>
      </c>
      <c r="C171" s="88" cm="1">
        <f t="array" ref="C171">IF(Settings!$E$15="POINTS",RANK(E171,E3:E210),H171)</f>
        <v>57</v>
      </c>
      <c r="D171" s="18" t="str" cm="1">
        <f t="array" ref="D171">VLOOKUP(A171,'The List'!B1:F671,5,FALSE)</f>
        <v>MIN</v>
      </c>
      <c r="E171" s="55" cm="1">
        <f t="array" ref="E171">VLOOKUP(A171,'The List'!B1:I671,8,FALSE)</f>
        <v>2.6923313742704238</v>
      </c>
      <c r="F171" s="55" cm="1">
        <f t="array" ref="F171">IF(Settings!$E$15="POINTS",E171-VLOOKUP(B$2,C1:E210,3,FALSE),J171)</f>
        <v>-3.6676781833446404</v>
      </c>
      <c r="G171" s="55"/>
      <c r="H171" s="166" cm="1">
        <f t="array" ref="H171">RANK(I171,I3:I210)</f>
        <v>57</v>
      </c>
      <c r="I171" s="167" cm="1">
        <f t="array" ref="I171">VLOOKUP(A171,'Standard Deviations'!A1:C672,3,FALSE)</f>
        <v>2.6923313742704238</v>
      </c>
      <c r="J171" s="167" cm="1">
        <f t="array" ref="J171">I171-VLOOKUP(B$2,H1:J210,2,FALSE)</f>
        <v>-3.6676781833446404</v>
      </c>
    </row>
    <row r="172" spans="1:10" ht="21.25" customHeight="1" x14ac:dyDescent="0.15">
      <c r="A172" s="10" t="s">
        <v>710</v>
      </c>
      <c r="B172" s="87" t="str" cm="1">
        <f t="array" ref="B172">VLOOKUP(A172,'The List'!B1:D671,3,FALSE)</f>
        <v>C,RW</v>
      </c>
      <c r="C172" s="88" cm="1">
        <f t="array" ref="C172">IF(Settings!$E$15="POINTS",RANK(E172,E3:E210),H172)</f>
        <v>172</v>
      </c>
      <c r="D172" s="18" t="str" cm="1">
        <f t="array" ref="D172">VLOOKUP(A172,'The List'!B1:F671,5,FALSE)</f>
        <v>BOS</v>
      </c>
      <c r="E172" s="55" cm="1">
        <f t="array" ref="E172">VLOOKUP(A172,'The List'!B1:I671,8,FALSE)</f>
        <v>-2.9092596885174622</v>
      </c>
      <c r="F172" s="55" cm="1">
        <f t="array" ref="F172">IF(Settings!$E$15="POINTS",E172-VLOOKUP(B$2,C1:E210,3,FALSE),J172)</f>
        <v>-9.2692692461325272</v>
      </c>
      <c r="G172" s="55"/>
      <c r="H172" s="166" cm="1">
        <f t="array" ref="H172">RANK(I172,I3:I210)</f>
        <v>172</v>
      </c>
      <c r="I172" s="167" cm="1">
        <f t="array" ref="I172">VLOOKUP(A172,'Standard Deviations'!A1:C672,3,FALSE)</f>
        <v>-2.9092596885174622</v>
      </c>
      <c r="J172" s="167" cm="1">
        <f t="array" ref="J172">I172-VLOOKUP(B$2,H1:J210,2,FALSE)</f>
        <v>-9.2692692461325272</v>
      </c>
    </row>
    <row r="173" spans="1:10" ht="21.25" customHeight="1" x14ac:dyDescent="0.15">
      <c r="A173" s="10" t="s">
        <v>699</v>
      </c>
      <c r="B173" s="87" t="str" cm="1">
        <f t="array" ref="B173">VLOOKUP(A173,'The List'!B1:D671,3,FALSE)</f>
        <v>C</v>
      </c>
      <c r="C173" s="88" cm="1">
        <f t="array" ref="C173">IF(Settings!$E$15="POINTS",RANK(E173,E3:E210),H173)</f>
        <v>130</v>
      </c>
      <c r="D173" s="18" t="str" cm="1">
        <f t="array" ref="D173">VLOOKUP(A173,'The List'!B1:F671,5,FALSE)</f>
        <v>T.B</v>
      </c>
      <c r="E173" s="55" cm="1">
        <f t="array" ref="E173">VLOOKUP(A173,'The List'!B1:I671,8,FALSE)</f>
        <v>-1.2449233031889242</v>
      </c>
      <c r="F173" s="55" cm="1">
        <f t="array" ref="F173">IF(Settings!$E$15="POINTS",E173-VLOOKUP(B$2,C1:E210,3,FALSE),J173)</f>
        <v>-7.6049328608039879</v>
      </c>
      <c r="G173" s="55"/>
      <c r="H173" s="166" cm="1">
        <f t="array" ref="H173">RANK(I173,I3:I210)</f>
        <v>130</v>
      </c>
      <c r="I173" s="167" cm="1">
        <f t="array" ref="I173">VLOOKUP(A173,'Standard Deviations'!A1:C672,3,FALSE)</f>
        <v>-1.2449233031889242</v>
      </c>
      <c r="J173" s="167" cm="1">
        <f t="array" ref="J173">I173-VLOOKUP(B$2,H1:J210,2,FALSE)</f>
        <v>-7.6049328608039879</v>
      </c>
    </row>
    <row r="174" spans="1:10" ht="21.25" customHeight="1" x14ac:dyDescent="0.15">
      <c r="A174" s="10" t="s">
        <v>716</v>
      </c>
      <c r="B174" s="87" t="str" cm="1">
        <f t="array" ref="B174">VLOOKUP(A174,'The List'!B1:D671,3,FALSE)</f>
        <v>C,RW</v>
      </c>
      <c r="C174" s="88" cm="1">
        <f t="array" ref="C174">IF(Settings!$E$15="POINTS",RANK(E174,E3:E210),H174)</f>
        <v>165</v>
      </c>
      <c r="D174" s="18" t="str" cm="1">
        <f t="array" ref="D174">VLOOKUP(A174,'The List'!B1:F671,5,FALSE)</f>
        <v>TOR</v>
      </c>
      <c r="E174" s="55" cm="1">
        <f t="array" ref="E174">VLOOKUP(A174,'The List'!B1:I671,8,FALSE)</f>
        <v>-2.6295194922595329</v>
      </c>
      <c r="F174" s="55" cm="1">
        <f t="array" ref="F174">IF(Settings!$E$15="POINTS",E174-VLOOKUP(B$2,C1:E210,3,FALSE),J174)</f>
        <v>-8.9895290498745979</v>
      </c>
      <c r="G174" s="55"/>
      <c r="H174" s="166" cm="1">
        <f t="array" ref="H174">RANK(I174,I3:I210)</f>
        <v>165</v>
      </c>
      <c r="I174" s="167" cm="1">
        <f t="array" ref="I174">VLOOKUP(A174,'Standard Deviations'!A1:C672,3,FALSE)</f>
        <v>-2.6295194922595329</v>
      </c>
      <c r="J174" s="167" cm="1">
        <f t="array" ref="J174">I174-VLOOKUP(B$2,H1:J210,2,FALSE)</f>
        <v>-8.9895290498745979</v>
      </c>
    </row>
    <row r="175" spans="1:10" ht="21.25" customHeight="1" x14ac:dyDescent="0.15">
      <c r="A175" s="10" t="s">
        <v>704</v>
      </c>
      <c r="B175" s="87" t="str" cm="1">
        <f t="array" ref="B175">VLOOKUP(A175,'The List'!B1:D671,3,FALSE)</f>
        <v>C</v>
      </c>
      <c r="C175" s="88" cm="1">
        <f t="array" ref="C175">IF(Settings!$E$15="POINTS",RANK(E175,E3:E210),H175)</f>
        <v>175</v>
      </c>
      <c r="D175" s="18" t="str" cm="1">
        <f t="array" ref="D175">VLOOKUP(A175,'The List'!B1:F671,5,FALSE)</f>
        <v>WPG</v>
      </c>
      <c r="E175" s="55" cm="1">
        <f t="array" ref="E175">VLOOKUP(A175,'The List'!B1:I671,8,FALSE)</f>
        <v>-3.0280993589762115</v>
      </c>
      <c r="F175" s="55" cm="1">
        <f t="array" ref="F175">IF(Settings!$E$15="POINTS",E175-VLOOKUP(B$2,C1:E210,3,FALSE),J175)</f>
        <v>-9.3881089165912748</v>
      </c>
      <c r="G175" s="55"/>
      <c r="H175" s="166" cm="1">
        <f t="array" ref="H175">RANK(I175,I3:I210)</f>
        <v>175</v>
      </c>
      <c r="I175" s="167" cm="1">
        <f t="array" ref="I175">VLOOKUP(A175,'Standard Deviations'!A1:C672,3,FALSE)</f>
        <v>-3.0280993589762115</v>
      </c>
      <c r="J175" s="167" cm="1">
        <f t="array" ref="J175">I175-VLOOKUP(B$2,H1:J210,2,FALSE)</f>
        <v>-9.3881089165912748</v>
      </c>
    </row>
    <row r="176" spans="1:10" ht="21.25" customHeight="1" x14ac:dyDescent="0.15">
      <c r="A176" s="10" t="s">
        <v>719</v>
      </c>
      <c r="B176" s="87" t="str" cm="1">
        <f t="array" ref="B176">VLOOKUP(A176,'The List'!B1:D671,3,FALSE)</f>
        <v>C,RW</v>
      </c>
      <c r="C176" s="88" cm="1">
        <f t="array" ref="C176">IF(Settings!$E$15="POINTS",RANK(E176,E3:E210),H176)</f>
        <v>186</v>
      </c>
      <c r="D176" s="18" t="str" cm="1">
        <f t="array" ref="D176">VLOOKUP(A176,'The List'!B1:F671,5,FALSE)</f>
        <v>S.J</v>
      </c>
      <c r="E176" s="55" cm="1">
        <f t="array" ref="E176">VLOOKUP(A176,'The List'!B1:I671,8,FALSE)</f>
        <v>-3.4730851234203177</v>
      </c>
      <c r="F176" s="55" cm="1">
        <f t="array" ref="F176">IF(Settings!$E$15="POINTS",E176-VLOOKUP(B$2,C1:E210,3,FALSE),J176)</f>
        <v>-9.8330946810353819</v>
      </c>
      <c r="G176" s="55"/>
      <c r="H176" s="166" cm="1">
        <f t="array" ref="H176">RANK(I176,I3:I210)</f>
        <v>186</v>
      </c>
      <c r="I176" s="167" cm="1">
        <f t="array" ref="I176">VLOOKUP(A176,'Standard Deviations'!A1:C672,3,FALSE)</f>
        <v>-3.4730851234203177</v>
      </c>
      <c r="J176" s="167" cm="1">
        <f t="array" ref="J176">I176-VLOOKUP(B$2,H1:J210,2,FALSE)</f>
        <v>-9.8330946810353819</v>
      </c>
    </row>
    <row r="177" spans="1:10" ht="21.25" customHeight="1" x14ac:dyDescent="0.15">
      <c r="A177" s="10" t="s">
        <v>738</v>
      </c>
      <c r="B177" s="87" t="str" cm="1">
        <f t="array" ref="B177">VLOOKUP(A177,'The List'!B1:D671,3,FALSE)</f>
        <v>C,LW</v>
      </c>
      <c r="C177" s="88" cm="1">
        <f t="array" ref="C177">IF(Settings!$E$15="POINTS",RANK(E177,E3:E210),H177)</f>
        <v>208</v>
      </c>
      <c r="D177" s="18" t="str" cm="1">
        <f t="array" ref="D177">VLOOKUP(A177,'The List'!B1:F671,5,FALSE)</f>
        <v>VAN</v>
      </c>
      <c r="E177" s="55" cm="1">
        <f t="array" ref="E177">VLOOKUP(A177,'The List'!B1:I671,8,FALSE)</f>
        <v>-5.7337138951162325</v>
      </c>
      <c r="F177" s="55" cm="1">
        <f t="array" ref="F177">IF(Settings!$E$15="POINTS",E177-VLOOKUP(B$2,C1:E210,3,FALSE),J177)</f>
        <v>-12.093723452731297</v>
      </c>
      <c r="G177" s="55"/>
      <c r="H177" s="166" cm="1">
        <f t="array" ref="H177">RANK(I177,I3:I210)</f>
        <v>208</v>
      </c>
      <c r="I177" s="167" cm="1">
        <f t="array" ref="I177">VLOOKUP(A177,'Standard Deviations'!A1:C672,3,FALSE)</f>
        <v>-5.7337138951162325</v>
      </c>
      <c r="J177" s="167" cm="1">
        <f t="array" ref="J177">I177-VLOOKUP(B$2,H1:J210,2,FALSE)</f>
        <v>-12.093723452731297</v>
      </c>
    </row>
    <row r="178" spans="1:10" ht="21.25" customHeight="1" x14ac:dyDescent="0.15">
      <c r="A178" s="10" t="s">
        <v>744</v>
      </c>
      <c r="B178" s="87" t="str" cm="1">
        <f t="array" ref="B178">VLOOKUP(A178,'The List'!B1:D671,3,FALSE)</f>
        <v>C,LW</v>
      </c>
      <c r="C178" s="88" cm="1">
        <f t="array" ref="C178">IF(Settings!$E$15="POINTS",RANK(E178,E3:E210),H178)</f>
        <v>189</v>
      </c>
      <c r="D178" s="18" t="str" cm="1">
        <f t="array" ref="D178">VLOOKUP(A178,'The List'!B1:F671,5,FALSE)</f>
        <v>L.A</v>
      </c>
      <c r="E178" s="55" cm="1">
        <f t="array" ref="E178">VLOOKUP(A178,'The List'!B1:I671,8,FALSE)</f>
        <v>-3.5793658419889987</v>
      </c>
      <c r="F178" s="55" cm="1">
        <f t="array" ref="F178">IF(Settings!$E$15="POINTS",E178-VLOOKUP(B$2,C1:E210,3,FALSE),J178)</f>
        <v>-9.9393753996040637</v>
      </c>
      <c r="G178" s="55"/>
      <c r="H178" s="166" cm="1">
        <f t="array" ref="H178">RANK(I178,I3:I210)</f>
        <v>189</v>
      </c>
      <c r="I178" s="167" cm="1">
        <f t="array" ref="I178">VLOOKUP(A178,'Standard Deviations'!A1:C672,3,FALSE)</f>
        <v>-3.5793658419889987</v>
      </c>
      <c r="J178" s="167" cm="1">
        <f t="array" ref="J178">I178-VLOOKUP(B$2,H1:J210,2,FALSE)</f>
        <v>-9.9393753996040637</v>
      </c>
    </row>
    <row r="179" spans="1:10" ht="21.25" customHeight="1" x14ac:dyDescent="0.15">
      <c r="A179" s="10" t="s">
        <v>749</v>
      </c>
      <c r="B179" s="87" t="str" cm="1">
        <f t="array" ref="B179">VLOOKUP(A179,'The List'!B1:D671,3,FALSE)</f>
        <v>C,LW</v>
      </c>
      <c r="C179" s="88" cm="1">
        <f t="array" ref="C179">IF(Settings!$E$15="POINTS",RANK(E179,E3:E210),H179)</f>
        <v>104</v>
      </c>
      <c r="D179" s="18" t="str" cm="1">
        <f t="array" ref="D179">VLOOKUP(A179,'The List'!B1:F671,5,FALSE)</f>
        <v>TOR</v>
      </c>
      <c r="E179" s="55" cm="1">
        <f t="array" ref="E179">VLOOKUP(A179,'The List'!B1:I671,8,FALSE)</f>
        <v>-0.35265592108372457</v>
      </c>
      <c r="F179" s="55" cm="1">
        <f t="array" ref="F179">IF(Settings!$E$15="POINTS",E179-VLOOKUP(B$2,C1:E210,3,FALSE),J179)</f>
        <v>-6.7126654786987885</v>
      </c>
      <c r="G179" s="55"/>
      <c r="H179" s="166" cm="1">
        <f t="array" ref="H179">RANK(I179,I3:I210)</f>
        <v>104</v>
      </c>
      <c r="I179" s="167" cm="1">
        <f t="array" ref="I179">VLOOKUP(A179,'Standard Deviations'!A1:C672,3,FALSE)</f>
        <v>-0.35265592108372457</v>
      </c>
      <c r="J179" s="167" cm="1">
        <f t="array" ref="J179">I179-VLOOKUP(B$2,H1:J210,2,FALSE)</f>
        <v>-6.7126654786987885</v>
      </c>
    </row>
    <row r="180" spans="1:10" ht="21.25" customHeight="1" x14ac:dyDescent="0.15">
      <c r="A180" s="10" t="s">
        <v>736</v>
      </c>
      <c r="B180" s="87" t="str" cm="1">
        <f t="array" ref="B180">VLOOKUP(A180,'The List'!B1:D671,3,FALSE)</f>
        <v>C,RW</v>
      </c>
      <c r="C180" s="88" cm="1">
        <f t="array" ref="C180">IF(Settings!$E$15="POINTS",RANK(E180,E3:E210),H180)</f>
        <v>143</v>
      </c>
      <c r="D180" s="18" t="str" cm="1">
        <f t="array" ref="D180">VLOOKUP(A180,'The List'!B1:F671,5,FALSE)</f>
        <v>CGY</v>
      </c>
      <c r="E180" s="55" cm="1">
        <f t="array" ref="E180">VLOOKUP(A180,'The List'!B1:I671,8,FALSE)</f>
        <v>-1.619234432600376</v>
      </c>
      <c r="F180" s="55" cm="1">
        <f t="array" ref="F180">IF(Settings!$E$15="POINTS",E180-VLOOKUP(B$2,C1:E210,3,FALSE),J180)</f>
        <v>-7.9792439902154406</v>
      </c>
      <c r="G180" s="55"/>
      <c r="H180" s="166" cm="1">
        <f t="array" ref="H180">RANK(I180,I3:I210)</f>
        <v>143</v>
      </c>
      <c r="I180" s="167" cm="1">
        <f t="array" ref="I180">VLOOKUP(A180,'Standard Deviations'!A1:C672,3,FALSE)</f>
        <v>-1.619234432600376</v>
      </c>
      <c r="J180" s="167" cm="1">
        <f t="array" ref="J180">I180-VLOOKUP(B$2,H1:J210,2,FALSE)</f>
        <v>-7.9792439902154406</v>
      </c>
    </row>
    <row r="181" spans="1:10" ht="21.25" customHeight="1" x14ac:dyDescent="0.15">
      <c r="A181" s="10" t="s">
        <v>750</v>
      </c>
      <c r="B181" s="87" t="str" cm="1">
        <f t="array" ref="B181">VLOOKUP(A181,'The List'!B1:D671,3,FALSE)</f>
        <v>C,LW</v>
      </c>
      <c r="C181" s="88" cm="1">
        <f t="array" ref="C181">IF(Settings!$E$15="POINTS",RANK(E181,E3:E210),H181)</f>
        <v>80</v>
      </c>
      <c r="D181" s="18" t="str" cm="1">
        <f t="array" ref="D181">VLOOKUP(A181,'The List'!B1:F671,5,FALSE)</f>
        <v>EDM</v>
      </c>
      <c r="E181" s="55" cm="1">
        <f t="array" ref="E181">VLOOKUP(A181,'The List'!B1:I671,8,FALSE)</f>
        <v>0.70853096857718834</v>
      </c>
      <c r="F181" s="55" cm="1">
        <f t="array" ref="F181">IF(Settings!$E$15="POINTS",E181-VLOOKUP(B$2,C1:E210,3,FALSE),J181)</f>
        <v>-5.6514785890378754</v>
      </c>
      <c r="G181" s="55"/>
      <c r="H181" s="166" cm="1">
        <f t="array" ref="H181">RANK(I181,I3:I210)</f>
        <v>80</v>
      </c>
      <c r="I181" s="167" cm="1">
        <f t="array" ref="I181">VLOOKUP(A181,'Standard Deviations'!A1:C672,3,FALSE)</f>
        <v>0.70853096857718834</v>
      </c>
      <c r="J181" s="167" cm="1">
        <f t="array" ref="J181">I181-VLOOKUP(B$2,H1:J210,2,FALSE)</f>
        <v>-5.6514785890378754</v>
      </c>
    </row>
    <row r="182" spans="1:10" ht="21.25" customHeight="1" x14ac:dyDescent="0.15">
      <c r="A182" s="10" t="s">
        <v>755</v>
      </c>
      <c r="B182" s="87" t="str" cm="1">
        <f t="array" ref="B182">VLOOKUP(A182,'The List'!B1:D671,3,FALSE)</f>
        <v>C,LW</v>
      </c>
      <c r="C182" s="88" cm="1">
        <f t="array" ref="C182">IF(Settings!$E$15="POINTS",RANK(E182,E3:E210),H182)</f>
        <v>173</v>
      </c>
      <c r="D182" s="18" t="str" cm="1">
        <f t="array" ref="D182">VLOOKUP(A182,'The List'!B1:F671,5,FALSE)</f>
        <v>NYI</v>
      </c>
      <c r="E182" s="55" cm="1">
        <f t="array" ref="E182">VLOOKUP(A182,'The List'!B1:I671,8,FALSE)</f>
        <v>-2.9348833950168505</v>
      </c>
      <c r="F182" s="55" cm="1">
        <f t="array" ref="F182">IF(Settings!$E$15="POINTS",E182-VLOOKUP(B$2,C1:E210,3,FALSE),J182)</f>
        <v>-9.2948929526319155</v>
      </c>
      <c r="G182" s="55"/>
      <c r="H182" s="166" cm="1">
        <f t="array" ref="H182">RANK(I182,I3:I210)</f>
        <v>173</v>
      </c>
      <c r="I182" s="167" cm="1">
        <f t="array" ref="I182">VLOOKUP(A182,'Standard Deviations'!A1:C672,3,FALSE)</f>
        <v>-2.9348833950168505</v>
      </c>
      <c r="J182" s="167" cm="1">
        <f t="array" ref="J182">I182-VLOOKUP(B$2,H1:J210,2,FALSE)</f>
        <v>-9.2948929526319155</v>
      </c>
    </row>
    <row r="183" spans="1:10" ht="21.25" customHeight="1" x14ac:dyDescent="0.15">
      <c r="A183" s="10" t="s">
        <v>720</v>
      </c>
      <c r="B183" s="87" t="str" cm="1">
        <f t="array" ref="B183">VLOOKUP(A183,'The List'!B1:D671,3,FALSE)</f>
        <v>C</v>
      </c>
      <c r="C183" s="88" cm="1">
        <f t="array" ref="C183">IF(Settings!$E$15="POINTS",RANK(E183,E3:E210),H183)</f>
        <v>155</v>
      </c>
      <c r="D183" s="18" t="str" cm="1">
        <f t="array" ref="D183">VLOOKUP(A183,'The List'!B1:F671,5,FALSE)</f>
        <v>VGK</v>
      </c>
      <c r="E183" s="55" cm="1">
        <f t="array" ref="E183">VLOOKUP(A183,'The List'!B1:I671,8,FALSE)</f>
        <v>-2.258050240993283</v>
      </c>
      <c r="F183" s="55" cm="1">
        <f t="array" ref="F183">IF(Settings!$E$15="POINTS",E183-VLOOKUP(B$2,C1:E210,3,FALSE),J183)</f>
        <v>-8.6180597986083463</v>
      </c>
      <c r="G183" s="55"/>
      <c r="H183" s="166" cm="1">
        <f t="array" ref="H183">RANK(I183,I3:I210)</f>
        <v>155</v>
      </c>
      <c r="I183" s="167" cm="1">
        <f t="array" ref="I183">VLOOKUP(A183,'Standard Deviations'!A1:C672,3,FALSE)</f>
        <v>-2.258050240993283</v>
      </c>
      <c r="J183" s="167" cm="1">
        <f t="array" ref="J183">I183-VLOOKUP(B$2,H1:J210,2,FALSE)</f>
        <v>-8.6180597986083463</v>
      </c>
    </row>
    <row r="184" spans="1:10" ht="21.25" customHeight="1" x14ac:dyDescent="0.15">
      <c r="A184" s="10" t="s">
        <v>721</v>
      </c>
      <c r="B184" s="87" t="str" cm="1">
        <f t="array" ref="B184">VLOOKUP(A184,'The List'!B1:D671,3,FALSE)</f>
        <v>C</v>
      </c>
      <c r="C184" s="88" cm="1">
        <f t="array" ref="C184">IF(Settings!$E$15="POINTS",RANK(E184,E3:E210),H184)</f>
        <v>164</v>
      </c>
      <c r="D184" s="18" t="str" cm="1">
        <f t="array" ref="D184">VLOOKUP(A184,'The List'!B1:F671,5,FALSE)</f>
        <v>N.J</v>
      </c>
      <c r="E184" s="55" cm="1">
        <f t="array" ref="E184">VLOOKUP(A184,'The List'!B1:I671,8,FALSE)</f>
        <v>-2.6199986135741415</v>
      </c>
      <c r="F184" s="55" cm="1">
        <f t="array" ref="F184">IF(Settings!$E$15="POINTS",E184-VLOOKUP(B$2,C1:E210,3,FALSE),J184)</f>
        <v>-8.9800081711892048</v>
      </c>
      <c r="G184" s="55"/>
      <c r="H184" s="166" cm="1">
        <f t="array" ref="H184">RANK(I184,I3:I210)</f>
        <v>164</v>
      </c>
      <c r="I184" s="167" cm="1">
        <f t="array" ref="I184">VLOOKUP(A184,'Standard Deviations'!A1:C672,3,FALSE)</f>
        <v>-2.6199986135741415</v>
      </c>
      <c r="J184" s="167" cm="1">
        <f t="array" ref="J184">I184-VLOOKUP(B$2,H1:J210,2,FALSE)</f>
        <v>-8.9800081711892048</v>
      </c>
    </row>
    <row r="185" spans="1:10" ht="21.25" customHeight="1" x14ac:dyDescent="0.15">
      <c r="A185" s="10" t="s">
        <v>758</v>
      </c>
      <c r="B185" s="87" t="str" cm="1">
        <f t="array" ref="B185">VLOOKUP(A185,'The List'!B1:D671,3,FALSE)</f>
        <v>C,LW</v>
      </c>
      <c r="C185" s="88" cm="1">
        <f t="array" ref="C185">IF(Settings!$E$15="POINTS",RANK(E185,E3:E210),H185)</f>
        <v>122</v>
      </c>
      <c r="D185" s="18" t="str" cm="1">
        <f t="array" ref="D185">VLOOKUP(A185,'The List'!B1:F671,5,FALSE)</f>
        <v>MIN</v>
      </c>
      <c r="E185" s="55" cm="1">
        <f t="array" ref="E185">VLOOKUP(A185,'The List'!B1:I671,8,FALSE)</f>
        <v>-1.1763249349317575</v>
      </c>
      <c r="F185" s="55" cm="1">
        <f t="array" ref="F185">IF(Settings!$E$15="POINTS",E185-VLOOKUP(B$2,C1:E210,3,FALSE),J185)</f>
        <v>-7.5363344925468212</v>
      </c>
      <c r="G185" s="55"/>
      <c r="H185" s="166" cm="1">
        <f t="array" ref="H185">RANK(I185,I3:I210)</f>
        <v>122</v>
      </c>
      <c r="I185" s="167" cm="1">
        <f t="array" ref="I185">VLOOKUP(A185,'Standard Deviations'!A1:C672,3,FALSE)</f>
        <v>-1.1763249349317575</v>
      </c>
      <c r="J185" s="167" cm="1">
        <f t="array" ref="J185">I185-VLOOKUP(B$2,H1:J210,2,FALSE)</f>
        <v>-7.5363344925468212</v>
      </c>
    </row>
    <row r="186" spans="1:10" ht="21.25" customHeight="1" x14ac:dyDescent="0.15">
      <c r="A186" s="10" t="s">
        <v>724</v>
      </c>
      <c r="B186" s="87" t="str" cm="1">
        <f t="array" ref="B186">VLOOKUP(A186,'The List'!B1:D671,3,FALSE)</f>
        <v>C</v>
      </c>
      <c r="C186" s="88" cm="1">
        <f t="array" ref="C186">IF(Settings!$E$15="POINTS",RANK(E186,E3:E210),H186)</f>
        <v>160</v>
      </c>
      <c r="D186" s="18" t="str" cm="1">
        <f t="array" ref="D186">VLOOKUP(A186,'The List'!B1:F671,5,FALSE)</f>
        <v>CAR</v>
      </c>
      <c r="E186" s="55" cm="1">
        <f t="array" ref="E186">VLOOKUP(A186,'The List'!B1:I671,8,FALSE)</f>
        <v>-2.4084530914898847</v>
      </c>
      <c r="F186" s="55" cm="1">
        <f t="array" ref="F186">IF(Settings!$E$15="POINTS",E186-VLOOKUP(B$2,C1:E210,3,FALSE),J186)</f>
        <v>-8.7684626491049489</v>
      </c>
      <c r="G186" s="55"/>
      <c r="H186" s="166" cm="1">
        <f t="array" ref="H186">RANK(I186,I3:I210)</f>
        <v>160</v>
      </c>
      <c r="I186" s="167" cm="1">
        <f t="array" ref="I186">VLOOKUP(A186,'Standard Deviations'!A1:C672,3,FALSE)</f>
        <v>-2.4084530914898847</v>
      </c>
      <c r="J186" s="167" cm="1">
        <f t="array" ref="J186">I186-VLOOKUP(B$2,H1:J210,2,FALSE)</f>
        <v>-8.7684626491049489</v>
      </c>
    </row>
    <row r="187" spans="1:10" ht="21.25" customHeight="1" x14ac:dyDescent="0.15">
      <c r="A187" s="10" t="s">
        <v>752</v>
      </c>
      <c r="B187" s="87" t="str" cm="1">
        <f t="array" ref="B187">VLOOKUP(A187,'The List'!B1:D671,3,FALSE)</f>
        <v>C,LW,RW</v>
      </c>
      <c r="C187" s="88" cm="1">
        <f t="array" ref="C187">IF(Settings!$E$15="POINTS",RANK(E187,E3:E210),H187)</f>
        <v>103</v>
      </c>
      <c r="D187" s="18" t="str" cm="1">
        <f t="array" ref="D187">VLOOKUP(A187,'The List'!B1:F671,5,FALSE)</f>
        <v>EDM</v>
      </c>
      <c r="E187" s="55" cm="1">
        <f t="array" ref="E187">VLOOKUP(A187,'The List'!B1:I671,8,FALSE)</f>
        <v>-0.33342779672342404</v>
      </c>
      <c r="F187" s="55" cm="1">
        <f t="array" ref="F187">IF(Settings!$E$15="POINTS",E187-VLOOKUP(B$2,C1:E210,3,FALSE),J187)</f>
        <v>-6.6934373543384886</v>
      </c>
      <c r="G187" s="55"/>
      <c r="H187" s="166" cm="1">
        <f t="array" ref="H187">RANK(I187,I3:I210)</f>
        <v>103</v>
      </c>
      <c r="I187" s="167" cm="1">
        <f t="array" ref="I187">VLOOKUP(A187,'Standard Deviations'!A1:C672,3,FALSE)</f>
        <v>-0.33342779672342404</v>
      </c>
      <c r="J187" s="167" cm="1">
        <f t="array" ref="J187">I187-VLOOKUP(B$2,H1:J210,2,FALSE)</f>
        <v>-6.6934373543384886</v>
      </c>
    </row>
    <row r="188" spans="1:10" ht="21.25" customHeight="1" x14ac:dyDescent="0.15">
      <c r="A188" s="10" t="s">
        <v>725</v>
      </c>
      <c r="B188" s="87" t="str" cm="1">
        <f t="array" ref="B188">VLOOKUP(A188,'The List'!B1:D671,3,FALSE)</f>
        <v>C</v>
      </c>
      <c r="C188" s="88" cm="1">
        <f t="array" ref="C188">IF(Settings!$E$15="POINTS",RANK(E188,E3:E210),H188)</f>
        <v>159</v>
      </c>
      <c r="D188" s="18" t="str" cm="1">
        <f t="array" ref="D188">VLOOKUP(A188,'The List'!B1:F671,5,FALSE)</f>
        <v>BUF</v>
      </c>
      <c r="E188" s="55" cm="1">
        <f t="array" ref="E188">VLOOKUP(A188,'The List'!B1:I671,8,FALSE)</f>
        <v>-2.3986269876138806</v>
      </c>
      <c r="F188" s="55" cm="1">
        <f t="array" ref="F188">IF(Settings!$E$15="POINTS",E188-VLOOKUP(B$2,C1:E210,3,FALSE),J188)</f>
        <v>-8.7586365452289456</v>
      </c>
      <c r="G188" s="55"/>
      <c r="H188" s="166" cm="1">
        <f t="array" ref="H188">RANK(I188,I3:I210)</f>
        <v>159</v>
      </c>
      <c r="I188" s="167" cm="1">
        <f t="array" ref="I188">VLOOKUP(A188,'Standard Deviations'!A1:C672,3,FALSE)</f>
        <v>-2.3986269876138806</v>
      </c>
      <c r="J188" s="167" cm="1">
        <f t="array" ref="J188">I188-VLOOKUP(B$2,H1:J210,2,FALSE)</f>
        <v>-8.7586365452289456</v>
      </c>
    </row>
    <row r="189" spans="1:10" ht="21.25" customHeight="1" x14ac:dyDescent="0.15">
      <c r="A189" s="10" t="s">
        <v>732</v>
      </c>
      <c r="B189" s="87" t="str" cm="1">
        <f t="array" ref="B189">VLOOKUP(A189,'The List'!B1:D671,3,FALSE)</f>
        <v>C</v>
      </c>
      <c r="C189" s="88" cm="1">
        <f t="array" ref="C189">IF(Settings!$E$15="POINTS",RANK(E189,E3:E210),H189)</f>
        <v>163</v>
      </c>
      <c r="D189" s="18" t="str" cm="1">
        <f t="array" ref="D189">VLOOKUP(A189,'The List'!B1:F671,5,FALSE)</f>
        <v>DAL</v>
      </c>
      <c r="E189" s="55" cm="1">
        <f t="array" ref="E189">VLOOKUP(A189,'The List'!B1:I671,8,FALSE)</f>
        <v>-2.5237820972325968</v>
      </c>
      <c r="F189" s="55" cm="1">
        <f t="array" ref="F189">IF(Settings!$E$15="POINTS",E189-VLOOKUP(B$2,C1:E210,3,FALSE),J189)</f>
        <v>-8.883791654847661</v>
      </c>
      <c r="G189" s="55"/>
      <c r="H189" s="166" cm="1">
        <f t="array" ref="H189">RANK(I189,I3:I210)</f>
        <v>163</v>
      </c>
      <c r="I189" s="167" cm="1">
        <f t="array" ref="I189">VLOOKUP(A189,'Standard Deviations'!A1:C672,3,FALSE)</f>
        <v>-2.5237820972325968</v>
      </c>
      <c r="J189" s="167" cm="1">
        <f t="array" ref="J189">I189-VLOOKUP(B$2,H1:J210,2,FALSE)</f>
        <v>-8.883791654847661</v>
      </c>
    </row>
    <row r="190" spans="1:10" ht="21.25" customHeight="1" x14ac:dyDescent="0.15">
      <c r="A190" s="10" t="s">
        <v>766</v>
      </c>
      <c r="B190" s="87" t="str" cm="1">
        <f t="array" ref="B190">VLOOKUP(A190,'The List'!B1:D671,3,FALSE)</f>
        <v>C,LW</v>
      </c>
      <c r="C190" s="88" cm="1">
        <f t="array" ref="C190">IF(Settings!$E$15="POINTS",RANK(E190,E3:E210),H190)</f>
        <v>150</v>
      </c>
      <c r="D190" s="18" t="str" cm="1">
        <f t="array" ref="D190">VLOOKUP(A190,'The List'!B1:F671,5,FALSE)</f>
        <v>BOS</v>
      </c>
      <c r="E190" s="55" cm="1">
        <f t="array" ref="E190">VLOOKUP(A190,'The List'!B1:I671,8,FALSE)</f>
        <v>-1.8542978686534763</v>
      </c>
      <c r="F190" s="55" cm="1">
        <f t="array" ref="F190">IF(Settings!$E$15="POINTS",E190-VLOOKUP(B$2,C1:E210,3,FALSE),J190)</f>
        <v>-8.2143074262685403</v>
      </c>
      <c r="G190" s="55"/>
      <c r="H190" s="166" cm="1">
        <f t="array" ref="H190">RANK(I190,I3:I210)</f>
        <v>150</v>
      </c>
      <c r="I190" s="167" cm="1">
        <f t="array" ref="I190">VLOOKUP(A190,'Standard Deviations'!A1:C672,3,FALSE)</f>
        <v>-1.8542978686534763</v>
      </c>
      <c r="J190" s="167" cm="1">
        <f t="array" ref="J190">I190-VLOOKUP(B$2,H1:J210,2,FALSE)</f>
        <v>-8.2143074262685403</v>
      </c>
    </row>
    <row r="191" spans="1:10" ht="21.25" customHeight="1" x14ac:dyDescent="0.15">
      <c r="A191" s="10" t="s">
        <v>737</v>
      </c>
      <c r="B191" s="87" t="str" cm="1">
        <f t="array" ref="B191">VLOOKUP(A191,'The List'!B1:D671,3,FALSE)</f>
        <v>C</v>
      </c>
      <c r="C191" s="88" cm="1">
        <f t="array" ref="C191">IF(Settings!$E$15="POINTS",RANK(E191,E3:E210),H191)</f>
        <v>171</v>
      </c>
      <c r="D191" s="18" t="str" cm="1">
        <f t="array" ref="D191">VLOOKUP(A191,'The List'!B1:F671,5,FALSE)</f>
        <v>COL</v>
      </c>
      <c r="E191" s="55" cm="1">
        <f t="array" ref="E191">VLOOKUP(A191,'The List'!B1:I671,8,FALSE)</f>
        <v>-2.831584267157591</v>
      </c>
      <c r="F191" s="55" cm="1">
        <f t="array" ref="F191">IF(Settings!$E$15="POINTS",E191-VLOOKUP(B$2,C1:E210,3,FALSE),J191)</f>
        <v>-9.1915938247726547</v>
      </c>
      <c r="G191" s="55"/>
      <c r="H191" s="166" cm="1">
        <f t="array" ref="H191">RANK(I191,I3:I210)</f>
        <v>171</v>
      </c>
      <c r="I191" s="167" cm="1">
        <f t="array" ref="I191">VLOOKUP(A191,'Standard Deviations'!A1:C672,3,FALSE)</f>
        <v>-2.831584267157591</v>
      </c>
      <c r="J191" s="167" cm="1">
        <f t="array" ref="J191">I191-VLOOKUP(B$2,H1:J210,2,FALSE)</f>
        <v>-9.1915938247726547</v>
      </c>
    </row>
    <row r="192" spans="1:10" ht="21.25" customHeight="1" x14ac:dyDescent="0.15">
      <c r="A192" s="10" t="s">
        <v>739</v>
      </c>
      <c r="B192" s="87" t="str" cm="1">
        <f t="array" ref="B192">VLOOKUP(A192,'The List'!B1:D671,3,FALSE)</f>
        <v>C</v>
      </c>
      <c r="C192" s="88" cm="1">
        <f t="array" ref="C192">IF(Settings!$E$15="POINTS",RANK(E192,E3:E210),H192)</f>
        <v>200</v>
      </c>
      <c r="D192" s="18" t="str" cm="1">
        <f t="array" ref="D192">VLOOKUP(A192,'The List'!B1:F671,5,FALSE)</f>
        <v>PIT</v>
      </c>
      <c r="E192" s="55" cm="1">
        <f t="array" ref="E192">VLOOKUP(A192,'The List'!B1:I671,8,FALSE)</f>
        <v>-4.1669641457534263</v>
      </c>
      <c r="F192" s="55" cm="1">
        <f t="array" ref="F192">IF(Settings!$E$15="POINTS",E192-VLOOKUP(B$2,C1:E210,3,FALSE),J192)</f>
        <v>-10.52697370336849</v>
      </c>
      <c r="G192" s="55"/>
      <c r="H192" s="166" cm="1">
        <f t="array" ref="H192">RANK(I192,I3:I210)</f>
        <v>200</v>
      </c>
      <c r="I192" s="167" cm="1">
        <f t="array" ref="I192">VLOOKUP(A192,'Standard Deviations'!A1:C672,3,FALSE)</f>
        <v>-4.1669641457534263</v>
      </c>
      <c r="J192" s="167" cm="1">
        <f t="array" ref="J192">I192-VLOOKUP(B$2,H1:J210,2,FALSE)</f>
        <v>-10.52697370336849</v>
      </c>
    </row>
    <row r="193" spans="1:10" ht="21.25" customHeight="1" x14ac:dyDescent="0.15">
      <c r="A193" s="10" t="s">
        <v>742</v>
      </c>
      <c r="B193" s="87" t="str" cm="1">
        <f t="array" ref="B193">VLOOKUP(A193,'The List'!B1:D671,3,FALSE)</f>
        <v>C</v>
      </c>
      <c r="C193" s="88" cm="1">
        <f t="array" ref="C193">IF(Settings!$E$15="POINTS",RANK(E193,E3:E210),H193)</f>
        <v>194</v>
      </c>
      <c r="D193" s="18" t="str" cm="1">
        <f t="array" ref="D193">VLOOKUP(A193,'The List'!B1:F671,5,FALSE)</f>
        <v>STL</v>
      </c>
      <c r="E193" s="55" cm="1">
        <f t="array" ref="E193">VLOOKUP(A193,'The List'!B1:I671,8,FALSE)</f>
        <v>-3.8166862939821766</v>
      </c>
      <c r="F193" s="55" cm="1">
        <f t="array" ref="F193">IF(Settings!$E$15="POINTS",E193-VLOOKUP(B$2,C1:E210,3,FALSE),J193)</f>
        <v>-10.176695851597241</v>
      </c>
      <c r="G193" s="55"/>
      <c r="H193" s="166" cm="1">
        <f t="array" ref="H193">RANK(I193,I3:I210)</f>
        <v>194</v>
      </c>
      <c r="I193" s="167" cm="1">
        <f t="array" ref="I193">VLOOKUP(A193,'Standard Deviations'!A1:C672,3,FALSE)</f>
        <v>-3.8166862939821766</v>
      </c>
      <c r="J193" s="167" cm="1">
        <f t="array" ref="J193">I193-VLOOKUP(B$2,H1:J210,2,FALSE)</f>
        <v>-10.176695851597241</v>
      </c>
    </row>
    <row r="194" spans="1:10" ht="21.25" customHeight="1" x14ac:dyDescent="0.15">
      <c r="A194" s="10" t="s">
        <v>747</v>
      </c>
      <c r="B194" s="87" t="str" cm="1">
        <f t="array" ref="B194">VLOOKUP(A194,'The List'!B1:D671,3,FALSE)</f>
        <v>C</v>
      </c>
      <c r="C194" s="88" cm="1">
        <f t="array" ref="C194">IF(Settings!$E$15="POINTS",RANK(E194,E3:E210),H194)</f>
        <v>193</v>
      </c>
      <c r="D194" s="18" t="str" cm="1">
        <f t="array" ref="D194">VLOOKUP(A194,'The List'!B1:F671,5,FALSE)</f>
        <v>VAN</v>
      </c>
      <c r="E194" s="55" cm="1">
        <f t="array" ref="E194">VLOOKUP(A194,'The List'!B1:I671,8,FALSE)</f>
        <v>-3.7310258894068888</v>
      </c>
      <c r="F194" s="55" cm="1">
        <f t="array" ref="F194">IF(Settings!$E$15="POINTS",E194-VLOOKUP(B$2,C1:E210,3,FALSE),J194)</f>
        <v>-10.091035447021953</v>
      </c>
      <c r="G194" s="55"/>
      <c r="H194" s="166" cm="1">
        <f t="array" ref="H194">RANK(I194,I3:I210)</f>
        <v>193</v>
      </c>
      <c r="I194" s="167" cm="1">
        <f t="array" ref="I194">VLOOKUP(A194,'Standard Deviations'!A1:C672,3,FALSE)</f>
        <v>-3.7310258894068888</v>
      </c>
      <c r="J194" s="167" cm="1">
        <f t="array" ref="J194">I194-VLOOKUP(B$2,H1:J210,2,FALSE)</f>
        <v>-10.091035447021953</v>
      </c>
    </row>
    <row r="195" spans="1:10" ht="21.25" customHeight="1" x14ac:dyDescent="0.15">
      <c r="A195" s="10" t="s">
        <v>754</v>
      </c>
      <c r="B195" s="87" t="str" cm="1">
        <f t="array" ref="B195">VLOOKUP(A195,'The List'!B1:D671,3,FALSE)</f>
        <v>C</v>
      </c>
      <c r="C195" s="88" cm="1">
        <f t="array" ref="C195">IF(Settings!$E$15="POINTS",RANK(E195,E3:E210),H195)</f>
        <v>147</v>
      </c>
      <c r="D195" s="18" t="str" cm="1">
        <f t="array" ref="D195">VLOOKUP(A195,'The List'!B1:F671,5,FALSE)</f>
        <v>T.B</v>
      </c>
      <c r="E195" s="55" cm="1">
        <f t="array" ref="E195">VLOOKUP(A195,'The List'!B1:I671,8,FALSE)</f>
        <v>-1.7722092005993726</v>
      </c>
      <c r="F195" s="55" cm="1">
        <f t="array" ref="F195">IF(Settings!$E$15="POINTS",E195-VLOOKUP(B$2,C1:E210,3,FALSE),J195)</f>
        <v>-8.132218758214437</v>
      </c>
      <c r="G195" s="55"/>
      <c r="H195" s="166" cm="1">
        <f t="array" ref="H195">RANK(I195,I3:I210)</f>
        <v>147</v>
      </c>
      <c r="I195" s="167" cm="1">
        <f t="array" ref="I195">VLOOKUP(A195,'Standard Deviations'!A1:C672,3,FALSE)</f>
        <v>-1.7722092005993726</v>
      </c>
      <c r="J195" s="167" cm="1">
        <f t="array" ref="J195">I195-VLOOKUP(B$2,H1:J210,2,FALSE)</f>
        <v>-8.132218758214437</v>
      </c>
    </row>
    <row r="196" spans="1:10" ht="21.25" customHeight="1" x14ac:dyDescent="0.15">
      <c r="A196" s="10" t="s">
        <v>757</v>
      </c>
      <c r="B196" s="87" t="str" cm="1">
        <f t="array" ref="B196">VLOOKUP(A196,'The List'!B1:D671,3,FALSE)</f>
        <v>C</v>
      </c>
      <c r="C196" s="88" cm="1">
        <f t="array" ref="C196">IF(Settings!$E$15="POINTS",RANK(E196,E3:E210),H196)</f>
        <v>204</v>
      </c>
      <c r="D196" s="18" t="str" cm="1">
        <f t="array" ref="D196">VLOOKUP(A196,'The List'!B1:F671,5,FALSE)</f>
        <v>CBJ</v>
      </c>
      <c r="E196" s="55" cm="1">
        <f t="array" ref="E196">VLOOKUP(A196,'The List'!B1:I671,8,FALSE)</f>
        <v>-4.4184116384583918</v>
      </c>
      <c r="F196" s="55" cm="1">
        <f t="array" ref="F196">IF(Settings!$E$15="POINTS",E196-VLOOKUP(B$2,C1:E210,3,FALSE),J196)</f>
        <v>-10.778421196073456</v>
      </c>
      <c r="G196" s="55"/>
      <c r="H196" s="166" cm="1">
        <f t="array" ref="H196">RANK(I196,I3:I210)</f>
        <v>204</v>
      </c>
      <c r="I196" s="167" cm="1">
        <f t="array" ref="I196">VLOOKUP(A196,'Standard Deviations'!A1:C672,3,FALSE)</f>
        <v>-4.4184116384583918</v>
      </c>
      <c r="J196" s="167" cm="1">
        <f t="array" ref="J196">I196-VLOOKUP(B$2,H1:J210,2,FALSE)</f>
        <v>-10.778421196073456</v>
      </c>
    </row>
    <row r="197" spans="1:10" ht="21.25" customHeight="1" x14ac:dyDescent="0.15">
      <c r="A197" s="10" t="s">
        <v>769</v>
      </c>
      <c r="B197" s="87" t="str" cm="1">
        <f t="array" ref="B197">VLOOKUP(A197,'The List'!B1:D671,3,FALSE)</f>
        <v>C,RW</v>
      </c>
      <c r="C197" s="88" cm="1">
        <f t="array" ref="C197">IF(Settings!$E$15="POINTS",RANK(E197,E3:E210),H197)</f>
        <v>156</v>
      </c>
      <c r="D197" s="18" t="str" cm="1">
        <f t="array" ref="D197">VLOOKUP(A197,'The List'!B1:F671,5,FALSE)</f>
        <v>DAL</v>
      </c>
      <c r="E197" s="55" cm="1">
        <f t="array" ref="E197">VLOOKUP(A197,'The List'!B1:I671,8,FALSE)</f>
        <v>-2.3143111037597985</v>
      </c>
      <c r="F197" s="55" cm="1">
        <f t="array" ref="F197">IF(Settings!$E$15="POINTS",E197-VLOOKUP(B$2,C1:E210,3,FALSE),J197)</f>
        <v>-8.6743206613748622</v>
      </c>
      <c r="G197" s="55"/>
      <c r="H197" s="166" cm="1">
        <f t="array" ref="H197">RANK(I197,I3:I210)</f>
        <v>156</v>
      </c>
      <c r="I197" s="167" cm="1">
        <f t="array" ref="I197">VLOOKUP(A197,'Standard Deviations'!A1:C672,3,FALSE)</f>
        <v>-2.3143111037597985</v>
      </c>
      <c r="J197" s="167" cm="1">
        <f t="array" ref="J197">I197-VLOOKUP(B$2,H1:J210,2,FALSE)</f>
        <v>-8.6743206613748622</v>
      </c>
    </row>
    <row r="198" spans="1:10" ht="21.25" customHeight="1" x14ac:dyDescent="0.15">
      <c r="A198" s="10" t="s">
        <v>760</v>
      </c>
      <c r="B198" s="87" t="str" cm="1">
        <f t="array" ref="B198">VLOOKUP(A198,'The List'!B1:D671,3,FALSE)</f>
        <v>C</v>
      </c>
      <c r="C198" s="88" cm="1">
        <f t="array" ref="C198">IF(Settings!$E$15="POINTS",RANK(E198,E3:E210),H198)</f>
        <v>191</v>
      </c>
      <c r="D198" s="18" t="str" cm="1">
        <f t="array" ref="D198">VLOOKUP(A198,'The List'!B1:F671,5,FALSE)</f>
        <v>FLA</v>
      </c>
      <c r="E198" s="55" cm="1">
        <f t="array" ref="E198">VLOOKUP(A198,'The List'!B1:I671,8,FALSE)</f>
        <v>-3.6710145341838385</v>
      </c>
      <c r="F198" s="55" cm="1">
        <f t="array" ref="F198">IF(Settings!$E$15="POINTS",E198-VLOOKUP(B$2,C1:E210,3,FALSE),J198)</f>
        <v>-10.031024091798903</v>
      </c>
      <c r="G198" s="55"/>
      <c r="H198" s="166" cm="1">
        <f t="array" ref="H198">RANK(I198,I3:I210)</f>
        <v>191</v>
      </c>
      <c r="I198" s="167" cm="1">
        <f t="array" ref="I198">VLOOKUP(A198,'Standard Deviations'!A1:C672,3,FALSE)</f>
        <v>-3.6710145341838385</v>
      </c>
      <c r="J198" s="167" cm="1">
        <f t="array" ref="J198">I198-VLOOKUP(B$2,H1:J210,2,FALSE)</f>
        <v>-10.031024091798903</v>
      </c>
    </row>
    <row r="199" spans="1:10" ht="21.25" customHeight="1" x14ac:dyDescent="0.15">
      <c r="A199" s="10" t="s">
        <v>774</v>
      </c>
      <c r="B199" s="87" t="str" cm="1">
        <f t="array" ref="B199">VLOOKUP(A199,'The List'!B1:D671,3,FALSE)</f>
        <v>C,LW</v>
      </c>
      <c r="C199" s="88" cm="1">
        <f t="array" ref="C199">IF(Settings!$E$15="POINTS",RANK(E199,E3:E210),H199)</f>
        <v>187</v>
      </c>
      <c r="D199" s="18" t="str" cm="1">
        <f t="array" ref="D199">VLOOKUP(A199,'The List'!B1:F671,5,FALSE)</f>
        <v>NSH</v>
      </c>
      <c r="E199" s="55" cm="1">
        <f t="array" ref="E199">VLOOKUP(A199,'The List'!B1:I671,8,FALSE)</f>
        <v>-3.5213081359452563</v>
      </c>
      <c r="F199" s="55" cm="1">
        <f t="array" ref="F199">IF(Settings!$E$15="POINTS",E199-VLOOKUP(B$2,C1:E210,3,FALSE),J199)</f>
        <v>-9.8813176935603195</v>
      </c>
      <c r="G199" s="55"/>
      <c r="H199" s="166" cm="1">
        <f t="array" ref="H199">RANK(I199,I3:I210)</f>
        <v>187</v>
      </c>
      <c r="I199" s="167" cm="1">
        <f t="array" ref="I199">VLOOKUP(A199,'Standard Deviations'!A1:C672,3,FALSE)</f>
        <v>-3.5213081359452563</v>
      </c>
      <c r="J199" s="167" cm="1">
        <f t="array" ref="J199">I199-VLOOKUP(B$2,H1:J210,2,FALSE)</f>
        <v>-9.8813176935603195</v>
      </c>
    </row>
    <row r="200" spans="1:10" ht="21.25" customHeight="1" x14ac:dyDescent="0.15">
      <c r="A200" s="10" t="s">
        <v>776</v>
      </c>
      <c r="B200" s="87" t="str" cm="1">
        <f t="array" ref="B200">VLOOKUP(A200,'The List'!B1:D671,3,FALSE)</f>
        <v>C,LW</v>
      </c>
      <c r="C200" s="88" cm="1">
        <f t="array" ref="C200">IF(Settings!$E$15="POINTS",RANK(E200,E3:E210),H200)</f>
        <v>192</v>
      </c>
      <c r="D200" s="18" t="str" cm="1">
        <f t="array" ref="D200">VLOOKUP(A200,'The List'!B1:F671,5,FALSE)</f>
        <v>DAL</v>
      </c>
      <c r="E200" s="55" cm="1">
        <f t="array" ref="E200">VLOOKUP(A200,'The List'!B1:I671,8,FALSE)</f>
        <v>-3.6829667851601449</v>
      </c>
      <c r="F200" s="55" cm="1">
        <f t="array" ref="F200">IF(Settings!$E$15="POINTS",E200-VLOOKUP(B$2,C1:E210,3,FALSE),J200)</f>
        <v>-10.042976342775209</v>
      </c>
      <c r="G200" s="55"/>
      <c r="H200" s="166" cm="1">
        <f t="array" ref="H200">RANK(I200,I3:I210)</f>
        <v>192</v>
      </c>
      <c r="I200" s="167" cm="1">
        <f t="array" ref="I200">VLOOKUP(A200,'Standard Deviations'!A1:C672,3,FALSE)</f>
        <v>-3.6829667851601449</v>
      </c>
      <c r="J200" s="167" cm="1">
        <f t="array" ref="J200">I200-VLOOKUP(B$2,H1:J210,2,FALSE)</f>
        <v>-10.042976342775209</v>
      </c>
    </row>
    <row r="201" spans="1:10" ht="21.25" customHeight="1" x14ac:dyDescent="0.15">
      <c r="A201" s="10" t="s">
        <v>764</v>
      </c>
      <c r="B201" s="87" t="str" cm="1">
        <f t="array" ref="B201">VLOOKUP(A201,'The List'!B1:D671,3,FALSE)</f>
        <v>C</v>
      </c>
      <c r="C201" s="88" cm="1">
        <f t="array" ref="C201">IF(Settings!$E$15="POINTS",RANK(E201,E3:E210),H201)</f>
        <v>180</v>
      </c>
      <c r="D201" s="18" t="str" cm="1">
        <f t="array" ref="D201">VLOOKUP(A201,'The List'!B1:F671,5,FALSE)</f>
        <v>EDM</v>
      </c>
      <c r="E201" s="55" cm="1">
        <f t="array" ref="E201">VLOOKUP(A201,'The List'!B1:I671,8,FALSE)</f>
        <v>-3.1544924011314275</v>
      </c>
      <c r="F201" s="55" cm="1">
        <f t="array" ref="F201">IF(Settings!$E$15="POINTS",E201-VLOOKUP(B$2,C1:E210,3,FALSE),J201)</f>
        <v>-9.5145019587464912</v>
      </c>
      <c r="G201" s="55"/>
      <c r="H201" s="166" cm="1">
        <f t="array" ref="H201">RANK(I201,I3:I210)</f>
        <v>180</v>
      </c>
      <c r="I201" s="167" cm="1">
        <f t="array" ref="I201">VLOOKUP(A201,'Standard Deviations'!A1:C672,3,FALSE)</f>
        <v>-3.1544924011314275</v>
      </c>
      <c r="J201" s="167" cm="1">
        <f t="array" ref="J201">I201-VLOOKUP(B$2,H1:J210,2,FALSE)</f>
        <v>-9.5145019587464912</v>
      </c>
    </row>
    <row r="202" spans="1:10" ht="21.25" customHeight="1" x14ac:dyDescent="0.15">
      <c r="A202" s="10" t="s">
        <v>779</v>
      </c>
      <c r="B202" s="87" t="str" cm="1">
        <f t="array" ref="B202">VLOOKUP(A202,'The List'!B1:D671,3,FALSE)</f>
        <v>C,LW</v>
      </c>
      <c r="C202" s="88" cm="1">
        <f t="array" ref="C202">IF(Settings!$E$15="POINTS",RANK(E202,E3:E210),H202)</f>
        <v>206</v>
      </c>
      <c r="D202" s="18" t="str" cm="1">
        <f t="array" ref="D202">VLOOKUP(A202,'The List'!B1:F671,5,FALSE)</f>
        <v>SEA</v>
      </c>
      <c r="E202" s="55" cm="1">
        <f t="array" ref="E202">VLOOKUP(A202,'The List'!B1:I671,8,FALSE)</f>
        <v>-4.861795825206344</v>
      </c>
      <c r="F202" s="55" cm="1">
        <f t="array" ref="F202">IF(Settings!$E$15="POINTS",E202-VLOOKUP(B$2,C1:E210,3,FALSE),J202)</f>
        <v>-11.221805382821408</v>
      </c>
      <c r="G202" s="55"/>
      <c r="H202" s="166" cm="1">
        <f t="array" ref="H202">RANK(I202,I3:I210)</f>
        <v>206</v>
      </c>
      <c r="I202" s="167" cm="1">
        <f t="array" ref="I202">VLOOKUP(A202,'Standard Deviations'!A1:C672,3,FALSE)</f>
        <v>-4.861795825206344</v>
      </c>
      <c r="J202" s="167" cm="1">
        <f t="array" ref="J202">I202-VLOOKUP(B$2,H1:J210,2,FALSE)</f>
        <v>-11.221805382821408</v>
      </c>
    </row>
    <row r="203" spans="1:10" ht="21.25" customHeight="1" x14ac:dyDescent="0.15">
      <c r="A203" s="10" t="s">
        <v>771</v>
      </c>
      <c r="B203" s="87" t="str" cm="1">
        <f t="array" ref="B203">VLOOKUP(A203,'The List'!B1:D671,3,FALSE)</f>
        <v>C</v>
      </c>
      <c r="C203" s="88" cm="1">
        <f t="array" ref="C203">IF(Settings!$E$15="POINTS",RANK(E203,E3:E210),H203)</f>
        <v>181</v>
      </c>
      <c r="D203" s="18" t="str" cm="1">
        <f t="array" ref="D203">VLOOKUP(A203,'The List'!B1:F671,5,FALSE)</f>
        <v>MIN</v>
      </c>
      <c r="E203" s="55" cm="1">
        <f t="array" ref="E203">VLOOKUP(A203,'The List'!B1:I671,8,FALSE)</f>
        <v>-3.2074098836058398</v>
      </c>
      <c r="F203" s="55" cm="1">
        <f t="array" ref="F203">IF(Settings!$E$15="POINTS",E203-VLOOKUP(B$2,C1:E210,3,FALSE),J203)</f>
        <v>-9.5674194412209044</v>
      </c>
      <c r="G203" s="55"/>
      <c r="H203" s="166" cm="1">
        <f t="array" ref="H203">RANK(I203,I3:I210)</f>
        <v>181</v>
      </c>
      <c r="I203" s="167" cm="1">
        <f t="array" ref="I203">VLOOKUP(A203,'Standard Deviations'!A1:C672,3,FALSE)</f>
        <v>-3.2074098836058398</v>
      </c>
      <c r="J203" s="167" cm="1">
        <f t="array" ref="J203">I203-VLOOKUP(B$2,H1:J210,2,FALSE)</f>
        <v>-9.5674194412209044</v>
      </c>
    </row>
    <row r="204" spans="1:10" ht="21.25" customHeight="1" x14ac:dyDescent="0.15">
      <c r="A204" s="10" t="s">
        <v>773</v>
      </c>
      <c r="B204" s="87" t="str" cm="1">
        <f t="array" ref="B204">VLOOKUP(A204,'The List'!B1:D671,3,FALSE)</f>
        <v>C</v>
      </c>
      <c r="C204" s="88" cm="1">
        <f t="array" ref="C204">IF(Settings!$E$15="POINTS",RANK(E204,E3:E210),H204)</f>
        <v>179</v>
      </c>
      <c r="D204" s="18" t="str" cm="1">
        <f t="array" ref="D204">VLOOKUP(A204,'The List'!B1:F671,5,FALSE)</f>
        <v>NYR</v>
      </c>
      <c r="E204" s="55" cm="1">
        <f t="array" ref="E204">VLOOKUP(A204,'The List'!B1:I671,8,FALSE)</f>
        <v>-3.1371640795047884</v>
      </c>
      <c r="F204" s="55" cm="1">
        <f t="array" ref="F204">IF(Settings!$E$15="POINTS",E204-VLOOKUP(B$2,C1:E210,3,FALSE),J204)</f>
        <v>-9.4971736371198521</v>
      </c>
      <c r="G204" s="55"/>
      <c r="H204" s="166" cm="1">
        <f t="array" ref="H204">RANK(I204,I3:I210)</f>
        <v>179</v>
      </c>
      <c r="I204" s="167" cm="1">
        <f t="array" ref="I204">VLOOKUP(A204,'Standard Deviations'!A1:C672,3,FALSE)</f>
        <v>-3.1371640795047884</v>
      </c>
      <c r="J204" s="167" cm="1">
        <f t="array" ref="J204">I204-VLOOKUP(B$2,H1:J210,2,FALSE)</f>
        <v>-9.4971736371198521</v>
      </c>
    </row>
    <row r="205" spans="1:10" ht="21.25" customHeight="1" x14ac:dyDescent="0.15">
      <c r="A205" s="10" t="s">
        <v>785</v>
      </c>
      <c r="B205" s="87" t="str" cm="1">
        <f t="array" ref="B205">VLOOKUP(A205,'The List'!B1:D671,3,FALSE)</f>
        <v>C,LW</v>
      </c>
      <c r="C205" s="88" cm="1">
        <f t="array" ref="C205">IF(Settings!$E$15="POINTS",RANK(E205,E3:E210),H205)</f>
        <v>177</v>
      </c>
      <c r="D205" s="18" t="str" cm="1">
        <f t="array" ref="D205">VLOOKUP(A205,'The List'!B1:F671,5,FALSE)</f>
        <v>N.J</v>
      </c>
      <c r="E205" s="55" cm="1">
        <f t="array" ref="E205">VLOOKUP(A205,'The List'!B1:I671,8,FALSE)</f>
        <v>-3.0795150760567567</v>
      </c>
      <c r="F205" s="55" cm="1">
        <f t="array" ref="F205">IF(Settings!$E$15="POINTS",E205-VLOOKUP(B$2,C1:E210,3,FALSE),J205)</f>
        <v>-9.4395246336718213</v>
      </c>
      <c r="G205" s="55"/>
      <c r="H205" s="166" cm="1">
        <f t="array" ref="H205">RANK(I205,I3:I210)</f>
        <v>177</v>
      </c>
      <c r="I205" s="167" cm="1">
        <f t="array" ref="I205">VLOOKUP(A205,'Standard Deviations'!A1:C672,3,FALSE)</f>
        <v>-3.0795150760567567</v>
      </c>
      <c r="J205" s="167" cm="1">
        <f t="array" ref="J205">I205-VLOOKUP(B$2,H1:J210,2,FALSE)</f>
        <v>-9.4395246336718213</v>
      </c>
    </row>
    <row r="206" spans="1:10" ht="21.25" customHeight="1" x14ac:dyDescent="0.15">
      <c r="A206" s="10" t="s">
        <v>775</v>
      </c>
      <c r="B206" s="87" t="str" cm="1">
        <f t="array" ref="B206">VLOOKUP(A206,'The List'!B1:D671,3,FALSE)</f>
        <v>C</v>
      </c>
      <c r="C206" s="88" cm="1">
        <f t="array" ref="C206">IF(Settings!$E$15="POINTS",RANK(E206,E3:E210),H206)</f>
        <v>153</v>
      </c>
      <c r="D206" s="18" t="str" cm="1">
        <f t="array" ref="D206">VLOOKUP(A206,'The List'!B1:F671,5,FALSE)</f>
        <v>L.A</v>
      </c>
      <c r="E206" s="55" cm="1">
        <f t="array" ref="E206">VLOOKUP(A206,'The List'!B1:I671,8,FALSE)</f>
        <v>-1.9323844006867246</v>
      </c>
      <c r="F206" s="55" cm="1">
        <f t="array" ref="F206">IF(Settings!$E$15="POINTS",E206-VLOOKUP(B$2,C1:E210,3,FALSE),J206)</f>
        <v>-8.2923939583017887</v>
      </c>
      <c r="G206" s="55"/>
      <c r="H206" s="166" cm="1">
        <f t="array" ref="H206">RANK(I206,I3:I210)</f>
        <v>153</v>
      </c>
      <c r="I206" s="167" cm="1">
        <f t="array" ref="I206">VLOOKUP(A206,'Standard Deviations'!A1:C672,3,FALSE)</f>
        <v>-1.9323844006867246</v>
      </c>
      <c r="J206" s="167" cm="1">
        <f t="array" ref="J206">I206-VLOOKUP(B$2,H1:J210,2,FALSE)</f>
        <v>-8.2923939583017887</v>
      </c>
    </row>
    <row r="207" spans="1:10" ht="21.25" customHeight="1" x14ac:dyDescent="0.15">
      <c r="A207" s="10" t="s">
        <v>778</v>
      </c>
      <c r="B207" s="87" t="str" cm="1">
        <f t="array" ref="B207">VLOOKUP(A207,'The List'!B1:D671,3,FALSE)</f>
        <v>C</v>
      </c>
      <c r="C207" s="88" cm="1">
        <f t="array" ref="C207">IF(Settings!$E$15="POINTS",RANK(E207,E3:E210),H207)</f>
        <v>198</v>
      </c>
      <c r="D207" s="18" t="str" cm="1">
        <f t="array" ref="D207">VLOOKUP(A207,'The List'!B1:F671,5,FALSE)</f>
        <v>ANA</v>
      </c>
      <c r="E207" s="55" cm="1">
        <f t="array" ref="E207">VLOOKUP(A207,'The List'!B1:I671,8,FALSE)</f>
        <v>-4.1055687671862326</v>
      </c>
      <c r="F207" s="55" cm="1">
        <f t="array" ref="F207">IF(Settings!$E$15="POINTS",E207-VLOOKUP(B$2,C1:E210,3,FALSE),J207)</f>
        <v>-10.465578324801296</v>
      </c>
      <c r="G207" s="55"/>
      <c r="H207" s="166" cm="1">
        <f t="array" ref="H207">RANK(I207,I3:I210)</f>
        <v>198</v>
      </c>
      <c r="I207" s="167" cm="1">
        <f t="array" ref="I207">VLOOKUP(A207,'Standard Deviations'!A1:C672,3,FALSE)</f>
        <v>-4.1055687671862326</v>
      </c>
      <c r="J207" s="167" cm="1">
        <f t="array" ref="J207">I207-VLOOKUP(B$2,H1:J210,2,FALSE)</f>
        <v>-10.465578324801296</v>
      </c>
    </row>
    <row r="208" spans="1:10" ht="21.25" customHeight="1" x14ac:dyDescent="0.15">
      <c r="A208" s="10" t="s">
        <v>788</v>
      </c>
      <c r="B208" s="87" t="str" cm="1">
        <f t="array" ref="B208">VLOOKUP(A208,'The List'!B1:D671,3,FALSE)</f>
        <v>C</v>
      </c>
      <c r="C208" s="88" cm="1">
        <f t="array" ref="C208">IF(Settings!$E$15="POINTS",RANK(E208,E3:E210),H208)</f>
        <v>195</v>
      </c>
      <c r="D208" s="18" t="str" cm="1">
        <f t="array" ref="D208">VLOOKUP(A208,'The List'!B1:F671,5,FALSE)</f>
        <v>S.J</v>
      </c>
      <c r="E208" s="55" cm="1">
        <f t="array" ref="E208">VLOOKUP(A208,'The List'!B1:I671,8,FALSE)</f>
        <v>-3.8457789091109822</v>
      </c>
      <c r="F208" s="55" cm="1">
        <f t="array" ref="F208">IF(Settings!$E$15="POINTS",E208-VLOOKUP(B$2,C1:E210,3,FALSE),J208)</f>
        <v>-10.205788466726046</v>
      </c>
      <c r="G208" s="55"/>
      <c r="H208" s="166" cm="1">
        <f t="array" ref="H208">RANK(I208,I3:I210)</f>
        <v>195</v>
      </c>
      <c r="I208" s="167" cm="1">
        <f t="array" ref="I208">VLOOKUP(A208,'Standard Deviations'!A1:C672,3,FALSE)</f>
        <v>-3.8457789091109822</v>
      </c>
      <c r="J208" s="167" cm="1">
        <f t="array" ref="J208">I208-VLOOKUP(B$2,H1:J210,2,FALSE)</f>
        <v>-10.205788466726046</v>
      </c>
    </row>
    <row r="209" spans="1:10" ht="21.25" customHeight="1" x14ac:dyDescent="0.15">
      <c r="A209" s="10" t="s">
        <v>791</v>
      </c>
      <c r="B209" s="87" t="str" cm="1">
        <f t="array" ref="B209">VLOOKUP(A209,'The List'!B1:D671,3,FALSE)</f>
        <v>C</v>
      </c>
      <c r="C209" s="88" cm="1">
        <f t="array" ref="C209">IF(Settings!$E$15="POINTS",RANK(E209,E3:E210),H209)</f>
        <v>196</v>
      </c>
      <c r="D209" s="18" t="str" cm="1">
        <f t="array" ref="D209">VLOOKUP(A209,'The List'!B1:F671,5,FALSE)</f>
        <v>TOR</v>
      </c>
      <c r="E209" s="55" cm="1">
        <f t="array" ref="E209">VLOOKUP(A209,'The List'!B1:I671,8,FALSE)</f>
        <v>-4.0738569847346957</v>
      </c>
      <c r="F209" s="55" cm="1">
        <f t="array" ref="F209">IF(Settings!$E$15="POINTS",E209-VLOOKUP(B$2,C1:E210,3,FALSE),J209)</f>
        <v>-10.43386654234976</v>
      </c>
      <c r="G209" s="55"/>
      <c r="H209" s="166" cm="1">
        <f t="array" ref="H209">RANK(I209,I3:I210)</f>
        <v>196</v>
      </c>
      <c r="I209" s="167" cm="1">
        <f t="array" ref="I209">VLOOKUP(A209,'Standard Deviations'!A1:C672,3,FALSE)</f>
        <v>-4.0738569847346957</v>
      </c>
      <c r="J209" s="167" cm="1">
        <f t="array" ref="J209">I209-VLOOKUP(B$2,H1:J210,2,FALSE)</f>
        <v>-10.43386654234976</v>
      </c>
    </row>
    <row r="210" spans="1:10" ht="21.25" customHeight="1" x14ac:dyDescent="0.15">
      <c r="A210" s="10" t="s">
        <v>793</v>
      </c>
      <c r="B210" s="87" t="str" cm="1">
        <f t="array" ref="B210">VLOOKUP(A210,'The List'!B1:D671,3,FALSE)</f>
        <v>C</v>
      </c>
      <c r="C210" s="88" cm="1">
        <f t="array" ref="C210">IF(Settings!$E$15="POINTS",RANK(E210,E3:E210),H210)</f>
        <v>203</v>
      </c>
      <c r="D210" s="18" t="str" cm="1">
        <f t="array" ref="D210">VLOOKUP(A210,'The List'!B1:F671,5,FALSE)</f>
        <v>MIN</v>
      </c>
      <c r="E210" s="55" cm="1">
        <f t="array" ref="E210">VLOOKUP(A210,'The List'!B1:I671,8,FALSE)</f>
        <v>-4.3540708711477585</v>
      </c>
      <c r="F210" s="55" cm="1">
        <f t="array" ref="F210">IF(Settings!$E$15="POINTS",E210-VLOOKUP(B$2,C1:E210,3,FALSE),J210)</f>
        <v>-10.714080428762824</v>
      </c>
      <c r="G210" s="55"/>
      <c r="H210" s="166" cm="1">
        <f t="array" ref="H210">RANK(I210,I3:I210)</f>
        <v>203</v>
      </c>
      <c r="I210" s="167" cm="1">
        <f t="array" ref="I210">VLOOKUP(A210,'Standard Deviations'!A1:C672,3,FALSE)</f>
        <v>-4.3540708711477585</v>
      </c>
      <c r="J210" s="167" cm="1">
        <f t="array" ref="J210">I210-VLOOKUP(B$2,H1:J210,2,FALSE)</f>
        <v>-10.714080428762824</v>
      </c>
    </row>
  </sheetData>
  <conditionalFormatting sqref="C3:C210 H3:H210">
    <cfRule type="containsText" dxfId="29" priority="1" stopIfTrue="1" operator="containsText" text="/">
      <formula>NOT(ISERROR(FIND(UPPER("/"),UPPER(C3))))</formula>
      <formula>"/"</formula>
    </cfRule>
    <cfRule type="containsText" dxfId="28" priority="2" stopIfTrue="1" operator="containsText" text="C">
      <formula>NOT(ISERROR(FIND(UPPER("C"),UPPER(C3))))</formula>
      <formula>"C"</formula>
    </cfRule>
    <cfRule type="containsText" dxfId="27" priority="3" stopIfTrue="1" operator="containsText" text="D">
      <formula>NOT(ISERROR(FIND(UPPER("D"),UPPER(C3))))</formula>
      <formula>"D"</formula>
    </cfRule>
    <cfRule type="containsText" dxfId="26" priority="4" stopIfTrue="1" operator="containsText" text="LW">
      <formula>NOT(ISERROR(FIND(UPPER("LW"),UPPER(C3))))</formula>
      <formula>"LW"</formula>
    </cfRule>
    <cfRule type="containsText" dxfId="25" priority="5" stopIfTrue="1" operator="containsText" text="RW">
      <formula>NOT(ISERROR(FIND(UPPER("RW"),UPPER(C3))))</formula>
      <formula>"RW"</formula>
    </cfRule>
    <cfRule type="containsText" dxfId="24" priority="6" stopIfTrue="1" operator="containsText" text="G">
      <formula>NOT(ISERROR(FIND(UPPER("G"),UPPER(C3))))</formula>
      <formula>"G"</formula>
    </cfRule>
  </conditionalFormatting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210"/>
  <sheetViews>
    <sheetView showGridLines="0" workbookViewId="0">
      <pane ySplit="2" topLeftCell="A3" activePane="bottomLeft" state="frozen"/>
      <selection pane="bottomLeft"/>
    </sheetView>
  </sheetViews>
  <sheetFormatPr baseColWidth="10" defaultColWidth="8" defaultRowHeight="16.25" customHeight="1" x14ac:dyDescent="0.15"/>
  <cols>
    <col min="1" max="1" width="33" style="1" customWidth="1"/>
    <col min="2" max="2" width="7.1640625" style="1" customWidth="1"/>
    <col min="3" max="3" width="6" style="1" customWidth="1"/>
    <col min="4" max="6" width="8.33203125" style="1" customWidth="1"/>
    <col min="7" max="10" width="1.33203125" style="1" customWidth="1"/>
    <col min="11" max="11" width="8" style="1" customWidth="1"/>
    <col min="12" max="16384" width="8" style="1"/>
  </cols>
  <sheetData>
    <row r="1" spans="1:10" ht="28.25" customHeight="1" x14ac:dyDescent="0.15">
      <c r="A1" s="150" t="s">
        <v>816</v>
      </c>
      <c r="B1" s="151" t="s">
        <v>821</v>
      </c>
      <c r="C1" s="152"/>
      <c r="D1" s="4" t="s">
        <v>13</v>
      </c>
      <c r="E1" s="153" t="s">
        <v>818</v>
      </c>
      <c r="F1" s="151" t="s">
        <v>98</v>
      </c>
      <c r="G1" s="154"/>
      <c r="H1" s="155"/>
      <c r="I1" s="156" t="s">
        <v>819</v>
      </c>
      <c r="J1" s="157" t="s">
        <v>98</v>
      </c>
    </row>
    <row r="2" spans="1:10" ht="28.25" customHeight="1" x14ac:dyDescent="0.15">
      <c r="A2" s="158" t="s">
        <v>62</v>
      </c>
      <c r="B2" s="159" cm="1">
        <f t="array" ref="B2">Settings!F3</f>
        <v>21</v>
      </c>
      <c r="C2" s="160"/>
      <c r="D2" s="161"/>
      <c r="E2" s="162"/>
      <c r="F2" s="162"/>
      <c r="G2" s="162"/>
      <c r="H2" s="168"/>
      <c r="I2" s="164"/>
      <c r="J2" s="169"/>
    </row>
    <row r="3" spans="1:10" ht="21.25" customHeight="1" x14ac:dyDescent="0.15">
      <c r="A3" s="10" t="s">
        <v>136</v>
      </c>
      <c r="B3" s="93" t="str" cm="1">
        <f t="array" ref="B3">VLOOKUP(A3,'The List'!B1:D671,3,FALSE)</f>
        <v>C,LW</v>
      </c>
      <c r="C3" s="94" cm="1">
        <f t="array" ref="C3">IF(Settings!$E$15="POINTS",RANK(E3,E3:E210),H3)</f>
        <v>1</v>
      </c>
      <c r="D3" s="18" t="str" cm="1">
        <f t="array" ref="D3">VLOOKUP(A3,'The List'!B1:F671,5,FALSE)</f>
        <v>EDM</v>
      </c>
      <c r="E3" s="55" cm="1">
        <f t="array" ref="E3">VLOOKUP(A3,'The List'!B1:I671,8,FALSE)</f>
        <v>12.747492940258208</v>
      </c>
      <c r="F3" s="55" cm="1">
        <f t="array" ref="F3">IF(Settings!$E$15="POINTS",E3-VLOOKUP(B$2,C1:E210,3,FALSE),J3)</f>
        <v>5.8531072958683987</v>
      </c>
      <c r="G3" s="55"/>
      <c r="H3" s="170" cm="1">
        <f t="array" ref="H3">RANK(I3,I3:I210)</f>
        <v>1</v>
      </c>
      <c r="I3" s="167" cm="1">
        <f t="array" ref="I3">VLOOKUP(A3,'Standard Deviations'!A1:C672,3,FALSE)</f>
        <v>12.747492940258208</v>
      </c>
      <c r="J3" s="171" cm="1">
        <f t="array" ref="J3">I3-VLOOKUP(B$2,H1:J210,2,FALSE)</f>
        <v>5.8531072958683987</v>
      </c>
    </row>
    <row r="4" spans="1:10" ht="21.25" customHeight="1" x14ac:dyDescent="0.15">
      <c r="A4" s="10" t="s">
        <v>140</v>
      </c>
      <c r="B4" s="93" t="str" cm="1">
        <f t="array" ref="B4">VLOOKUP(A4,'The List'!B1:D671,3,FALSE)</f>
        <v>C,LW</v>
      </c>
      <c r="C4" s="94" cm="1">
        <f t="array" ref="C4">IF(Settings!$E$15="POINTS",RANK(E4,E3:E210),H4)</f>
        <v>6</v>
      </c>
      <c r="D4" s="18" t="str" cm="1">
        <f t="array" ref="D4">VLOOKUP(A4,'The List'!B1:F671,5,FALSE)</f>
        <v>N.J</v>
      </c>
      <c r="E4" s="55" cm="1">
        <f t="array" ref="E4">VLOOKUP(A4,'The List'!B1:I671,8,FALSE)</f>
        <v>9.2474854787857712</v>
      </c>
      <c r="F4" s="55" cm="1">
        <f t="array" ref="F4">IF(Settings!$E$15="POINTS",E4-VLOOKUP(B$2,C1:E210,3,FALSE),J4)</f>
        <v>2.3530998343959615</v>
      </c>
      <c r="G4" s="55"/>
      <c r="H4" s="166" cm="1">
        <f t="array" ref="H4">RANK(I4,I3:I210)</f>
        <v>6</v>
      </c>
      <c r="I4" s="167" cm="1">
        <f t="array" ref="I4">VLOOKUP(A4,'Standard Deviations'!A1:C672,3,FALSE)</f>
        <v>9.2474854787857712</v>
      </c>
      <c r="J4" s="167" cm="1">
        <f t="array" ref="J4">I4-VLOOKUP(B$2,H1:J210,2,FALSE)</f>
        <v>2.3530998343959615</v>
      </c>
    </row>
    <row r="5" spans="1:10" ht="21.25" customHeight="1" x14ac:dyDescent="0.15">
      <c r="A5" s="10" t="s">
        <v>141</v>
      </c>
      <c r="B5" s="93" t="str" cm="1">
        <f t="array" ref="B5">VLOOKUP(A5,'The List'!B1:D671,3,FALSE)</f>
        <v>LW,RW</v>
      </c>
      <c r="C5" s="94" cm="1">
        <f t="array" ref="C5">IF(Settings!$E$15="POINTS",RANK(E5,E3:E210),H5)</f>
        <v>5</v>
      </c>
      <c r="D5" s="18" t="str" cm="1">
        <f t="array" ref="D5">VLOOKUP(A5,'The List'!B1:F671,5,FALSE)</f>
        <v>MIN</v>
      </c>
      <c r="E5" s="55" cm="1">
        <f t="array" ref="E5">VLOOKUP(A5,'The List'!B1:I671,8,FALSE)</f>
        <v>10.069150958221819</v>
      </c>
      <c r="F5" s="55" cm="1">
        <f t="array" ref="F5">IF(Settings!$E$15="POINTS",E5-VLOOKUP(B$2,C1:E210,3,FALSE),J5)</f>
        <v>3.1747653138320091</v>
      </c>
      <c r="G5" s="55"/>
      <c r="H5" s="166" cm="1">
        <f t="array" ref="H5">RANK(I5,I3:I210)</f>
        <v>5</v>
      </c>
      <c r="I5" s="167" cm="1">
        <f t="array" ref="I5">VLOOKUP(A5,'Standard Deviations'!A1:C672,3,FALSE)</f>
        <v>10.069150958221819</v>
      </c>
      <c r="J5" s="167" cm="1">
        <f t="array" ref="J5">I5-VLOOKUP(B$2,H1:J210,2,FALSE)</f>
        <v>3.1747653138320091</v>
      </c>
    </row>
    <row r="6" spans="1:10" ht="21.25" customHeight="1" x14ac:dyDescent="0.15">
      <c r="A6" s="10" t="s">
        <v>142</v>
      </c>
      <c r="B6" s="93" t="str" cm="1">
        <f t="array" ref="B6">VLOOKUP(A6,'The List'!B1:D671,3,FALSE)</f>
        <v>LW,RW</v>
      </c>
      <c r="C6" s="94" cm="1">
        <f t="array" ref="C6">IF(Settings!$E$15="POINTS",RANK(E6,E3:E210),H6)</f>
        <v>2</v>
      </c>
      <c r="D6" s="18" t="str" cm="1">
        <f t="array" ref="D6">VLOOKUP(A6,'The List'!B1:F671,5,FALSE)</f>
        <v>DAL</v>
      </c>
      <c r="E6" s="55" cm="1">
        <f t="array" ref="E6">VLOOKUP(A6,'The List'!B1:I671,8,FALSE)</f>
        <v>11.586552088191054</v>
      </c>
      <c r="F6" s="55" cm="1">
        <f t="array" ref="F6">IF(Settings!$E$15="POINTS",E6-VLOOKUP(B$2,C1:E210,3,FALSE),J6)</f>
        <v>4.692166443801244</v>
      </c>
      <c r="G6" s="55"/>
      <c r="H6" s="166" cm="1">
        <f t="array" ref="H6">RANK(I6,I3:I210)</f>
        <v>2</v>
      </c>
      <c r="I6" s="167" cm="1">
        <f t="array" ref="I6">VLOOKUP(A6,'Standard Deviations'!A1:C672,3,FALSE)</f>
        <v>11.586552088191054</v>
      </c>
      <c r="J6" s="167" cm="1">
        <f t="array" ref="J6">I6-VLOOKUP(B$2,H1:J210,2,FALSE)</f>
        <v>4.692166443801244</v>
      </c>
    </row>
    <row r="7" spans="1:10" ht="21.25" customHeight="1" x14ac:dyDescent="0.15">
      <c r="A7" s="10" t="s">
        <v>146</v>
      </c>
      <c r="B7" s="93" t="str" cm="1">
        <f t="array" ref="B7">VLOOKUP(A7,'The List'!B1:D671,3,FALSE)</f>
        <v>LW</v>
      </c>
      <c r="C7" s="94" cm="1">
        <f t="array" ref="C7">IF(Settings!$E$15="POINTS",RANK(E7,E3:E210),H7)</f>
        <v>4</v>
      </c>
      <c r="D7" s="18" t="str" cm="1">
        <f t="array" ref="D7">VLOOKUP(A7,'The List'!B1:F671,5,FALSE)</f>
        <v>MIN</v>
      </c>
      <c r="E7" s="55" cm="1">
        <f t="array" ref="E7">VLOOKUP(A7,'The List'!B1:I671,8,FALSE)</f>
        <v>10.558311446143982</v>
      </c>
      <c r="F7" s="55" cm="1">
        <f t="array" ref="F7">IF(Settings!$E$15="POINTS",E7-VLOOKUP(B$2,C1:E210,3,FALSE),J7)</f>
        <v>3.6639258017541723</v>
      </c>
      <c r="G7" s="55"/>
      <c r="H7" s="166" cm="1">
        <f t="array" ref="H7">RANK(I7,I3:I210)</f>
        <v>4</v>
      </c>
      <c r="I7" s="167" cm="1">
        <f t="array" ref="I7">VLOOKUP(A7,'Standard Deviations'!A1:C672,3,FALSE)</f>
        <v>10.558311446143982</v>
      </c>
      <c r="J7" s="167" cm="1">
        <f t="array" ref="J7">I7-VLOOKUP(B$2,H1:J210,2,FALSE)</f>
        <v>3.6639258017541723</v>
      </c>
    </row>
    <row r="8" spans="1:10" ht="21.25" customHeight="1" x14ac:dyDescent="0.15">
      <c r="A8" s="10" t="s">
        <v>153</v>
      </c>
      <c r="B8" s="93" t="str" cm="1">
        <f t="array" ref="B8">VLOOKUP(A8,'The List'!B1:D671,3,FALSE)</f>
        <v>LW</v>
      </c>
      <c r="C8" s="94" cm="1">
        <f t="array" ref="C8">IF(Settings!$E$15="POINTS",RANK(E8,E3:E210),H8)</f>
        <v>16</v>
      </c>
      <c r="D8" s="18" t="str" cm="1">
        <f t="array" ref="D8">VLOOKUP(A8,'The List'!B1:F671,5,FALSE)</f>
        <v>WPG</v>
      </c>
      <c r="E8" s="55" cm="1">
        <f t="array" ref="E8">VLOOKUP(A8,'The List'!B1:I671,8,FALSE)</f>
        <v>7.7793223394578721</v>
      </c>
      <c r="F8" s="55" cm="1">
        <f t="array" ref="F8">IF(Settings!$E$15="POINTS",E8-VLOOKUP(B$2,C1:E210,3,FALSE),J8)</f>
        <v>0.88493669506806238</v>
      </c>
      <c r="G8" s="55"/>
      <c r="H8" s="166" cm="1">
        <f t="array" ref="H8">RANK(I8,I3:I210)</f>
        <v>16</v>
      </c>
      <c r="I8" s="167" cm="1">
        <f t="array" ref="I8">VLOOKUP(A8,'Standard Deviations'!A1:C672,3,FALSE)</f>
        <v>7.7793223394578721</v>
      </c>
      <c r="J8" s="167" cm="1">
        <f t="array" ref="J8">I8-VLOOKUP(B$2,H1:J210,2,FALSE)</f>
        <v>0.88493669506806238</v>
      </c>
    </row>
    <row r="9" spans="1:10" ht="21.25" customHeight="1" x14ac:dyDescent="0.15">
      <c r="A9" s="10" t="s">
        <v>160</v>
      </c>
      <c r="B9" s="93" t="str" cm="1">
        <f t="array" ref="B9">VLOOKUP(A9,'The List'!B1:D671,3,FALSE)</f>
        <v>C,LW,RW</v>
      </c>
      <c r="C9" s="94" cm="1">
        <f t="array" ref="C9">IF(Settings!$E$15="POINTS",RANK(E9,E3:E210),H9)</f>
        <v>13</v>
      </c>
      <c r="D9" s="18" t="str" cm="1">
        <f t="array" ref="D9">VLOOKUP(A9,'The List'!B1:F671,5,FALSE)</f>
        <v>ANA</v>
      </c>
      <c r="E9" s="55" cm="1">
        <f t="array" ref="E9">VLOOKUP(A9,'The List'!B1:I671,8,FALSE)</f>
        <v>8.0044150915522536</v>
      </c>
      <c r="F9" s="55" cm="1">
        <f t="array" ref="F9">IF(Settings!$E$15="POINTS",E9-VLOOKUP(B$2,C1:E210,3,FALSE),J9)</f>
        <v>1.1100294471624439</v>
      </c>
      <c r="G9" s="55"/>
      <c r="H9" s="166" cm="1">
        <f t="array" ref="H9">RANK(I9,I3:I210)</f>
        <v>13</v>
      </c>
      <c r="I9" s="167" cm="1">
        <f t="array" ref="I9">VLOOKUP(A9,'Standard Deviations'!A1:C672,3,FALSE)</f>
        <v>8.0044150915522536</v>
      </c>
      <c r="J9" s="167" cm="1">
        <f t="array" ref="J9">I9-VLOOKUP(B$2,H1:J210,2,FALSE)</f>
        <v>1.1100294471624439</v>
      </c>
    </row>
    <row r="10" spans="1:10" ht="21.25" customHeight="1" x14ac:dyDescent="0.15">
      <c r="A10" s="10" t="s">
        <v>162</v>
      </c>
      <c r="B10" s="93" t="str" cm="1">
        <f t="array" ref="B10">VLOOKUP(A10,'The List'!B1:D671,3,FALSE)</f>
        <v>LW,RW</v>
      </c>
      <c r="C10" s="94" cm="1">
        <f t="array" ref="C10">IF(Settings!$E$15="POINTS",RANK(E10,E3:E210),H10)</f>
        <v>7</v>
      </c>
      <c r="D10" s="18" t="str" cm="1">
        <f t="array" ref="D10">VLOOKUP(A10,'The List'!B1:F671,5,FALSE)</f>
        <v>DAL</v>
      </c>
      <c r="E10" s="55" cm="1">
        <f t="array" ref="E10">VLOOKUP(A10,'The List'!B1:I671,8,FALSE)</f>
        <v>9.1685176421004204</v>
      </c>
      <c r="F10" s="55" cm="1">
        <f t="array" ref="F10">IF(Settings!$E$15="POINTS",E10-VLOOKUP(B$2,C1:E210,3,FALSE),J10)</f>
        <v>2.2741319977106107</v>
      </c>
      <c r="G10" s="55"/>
      <c r="H10" s="166" cm="1">
        <f t="array" ref="H10">RANK(I10,I3:I210)</f>
        <v>7</v>
      </c>
      <c r="I10" s="167" cm="1">
        <f t="array" ref="I10">VLOOKUP(A10,'Standard Deviations'!A1:C672,3,FALSE)</f>
        <v>9.1685176421004204</v>
      </c>
      <c r="J10" s="167" cm="1">
        <f t="array" ref="J10">I10-VLOOKUP(B$2,H1:J210,2,FALSE)</f>
        <v>2.2741319977106107</v>
      </c>
    </row>
    <row r="11" spans="1:10" ht="21.25" customHeight="1" x14ac:dyDescent="0.15">
      <c r="A11" s="10" t="s">
        <v>166</v>
      </c>
      <c r="B11" s="93" t="str" cm="1">
        <f t="array" ref="B11">VLOOKUP(A11,'The List'!B1:D671,3,FALSE)</f>
        <v>LW,RW</v>
      </c>
      <c r="C11" s="94" cm="1">
        <f t="array" ref="C11">IF(Settings!$E$15="POINTS",RANK(E11,E3:E210),H11)</f>
        <v>11</v>
      </c>
      <c r="D11" s="18" t="str" cm="1">
        <f t="array" ref="D11">VLOOKUP(A11,'The List'!B1:F671,5,FALSE)</f>
        <v>UTA</v>
      </c>
      <c r="E11" s="55" cm="1">
        <f t="array" ref="E11">VLOOKUP(A11,'The List'!B1:I671,8,FALSE)</f>
        <v>8.5418971934080048</v>
      </c>
      <c r="F11" s="55" cm="1">
        <f t="array" ref="F11">IF(Settings!$E$15="POINTS",E11-VLOOKUP(B$2,C1:E210,3,FALSE),J11)</f>
        <v>1.6475115490181951</v>
      </c>
      <c r="G11" s="55"/>
      <c r="H11" s="166" cm="1">
        <f t="array" ref="H11">RANK(I11,I3:I210)</f>
        <v>11</v>
      </c>
      <c r="I11" s="167" cm="1">
        <f t="array" ref="I11">VLOOKUP(A11,'Standard Deviations'!A1:C672,3,FALSE)</f>
        <v>8.5418971934080048</v>
      </c>
      <c r="J11" s="167" cm="1">
        <f t="array" ref="J11">I11-VLOOKUP(B$2,H1:J210,2,FALSE)</f>
        <v>1.6475115490181951</v>
      </c>
    </row>
    <row r="12" spans="1:10" ht="21.25" customHeight="1" x14ac:dyDescent="0.15">
      <c r="A12" s="10" t="s">
        <v>167</v>
      </c>
      <c r="B12" s="93" t="str" cm="1">
        <f t="array" ref="B12">VLOOKUP(A12,'The List'!B1:D671,3,FALSE)</f>
        <v>LW,RW</v>
      </c>
      <c r="C12" s="94" cm="1">
        <f t="array" ref="C12">IF(Settings!$E$15="POINTS",RANK(E12,E3:E210),H12)</f>
        <v>19</v>
      </c>
      <c r="D12" s="18" t="str" cm="1">
        <f t="array" ref="D12">VLOOKUP(A12,'The List'!B1:F671,5,FALSE)</f>
        <v>UTA</v>
      </c>
      <c r="E12" s="55" cm="1">
        <f t="array" ref="E12">VLOOKUP(A12,'The List'!B1:I671,8,FALSE)</f>
        <v>6.9196335326727603</v>
      </c>
      <c r="F12" s="55" cm="1">
        <f t="array" ref="F12">IF(Settings!$E$15="POINTS",E12-VLOOKUP(B$2,C1:E210,3,FALSE),J12)</f>
        <v>2.5247888282950548E-2</v>
      </c>
      <c r="G12" s="55"/>
      <c r="H12" s="166" cm="1">
        <f t="array" ref="H12">RANK(I12,I3:I210)</f>
        <v>19</v>
      </c>
      <c r="I12" s="167" cm="1">
        <f t="array" ref="I12">VLOOKUP(A12,'Standard Deviations'!A1:C672,3,FALSE)</f>
        <v>6.9196335326727603</v>
      </c>
      <c r="J12" s="167" cm="1">
        <f t="array" ref="J12">I12-VLOOKUP(B$2,H1:J210,2,FALSE)</f>
        <v>2.5247888282950548E-2</v>
      </c>
    </row>
    <row r="13" spans="1:10" ht="21.25" customHeight="1" x14ac:dyDescent="0.15">
      <c r="A13" s="10" t="s">
        <v>174</v>
      </c>
      <c r="B13" s="93" t="str" cm="1">
        <f t="array" ref="B13">VLOOKUP(A13,'The List'!B1:D671,3,FALSE)</f>
        <v>LW,RW</v>
      </c>
      <c r="C13" s="94" cm="1">
        <f t="array" ref="C13">IF(Settings!$E$15="POINTS",RANK(E13,E3:E210),H13)</f>
        <v>22</v>
      </c>
      <c r="D13" s="18" t="str" cm="1">
        <f t="array" ref="D13">VLOOKUP(A13,'The List'!B1:F671,5,FALSE)</f>
        <v>DET</v>
      </c>
      <c r="E13" s="55" cm="1">
        <f t="array" ref="E13">VLOOKUP(A13,'The List'!B1:I671,8,FALSE)</f>
        <v>6.8872346018090775</v>
      </c>
      <c r="F13" s="55" cm="1">
        <f t="array" ref="F13">IF(Settings!$E$15="POINTS",E13-VLOOKUP(B$2,C1:E210,3,FALSE),J13)</f>
        <v>-7.1510425807321809E-3</v>
      </c>
      <c r="G13" s="55"/>
      <c r="H13" s="166" cm="1">
        <f t="array" ref="H13">RANK(I13,I3:I210)</f>
        <v>22</v>
      </c>
      <c r="I13" s="167" cm="1">
        <f t="array" ref="I13">VLOOKUP(A13,'Standard Deviations'!A1:C672,3,FALSE)</f>
        <v>6.8872346018090775</v>
      </c>
      <c r="J13" s="167" cm="1">
        <f t="array" ref="J13">I13-VLOOKUP(B$2,H1:J210,2,FALSE)</f>
        <v>-7.1510425807321809E-3</v>
      </c>
    </row>
    <row r="14" spans="1:10" ht="21.25" customHeight="1" x14ac:dyDescent="0.15">
      <c r="A14" s="10" t="s">
        <v>180</v>
      </c>
      <c r="B14" s="93" t="str" cm="1">
        <f t="array" ref="B14">VLOOKUP(A14,'The List'!B1:D671,3,FALSE)</f>
        <v>LW</v>
      </c>
      <c r="C14" s="94" cm="1">
        <f t="array" ref="C14">IF(Settings!$E$15="POINTS",RANK(E14,E3:E210),H14)</f>
        <v>25</v>
      </c>
      <c r="D14" s="18" t="str" cm="1">
        <f t="array" ref="D14">VLOOKUP(A14,'The List'!B1:F671,5,FALSE)</f>
        <v>L.A</v>
      </c>
      <c r="E14" s="55" cm="1">
        <f t="array" ref="E14">VLOOKUP(A14,'The List'!B1:I671,8,FALSE)</f>
        <v>6.7723564461092902</v>
      </c>
      <c r="F14" s="55" cm="1">
        <f t="array" ref="F14">IF(Settings!$E$15="POINTS",E14-VLOOKUP(B$2,C1:E210,3,FALSE),J14)</f>
        <v>-0.1220291982805195</v>
      </c>
      <c r="G14" s="55"/>
      <c r="H14" s="166" cm="1">
        <f t="array" ref="H14">RANK(I14,I3:I210)</f>
        <v>25</v>
      </c>
      <c r="I14" s="167" cm="1">
        <f t="array" ref="I14">VLOOKUP(A14,'Standard Deviations'!A1:C672,3,FALSE)</f>
        <v>6.7723564461092902</v>
      </c>
      <c r="J14" s="167" cm="1">
        <f t="array" ref="J14">I14-VLOOKUP(B$2,H1:J210,2,FALSE)</f>
        <v>-0.1220291982805195</v>
      </c>
    </row>
    <row r="15" spans="1:10" ht="21.25" customHeight="1" x14ac:dyDescent="0.15">
      <c r="A15" s="10" t="s">
        <v>177</v>
      </c>
      <c r="B15" s="93" t="str" cm="1">
        <f t="array" ref="B15">VLOOKUP(A15,'The List'!B1:D671,3,FALSE)</f>
        <v>LW,RW</v>
      </c>
      <c r="C15" s="94" cm="1">
        <f t="array" ref="C15">IF(Settings!$E$15="POINTS",RANK(E15,E3:E210),H15)</f>
        <v>9</v>
      </c>
      <c r="D15" s="18" t="str" cm="1">
        <f t="array" ref="D15">VLOOKUP(A15,'The List'!B1:F671,5,FALSE)</f>
        <v>MTL</v>
      </c>
      <c r="E15" s="55" cm="1">
        <f t="array" ref="E15">VLOOKUP(A15,'The List'!B1:I671,8,FALSE)</f>
        <v>8.89104643795757</v>
      </c>
      <c r="F15" s="55" cm="1">
        <f t="array" ref="F15">IF(Settings!$E$15="POINTS",E15-VLOOKUP(B$2,C1:E210,3,FALSE),J15)</f>
        <v>1.9966607935677603</v>
      </c>
      <c r="G15" s="55"/>
      <c r="H15" s="166" cm="1">
        <f t="array" ref="H15">RANK(I15,I3:I210)</f>
        <v>9</v>
      </c>
      <c r="I15" s="167" cm="1">
        <f t="array" ref="I15">VLOOKUP(A15,'Standard Deviations'!A1:C672,3,FALSE)</f>
        <v>8.89104643795757</v>
      </c>
      <c r="J15" s="167" cm="1">
        <f t="array" ref="J15">I15-VLOOKUP(B$2,H1:J210,2,FALSE)</f>
        <v>1.9966607935677603</v>
      </c>
    </row>
    <row r="16" spans="1:10" ht="21.25" customHeight="1" x14ac:dyDescent="0.15">
      <c r="A16" s="10" t="s">
        <v>182</v>
      </c>
      <c r="B16" s="93" t="str" cm="1">
        <f t="array" ref="B16">VLOOKUP(A16,'The List'!B1:D671,3,FALSE)</f>
        <v>LW,RW</v>
      </c>
      <c r="C16" s="94" cm="1">
        <f t="array" ref="C16">IF(Settings!$E$15="POINTS",RANK(E16,E3:E210),H16)</f>
        <v>8</v>
      </c>
      <c r="D16" s="18" t="str" cm="1">
        <f t="array" ref="D16">VLOOKUP(A16,'The List'!B1:F671,5,FALSE)</f>
        <v>FLA</v>
      </c>
      <c r="E16" s="55" cm="1">
        <f t="array" ref="E16">VLOOKUP(A16,'The List'!B1:I671,8,FALSE)</f>
        <v>9.0948975523192228</v>
      </c>
      <c r="F16" s="55" cm="1">
        <f t="array" ref="F16">IF(Settings!$E$15="POINTS",E16-VLOOKUP(B$2,C1:E210,3,FALSE),J16)</f>
        <v>2.2005119079294131</v>
      </c>
      <c r="G16" s="55"/>
      <c r="H16" s="166" cm="1">
        <f t="array" ref="H16">RANK(I16,I3:I210)</f>
        <v>8</v>
      </c>
      <c r="I16" s="167" cm="1">
        <f t="array" ref="I16">VLOOKUP(A16,'Standard Deviations'!A1:C672,3,FALSE)</f>
        <v>9.0948975523192228</v>
      </c>
      <c r="J16" s="167" cm="1">
        <f t="array" ref="J16">I16-VLOOKUP(B$2,H1:J210,2,FALSE)</f>
        <v>2.2005119079294131</v>
      </c>
    </row>
    <row r="17" spans="1:10" ht="21.25" customHeight="1" x14ac:dyDescent="0.15">
      <c r="A17" s="10" t="s">
        <v>187</v>
      </c>
      <c r="B17" s="93" t="str" cm="1">
        <f t="array" ref="B17">VLOOKUP(A17,'The List'!B1:D671,3,FALSE)</f>
        <v>LW</v>
      </c>
      <c r="C17" s="94" cm="1">
        <f t="array" ref="C17">IF(Settings!$E$15="POINTS",RANK(E17,E3:E210),H17)</f>
        <v>15</v>
      </c>
      <c r="D17" s="18" t="str" cm="1">
        <f t="array" ref="D17">VLOOKUP(A17,'The List'!B1:F671,5,FALSE)</f>
        <v>NSH</v>
      </c>
      <c r="E17" s="55" cm="1">
        <f t="array" ref="E17">VLOOKUP(A17,'The List'!B1:I671,8,FALSE)</f>
        <v>7.8369395181287853</v>
      </c>
      <c r="F17" s="55" cm="1">
        <f t="array" ref="F17">IF(Settings!$E$15="POINTS",E17-VLOOKUP(B$2,C1:E210,3,FALSE),J17)</f>
        <v>0.94255387373897559</v>
      </c>
      <c r="G17" s="55"/>
      <c r="H17" s="166" cm="1">
        <f t="array" ref="H17">RANK(I17,I3:I210)</f>
        <v>15</v>
      </c>
      <c r="I17" s="167" cm="1">
        <f t="array" ref="I17">VLOOKUP(A17,'Standard Deviations'!A1:C672,3,FALSE)</f>
        <v>7.8369395181287853</v>
      </c>
      <c r="J17" s="167" cm="1">
        <f t="array" ref="J17">I17-VLOOKUP(B$2,H1:J210,2,FALSE)</f>
        <v>0.94255387373897559</v>
      </c>
    </row>
    <row r="18" spans="1:10" ht="21.25" customHeight="1" x14ac:dyDescent="0.15">
      <c r="A18" s="10" t="s">
        <v>185</v>
      </c>
      <c r="B18" s="93" t="str" cm="1">
        <f t="array" ref="B18">VLOOKUP(A18,'The List'!B1:D671,3,FALSE)</f>
        <v>C,LW,RW</v>
      </c>
      <c r="C18" s="94" cm="1">
        <f t="array" ref="C18">IF(Settings!$E$15="POINTS",RANK(E18,E3:E210),H18)</f>
        <v>18</v>
      </c>
      <c r="D18" s="18" t="str" cm="1">
        <f t="array" ref="D18">VLOOKUP(A18,'The List'!B1:F671,5,FALSE)</f>
        <v>VGK</v>
      </c>
      <c r="E18" s="55" cm="1">
        <f t="array" ref="E18">VLOOKUP(A18,'The List'!B1:I671,8,FALSE)</f>
        <v>7.452029453130919</v>
      </c>
      <c r="F18" s="55" cm="1">
        <f t="array" ref="F18">IF(Settings!$E$15="POINTS",E18-VLOOKUP(B$2,C1:E210,3,FALSE),J18)</f>
        <v>0.5576438087411093</v>
      </c>
      <c r="G18" s="55"/>
      <c r="H18" s="166" cm="1">
        <f t="array" ref="H18">RANK(I18,I3:I210)</f>
        <v>18</v>
      </c>
      <c r="I18" s="167" cm="1">
        <f t="array" ref="I18">VLOOKUP(A18,'Standard Deviations'!A1:C672,3,FALSE)</f>
        <v>7.452029453130919</v>
      </c>
      <c r="J18" s="167" cm="1">
        <f t="array" ref="J18">I18-VLOOKUP(B$2,H1:J210,2,FALSE)</f>
        <v>0.5576438087411093</v>
      </c>
    </row>
    <row r="19" spans="1:10" ht="21.25" customHeight="1" x14ac:dyDescent="0.15">
      <c r="A19" s="10" t="s">
        <v>189</v>
      </c>
      <c r="B19" s="93" t="str" cm="1">
        <f t="array" ref="B19">VLOOKUP(A19,'The List'!B1:D671,3,FALSE)</f>
        <v>LW,RW</v>
      </c>
      <c r="C19" s="94" cm="1">
        <f t="array" ref="C19">IF(Settings!$E$15="POINTS",RANK(E19,E3:E210),H19)</f>
        <v>12</v>
      </c>
      <c r="D19" s="18" t="str" cm="1">
        <f t="array" ref="D19">VLOOKUP(A19,'The List'!B1:F671,5,FALSE)</f>
        <v>T.B</v>
      </c>
      <c r="E19" s="55" cm="1">
        <f t="array" ref="E19">VLOOKUP(A19,'The List'!B1:I671,8,FALSE)</f>
        <v>8.4293905540180667</v>
      </c>
      <c r="F19" s="55" cm="1">
        <f t="array" ref="F19">IF(Settings!$E$15="POINTS",E19-VLOOKUP(B$2,C1:E210,3,FALSE),J19)</f>
        <v>1.535004909628257</v>
      </c>
      <c r="G19" s="55"/>
      <c r="H19" s="166" cm="1">
        <f t="array" ref="H19">RANK(I19,I3:I210)</f>
        <v>12</v>
      </c>
      <c r="I19" s="167" cm="1">
        <f t="array" ref="I19">VLOOKUP(A19,'Standard Deviations'!A1:C672,3,FALSE)</f>
        <v>8.4293905540180667</v>
      </c>
      <c r="J19" s="167" cm="1">
        <f t="array" ref="J19">I19-VLOOKUP(B$2,H1:J210,2,FALSE)</f>
        <v>1.535004909628257</v>
      </c>
    </row>
    <row r="20" spans="1:10" ht="21.25" customHeight="1" x14ac:dyDescent="0.15">
      <c r="A20" s="10" t="s">
        <v>192</v>
      </c>
      <c r="B20" s="93" t="str" cm="1">
        <f t="array" ref="B20">VLOOKUP(A20,'The List'!B1:D671,3,FALSE)</f>
        <v>LW,RW</v>
      </c>
      <c r="C20" s="94" cm="1">
        <f t="array" ref="C20">IF(Settings!$E$15="POINTS",RANK(E20,E3:E210),H20)</f>
        <v>10</v>
      </c>
      <c r="D20" s="18" t="str" cm="1">
        <f t="array" ref="D20">VLOOKUP(A20,'The List'!B1:F671,5,FALSE)</f>
        <v>T.B</v>
      </c>
      <c r="E20" s="55" cm="1">
        <f t="array" ref="E20">VLOOKUP(A20,'The List'!B1:I671,8,FALSE)</f>
        <v>8.5733122429739819</v>
      </c>
      <c r="F20" s="55" cm="1">
        <f t="array" ref="F20">IF(Settings!$E$15="POINTS",E20-VLOOKUP(B$2,C1:E210,3,FALSE),J20)</f>
        <v>1.6789265985841721</v>
      </c>
      <c r="G20" s="55"/>
      <c r="H20" s="166" cm="1">
        <f t="array" ref="H20">RANK(I20,I3:I210)</f>
        <v>10</v>
      </c>
      <c r="I20" s="167" cm="1">
        <f t="array" ref="I20">VLOOKUP(A20,'Standard Deviations'!A1:C672,3,FALSE)</f>
        <v>8.5733122429739819</v>
      </c>
      <c r="J20" s="167" cm="1">
        <f t="array" ref="J20">I20-VLOOKUP(B$2,H1:J210,2,FALSE)</f>
        <v>1.6789265985841721</v>
      </c>
    </row>
    <row r="21" spans="1:10" ht="21.25" customHeight="1" x14ac:dyDescent="0.15">
      <c r="A21" s="10" t="s">
        <v>208</v>
      </c>
      <c r="B21" s="93" t="str" cm="1">
        <f t="array" ref="B21">VLOOKUP(A21,'The List'!B1:D671,3,FALSE)</f>
        <v>C,LW</v>
      </c>
      <c r="C21" s="94" cm="1">
        <f t="array" ref="C21">IF(Settings!$E$15="POINTS",RANK(E21,E3:E210),H21)</f>
        <v>17</v>
      </c>
      <c r="D21" s="18" t="str" cm="1">
        <f t="array" ref="D21">VLOOKUP(A21,'The List'!B1:F671,5,FALSE)</f>
        <v>OTT</v>
      </c>
      <c r="E21" s="55" cm="1">
        <f t="array" ref="E21">VLOOKUP(A21,'The List'!B1:I671,8,FALSE)</f>
        <v>7.7123335151329222</v>
      </c>
      <c r="F21" s="55" cm="1">
        <f t="array" ref="F21">IF(Settings!$E$15="POINTS",E21-VLOOKUP(B$2,C1:E210,3,FALSE),J21)</f>
        <v>0.81794787074311248</v>
      </c>
      <c r="G21" s="55"/>
      <c r="H21" s="166" cm="1">
        <f t="array" ref="H21">RANK(I21,I3:I210)</f>
        <v>17</v>
      </c>
      <c r="I21" s="167" cm="1">
        <f t="array" ref="I21">VLOOKUP(A21,'Standard Deviations'!A1:C672,3,FALSE)</f>
        <v>7.7123335151329222</v>
      </c>
      <c r="J21" s="167" cm="1">
        <f t="array" ref="J21">I21-VLOOKUP(B$2,H1:J210,2,FALSE)</f>
        <v>0.81794787074311248</v>
      </c>
    </row>
    <row r="22" spans="1:10" ht="21.25" customHeight="1" x14ac:dyDescent="0.15">
      <c r="A22" s="10" t="s">
        <v>207</v>
      </c>
      <c r="B22" s="93" t="str" cm="1">
        <f t="array" ref="B22">VLOOKUP(A22,'The List'!B1:D671,3,FALSE)</f>
        <v>LW,RW</v>
      </c>
      <c r="C22" s="94" cm="1">
        <f t="array" ref="C22">IF(Settings!$E$15="POINTS",RANK(E22,E3:E210),H22)</f>
        <v>24</v>
      </c>
      <c r="D22" s="18" t="str" cm="1">
        <f t="array" ref="D22">VLOOKUP(A22,'The List'!B1:F671,5,FALSE)</f>
        <v>N.J</v>
      </c>
      <c r="E22" s="55" cm="1">
        <f t="array" ref="E22">VLOOKUP(A22,'The List'!B1:I671,8,FALSE)</f>
        <v>6.7986408508846496</v>
      </c>
      <c r="F22" s="55" cm="1">
        <f t="array" ref="F22">IF(Settings!$E$15="POINTS",E22-VLOOKUP(B$2,C1:E210,3,FALSE),J22)</f>
        <v>-9.5744793505160075E-2</v>
      </c>
      <c r="G22" s="55"/>
      <c r="H22" s="166" cm="1">
        <f t="array" ref="H22">RANK(I22,I3:I210)</f>
        <v>24</v>
      </c>
      <c r="I22" s="167" cm="1">
        <f t="array" ref="I22">VLOOKUP(A22,'Standard Deviations'!A1:C672,3,FALSE)</f>
        <v>6.7986408508846496</v>
      </c>
      <c r="J22" s="167" cm="1">
        <f t="array" ref="J22">I22-VLOOKUP(B$2,H1:J210,2,FALSE)</f>
        <v>-9.5744793505160075E-2</v>
      </c>
    </row>
    <row r="23" spans="1:10" ht="21.25" customHeight="1" x14ac:dyDescent="0.15">
      <c r="A23" s="10" t="s">
        <v>220</v>
      </c>
      <c r="B23" s="93" t="str" cm="1">
        <f t="array" ref="B23">VLOOKUP(A23,'The List'!B1:D671,3,FALSE)</f>
        <v>LW</v>
      </c>
      <c r="C23" s="94" cm="1">
        <f t="array" ref="C23">IF(Settings!$E$15="POINTS",RANK(E23,E3:E210),H23)</f>
        <v>20</v>
      </c>
      <c r="D23" s="18" t="str" cm="1">
        <f t="array" ref="D23">VLOOKUP(A23,'The List'!B1:F671,5,FALSE)</f>
        <v>CAR</v>
      </c>
      <c r="E23" s="55" cm="1">
        <f t="array" ref="E23">VLOOKUP(A23,'The List'!B1:I671,8,FALSE)</f>
        <v>6.8970892151041214</v>
      </c>
      <c r="F23" s="55" cm="1">
        <f t="array" ref="F23">IF(Settings!$E$15="POINTS",E23-VLOOKUP(B$2,C1:E210,3,FALSE),J23)</f>
        <v>2.7035707143117094E-3</v>
      </c>
      <c r="G23" s="55"/>
      <c r="H23" s="166" cm="1">
        <f t="array" ref="H23">RANK(I23,I3:I210)</f>
        <v>20</v>
      </c>
      <c r="I23" s="167" cm="1">
        <f t="array" ref="I23">VLOOKUP(A23,'Standard Deviations'!A1:C672,3,FALSE)</f>
        <v>6.8970892151041214</v>
      </c>
      <c r="J23" s="167" cm="1">
        <f t="array" ref="J23">I23-VLOOKUP(B$2,H1:J210,2,FALSE)</f>
        <v>2.7035707143117094E-3</v>
      </c>
    </row>
    <row r="24" spans="1:10" ht="21.25" customHeight="1" x14ac:dyDescent="0.15">
      <c r="A24" s="10" t="s">
        <v>226</v>
      </c>
      <c r="B24" s="93" t="str" cm="1">
        <f t="array" ref="B24">VLOOKUP(A24,'The List'!B1:D671,3,FALSE)</f>
        <v>C,LW</v>
      </c>
      <c r="C24" s="94" cm="1">
        <f t="array" ref="C24">IF(Settings!$E$15="POINTS",RANK(E24,E3:E210),H24)</f>
        <v>3</v>
      </c>
      <c r="D24" s="18" t="str" cm="1">
        <f t="array" ref="D24">VLOOKUP(A24,'The List'!B1:F671,5,FALSE)</f>
        <v>FLA</v>
      </c>
      <c r="E24" s="55" cm="1">
        <f t="array" ref="E24">VLOOKUP(A24,'The List'!B1:I671,8,FALSE)</f>
        <v>10.567812064490829</v>
      </c>
      <c r="F24" s="55" cm="1">
        <f t="array" ref="F24">IF(Settings!$E$15="POINTS",E24-VLOOKUP(B$2,C1:E210,3,FALSE),J24)</f>
        <v>3.6734264201010189</v>
      </c>
      <c r="G24" s="55"/>
      <c r="H24" s="166" cm="1">
        <f t="array" ref="H24">RANK(I24,I3:I210)</f>
        <v>3</v>
      </c>
      <c r="I24" s="167" cm="1">
        <f t="array" ref="I24">VLOOKUP(A24,'Standard Deviations'!A1:C672,3,FALSE)</f>
        <v>10.567812064490829</v>
      </c>
      <c r="J24" s="167" cm="1">
        <f t="array" ref="J24">I24-VLOOKUP(B$2,H1:J210,2,FALSE)</f>
        <v>3.6734264201010189</v>
      </c>
    </row>
    <row r="25" spans="1:10" ht="21.25" customHeight="1" x14ac:dyDescent="0.15">
      <c r="A25" s="10" t="s">
        <v>221</v>
      </c>
      <c r="B25" s="93" t="str" cm="1">
        <f t="array" ref="B25">VLOOKUP(A25,'The List'!B1:D671,3,FALSE)</f>
        <v>LW,RW</v>
      </c>
      <c r="C25" s="94" cm="1">
        <f t="array" ref="C25">IF(Settings!$E$15="POINTS",RANK(E25,E3:E210),H25)</f>
        <v>40</v>
      </c>
      <c r="D25" s="18" t="str" cm="1">
        <f t="array" ref="D25">VLOOKUP(A25,'The List'!B1:F671,5,FALSE)</f>
        <v>S.J</v>
      </c>
      <c r="E25" s="55" cm="1">
        <f t="array" ref="E25">VLOOKUP(A25,'The List'!B1:I671,8,FALSE)</f>
        <v>4.6309781540389636</v>
      </c>
      <c r="F25" s="55" cm="1">
        <f t="array" ref="F25">IF(Settings!$E$15="POINTS",E25-VLOOKUP(B$2,C1:E210,3,FALSE),J25)</f>
        <v>-2.2634074903508461</v>
      </c>
      <c r="G25" s="55"/>
      <c r="H25" s="166" cm="1">
        <f t="array" ref="H25">RANK(I25,I3:I210)</f>
        <v>40</v>
      </c>
      <c r="I25" s="167" cm="1">
        <f t="array" ref="I25">VLOOKUP(A25,'Standard Deviations'!A1:C672,3,FALSE)</f>
        <v>4.6309781540389636</v>
      </c>
      <c r="J25" s="167" cm="1">
        <f t="array" ref="J25">I25-VLOOKUP(B$2,H1:J210,2,FALSE)</f>
        <v>-2.2634074903508461</v>
      </c>
    </row>
    <row r="26" spans="1:10" ht="21.25" customHeight="1" x14ac:dyDescent="0.15">
      <c r="A26" s="10" t="s">
        <v>228</v>
      </c>
      <c r="B26" s="93" t="str" cm="1">
        <f t="array" ref="B26">VLOOKUP(A26,'The List'!B1:D671,3,FALSE)</f>
        <v>LW,RW</v>
      </c>
      <c r="C26" s="94" cm="1">
        <f t="array" ref="C26">IF(Settings!$E$15="POINTS",RANK(E26,E3:E210),H26)</f>
        <v>26</v>
      </c>
      <c r="D26" s="18" t="str" cm="1">
        <f t="array" ref="D26">VLOOKUP(A26,'The List'!B1:F671,5,FALSE)</f>
        <v>MTL</v>
      </c>
      <c r="E26" s="55" cm="1">
        <f t="array" ref="E26">VLOOKUP(A26,'The List'!B1:I671,8,FALSE)</f>
        <v>6.7396192811947193</v>
      </c>
      <c r="F26" s="55" cm="1">
        <f t="array" ref="F26">IF(Settings!$E$15="POINTS",E26-VLOOKUP(B$2,C1:E210,3,FALSE),J26)</f>
        <v>-0.15476636319509041</v>
      </c>
      <c r="G26" s="55"/>
      <c r="H26" s="166" cm="1">
        <f t="array" ref="H26">RANK(I26,I3:I210)</f>
        <v>26</v>
      </c>
      <c r="I26" s="167" cm="1">
        <f t="array" ref="I26">VLOOKUP(A26,'Standard Deviations'!A1:C672,3,FALSE)</f>
        <v>6.7396192811947193</v>
      </c>
      <c r="J26" s="167" cm="1">
        <f t="array" ref="J26">I26-VLOOKUP(B$2,H1:J210,2,FALSE)</f>
        <v>-0.15476636319509041</v>
      </c>
    </row>
    <row r="27" spans="1:10" ht="21.25" customHeight="1" x14ac:dyDescent="0.15">
      <c r="A27" s="10" t="s">
        <v>240</v>
      </c>
      <c r="B27" s="93" t="str" cm="1">
        <f t="array" ref="B27">VLOOKUP(A27,'The List'!B1:D671,3,FALSE)</f>
        <v>C,LW</v>
      </c>
      <c r="C27" s="94" cm="1">
        <f t="array" ref="C27">IF(Settings!$E$15="POINTS",RANK(E27,E3:E210),H27)</f>
        <v>23</v>
      </c>
      <c r="D27" s="18" t="str" cm="1">
        <f t="array" ref="D27">VLOOKUP(A27,'The List'!B1:F671,5,FALSE)</f>
        <v>STL</v>
      </c>
      <c r="E27" s="55" cm="1">
        <f t="array" ref="E27">VLOOKUP(A27,'The List'!B1:I671,8,FALSE)</f>
        <v>6.8566941417719347</v>
      </c>
      <c r="F27" s="55" cm="1">
        <f t="array" ref="F27">IF(Settings!$E$15="POINTS",E27-VLOOKUP(B$2,C1:E210,3,FALSE),J27)</f>
        <v>-3.7691502617875017E-2</v>
      </c>
      <c r="G27" s="55"/>
      <c r="H27" s="166" cm="1">
        <f t="array" ref="H27">RANK(I27,I3:I210)</f>
        <v>23</v>
      </c>
      <c r="I27" s="167" cm="1">
        <f t="array" ref="I27">VLOOKUP(A27,'Standard Deviations'!A1:C672,3,FALSE)</f>
        <v>6.8566941417719347</v>
      </c>
      <c r="J27" s="167" cm="1">
        <f t="array" ref="J27">I27-VLOOKUP(B$2,H1:J210,2,FALSE)</f>
        <v>-3.7691502617875017E-2</v>
      </c>
    </row>
    <row r="28" spans="1:10" ht="21.25" customHeight="1" x14ac:dyDescent="0.15">
      <c r="A28" s="10" t="s">
        <v>237</v>
      </c>
      <c r="B28" s="93" t="str" cm="1">
        <f t="array" ref="B28">VLOOKUP(A28,'The List'!B1:D671,3,FALSE)</f>
        <v>LW,RW</v>
      </c>
      <c r="C28" s="94" cm="1">
        <f t="array" ref="C28">IF(Settings!$E$15="POINTS",RANK(E28,E3:E210),H28)</f>
        <v>31</v>
      </c>
      <c r="D28" s="18" t="str" cm="1">
        <f t="array" ref="D28">VLOOKUP(A28,'The List'!B1:F671,5,FALSE)</f>
        <v>NYR</v>
      </c>
      <c r="E28" s="55" cm="1">
        <f t="array" ref="E28">VLOOKUP(A28,'The List'!B1:I671,8,FALSE)</f>
        <v>5.5469147970908184</v>
      </c>
      <c r="F28" s="55" cm="1">
        <f t="array" ref="F28">IF(Settings!$E$15="POINTS",E28-VLOOKUP(B$2,C1:E210,3,FALSE),J28)</f>
        <v>-1.3474708472989914</v>
      </c>
      <c r="G28" s="55"/>
      <c r="H28" s="166" cm="1">
        <f t="array" ref="H28">RANK(I28,I3:I210)</f>
        <v>31</v>
      </c>
      <c r="I28" s="167" cm="1">
        <f t="array" ref="I28">VLOOKUP(A28,'Standard Deviations'!A1:C672,3,FALSE)</f>
        <v>5.5469147970908184</v>
      </c>
      <c r="J28" s="167" cm="1">
        <f t="array" ref="J28">I28-VLOOKUP(B$2,H1:J210,2,FALSE)</f>
        <v>-1.3474708472989914</v>
      </c>
    </row>
    <row r="29" spans="1:10" ht="21.25" customHeight="1" x14ac:dyDescent="0.15">
      <c r="A29" s="10" t="s">
        <v>246</v>
      </c>
      <c r="B29" s="93" t="str" cm="1">
        <f t="array" ref="B29">VLOOKUP(A29,'The List'!B1:D671,3,FALSE)</f>
        <v>LW,RW</v>
      </c>
      <c r="C29" s="94" cm="1">
        <f t="array" ref="C29">IF(Settings!$E$15="POINTS",RANK(E29,E3:E210),H29)</f>
        <v>33</v>
      </c>
      <c r="D29" s="18" t="str" cm="1">
        <f t="array" ref="D29">VLOOKUP(A29,'The List'!B1:F671,5,FALSE)</f>
        <v>NYR</v>
      </c>
      <c r="E29" s="55" cm="1">
        <f t="array" ref="E29">VLOOKUP(A29,'The List'!B1:I671,8,FALSE)</f>
        <v>5.315202374473964</v>
      </c>
      <c r="F29" s="55" cm="1">
        <f t="array" ref="F29">IF(Settings!$E$15="POINTS",E29-VLOOKUP(B$2,C1:E210,3,FALSE),J29)</f>
        <v>-1.5791832699158457</v>
      </c>
      <c r="G29" s="55"/>
      <c r="H29" s="166" cm="1">
        <f t="array" ref="H29">RANK(I29,I3:I210)</f>
        <v>33</v>
      </c>
      <c r="I29" s="167" cm="1">
        <f t="array" ref="I29">VLOOKUP(A29,'Standard Deviations'!A1:C672,3,FALSE)</f>
        <v>5.315202374473964</v>
      </c>
      <c r="J29" s="167" cm="1">
        <f t="array" ref="J29">I29-VLOOKUP(B$2,H1:J210,2,FALSE)</f>
        <v>-1.5791832699158457</v>
      </c>
    </row>
    <row r="30" spans="1:10" ht="21.25" customHeight="1" x14ac:dyDescent="0.15">
      <c r="A30" s="10" t="s">
        <v>249</v>
      </c>
      <c r="B30" s="93" t="str" cm="1">
        <f t="array" ref="B30">VLOOKUP(A30,'The List'!B1:D671,3,FALSE)</f>
        <v>LW,RW</v>
      </c>
      <c r="C30" s="94" cm="1">
        <f t="array" ref="C30">IF(Settings!$E$15="POINTS",RANK(E30,E3:E210),H30)</f>
        <v>36</v>
      </c>
      <c r="D30" s="18" t="str" cm="1">
        <f t="array" ref="D30">VLOOKUP(A30,'The List'!B1:F671,5,FALSE)</f>
        <v>WSH</v>
      </c>
      <c r="E30" s="55" cm="1">
        <f t="array" ref="E30">VLOOKUP(A30,'The List'!B1:I671,8,FALSE)</f>
        <v>4.911093154500719</v>
      </c>
      <c r="F30" s="55" cm="1">
        <f t="array" ref="F30">IF(Settings!$E$15="POINTS",E30-VLOOKUP(B$2,C1:E210,3,FALSE),J30)</f>
        <v>-1.9832924898890907</v>
      </c>
      <c r="G30" s="55"/>
      <c r="H30" s="166" cm="1">
        <f t="array" ref="H30">RANK(I30,I3:I210)</f>
        <v>36</v>
      </c>
      <c r="I30" s="167" cm="1">
        <f t="array" ref="I30">VLOOKUP(A30,'Standard Deviations'!A1:C672,3,FALSE)</f>
        <v>4.911093154500719</v>
      </c>
      <c r="J30" s="167" cm="1">
        <f t="array" ref="J30">I30-VLOOKUP(B$2,H1:J210,2,FALSE)</f>
        <v>-1.9832924898890907</v>
      </c>
    </row>
    <row r="31" spans="1:10" ht="21.25" customHeight="1" x14ac:dyDescent="0.15">
      <c r="A31" s="10" t="s">
        <v>255</v>
      </c>
      <c r="B31" s="93" t="str" cm="1">
        <f t="array" ref="B31">VLOOKUP(A31,'The List'!B1:D671,3,FALSE)</f>
        <v>C,LW,RW</v>
      </c>
      <c r="C31" s="94" cm="1">
        <f t="array" ref="C31">IF(Settings!$E$15="POINTS",RANK(E31,E3:E210),H31)</f>
        <v>30</v>
      </c>
      <c r="D31" s="18" t="str" cm="1">
        <f t="array" ref="D31">VLOOKUP(A31,'The List'!B1:F671,5,FALSE)</f>
        <v>NYR</v>
      </c>
      <c r="E31" s="55" cm="1">
        <f t="array" ref="E31">VLOOKUP(A31,'The List'!B1:I671,8,FALSE)</f>
        <v>5.9317549820803022</v>
      </c>
      <c r="F31" s="55" cm="1">
        <f t="array" ref="F31">IF(Settings!$E$15="POINTS",E31-VLOOKUP(B$2,C1:E210,3,FALSE),J31)</f>
        <v>-0.96263066230950756</v>
      </c>
      <c r="G31" s="55"/>
      <c r="H31" s="166" cm="1">
        <f t="array" ref="H31">RANK(I31,I3:I210)</f>
        <v>30</v>
      </c>
      <c r="I31" s="167" cm="1">
        <f t="array" ref="I31">VLOOKUP(A31,'Standard Deviations'!A1:C672,3,FALSE)</f>
        <v>5.9317549820803022</v>
      </c>
      <c r="J31" s="167" cm="1">
        <f t="array" ref="J31">I31-VLOOKUP(B$2,H1:J210,2,FALSE)</f>
        <v>-0.96263066230950756</v>
      </c>
    </row>
    <row r="32" spans="1:10" ht="21.25" customHeight="1" x14ac:dyDescent="0.15">
      <c r="A32" s="10" t="s">
        <v>258</v>
      </c>
      <c r="B32" s="93" t="str" cm="1">
        <f t="array" ref="B32">VLOOKUP(A32,'The List'!B1:D671,3,FALSE)</f>
        <v>LW,RW</v>
      </c>
      <c r="C32" s="94" cm="1">
        <f t="array" ref="C32">IF(Settings!$E$15="POINTS",RANK(E32,E3:E210),H32)</f>
        <v>14</v>
      </c>
      <c r="D32" s="18" t="str" cm="1">
        <f t="array" ref="D32">VLOOKUP(A32,'The List'!B1:F671,5,FALSE)</f>
        <v>CAR</v>
      </c>
      <c r="E32" s="55" cm="1">
        <f t="array" ref="E32">VLOOKUP(A32,'The List'!B1:I671,8,FALSE)</f>
        <v>7.9673790514234586</v>
      </c>
      <c r="F32" s="55" cm="1">
        <f t="array" ref="F32">IF(Settings!$E$15="POINTS",E32-VLOOKUP(B$2,C1:E210,3,FALSE),J32)</f>
        <v>1.0729934070336489</v>
      </c>
      <c r="G32" s="55"/>
      <c r="H32" s="166" cm="1">
        <f t="array" ref="H32">RANK(I32,I3:I210)</f>
        <v>14</v>
      </c>
      <c r="I32" s="167" cm="1">
        <f t="array" ref="I32">VLOOKUP(A32,'Standard Deviations'!A1:C672,3,FALSE)</f>
        <v>7.9673790514234586</v>
      </c>
      <c r="J32" s="167" cm="1">
        <f t="array" ref="J32">I32-VLOOKUP(B$2,H1:J210,2,FALSE)</f>
        <v>1.0729934070336489</v>
      </c>
    </row>
    <row r="33" spans="1:10" ht="21.25" customHeight="1" x14ac:dyDescent="0.15">
      <c r="A33" s="10" t="s">
        <v>262</v>
      </c>
      <c r="B33" s="93" t="str" cm="1">
        <f t="array" ref="B33">VLOOKUP(A33,'The List'!B1:D671,3,FALSE)</f>
        <v>LW,RW</v>
      </c>
      <c r="C33" s="94" cm="1">
        <f t="array" ref="C33">IF(Settings!$E$15="POINTS",RANK(E33,E3:E210),H33)</f>
        <v>46</v>
      </c>
      <c r="D33" s="18" t="str" cm="1">
        <f t="array" ref="D33">VLOOKUP(A33,'The List'!B1:F671,5,FALSE)</f>
        <v>PHI</v>
      </c>
      <c r="E33" s="55" cm="1">
        <f t="array" ref="E33">VLOOKUP(A33,'The List'!B1:I671,8,FALSE)</f>
        <v>4.0270904688992948</v>
      </c>
      <c r="F33" s="55" cm="1">
        <f t="array" ref="F33">IF(Settings!$E$15="POINTS",E33-VLOOKUP(B$2,C1:E210,3,FALSE),J33)</f>
        <v>-2.8672951754905149</v>
      </c>
      <c r="G33" s="55"/>
      <c r="H33" s="166" cm="1">
        <f t="array" ref="H33">RANK(I33,I3:I210)</f>
        <v>46</v>
      </c>
      <c r="I33" s="167" cm="1">
        <f t="array" ref="I33">VLOOKUP(A33,'Standard Deviations'!A1:C672,3,FALSE)</f>
        <v>4.0270904688992948</v>
      </c>
      <c r="J33" s="167" cm="1">
        <f t="array" ref="J33">I33-VLOOKUP(B$2,H1:J210,2,FALSE)</f>
        <v>-2.8672951754905149</v>
      </c>
    </row>
    <row r="34" spans="1:10" ht="21.25" customHeight="1" x14ac:dyDescent="0.15">
      <c r="A34" s="10" t="s">
        <v>264</v>
      </c>
      <c r="B34" s="93" t="str" cm="1">
        <f t="array" ref="B34">VLOOKUP(A34,'The List'!B1:D671,3,FALSE)</f>
        <v>C,LW,RW</v>
      </c>
      <c r="C34" s="94" cm="1">
        <f t="array" ref="C34">IF(Settings!$E$15="POINTS",RANK(E34,E3:E210),H34)</f>
        <v>41</v>
      </c>
      <c r="D34" s="18" t="str" cm="1">
        <f t="array" ref="D34">VLOOKUP(A34,'The List'!B1:F671,5,FALSE)</f>
        <v>PIT</v>
      </c>
      <c r="E34" s="55" cm="1">
        <f t="array" ref="E34">VLOOKUP(A34,'The List'!B1:I671,8,FALSE)</f>
        <v>4.5813572957295028</v>
      </c>
      <c r="F34" s="55" cm="1">
        <f t="array" ref="F34">IF(Settings!$E$15="POINTS",E34-VLOOKUP(B$2,C1:E210,3,FALSE),J34)</f>
        <v>-2.3130283486603069</v>
      </c>
      <c r="G34" s="55"/>
      <c r="H34" s="166" cm="1">
        <f t="array" ref="H34">RANK(I34,I3:I210)</f>
        <v>41</v>
      </c>
      <c r="I34" s="167" cm="1">
        <f t="array" ref="I34">VLOOKUP(A34,'Standard Deviations'!A1:C672,3,FALSE)</f>
        <v>4.5813572957295028</v>
      </c>
      <c r="J34" s="167" cm="1">
        <f t="array" ref="J34">I34-VLOOKUP(B$2,H1:J210,2,FALSE)</f>
        <v>-2.3130283486603069</v>
      </c>
    </row>
    <row r="35" spans="1:10" ht="21.25" customHeight="1" x14ac:dyDescent="0.15">
      <c r="A35" s="10" t="s">
        <v>268</v>
      </c>
      <c r="B35" s="93" t="str" cm="1">
        <f t="array" ref="B35">VLOOKUP(A35,'The List'!B1:D671,3,FALSE)</f>
        <v>LW,RW</v>
      </c>
      <c r="C35" s="94" cm="1">
        <f t="array" ref="C35">IF(Settings!$E$15="POINTS",RANK(E35,E3:E210),H35)</f>
        <v>21</v>
      </c>
      <c r="D35" s="18" t="str" cm="1">
        <f t="array" ref="D35">VLOOKUP(A35,'The List'!B1:F671,5,FALSE)</f>
        <v>EDM</v>
      </c>
      <c r="E35" s="55" cm="1">
        <f t="array" ref="E35">VLOOKUP(A35,'The List'!B1:I671,8,FALSE)</f>
        <v>6.8943856443898097</v>
      </c>
      <c r="F35" s="55" cm="1">
        <f t="array" ref="F35">IF(Settings!$E$15="POINTS",E35-VLOOKUP(B$2,C1:E210,3,FALSE),J35)</f>
        <v>0</v>
      </c>
      <c r="G35" s="55"/>
      <c r="H35" s="166" cm="1">
        <f t="array" ref="H35">RANK(I35,I3:I210)</f>
        <v>21</v>
      </c>
      <c r="I35" s="167" cm="1">
        <f t="array" ref="I35">VLOOKUP(A35,'Standard Deviations'!A1:C672,3,FALSE)</f>
        <v>6.8943856443898097</v>
      </c>
      <c r="J35" s="167" cm="1">
        <f t="array" ref="J35">I35-VLOOKUP(B$2,H1:J210,2,FALSE)</f>
        <v>0</v>
      </c>
    </row>
    <row r="36" spans="1:10" ht="21.25" customHeight="1" x14ac:dyDescent="0.15">
      <c r="A36" s="10" t="s">
        <v>274</v>
      </c>
      <c r="B36" s="93" t="str" cm="1">
        <f t="array" ref="B36">VLOOKUP(A36,'The List'!B1:D671,3,FALSE)</f>
        <v>LW,RW</v>
      </c>
      <c r="C36" s="94" cm="1">
        <f t="array" ref="C36">IF(Settings!$E$15="POINTS",RANK(E36,E3:E210),H36)</f>
        <v>47</v>
      </c>
      <c r="D36" s="18" t="str" cm="1">
        <f t="array" ref="D36">VLOOKUP(A36,'The List'!B1:F671,5,FALSE)</f>
        <v>N.J</v>
      </c>
      <c r="E36" s="55" cm="1">
        <f t="array" ref="E36">VLOOKUP(A36,'The List'!B1:I671,8,FALSE)</f>
        <v>4.0179715163652423</v>
      </c>
      <c r="F36" s="55" cm="1">
        <f t="array" ref="F36">IF(Settings!$E$15="POINTS",E36-VLOOKUP(B$2,C1:E210,3,FALSE),J36)</f>
        <v>-2.8764141280245674</v>
      </c>
      <c r="G36" s="55"/>
      <c r="H36" s="166" cm="1">
        <f t="array" ref="H36">RANK(I36,I3:I210)</f>
        <v>47</v>
      </c>
      <c r="I36" s="167" cm="1">
        <f t="array" ref="I36">VLOOKUP(A36,'Standard Deviations'!A1:C672,3,FALSE)</f>
        <v>4.0179715163652423</v>
      </c>
      <c r="J36" s="167" cm="1">
        <f t="array" ref="J36">I36-VLOOKUP(B$2,H1:J210,2,FALSE)</f>
        <v>-2.8764141280245674</v>
      </c>
    </row>
    <row r="37" spans="1:10" ht="21.25" customHeight="1" x14ac:dyDescent="0.15">
      <c r="A37" s="10" t="s">
        <v>275</v>
      </c>
      <c r="B37" s="93" t="str" cm="1">
        <f t="array" ref="B37">VLOOKUP(A37,'The List'!B1:D671,3,FALSE)</f>
        <v>C,LW,RW</v>
      </c>
      <c r="C37" s="94" cm="1">
        <f t="array" ref="C37">IF(Settings!$E$15="POINTS",RANK(E37,E3:E210),H37)</f>
        <v>34</v>
      </c>
      <c r="D37" s="18" t="str" cm="1">
        <f t="array" ref="D37">VLOOKUP(A37,'The List'!B1:F671,5,FALSE)</f>
        <v>BOS</v>
      </c>
      <c r="E37" s="55" cm="1">
        <f t="array" ref="E37">VLOOKUP(A37,'The List'!B1:I671,8,FALSE)</f>
        <v>5.2657629345430648</v>
      </c>
      <c r="F37" s="55" cm="1">
        <f t="array" ref="F37">IF(Settings!$E$15="POINTS",E37-VLOOKUP(B$2,C1:E210,3,FALSE),J37)</f>
        <v>-1.628622709846745</v>
      </c>
      <c r="G37" s="55"/>
      <c r="H37" s="166" cm="1">
        <f t="array" ref="H37">RANK(I37,I3:I210)</f>
        <v>34</v>
      </c>
      <c r="I37" s="167" cm="1">
        <f t="array" ref="I37">VLOOKUP(A37,'Standard Deviations'!A1:C672,3,FALSE)</f>
        <v>5.2657629345430648</v>
      </c>
      <c r="J37" s="167" cm="1">
        <f t="array" ref="J37">I37-VLOOKUP(B$2,H1:J210,2,FALSE)</f>
        <v>-1.628622709846745</v>
      </c>
    </row>
    <row r="38" spans="1:10" ht="21.25" customHeight="1" x14ac:dyDescent="0.15">
      <c r="A38" s="10" t="s">
        <v>280</v>
      </c>
      <c r="B38" s="93" t="str" cm="1">
        <f t="array" ref="B38">VLOOKUP(A38,'The List'!B1:D671,3,FALSE)</f>
        <v>C,LW</v>
      </c>
      <c r="C38" s="94" cm="1">
        <f t="array" ref="C38">IF(Settings!$E$15="POINTS",RANK(E38,E3:E210),H38)</f>
        <v>29</v>
      </c>
      <c r="D38" s="18" t="str" cm="1">
        <f t="array" ref="D38">VLOOKUP(A38,'The List'!B1:F671,5,FALSE)</f>
        <v>VGK</v>
      </c>
      <c r="E38" s="55" cm="1">
        <f t="array" ref="E38">VLOOKUP(A38,'The List'!B1:I671,8,FALSE)</f>
        <v>5.9468735902394814</v>
      </c>
      <c r="F38" s="55" cm="1">
        <f t="array" ref="F38">IF(Settings!$E$15="POINTS",E38-VLOOKUP(B$2,C1:E210,3,FALSE),J38)</f>
        <v>-0.94751205415032835</v>
      </c>
      <c r="G38" s="55"/>
      <c r="H38" s="166" cm="1">
        <f t="array" ref="H38">RANK(I38,I3:I210)</f>
        <v>29</v>
      </c>
      <c r="I38" s="167" cm="1">
        <f t="array" ref="I38">VLOOKUP(A38,'Standard Deviations'!A1:C672,3,FALSE)</f>
        <v>5.9468735902394814</v>
      </c>
      <c r="J38" s="167" cm="1">
        <f t="array" ref="J38">I38-VLOOKUP(B$2,H1:J210,2,FALSE)</f>
        <v>-0.94751205415032835</v>
      </c>
    </row>
    <row r="39" spans="1:10" ht="21.25" customHeight="1" x14ac:dyDescent="0.15">
      <c r="A39" s="10" t="s">
        <v>276</v>
      </c>
      <c r="B39" s="93" t="str" cm="1">
        <f t="array" ref="B39">VLOOKUP(A39,'The List'!B1:D671,3,FALSE)</f>
        <v>C,LW,RW</v>
      </c>
      <c r="C39" s="94" cm="1">
        <f t="array" ref="C39">IF(Settings!$E$15="POINTS",RANK(E39,E3:E210),H39)</f>
        <v>49</v>
      </c>
      <c r="D39" s="18" t="str" cm="1">
        <f t="array" ref="D39">VLOOKUP(A39,'The List'!B1:F671,5,FALSE)</f>
        <v>PIT</v>
      </c>
      <c r="E39" s="55" cm="1">
        <f t="array" ref="E39">VLOOKUP(A39,'The List'!B1:I671,8,FALSE)</f>
        <v>3.6979420703450154</v>
      </c>
      <c r="F39" s="55" cm="1">
        <f t="array" ref="F39">IF(Settings!$E$15="POINTS",E39-VLOOKUP(B$2,C1:E210,3,FALSE),J39)</f>
        <v>-3.1964435740447943</v>
      </c>
      <c r="G39" s="55"/>
      <c r="H39" s="166" cm="1">
        <f t="array" ref="H39">RANK(I39,I3:I210)</f>
        <v>49</v>
      </c>
      <c r="I39" s="167" cm="1">
        <f t="array" ref="I39">VLOOKUP(A39,'Standard Deviations'!A1:C672,3,FALSE)</f>
        <v>3.6979420703450154</v>
      </c>
      <c r="J39" s="167" cm="1">
        <f t="array" ref="J39">I39-VLOOKUP(B$2,H1:J210,2,FALSE)</f>
        <v>-3.1964435740447943</v>
      </c>
    </row>
    <row r="40" spans="1:10" ht="21.25" customHeight="1" x14ac:dyDescent="0.15">
      <c r="A40" s="10" t="s">
        <v>277</v>
      </c>
      <c r="B40" s="93" t="str" cm="1">
        <f t="array" ref="B40">VLOOKUP(A40,'The List'!B1:D671,3,FALSE)</f>
        <v>LW,RW</v>
      </c>
      <c r="C40" s="94" cm="1">
        <f t="array" ref="C40">IF(Settings!$E$15="POINTS",RANK(E40,E3:E210),H40)</f>
        <v>37</v>
      </c>
      <c r="D40" s="18" t="str" cm="1">
        <f t="array" ref="D40">VLOOKUP(A40,'The List'!B1:F671,5,FALSE)</f>
        <v>TOR</v>
      </c>
      <c r="E40" s="55" cm="1">
        <f t="array" ref="E40">VLOOKUP(A40,'The List'!B1:I671,8,FALSE)</f>
        <v>4.8039094606699768</v>
      </c>
      <c r="F40" s="55" cm="1">
        <f t="array" ref="F40">IF(Settings!$E$15="POINTS",E40-VLOOKUP(B$2,C1:E210,3,FALSE),J40)</f>
        <v>-2.0904761837198329</v>
      </c>
      <c r="G40" s="55"/>
      <c r="H40" s="166" cm="1">
        <f t="array" ref="H40">RANK(I40,I3:I210)</f>
        <v>37</v>
      </c>
      <c r="I40" s="167" cm="1">
        <f t="array" ref="I40">VLOOKUP(A40,'Standard Deviations'!A1:C672,3,FALSE)</f>
        <v>4.8039094606699768</v>
      </c>
      <c r="J40" s="167" cm="1">
        <f t="array" ref="J40">I40-VLOOKUP(B$2,H1:J210,2,FALSE)</f>
        <v>-2.0904761837198329</v>
      </c>
    </row>
    <row r="41" spans="1:10" ht="21.25" customHeight="1" x14ac:dyDescent="0.15">
      <c r="A41" s="10" t="s">
        <v>281</v>
      </c>
      <c r="B41" s="93" t="str" cm="1">
        <f t="array" ref="B41">VLOOKUP(A41,'The List'!B1:D671,3,FALSE)</f>
        <v>LW</v>
      </c>
      <c r="C41" s="94" cm="1">
        <f t="array" ref="C41">IF(Settings!$E$15="POINTS",RANK(E41,E3:E210),H41)</f>
        <v>42</v>
      </c>
      <c r="D41" s="18" t="str" cm="1">
        <f t="array" ref="D41">VLOOKUP(A41,'The List'!B1:F671,5,FALSE)</f>
        <v>BUF</v>
      </c>
      <c r="E41" s="55" cm="1">
        <f t="array" ref="E41">VLOOKUP(A41,'The List'!B1:I671,8,FALSE)</f>
        <v>4.403269154391638</v>
      </c>
      <c r="F41" s="55" cm="1">
        <f t="array" ref="F41">IF(Settings!$E$15="POINTS",E41-VLOOKUP(B$2,C1:E210,3,FALSE),J41)</f>
        <v>-2.4911164899981717</v>
      </c>
      <c r="G41" s="55"/>
      <c r="H41" s="166" cm="1">
        <f t="array" ref="H41">RANK(I41,I3:I210)</f>
        <v>42</v>
      </c>
      <c r="I41" s="167" cm="1">
        <f t="array" ref="I41">VLOOKUP(A41,'Standard Deviations'!A1:C672,3,FALSE)</f>
        <v>4.403269154391638</v>
      </c>
      <c r="J41" s="167" cm="1">
        <f t="array" ref="J41">I41-VLOOKUP(B$2,H1:J210,2,FALSE)</f>
        <v>-2.4911164899981717</v>
      </c>
    </row>
    <row r="42" spans="1:10" ht="21.25" customHeight="1" x14ac:dyDescent="0.15">
      <c r="A42" s="10" t="s">
        <v>279</v>
      </c>
      <c r="B42" s="93" t="str" cm="1">
        <f t="array" ref="B42">VLOOKUP(A42,'The List'!B1:D671,3,FALSE)</f>
        <v>LW,RW</v>
      </c>
      <c r="C42" s="94" cm="1">
        <f t="array" ref="C42">IF(Settings!$E$15="POINTS",RANK(E42,E3:E210),H42)</f>
        <v>27</v>
      </c>
      <c r="D42" s="18" t="str" cm="1">
        <f t="array" ref="D42">VLOOKUP(A42,'The List'!B1:F671,5,FALSE)</f>
        <v>OTT</v>
      </c>
      <c r="E42" s="55" cm="1">
        <f t="array" ref="E42">VLOOKUP(A42,'The List'!B1:I671,8,FALSE)</f>
        <v>6.4734943779736449</v>
      </c>
      <c r="F42" s="55" cm="1">
        <f t="array" ref="F42">IF(Settings!$E$15="POINTS",E42-VLOOKUP(B$2,C1:E210,3,FALSE),J42)</f>
        <v>-0.42089126641616481</v>
      </c>
      <c r="G42" s="55"/>
      <c r="H42" s="166" cm="1">
        <f t="array" ref="H42">RANK(I42,I3:I210)</f>
        <v>27</v>
      </c>
      <c r="I42" s="167" cm="1">
        <f t="array" ref="I42">VLOOKUP(A42,'Standard Deviations'!A1:C672,3,FALSE)</f>
        <v>6.4734943779736449</v>
      </c>
      <c r="J42" s="167" cm="1">
        <f t="array" ref="J42">I42-VLOOKUP(B$2,H1:J210,2,FALSE)</f>
        <v>-0.42089126641616481</v>
      </c>
    </row>
    <row r="43" spans="1:10" ht="21.25" customHeight="1" x14ac:dyDescent="0.15">
      <c r="A43" s="10" t="s">
        <v>293</v>
      </c>
      <c r="B43" s="93" t="str" cm="1">
        <f t="array" ref="B43">VLOOKUP(A43,'The List'!B1:D671,3,FALSE)</f>
        <v>LW,RW</v>
      </c>
      <c r="C43" s="94" cm="1">
        <f t="array" ref="C43">IF(Settings!$E$15="POINTS",RANK(E43,E3:E210),H43)</f>
        <v>53</v>
      </c>
      <c r="D43" s="18" t="str" cm="1">
        <f t="array" ref="D43">VLOOKUP(A43,'The List'!B1:F671,5,FALSE)</f>
        <v>OTT</v>
      </c>
      <c r="E43" s="55" cm="1">
        <f t="array" ref="E43">VLOOKUP(A43,'The List'!B1:I671,8,FALSE)</f>
        <v>3.2635276203471508</v>
      </c>
      <c r="F43" s="55" cm="1">
        <f t="array" ref="F43">IF(Settings!$E$15="POINTS",E43-VLOOKUP(B$2,C1:E210,3,FALSE),J43)</f>
        <v>-3.6308580240426589</v>
      </c>
      <c r="G43" s="55"/>
      <c r="H43" s="166" cm="1">
        <f t="array" ref="H43">RANK(I43,I3:I210)</f>
        <v>53</v>
      </c>
      <c r="I43" s="167" cm="1">
        <f t="array" ref="I43">VLOOKUP(A43,'Standard Deviations'!A1:C672,3,FALSE)</f>
        <v>3.2635276203471508</v>
      </c>
      <c r="J43" s="167" cm="1">
        <f t="array" ref="J43">I43-VLOOKUP(B$2,H1:J210,2,FALSE)</f>
        <v>-3.6308580240426589</v>
      </c>
    </row>
    <row r="44" spans="1:10" ht="21.25" customHeight="1" x14ac:dyDescent="0.15">
      <c r="A44" s="10" t="s">
        <v>297</v>
      </c>
      <c r="B44" s="93" t="str" cm="1">
        <f t="array" ref="B44">VLOOKUP(A44,'The List'!B1:D671,3,FALSE)</f>
        <v>LW</v>
      </c>
      <c r="C44" s="94" cm="1">
        <f t="array" ref="C44">IF(Settings!$E$15="POINTS",RANK(E44,E3:E210),H44)</f>
        <v>44</v>
      </c>
      <c r="D44" s="18" t="str" cm="1">
        <f t="array" ref="D44">VLOOKUP(A44,'The List'!B1:F671,5,FALSE)</f>
        <v>TOR</v>
      </c>
      <c r="E44" s="55" cm="1">
        <f t="array" ref="E44">VLOOKUP(A44,'The List'!B1:I671,8,FALSE)</f>
        <v>4.1615007158622008</v>
      </c>
      <c r="F44" s="55" cm="1">
        <f t="array" ref="F44">IF(Settings!$E$15="POINTS",E44-VLOOKUP(B$2,C1:E210,3,FALSE),J44)</f>
        <v>-2.7328849285276089</v>
      </c>
      <c r="G44" s="55"/>
      <c r="H44" s="166" cm="1">
        <f t="array" ref="H44">RANK(I44,I3:I210)</f>
        <v>44</v>
      </c>
      <c r="I44" s="167" cm="1">
        <f t="array" ref="I44">VLOOKUP(A44,'Standard Deviations'!A1:C672,3,FALSE)</f>
        <v>4.1615007158622008</v>
      </c>
      <c r="J44" s="167" cm="1">
        <f t="array" ref="J44">I44-VLOOKUP(B$2,H1:J210,2,FALSE)</f>
        <v>-2.7328849285276089</v>
      </c>
    </row>
    <row r="45" spans="1:10" ht="21.25" customHeight="1" x14ac:dyDescent="0.15">
      <c r="A45" s="10" t="s">
        <v>298</v>
      </c>
      <c r="B45" s="93" t="str" cm="1">
        <f t="array" ref="B45">VLOOKUP(A45,'The List'!B1:D671,3,FALSE)</f>
        <v>C,LW</v>
      </c>
      <c r="C45" s="94" cm="1">
        <f t="array" ref="C45">IF(Settings!$E$15="POINTS",RANK(E45,E3:E210),H45)</f>
        <v>32</v>
      </c>
      <c r="D45" s="18" t="str" cm="1">
        <f t="array" ref="D45">VLOOKUP(A45,'The List'!B1:F671,5,FALSE)</f>
        <v>COL</v>
      </c>
      <c r="E45" s="55" cm="1">
        <f t="array" ref="E45">VLOOKUP(A45,'The List'!B1:I671,8,FALSE)</f>
        <v>5.3390818852859141</v>
      </c>
      <c r="F45" s="55" cm="1">
        <f t="array" ref="F45">IF(Settings!$E$15="POINTS",E45-VLOOKUP(B$2,C1:E210,3,FALSE),J45)</f>
        <v>-1.5553037591038956</v>
      </c>
      <c r="G45" s="55"/>
      <c r="H45" s="166" cm="1">
        <f t="array" ref="H45">RANK(I45,I3:I210)</f>
        <v>32</v>
      </c>
      <c r="I45" s="167" cm="1">
        <f t="array" ref="I45">VLOOKUP(A45,'Standard Deviations'!A1:C672,3,FALSE)</f>
        <v>5.3390818852859141</v>
      </c>
      <c r="J45" s="167" cm="1">
        <f t="array" ref="J45">I45-VLOOKUP(B$2,H1:J210,2,FALSE)</f>
        <v>-1.5553037591038956</v>
      </c>
    </row>
    <row r="46" spans="1:10" ht="21.25" customHeight="1" x14ac:dyDescent="0.15">
      <c r="A46" s="10" t="s">
        <v>296</v>
      </c>
      <c r="B46" s="93" t="str" cm="1">
        <f t="array" ref="B46">VLOOKUP(A46,'The List'!B1:D671,3,FALSE)</f>
        <v>LW,RW</v>
      </c>
      <c r="C46" s="94" cm="1">
        <f t="array" ref="C46">IF(Settings!$E$15="POINTS",RANK(E46,E3:E210),H46)</f>
        <v>59</v>
      </c>
      <c r="D46" s="18" t="str" cm="1">
        <f t="array" ref="D46">VLOOKUP(A46,'The List'!B1:F671,5,FALSE)</f>
        <v>BOS</v>
      </c>
      <c r="E46" s="55" cm="1">
        <f t="array" ref="E46">VLOOKUP(A46,'The List'!B1:I671,8,FALSE)</f>
        <v>2.7846380843270113</v>
      </c>
      <c r="F46" s="55" cm="1">
        <f t="array" ref="F46">IF(Settings!$E$15="POINTS",E46-VLOOKUP(B$2,C1:E210,3,FALSE),J46)</f>
        <v>-4.1097475600627984</v>
      </c>
      <c r="G46" s="55"/>
      <c r="H46" s="166" cm="1">
        <f t="array" ref="H46">RANK(I46,I3:I210)</f>
        <v>59</v>
      </c>
      <c r="I46" s="167" cm="1">
        <f t="array" ref="I46">VLOOKUP(A46,'Standard Deviations'!A1:C672,3,FALSE)</f>
        <v>2.7846380843270113</v>
      </c>
      <c r="J46" s="167" cm="1">
        <f t="array" ref="J46">I46-VLOOKUP(B$2,H1:J210,2,FALSE)</f>
        <v>-4.1097475600627984</v>
      </c>
    </row>
    <row r="47" spans="1:10" ht="21.25" customHeight="1" x14ac:dyDescent="0.15">
      <c r="A47" s="10" t="s">
        <v>312</v>
      </c>
      <c r="B47" s="93" t="str" cm="1">
        <f t="array" ref="B47">VLOOKUP(A47,'The List'!B1:D671,3,FALSE)</f>
        <v>LW</v>
      </c>
      <c r="C47" s="94" cm="1">
        <f t="array" ref="C47">IF(Settings!$E$15="POINTS",RANK(E47,E3:E210),H47)</f>
        <v>61</v>
      </c>
      <c r="D47" s="18" t="str" cm="1">
        <f t="array" ref="D47">VLOOKUP(A47,'The List'!B1:F671,5,FALSE)</f>
        <v>L.A</v>
      </c>
      <c r="E47" s="55" cm="1">
        <f t="array" ref="E47">VLOOKUP(A47,'The List'!B1:I671,8,FALSE)</f>
        <v>2.5808534245508383</v>
      </c>
      <c r="F47" s="55" cm="1">
        <f t="array" ref="F47">IF(Settings!$E$15="POINTS",E47-VLOOKUP(B$2,C1:E210,3,FALSE),J47)</f>
        <v>-4.3135322198389714</v>
      </c>
      <c r="G47" s="55"/>
      <c r="H47" s="166" cm="1">
        <f t="array" ref="H47">RANK(I47,I3:I210)</f>
        <v>61</v>
      </c>
      <c r="I47" s="167" cm="1">
        <f t="array" ref="I47">VLOOKUP(A47,'Standard Deviations'!A1:C672,3,FALSE)</f>
        <v>2.5808534245508383</v>
      </c>
      <c r="J47" s="167" cm="1">
        <f t="array" ref="J47">I47-VLOOKUP(B$2,H1:J210,2,FALSE)</f>
        <v>-4.3135322198389714</v>
      </c>
    </row>
    <row r="48" spans="1:10" ht="21.25" customHeight="1" x14ac:dyDescent="0.15">
      <c r="A48" s="10" t="s">
        <v>318</v>
      </c>
      <c r="B48" s="93" t="str" cm="1">
        <f t="array" ref="B48">VLOOKUP(A48,'The List'!B1:D671,3,FALSE)</f>
        <v>C,LW</v>
      </c>
      <c r="C48" s="94" cm="1">
        <f t="array" ref="C48">IF(Settings!$E$15="POINTS",RANK(E48,E3:E210),H48)</f>
        <v>66</v>
      </c>
      <c r="D48" s="18" t="str" cm="1">
        <f t="array" ref="D48">VLOOKUP(A48,'The List'!B1:F671,5,FALSE)</f>
        <v>SEA</v>
      </c>
      <c r="E48" s="55" cm="1">
        <f t="array" ref="E48">VLOOKUP(A48,'The List'!B1:I671,8,FALSE)</f>
        <v>2.2491374797989487</v>
      </c>
      <c r="F48" s="55" cm="1">
        <f t="array" ref="F48">IF(Settings!$E$15="POINTS",E48-VLOOKUP(B$2,C1:E210,3,FALSE),J48)</f>
        <v>-4.6452481645908605</v>
      </c>
      <c r="G48" s="55"/>
      <c r="H48" s="166" cm="1">
        <f t="array" ref="H48">RANK(I48,I3:I210)</f>
        <v>66</v>
      </c>
      <c r="I48" s="167" cm="1">
        <f t="array" ref="I48">VLOOKUP(A48,'Standard Deviations'!A1:C672,3,FALSE)</f>
        <v>2.2491374797989487</v>
      </c>
      <c r="J48" s="167" cm="1">
        <f t="array" ref="J48">I48-VLOOKUP(B$2,H1:J210,2,FALSE)</f>
        <v>-4.6452481645908605</v>
      </c>
    </row>
    <row r="49" spans="1:10" ht="21.25" customHeight="1" x14ac:dyDescent="0.15">
      <c r="A49" s="10" t="s">
        <v>313</v>
      </c>
      <c r="B49" s="93" t="str" cm="1">
        <f t="array" ref="B49">VLOOKUP(A49,'The List'!B1:D671,3,FALSE)</f>
        <v>LW,RW</v>
      </c>
      <c r="C49" s="94" cm="1">
        <f t="array" ref="C49">IF(Settings!$E$15="POINTS",RANK(E49,E3:E210),H49)</f>
        <v>89</v>
      </c>
      <c r="D49" s="18" t="str" cm="1">
        <f t="array" ref="D49">VLOOKUP(A49,'The List'!B1:F671,5,FALSE)</f>
        <v>VAN</v>
      </c>
      <c r="E49" s="55" cm="1">
        <f t="array" ref="E49">VLOOKUP(A49,'The List'!B1:I671,8,FALSE)</f>
        <v>0.904929393653362</v>
      </c>
      <c r="F49" s="55" cm="1">
        <f t="array" ref="F49">IF(Settings!$E$15="POINTS",E49-VLOOKUP(B$2,C1:E210,3,FALSE),J49)</f>
        <v>-5.9894562507364473</v>
      </c>
      <c r="G49" s="55"/>
      <c r="H49" s="166" cm="1">
        <f t="array" ref="H49">RANK(I49,I3:I210)</f>
        <v>89</v>
      </c>
      <c r="I49" s="167" cm="1">
        <f t="array" ref="I49">VLOOKUP(A49,'Standard Deviations'!A1:C672,3,FALSE)</f>
        <v>0.904929393653362</v>
      </c>
      <c r="J49" s="167" cm="1">
        <f t="array" ref="J49">I49-VLOOKUP(B$2,H1:J210,2,FALSE)</f>
        <v>-5.9894562507364473</v>
      </c>
    </row>
    <row r="50" spans="1:10" ht="21.25" customHeight="1" x14ac:dyDescent="0.15">
      <c r="A50" s="10" t="s">
        <v>316</v>
      </c>
      <c r="B50" s="93" t="str" cm="1">
        <f t="array" ref="B50">VLOOKUP(A50,'The List'!B1:D671,3,FALSE)</f>
        <v>LW,RW</v>
      </c>
      <c r="C50" s="94" cm="1">
        <f t="array" ref="C50">IF(Settings!$E$15="POINTS",RANK(E50,E3:E210),H50)</f>
        <v>28</v>
      </c>
      <c r="D50" s="18" t="str" cm="1">
        <f t="array" ref="D50">VLOOKUP(A50,'The List'!B1:F671,5,FALSE)</f>
        <v>CAR</v>
      </c>
      <c r="E50" s="55" cm="1">
        <f t="array" ref="E50">VLOOKUP(A50,'The List'!B1:I671,8,FALSE)</f>
        <v>6.0248230104492233</v>
      </c>
      <c r="F50" s="55" cm="1">
        <f t="array" ref="F50">IF(Settings!$E$15="POINTS",E50-VLOOKUP(B$2,C1:E210,3,FALSE),J50)</f>
        <v>-0.86956263394058642</v>
      </c>
      <c r="G50" s="55"/>
      <c r="H50" s="166" cm="1">
        <f t="array" ref="H50">RANK(I50,I3:I210)</f>
        <v>28</v>
      </c>
      <c r="I50" s="167" cm="1">
        <f t="array" ref="I50">VLOOKUP(A50,'Standard Deviations'!A1:C672,3,FALSE)</f>
        <v>6.0248230104492233</v>
      </c>
      <c r="J50" s="167" cm="1">
        <f t="array" ref="J50">I50-VLOOKUP(B$2,H1:J210,2,FALSE)</f>
        <v>-0.86956263394058642</v>
      </c>
    </row>
    <row r="51" spans="1:10" ht="21.25" customHeight="1" x14ac:dyDescent="0.15">
      <c r="A51" s="10" t="s">
        <v>319</v>
      </c>
      <c r="B51" s="93" t="str" cm="1">
        <f t="array" ref="B51">VLOOKUP(A51,'The List'!B1:D671,3,FALSE)</f>
        <v>LW,RW</v>
      </c>
      <c r="C51" s="94" cm="1">
        <f t="array" ref="C51">IF(Settings!$E$15="POINTS",RANK(E51,E3:E210),H51)</f>
        <v>72</v>
      </c>
      <c r="D51" s="18" t="str" cm="1">
        <f t="array" ref="D51">VLOOKUP(A51,'The List'!B1:F671,5,FALSE)</f>
        <v>VAN</v>
      </c>
      <c r="E51" s="55" cm="1">
        <f t="array" ref="E51">VLOOKUP(A51,'The List'!B1:I671,8,FALSE)</f>
        <v>1.8804872106825958</v>
      </c>
      <c r="F51" s="55" cm="1">
        <f t="array" ref="F51">IF(Settings!$E$15="POINTS",E51-VLOOKUP(B$2,C1:E210,3,FALSE),J51)</f>
        <v>-5.0138984337072134</v>
      </c>
      <c r="G51" s="55"/>
      <c r="H51" s="166" cm="1">
        <f t="array" ref="H51">RANK(I51,I3:I210)</f>
        <v>72</v>
      </c>
      <c r="I51" s="167" cm="1">
        <f t="array" ref="I51">VLOOKUP(A51,'Standard Deviations'!A1:C672,3,FALSE)</f>
        <v>1.8804872106825958</v>
      </c>
      <c r="J51" s="167" cm="1">
        <f t="array" ref="J51">I51-VLOOKUP(B$2,H1:J210,2,FALSE)</f>
        <v>-5.0138984337072134</v>
      </c>
    </row>
    <row r="52" spans="1:10" ht="21.25" customHeight="1" x14ac:dyDescent="0.15">
      <c r="A52" s="10" t="s">
        <v>325</v>
      </c>
      <c r="B52" s="93" t="str" cm="1">
        <f t="array" ref="B52">VLOOKUP(A52,'The List'!B1:D671,3,FALSE)</f>
        <v>LW,RW</v>
      </c>
      <c r="C52" s="94" cm="1">
        <f t="array" ref="C52">IF(Settings!$E$15="POINTS",RANK(E52,E3:E210),H52)</f>
        <v>64</v>
      </c>
      <c r="D52" s="18" t="str" cm="1">
        <f t="array" ref="D52">VLOOKUP(A52,'The List'!B1:F671,5,FALSE)</f>
        <v>NSH</v>
      </c>
      <c r="E52" s="55" cm="1">
        <f t="array" ref="E52">VLOOKUP(A52,'The List'!B1:I671,8,FALSE)</f>
        <v>2.4675081876005462</v>
      </c>
      <c r="F52" s="55" cm="1">
        <f t="array" ref="F52">IF(Settings!$E$15="POINTS",E52-VLOOKUP(B$2,C1:E210,3,FALSE),J52)</f>
        <v>-4.4268774567892635</v>
      </c>
      <c r="G52" s="55"/>
      <c r="H52" s="166" cm="1">
        <f t="array" ref="H52">RANK(I52,I3:I210)</f>
        <v>64</v>
      </c>
      <c r="I52" s="167" cm="1">
        <f t="array" ref="I52">VLOOKUP(A52,'Standard Deviations'!A1:C672,3,FALSE)</f>
        <v>2.4675081876005462</v>
      </c>
      <c r="J52" s="167" cm="1">
        <f t="array" ref="J52">I52-VLOOKUP(B$2,H1:J210,2,FALSE)</f>
        <v>-4.4268774567892635</v>
      </c>
    </row>
    <row r="53" spans="1:10" ht="21.25" customHeight="1" x14ac:dyDescent="0.15">
      <c r="A53" s="10" t="s">
        <v>327</v>
      </c>
      <c r="B53" s="93" t="str" cm="1">
        <f t="array" ref="B53">VLOOKUP(A53,'The List'!B1:D671,3,FALSE)</f>
        <v>C,LW,RW</v>
      </c>
      <c r="C53" s="94" cm="1">
        <f t="array" ref="C53">IF(Settings!$E$15="POINTS",RANK(E53,E3:E210),H53)</f>
        <v>56</v>
      </c>
      <c r="D53" s="18" t="str" cm="1">
        <f t="array" ref="D53">VLOOKUP(A53,'The List'!B1:F671,5,FALSE)</f>
        <v>PHI</v>
      </c>
      <c r="E53" s="55" cm="1">
        <f t="array" ref="E53">VLOOKUP(A53,'The List'!B1:I671,8,FALSE)</f>
        <v>3.0541569889542113</v>
      </c>
      <c r="F53" s="55" cm="1">
        <f t="array" ref="F53">IF(Settings!$E$15="POINTS",E53-VLOOKUP(B$2,C1:E210,3,FALSE),J53)</f>
        <v>-3.8402286554355984</v>
      </c>
      <c r="G53" s="55"/>
      <c r="H53" s="166" cm="1">
        <f t="array" ref="H53">RANK(I53,I3:I210)</f>
        <v>56</v>
      </c>
      <c r="I53" s="167" cm="1">
        <f t="array" ref="I53">VLOOKUP(A53,'Standard Deviations'!A1:C672,3,FALSE)</f>
        <v>3.0541569889542113</v>
      </c>
      <c r="J53" s="167" cm="1">
        <f t="array" ref="J53">I53-VLOOKUP(B$2,H1:J210,2,FALSE)</f>
        <v>-3.8402286554355984</v>
      </c>
    </row>
    <row r="54" spans="1:10" ht="21.25" customHeight="1" x14ac:dyDescent="0.15">
      <c r="A54" s="10" t="s">
        <v>338</v>
      </c>
      <c r="B54" s="93" t="str" cm="1">
        <f t="array" ref="B54">VLOOKUP(A54,'The List'!B1:D671,3,FALSE)</f>
        <v>C,LW</v>
      </c>
      <c r="C54" s="94" cm="1">
        <f t="array" ref="C54">IF(Settings!$E$15="POINTS",RANK(E54,E3:E210),H54)</f>
        <v>45</v>
      </c>
      <c r="D54" s="18" t="str" cm="1">
        <f t="array" ref="D54">VLOOKUP(A54,'The List'!B1:F671,5,FALSE)</f>
        <v>EDM</v>
      </c>
      <c r="E54" s="55" cm="1">
        <f t="array" ref="E54">VLOOKUP(A54,'The List'!B1:I671,8,FALSE)</f>
        <v>4.1391253521735507</v>
      </c>
      <c r="F54" s="55" cm="1">
        <f t="array" ref="F54">IF(Settings!$E$15="POINTS",E54-VLOOKUP(B$2,C1:E210,3,FALSE),J54)</f>
        <v>-2.755260292216259</v>
      </c>
      <c r="G54" s="55"/>
      <c r="H54" s="166" cm="1">
        <f t="array" ref="H54">RANK(I54,I3:I210)</f>
        <v>45</v>
      </c>
      <c r="I54" s="167" cm="1">
        <f t="array" ref="I54">VLOOKUP(A54,'Standard Deviations'!A1:C672,3,FALSE)</f>
        <v>4.1391253521735507</v>
      </c>
      <c r="J54" s="167" cm="1">
        <f t="array" ref="J54">I54-VLOOKUP(B$2,H1:J210,2,FALSE)</f>
        <v>-2.755260292216259</v>
      </c>
    </row>
    <row r="55" spans="1:10" ht="21.25" customHeight="1" x14ac:dyDescent="0.15">
      <c r="A55" s="10" t="s">
        <v>332</v>
      </c>
      <c r="B55" s="93" t="str" cm="1">
        <f t="array" ref="B55">VLOOKUP(A55,'The List'!B1:D671,3,FALSE)</f>
        <v>LW,RW</v>
      </c>
      <c r="C55" s="94" cm="1">
        <f t="array" ref="C55">IF(Settings!$E$15="POINTS",RANK(E55,E3:E210),H55)</f>
        <v>88</v>
      </c>
      <c r="D55" s="18" t="str" cm="1">
        <f t="array" ref="D55">VLOOKUP(A55,'The List'!B1:F671,5,FALSE)</f>
        <v>FLA</v>
      </c>
      <c r="E55" s="55" cm="1">
        <f t="array" ref="E55">VLOOKUP(A55,'The List'!B1:I671,8,FALSE)</f>
        <v>1.0796955962659789</v>
      </c>
      <c r="F55" s="55" cm="1">
        <f t="array" ref="F55">IF(Settings!$E$15="POINTS",E55-VLOOKUP(B$2,C1:E210,3,FALSE),J55)</f>
        <v>-5.8146900481238308</v>
      </c>
      <c r="G55" s="55"/>
      <c r="H55" s="166" cm="1">
        <f t="array" ref="H55">RANK(I55,I3:I210)</f>
        <v>88</v>
      </c>
      <c r="I55" s="167" cm="1">
        <f t="array" ref="I55">VLOOKUP(A55,'Standard Deviations'!A1:C672,3,FALSE)</f>
        <v>1.0796955962659789</v>
      </c>
      <c r="J55" s="167" cm="1">
        <f t="array" ref="J55">I55-VLOOKUP(B$2,H1:J210,2,FALSE)</f>
        <v>-5.8146900481238308</v>
      </c>
    </row>
    <row r="56" spans="1:10" ht="21.25" customHeight="1" x14ac:dyDescent="0.15">
      <c r="A56" s="10" t="s">
        <v>333</v>
      </c>
      <c r="B56" s="93" t="str" cm="1">
        <f t="array" ref="B56">VLOOKUP(A56,'The List'!B1:D671,3,FALSE)</f>
        <v>LW,RW</v>
      </c>
      <c r="C56" s="94" cm="1">
        <f t="array" ref="C56">IF(Settings!$E$15="POINTS",RANK(E56,E3:E210),H56)</f>
        <v>58</v>
      </c>
      <c r="D56" s="18" t="str" cm="1">
        <f t="array" ref="D56">VLOOKUP(A56,'The List'!B1:F671,5,FALSE)</f>
        <v>PHI</v>
      </c>
      <c r="E56" s="55" cm="1">
        <f t="array" ref="E56">VLOOKUP(A56,'The List'!B1:I671,8,FALSE)</f>
        <v>2.8012577930622831</v>
      </c>
      <c r="F56" s="55" cm="1">
        <f t="array" ref="F56">IF(Settings!$E$15="POINTS",E56-VLOOKUP(B$2,C1:E210,3,FALSE),J56)</f>
        <v>-4.0931278513275267</v>
      </c>
      <c r="G56" s="55"/>
      <c r="H56" s="166" cm="1">
        <f t="array" ref="H56">RANK(I56,I3:I210)</f>
        <v>58</v>
      </c>
      <c r="I56" s="167" cm="1">
        <f t="array" ref="I56">VLOOKUP(A56,'Standard Deviations'!A1:C672,3,FALSE)</f>
        <v>2.8012577930622831</v>
      </c>
      <c r="J56" s="167" cm="1">
        <f t="array" ref="J56">I56-VLOOKUP(B$2,H1:J210,2,FALSE)</f>
        <v>-4.0931278513275267</v>
      </c>
    </row>
    <row r="57" spans="1:10" ht="21.25" customHeight="1" x14ac:dyDescent="0.15">
      <c r="A57" s="10" t="s">
        <v>344</v>
      </c>
      <c r="B57" s="93" t="str" cm="1">
        <f t="array" ref="B57">VLOOKUP(A57,'The List'!B1:D671,3,FALSE)</f>
        <v>LW,RW</v>
      </c>
      <c r="C57" s="94" cm="1">
        <f t="array" ref="C57">IF(Settings!$E$15="POINTS",RANK(E57,E3:E210),H57)</f>
        <v>39</v>
      </c>
      <c r="D57" s="18" t="str" cm="1">
        <f t="array" ref="D57">VLOOKUP(A57,'The List'!B1:F671,5,FALSE)</f>
        <v>PHI</v>
      </c>
      <c r="E57" s="55" cm="1">
        <f t="array" ref="E57">VLOOKUP(A57,'The List'!B1:I671,8,FALSE)</f>
        <v>4.6336823797787394</v>
      </c>
      <c r="F57" s="55" cm="1">
        <f t="array" ref="F57">IF(Settings!$E$15="POINTS",E57-VLOOKUP(B$2,C1:E210,3,FALSE),J57)</f>
        <v>-2.2607032646110703</v>
      </c>
      <c r="G57" s="55"/>
      <c r="H57" s="166" cm="1">
        <f t="array" ref="H57">RANK(I57,I3:I210)</f>
        <v>39</v>
      </c>
      <c r="I57" s="167" cm="1">
        <f t="array" ref="I57">VLOOKUP(A57,'Standard Deviations'!A1:C672,3,FALSE)</f>
        <v>4.6336823797787394</v>
      </c>
      <c r="J57" s="167" cm="1">
        <f t="array" ref="J57">I57-VLOOKUP(B$2,H1:J210,2,FALSE)</f>
        <v>-2.2607032646110703</v>
      </c>
    </row>
    <row r="58" spans="1:10" ht="21.25" customHeight="1" x14ac:dyDescent="0.15">
      <c r="A58" s="10" t="s">
        <v>347</v>
      </c>
      <c r="B58" s="93" t="str" cm="1">
        <f t="array" ref="B58">VLOOKUP(A58,'The List'!B1:D671,3,FALSE)</f>
        <v>LW,RW</v>
      </c>
      <c r="C58" s="94" cm="1">
        <f t="array" ref="C58">IF(Settings!$E$15="POINTS",RANK(E58,E3:E210),H58)</f>
        <v>106</v>
      </c>
      <c r="D58" s="18" t="str" cm="1">
        <f t="array" ref="D58">VLOOKUP(A58,'The List'!B1:F671,5,FALSE)</f>
        <v>CGY</v>
      </c>
      <c r="E58" s="55" cm="1">
        <f t="array" ref="E58">VLOOKUP(A58,'The List'!B1:I671,8,FALSE)</f>
        <v>2.8593388043536283E-2</v>
      </c>
      <c r="F58" s="55" cm="1">
        <f t="array" ref="F58">IF(Settings!$E$15="POINTS",E58-VLOOKUP(B$2,C1:E210,3,FALSE),J58)</f>
        <v>-6.865792256346273</v>
      </c>
      <c r="G58" s="55"/>
      <c r="H58" s="166" cm="1">
        <f t="array" ref="H58">RANK(I58,I3:I210)</f>
        <v>106</v>
      </c>
      <c r="I58" s="167" cm="1">
        <f t="array" ref="I58">VLOOKUP(A58,'Standard Deviations'!A1:C672,3,FALSE)</f>
        <v>2.8593388043536283E-2</v>
      </c>
      <c r="J58" s="167" cm="1">
        <f t="array" ref="J58">I58-VLOOKUP(B$2,H1:J210,2,FALSE)</f>
        <v>-6.865792256346273</v>
      </c>
    </row>
    <row r="59" spans="1:10" ht="21.25" customHeight="1" x14ac:dyDescent="0.15">
      <c r="A59" s="10" t="s">
        <v>354</v>
      </c>
      <c r="B59" s="93" t="str" cm="1">
        <f t="array" ref="B59">VLOOKUP(A59,'The List'!B1:D671,3,FALSE)</f>
        <v>LW,RW</v>
      </c>
      <c r="C59" s="94" cm="1">
        <f t="array" ref="C59">IF(Settings!$E$15="POINTS",RANK(E59,E3:E210),H59)</f>
        <v>83</v>
      </c>
      <c r="D59" s="18" t="str" cm="1">
        <f t="array" ref="D59">VLOOKUP(A59,'The List'!B1:F671,5,FALSE)</f>
        <v>CHI</v>
      </c>
      <c r="E59" s="55" cm="1">
        <f t="array" ref="E59">VLOOKUP(A59,'The List'!B1:I671,8,FALSE)</f>
        <v>1.2759586930884397</v>
      </c>
      <c r="F59" s="55" cm="1">
        <f t="array" ref="F59">IF(Settings!$E$15="POINTS",E59-VLOOKUP(B$2,C1:E210,3,FALSE),J59)</f>
        <v>-5.6184269513013696</v>
      </c>
      <c r="G59" s="55"/>
      <c r="H59" s="166" cm="1">
        <f t="array" ref="H59">RANK(I59,I3:I210)</f>
        <v>83</v>
      </c>
      <c r="I59" s="167" cm="1">
        <f t="array" ref="I59">VLOOKUP(A59,'Standard Deviations'!A1:C672,3,FALSE)</f>
        <v>1.2759586930884397</v>
      </c>
      <c r="J59" s="167" cm="1">
        <f t="array" ref="J59">I59-VLOOKUP(B$2,H1:J210,2,FALSE)</f>
        <v>-5.6184269513013696</v>
      </c>
    </row>
    <row r="60" spans="1:10" ht="21.25" customHeight="1" x14ac:dyDescent="0.15">
      <c r="A60" s="10" t="s">
        <v>356</v>
      </c>
      <c r="B60" s="93" t="str" cm="1">
        <f t="array" ref="B60">VLOOKUP(A60,'The List'!B1:D671,3,FALSE)</f>
        <v>LW,RW</v>
      </c>
      <c r="C60" s="94" cm="1">
        <f t="array" ref="C60">IF(Settings!$E$15="POINTS",RANK(E60,E3:E210),H60)</f>
        <v>38</v>
      </c>
      <c r="D60" s="18" t="str" cm="1">
        <f t="array" ref="D60">VLOOKUP(A60,'The List'!B1:F671,5,FALSE)</f>
        <v>WSH</v>
      </c>
      <c r="E60" s="55" cm="1">
        <f t="array" ref="E60">VLOOKUP(A60,'The List'!B1:I671,8,FALSE)</f>
        <v>4.7696262282094164</v>
      </c>
      <c r="F60" s="55" cm="1">
        <f t="array" ref="F60">IF(Settings!$E$15="POINTS",E60-VLOOKUP(B$2,C1:E210,3,FALSE),J60)</f>
        <v>-2.1247594161803933</v>
      </c>
      <c r="G60" s="55"/>
      <c r="H60" s="166" cm="1">
        <f t="array" ref="H60">RANK(I60,I3:I210)</f>
        <v>38</v>
      </c>
      <c r="I60" s="167" cm="1">
        <f t="array" ref="I60">VLOOKUP(A60,'Standard Deviations'!A1:C672,3,FALSE)</f>
        <v>4.7696262282094164</v>
      </c>
      <c r="J60" s="167" cm="1">
        <f t="array" ref="J60">I60-VLOOKUP(B$2,H1:J210,2,FALSE)</f>
        <v>-2.1247594161803933</v>
      </c>
    </row>
    <row r="61" spans="1:10" ht="21.25" customHeight="1" x14ac:dyDescent="0.15">
      <c r="A61" s="10" t="s">
        <v>366</v>
      </c>
      <c r="B61" s="93" t="str" cm="1">
        <f t="array" ref="B61">VLOOKUP(A61,'The List'!B1:D671,3,FALSE)</f>
        <v>C,LW</v>
      </c>
      <c r="C61" s="94" cm="1">
        <f t="array" ref="C61">IF(Settings!$E$15="POINTS",RANK(E61,E3:E210),H61)</f>
        <v>65</v>
      </c>
      <c r="D61" s="18" t="str" cm="1">
        <f t="array" ref="D61">VLOOKUP(A61,'The List'!B1:F671,5,FALSE)</f>
        <v>BOS</v>
      </c>
      <c r="E61" s="55" cm="1">
        <f t="array" ref="E61">VLOOKUP(A61,'The List'!B1:I671,8,FALSE)</f>
        <v>2.4624214224663592</v>
      </c>
      <c r="F61" s="55" cm="1">
        <f t="array" ref="F61">IF(Settings!$E$15="POINTS",E61-VLOOKUP(B$2,C1:E210,3,FALSE),J61)</f>
        <v>-4.431964221923451</v>
      </c>
      <c r="G61" s="55"/>
      <c r="H61" s="166" cm="1">
        <f t="array" ref="H61">RANK(I61,I3:I210)</f>
        <v>65</v>
      </c>
      <c r="I61" s="167" cm="1">
        <f t="array" ref="I61">VLOOKUP(A61,'Standard Deviations'!A1:C672,3,FALSE)</f>
        <v>2.4624214224663592</v>
      </c>
      <c r="J61" s="167" cm="1">
        <f t="array" ref="J61">I61-VLOOKUP(B$2,H1:J210,2,FALSE)</f>
        <v>-4.431964221923451</v>
      </c>
    </row>
    <row r="62" spans="1:10" ht="21.25" customHeight="1" x14ac:dyDescent="0.15">
      <c r="A62" s="10" t="s">
        <v>372</v>
      </c>
      <c r="B62" s="93" t="str" cm="1">
        <f t="array" ref="B62">VLOOKUP(A62,'The List'!B1:D671,3,FALSE)</f>
        <v>C,LW</v>
      </c>
      <c r="C62" s="94" cm="1">
        <f t="array" ref="C62">IF(Settings!$E$15="POINTS",RANK(E62,E3:E210),H62)</f>
        <v>71</v>
      </c>
      <c r="D62" s="18" t="str" cm="1">
        <f t="array" ref="D62">VLOOKUP(A62,'The List'!B1:F671,5,FALSE)</f>
        <v>ANA</v>
      </c>
      <c r="E62" s="55" cm="1">
        <f t="array" ref="E62">VLOOKUP(A62,'The List'!B1:I671,8,FALSE)</f>
        <v>1.935815440417896</v>
      </c>
      <c r="F62" s="55" cm="1">
        <f t="array" ref="F62">IF(Settings!$E$15="POINTS",E62-VLOOKUP(B$2,C1:E210,3,FALSE),J62)</f>
        <v>-4.9585702039719139</v>
      </c>
      <c r="G62" s="55"/>
      <c r="H62" s="166" cm="1">
        <f t="array" ref="H62">RANK(I62,I3:I210)</f>
        <v>71</v>
      </c>
      <c r="I62" s="167" cm="1">
        <f t="array" ref="I62">VLOOKUP(A62,'Standard Deviations'!A1:C672,3,FALSE)</f>
        <v>1.935815440417896</v>
      </c>
      <c r="J62" s="167" cm="1">
        <f t="array" ref="J62">I62-VLOOKUP(B$2,H1:J210,2,FALSE)</f>
        <v>-4.9585702039719139</v>
      </c>
    </row>
    <row r="63" spans="1:10" ht="21.25" customHeight="1" x14ac:dyDescent="0.15">
      <c r="A63" s="10" t="s">
        <v>362</v>
      </c>
      <c r="B63" s="93" t="str" cm="1">
        <f t="array" ref="B63">VLOOKUP(A63,'The List'!B1:D671,3,FALSE)</f>
        <v>LW,RW</v>
      </c>
      <c r="C63" s="94" cm="1">
        <f t="array" ref="C63">IF(Settings!$E$15="POINTS",RANK(E63,E3:E210),H63)</f>
        <v>50</v>
      </c>
      <c r="D63" s="18" t="str" cm="1">
        <f t="array" ref="D63">VLOOKUP(A63,'The List'!B1:F671,5,FALSE)</f>
        <v>WPG</v>
      </c>
      <c r="E63" s="55" cm="1">
        <f t="array" ref="E63">VLOOKUP(A63,'The List'!B1:I671,8,FALSE)</f>
        <v>3.5117010275489218</v>
      </c>
      <c r="F63" s="55" cm="1">
        <f t="array" ref="F63">IF(Settings!$E$15="POINTS",E63-VLOOKUP(B$2,C1:E210,3,FALSE),J63)</f>
        <v>-3.3826846168408879</v>
      </c>
      <c r="G63" s="55"/>
      <c r="H63" s="166" cm="1">
        <f t="array" ref="H63">RANK(I63,I3:I210)</f>
        <v>50</v>
      </c>
      <c r="I63" s="167" cm="1">
        <f t="array" ref="I63">VLOOKUP(A63,'Standard Deviations'!A1:C672,3,FALSE)</f>
        <v>3.5117010275489218</v>
      </c>
      <c r="J63" s="167" cm="1">
        <f t="array" ref="J63">I63-VLOOKUP(B$2,H1:J210,2,FALSE)</f>
        <v>-3.3826846168408879</v>
      </c>
    </row>
    <row r="64" spans="1:10" ht="21.25" customHeight="1" x14ac:dyDescent="0.15">
      <c r="A64" s="10" t="s">
        <v>363</v>
      </c>
      <c r="B64" s="93" t="str" cm="1">
        <f t="array" ref="B64">VLOOKUP(A64,'The List'!B1:D671,3,FALSE)</f>
        <v>LW,RW</v>
      </c>
      <c r="C64" s="94" cm="1">
        <f t="array" ref="C64">IF(Settings!$E$15="POINTS",RANK(E64,E3:E210),H64)</f>
        <v>78</v>
      </c>
      <c r="D64" s="18" t="str" cm="1">
        <f t="array" ref="D64">VLOOKUP(A64,'The List'!B1:F671,5,FALSE)</f>
        <v>CBJ</v>
      </c>
      <c r="E64" s="55" cm="1">
        <f t="array" ref="E64">VLOOKUP(A64,'The List'!B1:I671,8,FALSE)</f>
        <v>1.5721087725076734</v>
      </c>
      <c r="F64" s="55" cm="1">
        <f t="array" ref="F64">IF(Settings!$E$15="POINTS",E64-VLOOKUP(B$2,C1:E210,3,FALSE),J64)</f>
        <v>-5.3222768718821367</v>
      </c>
      <c r="G64" s="55"/>
      <c r="H64" s="166" cm="1">
        <f t="array" ref="H64">RANK(I64,I3:I210)</f>
        <v>78</v>
      </c>
      <c r="I64" s="167" cm="1">
        <f t="array" ref="I64">VLOOKUP(A64,'Standard Deviations'!A1:C672,3,FALSE)</f>
        <v>1.5721087725076734</v>
      </c>
      <c r="J64" s="167" cm="1">
        <f t="array" ref="J64">I64-VLOOKUP(B$2,H1:J210,2,FALSE)</f>
        <v>-5.3222768718821367</v>
      </c>
    </row>
    <row r="65" spans="1:10" ht="21.25" customHeight="1" x14ac:dyDescent="0.15">
      <c r="A65" s="10" t="s">
        <v>369</v>
      </c>
      <c r="B65" s="93" t="str" cm="1">
        <f t="array" ref="B65">VLOOKUP(A65,'The List'!B1:D671,3,FALSE)</f>
        <v>LW,RW</v>
      </c>
      <c r="C65" s="94" cm="1">
        <f t="array" ref="C65">IF(Settings!$E$15="POINTS",RANK(E65,E3:E210),H65)</f>
        <v>70</v>
      </c>
      <c r="D65" s="18" t="str" cm="1">
        <f t="array" ref="D65">VLOOKUP(A65,'The List'!B1:F671,5,FALSE)</f>
        <v>WSH</v>
      </c>
      <c r="E65" s="55" cm="1">
        <f t="array" ref="E65">VLOOKUP(A65,'The List'!B1:I671,8,FALSE)</f>
        <v>1.9616488612455536</v>
      </c>
      <c r="F65" s="55" cm="1">
        <f t="array" ref="F65">IF(Settings!$E$15="POINTS",E65-VLOOKUP(B$2,C1:E210,3,FALSE),J65)</f>
        <v>-4.9327367831442563</v>
      </c>
      <c r="G65" s="55"/>
      <c r="H65" s="166" cm="1">
        <f t="array" ref="H65">RANK(I65,I3:I210)</f>
        <v>70</v>
      </c>
      <c r="I65" s="167" cm="1">
        <f t="array" ref="I65">VLOOKUP(A65,'Standard Deviations'!A1:C672,3,FALSE)</f>
        <v>1.9616488612455536</v>
      </c>
      <c r="J65" s="167" cm="1">
        <f t="array" ref="J65">I65-VLOOKUP(B$2,H1:J210,2,FALSE)</f>
        <v>-4.9327367831442563</v>
      </c>
    </row>
    <row r="66" spans="1:10" ht="21.25" customHeight="1" x14ac:dyDescent="0.15">
      <c r="A66" s="10" t="s">
        <v>383</v>
      </c>
      <c r="B66" s="93" t="str" cm="1">
        <f t="array" ref="B66">VLOOKUP(A66,'The List'!B1:D671,3,FALSE)</f>
        <v>LW</v>
      </c>
      <c r="C66" s="94" cm="1">
        <f t="array" ref="C66">IF(Settings!$E$15="POINTS",RANK(E66,E3:E210),H66)</f>
        <v>52</v>
      </c>
      <c r="D66" s="18" t="str" cm="1">
        <f t="array" ref="D66">VLOOKUP(A66,'The List'!B1:F671,5,FALSE)</f>
        <v>FLA</v>
      </c>
      <c r="E66" s="55" cm="1">
        <f t="array" ref="E66">VLOOKUP(A66,'The List'!B1:I671,8,FALSE)</f>
        <v>3.2707890084101536</v>
      </c>
      <c r="F66" s="55" cm="1">
        <f t="array" ref="F66">IF(Settings!$E$15="POINTS",E66-VLOOKUP(B$2,C1:E210,3,FALSE),J66)</f>
        <v>-3.6235966359796561</v>
      </c>
      <c r="G66" s="55"/>
      <c r="H66" s="166" cm="1">
        <f t="array" ref="H66">RANK(I66,I3:I210)</f>
        <v>52</v>
      </c>
      <c r="I66" s="167" cm="1">
        <f t="array" ref="I66">VLOOKUP(A66,'Standard Deviations'!A1:C672,3,FALSE)</f>
        <v>3.2707890084101536</v>
      </c>
      <c r="J66" s="167" cm="1">
        <f t="array" ref="J66">I66-VLOOKUP(B$2,H1:J210,2,FALSE)</f>
        <v>-3.6235966359796561</v>
      </c>
    </row>
    <row r="67" spans="1:10" ht="21.25" customHeight="1" x14ac:dyDescent="0.15">
      <c r="A67" s="10" t="s">
        <v>377</v>
      </c>
      <c r="B67" s="93" t="str" cm="1">
        <f t="array" ref="B67">VLOOKUP(A67,'The List'!B1:D671,3,FALSE)</f>
        <v>LW,RW</v>
      </c>
      <c r="C67" s="94" cm="1">
        <f t="array" ref="C67">IF(Settings!$E$15="POINTS",RANK(E67,E3:E210),H67)</f>
        <v>79</v>
      </c>
      <c r="D67" s="18" t="str" cm="1">
        <f t="array" ref="D67">VLOOKUP(A67,'The List'!B1:F671,5,FALSE)</f>
        <v>DET</v>
      </c>
      <c r="E67" s="55" cm="1">
        <f t="array" ref="E67">VLOOKUP(A67,'The List'!B1:I671,8,FALSE)</f>
        <v>1.5717455871639181</v>
      </c>
      <c r="F67" s="55" cm="1">
        <f t="array" ref="F67">IF(Settings!$E$15="POINTS",E67-VLOOKUP(B$2,C1:E210,3,FALSE),J67)</f>
        <v>-5.3226400572258914</v>
      </c>
      <c r="G67" s="55"/>
      <c r="H67" s="166" cm="1">
        <f t="array" ref="H67">RANK(I67,I3:I210)</f>
        <v>79</v>
      </c>
      <c r="I67" s="167" cm="1">
        <f t="array" ref="I67">VLOOKUP(A67,'Standard Deviations'!A1:C672,3,FALSE)</f>
        <v>1.5717455871639181</v>
      </c>
      <c r="J67" s="167" cm="1">
        <f t="array" ref="J67">I67-VLOOKUP(B$2,H1:J210,2,FALSE)</f>
        <v>-5.3226400572258914</v>
      </c>
    </row>
    <row r="68" spans="1:10" ht="21.25" customHeight="1" x14ac:dyDescent="0.15">
      <c r="A68" s="10" t="s">
        <v>418</v>
      </c>
      <c r="B68" s="93" t="str" cm="1">
        <f t="array" ref="B68">VLOOKUP(A68,'The List'!B1:D671,3,FALSE)</f>
        <v>LW</v>
      </c>
      <c r="C68" s="94" cm="1">
        <f t="array" ref="C68">IF(Settings!$E$15="POINTS",RANK(E68,E3:E210),H68)</f>
        <v>48</v>
      </c>
      <c r="D68" s="18" t="str" cm="1">
        <f t="array" ref="D68">VLOOKUP(A68,'The List'!B1:F671,5,FALSE)</f>
        <v>S.J</v>
      </c>
      <c r="E68" s="55" cm="1">
        <f t="array" ref="E68">VLOOKUP(A68,'The List'!B1:I671,8,FALSE)</f>
        <v>4.0112194631827229</v>
      </c>
      <c r="F68" s="55" cm="1">
        <f t="array" ref="F68">IF(Settings!$E$15="POINTS",E68-VLOOKUP(B$2,C1:E210,3,FALSE),J68)</f>
        <v>-2.8831661812070868</v>
      </c>
      <c r="G68" s="55"/>
      <c r="H68" s="166" cm="1">
        <f t="array" ref="H68">RANK(I68,I3:I210)</f>
        <v>48</v>
      </c>
      <c r="I68" s="167" cm="1">
        <f t="array" ref="I68">VLOOKUP(A68,'Standard Deviations'!A1:C672,3,FALSE)</f>
        <v>4.0112194631827229</v>
      </c>
      <c r="J68" s="167" cm="1">
        <f t="array" ref="J68">I68-VLOOKUP(B$2,H1:J210,2,FALSE)</f>
        <v>-2.8831661812070868</v>
      </c>
    </row>
    <row r="69" spans="1:10" ht="21.25" customHeight="1" x14ac:dyDescent="0.15">
      <c r="A69" s="10" t="s">
        <v>403</v>
      </c>
      <c r="B69" s="93" t="str" cm="1">
        <f t="array" ref="B69">VLOOKUP(A69,'The List'!B1:D671,3,FALSE)</f>
        <v>LW,RW</v>
      </c>
      <c r="C69" s="94" cm="1">
        <f t="array" ref="C69">IF(Settings!$E$15="POINTS",RANK(E69,E3:E210),H69)</f>
        <v>35</v>
      </c>
      <c r="D69" s="18" t="str" cm="1">
        <f t="array" ref="D69">VLOOKUP(A69,'The List'!B1:F671,5,FALSE)</f>
        <v>NYR</v>
      </c>
      <c r="E69" s="55" cm="1">
        <f t="array" ref="E69">VLOOKUP(A69,'The List'!B1:I671,8,FALSE)</f>
        <v>5.0264346670579334</v>
      </c>
      <c r="F69" s="55" cm="1">
        <f t="array" ref="F69">IF(Settings!$E$15="POINTS",E69-VLOOKUP(B$2,C1:E210,3,FALSE),J69)</f>
        <v>-1.8679509773318763</v>
      </c>
      <c r="G69" s="55"/>
      <c r="H69" s="166" cm="1">
        <f t="array" ref="H69">RANK(I69,I3:I210)</f>
        <v>35</v>
      </c>
      <c r="I69" s="167" cm="1">
        <f t="array" ref="I69">VLOOKUP(A69,'Standard Deviations'!A1:C672,3,FALSE)</f>
        <v>5.0264346670579334</v>
      </c>
      <c r="J69" s="167" cm="1">
        <f t="array" ref="J69">I69-VLOOKUP(B$2,H1:J210,2,FALSE)</f>
        <v>-1.8679509773318763</v>
      </c>
    </row>
    <row r="70" spans="1:10" ht="21.25" customHeight="1" x14ac:dyDescent="0.15">
      <c r="A70" s="10" t="s">
        <v>405</v>
      </c>
      <c r="B70" s="93" t="str" cm="1">
        <f t="array" ref="B70">VLOOKUP(A70,'The List'!B1:D671,3,FALSE)</f>
        <v>C,LW,RW</v>
      </c>
      <c r="C70" s="94" cm="1">
        <f t="array" ref="C70">IF(Settings!$E$15="POINTS",RANK(E70,E3:E210),H70)</f>
        <v>96</v>
      </c>
      <c r="D70" s="18" t="str" cm="1">
        <f t="array" ref="D70">VLOOKUP(A70,'The List'!B1:F671,5,FALSE)</f>
        <v>STL</v>
      </c>
      <c r="E70" s="55" cm="1">
        <f t="array" ref="E70">VLOOKUP(A70,'The List'!B1:I671,8,FALSE)</f>
        <v>0.47492829953690191</v>
      </c>
      <c r="F70" s="55" cm="1">
        <f t="array" ref="F70">IF(Settings!$E$15="POINTS",E70-VLOOKUP(B$2,C1:E210,3,FALSE),J70)</f>
        <v>-6.4194573448529075</v>
      </c>
      <c r="G70" s="55"/>
      <c r="H70" s="166" cm="1">
        <f t="array" ref="H70">RANK(I70,I3:I210)</f>
        <v>96</v>
      </c>
      <c r="I70" s="167" cm="1">
        <f t="array" ref="I70">VLOOKUP(A70,'Standard Deviations'!A1:C672,3,FALSE)</f>
        <v>0.47492829953690191</v>
      </c>
      <c r="J70" s="167" cm="1">
        <f t="array" ref="J70">I70-VLOOKUP(B$2,H1:J210,2,FALSE)</f>
        <v>-6.4194573448529075</v>
      </c>
    </row>
    <row r="71" spans="1:10" ht="21.25" customHeight="1" x14ac:dyDescent="0.15">
      <c r="A71" s="10" t="s">
        <v>412</v>
      </c>
      <c r="B71" s="93" t="str" cm="1">
        <f t="array" ref="B71">VLOOKUP(A71,'The List'!B1:D671,3,FALSE)</f>
        <v>C,LW,RW</v>
      </c>
      <c r="C71" s="94" cm="1">
        <f t="array" ref="C71">IF(Settings!$E$15="POINTS",RANK(E71,E3:E210),H71)</f>
        <v>51</v>
      </c>
      <c r="D71" s="18" t="str" cm="1">
        <f t="array" ref="D71">VLOOKUP(A71,'The List'!B1:F671,5,FALSE)</f>
        <v>L.A</v>
      </c>
      <c r="E71" s="55" cm="1">
        <f t="array" ref="E71">VLOOKUP(A71,'The List'!B1:I671,8,FALSE)</f>
        <v>3.5095118872038258</v>
      </c>
      <c r="F71" s="55" cm="1">
        <f t="array" ref="F71">IF(Settings!$E$15="POINTS",E71-VLOOKUP(B$2,C1:E210,3,FALSE),J71)</f>
        <v>-3.3848737571859839</v>
      </c>
      <c r="G71" s="55"/>
      <c r="H71" s="166" cm="1">
        <f t="array" ref="H71">RANK(I71,I3:I210)</f>
        <v>51</v>
      </c>
      <c r="I71" s="167" cm="1">
        <f t="array" ref="I71">VLOOKUP(A71,'Standard Deviations'!A1:C672,3,FALSE)</f>
        <v>3.5095118872038258</v>
      </c>
      <c r="J71" s="167" cm="1">
        <f t="array" ref="J71">I71-VLOOKUP(B$2,H1:J210,2,FALSE)</f>
        <v>-3.3848737571859839</v>
      </c>
    </row>
    <row r="72" spans="1:10" ht="21.25" customHeight="1" x14ac:dyDescent="0.15">
      <c r="A72" s="10" t="s">
        <v>438</v>
      </c>
      <c r="B72" s="93" t="str" cm="1">
        <f t="array" ref="B72">VLOOKUP(A72,'The List'!B1:D671,3,FALSE)</f>
        <v>LW</v>
      </c>
      <c r="C72" s="94" cm="1">
        <f t="array" ref="C72">IF(Settings!$E$15="POINTS",RANK(E72,E3:E210),H72)</f>
        <v>112</v>
      </c>
      <c r="D72" s="18" t="str" cm="1">
        <f t="array" ref="D72">VLOOKUP(A72,'The List'!B1:F671,5,FALSE)</f>
        <v>ANA</v>
      </c>
      <c r="E72" s="55" cm="1">
        <f t="array" ref="E72">VLOOKUP(A72,'The List'!B1:I671,8,FALSE)</f>
        <v>-0.11116062319155884</v>
      </c>
      <c r="F72" s="55" cm="1">
        <f t="array" ref="F72">IF(Settings!$E$15="POINTS",E72-VLOOKUP(B$2,C1:E210,3,FALSE),J72)</f>
        <v>-7.0055462675813684</v>
      </c>
      <c r="G72" s="55"/>
      <c r="H72" s="166" cm="1">
        <f t="array" ref="H72">RANK(I72,I3:I210)</f>
        <v>112</v>
      </c>
      <c r="I72" s="167" cm="1">
        <f t="array" ref="I72">VLOOKUP(A72,'Standard Deviations'!A1:C672,3,FALSE)</f>
        <v>-0.11116062319155884</v>
      </c>
      <c r="J72" s="167" cm="1">
        <f t="array" ref="J72">I72-VLOOKUP(B$2,H1:J210,2,FALSE)</f>
        <v>-7.0055462675813684</v>
      </c>
    </row>
    <row r="73" spans="1:10" ht="21.25" customHeight="1" x14ac:dyDescent="0.15">
      <c r="A73" s="10" t="s">
        <v>441</v>
      </c>
      <c r="B73" s="93" t="str" cm="1">
        <f t="array" ref="B73">VLOOKUP(A73,'The List'!B1:D671,3,FALSE)</f>
        <v>C,LW</v>
      </c>
      <c r="C73" s="94" cm="1">
        <f t="array" ref="C73">IF(Settings!$E$15="POINTS",RANK(E73,E3:E210),H73)</f>
        <v>98</v>
      </c>
      <c r="D73" s="18" t="str" cm="1">
        <f t="array" ref="D73">VLOOKUP(A73,'The List'!B1:F671,5,FALSE)</f>
        <v>STL</v>
      </c>
      <c r="E73" s="55" cm="1">
        <f t="array" ref="E73">VLOOKUP(A73,'The List'!B1:I671,8,FALSE)</f>
        <v>0.35096192515902436</v>
      </c>
      <c r="F73" s="55" cm="1">
        <f t="array" ref="F73">IF(Settings!$E$15="POINTS",E73-VLOOKUP(B$2,C1:E210,3,FALSE),J73)</f>
        <v>-6.5434237192307858</v>
      </c>
      <c r="G73" s="55"/>
      <c r="H73" s="166" cm="1">
        <f t="array" ref="H73">RANK(I73,I3:I210)</f>
        <v>98</v>
      </c>
      <c r="I73" s="167" cm="1">
        <f t="array" ref="I73">VLOOKUP(A73,'Standard Deviations'!A1:C672,3,FALSE)</f>
        <v>0.35096192515902436</v>
      </c>
      <c r="J73" s="167" cm="1">
        <f t="array" ref="J73">I73-VLOOKUP(B$2,H1:J210,2,FALSE)</f>
        <v>-6.5434237192307858</v>
      </c>
    </row>
    <row r="74" spans="1:10" ht="21.25" customHeight="1" x14ac:dyDescent="0.15">
      <c r="A74" s="10" t="s">
        <v>430</v>
      </c>
      <c r="B74" s="93" t="str" cm="1">
        <f t="array" ref="B74">VLOOKUP(A74,'The List'!B1:D671,3,FALSE)</f>
        <v>LW,RW</v>
      </c>
      <c r="C74" s="94" cm="1">
        <f t="array" ref="C74">IF(Settings!$E$15="POINTS",RANK(E74,E3:E210),H74)</f>
        <v>162</v>
      </c>
      <c r="D74" s="18" t="str" cm="1">
        <f t="array" ref="D74">VLOOKUP(A74,'The List'!B1:F671,5,FALSE)</f>
        <v>CGY</v>
      </c>
      <c r="E74" s="55" cm="1">
        <f t="array" ref="E74">VLOOKUP(A74,'The List'!B1:I671,8,FALSE)</f>
        <v>-1.9040250149974633</v>
      </c>
      <c r="F74" s="55" cm="1">
        <f t="array" ref="F74">IF(Settings!$E$15="POINTS",E74-VLOOKUP(B$2,C1:E210,3,FALSE),J74)</f>
        <v>-8.7984106593872724</v>
      </c>
      <c r="G74" s="55"/>
      <c r="H74" s="166" cm="1">
        <f t="array" ref="H74">RANK(I74,I3:I210)</f>
        <v>162</v>
      </c>
      <c r="I74" s="167" cm="1">
        <f t="array" ref="I74">VLOOKUP(A74,'Standard Deviations'!A1:C672,3,FALSE)</f>
        <v>-1.9040250149974633</v>
      </c>
      <c r="J74" s="167" cm="1">
        <f t="array" ref="J74">I74-VLOOKUP(B$2,H1:J210,2,FALSE)</f>
        <v>-8.7984106593872724</v>
      </c>
    </row>
    <row r="75" spans="1:10" ht="21.25" customHeight="1" x14ac:dyDescent="0.15">
      <c r="A75" s="10" t="s">
        <v>446</v>
      </c>
      <c r="B75" s="93" t="str" cm="1">
        <f t="array" ref="B75">VLOOKUP(A75,'The List'!B1:D671,3,FALSE)</f>
        <v>C,LW</v>
      </c>
      <c r="C75" s="94" cm="1">
        <f t="array" ref="C75">IF(Settings!$E$15="POINTS",RANK(E75,E3:E210),H75)</f>
        <v>57</v>
      </c>
      <c r="D75" s="18" t="str" cm="1">
        <f t="array" ref="D75">VLOOKUP(A75,'The List'!B1:F671,5,FALSE)</f>
        <v>MIN</v>
      </c>
      <c r="E75" s="55" cm="1">
        <f t="array" ref="E75">VLOOKUP(A75,'The List'!B1:I671,8,FALSE)</f>
        <v>2.9755536799609792</v>
      </c>
      <c r="F75" s="55" cm="1">
        <f t="array" ref="F75">IF(Settings!$E$15="POINTS",E75-VLOOKUP(B$2,C1:E210,3,FALSE),J75)</f>
        <v>-3.9188319644288305</v>
      </c>
      <c r="G75" s="55"/>
      <c r="H75" s="166" cm="1">
        <f t="array" ref="H75">RANK(I75,I3:I210)</f>
        <v>57</v>
      </c>
      <c r="I75" s="167" cm="1">
        <f t="array" ref="I75">VLOOKUP(A75,'Standard Deviations'!A1:C672,3,FALSE)</f>
        <v>2.9755536799609792</v>
      </c>
      <c r="J75" s="167" cm="1">
        <f t="array" ref="J75">I75-VLOOKUP(B$2,H1:J210,2,FALSE)</f>
        <v>-3.9188319644288305</v>
      </c>
    </row>
    <row r="76" spans="1:10" ht="21.25" customHeight="1" x14ac:dyDescent="0.15">
      <c r="A76" s="10" t="s">
        <v>435</v>
      </c>
      <c r="B76" s="93" t="str" cm="1">
        <f t="array" ref="B76">VLOOKUP(A76,'The List'!B1:D671,3,FALSE)</f>
        <v>LW,RW</v>
      </c>
      <c r="C76" s="94" cm="1">
        <f t="array" ref="C76">IF(Settings!$E$15="POINTS",RANK(E76,E3:E210),H76)</f>
        <v>76</v>
      </c>
      <c r="D76" s="18" t="str" cm="1">
        <f t="array" ref="D76">VLOOKUP(A76,'The List'!B1:F671,5,FALSE)</f>
        <v>SEA</v>
      </c>
      <c r="E76" s="55" cm="1">
        <f t="array" ref="E76">VLOOKUP(A76,'The List'!B1:I671,8,FALSE)</f>
        <v>1.6638795859358606</v>
      </c>
      <c r="F76" s="55" cm="1">
        <f t="array" ref="F76">IF(Settings!$E$15="POINTS",E76-VLOOKUP(B$2,C1:E210,3,FALSE),J76)</f>
        <v>-5.2305060584539493</v>
      </c>
      <c r="G76" s="55"/>
      <c r="H76" s="166" cm="1">
        <f t="array" ref="H76">RANK(I76,I3:I210)</f>
        <v>76</v>
      </c>
      <c r="I76" s="167" cm="1">
        <f t="array" ref="I76">VLOOKUP(A76,'Standard Deviations'!A1:C672,3,FALSE)</f>
        <v>1.6638795859358606</v>
      </c>
      <c r="J76" s="167" cm="1">
        <f t="array" ref="J76">I76-VLOOKUP(B$2,H1:J210,2,FALSE)</f>
        <v>-5.2305060584539493</v>
      </c>
    </row>
    <row r="77" spans="1:10" ht="21.25" customHeight="1" x14ac:dyDescent="0.15">
      <c r="A77" s="10" t="s">
        <v>450</v>
      </c>
      <c r="B77" s="93" t="str" cm="1">
        <f t="array" ref="B77">VLOOKUP(A77,'The List'!B1:D671,3,FALSE)</f>
        <v>C,LW</v>
      </c>
      <c r="C77" s="94" cm="1">
        <f t="array" ref="C77">IF(Settings!$E$15="POINTS",RANK(E77,E3:E210),H77)</f>
        <v>63</v>
      </c>
      <c r="D77" s="18" t="str" cm="1">
        <f t="array" ref="D77">VLOOKUP(A77,'The List'!B1:F671,5,FALSE)</f>
        <v>WSH</v>
      </c>
      <c r="E77" s="55" cm="1">
        <f t="array" ref="E77">VLOOKUP(A77,'The List'!B1:I671,8,FALSE)</f>
        <v>2.4790132116005834</v>
      </c>
      <c r="F77" s="55" cm="1">
        <f t="array" ref="F77">IF(Settings!$E$15="POINTS",E77-VLOOKUP(B$2,C1:E210,3,FALSE),J77)</f>
        <v>-4.4153724327892263</v>
      </c>
      <c r="G77" s="55"/>
      <c r="H77" s="166" cm="1">
        <f t="array" ref="H77">RANK(I77,I3:I210)</f>
        <v>63</v>
      </c>
      <c r="I77" s="167" cm="1">
        <f t="array" ref="I77">VLOOKUP(A77,'Standard Deviations'!A1:C672,3,FALSE)</f>
        <v>2.4790132116005834</v>
      </c>
      <c r="J77" s="167" cm="1">
        <f t="array" ref="J77">I77-VLOOKUP(B$2,H1:J210,2,FALSE)</f>
        <v>-4.4153724327892263</v>
      </c>
    </row>
    <row r="78" spans="1:10" ht="21.25" customHeight="1" x14ac:dyDescent="0.15">
      <c r="A78" s="10" t="s">
        <v>451</v>
      </c>
      <c r="B78" s="93" t="str" cm="1">
        <f t="array" ref="B78">VLOOKUP(A78,'The List'!B1:D671,3,FALSE)</f>
        <v>LW</v>
      </c>
      <c r="C78" s="94" cm="1">
        <f t="array" ref="C78">IF(Settings!$E$15="POINTS",RANK(E78,E3:E210),H78)</f>
        <v>74</v>
      </c>
      <c r="D78" s="18" t="str" cm="1">
        <f t="array" ref="D78">VLOOKUP(A78,'The List'!B1:F671,5,FALSE)</f>
        <v>S.J</v>
      </c>
      <c r="E78" s="55" cm="1">
        <f t="array" ref="E78">VLOOKUP(A78,'The List'!B1:I671,8,FALSE)</f>
        <v>1.7797162366062214</v>
      </c>
      <c r="F78" s="55" cm="1">
        <f t="array" ref="F78">IF(Settings!$E$15="POINTS",E78-VLOOKUP(B$2,C1:E210,3,FALSE),J78)</f>
        <v>-5.1146694077835884</v>
      </c>
      <c r="G78" s="55"/>
      <c r="H78" s="166" cm="1">
        <f t="array" ref="H78">RANK(I78,I3:I210)</f>
        <v>74</v>
      </c>
      <c r="I78" s="167" cm="1">
        <f t="array" ref="I78">VLOOKUP(A78,'Standard Deviations'!A1:C672,3,FALSE)</f>
        <v>1.7797162366062214</v>
      </c>
      <c r="J78" s="167" cm="1">
        <f t="array" ref="J78">I78-VLOOKUP(B$2,H1:J210,2,FALSE)</f>
        <v>-5.1146694077835884</v>
      </c>
    </row>
    <row r="79" spans="1:10" ht="21.25" customHeight="1" x14ac:dyDescent="0.15">
      <c r="A79" s="10" t="s">
        <v>443</v>
      </c>
      <c r="B79" s="93" t="str" cm="1">
        <f t="array" ref="B79">VLOOKUP(A79,'The List'!B1:D671,3,FALSE)</f>
        <v>LW,RW</v>
      </c>
      <c r="C79" s="94" cm="1">
        <f t="array" ref="C79">IF(Settings!$E$15="POINTS",RANK(E79,E3:E210),H79)</f>
        <v>80</v>
      </c>
      <c r="D79" s="18" t="str" cm="1">
        <f t="array" ref="D79">VLOOKUP(A79,'The List'!B1:F671,5,FALSE)</f>
        <v>PHI</v>
      </c>
      <c r="E79" s="55" cm="1">
        <f t="array" ref="E79">VLOOKUP(A79,'The List'!B1:I671,8,FALSE)</f>
        <v>1.5627608533187733</v>
      </c>
      <c r="F79" s="55" cm="1">
        <f t="array" ref="F79">IF(Settings!$E$15="POINTS",E79-VLOOKUP(B$2,C1:E210,3,FALSE),J79)</f>
        <v>-5.3316247910710359</v>
      </c>
      <c r="G79" s="55"/>
      <c r="H79" s="166" cm="1">
        <f t="array" ref="H79">RANK(I79,I3:I210)</f>
        <v>80</v>
      </c>
      <c r="I79" s="167" cm="1">
        <f t="array" ref="I79">VLOOKUP(A79,'Standard Deviations'!A1:C672,3,FALSE)</f>
        <v>1.5627608533187733</v>
      </c>
      <c r="J79" s="167" cm="1">
        <f t="array" ref="J79">I79-VLOOKUP(B$2,H1:J210,2,FALSE)</f>
        <v>-5.3316247910710359</v>
      </c>
    </row>
    <row r="80" spans="1:10" ht="21.25" customHeight="1" x14ac:dyDescent="0.15">
      <c r="A80" s="10" t="s">
        <v>455</v>
      </c>
      <c r="B80" s="93" t="str" cm="1">
        <f t="array" ref="B80">VLOOKUP(A80,'The List'!B1:D671,3,FALSE)</f>
        <v>LW</v>
      </c>
      <c r="C80" s="94" cm="1">
        <f t="array" ref="C80">IF(Settings!$E$15="POINTS",RANK(E80,E3:E210),H80)</f>
        <v>54</v>
      </c>
      <c r="D80" s="18" t="str" cm="1">
        <f t="array" ref="D80">VLOOKUP(A80,'The List'!B1:F671,5,FALSE)</f>
        <v>VGK</v>
      </c>
      <c r="E80" s="55" cm="1">
        <f t="array" ref="E80">VLOOKUP(A80,'The List'!B1:I671,8,FALSE)</f>
        <v>3.1363407471087372</v>
      </c>
      <c r="F80" s="55" cm="1">
        <f t="array" ref="F80">IF(Settings!$E$15="POINTS",E80-VLOOKUP(B$2,C1:E210,3,FALSE),J80)</f>
        <v>-3.7580448972810725</v>
      </c>
      <c r="G80" s="55"/>
      <c r="H80" s="166" cm="1">
        <f t="array" ref="H80">RANK(I80,I3:I210)</f>
        <v>54</v>
      </c>
      <c r="I80" s="167" cm="1">
        <f t="array" ref="I80">VLOOKUP(A80,'Standard Deviations'!A1:C672,3,FALSE)</f>
        <v>3.1363407471087372</v>
      </c>
      <c r="J80" s="167" cm="1">
        <f t="array" ref="J80">I80-VLOOKUP(B$2,H1:J210,2,FALSE)</f>
        <v>-3.7580448972810725</v>
      </c>
    </row>
    <row r="81" spans="1:10" ht="21.25" customHeight="1" x14ac:dyDescent="0.15">
      <c r="A81" s="10" t="s">
        <v>468</v>
      </c>
      <c r="B81" s="93" t="str" cm="1">
        <f t="array" ref="B81">VLOOKUP(A81,'The List'!B1:D671,3,FALSE)</f>
        <v>LW</v>
      </c>
      <c r="C81" s="94" cm="1">
        <f t="array" ref="C81">IF(Settings!$E$15="POINTS",RANK(E81,E3:E210),H81)</f>
        <v>77</v>
      </c>
      <c r="D81" s="18" t="str" cm="1">
        <f t="array" ref="D81">VLOOKUP(A81,'The List'!B1:F671,5,FALSE)</f>
        <v>CBJ</v>
      </c>
      <c r="E81" s="55" cm="1">
        <f t="array" ref="E81">VLOOKUP(A81,'The List'!B1:I671,8,FALSE)</f>
        <v>1.6074994153132207</v>
      </c>
      <c r="F81" s="55" cm="1">
        <f t="array" ref="F81">IF(Settings!$E$15="POINTS",E81-VLOOKUP(B$2,C1:E210,3,FALSE),J81)</f>
        <v>-5.2868862290765888</v>
      </c>
      <c r="G81" s="55"/>
      <c r="H81" s="166" cm="1">
        <f t="array" ref="H81">RANK(I81,I3:I210)</f>
        <v>77</v>
      </c>
      <c r="I81" s="167" cm="1">
        <f t="array" ref="I81">VLOOKUP(A81,'Standard Deviations'!A1:C672,3,FALSE)</f>
        <v>1.6074994153132207</v>
      </c>
      <c r="J81" s="167" cm="1">
        <f t="array" ref="J81">I81-VLOOKUP(B$2,H1:J210,2,FALSE)</f>
        <v>-5.2868862290765888</v>
      </c>
    </row>
    <row r="82" spans="1:10" ht="21.25" customHeight="1" x14ac:dyDescent="0.15">
      <c r="A82" s="10" t="s">
        <v>460</v>
      </c>
      <c r="B82" s="93" t="str" cm="1">
        <f t="array" ref="B82">VLOOKUP(A82,'The List'!B1:D671,3,FALSE)</f>
        <v>LW,RW</v>
      </c>
      <c r="C82" s="94" cm="1">
        <f t="array" ref="C82">IF(Settings!$E$15="POINTS",RANK(E82,E3:E210),H82)</f>
        <v>152</v>
      </c>
      <c r="D82" s="18" t="str" cm="1">
        <f t="array" ref="D82">VLOOKUP(A82,'The List'!B1:F671,5,FALSE)</f>
        <v>NYI</v>
      </c>
      <c r="E82" s="55" cm="1">
        <f t="array" ref="E82">VLOOKUP(A82,'The List'!B1:I671,8,FALSE)</f>
        <v>-1.5582882553853754</v>
      </c>
      <c r="F82" s="55" cm="1">
        <f t="array" ref="F82">IF(Settings!$E$15="POINTS",E82-VLOOKUP(B$2,C1:E210,3,FALSE),J82)</f>
        <v>-8.4526738997751849</v>
      </c>
      <c r="G82" s="55"/>
      <c r="H82" s="166" cm="1">
        <f t="array" ref="H82">RANK(I82,I3:I210)</f>
        <v>152</v>
      </c>
      <c r="I82" s="167" cm="1">
        <f t="array" ref="I82">VLOOKUP(A82,'Standard Deviations'!A1:C672,3,FALSE)</f>
        <v>-1.5582882553853754</v>
      </c>
      <c r="J82" s="167" cm="1">
        <f t="array" ref="J82">I82-VLOOKUP(B$2,H1:J210,2,FALSE)</f>
        <v>-8.4526738997751849</v>
      </c>
    </row>
    <row r="83" spans="1:10" ht="21.25" customHeight="1" x14ac:dyDescent="0.15">
      <c r="A83" s="10" t="s">
        <v>462</v>
      </c>
      <c r="B83" s="93" t="str" cm="1">
        <f t="array" ref="B83">VLOOKUP(A83,'The List'!B1:D671,3,FALSE)</f>
        <v>LW,RW</v>
      </c>
      <c r="C83" s="94" cm="1">
        <f t="array" ref="C83">IF(Settings!$E$15="POINTS",RANK(E83,E3:E210),H83)</f>
        <v>68</v>
      </c>
      <c r="D83" s="18" t="str" cm="1">
        <f t="array" ref="D83">VLOOKUP(A83,'The List'!B1:F671,5,FALSE)</f>
        <v>COL</v>
      </c>
      <c r="E83" s="55" cm="1">
        <f t="array" ref="E83">VLOOKUP(A83,'The List'!B1:I671,8,FALSE)</f>
        <v>2.1078335059837792</v>
      </c>
      <c r="F83" s="55" cm="1">
        <f t="array" ref="F83">IF(Settings!$E$15="POINTS",E83-VLOOKUP(B$2,C1:E210,3,FALSE),J83)</f>
        <v>-4.7865521384060301</v>
      </c>
      <c r="G83" s="55"/>
      <c r="H83" s="166" cm="1">
        <f t="array" ref="H83">RANK(I83,I3:I210)</f>
        <v>68</v>
      </c>
      <c r="I83" s="167" cm="1">
        <f t="array" ref="I83">VLOOKUP(A83,'Standard Deviations'!A1:C672,3,FALSE)</f>
        <v>2.1078335059837792</v>
      </c>
      <c r="J83" s="167" cm="1">
        <f t="array" ref="J83">I83-VLOOKUP(B$2,H1:J210,2,FALSE)</f>
        <v>-4.7865521384060301</v>
      </c>
    </row>
    <row r="84" spans="1:10" ht="21.25" customHeight="1" x14ac:dyDescent="0.15">
      <c r="A84" s="10" t="s">
        <v>470</v>
      </c>
      <c r="B84" s="93" t="str" cm="1">
        <f t="array" ref="B84">VLOOKUP(A84,'The List'!B1:D671,3,FALSE)</f>
        <v>LW,RW</v>
      </c>
      <c r="C84" s="94" cm="1">
        <f t="array" ref="C84">IF(Settings!$E$15="POINTS",RANK(E84,E3:E210),H84)</f>
        <v>136</v>
      </c>
      <c r="D84" s="18" t="str" cm="1">
        <f t="array" ref="D84">VLOOKUP(A84,'The List'!B1:F671,5,FALSE)</f>
        <v>CGY</v>
      </c>
      <c r="E84" s="55" cm="1">
        <f t="array" ref="E84">VLOOKUP(A84,'The List'!B1:I671,8,FALSE)</f>
        <v>-1.0029587954988544</v>
      </c>
      <c r="F84" s="55" cm="1">
        <f t="array" ref="F84">IF(Settings!$E$15="POINTS",E84-VLOOKUP(B$2,C1:E210,3,FALSE),J84)</f>
        <v>-7.8973444398886645</v>
      </c>
      <c r="G84" s="55"/>
      <c r="H84" s="166" cm="1">
        <f t="array" ref="H84">RANK(I84,I3:I210)</f>
        <v>136</v>
      </c>
      <c r="I84" s="167" cm="1">
        <f t="array" ref="I84">VLOOKUP(A84,'Standard Deviations'!A1:C672,3,FALSE)</f>
        <v>-1.0029587954988544</v>
      </c>
      <c r="J84" s="167" cm="1">
        <f t="array" ref="J84">I84-VLOOKUP(B$2,H1:J210,2,FALSE)</f>
        <v>-7.8973444398886645</v>
      </c>
    </row>
    <row r="85" spans="1:10" ht="21.25" customHeight="1" x14ac:dyDescent="0.15">
      <c r="A85" s="10" t="s">
        <v>472</v>
      </c>
      <c r="B85" s="93" t="str" cm="1">
        <f t="array" ref="B85">VLOOKUP(A85,'The List'!B1:D671,3,FALSE)</f>
        <v>LW,RW</v>
      </c>
      <c r="C85" s="94" cm="1">
        <f t="array" ref="C85">IF(Settings!$E$15="POINTS",RANK(E85,E3:E210),H85)</f>
        <v>43</v>
      </c>
      <c r="D85" s="18" t="str" cm="1">
        <f t="array" ref="D85">VLOOKUP(A85,'The List'!B1:F671,5,FALSE)</f>
        <v>S.J</v>
      </c>
      <c r="E85" s="55" cm="1">
        <f t="array" ref="E85">VLOOKUP(A85,'The List'!B1:I671,8,FALSE)</f>
        <v>4.2151180224389782</v>
      </c>
      <c r="F85" s="55" cm="1">
        <f t="array" ref="F85">IF(Settings!$E$15="POINTS",E85-VLOOKUP(B$2,C1:E210,3,FALSE),J85)</f>
        <v>-2.6792676219508316</v>
      </c>
      <c r="G85" s="55"/>
      <c r="H85" s="166" cm="1">
        <f t="array" ref="H85">RANK(I85,I3:I210)</f>
        <v>43</v>
      </c>
      <c r="I85" s="167" cm="1">
        <f t="array" ref="I85">VLOOKUP(A85,'Standard Deviations'!A1:C672,3,FALSE)</f>
        <v>4.2151180224389782</v>
      </c>
      <c r="J85" s="167" cm="1">
        <f t="array" ref="J85">I85-VLOOKUP(B$2,H1:J210,2,FALSE)</f>
        <v>-2.6792676219508316</v>
      </c>
    </row>
    <row r="86" spans="1:10" ht="21.25" customHeight="1" x14ac:dyDescent="0.15">
      <c r="A86" s="10" t="s">
        <v>485</v>
      </c>
      <c r="B86" s="93" t="str" cm="1">
        <f t="array" ref="B86">VLOOKUP(A86,'The List'!B1:D671,3,FALSE)</f>
        <v>LW</v>
      </c>
      <c r="C86" s="94" cm="1">
        <f t="array" ref="C86">IF(Settings!$E$15="POINTS",RANK(E86,E3:E210),H86)</f>
        <v>69</v>
      </c>
      <c r="D86" s="18" t="str" cm="1">
        <f t="array" ref="D86">VLOOKUP(A86,'The List'!B1:F671,5,FALSE)</f>
        <v>UTA</v>
      </c>
      <c r="E86" s="55" cm="1">
        <f t="array" ref="E86">VLOOKUP(A86,'The List'!B1:I671,8,FALSE)</f>
        <v>2.0357275775707722</v>
      </c>
      <c r="F86" s="55" cm="1">
        <f t="array" ref="F86">IF(Settings!$E$15="POINTS",E86-VLOOKUP(B$2,C1:E210,3,FALSE),J86)</f>
        <v>-4.8586580668190376</v>
      </c>
      <c r="G86" s="55"/>
      <c r="H86" s="166" cm="1">
        <f t="array" ref="H86">RANK(I86,I3:I210)</f>
        <v>69</v>
      </c>
      <c r="I86" s="167" cm="1">
        <f t="array" ref="I86">VLOOKUP(A86,'Standard Deviations'!A1:C672,3,FALSE)</f>
        <v>2.0357275775707722</v>
      </c>
      <c r="J86" s="167" cm="1">
        <f t="array" ref="J86">I86-VLOOKUP(B$2,H1:J210,2,FALSE)</f>
        <v>-4.8586580668190376</v>
      </c>
    </row>
    <row r="87" spans="1:10" ht="21.25" customHeight="1" x14ac:dyDescent="0.15">
      <c r="A87" s="10" t="s">
        <v>498</v>
      </c>
      <c r="B87" s="93" t="str" cm="1">
        <f t="array" ref="B87">VLOOKUP(A87,'The List'!B1:D671,3,FALSE)</f>
        <v>C,LW</v>
      </c>
      <c r="C87" s="94" cm="1">
        <f t="array" ref="C87">IF(Settings!$E$15="POINTS",RANK(E87,E3:E210),H87)</f>
        <v>141</v>
      </c>
      <c r="D87" s="18" t="str" cm="1">
        <f t="array" ref="D87">VLOOKUP(A87,'The List'!B1:F671,5,FALSE)</f>
        <v>DET</v>
      </c>
      <c r="E87" s="55" cm="1">
        <f t="array" ref="E87">VLOOKUP(A87,'The List'!B1:I671,8,FALSE)</f>
        <v>-1.0872197422009546</v>
      </c>
      <c r="F87" s="55" cm="1">
        <f t="array" ref="F87">IF(Settings!$E$15="POINTS",E87-VLOOKUP(B$2,C1:E210,3,FALSE),J87)</f>
        <v>-7.9816053865907648</v>
      </c>
      <c r="G87" s="55"/>
      <c r="H87" s="166" cm="1">
        <f t="array" ref="H87">RANK(I87,I3:I210)</f>
        <v>141</v>
      </c>
      <c r="I87" s="167" cm="1">
        <f t="array" ref="I87">VLOOKUP(A87,'Standard Deviations'!A1:C672,3,FALSE)</f>
        <v>-1.0872197422009546</v>
      </c>
      <c r="J87" s="167" cm="1">
        <f t="array" ref="J87">I87-VLOOKUP(B$2,H1:J210,2,FALSE)</f>
        <v>-7.9816053865907648</v>
      </c>
    </row>
    <row r="88" spans="1:10" ht="21.25" customHeight="1" x14ac:dyDescent="0.15">
      <c r="A88" s="10" t="s">
        <v>494</v>
      </c>
      <c r="B88" s="93" t="str" cm="1">
        <f t="array" ref="B88">VLOOKUP(A88,'The List'!B1:D671,3,FALSE)</f>
        <v>LW,RW</v>
      </c>
      <c r="C88" s="94" cm="1">
        <f t="array" ref="C88">IF(Settings!$E$15="POINTS",RANK(E88,E3:E210),H88)</f>
        <v>105</v>
      </c>
      <c r="D88" s="18" t="str" cm="1">
        <f t="array" ref="D88">VLOOKUP(A88,'The List'!B1:F671,5,FALSE)</f>
        <v>NSH</v>
      </c>
      <c r="E88" s="55" cm="1">
        <f t="array" ref="E88">VLOOKUP(A88,'The List'!B1:I671,8,FALSE)</f>
        <v>4.0514667757939105E-2</v>
      </c>
      <c r="F88" s="55" cm="1">
        <f t="array" ref="F88">IF(Settings!$E$15="POINTS",E88-VLOOKUP(B$2,C1:E210,3,FALSE),J88)</f>
        <v>-6.8538709766318711</v>
      </c>
      <c r="G88" s="55"/>
      <c r="H88" s="166" cm="1">
        <f t="array" ref="H88">RANK(I88,I3:I210)</f>
        <v>105</v>
      </c>
      <c r="I88" s="167" cm="1">
        <f t="array" ref="I88">VLOOKUP(A88,'Standard Deviations'!A1:C672,3,FALSE)</f>
        <v>4.0514667757939105E-2</v>
      </c>
      <c r="J88" s="167" cm="1">
        <f t="array" ref="J88">I88-VLOOKUP(B$2,H1:J210,2,FALSE)</f>
        <v>-6.8538709766318711</v>
      </c>
    </row>
    <row r="89" spans="1:10" ht="21.25" customHeight="1" x14ac:dyDescent="0.15">
      <c r="A89" s="10" t="s">
        <v>511</v>
      </c>
      <c r="B89" s="93" t="str" cm="1">
        <f t="array" ref="B89">VLOOKUP(A89,'The List'!B1:D671,3,FALSE)</f>
        <v>LW</v>
      </c>
      <c r="C89" s="94" cm="1">
        <f t="array" ref="C89">IF(Settings!$E$15="POINTS",RANK(E89,E3:E210),H89)</f>
        <v>82</v>
      </c>
      <c r="D89" s="18" t="str" cm="1">
        <f t="array" ref="D89">VLOOKUP(A89,'The List'!B1:F671,5,FALSE)</f>
        <v>CAR</v>
      </c>
      <c r="E89" s="55" cm="1">
        <f t="array" ref="E89">VLOOKUP(A89,'The List'!B1:I671,8,FALSE)</f>
        <v>1.4364954754847701</v>
      </c>
      <c r="F89" s="55" cm="1">
        <f t="array" ref="F89">IF(Settings!$E$15="POINTS",E89-VLOOKUP(B$2,C1:E210,3,FALSE),J89)</f>
        <v>-5.4578901689050401</v>
      </c>
      <c r="G89" s="55"/>
      <c r="H89" s="166" cm="1">
        <f t="array" ref="H89">RANK(I89,I3:I210)</f>
        <v>82</v>
      </c>
      <c r="I89" s="167" cm="1">
        <f t="array" ref="I89">VLOOKUP(A89,'Standard Deviations'!A1:C672,3,FALSE)</f>
        <v>1.4364954754847701</v>
      </c>
      <c r="J89" s="167" cm="1">
        <f t="array" ref="J89">I89-VLOOKUP(B$2,H1:J210,2,FALSE)</f>
        <v>-5.4578901689050401</v>
      </c>
    </row>
    <row r="90" spans="1:10" ht="21.25" customHeight="1" x14ac:dyDescent="0.15">
      <c r="A90" s="10" t="s">
        <v>496</v>
      </c>
      <c r="B90" s="93" t="str" cm="1">
        <f t="array" ref="B90">VLOOKUP(A90,'The List'!B1:D671,3,FALSE)</f>
        <v>LW,RW</v>
      </c>
      <c r="C90" s="94" cm="1">
        <f t="array" ref="C90">IF(Settings!$E$15="POINTS",RANK(E90,E3:E210),H90)</f>
        <v>93</v>
      </c>
      <c r="D90" s="18" t="str" cm="1">
        <f t="array" ref="D90">VLOOKUP(A90,'The List'!B1:F671,5,FALSE)</f>
        <v>S.J</v>
      </c>
      <c r="E90" s="55" cm="1">
        <f t="array" ref="E90">VLOOKUP(A90,'The List'!B1:I671,8,FALSE)</f>
        <v>0.71954987042451113</v>
      </c>
      <c r="F90" s="55" cm="1">
        <f t="array" ref="F90">IF(Settings!$E$15="POINTS",E90-VLOOKUP(B$2,C1:E210,3,FALSE),J90)</f>
        <v>-6.1748357739652988</v>
      </c>
      <c r="G90" s="55"/>
      <c r="H90" s="166" cm="1">
        <f t="array" ref="H90">RANK(I90,I3:I210)</f>
        <v>93</v>
      </c>
      <c r="I90" s="167" cm="1">
        <f t="array" ref="I90">VLOOKUP(A90,'Standard Deviations'!A1:C672,3,FALSE)</f>
        <v>0.71954987042451113</v>
      </c>
      <c r="J90" s="167" cm="1">
        <f t="array" ref="J90">I90-VLOOKUP(B$2,H1:J210,2,FALSE)</f>
        <v>-6.1748357739652988</v>
      </c>
    </row>
    <row r="91" spans="1:10" ht="21.25" customHeight="1" x14ac:dyDescent="0.15">
      <c r="A91" s="10" t="s">
        <v>497</v>
      </c>
      <c r="B91" s="93" t="str" cm="1">
        <f t="array" ref="B91">VLOOKUP(A91,'The List'!B1:D671,3,FALSE)</f>
        <v>LW,RW</v>
      </c>
      <c r="C91" s="94" cm="1">
        <f t="array" ref="C91">IF(Settings!$E$15="POINTS",RANK(E91,E3:E210),H91)</f>
        <v>103</v>
      </c>
      <c r="D91" s="18" t="str" cm="1">
        <f t="array" ref="D91">VLOOKUP(A91,'The List'!B1:F671,5,FALSE)</f>
        <v>PIT</v>
      </c>
      <c r="E91" s="55" cm="1">
        <f t="array" ref="E91">VLOOKUP(A91,'The List'!B1:I671,8,FALSE)</f>
        <v>4.3036012412418709E-2</v>
      </c>
      <c r="F91" s="55" cm="1">
        <f t="array" ref="F91">IF(Settings!$E$15="POINTS",E91-VLOOKUP(B$2,C1:E210,3,FALSE),J91)</f>
        <v>-6.8513496319773912</v>
      </c>
      <c r="G91" s="55"/>
      <c r="H91" s="166" cm="1">
        <f t="array" ref="H91">RANK(I91,I3:I210)</f>
        <v>103</v>
      </c>
      <c r="I91" s="167" cm="1">
        <f t="array" ref="I91">VLOOKUP(A91,'Standard Deviations'!A1:C672,3,FALSE)</f>
        <v>4.3036012412418709E-2</v>
      </c>
      <c r="J91" s="167" cm="1">
        <f t="array" ref="J91">I91-VLOOKUP(B$2,H1:J210,2,FALSE)</f>
        <v>-6.8513496319773912</v>
      </c>
    </row>
    <row r="92" spans="1:10" ht="21.25" customHeight="1" x14ac:dyDescent="0.15">
      <c r="A92" s="10" t="s">
        <v>499</v>
      </c>
      <c r="B92" s="93" t="str" cm="1">
        <f t="array" ref="B92">VLOOKUP(A92,'The List'!B1:D671,3,FALSE)</f>
        <v>LW,RW</v>
      </c>
      <c r="C92" s="94" cm="1">
        <f t="array" ref="C92">IF(Settings!$E$15="POINTS",RANK(E92,E3:E210),H92)</f>
        <v>67</v>
      </c>
      <c r="D92" s="18" t="str" cm="1">
        <f t="array" ref="D92">VLOOKUP(A92,'The List'!B1:F671,5,FALSE)</f>
        <v>S.J</v>
      </c>
      <c r="E92" s="55" cm="1">
        <f t="array" ref="E92">VLOOKUP(A92,'The List'!B1:I671,8,FALSE)</f>
        <v>2.1958013499609081</v>
      </c>
      <c r="F92" s="55" cm="1">
        <f t="array" ref="F92">IF(Settings!$E$15="POINTS",E92-VLOOKUP(B$2,C1:E210,3,FALSE),J92)</f>
        <v>-4.6985842944289011</v>
      </c>
      <c r="G92" s="55"/>
      <c r="H92" s="166" cm="1">
        <f t="array" ref="H92">RANK(I92,I3:I210)</f>
        <v>67</v>
      </c>
      <c r="I92" s="167" cm="1">
        <f t="array" ref="I92">VLOOKUP(A92,'Standard Deviations'!A1:C672,3,FALSE)</f>
        <v>2.1958013499609081</v>
      </c>
      <c r="J92" s="167" cm="1">
        <f t="array" ref="J92">I92-VLOOKUP(B$2,H1:J210,2,FALSE)</f>
        <v>-4.6985842944289011</v>
      </c>
    </row>
    <row r="93" spans="1:10" ht="21.25" customHeight="1" x14ac:dyDescent="0.15">
      <c r="A93" s="10" t="s">
        <v>518</v>
      </c>
      <c r="B93" s="93" t="str" cm="1">
        <f t="array" ref="B93">VLOOKUP(A93,'The List'!B1:D671,3,FALSE)</f>
        <v>C,LW,RW</v>
      </c>
      <c r="C93" s="94" cm="1">
        <f t="array" ref="C93">IF(Settings!$E$15="POINTS",RANK(E93,E3:E210),H93)</f>
        <v>99</v>
      </c>
      <c r="D93" s="18" t="str" cm="1">
        <f t="array" ref="D93">VLOOKUP(A93,'The List'!B1:F671,5,FALSE)</f>
        <v>OTT</v>
      </c>
      <c r="E93" s="55" cm="1">
        <f t="array" ref="E93">VLOOKUP(A93,'The List'!B1:I671,8,FALSE)</f>
        <v>0.24881976396979089</v>
      </c>
      <c r="F93" s="55" cm="1">
        <f t="array" ref="F93">IF(Settings!$E$15="POINTS",E93-VLOOKUP(B$2,C1:E210,3,FALSE),J93)</f>
        <v>-6.6455658804200191</v>
      </c>
      <c r="G93" s="55"/>
      <c r="H93" s="166" cm="1">
        <f t="array" ref="H93">RANK(I93,I3:I210)</f>
        <v>99</v>
      </c>
      <c r="I93" s="167" cm="1">
        <f t="array" ref="I93">VLOOKUP(A93,'Standard Deviations'!A1:C672,3,FALSE)</f>
        <v>0.24881976396979089</v>
      </c>
      <c r="J93" s="167" cm="1">
        <f t="array" ref="J93">I93-VLOOKUP(B$2,H1:J210,2,FALSE)</f>
        <v>-6.6455658804200191</v>
      </c>
    </row>
    <row r="94" spans="1:10" ht="21.25" customHeight="1" x14ac:dyDescent="0.15">
      <c r="A94" s="10" t="s">
        <v>519</v>
      </c>
      <c r="B94" s="93" t="str" cm="1">
        <f t="array" ref="B94">VLOOKUP(A94,'The List'!B1:D671,3,FALSE)</f>
        <v>LW,RW</v>
      </c>
      <c r="C94" s="94" cm="1">
        <f t="array" ref="C94">IF(Settings!$E$15="POINTS",RANK(E94,E3:E210),H94)</f>
        <v>97</v>
      </c>
      <c r="D94" s="18" t="str" cm="1">
        <f t="array" ref="D94">VLOOKUP(A94,'The List'!B1:F671,5,FALSE)</f>
        <v>N.J</v>
      </c>
      <c r="E94" s="55" cm="1">
        <f t="array" ref="E94">VLOOKUP(A94,'The List'!B1:I671,8,FALSE)</f>
        <v>0.46581080199341396</v>
      </c>
      <c r="F94" s="55" cm="1">
        <f t="array" ref="F94">IF(Settings!$E$15="POINTS",E94-VLOOKUP(B$2,C1:E210,3,FALSE),J94)</f>
        <v>-6.4285748423963955</v>
      </c>
      <c r="G94" s="55"/>
      <c r="H94" s="166" cm="1">
        <f t="array" ref="H94">RANK(I94,I3:I210)</f>
        <v>97</v>
      </c>
      <c r="I94" s="167" cm="1">
        <f t="array" ref="I94">VLOOKUP(A94,'Standard Deviations'!A1:C672,3,FALSE)</f>
        <v>0.46581080199341396</v>
      </c>
      <c r="J94" s="167" cm="1">
        <f t="array" ref="J94">I94-VLOOKUP(B$2,H1:J210,2,FALSE)</f>
        <v>-6.4285748423963955</v>
      </c>
    </row>
    <row r="95" spans="1:10" ht="21.25" customHeight="1" x14ac:dyDescent="0.15">
      <c r="A95" s="10" t="s">
        <v>521</v>
      </c>
      <c r="B95" s="93" t="str" cm="1">
        <f t="array" ref="B95">VLOOKUP(A95,'The List'!B1:D671,3,FALSE)</f>
        <v>C,LW,RW</v>
      </c>
      <c r="C95" s="94" cm="1">
        <f t="array" ref="C95">IF(Settings!$E$15="POINTS",RANK(E95,E3:E210),H95)</f>
        <v>182</v>
      </c>
      <c r="D95" s="18" t="str" cm="1">
        <f t="array" ref="D95">VLOOKUP(A95,'The List'!B1:F671,5,FALSE)</f>
        <v>CGY</v>
      </c>
      <c r="E95" s="55" cm="1">
        <f t="array" ref="E95">VLOOKUP(A95,'The List'!B1:I671,8,FALSE)</f>
        <v>-3.0471179319455439</v>
      </c>
      <c r="F95" s="55" cm="1">
        <f t="array" ref="F95">IF(Settings!$E$15="POINTS",E95-VLOOKUP(B$2,C1:E210,3,FALSE),J95)</f>
        <v>-9.9415035763353536</v>
      </c>
      <c r="G95" s="55"/>
      <c r="H95" s="166" cm="1">
        <f t="array" ref="H95">RANK(I95,I3:I210)</f>
        <v>182</v>
      </c>
      <c r="I95" s="167" cm="1">
        <f t="array" ref="I95">VLOOKUP(A95,'Standard Deviations'!A1:C672,3,FALSE)</f>
        <v>-3.0471179319455439</v>
      </c>
      <c r="J95" s="167" cm="1">
        <f t="array" ref="J95">I95-VLOOKUP(B$2,H1:J210,2,FALSE)</f>
        <v>-9.9415035763353536</v>
      </c>
    </row>
    <row r="96" spans="1:10" ht="21.25" customHeight="1" x14ac:dyDescent="0.15">
      <c r="A96" s="10" t="s">
        <v>524</v>
      </c>
      <c r="B96" s="93" t="str" cm="1">
        <f t="array" ref="B96">VLOOKUP(A96,'The List'!B1:D671,3,FALSE)</f>
        <v>LW,RW</v>
      </c>
      <c r="C96" s="94" cm="1">
        <f t="array" ref="C96">IF(Settings!$E$15="POINTS",RANK(E96,E3:E210),H96)</f>
        <v>62</v>
      </c>
      <c r="D96" s="18" t="str" cm="1">
        <f t="array" ref="D96">VLOOKUP(A96,'The List'!B1:F671,5,FALSE)</f>
        <v>UTA</v>
      </c>
      <c r="E96" s="55" cm="1">
        <f t="array" ref="E96">VLOOKUP(A96,'The List'!B1:I671,8,FALSE)</f>
        <v>2.5390116468375461</v>
      </c>
      <c r="F96" s="55" cm="1">
        <f t="array" ref="F96">IF(Settings!$E$15="POINTS",E96-VLOOKUP(B$2,C1:E210,3,FALSE),J96)</f>
        <v>-4.3553739975522632</v>
      </c>
      <c r="G96" s="55"/>
      <c r="H96" s="166" cm="1">
        <f t="array" ref="H96">RANK(I96,I3:I210)</f>
        <v>62</v>
      </c>
      <c r="I96" s="167" cm="1">
        <f t="array" ref="I96">VLOOKUP(A96,'Standard Deviations'!A1:C672,3,FALSE)</f>
        <v>2.5390116468375461</v>
      </c>
      <c r="J96" s="167" cm="1">
        <f t="array" ref="J96">I96-VLOOKUP(B$2,H1:J210,2,FALSE)</f>
        <v>-4.3553739975522632</v>
      </c>
    </row>
    <row r="97" spans="1:10" ht="21.25" customHeight="1" x14ac:dyDescent="0.15">
      <c r="A97" s="10" t="s">
        <v>537</v>
      </c>
      <c r="B97" s="93" t="str" cm="1">
        <f t="array" ref="B97">VLOOKUP(A97,'The List'!B1:D671,3,FALSE)</f>
        <v>C,LW</v>
      </c>
      <c r="C97" s="94" cm="1">
        <f t="array" ref="C97">IF(Settings!$E$15="POINTS",RANK(E97,E3:E210),H97)</f>
        <v>92</v>
      </c>
      <c r="D97" s="18" t="str" cm="1">
        <f t="array" ref="D97">VLOOKUP(A97,'The List'!B1:F671,5,FALSE)</f>
        <v>NSH</v>
      </c>
      <c r="E97" s="55" cm="1">
        <f t="array" ref="E97">VLOOKUP(A97,'The List'!B1:I671,8,FALSE)</f>
        <v>0.77160668474823146</v>
      </c>
      <c r="F97" s="55" cm="1">
        <f t="array" ref="F97">IF(Settings!$E$15="POINTS",E97-VLOOKUP(B$2,C1:E210,3,FALSE),J97)</f>
        <v>-6.122778959641578</v>
      </c>
      <c r="G97" s="55"/>
      <c r="H97" s="166" cm="1">
        <f t="array" ref="H97">RANK(I97,I3:I210)</f>
        <v>92</v>
      </c>
      <c r="I97" s="167" cm="1">
        <f t="array" ref="I97">VLOOKUP(A97,'Standard Deviations'!A1:C672,3,FALSE)</f>
        <v>0.77160668474823146</v>
      </c>
      <c r="J97" s="167" cm="1">
        <f t="array" ref="J97">I97-VLOOKUP(B$2,H1:J210,2,FALSE)</f>
        <v>-6.122778959641578</v>
      </c>
    </row>
    <row r="98" spans="1:10" ht="21.25" customHeight="1" x14ac:dyDescent="0.15">
      <c r="A98" s="10" t="s">
        <v>528</v>
      </c>
      <c r="B98" s="93" t="str" cm="1">
        <f t="array" ref="B98">VLOOKUP(A98,'The List'!B1:D671,3,FALSE)</f>
        <v>LW,RW</v>
      </c>
      <c r="C98" s="94" cm="1">
        <f t="array" ref="C98">IF(Settings!$E$15="POINTS",RANK(E98,E3:E210),H98)</f>
        <v>81</v>
      </c>
      <c r="D98" s="18" t="str" cm="1">
        <f t="array" ref="D98">VLOOKUP(A98,'The List'!B1:F671,5,FALSE)</f>
        <v>STL</v>
      </c>
      <c r="E98" s="55" cm="1">
        <f t="array" ref="E98">VLOOKUP(A98,'The List'!B1:I671,8,FALSE)</f>
        <v>1.5012186707405824</v>
      </c>
      <c r="F98" s="55" cm="1">
        <f t="array" ref="F98">IF(Settings!$E$15="POINTS",E98-VLOOKUP(B$2,C1:E210,3,FALSE),J98)</f>
        <v>-5.3931669736492278</v>
      </c>
      <c r="G98" s="55"/>
      <c r="H98" s="166" cm="1">
        <f t="array" ref="H98">RANK(I98,I3:I210)</f>
        <v>81</v>
      </c>
      <c r="I98" s="167" cm="1">
        <f t="array" ref="I98">VLOOKUP(A98,'Standard Deviations'!A1:C672,3,FALSE)</f>
        <v>1.5012186707405824</v>
      </c>
      <c r="J98" s="167" cm="1">
        <f t="array" ref="J98">I98-VLOOKUP(B$2,H1:J210,2,FALSE)</f>
        <v>-5.3931669736492278</v>
      </c>
    </row>
    <row r="99" spans="1:10" ht="21.25" customHeight="1" x14ac:dyDescent="0.15">
      <c r="A99" s="10" t="s">
        <v>539</v>
      </c>
      <c r="B99" s="93" t="str" cm="1">
        <f t="array" ref="B99">VLOOKUP(A99,'The List'!B1:D671,3,FALSE)</f>
        <v>C,LW</v>
      </c>
      <c r="C99" s="94" cm="1">
        <f t="array" ref="C99">IF(Settings!$E$15="POINTS",RANK(E99,E3:E210),H99)</f>
        <v>75</v>
      </c>
      <c r="D99" s="18" t="str" cm="1">
        <f t="array" ref="D99">VLOOKUP(A99,'The List'!B1:F671,5,FALSE)</f>
        <v>DET</v>
      </c>
      <c r="E99" s="55" cm="1">
        <f t="array" ref="E99">VLOOKUP(A99,'The List'!B1:I671,8,FALSE)</f>
        <v>1.7602687179570573</v>
      </c>
      <c r="F99" s="55" cm="1">
        <f t="array" ref="F99">IF(Settings!$E$15="POINTS",E99-VLOOKUP(B$2,C1:E210,3,FALSE),J99)</f>
        <v>-5.1341169264327524</v>
      </c>
      <c r="G99" s="55"/>
      <c r="H99" s="166" cm="1">
        <f t="array" ref="H99">RANK(I99,I3:I210)</f>
        <v>75</v>
      </c>
      <c r="I99" s="167" cm="1">
        <f t="array" ref="I99">VLOOKUP(A99,'Standard Deviations'!A1:C672,3,FALSE)</f>
        <v>1.7602687179570573</v>
      </c>
      <c r="J99" s="167" cm="1">
        <f t="array" ref="J99">I99-VLOOKUP(B$2,H1:J210,2,FALSE)</f>
        <v>-5.1341169264327524</v>
      </c>
    </row>
    <row r="100" spans="1:10" ht="21.25" customHeight="1" x14ac:dyDescent="0.15">
      <c r="A100" s="10" t="s">
        <v>540</v>
      </c>
      <c r="B100" s="93" t="str" cm="1">
        <f t="array" ref="B100">VLOOKUP(A100,'The List'!B1:D671,3,FALSE)</f>
        <v>LW</v>
      </c>
      <c r="C100" s="94" cm="1">
        <f t="array" ref="C100">IF(Settings!$E$15="POINTS",RANK(E100,E3:E210),H100)</f>
        <v>107</v>
      </c>
      <c r="D100" s="18" t="str" cm="1">
        <f t="array" ref="D100">VLOOKUP(A100,'The List'!B1:F671,5,FALSE)</f>
        <v>TOR</v>
      </c>
      <c r="E100" s="55" cm="1">
        <f t="array" ref="E100">VLOOKUP(A100,'The List'!B1:I671,8,FALSE)</f>
        <v>1.0756906888957918E-3</v>
      </c>
      <c r="F100" s="55" cm="1">
        <f t="array" ref="F100">IF(Settings!$E$15="POINTS",E100-VLOOKUP(B$2,C1:E210,3,FALSE),J100)</f>
        <v>-6.8933099537009141</v>
      </c>
      <c r="G100" s="55"/>
      <c r="H100" s="166" cm="1">
        <f t="array" ref="H100">RANK(I100,I3:I210)</f>
        <v>107</v>
      </c>
      <c r="I100" s="167" cm="1">
        <f t="array" ref="I100">VLOOKUP(A100,'Standard Deviations'!A1:C672,3,FALSE)</f>
        <v>1.0756906888957918E-3</v>
      </c>
      <c r="J100" s="167" cm="1">
        <f t="array" ref="J100">I100-VLOOKUP(B$2,H1:J210,2,FALSE)</f>
        <v>-6.8933099537009141</v>
      </c>
    </row>
    <row r="101" spans="1:10" ht="21.25" customHeight="1" x14ac:dyDescent="0.15">
      <c r="A101" s="10" t="s">
        <v>541</v>
      </c>
      <c r="B101" s="93" t="str" cm="1">
        <f t="array" ref="B101">VLOOKUP(A101,'The List'!B1:D671,3,FALSE)</f>
        <v>C,LW</v>
      </c>
      <c r="C101" s="94" cm="1">
        <f t="array" ref="C101">IF(Settings!$E$15="POINTS",RANK(E101,E3:E210),H101)</f>
        <v>140</v>
      </c>
      <c r="D101" s="18" t="str" cm="1">
        <f t="array" ref="D101">VLOOKUP(A101,'The List'!B1:F671,5,FALSE)</f>
        <v>PIT</v>
      </c>
      <c r="E101" s="55" cm="1">
        <f t="array" ref="E101">VLOOKUP(A101,'The List'!B1:I671,8,FALSE)</f>
        <v>-1.0781224379880312</v>
      </c>
      <c r="F101" s="55" cm="1">
        <f t="array" ref="F101">IF(Settings!$E$15="POINTS",E101-VLOOKUP(B$2,C1:E210,3,FALSE),J101)</f>
        <v>-7.9725080823778409</v>
      </c>
      <c r="G101" s="55"/>
      <c r="H101" s="166" cm="1">
        <f t="array" ref="H101">RANK(I101,I3:I210)</f>
        <v>140</v>
      </c>
      <c r="I101" s="167" cm="1">
        <f t="array" ref="I101">VLOOKUP(A101,'Standard Deviations'!A1:C672,3,FALSE)</f>
        <v>-1.0781224379880312</v>
      </c>
      <c r="J101" s="167" cm="1">
        <f t="array" ref="J101">I101-VLOOKUP(B$2,H1:J210,2,FALSE)</f>
        <v>-7.9725080823778409</v>
      </c>
    </row>
    <row r="102" spans="1:10" ht="21.25" customHeight="1" x14ac:dyDescent="0.15">
      <c r="A102" s="10" t="s">
        <v>542</v>
      </c>
      <c r="B102" s="93" t="str" cm="1">
        <f t="array" ref="B102">VLOOKUP(A102,'The List'!B1:D671,3,FALSE)</f>
        <v>LW,RW</v>
      </c>
      <c r="C102" s="94" cm="1">
        <f t="array" ref="C102">IF(Settings!$E$15="POINTS",RANK(E102,E3:E210),H102)</f>
        <v>124</v>
      </c>
      <c r="D102" s="18" t="str" cm="1">
        <f t="array" ref="D102">VLOOKUP(A102,'The List'!B1:F671,5,FALSE)</f>
        <v>L.A</v>
      </c>
      <c r="E102" s="55" cm="1">
        <f t="array" ref="E102">VLOOKUP(A102,'The List'!B1:I671,8,FALSE)</f>
        <v>-0.39971182762958651</v>
      </c>
      <c r="F102" s="55" cm="1">
        <f t="array" ref="F102">IF(Settings!$E$15="POINTS",E102-VLOOKUP(B$2,C1:E210,3,FALSE),J102)</f>
        <v>-7.2940974720193958</v>
      </c>
      <c r="G102" s="55"/>
      <c r="H102" s="166" cm="1">
        <f t="array" ref="H102">RANK(I102,I3:I210)</f>
        <v>124</v>
      </c>
      <c r="I102" s="167" cm="1">
        <f t="array" ref="I102">VLOOKUP(A102,'Standard Deviations'!A1:C672,3,FALSE)</f>
        <v>-0.39971182762958651</v>
      </c>
      <c r="J102" s="167" cm="1">
        <f t="array" ref="J102">I102-VLOOKUP(B$2,H1:J210,2,FALSE)</f>
        <v>-7.2940974720193958</v>
      </c>
    </row>
    <row r="103" spans="1:10" ht="21.25" customHeight="1" x14ac:dyDescent="0.15">
      <c r="A103" s="10" t="s">
        <v>547</v>
      </c>
      <c r="B103" s="93" t="str" cm="1">
        <f t="array" ref="B103">VLOOKUP(A103,'The List'!B1:D671,3,FALSE)</f>
        <v>LW,RW</v>
      </c>
      <c r="C103" s="94" cm="1">
        <f t="array" ref="C103">IF(Settings!$E$15="POINTS",RANK(E103,E3:E210),H103)</f>
        <v>110</v>
      </c>
      <c r="D103" s="18" t="str" cm="1">
        <f t="array" ref="D103">VLOOKUP(A103,'The List'!B1:F671,5,FALSE)</f>
        <v>N.J</v>
      </c>
      <c r="E103" s="55" cm="1">
        <f t="array" ref="E103">VLOOKUP(A103,'The List'!B1:I671,8,FALSE)</f>
        <v>-1.3544900706919008E-2</v>
      </c>
      <c r="F103" s="55" cm="1">
        <f t="array" ref="F103">IF(Settings!$E$15="POINTS",E103-VLOOKUP(B$2,C1:E210,3,FALSE),J103)</f>
        <v>-6.907930545096729</v>
      </c>
      <c r="G103" s="55"/>
      <c r="H103" s="166" cm="1">
        <f t="array" ref="H103">RANK(I103,I3:I210)</f>
        <v>110</v>
      </c>
      <c r="I103" s="167" cm="1">
        <f t="array" ref="I103">VLOOKUP(A103,'Standard Deviations'!A1:C672,3,FALSE)</f>
        <v>-1.3544900706919008E-2</v>
      </c>
      <c r="J103" s="167" cm="1">
        <f t="array" ref="J103">I103-VLOOKUP(B$2,H1:J210,2,FALSE)</f>
        <v>-6.907930545096729</v>
      </c>
    </row>
    <row r="104" spans="1:10" ht="21.25" customHeight="1" x14ac:dyDescent="0.15">
      <c r="A104" s="10" t="s">
        <v>553</v>
      </c>
      <c r="B104" s="93" t="str" cm="1">
        <f t="array" ref="B104">VLOOKUP(A104,'The List'!B1:D671,3,FALSE)</f>
        <v>C,LW,RW</v>
      </c>
      <c r="C104" s="94" cm="1">
        <f t="array" ref="C104">IF(Settings!$E$15="POINTS",RANK(E104,E3:E210),H104)</f>
        <v>120</v>
      </c>
      <c r="D104" s="18" t="str" cm="1">
        <f t="array" ref="D104">VLOOKUP(A104,'The List'!B1:F671,5,FALSE)</f>
        <v>OTT</v>
      </c>
      <c r="E104" s="55" cm="1">
        <f t="array" ref="E104">VLOOKUP(A104,'The List'!B1:I671,8,FALSE)</f>
        <v>-0.23543836571466814</v>
      </c>
      <c r="F104" s="55" cm="1">
        <f t="array" ref="F104">IF(Settings!$E$15="POINTS",E104-VLOOKUP(B$2,C1:E210,3,FALSE),J104)</f>
        <v>-7.1298240101044783</v>
      </c>
      <c r="G104" s="55"/>
      <c r="H104" s="166" cm="1">
        <f t="array" ref="H104">RANK(I104,I3:I210)</f>
        <v>120</v>
      </c>
      <c r="I104" s="167" cm="1">
        <f t="array" ref="I104">VLOOKUP(A104,'Standard Deviations'!A1:C672,3,FALSE)</f>
        <v>-0.23543836571466814</v>
      </c>
      <c r="J104" s="167" cm="1">
        <f t="array" ref="J104">I104-VLOOKUP(B$2,H1:J210,2,FALSE)</f>
        <v>-7.1298240101044783</v>
      </c>
    </row>
    <row r="105" spans="1:10" ht="21.25" customHeight="1" x14ac:dyDescent="0.15">
      <c r="A105" s="10" t="s">
        <v>566</v>
      </c>
      <c r="B105" s="93" t="str" cm="1">
        <f t="array" ref="B105">VLOOKUP(A105,'The List'!B1:D671,3,FALSE)</f>
        <v>C,LW</v>
      </c>
      <c r="C105" s="94" cm="1">
        <f t="array" ref="C105">IF(Settings!$E$15="POINTS",RANK(E105,E3:E210),H105)</f>
        <v>104</v>
      </c>
      <c r="D105" s="18" t="str" cm="1">
        <f t="array" ref="D105">VLOOKUP(A105,'The List'!B1:F671,5,FALSE)</f>
        <v>NYI</v>
      </c>
      <c r="E105" s="55" cm="1">
        <f t="array" ref="E105">VLOOKUP(A105,'The List'!B1:I671,8,FALSE)</f>
        <v>4.1407157569736119E-2</v>
      </c>
      <c r="F105" s="55" cm="1">
        <f t="array" ref="F105">IF(Settings!$E$15="POINTS",E105-VLOOKUP(B$2,C1:E210,3,FALSE),J105)</f>
        <v>-6.8529784868200734</v>
      </c>
      <c r="G105" s="55"/>
      <c r="H105" s="166" cm="1">
        <f t="array" ref="H105">RANK(I105,I3:I210)</f>
        <v>104</v>
      </c>
      <c r="I105" s="167" cm="1">
        <f t="array" ref="I105">VLOOKUP(A105,'Standard Deviations'!A1:C672,3,FALSE)</f>
        <v>4.1407157569736119E-2</v>
      </c>
      <c r="J105" s="167" cm="1">
        <f t="array" ref="J105">I105-VLOOKUP(B$2,H1:J210,2,FALSE)</f>
        <v>-6.8529784868200734</v>
      </c>
    </row>
    <row r="106" spans="1:10" ht="21.25" customHeight="1" x14ac:dyDescent="0.15">
      <c r="A106" s="10" t="s">
        <v>570</v>
      </c>
      <c r="B106" s="93" t="str" cm="1">
        <f t="array" ref="B106">VLOOKUP(A106,'The List'!B1:D671,3,FALSE)</f>
        <v>C,LW</v>
      </c>
      <c r="C106" s="94" cm="1">
        <f t="array" ref="C106">IF(Settings!$E$15="POINTS",RANK(E106,E3:E210),H106)</f>
        <v>151</v>
      </c>
      <c r="D106" s="18" t="str" cm="1">
        <f t="array" ref="D106">VLOOKUP(A106,'The List'!B1:F671,5,FALSE)</f>
        <v>BOS</v>
      </c>
      <c r="E106" s="55" cm="1">
        <f t="array" ref="E106">VLOOKUP(A106,'The List'!B1:I671,8,FALSE)</f>
        <v>-1.5396413667959146</v>
      </c>
      <c r="F106" s="55" cm="1">
        <f t="array" ref="F106">IF(Settings!$E$15="POINTS",E106-VLOOKUP(B$2,C1:E210,3,FALSE),J106)</f>
        <v>-8.4340270111857247</v>
      </c>
      <c r="G106" s="55"/>
      <c r="H106" s="166" cm="1">
        <f t="array" ref="H106">RANK(I106,I3:I210)</f>
        <v>151</v>
      </c>
      <c r="I106" s="167" cm="1">
        <f t="array" ref="I106">VLOOKUP(A106,'Standard Deviations'!A1:C672,3,FALSE)</f>
        <v>-1.5396413667959146</v>
      </c>
      <c r="J106" s="167" cm="1">
        <f t="array" ref="J106">I106-VLOOKUP(B$2,H1:J210,2,FALSE)</f>
        <v>-8.4340270111857247</v>
      </c>
    </row>
    <row r="107" spans="1:10" ht="21.25" customHeight="1" x14ac:dyDescent="0.15">
      <c r="A107" s="10" t="s">
        <v>564</v>
      </c>
      <c r="B107" s="93" t="str" cm="1">
        <f t="array" ref="B107">VLOOKUP(A107,'The List'!B1:D671,3,FALSE)</f>
        <v>LW,RW</v>
      </c>
      <c r="C107" s="94" cm="1">
        <f t="array" ref="C107">IF(Settings!$E$15="POINTS",RANK(E107,E3:E210),H107)</f>
        <v>113</v>
      </c>
      <c r="D107" s="18" t="str" cm="1">
        <f t="array" ref="D107">VLOOKUP(A107,'The List'!B1:F671,5,FALSE)</f>
        <v>ANA</v>
      </c>
      <c r="E107" s="55" cm="1">
        <f t="array" ref="E107">VLOOKUP(A107,'The List'!B1:I671,8,FALSE)</f>
        <v>-0.1453626255798206</v>
      </c>
      <c r="F107" s="55" cm="1">
        <f t="array" ref="F107">IF(Settings!$E$15="POINTS",E107-VLOOKUP(B$2,C1:E210,3,FALSE),J107)</f>
        <v>-7.0397482699696301</v>
      </c>
      <c r="G107" s="55"/>
      <c r="H107" s="166" cm="1">
        <f t="array" ref="H107">RANK(I107,I3:I210)</f>
        <v>113</v>
      </c>
      <c r="I107" s="167" cm="1">
        <f t="array" ref="I107">VLOOKUP(A107,'Standard Deviations'!A1:C672,3,FALSE)</f>
        <v>-0.1453626255798206</v>
      </c>
      <c r="J107" s="167" cm="1">
        <f t="array" ref="J107">I107-VLOOKUP(B$2,H1:J210,2,FALSE)</f>
        <v>-7.0397482699696301</v>
      </c>
    </row>
    <row r="108" spans="1:10" ht="21.25" customHeight="1" x14ac:dyDescent="0.15">
      <c r="A108" s="10" t="s">
        <v>576</v>
      </c>
      <c r="B108" s="93" t="str" cm="1">
        <f t="array" ref="B108">VLOOKUP(A108,'The List'!B1:D671,3,FALSE)</f>
        <v>LW</v>
      </c>
      <c r="C108" s="94" cm="1">
        <f t="array" ref="C108">IF(Settings!$E$15="POINTS",RANK(E108,E3:E210),H108)</f>
        <v>116</v>
      </c>
      <c r="D108" s="18" t="str" cm="1">
        <f t="array" ref="D108">VLOOKUP(A108,'The List'!B1:F671,5,FALSE)</f>
        <v>BUF</v>
      </c>
      <c r="E108" s="55" cm="1">
        <f t="array" ref="E108">VLOOKUP(A108,'The List'!B1:I671,8,FALSE)</f>
        <v>-0.17366143142901694</v>
      </c>
      <c r="F108" s="55" cm="1">
        <f t="array" ref="F108">IF(Settings!$E$15="POINTS",E108-VLOOKUP(B$2,C1:E210,3,FALSE),J108)</f>
        <v>-7.0680470758188267</v>
      </c>
      <c r="G108" s="55"/>
      <c r="H108" s="166" cm="1">
        <f t="array" ref="H108">RANK(I108,I3:I210)</f>
        <v>116</v>
      </c>
      <c r="I108" s="167" cm="1">
        <f t="array" ref="I108">VLOOKUP(A108,'Standard Deviations'!A1:C672,3,FALSE)</f>
        <v>-0.17366143142901694</v>
      </c>
      <c r="J108" s="167" cm="1">
        <f t="array" ref="J108">I108-VLOOKUP(B$2,H1:J210,2,FALSE)</f>
        <v>-7.0680470758188267</v>
      </c>
    </row>
    <row r="109" spans="1:10" ht="21.25" customHeight="1" x14ac:dyDescent="0.15">
      <c r="A109" s="10" t="s">
        <v>567</v>
      </c>
      <c r="B109" s="93" t="str" cm="1">
        <f t="array" ref="B109">VLOOKUP(A109,'The List'!B1:D671,3,FALSE)</f>
        <v>LW,RW</v>
      </c>
      <c r="C109" s="94" cm="1">
        <f t="array" ref="C109">IF(Settings!$E$15="POINTS",RANK(E109,E3:E210),H109)</f>
        <v>91</v>
      </c>
      <c r="D109" s="18" t="str" cm="1">
        <f t="array" ref="D109">VLOOKUP(A109,'The List'!B1:F671,5,FALSE)</f>
        <v>NYI</v>
      </c>
      <c r="E109" s="55" cm="1">
        <f t="array" ref="E109">VLOOKUP(A109,'The List'!B1:I671,8,FALSE)</f>
        <v>0.81039487407421129</v>
      </c>
      <c r="F109" s="55" cm="1">
        <f t="array" ref="F109">IF(Settings!$E$15="POINTS",E109-VLOOKUP(B$2,C1:E210,3,FALSE),J109)</f>
        <v>-6.083990770315598</v>
      </c>
      <c r="G109" s="55"/>
      <c r="H109" s="166" cm="1">
        <f t="array" ref="H109">RANK(I109,I3:I210)</f>
        <v>91</v>
      </c>
      <c r="I109" s="167" cm="1">
        <f t="array" ref="I109">VLOOKUP(A109,'Standard Deviations'!A1:C672,3,FALSE)</f>
        <v>0.81039487407421129</v>
      </c>
      <c r="J109" s="167" cm="1">
        <f t="array" ref="J109">I109-VLOOKUP(B$2,H1:J210,2,FALSE)</f>
        <v>-6.083990770315598</v>
      </c>
    </row>
    <row r="110" spans="1:10" ht="21.25" customHeight="1" x14ac:dyDescent="0.15">
      <c r="A110" s="10" t="s">
        <v>569</v>
      </c>
      <c r="B110" s="93" t="str" cm="1">
        <f t="array" ref="B110">VLOOKUP(A110,'The List'!B1:D671,3,FALSE)</f>
        <v>LW,RW</v>
      </c>
      <c r="C110" s="94" cm="1">
        <f t="array" ref="C110">IF(Settings!$E$15="POINTS",RANK(E110,E3:E210),H110)</f>
        <v>146</v>
      </c>
      <c r="D110" s="18" t="str" cm="1">
        <f t="array" ref="D110">VLOOKUP(A110,'The List'!B1:F671,5,FALSE)</f>
        <v>WPG</v>
      </c>
      <c r="E110" s="55" cm="1">
        <f t="array" ref="E110">VLOOKUP(A110,'The List'!B1:I671,8,FALSE)</f>
        <v>-1.2103164070106915</v>
      </c>
      <c r="F110" s="55" cm="1">
        <f t="array" ref="F110">IF(Settings!$E$15="POINTS",E110-VLOOKUP(B$2,C1:E210,3,FALSE),J110)</f>
        <v>-8.1047020514005013</v>
      </c>
      <c r="G110" s="55"/>
      <c r="H110" s="166" cm="1">
        <f t="array" ref="H110">RANK(I110,I3:I210)</f>
        <v>146</v>
      </c>
      <c r="I110" s="167" cm="1">
        <f t="array" ref="I110">VLOOKUP(A110,'Standard Deviations'!A1:C672,3,FALSE)</f>
        <v>-1.2103164070106915</v>
      </c>
      <c r="J110" s="167" cm="1">
        <f t="array" ref="J110">I110-VLOOKUP(B$2,H1:J210,2,FALSE)</f>
        <v>-8.1047020514005013</v>
      </c>
    </row>
    <row r="111" spans="1:10" ht="21.25" customHeight="1" x14ac:dyDescent="0.15">
      <c r="A111" s="10" t="s">
        <v>579</v>
      </c>
      <c r="B111" s="93" t="str" cm="1">
        <f t="array" ref="B111">VLOOKUP(A111,'The List'!B1:D671,3,FALSE)</f>
        <v>C,LW</v>
      </c>
      <c r="C111" s="94" cm="1">
        <f t="array" ref="C111">IF(Settings!$E$15="POINTS",RANK(E111,E3:E210),H111)</f>
        <v>100</v>
      </c>
      <c r="D111" s="18" t="str" cm="1">
        <f t="array" ref="D111">VLOOKUP(A111,'The List'!B1:F671,5,FALSE)</f>
        <v>DET</v>
      </c>
      <c r="E111" s="55" cm="1">
        <f t="array" ref="E111">VLOOKUP(A111,'The List'!B1:I671,8,FALSE)</f>
        <v>0.18515986298906389</v>
      </c>
      <c r="F111" s="55" cm="1">
        <f t="array" ref="F111">IF(Settings!$E$15="POINTS",E111-VLOOKUP(B$2,C1:E210,3,FALSE),J111)</f>
        <v>-6.7092257814007459</v>
      </c>
      <c r="G111" s="55"/>
      <c r="H111" s="166" cm="1">
        <f t="array" ref="H111">RANK(I111,I3:I210)</f>
        <v>100</v>
      </c>
      <c r="I111" s="167" cm="1">
        <f t="array" ref="I111">VLOOKUP(A111,'Standard Deviations'!A1:C672,3,FALSE)</f>
        <v>0.18515986298906389</v>
      </c>
      <c r="J111" s="167" cm="1">
        <f t="array" ref="J111">I111-VLOOKUP(B$2,H1:J210,2,FALSE)</f>
        <v>-6.7092257814007459</v>
      </c>
    </row>
    <row r="112" spans="1:10" ht="21.25" customHeight="1" x14ac:dyDescent="0.15">
      <c r="A112" s="10" t="s">
        <v>571</v>
      </c>
      <c r="B112" s="93" t="str" cm="1">
        <f t="array" ref="B112">VLOOKUP(A112,'The List'!B1:D671,3,FALSE)</f>
        <v>LW,RW</v>
      </c>
      <c r="C112" s="94" cm="1">
        <f t="array" ref="C112">IF(Settings!$E$15="POINTS",RANK(E112,E3:E210),H112)</f>
        <v>86</v>
      </c>
      <c r="D112" s="18" t="str" cm="1">
        <f t="array" ref="D112">VLOOKUP(A112,'The List'!B1:F671,5,FALSE)</f>
        <v>MTL</v>
      </c>
      <c r="E112" s="55" cm="1">
        <f t="array" ref="E112">VLOOKUP(A112,'The List'!B1:I671,8,FALSE)</f>
        <v>1.1862128219755155</v>
      </c>
      <c r="F112" s="55" cm="1">
        <f t="array" ref="F112">IF(Settings!$E$15="POINTS",E112-VLOOKUP(B$2,C1:E210,3,FALSE),J112)</f>
        <v>-5.7081728224142942</v>
      </c>
      <c r="G112" s="55"/>
      <c r="H112" s="166" cm="1">
        <f t="array" ref="H112">RANK(I112,I3:I210)</f>
        <v>86</v>
      </c>
      <c r="I112" s="167" cm="1">
        <f t="array" ref="I112">VLOOKUP(A112,'Standard Deviations'!A1:C672,3,FALSE)</f>
        <v>1.1862128219755155</v>
      </c>
      <c r="J112" s="167" cm="1">
        <f t="array" ref="J112">I112-VLOOKUP(B$2,H1:J210,2,FALSE)</f>
        <v>-5.7081728224142942</v>
      </c>
    </row>
    <row r="113" spans="1:10" ht="21.25" customHeight="1" x14ac:dyDescent="0.15">
      <c r="A113" s="10" t="s">
        <v>578</v>
      </c>
      <c r="B113" s="93" t="str" cm="1">
        <f t="array" ref="B113">VLOOKUP(A113,'The List'!B1:D671,3,FALSE)</f>
        <v>LW,RW</v>
      </c>
      <c r="C113" s="94" cm="1">
        <f t="array" ref="C113">IF(Settings!$E$15="POINTS",RANK(E113,E3:E210),H113)</f>
        <v>55</v>
      </c>
      <c r="D113" s="18" t="str" cm="1">
        <f t="array" ref="D113">VLOOKUP(A113,'The List'!B1:F671,5,FALSE)</f>
        <v>EDM</v>
      </c>
      <c r="E113" s="55" cm="1">
        <f t="array" ref="E113">VLOOKUP(A113,'The List'!B1:I671,8,FALSE)</f>
        <v>3.0892637641088223</v>
      </c>
      <c r="F113" s="55" cm="1">
        <f t="array" ref="F113">IF(Settings!$E$15="POINTS",E113-VLOOKUP(B$2,C1:E210,3,FALSE),J113)</f>
        <v>-3.8051218802809874</v>
      </c>
      <c r="G113" s="55"/>
      <c r="H113" s="166" cm="1">
        <f t="array" ref="H113">RANK(I113,I3:I210)</f>
        <v>55</v>
      </c>
      <c r="I113" s="167" cm="1">
        <f t="array" ref="I113">VLOOKUP(A113,'Standard Deviations'!A1:C672,3,FALSE)</f>
        <v>3.0892637641088223</v>
      </c>
      <c r="J113" s="167" cm="1">
        <f t="array" ref="J113">I113-VLOOKUP(B$2,H1:J210,2,FALSE)</f>
        <v>-3.8051218802809874</v>
      </c>
    </row>
    <row r="114" spans="1:10" ht="21.25" customHeight="1" x14ac:dyDescent="0.15">
      <c r="A114" s="10" t="s">
        <v>591</v>
      </c>
      <c r="B114" s="93" t="str" cm="1">
        <f t="array" ref="B114">VLOOKUP(A114,'The List'!B1:D671,3,FALSE)</f>
        <v>C,LW</v>
      </c>
      <c r="C114" s="94" cm="1">
        <f t="array" ref="C114">IF(Settings!$E$15="POINTS",RANK(E114,E3:E210),H114)</f>
        <v>118</v>
      </c>
      <c r="D114" s="18" t="str" cm="1">
        <f t="array" ref="D114">VLOOKUP(A114,'The List'!B1:F671,5,FALSE)</f>
        <v>L.A</v>
      </c>
      <c r="E114" s="55" cm="1">
        <f t="array" ref="E114">VLOOKUP(A114,'The List'!B1:I671,8,FALSE)</f>
        <v>-0.21289213266009155</v>
      </c>
      <c r="F114" s="55" cm="1">
        <f t="array" ref="F114">IF(Settings!$E$15="POINTS",E114-VLOOKUP(B$2,C1:E210,3,FALSE),J114)</f>
        <v>-7.1072777770499016</v>
      </c>
      <c r="G114" s="55"/>
      <c r="H114" s="166" cm="1">
        <f t="array" ref="H114">RANK(I114,I3:I210)</f>
        <v>118</v>
      </c>
      <c r="I114" s="167" cm="1">
        <f t="array" ref="I114">VLOOKUP(A114,'Standard Deviations'!A1:C672,3,FALSE)</f>
        <v>-0.21289213266009155</v>
      </c>
      <c r="J114" s="167" cm="1">
        <f t="array" ref="J114">I114-VLOOKUP(B$2,H1:J210,2,FALSE)</f>
        <v>-7.1072777770499016</v>
      </c>
    </row>
    <row r="115" spans="1:10" ht="21.25" customHeight="1" x14ac:dyDescent="0.15">
      <c r="A115" s="10" t="s">
        <v>582</v>
      </c>
      <c r="B115" s="93" t="str" cm="1">
        <f t="array" ref="B115">VLOOKUP(A115,'The List'!B1:D671,3,FALSE)</f>
        <v>C,LW,RW</v>
      </c>
      <c r="C115" s="94" cm="1">
        <f t="array" ref="C115">IF(Settings!$E$15="POINTS",RANK(E115,E3:E210),H115)</f>
        <v>84</v>
      </c>
      <c r="D115" s="18" t="str" cm="1">
        <f t="array" ref="D115">VLOOKUP(A115,'The List'!B1:F671,5,FALSE)</f>
        <v>DAL</v>
      </c>
      <c r="E115" s="55" cm="1">
        <f t="array" ref="E115">VLOOKUP(A115,'The List'!B1:I671,8,FALSE)</f>
        <v>1.2688511221708321</v>
      </c>
      <c r="F115" s="55" cm="1">
        <f t="array" ref="F115">IF(Settings!$E$15="POINTS",E115-VLOOKUP(B$2,C1:E210,3,FALSE),J115)</f>
        <v>-5.6255345222189774</v>
      </c>
      <c r="G115" s="55"/>
      <c r="H115" s="166" cm="1">
        <f t="array" ref="H115">RANK(I115,I3:I210)</f>
        <v>84</v>
      </c>
      <c r="I115" s="167" cm="1">
        <f t="array" ref="I115">VLOOKUP(A115,'Standard Deviations'!A1:C672,3,FALSE)</f>
        <v>1.2688511221708321</v>
      </c>
      <c r="J115" s="167" cm="1">
        <f t="array" ref="J115">I115-VLOOKUP(B$2,H1:J210,2,FALSE)</f>
        <v>-5.6255345222189774</v>
      </c>
    </row>
    <row r="116" spans="1:10" ht="21.25" customHeight="1" x14ac:dyDescent="0.15">
      <c r="A116" s="10" t="s">
        <v>585</v>
      </c>
      <c r="B116" s="93" t="str" cm="1">
        <f t="array" ref="B116">VLOOKUP(A116,'The List'!B1:D671,3,FALSE)</f>
        <v>LW,RW</v>
      </c>
      <c r="C116" s="94" cm="1">
        <f t="array" ref="C116">IF(Settings!$E$15="POINTS",RANK(E116,E3:E210),H116)</f>
        <v>202</v>
      </c>
      <c r="D116" s="18" t="str" cm="1">
        <f t="array" ref="D116">VLOOKUP(A116,'The List'!B1:F671,5,FALSE)</f>
        <v>CHI</v>
      </c>
      <c r="E116" s="55" cm="1">
        <f t="array" ref="E116">VLOOKUP(A116,'The List'!B1:I671,8,FALSE)</f>
        <v>-4.7590727663433832</v>
      </c>
      <c r="F116" s="55" cm="1">
        <f t="array" ref="F116">IF(Settings!$E$15="POINTS",E116-VLOOKUP(B$2,C1:E210,3,FALSE),J116)</f>
        <v>-11.653458410733194</v>
      </c>
      <c r="G116" s="55"/>
      <c r="H116" s="166" cm="1">
        <f t="array" ref="H116">RANK(I116,I3:I210)</f>
        <v>202</v>
      </c>
      <c r="I116" s="167" cm="1">
        <f t="array" ref="I116">VLOOKUP(A116,'Standard Deviations'!A1:C672,3,FALSE)</f>
        <v>-4.7590727663433832</v>
      </c>
      <c r="J116" s="167" cm="1">
        <f t="array" ref="J116">I116-VLOOKUP(B$2,H1:J210,2,FALSE)</f>
        <v>-11.653458410733194</v>
      </c>
    </row>
    <row r="117" spans="1:10" ht="21.25" customHeight="1" x14ac:dyDescent="0.15">
      <c r="A117" s="10" t="s">
        <v>608</v>
      </c>
      <c r="B117" s="93" t="str" cm="1">
        <f t="array" ref="B117">VLOOKUP(A117,'The List'!B1:D671,3,FALSE)</f>
        <v>LW</v>
      </c>
      <c r="C117" s="94" cm="1">
        <f t="array" ref="C117">IF(Settings!$E$15="POINTS",RANK(E117,E3:E210),H117)</f>
        <v>123</v>
      </c>
      <c r="D117" s="18" t="str" cm="1">
        <f t="array" ref="D117">VLOOKUP(A117,'The List'!B1:F671,5,FALSE)</f>
        <v>WSH</v>
      </c>
      <c r="E117" s="55" cm="1">
        <f t="array" ref="E117">VLOOKUP(A117,'The List'!B1:I671,8,FALSE)</f>
        <v>-0.37580143466266486</v>
      </c>
      <c r="F117" s="55" cm="1">
        <f t="array" ref="F117">IF(Settings!$E$15="POINTS",E117-VLOOKUP(B$2,C1:E210,3,FALSE),J117)</f>
        <v>-7.2701870790524747</v>
      </c>
      <c r="G117" s="55"/>
      <c r="H117" s="166" cm="1">
        <f t="array" ref="H117">RANK(I117,I3:I210)</f>
        <v>123</v>
      </c>
      <c r="I117" s="167" cm="1">
        <f t="array" ref="I117">VLOOKUP(A117,'Standard Deviations'!A1:C672,3,FALSE)</f>
        <v>-0.37580143466266486</v>
      </c>
      <c r="J117" s="167" cm="1">
        <f t="array" ref="J117">I117-VLOOKUP(B$2,H1:J210,2,FALSE)</f>
        <v>-7.2701870790524747</v>
      </c>
    </row>
    <row r="118" spans="1:10" ht="21.25" customHeight="1" x14ac:dyDescent="0.15">
      <c r="A118" s="10" t="s">
        <v>589</v>
      </c>
      <c r="B118" s="93" t="str" cm="1">
        <f t="array" ref="B118">VLOOKUP(A118,'The List'!B1:D671,3,FALSE)</f>
        <v>LW,RW</v>
      </c>
      <c r="C118" s="94" cm="1">
        <f t="array" ref="C118">IF(Settings!$E$15="POINTS",RANK(E118,E3:E210),H118)</f>
        <v>166</v>
      </c>
      <c r="D118" s="18" t="str" cm="1">
        <f t="array" ref="D118">VLOOKUP(A118,'The List'!B1:F671,5,FALSE)</f>
        <v>NYI</v>
      </c>
      <c r="E118" s="55" cm="1">
        <f t="array" ref="E118">VLOOKUP(A118,'The List'!B1:I671,8,FALSE)</f>
        <v>-2.3126938165404245</v>
      </c>
      <c r="F118" s="55" cm="1">
        <f t="array" ref="F118">IF(Settings!$E$15="POINTS",E118-VLOOKUP(B$2,C1:E210,3,FALSE),J118)</f>
        <v>-9.2070794609302347</v>
      </c>
      <c r="G118" s="55"/>
      <c r="H118" s="166" cm="1">
        <f t="array" ref="H118">RANK(I118,I3:I210)</f>
        <v>166</v>
      </c>
      <c r="I118" s="167" cm="1">
        <f t="array" ref="I118">VLOOKUP(A118,'Standard Deviations'!A1:C672,3,FALSE)</f>
        <v>-2.3126938165404245</v>
      </c>
      <c r="J118" s="167" cm="1">
        <f t="array" ref="J118">I118-VLOOKUP(B$2,H1:J210,2,FALSE)</f>
        <v>-9.2070794609302347</v>
      </c>
    </row>
    <row r="119" spans="1:10" ht="21.25" customHeight="1" x14ac:dyDescent="0.15">
      <c r="A119" s="10" t="s">
        <v>596</v>
      </c>
      <c r="B119" s="93" t="str" cm="1">
        <f t="array" ref="B119">VLOOKUP(A119,'The List'!B1:D671,3,FALSE)</f>
        <v>LW,RW</v>
      </c>
      <c r="C119" s="94" cm="1">
        <f t="array" ref="C119">IF(Settings!$E$15="POINTS",RANK(E119,E3:E210),H119)</f>
        <v>90</v>
      </c>
      <c r="D119" s="18" t="str" cm="1">
        <f t="array" ref="D119">VLOOKUP(A119,'The List'!B1:F671,5,FALSE)</f>
        <v>COL</v>
      </c>
      <c r="E119" s="55" cm="1">
        <f t="array" ref="E119">VLOOKUP(A119,'The List'!B1:I671,8,FALSE)</f>
        <v>0.81570949302161677</v>
      </c>
      <c r="F119" s="55" cm="1">
        <f t="array" ref="F119">IF(Settings!$E$15="POINTS",E119-VLOOKUP(B$2,C1:E210,3,FALSE),J119)</f>
        <v>-6.0786761513681933</v>
      </c>
      <c r="G119" s="55"/>
      <c r="H119" s="166" cm="1">
        <f t="array" ref="H119">RANK(I119,I3:I210)</f>
        <v>90</v>
      </c>
      <c r="I119" s="167" cm="1">
        <f t="array" ref="I119">VLOOKUP(A119,'Standard Deviations'!A1:C672,3,FALSE)</f>
        <v>0.81570949302161677</v>
      </c>
      <c r="J119" s="167" cm="1">
        <f t="array" ref="J119">I119-VLOOKUP(B$2,H1:J210,2,FALSE)</f>
        <v>-6.0786761513681933</v>
      </c>
    </row>
    <row r="120" spans="1:10" ht="21.25" customHeight="1" x14ac:dyDescent="0.15">
      <c r="A120" s="10" t="s">
        <v>612</v>
      </c>
      <c r="B120" s="93" t="str" cm="1">
        <f t="array" ref="B120">VLOOKUP(A120,'The List'!B1:D671,3,FALSE)</f>
        <v>C,LW</v>
      </c>
      <c r="C120" s="94" cm="1">
        <f t="array" ref="C120">IF(Settings!$E$15="POINTS",RANK(E120,E3:E210),H120)</f>
        <v>126</v>
      </c>
      <c r="D120" s="18" t="str" cm="1">
        <f t="array" ref="D120">VLOOKUP(A120,'The List'!B1:F671,5,FALSE)</f>
        <v>WSH</v>
      </c>
      <c r="E120" s="55" cm="1">
        <f t="array" ref="E120">VLOOKUP(A120,'The List'!B1:I671,8,FALSE)</f>
        <v>-0.54334297119588038</v>
      </c>
      <c r="F120" s="55" cm="1">
        <f t="array" ref="F120">IF(Settings!$E$15="POINTS",E120-VLOOKUP(B$2,C1:E210,3,FALSE),J120)</f>
        <v>-7.4377286155856899</v>
      </c>
      <c r="G120" s="55"/>
      <c r="H120" s="166" cm="1">
        <f t="array" ref="H120">RANK(I120,I3:I210)</f>
        <v>126</v>
      </c>
      <c r="I120" s="167" cm="1">
        <f t="array" ref="I120">VLOOKUP(A120,'Standard Deviations'!A1:C672,3,FALSE)</f>
        <v>-0.54334297119588038</v>
      </c>
      <c r="J120" s="167" cm="1">
        <f t="array" ref="J120">I120-VLOOKUP(B$2,H1:J210,2,FALSE)</f>
        <v>-7.4377286155856899</v>
      </c>
    </row>
    <row r="121" spans="1:10" ht="21.25" customHeight="1" x14ac:dyDescent="0.15">
      <c r="A121" s="10" t="s">
        <v>598</v>
      </c>
      <c r="B121" s="93" t="str" cm="1">
        <f t="array" ref="B121">VLOOKUP(A121,'The List'!B1:D671,3,FALSE)</f>
        <v>LW,RW</v>
      </c>
      <c r="C121" s="94" cm="1">
        <f t="array" ref="C121">IF(Settings!$E$15="POINTS",RANK(E121,E3:E210),H121)</f>
        <v>196</v>
      </c>
      <c r="D121" s="18" t="str" cm="1">
        <f t="array" ref="D121">VLOOKUP(A121,'The List'!B1:F671,5,FALSE)</f>
        <v>VAN</v>
      </c>
      <c r="E121" s="55" cm="1">
        <f t="array" ref="E121">VLOOKUP(A121,'The List'!B1:I671,8,FALSE)</f>
        <v>-3.8514497783843922</v>
      </c>
      <c r="F121" s="55" cm="1">
        <f t="array" ref="F121">IF(Settings!$E$15="POINTS",E121-VLOOKUP(B$2,C1:E210,3,FALSE),J121)</f>
        <v>-10.745835422774203</v>
      </c>
      <c r="G121" s="55"/>
      <c r="H121" s="166" cm="1">
        <f t="array" ref="H121">RANK(I121,I3:I210)</f>
        <v>196</v>
      </c>
      <c r="I121" s="167" cm="1">
        <f t="array" ref="I121">VLOOKUP(A121,'Standard Deviations'!A1:C672,3,FALSE)</f>
        <v>-3.8514497783843922</v>
      </c>
      <c r="J121" s="167" cm="1">
        <f t="array" ref="J121">I121-VLOOKUP(B$2,H1:J210,2,FALSE)</f>
        <v>-10.745835422774203</v>
      </c>
    </row>
    <row r="122" spans="1:10" ht="21.25" customHeight="1" x14ac:dyDescent="0.15">
      <c r="A122" s="10" t="s">
        <v>600</v>
      </c>
      <c r="B122" s="93" t="str" cm="1">
        <f t="array" ref="B122">VLOOKUP(A122,'The List'!B1:D671,3,FALSE)</f>
        <v>LW,RW</v>
      </c>
      <c r="C122" s="94" cm="1">
        <f t="array" ref="C122">IF(Settings!$E$15="POINTS",RANK(E122,E3:E210),H122)</f>
        <v>155</v>
      </c>
      <c r="D122" s="18" t="str" cm="1">
        <f t="array" ref="D122">VLOOKUP(A122,'The List'!B1:F671,5,FALSE)</f>
        <v>S.J</v>
      </c>
      <c r="E122" s="55" cm="1">
        <f t="array" ref="E122">VLOOKUP(A122,'The List'!B1:I671,8,FALSE)</f>
        <v>-1.6670101965604309</v>
      </c>
      <c r="F122" s="55" cm="1">
        <f t="array" ref="F122">IF(Settings!$E$15="POINTS",E122-VLOOKUP(B$2,C1:E210,3,FALSE),J122)</f>
        <v>-8.5613958409502402</v>
      </c>
      <c r="G122" s="55"/>
      <c r="H122" s="166" cm="1">
        <f t="array" ref="H122">RANK(I122,I3:I210)</f>
        <v>155</v>
      </c>
      <c r="I122" s="167" cm="1">
        <f t="array" ref="I122">VLOOKUP(A122,'Standard Deviations'!A1:C672,3,FALSE)</f>
        <v>-1.6670101965604309</v>
      </c>
      <c r="J122" s="167" cm="1">
        <f t="array" ref="J122">I122-VLOOKUP(B$2,H1:J210,2,FALSE)</f>
        <v>-8.5613958409502402</v>
      </c>
    </row>
    <row r="123" spans="1:10" ht="21.25" customHeight="1" x14ac:dyDescent="0.15">
      <c r="A123" s="10" t="s">
        <v>601</v>
      </c>
      <c r="B123" s="93" t="str" cm="1">
        <f t="array" ref="B123">VLOOKUP(A123,'The List'!B1:D671,3,FALSE)</f>
        <v>LW,RW</v>
      </c>
      <c r="C123" s="94" cm="1">
        <f t="array" ref="C123">IF(Settings!$E$15="POINTS",RANK(E123,E3:E210),H123)</f>
        <v>145</v>
      </c>
      <c r="D123" s="18" t="str" cm="1">
        <f t="array" ref="D123">VLOOKUP(A123,'The List'!B1:F671,5,FALSE)</f>
        <v>ANA</v>
      </c>
      <c r="E123" s="55" cm="1">
        <f t="array" ref="E123">VLOOKUP(A123,'The List'!B1:I671,8,FALSE)</f>
        <v>-1.2081383921809659</v>
      </c>
      <c r="F123" s="55" cm="1">
        <f t="array" ref="F123">IF(Settings!$E$15="POINTS",E123-VLOOKUP(B$2,C1:E210,3,FALSE),J123)</f>
        <v>-8.1025240365707756</v>
      </c>
      <c r="G123" s="55"/>
      <c r="H123" s="166" cm="1">
        <f t="array" ref="H123">RANK(I123,I3:I210)</f>
        <v>145</v>
      </c>
      <c r="I123" s="167" cm="1">
        <f t="array" ref="I123">VLOOKUP(A123,'Standard Deviations'!A1:C672,3,FALSE)</f>
        <v>-1.2081383921809659</v>
      </c>
      <c r="J123" s="167" cm="1">
        <f t="array" ref="J123">I123-VLOOKUP(B$2,H1:J210,2,FALSE)</f>
        <v>-8.1025240365707756</v>
      </c>
    </row>
    <row r="124" spans="1:10" ht="21.25" customHeight="1" x14ac:dyDescent="0.15">
      <c r="A124" s="10" t="s">
        <v>603</v>
      </c>
      <c r="B124" s="93" t="str" cm="1">
        <f t="array" ref="B124">VLOOKUP(A124,'The List'!B1:D671,3,FALSE)</f>
        <v>LW,RW</v>
      </c>
      <c r="C124" s="94" cm="1">
        <f t="array" ref="C124">IF(Settings!$E$15="POINTS",RANK(E124,E3:E210),H124)</f>
        <v>73</v>
      </c>
      <c r="D124" s="18" t="str" cm="1">
        <f t="array" ref="D124">VLOOKUP(A124,'The List'!B1:F671,5,FALSE)</f>
        <v>OTT</v>
      </c>
      <c r="E124" s="55" cm="1">
        <f t="array" ref="E124">VLOOKUP(A124,'The List'!B1:I671,8,FALSE)</f>
        <v>1.8144933703892363</v>
      </c>
      <c r="F124" s="55" cm="1">
        <f t="array" ref="F124">IF(Settings!$E$15="POINTS",E124-VLOOKUP(B$2,C1:E210,3,FALSE),J124)</f>
        <v>-5.0798922740005734</v>
      </c>
      <c r="G124" s="55"/>
      <c r="H124" s="166" cm="1">
        <f t="array" ref="H124">RANK(I124,I3:I210)</f>
        <v>73</v>
      </c>
      <c r="I124" s="167" cm="1">
        <f t="array" ref="I124">VLOOKUP(A124,'Standard Deviations'!A1:C672,3,FALSE)</f>
        <v>1.8144933703892363</v>
      </c>
      <c r="J124" s="167" cm="1">
        <f t="array" ref="J124">I124-VLOOKUP(B$2,H1:J210,2,FALSE)</f>
        <v>-5.0798922740005734</v>
      </c>
    </row>
    <row r="125" spans="1:10" ht="21.25" customHeight="1" x14ac:dyDescent="0.15">
      <c r="A125" s="10" t="s">
        <v>606</v>
      </c>
      <c r="B125" s="93" t="str" cm="1">
        <f t="array" ref="B125">VLOOKUP(A125,'The List'!B1:D671,3,FALSE)</f>
        <v>C,LW,RW</v>
      </c>
      <c r="C125" s="94" cm="1">
        <f t="array" ref="C125">IF(Settings!$E$15="POINTS",RANK(E125,E3:E210),H125)</f>
        <v>176</v>
      </c>
      <c r="D125" s="18" t="str" cm="1">
        <f t="array" ref="D125">VLOOKUP(A125,'The List'!B1:F671,5,FALSE)</f>
        <v>CGY</v>
      </c>
      <c r="E125" s="55" cm="1">
        <f t="array" ref="E125">VLOOKUP(A125,'The List'!B1:I671,8,FALSE)</f>
        <v>-2.8241249987362189</v>
      </c>
      <c r="F125" s="55" cm="1">
        <f t="array" ref="F125">IF(Settings!$E$15="POINTS",E125-VLOOKUP(B$2,C1:E210,3,FALSE),J125)</f>
        <v>-9.7185106431260291</v>
      </c>
      <c r="G125" s="55"/>
      <c r="H125" s="166" cm="1">
        <f t="array" ref="H125">RANK(I125,I3:I210)</f>
        <v>176</v>
      </c>
      <c r="I125" s="167" cm="1">
        <f t="array" ref="I125">VLOOKUP(A125,'Standard Deviations'!A1:C672,3,FALSE)</f>
        <v>-2.8241249987362189</v>
      </c>
      <c r="J125" s="167" cm="1">
        <f t="array" ref="J125">I125-VLOOKUP(B$2,H1:J210,2,FALSE)</f>
        <v>-9.7185106431260291</v>
      </c>
    </row>
    <row r="126" spans="1:10" ht="21.25" customHeight="1" x14ac:dyDescent="0.15">
      <c r="A126" s="10" t="s">
        <v>609</v>
      </c>
      <c r="B126" s="93" t="str" cm="1">
        <f t="array" ref="B126">VLOOKUP(A126,'The List'!B1:D671,3,FALSE)</f>
        <v>LW,RW</v>
      </c>
      <c r="C126" s="94" cm="1">
        <f t="array" ref="C126">IF(Settings!$E$15="POINTS",RANK(E126,E3:E210),H126)</f>
        <v>131</v>
      </c>
      <c r="D126" s="18" t="str" cm="1">
        <f t="array" ref="D126">VLOOKUP(A126,'The List'!B1:F671,5,FALSE)</f>
        <v>CBJ</v>
      </c>
      <c r="E126" s="55" cm="1">
        <f t="array" ref="E126">VLOOKUP(A126,'The List'!B1:I671,8,FALSE)</f>
        <v>-0.74485413039234549</v>
      </c>
      <c r="F126" s="55" cm="1">
        <f t="array" ref="F126">IF(Settings!$E$15="POINTS",E126-VLOOKUP(B$2,C1:E210,3,FALSE),J126)</f>
        <v>-7.6392397747821548</v>
      </c>
      <c r="G126" s="55"/>
      <c r="H126" s="166" cm="1">
        <f t="array" ref="H126">RANK(I126,I3:I210)</f>
        <v>131</v>
      </c>
      <c r="I126" s="167" cm="1">
        <f t="array" ref="I126">VLOOKUP(A126,'Standard Deviations'!A1:C672,3,FALSE)</f>
        <v>-0.74485413039234549</v>
      </c>
      <c r="J126" s="167" cm="1">
        <f t="array" ref="J126">I126-VLOOKUP(B$2,H1:J210,2,FALSE)</f>
        <v>-7.6392397747821548</v>
      </c>
    </row>
    <row r="127" spans="1:10" ht="21.25" customHeight="1" x14ac:dyDescent="0.15">
      <c r="A127" s="10" t="s">
        <v>616</v>
      </c>
      <c r="B127" s="93" t="str" cm="1">
        <f t="array" ref="B127">VLOOKUP(A127,'The List'!B1:D671,3,FALSE)</f>
        <v>C,LW,RW</v>
      </c>
      <c r="C127" s="94" cm="1">
        <f t="array" ref="C127">IF(Settings!$E$15="POINTS",RANK(E127,E3:E210),H127)</f>
        <v>129</v>
      </c>
      <c r="D127" s="18" t="str" cm="1">
        <f t="array" ref="D127">VLOOKUP(A127,'The List'!B1:F671,5,FALSE)</f>
        <v>N.J</v>
      </c>
      <c r="E127" s="55" cm="1">
        <f t="array" ref="E127">VLOOKUP(A127,'The List'!B1:I671,8,FALSE)</f>
        <v>-0.64661283149079551</v>
      </c>
      <c r="F127" s="55" cm="1">
        <f t="array" ref="F127">IF(Settings!$E$15="POINTS",E127-VLOOKUP(B$2,C1:E210,3,FALSE),J127)</f>
        <v>-7.5409984758806052</v>
      </c>
      <c r="G127" s="55"/>
      <c r="H127" s="166" cm="1">
        <f t="array" ref="H127">RANK(I127,I3:I210)</f>
        <v>129</v>
      </c>
      <c r="I127" s="167" cm="1">
        <f t="array" ref="I127">VLOOKUP(A127,'Standard Deviations'!A1:C672,3,FALSE)</f>
        <v>-0.64661283149079551</v>
      </c>
      <c r="J127" s="167" cm="1">
        <f t="array" ref="J127">I127-VLOOKUP(B$2,H1:J210,2,FALSE)</f>
        <v>-7.5409984758806052</v>
      </c>
    </row>
    <row r="128" spans="1:10" ht="21.25" customHeight="1" x14ac:dyDescent="0.15">
      <c r="A128" s="10" t="s">
        <v>626</v>
      </c>
      <c r="B128" s="93" t="str" cm="1">
        <f t="array" ref="B128">VLOOKUP(A128,'The List'!B1:D671,3,FALSE)</f>
        <v>C,LW</v>
      </c>
      <c r="C128" s="94" cm="1">
        <f t="array" ref="C128">IF(Settings!$E$15="POINTS",RANK(E128,E3:E210),H128)</f>
        <v>101</v>
      </c>
      <c r="D128" s="18" t="str" cm="1">
        <f t="array" ref="D128">VLOOKUP(A128,'The List'!B1:F671,5,FALSE)</f>
        <v>VGK</v>
      </c>
      <c r="E128" s="55" cm="1">
        <f t="array" ref="E128">VLOOKUP(A128,'The List'!B1:I671,8,FALSE)</f>
        <v>0.15479596181749355</v>
      </c>
      <c r="F128" s="55" cm="1">
        <f t="array" ref="F128">IF(Settings!$E$15="POINTS",E128-VLOOKUP(B$2,C1:E210,3,FALSE),J128)</f>
        <v>-6.7395896825723165</v>
      </c>
      <c r="G128" s="55"/>
      <c r="H128" s="166" cm="1">
        <f t="array" ref="H128">RANK(I128,I3:I210)</f>
        <v>101</v>
      </c>
      <c r="I128" s="167" cm="1">
        <f t="array" ref="I128">VLOOKUP(A128,'Standard Deviations'!A1:C672,3,FALSE)</f>
        <v>0.15479596181749355</v>
      </c>
      <c r="J128" s="167" cm="1">
        <f t="array" ref="J128">I128-VLOOKUP(B$2,H1:J210,2,FALSE)</f>
        <v>-6.7395896825723165</v>
      </c>
    </row>
    <row r="129" spans="1:10" ht="21.25" customHeight="1" x14ac:dyDescent="0.15">
      <c r="A129" s="10" t="s">
        <v>621</v>
      </c>
      <c r="B129" s="93" t="str" cm="1">
        <f t="array" ref="B129">VLOOKUP(A129,'The List'!B1:D671,3,FALSE)</f>
        <v>LW,RW</v>
      </c>
      <c r="C129" s="94" cm="1">
        <f t="array" ref="C129">IF(Settings!$E$15="POINTS",RANK(E129,E3:E210),H129)</f>
        <v>139</v>
      </c>
      <c r="D129" s="18" t="str" cm="1">
        <f t="array" ref="D129">VLOOKUP(A129,'The List'!B1:F671,5,FALSE)</f>
        <v>OTT</v>
      </c>
      <c r="E129" s="55" cm="1">
        <f t="array" ref="E129">VLOOKUP(A129,'The List'!B1:I671,8,FALSE)</f>
        <v>-1.0519437435226986</v>
      </c>
      <c r="F129" s="55" cm="1">
        <f t="array" ref="F129">IF(Settings!$E$15="POINTS",E129-VLOOKUP(B$2,C1:E210,3,FALSE),J129)</f>
        <v>-7.9463293879125079</v>
      </c>
      <c r="G129" s="55"/>
      <c r="H129" s="166" cm="1">
        <f t="array" ref="H129">RANK(I129,I3:I210)</f>
        <v>139</v>
      </c>
      <c r="I129" s="167" cm="1">
        <f t="array" ref="I129">VLOOKUP(A129,'Standard Deviations'!A1:C672,3,FALSE)</f>
        <v>-1.0519437435226986</v>
      </c>
      <c r="J129" s="167" cm="1">
        <f t="array" ref="J129">I129-VLOOKUP(B$2,H1:J210,2,FALSE)</f>
        <v>-7.9463293879125079</v>
      </c>
    </row>
    <row r="130" spans="1:10" ht="21.25" customHeight="1" x14ac:dyDescent="0.15">
      <c r="A130" s="10" t="s">
        <v>622</v>
      </c>
      <c r="B130" s="93" t="str" cm="1">
        <f t="array" ref="B130">VLOOKUP(A130,'The List'!B1:D671,3,FALSE)</f>
        <v>C,LW,RW</v>
      </c>
      <c r="C130" s="94" cm="1">
        <f t="array" ref="C130">IF(Settings!$E$15="POINTS",RANK(E130,E3:E210),H130)</f>
        <v>163</v>
      </c>
      <c r="D130" s="18" t="str" cm="1">
        <f t="array" ref="D130">VLOOKUP(A130,'The List'!B1:F671,5,FALSE)</f>
        <v>CHI</v>
      </c>
      <c r="E130" s="55" cm="1">
        <f t="array" ref="E130">VLOOKUP(A130,'The List'!B1:I671,8,FALSE)</f>
        <v>-2.1597569642769132</v>
      </c>
      <c r="F130" s="55" cm="1">
        <f t="array" ref="F130">IF(Settings!$E$15="POINTS",E130-VLOOKUP(B$2,C1:E210,3,FALSE),J130)</f>
        <v>-9.0541426086667229</v>
      </c>
      <c r="G130" s="55"/>
      <c r="H130" s="166" cm="1">
        <f t="array" ref="H130">RANK(I130,I3:I210)</f>
        <v>163</v>
      </c>
      <c r="I130" s="167" cm="1">
        <f t="array" ref="I130">VLOOKUP(A130,'Standard Deviations'!A1:C672,3,FALSE)</f>
        <v>-2.1597569642769132</v>
      </c>
      <c r="J130" s="167" cm="1">
        <f t="array" ref="J130">I130-VLOOKUP(B$2,H1:J210,2,FALSE)</f>
        <v>-9.0541426086667229</v>
      </c>
    </row>
    <row r="131" spans="1:10" ht="21.25" customHeight="1" x14ac:dyDescent="0.15">
      <c r="A131" s="10" t="s">
        <v>636</v>
      </c>
      <c r="B131" s="93" t="str" cm="1">
        <f t="array" ref="B131">VLOOKUP(A131,'The List'!B1:D671,3,FALSE)</f>
        <v>LW</v>
      </c>
      <c r="C131" s="94" cm="1">
        <f t="array" ref="C131">IF(Settings!$E$15="POINTS",RANK(E131,E3:E210),H131)</f>
        <v>115</v>
      </c>
      <c r="D131" s="18" t="str" cm="1">
        <f t="array" ref="D131">VLOOKUP(A131,'The List'!B1:F671,5,FALSE)</f>
        <v>FLA</v>
      </c>
      <c r="E131" s="55" cm="1">
        <f t="array" ref="E131">VLOOKUP(A131,'The List'!B1:I671,8,FALSE)</f>
        <v>-0.14960350416542734</v>
      </c>
      <c r="F131" s="55" cm="1">
        <f t="array" ref="F131">IF(Settings!$E$15="POINTS",E131-VLOOKUP(B$2,C1:E210,3,FALSE),J131)</f>
        <v>-7.0439891485552373</v>
      </c>
      <c r="G131" s="55"/>
      <c r="H131" s="166" cm="1">
        <f t="array" ref="H131">RANK(I131,I3:I210)</f>
        <v>115</v>
      </c>
      <c r="I131" s="167" cm="1">
        <f t="array" ref="I131">VLOOKUP(A131,'Standard Deviations'!A1:C672,3,FALSE)</f>
        <v>-0.14960350416542734</v>
      </c>
      <c r="J131" s="167" cm="1">
        <f t="array" ref="J131">I131-VLOOKUP(B$2,H1:J210,2,FALSE)</f>
        <v>-7.0439891485552373</v>
      </c>
    </row>
    <row r="132" spans="1:10" ht="21.25" customHeight="1" x14ac:dyDescent="0.15">
      <c r="A132" s="10" t="s">
        <v>637</v>
      </c>
      <c r="B132" s="93" t="str" cm="1">
        <f t="array" ref="B132">VLOOKUP(A132,'The List'!B1:D671,3,FALSE)</f>
        <v>C,LW</v>
      </c>
      <c r="C132" s="94" cm="1">
        <f t="array" ref="C132">IF(Settings!$E$15="POINTS",RANK(E132,E3:E210),H132)</f>
        <v>167</v>
      </c>
      <c r="D132" s="18" t="str" cm="1">
        <f t="array" ref="D132">VLOOKUP(A132,'The List'!B1:F671,5,FALSE)</f>
        <v>STL</v>
      </c>
      <c r="E132" s="55" cm="1">
        <f t="array" ref="E132">VLOOKUP(A132,'The List'!B1:I671,8,FALSE)</f>
        <v>-2.3395357587363774</v>
      </c>
      <c r="F132" s="55" cm="1">
        <f t="array" ref="F132">IF(Settings!$E$15="POINTS",E132-VLOOKUP(B$2,C1:E210,3,FALSE),J132)</f>
        <v>-9.2339214031261871</v>
      </c>
      <c r="G132" s="55"/>
      <c r="H132" s="166" cm="1">
        <f t="array" ref="H132">RANK(I132,I3:I210)</f>
        <v>167</v>
      </c>
      <c r="I132" s="167" cm="1">
        <f t="array" ref="I132">VLOOKUP(A132,'Standard Deviations'!A1:C672,3,FALSE)</f>
        <v>-2.3395357587363774</v>
      </c>
      <c r="J132" s="167" cm="1">
        <f t="array" ref="J132">I132-VLOOKUP(B$2,H1:J210,2,FALSE)</f>
        <v>-9.2339214031261871</v>
      </c>
    </row>
    <row r="133" spans="1:10" ht="21.25" customHeight="1" x14ac:dyDescent="0.15">
      <c r="A133" s="10" t="s">
        <v>627</v>
      </c>
      <c r="B133" s="93" t="str" cm="1">
        <f t="array" ref="B133">VLOOKUP(A133,'The List'!B1:D671,3,FALSE)</f>
        <v>LW,RW</v>
      </c>
      <c r="C133" s="94" cm="1">
        <f t="array" ref="C133">IF(Settings!$E$15="POINTS",RANK(E133,E3:E210),H133)</f>
        <v>135</v>
      </c>
      <c r="D133" s="18" t="str" cm="1">
        <f t="array" ref="D133">VLOOKUP(A133,'The List'!B1:F671,5,FALSE)</f>
        <v>OTT</v>
      </c>
      <c r="E133" s="55" cm="1">
        <f t="array" ref="E133">VLOOKUP(A133,'The List'!B1:I671,8,FALSE)</f>
        <v>-0.99025770759389942</v>
      </c>
      <c r="F133" s="55" cm="1">
        <f t="array" ref="F133">IF(Settings!$E$15="POINTS",E133-VLOOKUP(B$2,C1:E210,3,FALSE),J133)</f>
        <v>-7.8846433519837094</v>
      </c>
      <c r="G133" s="55"/>
      <c r="H133" s="166" cm="1">
        <f t="array" ref="H133">RANK(I133,I3:I210)</f>
        <v>135</v>
      </c>
      <c r="I133" s="167" cm="1">
        <f t="array" ref="I133">VLOOKUP(A133,'Standard Deviations'!A1:C672,3,FALSE)</f>
        <v>-0.99025770759389942</v>
      </c>
      <c r="J133" s="167" cm="1">
        <f t="array" ref="J133">I133-VLOOKUP(B$2,H1:J210,2,FALSE)</f>
        <v>-7.8846433519837094</v>
      </c>
    </row>
    <row r="134" spans="1:10" ht="21.25" customHeight="1" x14ac:dyDescent="0.15">
      <c r="A134" s="10" t="s">
        <v>640</v>
      </c>
      <c r="B134" s="93" t="str" cm="1">
        <f t="array" ref="B134">VLOOKUP(A134,'The List'!B1:D671,3,FALSE)</f>
        <v>C,LW</v>
      </c>
      <c r="C134" s="94" cm="1">
        <f t="array" ref="C134">IF(Settings!$E$15="POINTS",RANK(E134,E3:E210),H134)</f>
        <v>147</v>
      </c>
      <c r="D134" s="18" t="str" cm="1">
        <f t="array" ref="D134">VLOOKUP(A134,'The List'!B1:F671,5,FALSE)</f>
        <v>MTL</v>
      </c>
      <c r="E134" s="55" cm="1">
        <f t="array" ref="E134">VLOOKUP(A134,'The List'!B1:I671,8,FALSE)</f>
        <v>-1.2106531449017033</v>
      </c>
      <c r="F134" s="55" cm="1">
        <f t="array" ref="F134">IF(Settings!$E$15="POINTS",E134-VLOOKUP(B$2,C1:E210,3,FALSE),J134)</f>
        <v>-8.1050387892915126</v>
      </c>
      <c r="G134" s="55"/>
      <c r="H134" s="166" cm="1">
        <f t="array" ref="H134">RANK(I134,I3:I210)</f>
        <v>147</v>
      </c>
      <c r="I134" s="167" cm="1">
        <f t="array" ref="I134">VLOOKUP(A134,'Standard Deviations'!A1:C672,3,FALSE)</f>
        <v>-1.2106531449017033</v>
      </c>
      <c r="J134" s="167" cm="1">
        <f t="array" ref="J134">I134-VLOOKUP(B$2,H1:J210,2,FALSE)</f>
        <v>-8.1050387892915126</v>
      </c>
    </row>
    <row r="135" spans="1:10" ht="21.25" customHeight="1" x14ac:dyDescent="0.15">
      <c r="A135" s="10" t="s">
        <v>641</v>
      </c>
      <c r="B135" s="93" t="str" cm="1">
        <f t="array" ref="B135">VLOOKUP(A135,'The List'!B1:D671,3,FALSE)</f>
        <v>C,LW</v>
      </c>
      <c r="C135" s="94" cm="1">
        <f t="array" ref="C135">IF(Settings!$E$15="POINTS",RANK(E135,E3:E210),H135)</f>
        <v>132</v>
      </c>
      <c r="D135" s="18" t="str" cm="1">
        <f t="array" ref="D135">VLOOKUP(A135,'The List'!B1:F671,5,FALSE)</f>
        <v>COL</v>
      </c>
      <c r="E135" s="55" cm="1">
        <f t="array" ref="E135">VLOOKUP(A135,'The List'!B1:I671,8,FALSE)</f>
        <v>-0.8061975162650401</v>
      </c>
      <c r="F135" s="55" cm="1">
        <f t="array" ref="F135">IF(Settings!$E$15="POINTS",E135-VLOOKUP(B$2,C1:E210,3,FALSE),J135)</f>
        <v>-7.7005831606548494</v>
      </c>
      <c r="G135" s="55"/>
      <c r="H135" s="166" cm="1">
        <f t="array" ref="H135">RANK(I135,I3:I210)</f>
        <v>132</v>
      </c>
      <c r="I135" s="167" cm="1">
        <f t="array" ref="I135">VLOOKUP(A135,'Standard Deviations'!A1:C672,3,FALSE)</f>
        <v>-0.8061975162650401</v>
      </c>
      <c r="J135" s="167" cm="1">
        <f t="array" ref="J135">I135-VLOOKUP(B$2,H1:J210,2,FALSE)</f>
        <v>-7.7005831606548494</v>
      </c>
    </row>
    <row r="136" spans="1:10" ht="21.25" customHeight="1" x14ac:dyDescent="0.15">
      <c r="A136" s="10" t="s">
        <v>644</v>
      </c>
      <c r="B136" s="93" t="str" cm="1">
        <f t="array" ref="B136">VLOOKUP(A136,'The List'!B1:D671,3,FALSE)</f>
        <v>C,LW</v>
      </c>
      <c r="C136" s="94" cm="1">
        <f t="array" ref="C136">IF(Settings!$E$15="POINTS",RANK(E136,E3:E210),H136)</f>
        <v>149</v>
      </c>
      <c r="D136" s="18" t="str" cm="1">
        <f t="array" ref="D136">VLOOKUP(A136,'The List'!B1:F671,5,FALSE)</f>
        <v>TOR</v>
      </c>
      <c r="E136" s="55" cm="1">
        <f t="array" ref="E136">VLOOKUP(A136,'The List'!B1:I671,8,FALSE)</f>
        <v>-1.2401911603977114</v>
      </c>
      <c r="F136" s="55" cm="1">
        <f t="array" ref="F136">IF(Settings!$E$15="POINTS",E136-VLOOKUP(B$2,C1:E210,3,FALSE),J136)</f>
        <v>-8.1345768047875211</v>
      </c>
      <c r="G136" s="55"/>
      <c r="H136" s="166" cm="1">
        <f t="array" ref="H136">RANK(I136,I3:I210)</f>
        <v>149</v>
      </c>
      <c r="I136" s="167" cm="1">
        <f t="array" ref="I136">VLOOKUP(A136,'Standard Deviations'!A1:C672,3,FALSE)</f>
        <v>-1.2401911603977114</v>
      </c>
      <c r="J136" s="167" cm="1">
        <f t="array" ref="J136">I136-VLOOKUP(B$2,H1:J210,2,FALSE)</f>
        <v>-8.1345768047875211</v>
      </c>
    </row>
    <row r="137" spans="1:10" ht="21.25" customHeight="1" x14ac:dyDescent="0.15">
      <c r="A137" s="10" t="s">
        <v>634</v>
      </c>
      <c r="B137" s="93" t="str" cm="1">
        <f t="array" ref="B137">VLOOKUP(A137,'The List'!B1:D671,3,FALSE)</f>
        <v>LW,RW</v>
      </c>
      <c r="C137" s="94" cm="1">
        <f t="array" ref="C137">IF(Settings!$E$15="POINTS",RANK(E137,E3:E210),H137)</f>
        <v>111</v>
      </c>
      <c r="D137" s="18" t="str" cm="1">
        <f t="array" ref="D137">VLOOKUP(A137,'The List'!B1:F671,5,FALSE)</f>
        <v>CAR</v>
      </c>
      <c r="E137" s="55" cm="1">
        <f t="array" ref="E137">VLOOKUP(A137,'The List'!B1:I671,8,FALSE)</f>
        <v>-5.7966698950750795E-2</v>
      </c>
      <c r="F137" s="55" cm="1">
        <f t="array" ref="F137">IF(Settings!$E$15="POINTS",E137-VLOOKUP(B$2,C1:E210,3,FALSE),J137)</f>
        <v>-6.9523523433405607</v>
      </c>
      <c r="G137" s="55"/>
      <c r="H137" s="166" cm="1">
        <f t="array" ref="H137">RANK(I137,I3:I210)</f>
        <v>111</v>
      </c>
      <c r="I137" s="167" cm="1">
        <f t="array" ref="I137">VLOOKUP(A137,'Standard Deviations'!A1:C672,3,FALSE)</f>
        <v>-5.7966698950750795E-2</v>
      </c>
      <c r="J137" s="167" cm="1">
        <f t="array" ref="J137">I137-VLOOKUP(B$2,H1:J210,2,FALSE)</f>
        <v>-6.9523523433405607</v>
      </c>
    </row>
    <row r="138" spans="1:10" ht="21.25" customHeight="1" x14ac:dyDescent="0.15">
      <c r="A138" s="10" t="s">
        <v>646</v>
      </c>
      <c r="B138" s="93" t="str" cm="1">
        <f t="array" ref="B138">VLOOKUP(A138,'The List'!B1:D671,3,FALSE)</f>
        <v>C,LW</v>
      </c>
      <c r="C138" s="94" cm="1">
        <f t="array" ref="C138">IF(Settings!$E$15="POINTS",RANK(E138,E3:E210),H138)</f>
        <v>87</v>
      </c>
      <c r="D138" s="18" t="str" cm="1">
        <f t="array" ref="D138">VLOOKUP(A138,'The List'!B1:F671,5,FALSE)</f>
        <v>COL</v>
      </c>
      <c r="E138" s="55" cm="1">
        <f t="array" ref="E138">VLOOKUP(A138,'The List'!B1:I671,8,FALSE)</f>
        <v>1.1407932374886602</v>
      </c>
      <c r="F138" s="55" cm="1">
        <f t="array" ref="F138">IF(Settings!$E$15="POINTS",E138-VLOOKUP(B$2,C1:E210,3,FALSE),J138)</f>
        <v>-5.7535924069011495</v>
      </c>
      <c r="G138" s="55"/>
      <c r="H138" s="166" cm="1">
        <f t="array" ref="H138">RANK(I138,I3:I210)</f>
        <v>87</v>
      </c>
      <c r="I138" s="167" cm="1">
        <f t="array" ref="I138">VLOOKUP(A138,'Standard Deviations'!A1:C672,3,FALSE)</f>
        <v>1.1407932374886602</v>
      </c>
      <c r="J138" s="167" cm="1">
        <f t="array" ref="J138">I138-VLOOKUP(B$2,H1:J210,2,FALSE)</f>
        <v>-5.7535924069011495</v>
      </c>
    </row>
    <row r="139" spans="1:10" ht="21.25" customHeight="1" x14ac:dyDescent="0.15">
      <c r="A139" s="10" t="s">
        <v>647</v>
      </c>
      <c r="B139" s="93" t="str" cm="1">
        <f t="array" ref="B139">VLOOKUP(A139,'The List'!B1:D671,3,FALSE)</f>
        <v>C,LW</v>
      </c>
      <c r="C139" s="94" cm="1">
        <f t="array" ref="C139">IF(Settings!$E$15="POINTS",RANK(E139,E3:E210),H139)</f>
        <v>200</v>
      </c>
      <c r="D139" s="18" t="str" cm="1">
        <f t="array" ref="D139">VLOOKUP(A139,'The List'!B1:F671,5,FALSE)</f>
        <v>SEA</v>
      </c>
      <c r="E139" s="55" cm="1">
        <f t="array" ref="E139">VLOOKUP(A139,'The List'!B1:I671,8,FALSE)</f>
        <v>-4.228311474752303</v>
      </c>
      <c r="F139" s="55" cm="1">
        <f t="array" ref="F139">IF(Settings!$E$15="POINTS",E139-VLOOKUP(B$2,C1:E210,3,FALSE),J139)</f>
        <v>-11.122697119142114</v>
      </c>
      <c r="G139" s="55"/>
      <c r="H139" s="166" cm="1">
        <f t="array" ref="H139">RANK(I139,I3:I210)</f>
        <v>200</v>
      </c>
      <c r="I139" s="167" cm="1">
        <f t="array" ref="I139">VLOOKUP(A139,'Standard Deviations'!A1:C672,3,FALSE)</f>
        <v>-4.228311474752303</v>
      </c>
      <c r="J139" s="167" cm="1">
        <f t="array" ref="J139">I139-VLOOKUP(B$2,H1:J210,2,FALSE)</f>
        <v>-11.122697119142114</v>
      </c>
    </row>
    <row r="140" spans="1:10" ht="21.25" customHeight="1" x14ac:dyDescent="0.15">
      <c r="A140" s="10" t="s">
        <v>645</v>
      </c>
      <c r="B140" s="93" t="str" cm="1">
        <f t="array" ref="B140">VLOOKUP(A140,'The List'!B1:D671,3,FALSE)</f>
        <v>LW,RW</v>
      </c>
      <c r="C140" s="94" cm="1">
        <f t="array" ref="C140">IF(Settings!$E$15="POINTS",RANK(E140,E3:E210),H140)</f>
        <v>150</v>
      </c>
      <c r="D140" s="18" t="str" cm="1">
        <f t="array" ref="D140">VLOOKUP(A140,'The List'!B1:F671,5,FALSE)</f>
        <v>VGK</v>
      </c>
      <c r="E140" s="55" cm="1">
        <f t="array" ref="E140">VLOOKUP(A140,'The List'!B1:I671,8,FALSE)</f>
        <v>-1.2575447680183016</v>
      </c>
      <c r="F140" s="55" cm="1">
        <f t="array" ref="F140">IF(Settings!$E$15="POINTS",E140-VLOOKUP(B$2,C1:E210,3,FALSE),J140)</f>
        <v>-8.1519304124081113</v>
      </c>
      <c r="G140" s="55"/>
      <c r="H140" s="166" cm="1">
        <f t="array" ref="H140">RANK(I140,I3:I210)</f>
        <v>150</v>
      </c>
      <c r="I140" s="167" cm="1">
        <f t="array" ref="I140">VLOOKUP(A140,'Standard Deviations'!A1:C672,3,FALSE)</f>
        <v>-1.2575447680183016</v>
      </c>
      <c r="J140" s="167" cm="1">
        <f t="array" ref="J140">I140-VLOOKUP(B$2,H1:J210,2,FALSE)</f>
        <v>-8.1519304124081113</v>
      </c>
    </row>
    <row r="141" spans="1:10" ht="21.25" customHeight="1" x14ac:dyDescent="0.15">
      <c r="A141" s="10" t="s">
        <v>657</v>
      </c>
      <c r="B141" s="93" t="str" cm="1">
        <f t="array" ref="B141">VLOOKUP(A141,'The List'!B1:D671,3,FALSE)</f>
        <v>C,LW</v>
      </c>
      <c r="C141" s="94" cm="1">
        <f t="array" ref="C141">IF(Settings!$E$15="POINTS",RANK(E141,E3:E210),H141)</f>
        <v>148</v>
      </c>
      <c r="D141" s="18" t="str" cm="1">
        <f t="array" ref="D141">VLOOKUP(A141,'The List'!B1:F671,5,FALSE)</f>
        <v>L.A</v>
      </c>
      <c r="E141" s="55" cm="1">
        <f t="array" ref="E141">VLOOKUP(A141,'The List'!B1:I671,8,FALSE)</f>
        <v>-1.2296359703829536</v>
      </c>
      <c r="F141" s="55" cm="1">
        <f t="array" ref="F141">IF(Settings!$E$15="POINTS",E141-VLOOKUP(B$2,C1:E210,3,FALSE),J141)</f>
        <v>-8.1240216147727633</v>
      </c>
      <c r="G141" s="55"/>
      <c r="H141" s="166" cm="1">
        <f t="array" ref="H141">RANK(I141,I3:I210)</f>
        <v>148</v>
      </c>
      <c r="I141" s="167" cm="1">
        <f t="array" ref="I141">VLOOKUP(A141,'Standard Deviations'!A1:C672,3,FALSE)</f>
        <v>-1.2296359703829536</v>
      </c>
      <c r="J141" s="167" cm="1">
        <f t="array" ref="J141">I141-VLOOKUP(B$2,H1:J210,2,FALSE)</f>
        <v>-8.1240216147727633</v>
      </c>
    </row>
    <row r="142" spans="1:10" ht="21.25" customHeight="1" x14ac:dyDescent="0.15">
      <c r="A142" s="10" t="s">
        <v>649</v>
      </c>
      <c r="B142" s="93" t="str" cm="1">
        <f t="array" ref="B142">VLOOKUP(A142,'The List'!B1:D671,3,FALSE)</f>
        <v>LW,RW</v>
      </c>
      <c r="C142" s="94" cm="1">
        <f t="array" ref="C142">IF(Settings!$E$15="POINTS",RANK(E142,E3:E210),H142)</f>
        <v>128</v>
      </c>
      <c r="D142" s="18" t="str" cm="1">
        <f t="array" ref="D142">VLOOKUP(A142,'The List'!B1:F671,5,FALSE)</f>
        <v>T.B</v>
      </c>
      <c r="E142" s="55" cm="1">
        <f t="array" ref="E142">VLOOKUP(A142,'The List'!B1:I671,8,FALSE)</f>
        <v>-0.63208882888598561</v>
      </c>
      <c r="F142" s="55" cm="1">
        <f t="array" ref="F142">IF(Settings!$E$15="POINTS",E142-VLOOKUP(B$2,C1:E210,3,FALSE),J142)</f>
        <v>-7.5264744732757958</v>
      </c>
      <c r="G142" s="55"/>
      <c r="H142" s="166" cm="1">
        <f t="array" ref="H142">RANK(I142,I3:I210)</f>
        <v>128</v>
      </c>
      <c r="I142" s="167" cm="1">
        <f t="array" ref="I142">VLOOKUP(A142,'Standard Deviations'!A1:C672,3,FALSE)</f>
        <v>-0.63208882888598561</v>
      </c>
      <c r="J142" s="167" cm="1">
        <f t="array" ref="J142">I142-VLOOKUP(B$2,H1:J210,2,FALSE)</f>
        <v>-7.5264744732757958</v>
      </c>
    </row>
    <row r="143" spans="1:10" ht="21.25" customHeight="1" x14ac:dyDescent="0.15">
      <c r="A143" s="10" t="s">
        <v>663</v>
      </c>
      <c r="B143" s="93" t="str" cm="1">
        <f t="array" ref="B143">VLOOKUP(A143,'The List'!B1:D671,3,FALSE)</f>
        <v>C,LW</v>
      </c>
      <c r="C143" s="94" cm="1">
        <f t="array" ref="C143">IF(Settings!$E$15="POINTS",RANK(E143,E3:E210),H143)</f>
        <v>94</v>
      </c>
      <c r="D143" s="18" t="str" cm="1">
        <f t="array" ref="D143">VLOOKUP(A143,'The List'!B1:F671,5,FALSE)</f>
        <v>DAL</v>
      </c>
      <c r="E143" s="55" cm="1">
        <f t="array" ref="E143">VLOOKUP(A143,'The List'!B1:I671,8,FALSE)</f>
        <v>0.71433347191421137</v>
      </c>
      <c r="F143" s="55" cm="1">
        <f t="array" ref="F143">IF(Settings!$E$15="POINTS",E143-VLOOKUP(B$2,C1:E210,3,FALSE),J143)</f>
        <v>-6.1800521724755981</v>
      </c>
      <c r="G143" s="55"/>
      <c r="H143" s="166" cm="1">
        <f t="array" ref="H143">RANK(I143,I3:I210)</f>
        <v>94</v>
      </c>
      <c r="I143" s="167" cm="1">
        <f t="array" ref="I143">VLOOKUP(A143,'Standard Deviations'!A1:C672,3,FALSE)</f>
        <v>0.71433347191421137</v>
      </c>
      <c r="J143" s="167" cm="1">
        <f t="array" ref="J143">I143-VLOOKUP(B$2,H1:J210,2,FALSE)</f>
        <v>-6.1800521724755981</v>
      </c>
    </row>
    <row r="144" spans="1:10" ht="21.25" customHeight="1" x14ac:dyDescent="0.15">
      <c r="A144" s="10" t="s">
        <v>665</v>
      </c>
      <c r="B144" s="93" t="str" cm="1">
        <f t="array" ref="B144">VLOOKUP(A144,'The List'!B1:D671,3,FALSE)</f>
        <v>C,LW</v>
      </c>
      <c r="C144" s="94" cm="1">
        <f t="array" ref="C144">IF(Settings!$E$15="POINTS",RANK(E144,E3:E210),H144)</f>
        <v>102</v>
      </c>
      <c r="D144" s="18" t="str" cm="1">
        <f t="array" ref="D144">VLOOKUP(A144,'The List'!B1:F671,5,FALSE)</f>
        <v>T.B</v>
      </c>
      <c r="E144" s="55" cm="1">
        <f t="array" ref="E144">VLOOKUP(A144,'The List'!B1:I671,8,FALSE)</f>
        <v>4.9254592597852698E-2</v>
      </c>
      <c r="F144" s="55" cm="1">
        <f t="array" ref="F144">IF(Settings!$E$15="POINTS",E144-VLOOKUP(B$2,C1:E210,3,FALSE),J144)</f>
        <v>-6.8451310517919568</v>
      </c>
      <c r="G144" s="55"/>
      <c r="H144" s="166" cm="1">
        <f t="array" ref="H144">RANK(I144,I3:I210)</f>
        <v>102</v>
      </c>
      <c r="I144" s="167" cm="1">
        <f t="array" ref="I144">VLOOKUP(A144,'Standard Deviations'!A1:C672,3,FALSE)</f>
        <v>4.9254592597852698E-2</v>
      </c>
      <c r="J144" s="167" cm="1">
        <f t="array" ref="J144">I144-VLOOKUP(B$2,H1:J210,2,FALSE)</f>
        <v>-6.8451310517919568</v>
      </c>
    </row>
    <row r="145" spans="1:10" ht="21.25" customHeight="1" x14ac:dyDescent="0.15">
      <c r="A145" s="10" t="s">
        <v>668</v>
      </c>
      <c r="B145" s="93" t="str" cm="1">
        <f t="array" ref="B145">VLOOKUP(A145,'The List'!B1:D671,3,FALSE)</f>
        <v>LW</v>
      </c>
      <c r="C145" s="94" cm="1">
        <f t="array" ref="C145">IF(Settings!$E$15="POINTS",RANK(E145,E3:E210),H145)</f>
        <v>159</v>
      </c>
      <c r="D145" s="18" t="str" cm="1">
        <f t="array" ref="D145">VLOOKUP(A145,'The List'!B1:F671,5,FALSE)</f>
        <v>BOS</v>
      </c>
      <c r="E145" s="55" cm="1">
        <f t="array" ref="E145">VLOOKUP(A145,'The List'!B1:I671,8,FALSE)</f>
        <v>-1.7628096282874823</v>
      </c>
      <c r="F145" s="55" cm="1">
        <f t="array" ref="F145">IF(Settings!$E$15="POINTS",E145-VLOOKUP(B$2,C1:E210,3,FALSE),J145)</f>
        <v>-8.6571952726772921</v>
      </c>
      <c r="G145" s="55"/>
      <c r="H145" s="166" cm="1">
        <f t="array" ref="H145">RANK(I145,I3:I210)</f>
        <v>159</v>
      </c>
      <c r="I145" s="167" cm="1">
        <f t="array" ref="I145">VLOOKUP(A145,'Standard Deviations'!A1:C672,3,FALSE)</f>
        <v>-1.7628096282874823</v>
      </c>
      <c r="J145" s="167" cm="1">
        <f t="array" ref="J145">I145-VLOOKUP(B$2,H1:J210,2,FALSE)</f>
        <v>-8.6571952726772921</v>
      </c>
    </row>
    <row r="146" spans="1:10" ht="21.25" customHeight="1" x14ac:dyDescent="0.15">
      <c r="A146" s="10" t="s">
        <v>669</v>
      </c>
      <c r="B146" s="93" t="str" cm="1">
        <f t="array" ref="B146">VLOOKUP(A146,'The List'!B1:D671,3,FALSE)</f>
        <v>C,LW</v>
      </c>
      <c r="C146" s="94" cm="1">
        <f t="array" ref="C146">IF(Settings!$E$15="POINTS",RANK(E146,E3:E210),H146)</f>
        <v>114</v>
      </c>
      <c r="D146" s="18" t="str" cm="1">
        <f t="array" ref="D146">VLOOKUP(A146,'The List'!B1:F671,5,FALSE)</f>
        <v>WPG</v>
      </c>
      <c r="E146" s="55" cm="1">
        <f t="array" ref="E146">VLOOKUP(A146,'The List'!B1:I671,8,FALSE)</f>
        <v>-0.14917996826040231</v>
      </c>
      <c r="F146" s="55" cm="1">
        <f t="array" ref="F146">IF(Settings!$E$15="POINTS",E146-VLOOKUP(B$2,C1:E210,3,FALSE),J146)</f>
        <v>-7.0435656126502124</v>
      </c>
      <c r="G146" s="55"/>
      <c r="H146" s="166" cm="1">
        <f t="array" ref="H146">RANK(I146,I3:I210)</f>
        <v>114</v>
      </c>
      <c r="I146" s="167" cm="1">
        <f t="array" ref="I146">VLOOKUP(A146,'Standard Deviations'!A1:C672,3,FALSE)</f>
        <v>-0.14917996826040231</v>
      </c>
      <c r="J146" s="167" cm="1">
        <f t="array" ref="J146">I146-VLOOKUP(B$2,H1:J210,2,FALSE)</f>
        <v>-7.0435656126502124</v>
      </c>
    </row>
    <row r="147" spans="1:10" ht="21.25" customHeight="1" x14ac:dyDescent="0.15">
      <c r="A147" s="10" t="s">
        <v>670</v>
      </c>
      <c r="B147" s="93" t="str" cm="1">
        <f t="array" ref="B147">VLOOKUP(A147,'The List'!B1:D671,3,FALSE)</f>
        <v>C,LW</v>
      </c>
      <c r="C147" s="94" cm="1">
        <f t="array" ref="C147">IF(Settings!$E$15="POINTS",RANK(E147,E3:E210),H147)</f>
        <v>193</v>
      </c>
      <c r="D147" s="18" t="str" cm="1">
        <f t="array" ref="D147">VLOOKUP(A147,'The List'!B1:F671,5,FALSE)</f>
        <v>TOR</v>
      </c>
      <c r="E147" s="55" cm="1">
        <f t="array" ref="E147">VLOOKUP(A147,'The List'!B1:I671,8,FALSE)</f>
        <v>-3.5421308083116156</v>
      </c>
      <c r="F147" s="55" cm="1">
        <f t="array" ref="F147">IF(Settings!$E$15="POINTS",E147-VLOOKUP(B$2,C1:E210,3,FALSE),J147)</f>
        <v>-10.436516452701426</v>
      </c>
      <c r="G147" s="55"/>
      <c r="H147" s="166" cm="1">
        <f t="array" ref="H147">RANK(I147,I3:I210)</f>
        <v>193</v>
      </c>
      <c r="I147" s="167" cm="1">
        <f t="array" ref="I147">VLOOKUP(A147,'Standard Deviations'!A1:C672,3,FALSE)</f>
        <v>-3.5421308083116156</v>
      </c>
      <c r="J147" s="167" cm="1">
        <f t="array" ref="J147">I147-VLOOKUP(B$2,H1:J210,2,FALSE)</f>
        <v>-10.436516452701426</v>
      </c>
    </row>
    <row r="148" spans="1:10" ht="21.25" customHeight="1" x14ac:dyDescent="0.15">
      <c r="A148" s="10" t="s">
        <v>676</v>
      </c>
      <c r="B148" s="93" t="str" cm="1">
        <f t="array" ref="B148">VLOOKUP(A148,'The List'!B1:D671,3,FALSE)</f>
        <v>C,LW</v>
      </c>
      <c r="C148" s="94" cm="1">
        <f t="array" ref="C148">IF(Settings!$E$15="POINTS",RANK(E148,E3:E210),H148)</f>
        <v>187</v>
      </c>
      <c r="D148" s="18" t="str" cm="1">
        <f t="array" ref="D148">VLOOKUP(A148,'The List'!B1:F671,5,FALSE)</f>
        <v>BOS</v>
      </c>
      <c r="E148" s="55" cm="1">
        <f t="array" ref="E148">VLOOKUP(A148,'The List'!B1:I671,8,FALSE)</f>
        <v>-3.3694763946567914</v>
      </c>
      <c r="F148" s="55" cm="1">
        <f t="array" ref="F148">IF(Settings!$E$15="POINTS",E148-VLOOKUP(B$2,C1:E210,3,FALSE),J148)</f>
        <v>-10.2638620390466</v>
      </c>
      <c r="G148" s="55"/>
      <c r="H148" s="166" cm="1">
        <f t="array" ref="H148">RANK(I148,I3:I210)</f>
        <v>187</v>
      </c>
      <c r="I148" s="167" cm="1">
        <f t="array" ref="I148">VLOOKUP(A148,'Standard Deviations'!A1:C672,3,FALSE)</f>
        <v>-3.3694763946567914</v>
      </c>
      <c r="J148" s="167" cm="1">
        <f t="array" ref="J148">I148-VLOOKUP(B$2,H1:J210,2,FALSE)</f>
        <v>-10.2638620390466</v>
      </c>
    </row>
    <row r="149" spans="1:10" ht="21.25" customHeight="1" x14ac:dyDescent="0.15">
      <c r="A149" s="10" t="s">
        <v>677</v>
      </c>
      <c r="B149" s="93" t="str" cm="1">
        <f t="array" ref="B149">VLOOKUP(A149,'The List'!B1:D671,3,FALSE)</f>
        <v>C,LW</v>
      </c>
      <c r="C149" s="94" cm="1">
        <f t="array" ref="C149">IF(Settings!$E$15="POINTS",RANK(E149,E3:E210),H149)</f>
        <v>142</v>
      </c>
      <c r="D149" s="18" t="str" cm="1">
        <f t="array" ref="D149">VLOOKUP(A149,'The List'!B1:F671,5,FALSE)</f>
        <v>PIT</v>
      </c>
      <c r="E149" s="55" cm="1">
        <f t="array" ref="E149">VLOOKUP(A149,'The List'!B1:I671,8,FALSE)</f>
        <v>-1.1397600834011909</v>
      </c>
      <c r="F149" s="55" cm="1">
        <f t="array" ref="F149">IF(Settings!$E$15="POINTS",E149-VLOOKUP(B$2,C1:E210,3,FALSE),J149)</f>
        <v>-8.0341457277910013</v>
      </c>
      <c r="G149" s="55"/>
      <c r="H149" s="166" cm="1">
        <f t="array" ref="H149">RANK(I149,I3:I210)</f>
        <v>142</v>
      </c>
      <c r="I149" s="167" cm="1">
        <f t="array" ref="I149">VLOOKUP(A149,'Standard Deviations'!A1:C672,3,FALSE)</f>
        <v>-1.1397600834011909</v>
      </c>
      <c r="J149" s="167" cm="1">
        <f t="array" ref="J149">I149-VLOOKUP(B$2,H1:J210,2,FALSE)</f>
        <v>-8.0341457277910013</v>
      </c>
    </row>
    <row r="150" spans="1:10" ht="21.25" customHeight="1" x14ac:dyDescent="0.15">
      <c r="A150" s="10" t="s">
        <v>681</v>
      </c>
      <c r="B150" s="93" t="str" cm="1">
        <f t="array" ref="B150">VLOOKUP(A150,'The List'!B1:D671,3,FALSE)</f>
        <v>C,LW</v>
      </c>
      <c r="C150" s="94" cm="1">
        <f t="array" ref="C150">IF(Settings!$E$15="POINTS",RANK(E150,E3:E210),H150)</f>
        <v>85</v>
      </c>
      <c r="D150" s="18" t="str" cm="1">
        <f t="array" ref="D150">VLOOKUP(A150,'The List'!B1:F671,5,FALSE)</f>
        <v>UTA</v>
      </c>
      <c r="E150" s="55" cm="1">
        <f t="array" ref="E150">VLOOKUP(A150,'The List'!B1:I671,8,FALSE)</f>
        <v>1.232299799373078</v>
      </c>
      <c r="F150" s="55" cm="1">
        <f t="array" ref="F150">IF(Settings!$E$15="POINTS",E150-VLOOKUP(B$2,C1:E210,3,FALSE),J150)</f>
        <v>-5.6620858450167315</v>
      </c>
      <c r="G150" s="55"/>
      <c r="H150" s="166" cm="1">
        <f t="array" ref="H150">RANK(I150,I3:I210)</f>
        <v>85</v>
      </c>
      <c r="I150" s="167" cm="1">
        <f t="array" ref="I150">VLOOKUP(A150,'Standard Deviations'!A1:C672,3,FALSE)</f>
        <v>1.232299799373078</v>
      </c>
      <c r="J150" s="167" cm="1">
        <f t="array" ref="J150">I150-VLOOKUP(B$2,H1:J210,2,FALSE)</f>
        <v>-5.6620858450167315</v>
      </c>
    </row>
    <row r="151" spans="1:10" ht="21.25" customHeight="1" x14ac:dyDescent="0.15">
      <c r="A151" s="10" t="s">
        <v>671</v>
      </c>
      <c r="B151" s="93" t="str" cm="1">
        <f t="array" ref="B151">VLOOKUP(A151,'The List'!B1:D671,3,FALSE)</f>
        <v>LW,RW</v>
      </c>
      <c r="C151" s="94" cm="1">
        <f t="array" ref="C151">IF(Settings!$E$15="POINTS",RANK(E151,E3:E210),H151)</f>
        <v>156</v>
      </c>
      <c r="D151" s="18" t="str" cm="1">
        <f t="array" ref="D151">VLOOKUP(A151,'The List'!B1:F671,5,FALSE)</f>
        <v>MTL</v>
      </c>
      <c r="E151" s="55" cm="1">
        <f t="array" ref="E151">VLOOKUP(A151,'The List'!B1:I671,8,FALSE)</f>
        <v>-1.7036081245795029</v>
      </c>
      <c r="F151" s="55" cm="1">
        <f t="array" ref="F151">IF(Settings!$E$15="POINTS",E151-VLOOKUP(B$2,C1:E210,3,FALSE),J151)</f>
        <v>-8.597993768969312</v>
      </c>
      <c r="G151" s="55"/>
      <c r="H151" s="166" cm="1">
        <f t="array" ref="H151">RANK(I151,I3:I210)</f>
        <v>156</v>
      </c>
      <c r="I151" s="167" cm="1">
        <f t="array" ref="I151">VLOOKUP(A151,'Standard Deviations'!A1:C672,3,FALSE)</f>
        <v>-1.7036081245795029</v>
      </c>
      <c r="J151" s="167" cm="1">
        <f t="array" ref="J151">I151-VLOOKUP(B$2,H1:J210,2,FALSE)</f>
        <v>-8.597993768969312</v>
      </c>
    </row>
    <row r="152" spans="1:10" ht="21.25" customHeight="1" x14ac:dyDescent="0.15">
      <c r="A152" s="10" t="s">
        <v>682</v>
      </c>
      <c r="B152" s="93" t="str" cm="1">
        <f t="array" ref="B152">VLOOKUP(A152,'The List'!B1:D671,3,FALSE)</f>
        <v>C,LW</v>
      </c>
      <c r="C152" s="94" cm="1">
        <f t="array" ref="C152">IF(Settings!$E$15="POINTS",RANK(E152,E3:E210),H152)</f>
        <v>125</v>
      </c>
      <c r="D152" s="18" t="str" cm="1">
        <f t="array" ref="D152">VLOOKUP(A152,'The List'!B1:F671,5,FALSE)</f>
        <v>BUF</v>
      </c>
      <c r="E152" s="55" cm="1">
        <f t="array" ref="E152">VLOOKUP(A152,'The List'!B1:I671,8,FALSE)</f>
        <v>-0.54275777847077866</v>
      </c>
      <c r="F152" s="55" cm="1">
        <f t="array" ref="F152">IF(Settings!$E$15="POINTS",E152-VLOOKUP(B$2,C1:E210,3,FALSE),J152)</f>
        <v>-7.4371434228605882</v>
      </c>
      <c r="G152" s="55"/>
      <c r="H152" s="166" cm="1">
        <f t="array" ref="H152">RANK(I152,I3:I210)</f>
        <v>125</v>
      </c>
      <c r="I152" s="167" cm="1">
        <f t="array" ref="I152">VLOOKUP(A152,'Standard Deviations'!A1:C672,3,FALSE)</f>
        <v>-0.54275777847077866</v>
      </c>
      <c r="J152" s="167" cm="1">
        <f t="array" ref="J152">I152-VLOOKUP(B$2,H1:J210,2,FALSE)</f>
        <v>-7.4371434228605882</v>
      </c>
    </row>
    <row r="153" spans="1:10" ht="21.25" customHeight="1" x14ac:dyDescent="0.15">
      <c r="A153" s="10" t="s">
        <v>683</v>
      </c>
      <c r="B153" s="93" t="str" cm="1">
        <f t="array" ref="B153">VLOOKUP(A153,'The List'!B1:D671,3,FALSE)</f>
        <v>C,LW</v>
      </c>
      <c r="C153" s="94" cm="1">
        <f t="array" ref="C153">IF(Settings!$E$15="POINTS",RANK(E153,E3:E210),H153)</f>
        <v>133</v>
      </c>
      <c r="D153" s="18" t="str" cm="1">
        <f t="array" ref="D153">VLOOKUP(A153,'The List'!B1:F671,5,FALSE)</f>
        <v>DAL</v>
      </c>
      <c r="E153" s="55" cm="1">
        <f t="array" ref="E153">VLOOKUP(A153,'The List'!B1:I671,8,FALSE)</f>
        <v>-0.83151698307592525</v>
      </c>
      <c r="F153" s="55" cm="1">
        <f t="array" ref="F153">IF(Settings!$E$15="POINTS",E153-VLOOKUP(B$2,C1:E210,3,FALSE),J153)</f>
        <v>-7.725902627465735</v>
      </c>
      <c r="G153" s="55"/>
      <c r="H153" s="166" cm="1">
        <f t="array" ref="H153">RANK(I153,I3:I210)</f>
        <v>133</v>
      </c>
      <c r="I153" s="167" cm="1">
        <f t="array" ref="I153">VLOOKUP(A153,'Standard Deviations'!A1:C672,3,FALSE)</f>
        <v>-0.83151698307592525</v>
      </c>
      <c r="J153" s="167" cm="1">
        <f t="array" ref="J153">I153-VLOOKUP(B$2,H1:J210,2,FALSE)</f>
        <v>-7.725902627465735</v>
      </c>
    </row>
    <row r="154" spans="1:10" ht="21.25" customHeight="1" x14ac:dyDescent="0.15">
      <c r="A154" s="10" t="s">
        <v>675</v>
      </c>
      <c r="B154" s="93" t="str" cm="1">
        <f t="array" ref="B154">VLOOKUP(A154,'The List'!B1:D671,3,FALSE)</f>
        <v>LW,RW</v>
      </c>
      <c r="C154" s="94" cm="1">
        <f t="array" ref="C154">IF(Settings!$E$15="POINTS",RANK(E154,E3:E210),H154)</f>
        <v>175</v>
      </c>
      <c r="D154" s="18" t="str" cm="1">
        <f t="array" ref="D154">VLOOKUP(A154,'The List'!B1:F671,5,FALSE)</f>
        <v>VGK</v>
      </c>
      <c r="E154" s="55" cm="1">
        <f t="array" ref="E154">VLOOKUP(A154,'The List'!B1:I671,8,FALSE)</f>
        <v>-2.7957597946804449</v>
      </c>
      <c r="F154" s="55" cm="1">
        <f t="array" ref="F154">IF(Settings!$E$15="POINTS",E154-VLOOKUP(B$2,C1:E210,3,FALSE),J154)</f>
        <v>-9.6901454390702551</v>
      </c>
      <c r="G154" s="55"/>
      <c r="H154" s="166" cm="1">
        <f t="array" ref="H154">RANK(I154,I3:I210)</f>
        <v>175</v>
      </c>
      <c r="I154" s="167" cm="1">
        <f t="array" ref="I154">VLOOKUP(A154,'Standard Deviations'!A1:C672,3,FALSE)</f>
        <v>-2.7957597946804449</v>
      </c>
      <c r="J154" s="167" cm="1">
        <f t="array" ref="J154">I154-VLOOKUP(B$2,H1:J210,2,FALSE)</f>
        <v>-9.6901454390702551</v>
      </c>
    </row>
    <row r="155" spans="1:10" ht="21.25" customHeight="1" x14ac:dyDescent="0.15">
      <c r="A155" s="10" t="s">
        <v>679</v>
      </c>
      <c r="B155" s="93" t="str" cm="1">
        <f t="array" ref="B155">VLOOKUP(A155,'The List'!B1:D671,3,FALSE)</f>
        <v>LW,RW</v>
      </c>
      <c r="C155" s="94" cm="1">
        <f t="array" ref="C155">IF(Settings!$E$15="POINTS",RANK(E155,E3:E210),H155)</f>
        <v>201</v>
      </c>
      <c r="D155" s="18" t="str" cm="1">
        <f t="array" ref="D155">VLOOKUP(A155,'The List'!B1:F671,5,FALSE)</f>
        <v>STL</v>
      </c>
      <c r="E155" s="55" cm="1">
        <f t="array" ref="E155">VLOOKUP(A155,'The List'!B1:I671,8,FALSE)</f>
        <v>-4.5401849625870749</v>
      </c>
      <c r="F155" s="55" cm="1">
        <f t="array" ref="F155">IF(Settings!$E$15="POINTS",E155-VLOOKUP(B$2,C1:E210,3,FALSE),J155)</f>
        <v>-11.434570606976884</v>
      </c>
      <c r="G155" s="55"/>
      <c r="H155" s="166" cm="1">
        <f t="array" ref="H155">RANK(I155,I3:I210)</f>
        <v>201</v>
      </c>
      <c r="I155" s="167" cm="1">
        <f t="array" ref="I155">VLOOKUP(A155,'Standard Deviations'!A1:C672,3,FALSE)</f>
        <v>-4.5401849625870749</v>
      </c>
      <c r="J155" s="167" cm="1">
        <f t="array" ref="J155">I155-VLOOKUP(B$2,H1:J210,2,FALSE)</f>
        <v>-11.434570606976884</v>
      </c>
    </row>
    <row r="156" spans="1:10" ht="21.25" customHeight="1" x14ac:dyDescent="0.15">
      <c r="A156" s="10" t="s">
        <v>680</v>
      </c>
      <c r="B156" s="93" t="str" cm="1">
        <f t="array" ref="B156">VLOOKUP(A156,'The List'!B1:D671,3,FALSE)</f>
        <v>LW,RW</v>
      </c>
      <c r="C156" s="94" cm="1">
        <f t="array" ref="C156">IF(Settings!$E$15="POINTS",RANK(E156,E3:E210),H156)</f>
        <v>130</v>
      </c>
      <c r="D156" s="18" t="str" cm="1">
        <f t="array" ref="D156">VLOOKUP(A156,'The List'!B1:F671,5,FALSE)</f>
        <v>WPG</v>
      </c>
      <c r="E156" s="55" cm="1">
        <f t="array" ref="E156">VLOOKUP(A156,'The List'!B1:I671,8,FALSE)</f>
        <v>-0.66577269043066101</v>
      </c>
      <c r="F156" s="55" cm="1">
        <f t="array" ref="F156">IF(Settings!$E$15="POINTS",E156-VLOOKUP(B$2,C1:E210,3,FALSE),J156)</f>
        <v>-7.5601583348204704</v>
      </c>
      <c r="G156" s="55"/>
      <c r="H156" s="166" cm="1">
        <f t="array" ref="H156">RANK(I156,I3:I210)</f>
        <v>130</v>
      </c>
      <c r="I156" s="167" cm="1">
        <f t="array" ref="I156">VLOOKUP(A156,'Standard Deviations'!A1:C672,3,FALSE)</f>
        <v>-0.66577269043066101</v>
      </c>
      <c r="J156" s="167" cm="1">
        <f t="array" ref="J156">I156-VLOOKUP(B$2,H1:J210,2,FALSE)</f>
        <v>-7.5601583348204704</v>
      </c>
    </row>
    <row r="157" spans="1:10" ht="21.25" customHeight="1" x14ac:dyDescent="0.15">
      <c r="A157" s="10" t="s">
        <v>685</v>
      </c>
      <c r="B157" s="93" t="str" cm="1">
        <f t="array" ref="B157">VLOOKUP(A157,'The List'!B1:D671,3,FALSE)</f>
        <v>LW</v>
      </c>
      <c r="C157" s="94" cm="1">
        <f t="array" ref="C157">IF(Settings!$E$15="POINTS",RANK(E157,E3:E210),H157)</f>
        <v>206</v>
      </c>
      <c r="D157" s="18" t="str" cm="1">
        <f t="array" ref="D157">VLOOKUP(A157,'The List'!B1:F671,5,FALSE)</f>
        <v>VAN</v>
      </c>
      <c r="E157" s="55" cm="1">
        <f t="array" ref="E157">VLOOKUP(A157,'The List'!B1:I671,8,FALSE)</f>
        <v>-5.1296216368504419</v>
      </c>
      <c r="F157" s="55" cm="1">
        <f t="array" ref="F157">IF(Settings!$E$15="POINTS",E157-VLOOKUP(B$2,C1:E210,3,FALSE),J157)</f>
        <v>-12.024007281240252</v>
      </c>
      <c r="G157" s="55"/>
      <c r="H157" s="166" cm="1">
        <f t="array" ref="H157">RANK(I157,I3:I210)</f>
        <v>206</v>
      </c>
      <c r="I157" s="167" cm="1">
        <f t="array" ref="I157">VLOOKUP(A157,'Standard Deviations'!A1:C672,3,FALSE)</f>
        <v>-5.1296216368504419</v>
      </c>
      <c r="J157" s="167" cm="1">
        <f t="array" ref="J157">I157-VLOOKUP(B$2,H1:J210,2,FALSE)</f>
        <v>-12.024007281240252</v>
      </c>
    </row>
    <row r="158" spans="1:10" ht="21.25" customHeight="1" x14ac:dyDescent="0.15">
      <c r="A158" s="10" t="s">
        <v>689</v>
      </c>
      <c r="B158" s="93" t="str" cm="1">
        <f t="array" ref="B158">VLOOKUP(A158,'The List'!B1:D671,3,FALSE)</f>
        <v>LW</v>
      </c>
      <c r="C158" s="94" cm="1">
        <f t="array" ref="C158">IF(Settings!$E$15="POINTS",RANK(E158,E3:E210),H158)</f>
        <v>137</v>
      </c>
      <c r="D158" s="18" t="str" cm="1">
        <f t="array" ref="D158">VLOOKUP(A158,'The List'!B1:F671,5,FALSE)</f>
        <v>UTA</v>
      </c>
      <c r="E158" s="55" cm="1">
        <f t="array" ref="E158">VLOOKUP(A158,'The List'!B1:I671,8,FALSE)</f>
        <v>-1.0074437014506903</v>
      </c>
      <c r="F158" s="55" cm="1">
        <f t="array" ref="F158">IF(Settings!$E$15="POINTS",E158-VLOOKUP(B$2,C1:E210,3,FALSE),J158)</f>
        <v>-7.9018293458405005</v>
      </c>
      <c r="G158" s="55"/>
      <c r="H158" s="166" cm="1">
        <f t="array" ref="H158">RANK(I158,I3:I210)</f>
        <v>137</v>
      </c>
      <c r="I158" s="167" cm="1">
        <f t="array" ref="I158">VLOOKUP(A158,'Standard Deviations'!A1:C672,3,FALSE)</f>
        <v>-1.0074437014506903</v>
      </c>
      <c r="J158" s="167" cm="1">
        <f t="array" ref="J158">I158-VLOOKUP(B$2,H1:J210,2,FALSE)</f>
        <v>-7.9018293458405005</v>
      </c>
    </row>
    <row r="159" spans="1:10" ht="21.25" customHeight="1" x14ac:dyDescent="0.15">
      <c r="A159" s="10" t="s">
        <v>691</v>
      </c>
      <c r="B159" s="93" t="str" cm="1">
        <f t="array" ref="B159">VLOOKUP(A159,'The List'!B1:D671,3,FALSE)</f>
        <v>LW</v>
      </c>
      <c r="C159" s="94" cm="1">
        <f t="array" ref="C159">IF(Settings!$E$15="POINTS",RANK(E159,E3:E210),H159)</f>
        <v>170</v>
      </c>
      <c r="D159" s="18" t="str" cm="1">
        <f t="array" ref="D159">VLOOKUP(A159,'The List'!B1:F671,5,FALSE)</f>
        <v>PHI</v>
      </c>
      <c r="E159" s="55" cm="1">
        <f t="array" ref="E159">VLOOKUP(A159,'The List'!B1:I671,8,FALSE)</f>
        <v>-2.542348297564009</v>
      </c>
      <c r="F159" s="55" cm="1">
        <f t="array" ref="F159">IF(Settings!$E$15="POINTS",E159-VLOOKUP(B$2,C1:E210,3,FALSE),J159)</f>
        <v>-9.4367339419538183</v>
      </c>
      <c r="G159" s="55"/>
      <c r="H159" s="166" cm="1">
        <f t="array" ref="H159">RANK(I159,I3:I210)</f>
        <v>170</v>
      </c>
      <c r="I159" s="167" cm="1">
        <f t="array" ref="I159">VLOOKUP(A159,'Standard Deviations'!A1:C672,3,FALSE)</f>
        <v>-2.542348297564009</v>
      </c>
      <c r="J159" s="167" cm="1">
        <f t="array" ref="J159">I159-VLOOKUP(B$2,H1:J210,2,FALSE)</f>
        <v>-9.4367339419538183</v>
      </c>
    </row>
    <row r="160" spans="1:10" ht="21.25" customHeight="1" x14ac:dyDescent="0.15">
      <c r="A160" s="10" t="s">
        <v>695</v>
      </c>
      <c r="B160" s="93" t="str" cm="1">
        <f t="array" ref="B160">VLOOKUP(A160,'The List'!B1:D671,3,FALSE)</f>
        <v>C,LW</v>
      </c>
      <c r="C160" s="94" cm="1">
        <f t="array" ref="C160">IF(Settings!$E$15="POINTS",RANK(E160,E3:E210),H160)</f>
        <v>174</v>
      </c>
      <c r="D160" s="18" t="str" cm="1">
        <f t="array" ref="D160">VLOOKUP(A160,'The List'!B1:F671,5,FALSE)</f>
        <v>WPG</v>
      </c>
      <c r="E160" s="55" cm="1">
        <f t="array" ref="E160">VLOOKUP(A160,'The List'!B1:I671,8,FALSE)</f>
        <v>-2.7521995623433098</v>
      </c>
      <c r="F160" s="55" cm="1">
        <f t="array" ref="F160">IF(Settings!$E$15="POINTS",E160-VLOOKUP(B$2,C1:E210,3,FALSE),J160)</f>
        <v>-9.6465852067331195</v>
      </c>
      <c r="G160" s="55"/>
      <c r="H160" s="166" cm="1">
        <f t="array" ref="H160">RANK(I160,I3:I210)</f>
        <v>174</v>
      </c>
      <c r="I160" s="167" cm="1">
        <f t="array" ref="I160">VLOOKUP(A160,'Standard Deviations'!A1:C672,3,FALSE)</f>
        <v>-2.7521995623433098</v>
      </c>
      <c r="J160" s="167" cm="1">
        <f t="array" ref="J160">I160-VLOOKUP(B$2,H1:J210,2,FALSE)</f>
        <v>-9.6465852067331195</v>
      </c>
    </row>
    <row r="161" spans="1:10" ht="21.25" customHeight="1" x14ac:dyDescent="0.15">
      <c r="A161" s="10" t="s">
        <v>697</v>
      </c>
      <c r="B161" s="93" t="str" cm="1">
        <f t="array" ref="B161">VLOOKUP(A161,'The List'!B1:D671,3,FALSE)</f>
        <v>C,LW</v>
      </c>
      <c r="C161" s="94" cm="1">
        <f t="array" ref="C161">IF(Settings!$E$15="POINTS",RANK(E161,E3:E210),H161)</f>
        <v>186</v>
      </c>
      <c r="D161" s="18" t="str" cm="1">
        <f t="array" ref="D161">VLOOKUP(A161,'The List'!B1:F671,5,FALSE)</f>
        <v>DET</v>
      </c>
      <c r="E161" s="55" cm="1">
        <f t="array" ref="E161">VLOOKUP(A161,'The List'!B1:I671,8,FALSE)</f>
        <v>-3.2939768033201537</v>
      </c>
      <c r="F161" s="55" cm="1">
        <f t="array" ref="F161">IF(Settings!$E$15="POINTS",E161-VLOOKUP(B$2,C1:E210,3,FALSE),J161)</f>
        <v>-10.188362447709963</v>
      </c>
      <c r="G161" s="55"/>
      <c r="H161" s="166" cm="1">
        <f t="array" ref="H161">RANK(I161,I3:I210)</f>
        <v>186</v>
      </c>
      <c r="I161" s="167" cm="1">
        <f t="array" ref="I161">VLOOKUP(A161,'Standard Deviations'!A1:C672,3,FALSE)</f>
        <v>-3.2939768033201537</v>
      </c>
      <c r="J161" s="167" cm="1">
        <f t="array" ref="J161">I161-VLOOKUP(B$2,H1:J210,2,FALSE)</f>
        <v>-10.188362447709963</v>
      </c>
    </row>
    <row r="162" spans="1:10" ht="21.25" customHeight="1" x14ac:dyDescent="0.15">
      <c r="A162" s="10" t="s">
        <v>698</v>
      </c>
      <c r="B162" s="93" t="str" cm="1">
        <f t="array" ref="B162">VLOOKUP(A162,'The List'!B1:D671,3,FALSE)</f>
        <v>LW</v>
      </c>
      <c r="C162" s="94" cm="1">
        <f t="array" ref="C162">IF(Settings!$E$15="POINTS",RANK(E162,E3:E210),H162)</f>
        <v>177</v>
      </c>
      <c r="D162" s="18" t="str" cm="1">
        <f t="array" ref="D162">VLOOKUP(A162,'The List'!B1:F671,5,FALSE)</f>
        <v>CHI</v>
      </c>
      <c r="E162" s="55" cm="1">
        <f t="array" ref="E162">VLOOKUP(A162,'The List'!B1:I671,8,FALSE)</f>
        <v>-2.8368711303940675</v>
      </c>
      <c r="F162" s="55" cm="1">
        <f t="array" ref="F162">IF(Settings!$E$15="POINTS",E162-VLOOKUP(B$2,C1:E210,3,FALSE),J162)</f>
        <v>-9.7312567747838763</v>
      </c>
      <c r="G162" s="55"/>
      <c r="H162" s="166" cm="1">
        <f t="array" ref="H162">RANK(I162,I3:I210)</f>
        <v>177</v>
      </c>
      <c r="I162" s="167" cm="1">
        <f t="array" ref="I162">VLOOKUP(A162,'Standard Deviations'!A1:C672,3,FALSE)</f>
        <v>-2.8368711303940675</v>
      </c>
      <c r="J162" s="167" cm="1">
        <f t="array" ref="J162">I162-VLOOKUP(B$2,H1:J210,2,FALSE)</f>
        <v>-9.7312567747838763</v>
      </c>
    </row>
    <row r="163" spans="1:10" ht="21.25" customHeight="1" x14ac:dyDescent="0.15">
      <c r="A163" s="10" t="s">
        <v>700</v>
      </c>
      <c r="B163" s="93" t="str" cm="1">
        <f t="array" ref="B163">VLOOKUP(A163,'The List'!B1:D671,3,FALSE)</f>
        <v>LW</v>
      </c>
      <c r="C163" s="94" cm="1">
        <f t="array" ref="C163">IF(Settings!$E$15="POINTS",RANK(E163,E3:E210),H163)</f>
        <v>158</v>
      </c>
      <c r="D163" s="18" t="str" cm="1">
        <f t="array" ref="D163">VLOOKUP(A163,'The List'!B1:F671,5,FALSE)</f>
        <v>WSH</v>
      </c>
      <c r="E163" s="55" cm="1">
        <f t="array" ref="E163">VLOOKUP(A163,'The List'!B1:I671,8,FALSE)</f>
        <v>-1.7357624054724721</v>
      </c>
      <c r="F163" s="55" cm="1">
        <f t="array" ref="F163">IF(Settings!$E$15="POINTS",E163-VLOOKUP(B$2,C1:E210,3,FALSE),J163)</f>
        <v>-8.6301480498622816</v>
      </c>
      <c r="G163" s="55"/>
      <c r="H163" s="166" cm="1">
        <f t="array" ref="H163">RANK(I163,I3:I210)</f>
        <v>158</v>
      </c>
      <c r="I163" s="167" cm="1">
        <f t="array" ref="I163">VLOOKUP(A163,'Standard Deviations'!A1:C672,3,FALSE)</f>
        <v>-1.7357624054724721</v>
      </c>
      <c r="J163" s="167" cm="1">
        <f t="array" ref="J163">I163-VLOOKUP(B$2,H1:J210,2,FALSE)</f>
        <v>-8.6301480498622816</v>
      </c>
    </row>
    <row r="164" spans="1:10" ht="21.25" customHeight="1" x14ac:dyDescent="0.15">
      <c r="A164" s="10" t="s">
        <v>702</v>
      </c>
      <c r="B164" s="93" t="str" cm="1">
        <f t="array" ref="B164">VLOOKUP(A164,'The List'!B1:D671,3,FALSE)</f>
        <v>LW</v>
      </c>
      <c r="C164" s="94" cm="1">
        <f t="array" ref="C164">IF(Settings!$E$15="POINTS",RANK(E164,E3:E210),H164)</f>
        <v>161</v>
      </c>
      <c r="D164" s="18" t="str" cm="1">
        <f t="array" ref="D164">VLOOKUP(A164,'The List'!B1:F671,5,FALSE)</f>
        <v>PHI</v>
      </c>
      <c r="E164" s="55" cm="1">
        <f t="array" ref="E164">VLOOKUP(A164,'The List'!B1:I671,8,FALSE)</f>
        <v>-1.9006701707233571</v>
      </c>
      <c r="F164" s="55" cm="1">
        <f t="array" ref="F164">IF(Settings!$E$15="POINTS",E164-VLOOKUP(B$2,C1:E210,3,FALSE),J164)</f>
        <v>-8.7950558151131659</v>
      </c>
      <c r="G164" s="55"/>
      <c r="H164" s="166" cm="1">
        <f t="array" ref="H164">RANK(I164,I3:I210)</f>
        <v>161</v>
      </c>
      <c r="I164" s="167" cm="1">
        <f t="array" ref="I164">VLOOKUP(A164,'Standard Deviations'!A1:C672,3,FALSE)</f>
        <v>-1.9006701707233571</v>
      </c>
      <c r="J164" s="167" cm="1">
        <f t="array" ref="J164">I164-VLOOKUP(B$2,H1:J210,2,FALSE)</f>
        <v>-8.7950558151131659</v>
      </c>
    </row>
    <row r="165" spans="1:10" ht="21.25" customHeight="1" x14ac:dyDescent="0.15">
      <c r="A165" s="10" t="s">
        <v>693</v>
      </c>
      <c r="B165" s="93" t="str" cm="1">
        <f t="array" ref="B165">VLOOKUP(A165,'The List'!B1:D671,3,FALSE)</f>
        <v>C,LW,RW</v>
      </c>
      <c r="C165" s="94" cm="1">
        <f t="array" ref="C165">IF(Settings!$E$15="POINTS",RANK(E165,E3:E210),H165)</f>
        <v>199</v>
      </c>
      <c r="D165" s="18" t="str" cm="1">
        <f t="array" ref="D165">VLOOKUP(A165,'The List'!B1:F671,5,FALSE)</f>
        <v>NSH</v>
      </c>
      <c r="E165" s="55" cm="1">
        <f t="array" ref="E165">VLOOKUP(A165,'The List'!B1:I671,8,FALSE)</f>
        <v>-4.1446360347583466</v>
      </c>
      <c r="F165" s="55" cm="1">
        <f t="array" ref="F165">IF(Settings!$E$15="POINTS",E165-VLOOKUP(B$2,C1:E210,3,FALSE),J165)</f>
        <v>-11.039021679148156</v>
      </c>
      <c r="G165" s="55"/>
      <c r="H165" s="166" cm="1">
        <f t="array" ref="H165">RANK(I165,I3:I210)</f>
        <v>199</v>
      </c>
      <c r="I165" s="167" cm="1">
        <f t="array" ref="I165">VLOOKUP(A165,'Standard Deviations'!A1:C672,3,FALSE)</f>
        <v>-4.1446360347583466</v>
      </c>
      <c r="J165" s="167" cm="1">
        <f t="array" ref="J165">I165-VLOOKUP(B$2,H1:J210,2,FALSE)</f>
        <v>-11.039021679148156</v>
      </c>
    </row>
    <row r="166" spans="1:10" ht="21.25" customHeight="1" x14ac:dyDescent="0.15">
      <c r="A166" s="10" t="s">
        <v>706</v>
      </c>
      <c r="B166" s="93" t="str" cm="1">
        <f t="array" ref="B166">VLOOKUP(A166,'The List'!B1:D671,3,FALSE)</f>
        <v>LW</v>
      </c>
      <c r="C166" s="94" cm="1">
        <f t="array" ref="C166">IF(Settings!$E$15="POINTS",RANK(E166,E3:E210),H166)</f>
        <v>171</v>
      </c>
      <c r="D166" s="18" t="str" cm="1">
        <f t="array" ref="D166">VLOOKUP(A166,'The List'!B1:F671,5,FALSE)</f>
        <v>NSH</v>
      </c>
      <c r="E166" s="55" cm="1">
        <f t="array" ref="E166">VLOOKUP(A166,'The List'!B1:I671,8,FALSE)</f>
        <v>-2.6535354085982439</v>
      </c>
      <c r="F166" s="55" cm="1">
        <f t="array" ref="F166">IF(Settings!$E$15="POINTS",E166-VLOOKUP(B$2,C1:E210,3,FALSE),J166)</f>
        <v>-9.5479210529880536</v>
      </c>
      <c r="G166" s="55"/>
      <c r="H166" s="166" cm="1">
        <f t="array" ref="H166">RANK(I166,I3:I210)</f>
        <v>171</v>
      </c>
      <c r="I166" s="167" cm="1">
        <f t="array" ref="I166">VLOOKUP(A166,'Standard Deviations'!A1:C672,3,FALSE)</f>
        <v>-2.6535354085982439</v>
      </c>
      <c r="J166" s="167" cm="1">
        <f t="array" ref="J166">I166-VLOOKUP(B$2,H1:J210,2,FALSE)</f>
        <v>-9.5479210529880536</v>
      </c>
    </row>
    <row r="167" spans="1:10" ht="21.25" customHeight="1" x14ac:dyDescent="0.15">
      <c r="A167" s="10" t="s">
        <v>714</v>
      </c>
      <c r="B167" s="93" t="str" cm="1">
        <f t="array" ref="B167">VLOOKUP(A167,'The List'!B1:D671,3,FALSE)</f>
        <v>LW</v>
      </c>
      <c r="C167" s="94" cm="1">
        <f t="array" ref="C167">IF(Settings!$E$15="POINTS",RANK(E167,E3:E210),H167)</f>
        <v>134</v>
      </c>
      <c r="D167" s="18" t="str" cm="1">
        <f t="array" ref="D167">VLOOKUP(A167,'The List'!B1:F671,5,FALSE)</f>
        <v>NYR</v>
      </c>
      <c r="E167" s="55" cm="1">
        <f t="array" ref="E167">VLOOKUP(A167,'The List'!B1:I671,8,FALSE)</f>
        <v>-0.86211263915304626</v>
      </c>
      <c r="F167" s="55" cm="1">
        <f t="array" ref="F167">IF(Settings!$E$15="POINTS",E167-VLOOKUP(B$2,C1:E210,3,FALSE),J167)</f>
        <v>-7.7564982835428555</v>
      </c>
      <c r="G167" s="55"/>
      <c r="H167" s="166" cm="1">
        <f t="array" ref="H167">RANK(I167,I3:I210)</f>
        <v>134</v>
      </c>
      <c r="I167" s="167" cm="1">
        <f t="array" ref="I167">VLOOKUP(A167,'Standard Deviations'!A1:C672,3,FALSE)</f>
        <v>-0.86211263915304626</v>
      </c>
      <c r="J167" s="167" cm="1">
        <f t="array" ref="J167">I167-VLOOKUP(B$2,H1:J210,2,FALSE)</f>
        <v>-7.7564982835428555</v>
      </c>
    </row>
    <row r="168" spans="1:10" ht="21.25" customHeight="1" x14ac:dyDescent="0.15">
      <c r="A168" s="10" t="s">
        <v>709</v>
      </c>
      <c r="B168" s="93" t="str" cm="1">
        <f t="array" ref="B168">VLOOKUP(A168,'The List'!B1:D671,3,FALSE)</f>
        <v>C,LW,RW</v>
      </c>
      <c r="C168" s="94" cm="1">
        <f t="array" ref="C168">IF(Settings!$E$15="POINTS",RANK(E168,E3:E210),H168)</f>
        <v>60</v>
      </c>
      <c r="D168" s="18" t="str" cm="1">
        <f t="array" ref="D168">VLOOKUP(A168,'The List'!B1:F671,5,FALSE)</f>
        <v>MIN</v>
      </c>
      <c r="E168" s="55" cm="1">
        <f t="array" ref="E168">VLOOKUP(A168,'The List'!B1:I671,8,FALSE)</f>
        <v>2.6923313742704238</v>
      </c>
      <c r="F168" s="55" cm="1">
        <f t="array" ref="F168">IF(Settings!$E$15="POINTS",E168-VLOOKUP(B$2,C1:E210,3,FALSE),J168)</f>
        <v>-4.2020542701193859</v>
      </c>
      <c r="G168" s="55"/>
      <c r="H168" s="166" cm="1">
        <f t="array" ref="H168">RANK(I168,I3:I210)</f>
        <v>60</v>
      </c>
      <c r="I168" s="167" cm="1">
        <f t="array" ref="I168">VLOOKUP(A168,'Standard Deviations'!A1:C672,3,FALSE)</f>
        <v>2.6923313742704238</v>
      </c>
      <c r="J168" s="167" cm="1">
        <f t="array" ref="J168">I168-VLOOKUP(B$2,H1:J210,2,FALSE)</f>
        <v>-4.2020542701193859</v>
      </c>
    </row>
    <row r="169" spans="1:10" ht="21.25" customHeight="1" x14ac:dyDescent="0.15">
      <c r="A169" s="10" t="s">
        <v>712</v>
      </c>
      <c r="B169" s="93" t="str" cm="1">
        <f t="array" ref="B169">VLOOKUP(A169,'The List'!B1:D671,3,FALSE)</f>
        <v>LW,RW</v>
      </c>
      <c r="C169" s="94" cm="1">
        <f t="array" ref="C169">IF(Settings!$E$15="POINTS",RANK(E169,E3:E210),H169)</f>
        <v>165</v>
      </c>
      <c r="D169" s="18" t="str" cm="1">
        <f t="array" ref="D169">VLOOKUP(A169,'The List'!B1:F671,5,FALSE)</f>
        <v>STL</v>
      </c>
      <c r="E169" s="55" cm="1">
        <f t="array" ref="E169">VLOOKUP(A169,'The List'!B1:I671,8,FALSE)</f>
        <v>-2.2554325284737589</v>
      </c>
      <c r="F169" s="55" cm="1">
        <f t="array" ref="F169">IF(Settings!$E$15="POINTS",E169-VLOOKUP(B$2,C1:E210,3,FALSE),J169)</f>
        <v>-9.1498181728635686</v>
      </c>
      <c r="G169" s="55"/>
      <c r="H169" s="166" cm="1">
        <f t="array" ref="H169">RANK(I169,I3:I210)</f>
        <v>165</v>
      </c>
      <c r="I169" s="167" cm="1">
        <f t="array" ref="I169">VLOOKUP(A169,'Standard Deviations'!A1:C672,3,FALSE)</f>
        <v>-2.2554325284737589</v>
      </c>
      <c r="J169" s="167" cm="1">
        <f t="array" ref="J169">I169-VLOOKUP(B$2,H1:J210,2,FALSE)</f>
        <v>-9.1498181728635686</v>
      </c>
    </row>
    <row r="170" spans="1:10" ht="21.25" customHeight="1" x14ac:dyDescent="0.15">
      <c r="A170" s="10" t="s">
        <v>718</v>
      </c>
      <c r="B170" s="93" t="str" cm="1">
        <f t="array" ref="B170">VLOOKUP(A170,'The List'!B1:D671,3,FALSE)</f>
        <v>LW,RW</v>
      </c>
      <c r="C170" s="94" cm="1">
        <f t="array" ref="C170">IF(Settings!$E$15="POINTS",RANK(E170,E3:E210),H170)</f>
        <v>168</v>
      </c>
      <c r="D170" s="18" t="str" cm="1">
        <f t="array" ref="D170">VLOOKUP(A170,'The List'!B1:F671,5,FALSE)</f>
        <v>OTT</v>
      </c>
      <c r="E170" s="55" cm="1">
        <f t="array" ref="E170">VLOOKUP(A170,'The List'!B1:I671,8,FALSE)</f>
        <v>-2.3505720411779167</v>
      </c>
      <c r="F170" s="55" cm="1">
        <f t="array" ref="F170">IF(Settings!$E$15="POINTS",E170-VLOOKUP(B$2,C1:E210,3,FALSE),J170)</f>
        <v>-9.2449576855677265</v>
      </c>
      <c r="G170" s="55"/>
      <c r="H170" s="166" cm="1">
        <f t="array" ref="H170">RANK(I170,I3:I210)</f>
        <v>168</v>
      </c>
      <c r="I170" s="167" cm="1">
        <f t="array" ref="I170">VLOOKUP(A170,'Standard Deviations'!A1:C672,3,FALSE)</f>
        <v>-2.3505720411779167</v>
      </c>
      <c r="J170" s="167" cm="1">
        <f t="array" ref="J170">I170-VLOOKUP(B$2,H1:J210,2,FALSE)</f>
        <v>-9.2449576855677265</v>
      </c>
    </row>
    <row r="171" spans="1:10" ht="21.25" customHeight="1" x14ac:dyDescent="0.15">
      <c r="A171" s="10" t="s">
        <v>728</v>
      </c>
      <c r="B171" s="93" t="str" cm="1">
        <f t="array" ref="B171">VLOOKUP(A171,'The List'!B1:D671,3,FALSE)</f>
        <v>LW</v>
      </c>
      <c r="C171" s="94" cm="1">
        <f t="array" ref="C171">IF(Settings!$E$15="POINTS",RANK(E171,E3:E210),H171)</f>
        <v>108</v>
      </c>
      <c r="D171" s="18" t="str" cm="1">
        <f t="array" ref="D171">VLOOKUP(A171,'The List'!B1:F671,5,FALSE)</f>
        <v>MIN</v>
      </c>
      <c r="E171" s="55" cm="1">
        <f t="array" ref="E171">VLOOKUP(A171,'The List'!B1:I671,8,FALSE)</f>
        <v>-3.2807839921433768E-6</v>
      </c>
      <c r="F171" s="55" cm="1">
        <f t="array" ref="F171">IF(Settings!$E$15="POINTS",E171-VLOOKUP(B$2,C1:E210,3,FALSE),J171)</f>
        <v>-6.8943889251738018</v>
      </c>
      <c r="G171" s="55"/>
      <c r="H171" s="166" cm="1">
        <f t="array" ref="H171">RANK(I171,I3:I210)</f>
        <v>108</v>
      </c>
      <c r="I171" s="167" cm="1">
        <f t="array" ref="I171">VLOOKUP(A171,'Standard Deviations'!A1:C672,3,FALSE)</f>
        <v>-3.2807839921433768E-6</v>
      </c>
      <c r="J171" s="167" cm="1">
        <f t="array" ref="J171">I171-VLOOKUP(B$2,H1:J210,2,FALSE)</f>
        <v>-6.8943889251738018</v>
      </c>
    </row>
    <row r="172" spans="1:10" ht="21.25" customHeight="1" x14ac:dyDescent="0.15">
      <c r="A172" s="10" t="s">
        <v>722</v>
      </c>
      <c r="B172" s="93" t="str" cm="1">
        <f t="array" ref="B172">VLOOKUP(A172,'The List'!B1:D671,3,FALSE)</f>
        <v>LW,RW</v>
      </c>
      <c r="C172" s="94" cm="1">
        <f t="array" ref="C172">IF(Settings!$E$15="POINTS",RANK(E172,E3:E210),H172)</f>
        <v>144</v>
      </c>
      <c r="D172" s="18" t="str" cm="1">
        <f t="array" ref="D172">VLOOKUP(A172,'The List'!B1:F671,5,FALSE)</f>
        <v>BOS</v>
      </c>
      <c r="E172" s="55" cm="1">
        <f t="array" ref="E172">VLOOKUP(A172,'The List'!B1:I671,8,FALSE)</f>
        <v>-1.1794715691308397</v>
      </c>
      <c r="F172" s="55" cm="1">
        <f t="array" ref="F172">IF(Settings!$E$15="POINTS",E172-VLOOKUP(B$2,C1:E210,3,FALSE),J172)</f>
        <v>-8.0738572135206503</v>
      </c>
      <c r="G172" s="55"/>
      <c r="H172" s="166" cm="1">
        <f t="array" ref="H172">RANK(I172,I3:I210)</f>
        <v>144</v>
      </c>
      <c r="I172" s="167" cm="1">
        <f t="array" ref="I172">VLOOKUP(A172,'Standard Deviations'!A1:C672,3,FALSE)</f>
        <v>-1.1794715691308397</v>
      </c>
      <c r="J172" s="167" cm="1">
        <f t="array" ref="J172">I172-VLOOKUP(B$2,H1:J210,2,FALSE)</f>
        <v>-8.0738572135206503</v>
      </c>
    </row>
    <row r="173" spans="1:10" ht="21.25" customHeight="1" x14ac:dyDescent="0.15">
      <c r="A173" s="10" t="s">
        <v>734</v>
      </c>
      <c r="B173" s="93" t="str" cm="1">
        <f t="array" ref="B173">VLOOKUP(A173,'The List'!B1:D671,3,FALSE)</f>
        <v>LW</v>
      </c>
      <c r="C173" s="94" cm="1">
        <f t="array" ref="C173">IF(Settings!$E$15="POINTS",RANK(E173,E3:E210),H173)</f>
        <v>119</v>
      </c>
      <c r="D173" s="18" t="str" cm="1">
        <f t="array" ref="D173">VLOOKUP(A173,'The List'!B1:F671,5,FALSE)</f>
        <v>T.B</v>
      </c>
      <c r="E173" s="55" cm="1">
        <f t="array" ref="E173">VLOOKUP(A173,'The List'!B1:I671,8,FALSE)</f>
        <v>-0.21308998417946112</v>
      </c>
      <c r="F173" s="55" cm="1">
        <f t="array" ref="F173">IF(Settings!$E$15="POINTS",E173-VLOOKUP(B$2,C1:E210,3,FALSE),J173)</f>
        <v>-7.1074756285692704</v>
      </c>
      <c r="G173" s="55"/>
      <c r="H173" s="166" cm="1">
        <f t="array" ref="H173">RANK(I173,I3:I210)</f>
        <v>119</v>
      </c>
      <c r="I173" s="167" cm="1">
        <f t="array" ref="I173">VLOOKUP(A173,'Standard Deviations'!A1:C672,3,FALSE)</f>
        <v>-0.21308998417946112</v>
      </c>
      <c r="J173" s="167" cm="1">
        <f t="array" ref="J173">I173-VLOOKUP(B$2,H1:J210,2,FALSE)</f>
        <v>-7.1074756285692704</v>
      </c>
    </row>
    <row r="174" spans="1:10" ht="21.25" customHeight="1" x14ac:dyDescent="0.15">
      <c r="A174" s="10" t="s">
        <v>723</v>
      </c>
      <c r="B174" s="93" t="str" cm="1">
        <f t="array" ref="B174">VLOOKUP(A174,'The List'!B1:D671,3,FALSE)</f>
        <v>LW,RW</v>
      </c>
      <c r="C174" s="94" cm="1">
        <f t="array" ref="C174">IF(Settings!$E$15="POINTS",RANK(E174,E3:E210),H174)</f>
        <v>154</v>
      </c>
      <c r="D174" s="18" t="str" cm="1">
        <f t="array" ref="D174">VLOOKUP(A174,'The List'!B1:F671,5,FALSE)</f>
        <v>TOR</v>
      </c>
      <c r="E174" s="55" cm="1">
        <f t="array" ref="E174">VLOOKUP(A174,'The List'!B1:I671,8,FALSE)</f>
        <v>-1.5854709524943382</v>
      </c>
      <c r="F174" s="55" cm="1">
        <f t="array" ref="F174">IF(Settings!$E$15="POINTS",E174-VLOOKUP(B$2,C1:E210,3,FALSE),J174)</f>
        <v>-8.4798565968841473</v>
      </c>
      <c r="G174" s="55"/>
      <c r="H174" s="166" cm="1">
        <f t="array" ref="H174">RANK(I174,I3:I210)</f>
        <v>154</v>
      </c>
      <c r="I174" s="167" cm="1">
        <f t="array" ref="I174">VLOOKUP(A174,'Standard Deviations'!A1:C672,3,FALSE)</f>
        <v>-1.5854709524943382</v>
      </c>
      <c r="J174" s="167" cm="1">
        <f t="array" ref="J174">I174-VLOOKUP(B$2,H1:J210,2,FALSE)</f>
        <v>-8.4798565968841473</v>
      </c>
    </row>
    <row r="175" spans="1:10" ht="21.25" customHeight="1" x14ac:dyDescent="0.15">
      <c r="A175" s="10" t="s">
        <v>735</v>
      </c>
      <c r="B175" s="93" t="str" cm="1">
        <f t="array" ref="B175">VLOOKUP(A175,'The List'!B1:D671,3,FALSE)</f>
        <v>LW</v>
      </c>
      <c r="C175" s="94" cm="1">
        <f t="array" ref="C175">IF(Settings!$E$15="POINTS",RANK(E175,E3:E210),H175)</f>
        <v>191</v>
      </c>
      <c r="D175" s="18" t="str" cm="1">
        <f t="array" ref="D175">VLOOKUP(A175,'The List'!B1:F671,5,FALSE)</f>
        <v>NYI</v>
      </c>
      <c r="E175" s="55" cm="1">
        <f t="array" ref="E175">VLOOKUP(A175,'The List'!B1:I671,8,FALSE)</f>
        <v>-3.5240950743821609</v>
      </c>
      <c r="F175" s="55" cm="1">
        <f t="array" ref="F175">IF(Settings!$E$15="POINTS",E175-VLOOKUP(B$2,C1:E210,3,FALSE),J175)</f>
        <v>-10.418480718771971</v>
      </c>
      <c r="G175" s="55"/>
      <c r="H175" s="166" cm="1">
        <f t="array" ref="H175">RANK(I175,I3:I210)</f>
        <v>191</v>
      </c>
      <c r="I175" s="167" cm="1">
        <f t="array" ref="I175">VLOOKUP(A175,'Standard Deviations'!A1:C672,3,FALSE)</f>
        <v>-3.5240950743821609</v>
      </c>
      <c r="J175" s="167" cm="1">
        <f t="array" ref="J175">I175-VLOOKUP(B$2,H1:J210,2,FALSE)</f>
        <v>-10.418480718771971</v>
      </c>
    </row>
    <row r="176" spans="1:10" ht="21.25" customHeight="1" x14ac:dyDescent="0.15">
      <c r="A176" s="10" t="s">
        <v>726</v>
      </c>
      <c r="B176" s="93" t="str" cm="1">
        <f t="array" ref="B176">VLOOKUP(A176,'The List'!B1:D671,3,FALSE)</f>
        <v>LW,RW</v>
      </c>
      <c r="C176" s="94" cm="1">
        <f t="array" ref="C176">IF(Settings!$E$15="POINTS",RANK(E176,E3:E210),H176)</f>
        <v>203</v>
      </c>
      <c r="D176" s="18" t="str" cm="1">
        <f t="array" ref="D176">VLOOKUP(A176,'The List'!B1:F671,5,FALSE)</f>
        <v>CHI</v>
      </c>
      <c r="E176" s="55" cm="1">
        <f t="array" ref="E176">VLOOKUP(A176,'The List'!B1:I671,8,FALSE)</f>
        <v>-4.8028475090220795</v>
      </c>
      <c r="F176" s="55" cm="1">
        <f t="array" ref="F176">IF(Settings!$E$15="POINTS",E176-VLOOKUP(B$2,C1:E210,3,FALSE),J176)</f>
        <v>-11.69723315341189</v>
      </c>
      <c r="G176" s="55"/>
      <c r="H176" s="166" cm="1">
        <f t="array" ref="H176">RANK(I176,I3:I210)</f>
        <v>203</v>
      </c>
      <c r="I176" s="167" cm="1">
        <f t="array" ref="I176">VLOOKUP(A176,'Standard Deviations'!A1:C672,3,FALSE)</f>
        <v>-4.8028475090220795</v>
      </c>
      <c r="J176" s="167" cm="1">
        <f t="array" ref="J176">I176-VLOOKUP(B$2,H1:J210,2,FALSE)</f>
        <v>-11.69723315341189</v>
      </c>
    </row>
    <row r="177" spans="1:10" ht="21.25" customHeight="1" x14ac:dyDescent="0.15">
      <c r="A177" s="10" t="s">
        <v>738</v>
      </c>
      <c r="B177" s="93" t="str" cm="1">
        <f t="array" ref="B177">VLOOKUP(A177,'The List'!B1:D671,3,FALSE)</f>
        <v>C,LW</v>
      </c>
      <c r="C177" s="94" cm="1">
        <f t="array" ref="C177">IF(Settings!$E$15="POINTS",RANK(E177,E3:E210),H177)</f>
        <v>208</v>
      </c>
      <c r="D177" s="18" t="str" cm="1">
        <f t="array" ref="D177">VLOOKUP(A177,'The List'!B1:F671,5,FALSE)</f>
        <v>VAN</v>
      </c>
      <c r="E177" s="55" cm="1">
        <f t="array" ref="E177">VLOOKUP(A177,'The List'!B1:I671,8,FALSE)</f>
        <v>-5.7337138951162325</v>
      </c>
      <c r="F177" s="55" cm="1">
        <f t="array" ref="F177">IF(Settings!$E$15="POINTS",E177-VLOOKUP(B$2,C1:E210,3,FALSE),J177)</f>
        <v>-12.628099539506042</v>
      </c>
      <c r="G177" s="55"/>
      <c r="H177" s="166" cm="1">
        <f t="array" ref="H177">RANK(I177,I3:I210)</f>
        <v>208</v>
      </c>
      <c r="I177" s="167" cm="1">
        <f t="array" ref="I177">VLOOKUP(A177,'Standard Deviations'!A1:C672,3,FALSE)</f>
        <v>-5.7337138951162325</v>
      </c>
      <c r="J177" s="167" cm="1">
        <f t="array" ref="J177">I177-VLOOKUP(B$2,H1:J210,2,FALSE)</f>
        <v>-12.628099539506042</v>
      </c>
    </row>
    <row r="178" spans="1:10" ht="21.25" customHeight="1" x14ac:dyDescent="0.15">
      <c r="A178" s="10" t="s">
        <v>730</v>
      </c>
      <c r="B178" s="93" t="str" cm="1">
        <f t="array" ref="B178">VLOOKUP(A178,'The List'!B1:D671,3,FALSE)</f>
        <v>LW,RW</v>
      </c>
      <c r="C178" s="94" cm="1">
        <f t="array" ref="C178">IF(Settings!$E$15="POINTS",RANK(E178,E3:E210),H178)</f>
        <v>181</v>
      </c>
      <c r="D178" s="18" t="str" cm="1">
        <f t="array" ref="D178">VLOOKUP(A178,'The List'!B1:F671,5,FALSE)</f>
        <v>UTA</v>
      </c>
      <c r="E178" s="55" cm="1">
        <f t="array" ref="E178">VLOOKUP(A178,'The List'!B1:I671,8,FALSE)</f>
        <v>-2.9853942071396324</v>
      </c>
      <c r="F178" s="55" cm="1">
        <f t="array" ref="F178">IF(Settings!$E$15="POINTS",E178-VLOOKUP(B$2,C1:E210,3,FALSE),J178)</f>
        <v>-9.8797798515294417</v>
      </c>
      <c r="G178" s="55"/>
      <c r="H178" s="166" cm="1">
        <f t="array" ref="H178">RANK(I178,I3:I210)</f>
        <v>181</v>
      </c>
      <c r="I178" s="167" cm="1">
        <f t="array" ref="I178">VLOOKUP(A178,'Standard Deviations'!A1:C672,3,FALSE)</f>
        <v>-2.9853942071396324</v>
      </c>
      <c r="J178" s="167" cm="1">
        <f t="array" ref="J178">I178-VLOOKUP(B$2,H1:J210,2,FALSE)</f>
        <v>-9.8797798515294417</v>
      </c>
    </row>
    <row r="179" spans="1:10" ht="21.25" customHeight="1" x14ac:dyDescent="0.15">
      <c r="A179" s="10" t="s">
        <v>731</v>
      </c>
      <c r="B179" s="93" t="str" cm="1">
        <f t="array" ref="B179">VLOOKUP(A179,'The List'!B1:D671,3,FALSE)</f>
        <v>LW,RW</v>
      </c>
      <c r="C179" s="94" cm="1">
        <f t="array" ref="C179">IF(Settings!$E$15="POINTS",RANK(E179,E3:E210),H179)</f>
        <v>138</v>
      </c>
      <c r="D179" s="18" t="str" cm="1">
        <f t="array" ref="D179">VLOOKUP(A179,'The List'!B1:F671,5,FALSE)</f>
        <v>CAR</v>
      </c>
      <c r="E179" s="55" cm="1">
        <f t="array" ref="E179">VLOOKUP(A179,'The List'!B1:I671,8,FALSE)</f>
        <v>-1.0146216631431979</v>
      </c>
      <c r="F179" s="55" cm="1">
        <f t="array" ref="F179">IF(Settings!$E$15="POINTS",E179-VLOOKUP(B$2,C1:E210,3,FALSE),J179)</f>
        <v>-7.9090073075330078</v>
      </c>
      <c r="G179" s="55"/>
      <c r="H179" s="166" cm="1">
        <f t="array" ref="H179">RANK(I179,I3:I210)</f>
        <v>138</v>
      </c>
      <c r="I179" s="167" cm="1">
        <f t="array" ref="I179">VLOOKUP(A179,'Standard Deviations'!A1:C672,3,FALSE)</f>
        <v>-1.0146216631431979</v>
      </c>
      <c r="J179" s="167" cm="1">
        <f t="array" ref="J179">I179-VLOOKUP(B$2,H1:J210,2,FALSE)</f>
        <v>-7.9090073075330078</v>
      </c>
    </row>
    <row r="180" spans="1:10" ht="21.25" customHeight="1" x14ac:dyDescent="0.15">
      <c r="A180" s="10" t="s">
        <v>740</v>
      </c>
      <c r="B180" s="93" t="str" cm="1">
        <f t="array" ref="B180">VLOOKUP(A180,'The List'!B1:D671,3,FALSE)</f>
        <v>LW</v>
      </c>
      <c r="C180" s="94" cm="1">
        <f t="array" ref="C180">IF(Settings!$E$15="POINTS",RANK(E180,E3:E210),H180)</f>
        <v>109</v>
      </c>
      <c r="D180" s="18" t="str" cm="1">
        <f t="array" ref="D180">VLOOKUP(A180,'The List'!B1:F671,5,FALSE)</f>
        <v>COL</v>
      </c>
      <c r="E180" s="55" cm="1">
        <f t="array" ref="E180">VLOOKUP(A180,'The List'!B1:I671,8,FALSE)</f>
        <v>-5.3452417971500132E-3</v>
      </c>
      <c r="F180" s="55" cm="1">
        <f t="array" ref="F180">IF(Settings!$E$15="POINTS",E180-VLOOKUP(B$2,C1:E210,3,FALSE),J180)</f>
        <v>-6.8997308861869602</v>
      </c>
      <c r="G180" s="55"/>
      <c r="H180" s="166" cm="1">
        <f t="array" ref="H180">RANK(I180,I3:I210)</f>
        <v>109</v>
      </c>
      <c r="I180" s="167" cm="1">
        <f t="array" ref="I180">VLOOKUP(A180,'Standard Deviations'!A1:C672,3,FALSE)</f>
        <v>-5.3452417971500132E-3</v>
      </c>
      <c r="J180" s="167" cm="1">
        <f t="array" ref="J180">I180-VLOOKUP(B$2,H1:J210,2,FALSE)</f>
        <v>-6.8997308861869602</v>
      </c>
    </row>
    <row r="181" spans="1:10" ht="21.25" customHeight="1" x14ac:dyDescent="0.15">
      <c r="A181" s="10" t="s">
        <v>741</v>
      </c>
      <c r="B181" s="93" t="str" cm="1">
        <f t="array" ref="B181">VLOOKUP(A181,'The List'!B1:D671,3,FALSE)</f>
        <v>LW</v>
      </c>
      <c r="C181" s="94" cm="1">
        <f t="array" ref="C181">IF(Settings!$E$15="POINTS",RANK(E181,E3:E210),H181)</f>
        <v>204</v>
      </c>
      <c r="D181" s="18" t="str" cm="1">
        <f t="array" ref="D181">VLOOKUP(A181,'The List'!B1:F671,5,FALSE)</f>
        <v>NYI</v>
      </c>
      <c r="E181" s="55" cm="1">
        <f t="array" ref="E181">VLOOKUP(A181,'The List'!B1:I671,8,FALSE)</f>
        <v>-4.8481514882743637</v>
      </c>
      <c r="F181" s="55" cm="1">
        <f t="array" ref="F181">IF(Settings!$E$15="POINTS",E181-VLOOKUP(B$2,C1:E210,3,FALSE),J181)</f>
        <v>-11.742537132664173</v>
      </c>
      <c r="G181" s="55"/>
      <c r="H181" s="166" cm="1">
        <f t="array" ref="H181">RANK(I181,I3:I210)</f>
        <v>204</v>
      </c>
      <c r="I181" s="167" cm="1">
        <f t="array" ref="I181">VLOOKUP(A181,'Standard Deviations'!A1:C672,3,FALSE)</f>
        <v>-4.8481514882743637</v>
      </c>
      <c r="J181" s="167" cm="1">
        <f t="array" ref="J181">I181-VLOOKUP(B$2,H1:J210,2,FALSE)</f>
        <v>-11.742537132664173</v>
      </c>
    </row>
    <row r="182" spans="1:10" ht="21.25" customHeight="1" x14ac:dyDescent="0.15">
      <c r="A182" s="10" t="s">
        <v>743</v>
      </c>
      <c r="B182" s="93" t="str" cm="1">
        <f t="array" ref="B182">VLOOKUP(A182,'The List'!B1:D671,3,FALSE)</f>
        <v>LW</v>
      </c>
      <c r="C182" s="94" cm="1">
        <f t="array" ref="C182">IF(Settings!$E$15="POINTS",RANK(E182,E3:E210),H182)</f>
        <v>127</v>
      </c>
      <c r="D182" s="18" t="str" cm="1">
        <f t="array" ref="D182">VLOOKUP(A182,'The List'!B1:F671,5,FALSE)</f>
        <v>WPG</v>
      </c>
      <c r="E182" s="55" cm="1">
        <f t="array" ref="E182">VLOOKUP(A182,'The List'!B1:I671,8,FALSE)</f>
        <v>-0.56201023685147022</v>
      </c>
      <c r="F182" s="55" cm="1">
        <f t="array" ref="F182">IF(Settings!$E$15="POINTS",E182-VLOOKUP(B$2,C1:E210,3,FALSE),J182)</f>
        <v>-7.4563958812412796</v>
      </c>
      <c r="G182" s="55"/>
      <c r="H182" s="166" cm="1">
        <f t="array" ref="H182">RANK(I182,I3:I210)</f>
        <v>127</v>
      </c>
      <c r="I182" s="167" cm="1">
        <f t="array" ref="I182">VLOOKUP(A182,'Standard Deviations'!A1:C672,3,FALSE)</f>
        <v>-0.56201023685147022</v>
      </c>
      <c r="J182" s="167" cm="1">
        <f t="array" ref="J182">I182-VLOOKUP(B$2,H1:J210,2,FALSE)</f>
        <v>-7.4563958812412796</v>
      </c>
    </row>
    <row r="183" spans="1:10" ht="21.25" customHeight="1" x14ac:dyDescent="0.15">
      <c r="A183" s="10" t="s">
        <v>744</v>
      </c>
      <c r="B183" s="93" t="str" cm="1">
        <f t="array" ref="B183">VLOOKUP(A183,'The List'!B1:D671,3,FALSE)</f>
        <v>C,LW</v>
      </c>
      <c r="C183" s="94" cm="1">
        <f t="array" ref="C183">IF(Settings!$E$15="POINTS",RANK(E183,E3:E210),H183)</f>
        <v>194</v>
      </c>
      <c r="D183" s="18" t="str" cm="1">
        <f t="array" ref="D183">VLOOKUP(A183,'The List'!B1:F671,5,FALSE)</f>
        <v>L.A</v>
      </c>
      <c r="E183" s="55" cm="1">
        <f t="array" ref="E183">VLOOKUP(A183,'The List'!B1:I671,8,FALSE)</f>
        <v>-3.5793658419889987</v>
      </c>
      <c r="F183" s="55" cm="1">
        <f t="array" ref="F183">IF(Settings!$E$15="POINTS",E183-VLOOKUP(B$2,C1:E210,3,FALSE),J183)</f>
        <v>-10.473751486378809</v>
      </c>
      <c r="G183" s="55"/>
      <c r="H183" s="166" cm="1">
        <f t="array" ref="H183">RANK(I183,I3:I210)</f>
        <v>194</v>
      </c>
      <c r="I183" s="167" cm="1">
        <f t="array" ref="I183">VLOOKUP(A183,'Standard Deviations'!A1:C672,3,FALSE)</f>
        <v>-3.5793658419889987</v>
      </c>
      <c r="J183" s="167" cm="1">
        <f t="array" ref="J183">I183-VLOOKUP(B$2,H1:J210,2,FALSE)</f>
        <v>-10.473751486378809</v>
      </c>
    </row>
    <row r="184" spans="1:10" ht="21.25" customHeight="1" x14ac:dyDescent="0.15">
      <c r="A184" s="10" t="s">
        <v>748</v>
      </c>
      <c r="B184" s="93" t="str" cm="1">
        <f t="array" ref="B184">VLOOKUP(A184,'The List'!B1:D671,3,FALSE)</f>
        <v>LW</v>
      </c>
      <c r="C184" s="94" cm="1">
        <f t="array" ref="C184">IF(Settings!$E$15="POINTS",RANK(E184,E3:E210),H184)</f>
        <v>178</v>
      </c>
      <c r="D184" s="18" t="str" cm="1">
        <f t="array" ref="D184">VLOOKUP(A184,'The List'!B1:F671,5,FALSE)</f>
        <v>CBJ</v>
      </c>
      <c r="E184" s="55" cm="1">
        <f t="array" ref="E184">VLOOKUP(A184,'The List'!B1:I671,8,FALSE)</f>
        <v>-2.8992825348890658</v>
      </c>
      <c r="F184" s="55" cm="1">
        <f t="array" ref="F184">IF(Settings!$E$15="POINTS",E184-VLOOKUP(B$2,C1:E210,3,FALSE),J184)</f>
        <v>-9.7936681792788747</v>
      </c>
      <c r="G184" s="55"/>
      <c r="H184" s="166" cm="1">
        <f t="array" ref="H184">RANK(I184,I3:I210)</f>
        <v>178</v>
      </c>
      <c r="I184" s="167" cm="1">
        <f t="array" ref="I184">VLOOKUP(A184,'Standard Deviations'!A1:C672,3,FALSE)</f>
        <v>-2.8992825348890658</v>
      </c>
      <c r="J184" s="167" cm="1">
        <f t="array" ref="J184">I184-VLOOKUP(B$2,H1:J210,2,FALSE)</f>
        <v>-9.7936681792788747</v>
      </c>
    </row>
    <row r="185" spans="1:10" ht="21.25" customHeight="1" x14ac:dyDescent="0.15">
      <c r="A185" s="10" t="s">
        <v>749</v>
      </c>
      <c r="B185" s="93" t="str" cm="1">
        <f t="array" ref="B185">VLOOKUP(A185,'The List'!B1:D671,3,FALSE)</f>
        <v>C,LW</v>
      </c>
      <c r="C185" s="94" cm="1">
        <f t="array" ref="C185">IF(Settings!$E$15="POINTS",RANK(E185,E3:E210),H185)</f>
        <v>122</v>
      </c>
      <c r="D185" s="18" t="str" cm="1">
        <f t="array" ref="D185">VLOOKUP(A185,'The List'!B1:F671,5,FALSE)</f>
        <v>TOR</v>
      </c>
      <c r="E185" s="55" cm="1">
        <f t="array" ref="E185">VLOOKUP(A185,'The List'!B1:I671,8,FALSE)</f>
        <v>-0.35265592108372457</v>
      </c>
      <c r="F185" s="55" cm="1">
        <f t="array" ref="F185">IF(Settings!$E$15="POINTS",E185-VLOOKUP(B$2,C1:E210,3,FALSE),J185)</f>
        <v>-7.2470415654735341</v>
      </c>
      <c r="G185" s="55"/>
      <c r="H185" s="166" cm="1">
        <f t="array" ref="H185">RANK(I185,I3:I210)</f>
        <v>122</v>
      </c>
      <c r="I185" s="167" cm="1">
        <f t="array" ref="I185">VLOOKUP(A185,'Standard Deviations'!A1:C672,3,FALSE)</f>
        <v>-0.35265592108372457</v>
      </c>
      <c r="J185" s="167" cm="1">
        <f t="array" ref="J185">I185-VLOOKUP(B$2,H1:J210,2,FALSE)</f>
        <v>-7.2470415654735341</v>
      </c>
    </row>
    <row r="186" spans="1:10" ht="21.25" customHeight="1" x14ac:dyDescent="0.15">
      <c r="A186" s="10" t="s">
        <v>750</v>
      </c>
      <c r="B186" s="93" t="str" cm="1">
        <f t="array" ref="B186">VLOOKUP(A186,'The List'!B1:D671,3,FALSE)</f>
        <v>C,LW</v>
      </c>
      <c r="C186" s="94" cm="1">
        <f t="array" ref="C186">IF(Settings!$E$15="POINTS",RANK(E186,E3:E210),H186)</f>
        <v>95</v>
      </c>
      <c r="D186" s="18" t="str" cm="1">
        <f t="array" ref="D186">VLOOKUP(A186,'The List'!B1:F671,5,FALSE)</f>
        <v>EDM</v>
      </c>
      <c r="E186" s="55" cm="1">
        <f t="array" ref="E186">VLOOKUP(A186,'The List'!B1:I671,8,FALSE)</f>
        <v>0.70853096857718834</v>
      </c>
      <c r="F186" s="55" cm="1">
        <f t="array" ref="F186">IF(Settings!$E$15="POINTS",E186-VLOOKUP(B$2,C1:E210,3,FALSE),J186)</f>
        <v>-6.1858546758126209</v>
      </c>
      <c r="G186" s="55"/>
      <c r="H186" s="166" cm="1">
        <f t="array" ref="H186">RANK(I186,I3:I210)</f>
        <v>95</v>
      </c>
      <c r="I186" s="167" cm="1">
        <f t="array" ref="I186">VLOOKUP(A186,'Standard Deviations'!A1:C672,3,FALSE)</f>
        <v>0.70853096857718834</v>
      </c>
      <c r="J186" s="167" cm="1">
        <f t="array" ref="J186">I186-VLOOKUP(B$2,H1:J210,2,FALSE)</f>
        <v>-6.1858546758126209</v>
      </c>
    </row>
    <row r="187" spans="1:10" ht="21.25" customHeight="1" x14ac:dyDescent="0.15">
      <c r="A187" s="10" t="s">
        <v>751</v>
      </c>
      <c r="B187" s="93" t="str" cm="1">
        <f t="array" ref="B187">VLOOKUP(A187,'The List'!B1:D671,3,FALSE)</f>
        <v>LW</v>
      </c>
      <c r="C187" s="94" cm="1">
        <f t="array" ref="C187">IF(Settings!$E$15="POINTS",RANK(E187,E3:E210),H187)</f>
        <v>153</v>
      </c>
      <c r="D187" s="18" t="str" cm="1">
        <f t="array" ref="D187">VLOOKUP(A187,'The List'!B1:F671,5,FALSE)</f>
        <v>OTT</v>
      </c>
      <c r="E187" s="55" cm="1">
        <f t="array" ref="E187">VLOOKUP(A187,'The List'!B1:I671,8,FALSE)</f>
        <v>-1.5589041044680725</v>
      </c>
      <c r="F187" s="55" cm="1">
        <f t="array" ref="F187">IF(Settings!$E$15="POINTS",E187-VLOOKUP(B$2,C1:E210,3,FALSE),J187)</f>
        <v>-8.4532897488578822</v>
      </c>
      <c r="G187" s="55"/>
      <c r="H187" s="166" cm="1">
        <f t="array" ref="H187">RANK(I187,I3:I210)</f>
        <v>153</v>
      </c>
      <c r="I187" s="167" cm="1">
        <f t="array" ref="I187">VLOOKUP(A187,'Standard Deviations'!A1:C672,3,FALSE)</f>
        <v>-1.5589041044680725</v>
      </c>
      <c r="J187" s="167" cm="1">
        <f t="array" ref="J187">I187-VLOOKUP(B$2,H1:J210,2,FALSE)</f>
        <v>-8.4532897488578822</v>
      </c>
    </row>
    <row r="188" spans="1:10" ht="21.25" customHeight="1" x14ac:dyDescent="0.15">
      <c r="A188" s="10" t="s">
        <v>755</v>
      </c>
      <c r="B188" s="93" t="str" cm="1">
        <f t="array" ref="B188">VLOOKUP(A188,'The List'!B1:D671,3,FALSE)</f>
        <v>C,LW</v>
      </c>
      <c r="C188" s="94" cm="1">
        <f t="array" ref="C188">IF(Settings!$E$15="POINTS",RANK(E188,E3:E210),H188)</f>
        <v>179</v>
      </c>
      <c r="D188" s="18" t="str" cm="1">
        <f t="array" ref="D188">VLOOKUP(A188,'The List'!B1:F671,5,FALSE)</f>
        <v>NYI</v>
      </c>
      <c r="E188" s="55" cm="1">
        <f t="array" ref="E188">VLOOKUP(A188,'The List'!B1:I671,8,FALSE)</f>
        <v>-2.9348833950168505</v>
      </c>
      <c r="F188" s="55" cm="1">
        <f t="array" ref="F188">IF(Settings!$E$15="POINTS",E188-VLOOKUP(B$2,C1:E210,3,FALSE),J188)</f>
        <v>-9.8292690394066611</v>
      </c>
      <c r="G188" s="55"/>
      <c r="H188" s="166" cm="1">
        <f t="array" ref="H188">RANK(I188,I3:I210)</f>
        <v>179</v>
      </c>
      <c r="I188" s="167" cm="1">
        <f t="array" ref="I188">VLOOKUP(A188,'Standard Deviations'!A1:C672,3,FALSE)</f>
        <v>-2.9348833950168505</v>
      </c>
      <c r="J188" s="167" cm="1">
        <f t="array" ref="J188">I188-VLOOKUP(B$2,H1:J210,2,FALSE)</f>
        <v>-9.8292690394066611</v>
      </c>
    </row>
    <row r="189" spans="1:10" ht="21.25" customHeight="1" x14ac:dyDescent="0.15">
      <c r="A189" s="10" t="s">
        <v>758</v>
      </c>
      <c r="B189" s="93" t="str" cm="1">
        <f t="array" ref="B189">VLOOKUP(A189,'The List'!B1:D671,3,FALSE)</f>
        <v>C,LW</v>
      </c>
      <c r="C189" s="94" cm="1">
        <f t="array" ref="C189">IF(Settings!$E$15="POINTS",RANK(E189,E3:E210),H189)</f>
        <v>143</v>
      </c>
      <c r="D189" s="18" t="str" cm="1">
        <f t="array" ref="D189">VLOOKUP(A189,'The List'!B1:F671,5,FALSE)</f>
        <v>MIN</v>
      </c>
      <c r="E189" s="55" cm="1">
        <f t="array" ref="E189">VLOOKUP(A189,'The List'!B1:I671,8,FALSE)</f>
        <v>-1.1763249349317575</v>
      </c>
      <c r="F189" s="55" cm="1">
        <f t="array" ref="F189">IF(Settings!$E$15="POINTS",E189-VLOOKUP(B$2,C1:E210,3,FALSE),J189)</f>
        <v>-8.0707105793215668</v>
      </c>
      <c r="G189" s="55"/>
      <c r="H189" s="166" cm="1">
        <f t="array" ref="H189">RANK(I189,I3:I210)</f>
        <v>143</v>
      </c>
      <c r="I189" s="167" cm="1">
        <f t="array" ref="I189">VLOOKUP(A189,'Standard Deviations'!A1:C672,3,FALSE)</f>
        <v>-1.1763249349317575</v>
      </c>
      <c r="J189" s="167" cm="1">
        <f t="array" ref="J189">I189-VLOOKUP(B$2,H1:J210,2,FALSE)</f>
        <v>-8.0707105793215668</v>
      </c>
    </row>
    <row r="190" spans="1:10" ht="21.25" customHeight="1" x14ac:dyDescent="0.15">
      <c r="A190" s="10" t="s">
        <v>752</v>
      </c>
      <c r="B190" s="93" t="str" cm="1">
        <f t="array" ref="B190">VLOOKUP(A190,'The List'!B1:D671,3,FALSE)</f>
        <v>C,LW,RW</v>
      </c>
      <c r="C190" s="94" cm="1">
        <f t="array" ref="C190">IF(Settings!$E$15="POINTS",RANK(E190,E3:E210),H190)</f>
        <v>121</v>
      </c>
      <c r="D190" s="18" t="str" cm="1">
        <f t="array" ref="D190">VLOOKUP(A190,'The List'!B1:F671,5,FALSE)</f>
        <v>EDM</v>
      </c>
      <c r="E190" s="55" cm="1">
        <f t="array" ref="E190">VLOOKUP(A190,'The List'!B1:I671,8,FALSE)</f>
        <v>-0.33342779672342404</v>
      </c>
      <c r="F190" s="55" cm="1">
        <f t="array" ref="F190">IF(Settings!$E$15="POINTS",E190-VLOOKUP(B$2,C1:E210,3,FALSE),J190)</f>
        <v>-7.2278134411132342</v>
      </c>
      <c r="G190" s="55"/>
      <c r="H190" s="166" cm="1">
        <f t="array" ref="H190">RANK(I190,I3:I210)</f>
        <v>121</v>
      </c>
      <c r="I190" s="167" cm="1">
        <f t="array" ref="I190">VLOOKUP(A190,'Standard Deviations'!A1:C672,3,FALSE)</f>
        <v>-0.33342779672342404</v>
      </c>
      <c r="J190" s="167" cm="1">
        <f t="array" ref="J190">I190-VLOOKUP(B$2,H1:J210,2,FALSE)</f>
        <v>-7.2278134411132342</v>
      </c>
    </row>
    <row r="191" spans="1:10" ht="21.25" customHeight="1" x14ac:dyDescent="0.15">
      <c r="A191" s="10" t="s">
        <v>759</v>
      </c>
      <c r="B191" s="93" t="str" cm="1">
        <f t="array" ref="B191">VLOOKUP(A191,'The List'!B1:D671,3,FALSE)</f>
        <v>LW,RW</v>
      </c>
      <c r="C191" s="94" cm="1">
        <f t="array" ref="C191">IF(Settings!$E$15="POINTS",RANK(E191,E3:E210),H191)</f>
        <v>172</v>
      </c>
      <c r="D191" s="18" t="str" cm="1">
        <f t="array" ref="D191">VLOOKUP(A191,'The List'!B1:F671,5,FALSE)</f>
        <v>PIT</v>
      </c>
      <c r="E191" s="55" cm="1">
        <f t="array" ref="E191">VLOOKUP(A191,'The List'!B1:I671,8,FALSE)</f>
        <v>-2.7186296687408822</v>
      </c>
      <c r="F191" s="55" cm="1">
        <f t="array" ref="F191">IF(Settings!$E$15="POINTS",E191-VLOOKUP(B$2,C1:E210,3,FALSE),J191)</f>
        <v>-9.6130153131306919</v>
      </c>
      <c r="G191" s="55"/>
      <c r="H191" s="166" cm="1">
        <f t="array" ref="H191">RANK(I191,I3:I210)</f>
        <v>172</v>
      </c>
      <c r="I191" s="167" cm="1">
        <f t="array" ref="I191">VLOOKUP(A191,'Standard Deviations'!A1:C672,3,FALSE)</f>
        <v>-2.7186296687408822</v>
      </c>
      <c r="J191" s="167" cm="1">
        <f t="array" ref="J191">I191-VLOOKUP(B$2,H1:J210,2,FALSE)</f>
        <v>-9.6130153131306919</v>
      </c>
    </row>
    <row r="192" spans="1:10" ht="21.25" customHeight="1" x14ac:dyDescent="0.15">
      <c r="A192" s="10" t="s">
        <v>765</v>
      </c>
      <c r="B192" s="93" t="str" cm="1">
        <f t="array" ref="B192">VLOOKUP(A192,'The List'!B1:D671,3,FALSE)</f>
        <v>LW</v>
      </c>
      <c r="C192" s="94" cm="1">
        <f t="array" ref="C192">IF(Settings!$E$15="POINTS",RANK(E192,E3:E210),H192)</f>
        <v>197</v>
      </c>
      <c r="D192" s="18" t="str" cm="1">
        <f t="array" ref="D192">VLOOKUP(A192,'The List'!B1:F671,5,FALSE)</f>
        <v>PIT</v>
      </c>
      <c r="E192" s="55" cm="1">
        <f t="array" ref="E192">VLOOKUP(A192,'The List'!B1:I671,8,FALSE)</f>
        <v>-3.9799700446689483</v>
      </c>
      <c r="F192" s="55" cm="1">
        <f t="array" ref="F192">IF(Settings!$E$15="POINTS",E192-VLOOKUP(B$2,C1:E210,3,FALSE),J192)</f>
        <v>-10.874355689058758</v>
      </c>
      <c r="G192" s="55"/>
      <c r="H192" s="166" cm="1">
        <f t="array" ref="H192">RANK(I192,I3:I210)</f>
        <v>197</v>
      </c>
      <c r="I192" s="167" cm="1">
        <f t="array" ref="I192">VLOOKUP(A192,'Standard Deviations'!A1:C672,3,FALSE)</f>
        <v>-3.9799700446689483</v>
      </c>
      <c r="J192" s="167" cm="1">
        <f t="array" ref="J192">I192-VLOOKUP(B$2,H1:J210,2,FALSE)</f>
        <v>-10.874355689058758</v>
      </c>
    </row>
    <row r="193" spans="1:10" ht="21.25" customHeight="1" x14ac:dyDescent="0.15">
      <c r="A193" s="10" t="s">
        <v>762</v>
      </c>
      <c r="B193" s="93" t="str" cm="1">
        <f t="array" ref="B193">VLOOKUP(A193,'The List'!B1:D671,3,FALSE)</f>
        <v>LW,RW</v>
      </c>
      <c r="C193" s="94" cm="1">
        <f t="array" ref="C193">IF(Settings!$E$15="POINTS",RANK(E193,E3:E210),H193)</f>
        <v>164</v>
      </c>
      <c r="D193" s="18" t="str" cm="1">
        <f t="array" ref="D193">VLOOKUP(A193,'The List'!B1:F671,5,FALSE)</f>
        <v>TOR</v>
      </c>
      <c r="E193" s="55" cm="1">
        <f t="array" ref="E193">VLOOKUP(A193,'The List'!B1:I671,8,FALSE)</f>
        <v>-2.1703472375258155</v>
      </c>
      <c r="F193" s="55" cm="1">
        <f t="array" ref="F193">IF(Settings!$E$15="POINTS",E193-VLOOKUP(B$2,C1:E210,3,FALSE),J193)</f>
        <v>-9.0647328819156243</v>
      </c>
      <c r="G193" s="55"/>
      <c r="H193" s="166" cm="1">
        <f t="array" ref="H193">RANK(I193,I3:I210)</f>
        <v>164</v>
      </c>
      <c r="I193" s="167" cm="1">
        <f t="array" ref="I193">VLOOKUP(A193,'Standard Deviations'!A1:C672,3,FALSE)</f>
        <v>-2.1703472375258155</v>
      </c>
      <c r="J193" s="167" cm="1">
        <f t="array" ref="J193">I193-VLOOKUP(B$2,H1:J210,2,FALSE)</f>
        <v>-9.0647328819156243</v>
      </c>
    </row>
    <row r="194" spans="1:10" ht="21.25" customHeight="1" x14ac:dyDescent="0.15">
      <c r="A194" s="10" t="s">
        <v>766</v>
      </c>
      <c r="B194" s="93" t="str" cm="1">
        <f t="array" ref="B194">VLOOKUP(A194,'The List'!B1:D671,3,FALSE)</f>
        <v>C,LW</v>
      </c>
      <c r="C194" s="94" cm="1">
        <f t="array" ref="C194">IF(Settings!$E$15="POINTS",RANK(E194,E3:E210),H194)</f>
        <v>160</v>
      </c>
      <c r="D194" s="18" t="str" cm="1">
        <f t="array" ref="D194">VLOOKUP(A194,'The List'!B1:F671,5,FALSE)</f>
        <v>BOS</v>
      </c>
      <c r="E194" s="55" cm="1">
        <f t="array" ref="E194">VLOOKUP(A194,'The List'!B1:I671,8,FALSE)</f>
        <v>-1.8542978686534763</v>
      </c>
      <c r="F194" s="55" cm="1">
        <f t="array" ref="F194">IF(Settings!$E$15="POINTS",E194-VLOOKUP(B$2,C1:E210,3,FALSE),J194)</f>
        <v>-8.7486835130432858</v>
      </c>
      <c r="G194" s="55"/>
      <c r="H194" s="166" cm="1">
        <f t="array" ref="H194">RANK(I194,I3:I210)</f>
        <v>160</v>
      </c>
      <c r="I194" s="167" cm="1">
        <f t="array" ref="I194">VLOOKUP(A194,'Standard Deviations'!A1:C672,3,FALSE)</f>
        <v>-1.8542978686534763</v>
      </c>
      <c r="J194" s="167" cm="1">
        <f t="array" ref="J194">I194-VLOOKUP(B$2,H1:J210,2,FALSE)</f>
        <v>-8.7486835130432858</v>
      </c>
    </row>
    <row r="195" spans="1:10" ht="21.25" customHeight="1" x14ac:dyDescent="0.15">
      <c r="A195" s="10" t="s">
        <v>767</v>
      </c>
      <c r="B195" s="93" t="str" cm="1">
        <f t="array" ref="B195">VLOOKUP(A195,'The List'!B1:D671,3,FALSE)</f>
        <v>LW</v>
      </c>
      <c r="C195" s="94" cm="1">
        <f t="array" ref="C195">IF(Settings!$E$15="POINTS",RANK(E195,E3:E210),H195)</f>
        <v>117</v>
      </c>
      <c r="D195" s="18" t="str" cm="1">
        <f t="array" ref="D195">VLOOKUP(A195,'The List'!B1:F671,5,FALSE)</f>
        <v>CAR</v>
      </c>
      <c r="E195" s="55" cm="1">
        <f t="array" ref="E195">VLOOKUP(A195,'The List'!B1:I671,8,FALSE)</f>
        <v>-0.20251232233313554</v>
      </c>
      <c r="F195" s="55" cm="1">
        <f t="array" ref="F195">IF(Settings!$E$15="POINTS",E195-VLOOKUP(B$2,C1:E210,3,FALSE),J195)</f>
        <v>-7.0968979667229455</v>
      </c>
      <c r="G195" s="55"/>
      <c r="H195" s="166" cm="1">
        <f t="array" ref="H195">RANK(I195,I3:I210)</f>
        <v>117</v>
      </c>
      <c r="I195" s="167" cm="1">
        <f t="array" ref="I195">VLOOKUP(A195,'Standard Deviations'!A1:C672,3,FALSE)</f>
        <v>-0.20251232233313554</v>
      </c>
      <c r="J195" s="167" cm="1">
        <f t="array" ref="J195">I195-VLOOKUP(B$2,H1:J210,2,FALSE)</f>
        <v>-7.0968979667229455</v>
      </c>
    </row>
    <row r="196" spans="1:10" ht="21.25" customHeight="1" x14ac:dyDescent="0.15">
      <c r="A196" s="10" t="s">
        <v>763</v>
      </c>
      <c r="B196" s="93" t="str" cm="1">
        <f t="array" ref="B196">VLOOKUP(A196,'The List'!B1:D671,3,FALSE)</f>
        <v>LW,RW</v>
      </c>
      <c r="C196" s="94" cm="1">
        <f t="array" ref="C196">IF(Settings!$E$15="POINTS",RANK(E196,E3:E210),H196)</f>
        <v>198</v>
      </c>
      <c r="D196" s="18" t="str" cm="1">
        <f t="array" ref="D196">VLOOKUP(A196,'The List'!B1:F671,5,FALSE)</f>
        <v>CGY</v>
      </c>
      <c r="E196" s="55" cm="1">
        <f t="array" ref="E196">VLOOKUP(A196,'The List'!B1:I671,8,FALSE)</f>
        <v>-4.0634360510744019</v>
      </c>
      <c r="F196" s="55" cm="1">
        <f t="array" ref="F196">IF(Settings!$E$15="POINTS",E196-VLOOKUP(B$2,C1:E210,3,FALSE),J196)</f>
        <v>-10.957821695464212</v>
      </c>
      <c r="G196" s="55"/>
      <c r="H196" s="166" cm="1">
        <f t="array" ref="H196">RANK(I196,I3:I210)</f>
        <v>198</v>
      </c>
      <c r="I196" s="167" cm="1">
        <f t="array" ref="I196">VLOOKUP(A196,'Standard Deviations'!A1:C672,3,FALSE)</f>
        <v>-4.0634360510744019</v>
      </c>
      <c r="J196" s="167" cm="1">
        <f t="array" ref="J196">I196-VLOOKUP(B$2,H1:J210,2,FALSE)</f>
        <v>-10.957821695464212</v>
      </c>
    </row>
    <row r="197" spans="1:10" ht="21.25" customHeight="1" x14ac:dyDescent="0.15">
      <c r="A197" s="10" t="s">
        <v>768</v>
      </c>
      <c r="B197" s="93" t="str" cm="1">
        <f t="array" ref="B197">VLOOKUP(A197,'The List'!B1:D671,3,FALSE)</f>
        <v>LW</v>
      </c>
      <c r="C197" s="94" cm="1">
        <f t="array" ref="C197">IF(Settings!$E$15="POINTS",RANK(E197,E3:E210),H197)</f>
        <v>173</v>
      </c>
      <c r="D197" s="18" t="str" cm="1">
        <f t="array" ref="D197">VLOOKUP(A197,'The List'!B1:F671,5,FALSE)</f>
        <v>EDM</v>
      </c>
      <c r="E197" s="55" cm="1">
        <f t="array" ref="E197">VLOOKUP(A197,'The List'!B1:I671,8,FALSE)</f>
        <v>-2.7384303578022071</v>
      </c>
      <c r="F197" s="55" cm="1">
        <f t="array" ref="F197">IF(Settings!$E$15="POINTS",E197-VLOOKUP(B$2,C1:E210,3,FALSE),J197)</f>
        <v>-9.6328160021920173</v>
      </c>
      <c r="G197" s="55"/>
      <c r="H197" s="166" cm="1">
        <f t="array" ref="H197">RANK(I197,I3:I210)</f>
        <v>173</v>
      </c>
      <c r="I197" s="167" cm="1">
        <f t="array" ref="I197">VLOOKUP(A197,'Standard Deviations'!A1:C672,3,FALSE)</f>
        <v>-2.7384303578022071</v>
      </c>
      <c r="J197" s="167" cm="1">
        <f t="array" ref="J197">I197-VLOOKUP(B$2,H1:J210,2,FALSE)</f>
        <v>-9.6328160021920173</v>
      </c>
    </row>
    <row r="198" spans="1:10" ht="21.25" customHeight="1" x14ac:dyDescent="0.15">
      <c r="A198" s="10" t="s">
        <v>770</v>
      </c>
      <c r="B198" s="93" t="str" cm="1">
        <f t="array" ref="B198">VLOOKUP(A198,'The List'!B1:D671,3,FALSE)</f>
        <v>LW</v>
      </c>
      <c r="C198" s="94" cm="1">
        <f t="array" ref="C198">IF(Settings!$E$15="POINTS",RANK(E198,E3:E210),H198)</f>
        <v>183</v>
      </c>
      <c r="D198" s="18" t="str" cm="1">
        <f t="array" ref="D198">VLOOKUP(A198,'The List'!B1:F671,5,FALSE)</f>
        <v>VAN</v>
      </c>
      <c r="E198" s="55" cm="1">
        <f t="array" ref="E198">VLOOKUP(A198,'The List'!B1:I671,8,FALSE)</f>
        <v>-3.0727250031253059</v>
      </c>
      <c r="F198" s="55" cm="1">
        <f t="array" ref="F198">IF(Settings!$E$15="POINTS",E198-VLOOKUP(B$2,C1:E210,3,FALSE),J198)</f>
        <v>-9.9671106475151152</v>
      </c>
      <c r="G198" s="55"/>
      <c r="H198" s="166" cm="1">
        <f t="array" ref="H198">RANK(I198,I3:I210)</f>
        <v>183</v>
      </c>
      <c r="I198" s="167" cm="1">
        <f t="array" ref="I198">VLOOKUP(A198,'Standard Deviations'!A1:C672,3,FALSE)</f>
        <v>-3.0727250031253059</v>
      </c>
      <c r="J198" s="167" cm="1">
        <f t="array" ref="J198">I198-VLOOKUP(B$2,H1:J210,2,FALSE)</f>
        <v>-9.9671106475151152</v>
      </c>
    </row>
    <row r="199" spans="1:10" ht="21.25" customHeight="1" x14ac:dyDescent="0.15">
      <c r="A199" s="10" t="s">
        <v>774</v>
      </c>
      <c r="B199" s="93" t="str" cm="1">
        <f t="array" ref="B199">VLOOKUP(A199,'The List'!B1:D671,3,FALSE)</f>
        <v>C,LW</v>
      </c>
      <c r="C199" s="94" cm="1">
        <f t="array" ref="C199">IF(Settings!$E$15="POINTS",RANK(E199,E3:E210),H199)</f>
        <v>190</v>
      </c>
      <c r="D199" s="18" t="str" cm="1">
        <f t="array" ref="D199">VLOOKUP(A199,'The List'!B1:F671,5,FALSE)</f>
        <v>NSH</v>
      </c>
      <c r="E199" s="55" cm="1">
        <f t="array" ref="E199">VLOOKUP(A199,'The List'!B1:I671,8,FALSE)</f>
        <v>-3.5213081359452563</v>
      </c>
      <c r="F199" s="55" cm="1">
        <f t="array" ref="F199">IF(Settings!$E$15="POINTS",E199-VLOOKUP(B$2,C1:E210,3,FALSE),J199)</f>
        <v>-10.415693780335065</v>
      </c>
      <c r="G199" s="55"/>
      <c r="H199" s="166" cm="1">
        <f t="array" ref="H199">RANK(I199,I3:I210)</f>
        <v>190</v>
      </c>
      <c r="I199" s="167" cm="1">
        <f t="array" ref="I199">VLOOKUP(A199,'Standard Deviations'!A1:C672,3,FALSE)</f>
        <v>-3.5213081359452563</v>
      </c>
      <c r="J199" s="167" cm="1">
        <f t="array" ref="J199">I199-VLOOKUP(B$2,H1:J210,2,FALSE)</f>
        <v>-10.415693780335065</v>
      </c>
    </row>
    <row r="200" spans="1:10" ht="21.25" customHeight="1" x14ac:dyDescent="0.15">
      <c r="A200" s="10" t="s">
        <v>776</v>
      </c>
      <c r="B200" s="93" t="str" cm="1">
        <f t="array" ref="B200">VLOOKUP(A200,'The List'!B1:D671,3,FALSE)</f>
        <v>C,LW</v>
      </c>
      <c r="C200" s="94" cm="1">
        <f t="array" ref="C200">IF(Settings!$E$15="POINTS",RANK(E200,E3:E210),H200)</f>
        <v>195</v>
      </c>
      <c r="D200" s="18" t="str" cm="1">
        <f t="array" ref="D200">VLOOKUP(A200,'The List'!B1:F671,5,FALSE)</f>
        <v>DAL</v>
      </c>
      <c r="E200" s="55" cm="1">
        <f t="array" ref="E200">VLOOKUP(A200,'The List'!B1:I671,8,FALSE)</f>
        <v>-3.6829667851601449</v>
      </c>
      <c r="F200" s="55" cm="1">
        <f t="array" ref="F200">IF(Settings!$E$15="POINTS",E200-VLOOKUP(B$2,C1:E210,3,FALSE),J200)</f>
        <v>-10.577352429549954</v>
      </c>
      <c r="G200" s="55"/>
      <c r="H200" s="166" cm="1">
        <f t="array" ref="H200">RANK(I200,I3:I210)</f>
        <v>195</v>
      </c>
      <c r="I200" s="167" cm="1">
        <f t="array" ref="I200">VLOOKUP(A200,'Standard Deviations'!A1:C672,3,FALSE)</f>
        <v>-3.6829667851601449</v>
      </c>
      <c r="J200" s="167" cm="1">
        <f t="array" ref="J200">I200-VLOOKUP(B$2,H1:J210,2,FALSE)</f>
        <v>-10.577352429549954</v>
      </c>
    </row>
    <row r="201" spans="1:10" ht="21.25" customHeight="1" x14ac:dyDescent="0.15">
      <c r="A201" s="10" t="s">
        <v>779</v>
      </c>
      <c r="B201" s="93" t="str" cm="1">
        <f t="array" ref="B201">VLOOKUP(A201,'The List'!B1:D671,3,FALSE)</f>
        <v>C,LW</v>
      </c>
      <c r="C201" s="94" cm="1">
        <f t="array" ref="C201">IF(Settings!$E$15="POINTS",RANK(E201,E3:E210),H201)</f>
        <v>205</v>
      </c>
      <c r="D201" s="18" t="str" cm="1">
        <f t="array" ref="D201">VLOOKUP(A201,'The List'!B1:F671,5,FALSE)</f>
        <v>SEA</v>
      </c>
      <c r="E201" s="55" cm="1">
        <f t="array" ref="E201">VLOOKUP(A201,'The List'!B1:I671,8,FALSE)</f>
        <v>-4.861795825206344</v>
      </c>
      <c r="F201" s="55" cm="1">
        <f t="array" ref="F201">IF(Settings!$E$15="POINTS",E201-VLOOKUP(B$2,C1:E210,3,FALSE),J201)</f>
        <v>-11.756181469596154</v>
      </c>
      <c r="G201" s="55"/>
      <c r="H201" s="166" cm="1">
        <f t="array" ref="H201">RANK(I201,I3:I210)</f>
        <v>205</v>
      </c>
      <c r="I201" s="167" cm="1">
        <f t="array" ref="I201">VLOOKUP(A201,'Standard Deviations'!A1:C672,3,FALSE)</f>
        <v>-4.861795825206344</v>
      </c>
      <c r="J201" s="167" cm="1">
        <f t="array" ref="J201">I201-VLOOKUP(B$2,H1:J210,2,FALSE)</f>
        <v>-11.756181469596154</v>
      </c>
    </row>
    <row r="202" spans="1:10" ht="21.25" customHeight="1" x14ac:dyDescent="0.15">
      <c r="A202" s="10" t="s">
        <v>781</v>
      </c>
      <c r="B202" s="93" t="str" cm="1">
        <f t="array" ref="B202">VLOOKUP(A202,'The List'!B1:D671,3,FALSE)</f>
        <v>LW</v>
      </c>
      <c r="C202" s="94" cm="1">
        <f t="array" ref="C202">IF(Settings!$E$15="POINTS",RANK(E202,E3:E210),H202)</f>
        <v>192</v>
      </c>
      <c r="D202" s="18" t="str" cm="1">
        <f t="array" ref="D202">VLOOKUP(A202,'The List'!B1:F671,5,FALSE)</f>
        <v>NSH</v>
      </c>
      <c r="E202" s="55" cm="1">
        <f t="array" ref="E202">VLOOKUP(A202,'The List'!B1:I671,8,FALSE)</f>
        <v>-3.5242294259694704</v>
      </c>
      <c r="F202" s="55" cm="1">
        <f t="array" ref="F202">IF(Settings!$E$15="POINTS",E202-VLOOKUP(B$2,C1:E210,3,FALSE),J202)</f>
        <v>-10.41861507035928</v>
      </c>
      <c r="G202" s="55"/>
      <c r="H202" s="166" cm="1">
        <f t="array" ref="H202">RANK(I202,I3:I210)</f>
        <v>192</v>
      </c>
      <c r="I202" s="167" cm="1">
        <f t="array" ref="I202">VLOOKUP(A202,'Standard Deviations'!A1:C672,3,FALSE)</f>
        <v>-3.5242294259694704</v>
      </c>
      <c r="J202" s="167" cm="1">
        <f t="array" ref="J202">I202-VLOOKUP(B$2,H1:J210,2,FALSE)</f>
        <v>-10.41861507035928</v>
      </c>
    </row>
    <row r="203" spans="1:10" ht="21.25" customHeight="1" x14ac:dyDescent="0.15">
      <c r="A203" s="10" t="s">
        <v>777</v>
      </c>
      <c r="B203" s="93" t="str" cm="1">
        <f t="array" ref="B203">VLOOKUP(A203,'The List'!B1:D671,3,FALSE)</f>
        <v>LW,RW</v>
      </c>
      <c r="C203" s="94" cm="1">
        <f t="array" ref="C203">IF(Settings!$E$15="POINTS",RANK(E203,E3:E210),H203)</f>
        <v>189</v>
      </c>
      <c r="D203" s="18" t="str" cm="1">
        <f t="array" ref="D203">VLOOKUP(A203,'The List'!B1:F671,5,FALSE)</f>
        <v>PHI</v>
      </c>
      <c r="E203" s="55" cm="1">
        <f t="array" ref="E203">VLOOKUP(A203,'The List'!B1:I671,8,FALSE)</f>
        <v>-3.5019036343420527</v>
      </c>
      <c r="F203" s="55" cm="1">
        <f t="array" ref="F203">IF(Settings!$E$15="POINTS",E203-VLOOKUP(B$2,C1:E210,3,FALSE),J203)</f>
        <v>-10.396289278731862</v>
      </c>
      <c r="G203" s="55"/>
      <c r="H203" s="166" cm="1">
        <f t="array" ref="H203">RANK(I203,I3:I210)</f>
        <v>189</v>
      </c>
      <c r="I203" s="167" cm="1">
        <f t="array" ref="I203">VLOOKUP(A203,'Standard Deviations'!A1:C672,3,FALSE)</f>
        <v>-3.5019036343420527</v>
      </c>
      <c r="J203" s="167" cm="1">
        <f t="array" ref="J203">I203-VLOOKUP(B$2,H1:J210,2,FALSE)</f>
        <v>-10.396289278731862</v>
      </c>
    </row>
    <row r="204" spans="1:10" ht="21.25" customHeight="1" x14ac:dyDescent="0.15">
      <c r="A204" s="10" t="s">
        <v>783</v>
      </c>
      <c r="B204" s="93" t="str" cm="1">
        <f t="array" ref="B204">VLOOKUP(A204,'The List'!B1:D671,3,FALSE)</f>
        <v>LW</v>
      </c>
      <c r="C204" s="94" cm="1">
        <f t="array" ref="C204">IF(Settings!$E$15="POINTS",RANK(E204,E3:E210),H204)</f>
        <v>157</v>
      </c>
      <c r="D204" s="18" t="str" cm="1">
        <f t="array" ref="D204">VLOOKUP(A204,'The List'!B1:F671,5,FALSE)</f>
        <v>T.B</v>
      </c>
      <c r="E204" s="55" cm="1">
        <f t="array" ref="E204">VLOOKUP(A204,'The List'!B1:I671,8,FALSE)</f>
        <v>-1.7283872596701955</v>
      </c>
      <c r="F204" s="55" cm="1">
        <f t="array" ref="F204">IF(Settings!$E$15="POINTS",E204-VLOOKUP(B$2,C1:E210,3,FALSE),J204)</f>
        <v>-8.622772904060005</v>
      </c>
      <c r="G204" s="55"/>
      <c r="H204" s="166" cm="1">
        <f t="array" ref="H204">RANK(I204,I3:I210)</f>
        <v>157</v>
      </c>
      <c r="I204" s="167" cm="1">
        <f t="array" ref="I204">VLOOKUP(A204,'Standard Deviations'!A1:C672,3,FALSE)</f>
        <v>-1.7283872596701955</v>
      </c>
      <c r="J204" s="167" cm="1">
        <f t="array" ref="J204">I204-VLOOKUP(B$2,H1:J210,2,FALSE)</f>
        <v>-8.622772904060005</v>
      </c>
    </row>
    <row r="205" spans="1:10" ht="21.25" customHeight="1" x14ac:dyDescent="0.15">
      <c r="A205" s="10" t="s">
        <v>785</v>
      </c>
      <c r="B205" s="93" t="str" cm="1">
        <f t="array" ref="B205">VLOOKUP(A205,'The List'!B1:D671,3,FALSE)</f>
        <v>C,LW</v>
      </c>
      <c r="C205" s="94" cm="1">
        <f t="array" ref="C205">IF(Settings!$E$15="POINTS",RANK(E205,E3:E210),H205)</f>
        <v>184</v>
      </c>
      <c r="D205" s="18" t="str" cm="1">
        <f t="array" ref="D205">VLOOKUP(A205,'The List'!B1:F671,5,FALSE)</f>
        <v>N.J</v>
      </c>
      <c r="E205" s="55" cm="1">
        <f t="array" ref="E205">VLOOKUP(A205,'The List'!B1:I671,8,FALSE)</f>
        <v>-3.0795150760567567</v>
      </c>
      <c r="F205" s="55" cm="1">
        <f t="array" ref="F205">IF(Settings!$E$15="POINTS",E205-VLOOKUP(B$2,C1:E210,3,FALSE),J205)</f>
        <v>-9.9739007204465668</v>
      </c>
      <c r="G205" s="55"/>
      <c r="H205" s="166" cm="1">
        <f t="array" ref="H205">RANK(I205,I3:I210)</f>
        <v>184</v>
      </c>
      <c r="I205" s="167" cm="1">
        <f t="array" ref="I205">VLOOKUP(A205,'Standard Deviations'!A1:C672,3,FALSE)</f>
        <v>-3.0795150760567567</v>
      </c>
      <c r="J205" s="167" cm="1">
        <f t="array" ref="J205">I205-VLOOKUP(B$2,H1:J210,2,FALSE)</f>
        <v>-9.9739007204465668</v>
      </c>
    </row>
    <row r="206" spans="1:10" ht="21.25" customHeight="1" x14ac:dyDescent="0.15">
      <c r="A206" s="10" t="s">
        <v>782</v>
      </c>
      <c r="B206" s="93" t="str" cm="1">
        <f t="array" ref="B206">VLOOKUP(A206,'The List'!B1:D671,3,FALSE)</f>
        <v>LW,RW</v>
      </c>
      <c r="C206" s="94" cm="1">
        <f t="array" ref="C206">IF(Settings!$E$15="POINTS",RANK(E206,E3:E210),H206)</f>
        <v>180</v>
      </c>
      <c r="D206" s="18" t="str" cm="1">
        <f t="array" ref="D206">VLOOKUP(A206,'The List'!B1:F671,5,FALSE)</f>
        <v>UTA</v>
      </c>
      <c r="E206" s="55" cm="1">
        <f t="array" ref="E206">VLOOKUP(A206,'The List'!B1:I671,8,FALSE)</f>
        <v>-2.9801103622299596</v>
      </c>
      <c r="F206" s="55" cm="1">
        <f t="array" ref="F206">IF(Settings!$E$15="POINTS",E206-VLOOKUP(B$2,C1:E210,3,FALSE),J206)</f>
        <v>-9.8744960066197685</v>
      </c>
      <c r="G206" s="55"/>
      <c r="H206" s="166" cm="1">
        <f t="array" ref="H206">RANK(I206,I3:I210)</f>
        <v>180</v>
      </c>
      <c r="I206" s="167" cm="1">
        <f t="array" ref="I206">VLOOKUP(A206,'Standard Deviations'!A1:C672,3,FALSE)</f>
        <v>-2.9801103622299596</v>
      </c>
      <c r="J206" s="167" cm="1">
        <f t="array" ref="J206">I206-VLOOKUP(B$2,H1:J210,2,FALSE)</f>
        <v>-9.8744960066197685</v>
      </c>
    </row>
    <row r="207" spans="1:10" ht="21.25" customHeight="1" x14ac:dyDescent="0.15">
      <c r="A207" s="10" t="s">
        <v>787</v>
      </c>
      <c r="B207" s="93" t="str" cm="1">
        <f t="array" ref="B207">VLOOKUP(A207,'The List'!B1:D671,3,FALSE)</f>
        <v>LW,RW</v>
      </c>
      <c r="C207" s="94" cm="1">
        <f t="array" ref="C207">IF(Settings!$E$15="POINTS",RANK(E207,E3:E210),H207)</f>
        <v>207</v>
      </c>
      <c r="D207" s="18" t="str" cm="1">
        <f t="array" ref="D207">VLOOKUP(A207,'The List'!B1:F671,5,FALSE)</f>
        <v>CHI</v>
      </c>
      <c r="E207" s="55" cm="1">
        <f t="array" ref="E207">VLOOKUP(A207,'The List'!B1:I671,8,FALSE)</f>
        <v>-5.3817048702612533</v>
      </c>
      <c r="F207" s="55" cm="1">
        <f t="array" ref="F207">IF(Settings!$E$15="POINTS",E207-VLOOKUP(B$2,C1:E210,3,FALSE),J207)</f>
        <v>-12.276090514651063</v>
      </c>
      <c r="G207" s="55"/>
      <c r="H207" s="166" cm="1">
        <f t="array" ref="H207">RANK(I207,I3:I210)</f>
        <v>207</v>
      </c>
      <c r="I207" s="167" cm="1">
        <f t="array" ref="I207">VLOOKUP(A207,'Standard Deviations'!A1:C672,3,FALSE)</f>
        <v>-5.3817048702612533</v>
      </c>
      <c r="J207" s="167" cm="1">
        <f t="array" ref="J207">I207-VLOOKUP(B$2,H1:J210,2,FALSE)</f>
        <v>-12.276090514651063</v>
      </c>
    </row>
    <row r="208" spans="1:10" ht="21.25" customHeight="1" x14ac:dyDescent="0.15">
      <c r="A208" s="10" t="s">
        <v>792</v>
      </c>
      <c r="B208" s="93" t="str" cm="1">
        <f t="array" ref="B208">VLOOKUP(A208,'The List'!B1:D671,3,FALSE)</f>
        <v>LW</v>
      </c>
      <c r="C208" s="94" cm="1">
        <f t="array" ref="C208">IF(Settings!$E$15="POINTS",RANK(E208,E3:E210),H208)</f>
        <v>188</v>
      </c>
      <c r="D208" s="18" t="str" cm="1">
        <f t="array" ref="D208">VLOOKUP(A208,'The List'!B1:F671,5,FALSE)</f>
        <v>ANA</v>
      </c>
      <c r="E208" s="55" cm="1">
        <f t="array" ref="E208">VLOOKUP(A208,'The List'!B1:I671,8,FALSE)</f>
        <v>-3.4858021253717495</v>
      </c>
      <c r="F208" s="55" cm="1">
        <f t="array" ref="F208">IF(Settings!$E$15="POINTS",E208-VLOOKUP(B$2,C1:E210,3,FALSE),J208)</f>
        <v>-10.380187769761559</v>
      </c>
      <c r="G208" s="55"/>
      <c r="H208" s="166" cm="1">
        <f t="array" ref="H208">RANK(I208,I3:I210)</f>
        <v>188</v>
      </c>
      <c r="I208" s="167" cm="1">
        <f t="array" ref="I208">VLOOKUP(A208,'Standard Deviations'!A1:C672,3,FALSE)</f>
        <v>-3.4858021253717495</v>
      </c>
      <c r="J208" s="167" cm="1">
        <f t="array" ref="J208">I208-VLOOKUP(B$2,H1:J210,2,FALSE)</f>
        <v>-10.380187769761559</v>
      </c>
    </row>
    <row r="209" spans="1:10" ht="21.25" customHeight="1" x14ac:dyDescent="0.15">
      <c r="A209" s="10" t="s">
        <v>794</v>
      </c>
      <c r="B209" s="93" t="str" cm="1">
        <f t="array" ref="B209">VLOOKUP(A209,'The List'!B1:D671,3,FALSE)</f>
        <v>LW,RW</v>
      </c>
      <c r="C209" s="94" cm="1">
        <f t="array" ref="C209">IF(Settings!$E$15="POINTS",RANK(E209,E3:E210),H209)</f>
        <v>169</v>
      </c>
      <c r="D209" s="18" t="str" cm="1">
        <f t="array" ref="D209">VLOOKUP(A209,'The List'!B1:F671,5,FALSE)</f>
        <v>UTA</v>
      </c>
      <c r="E209" s="55" cm="1">
        <f t="array" ref="E209">VLOOKUP(A209,'The List'!B1:I671,8,FALSE)</f>
        <v>-2.5185366996230396</v>
      </c>
      <c r="F209" s="55" cm="1">
        <f t="array" ref="F209">IF(Settings!$E$15="POINTS",E209-VLOOKUP(B$2,C1:E210,3,FALSE),J209)</f>
        <v>-9.4129223440128484</v>
      </c>
      <c r="G209" s="55"/>
      <c r="H209" s="166" cm="1">
        <f t="array" ref="H209">RANK(I209,I3:I210)</f>
        <v>169</v>
      </c>
      <c r="I209" s="167" cm="1">
        <f t="array" ref="I209">VLOOKUP(A209,'Standard Deviations'!A1:C672,3,FALSE)</f>
        <v>-2.5185366996230396</v>
      </c>
      <c r="J209" s="167" cm="1">
        <f t="array" ref="J209">I209-VLOOKUP(B$2,H1:J210,2,FALSE)</f>
        <v>-9.4129223440128484</v>
      </c>
    </row>
    <row r="210" spans="1:10" ht="21.25" customHeight="1" x14ac:dyDescent="0.15">
      <c r="A210" s="10" t="s">
        <v>796</v>
      </c>
      <c r="B210" s="93" t="str" cm="1">
        <f t="array" ref="B210">VLOOKUP(A210,'The List'!B1:D671,3,FALSE)</f>
        <v>LW</v>
      </c>
      <c r="C210" s="94" cm="1">
        <f t="array" ref="C210">IF(Settings!$E$15="POINTS",RANK(E210,E3:E210),H210)</f>
        <v>185</v>
      </c>
      <c r="D210" s="18" t="str" cm="1">
        <f t="array" ref="D210">VLOOKUP(A210,'The List'!B1:F671,5,FALSE)</f>
        <v>FLA</v>
      </c>
      <c r="E210" s="55" cm="1">
        <f t="array" ref="E210">VLOOKUP(A210,'The List'!B1:I671,8,FALSE)</f>
        <v>-3.1177692923723512</v>
      </c>
      <c r="F210" s="55" cm="1">
        <f t="array" ref="F210">IF(Settings!$E$15="POINTS",E210-VLOOKUP(B$2,C1:E210,3,FALSE),J210)</f>
        <v>-10.012154936762162</v>
      </c>
      <c r="G210" s="55"/>
      <c r="H210" s="166" cm="1">
        <f t="array" ref="H210">RANK(I210,I3:I210)</f>
        <v>185</v>
      </c>
      <c r="I210" s="167" cm="1">
        <f t="array" ref="I210">VLOOKUP(A210,'Standard Deviations'!A1:C672,3,FALSE)</f>
        <v>-3.1177692923723512</v>
      </c>
      <c r="J210" s="167" cm="1">
        <f t="array" ref="J210">I210-VLOOKUP(B$2,H1:J210,2,FALSE)</f>
        <v>-10.012154936762162</v>
      </c>
    </row>
  </sheetData>
  <conditionalFormatting sqref="C3:C210 H3:H210">
    <cfRule type="containsText" dxfId="23" priority="1" stopIfTrue="1" operator="containsText" text="/">
      <formula>NOT(ISERROR(FIND(UPPER("/"),UPPER(C3))))</formula>
      <formula>"/"</formula>
    </cfRule>
    <cfRule type="containsText" dxfId="22" priority="2" stopIfTrue="1" operator="containsText" text="C">
      <formula>NOT(ISERROR(FIND(UPPER("C"),UPPER(C3))))</formula>
      <formula>"C"</formula>
    </cfRule>
    <cfRule type="containsText" dxfId="21" priority="3" stopIfTrue="1" operator="containsText" text="D">
      <formula>NOT(ISERROR(FIND(UPPER("D"),UPPER(C3))))</formula>
      <formula>"D"</formula>
    </cfRule>
    <cfRule type="containsText" dxfId="20" priority="4" stopIfTrue="1" operator="containsText" text="LW">
      <formula>NOT(ISERROR(FIND(UPPER("LW"),UPPER(C3))))</formula>
      <formula>"LW"</formula>
    </cfRule>
    <cfRule type="containsText" dxfId="19" priority="5" stopIfTrue="1" operator="containsText" text="RW">
      <formula>NOT(ISERROR(FIND(UPPER("RW"),UPPER(C3))))</formula>
      <formula>"RW"</formula>
    </cfRule>
    <cfRule type="containsText" dxfId="18" priority="6" stopIfTrue="1" operator="containsText" text="G">
      <formula>NOT(ISERROR(FIND(UPPER("G"),UPPER(C3))))</formula>
      <formula>"G"</formula>
    </cfRule>
  </conditionalFormatting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210"/>
  <sheetViews>
    <sheetView showGridLines="0" workbookViewId="0">
      <pane ySplit="2" topLeftCell="A3" activePane="bottomLeft" state="frozen"/>
      <selection pane="bottomLeft" activeCell="F1" sqref="F1:F1048576"/>
    </sheetView>
  </sheetViews>
  <sheetFormatPr baseColWidth="10" defaultColWidth="8" defaultRowHeight="16.25" customHeight="1" x14ac:dyDescent="0.15"/>
  <cols>
    <col min="1" max="1" width="33" style="1" customWidth="1"/>
    <col min="2" max="2" width="7.1640625" style="1" customWidth="1"/>
    <col min="3" max="3" width="6" style="1" customWidth="1"/>
    <col min="4" max="6" width="8.33203125" style="1" customWidth="1"/>
    <col min="7" max="10" width="1.33203125" style="1" customWidth="1"/>
    <col min="11" max="11" width="8" style="1" customWidth="1"/>
    <col min="12" max="16384" width="8" style="1"/>
  </cols>
  <sheetData>
    <row r="1" spans="1:10" ht="28.25" customHeight="1" x14ac:dyDescent="0.15">
      <c r="A1" s="150" t="s">
        <v>816</v>
      </c>
      <c r="B1" s="151" t="s">
        <v>822</v>
      </c>
      <c r="C1" s="152"/>
      <c r="D1" s="4" t="s">
        <v>13</v>
      </c>
      <c r="E1" s="153" t="s">
        <v>818</v>
      </c>
      <c r="F1" s="151" t="s">
        <v>98</v>
      </c>
      <c r="G1" s="154"/>
      <c r="H1" s="155"/>
      <c r="I1" s="156" t="s">
        <v>819</v>
      </c>
      <c r="J1" s="157" t="s">
        <v>98</v>
      </c>
    </row>
    <row r="2" spans="1:10" ht="28.25" customHeight="1" x14ac:dyDescent="0.15">
      <c r="A2" s="158" t="s">
        <v>62</v>
      </c>
      <c r="B2" s="159" cm="1">
        <f t="array" ref="B2">Settings!F4</f>
        <v>22</v>
      </c>
      <c r="C2" s="160"/>
      <c r="D2" s="161"/>
      <c r="E2" s="162"/>
      <c r="F2" s="162"/>
      <c r="G2" s="162"/>
      <c r="H2" s="168"/>
      <c r="I2" s="169"/>
      <c r="J2" s="169"/>
    </row>
    <row r="3" spans="1:10" ht="21.25" customHeight="1" x14ac:dyDescent="0.15">
      <c r="A3" s="10" t="s">
        <v>128</v>
      </c>
      <c r="B3" s="96" t="str" cm="1">
        <f t="array" ref="B3">VLOOKUP(A3,'The List'!B1:D671,3,FALSE)</f>
        <v>RW</v>
      </c>
      <c r="C3" s="97" cm="1">
        <f t="array" ref="C3">IF(Settings!$E$15="POINTS",RANK(E3,E3:E210),H3)</f>
        <v>1</v>
      </c>
      <c r="D3" s="18" t="str" cm="1">
        <f t="array" ref="D3">VLOOKUP(A3,'The List'!B1:F671,5,FALSE)</f>
        <v>T.B</v>
      </c>
      <c r="E3" s="55" cm="1">
        <f t="array" ref="E3">VLOOKUP(A3,'The List'!B1:I671,8,FALSE)</f>
        <v>14.596009367605971</v>
      </c>
      <c r="F3" s="55" cm="1">
        <f t="array" ref="F3">IF(Settings!$E$15="POINTS",E3-VLOOKUP(B$2,C1:E210,3,FALSE),J3)</f>
        <v>7.7087747657968935</v>
      </c>
      <c r="G3" s="55"/>
      <c r="H3" s="170" cm="1">
        <f t="array" ref="H3">RANK(I3,I3:I210)</f>
        <v>1</v>
      </c>
      <c r="I3" s="171" cm="1">
        <f t="array" ref="I3">VLOOKUP(A3,'Standard Deviations'!A1:C672,3,FALSE)</f>
        <v>14.596009367605971</v>
      </c>
      <c r="J3" s="171" cm="1">
        <f t="array" ref="J3">I3-VLOOKUP(B$2,H1:J210,2,FALSE)</f>
        <v>7.7087747657968935</v>
      </c>
    </row>
    <row r="4" spans="1:10" ht="21.25" customHeight="1" x14ac:dyDescent="0.15">
      <c r="A4" s="10" t="s">
        <v>134</v>
      </c>
      <c r="B4" s="96" t="str" cm="1">
        <f t="array" ref="B4">VLOOKUP(A4,'The List'!B1:D671,3,FALSE)</f>
        <v>RW</v>
      </c>
      <c r="C4" s="97" cm="1">
        <f t="array" ref="C4">IF(Settings!$E$15="POINTS",RANK(E4,E3:E210),H4)</f>
        <v>3</v>
      </c>
      <c r="D4" s="18" t="str" cm="1">
        <f t="array" ref="D4">VLOOKUP(A4,'The List'!B1:F671,5,FALSE)</f>
        <v>BOS</v>
      </c>
      <c r="E4" s="55" cm="1">
        <f t="array" ref="E4">VLOOKUP(A4,'The List'!B1:I671,8,FALSE)</f>
        <v>10.639311884464874</v>
      </c>
      <c r="F4" s="55" cm="1">
        <f t="array" ref="F4">IF(Settings!$E$15="POINTS",E4-VLOOKUP(B$2,C1:E210,3,FALSE),J4)</f>
        <v>3.7520772826557964</v>
      </c>
      <c r="G4" s="55"/>
      <c r="H4" s="166" cm="1">
        <f t="array" ref="H4">RANK(I4,I3:I210)</f>
        <v>3</v>
      </c>
      <c r="I4" s="167" cm="1">
        <f t="array" ref="I4">VLOOKUP(A4,'Standard Deviations'!A1:C672,3,FALSE)</f>
        <v>10.639311884464874</v>
      </c>
      <c r="J4" s="167" cm="1">
        <f t="array" ref="J4">I4-VLOOKUP(B$2,H1:J210,2,FALSE)</f>
        <v>3.7520772826557964</v>
      </c>
    </row>
    <row r="5" spans="1:10" ht="21.25" customHeight="1" x14ac:dyDescent="0.15">
      <c r="A5" s="10" t="s">
        <v>141</v>
      </c>
      <c r="B5" s="96" t="str" cm="1">
        <f t="array" ref="B5">VLOOKUP(A5,'The List'!B1:D671,3,FALSE)</f>
        <v>LW,RW</v>
      </c>
      <c r="C5" s="97" cm="1">
        <f t="array" ref="C5">IF(Settings!$E$15="POINTS",RANK(E5,E3:E210),H5)</f>
        <v>5</v>
      </c>
      <c r="D5" s="18" t="str" cm="1">
        <f t="array" ref="D5">VLOOKUP(A5,'The List'!B1:F671,5,FALSE)</f>
        <v>MIN</v>
      </c>
      <c r="E5" s="55" cm="1">
        <f t="array" ref="E5">VLOOKUP(A5,'The List'!B1:I671,8,FALSE)</f>
        <v>10.069150958221819</v>
      </c>
      <c r="F5" s="55" cm="1">
        <f t="array" ref="F5">IF(Settings!$E$15="POINTS",E5-VLOOKUP(B$2,C1:E210,3,FALSE),J5)</f>
        <v>3.1819163564127413</v>
      </c>
      <c r="G5" s="55"/>
      <c r="H5" s="166" cm="1">
        <f t="array" ref="H5">RANK(I5,I3:I210)</f>
        <v>5</v>
      </c>
      <c r="I5" s="167" cm="1">
        <f t="array" ref="I5">VLOOKUP(A5,'Standard Deviations'!A1:C672,3,FALSE)</f>
        <v>10.069150958221819</v>
      </c>
      <c r="J5" s="167" cm="1">
        <f t="array" ref="J5">I5-VLOOKUP(B$2,H1:J210,2,FALSE)</f>
        <v>3.1819163564127413</v>
      </c>
    </row>
    <row r="6" spans="1:10" ht="21.25" customHeight="1" x14ac:dyDescent="0.15">
      <c r="A6" s="10" t="s">
        <v>142</v>
      </c>
      <c r="B6" s="96" t="str" cm="1">
        <f t="array" ref="B6">VLOOKUP(A6,'The List'!B1:D671,3,FALSE)</f>
        <v>LW,RW</v>
      </c>
      <c r="C6" s="97" cm="1">
        <f t="array" ref="C6">IF(Settings!$E$15="POINTS",RANK(E6,E3:E210),H6)</f>
        <v>2</v>
      </c>
      <c r="D6" s="18" t="str" cm="1">
        <f t="array" ref="D6">VLOOKUP(A6,'The List'!B1:F671,5,FALSE)</f>
        <v>DAL</v>
      </c>
      <c r="E6" s="55" cm="1">
        <f t="array" ref="E6">VLOOKUP(A6,'The List'!B1:I671,8,FALSE)</f>
        <v>11.586552088191054</v>
      </c>
      <c r="F6" s="55" cm="1">
        <f t="array" ref="F6">IF(Settings!$E$15="POINTS",E6-VLOOKUP(B$2,C1:E210,3,FALSE),J6)</f>
        <v>4.6993174863819762</v>
      </c>
      <c r="G6" s="55"/>
      <c r="H6" s="166" cm="1">
        <f t="array" ref="H6">RANK(I6,I3:I210)</f>
        <v>2</v>
      </c>
      <c r="I6" s="167" cm="1">
        <f t="array" ref="I6">VLOOKUP(A6,'Standard Deviations'!A1:C672,3,FALSE)</f>
        <v>11.586552088191054</v>
      </c>
      <c r="J6" s="167" cm="1">
        <f t="array" ref="J6">I6-VLOOKUP(B$2,H1:J210,2,FALSE)</f>
        <v>4.6993174863819762</v>
      </c>
    </row>
    <row r="7" spans="1:10" ht="21.25" customHeight="1" x14ac:dyDescent="0.15">
      <c r="A7" s="10" t="s">
        <v>152</v>
      </c>
      <c r="B7" s="96" t="str" cm="1">
        <f t="array" ref="B7">VLOOKUP(A7,'The List'!B1:D671,3,FALSE)</f>
        <v>RW</v>
      </c>
      <c r="C7" s="97" cm="1">
        <f t="array" ref="C7">IF(Settings!$E$15="POINTS",RANK(E7,E3:E210),H7)</f>
        <v>4</v>
      </c>
      <c r="D7" s="18" t="str" cm="1">
        <f t="array" ref="D7">VLOOKUP(A7,'The List'!B1:F671,5,FALSE)</f>
        <v>COL</v>
      </c>
      <c r="E7" s="55" cm="1">
        <f t="array" ref="E7">VLOOKUP(A7,'The List'!B1:I671,8,FALSE)</f>
        <v>10.531693048144161</v>
      </c>
      <c r="F7" s="55" cm="1">
        <f t="array" ref="F7">IF(Settings!$E$15="POINTS",E7-VLOOKUP(B$2,C1:E210,3,FALSE),J7)</f>
        <v>3.6444584463350838</v>
      </c>
      <c r="G7" s="55"/>
      <c r="H7" s="166" cm="1">
        <f t="array" ref="H7">RANK(I7,I3:I210)</f>
        <v>4</v>
      </c>
      <c r="I7" s="167" cm="1">
        <f t="array" ref="I7">VLOOKUP(A7,'Standard Deviations'!A1:C672,3,FALSE)</f>
        <v>10.531693048144161</v>
      </c>
      <c r="J7" s="167" cm="1">
        <f t="array" ref="J7">I7-VLOOKUP(B$2,H1:J210,2,FALSE)</f>
        <v>3.6444584463350838</v>
      </c>
    </row>
    <row r="8" spans="1:10" ht="21.25" customHeight="1" x14ac:dyDescent="0.15">
      <c r="A8" s="10" t="s">
        <v>154</v>
      </c>
      <c r="B8" s="96" t="str" cm="1">
        <f t="array" ref="B8">VLOOKUP(A8,'The List'!B1:D671,3,FALSE)</f>
        <v>C,RW</v>
      </c>
      <c r="C8" s="97" cm="1">
        <f t="array" ref="C8">IF(Settings!$E$15="POINTS",RANK(E8,E3:E210),H8)</f>
        <v>6</v>
      </c>
      <c r="D8" s="18" t="str" cm="1">
        <f t="array" ref="D8">VLOOKUP(A8,'The List'!B1:F671,5,FALSE)</f>
        <v>DAL</v>
      </c>
      <c r="E8" s="55" cm="1">
        <f t="array" ref="E8">VLOOKUP(A8,'The List'!B1:I671,8,FALSE)</f>
        <v>9.3644110030371781</v>
      </c>
      <c r="F8" s="55" cm="1">
        <f t="array" ref="F8">IF(Settings!$E$15="POINTS",E8-VLOOKUP(B$2,C1:E210,3,FALSE),J8)</f>
        <v>2.4771764012281006</v>
      </c>
      <c r="G8" s="55"/>
      <c r="H8" s="166" cm="1">
        <f t="array" ref="H8">RANK(I8,I3:I210)</f>
        <v>6</v>
      </c>
      <c r="I8" s="167" cm="1">
        <f t="array" ref="I8">VLOOKUP(A8,'Standard Deviations'!A1:C672,3,FALSE)</f>
        <v>9.3644110030371781</v>
      </c>
      <c r="J8" s="167" cm="1">
        <f t="array" ref="J8">I8-VLOOKUP(B$2,H1:J210,2,FALSE)</f>
        <v>2.4771764012281006</v>
      </c>
    </row>
    <row r="9" spans="1:10" ht="21.25" customHeight="1" x14ac:dyDescent="0.15">
      <c r="A9" s="10" t="s">
        <v>157</v>
      </c>
      <c r="B9" s="96" t="str" cm="1">
        <f t="array" ref="B9">VLOOKUP(A9,'The List'!B1:D671,3,FALSE)</f>
        <v>C,RW</v>
      </c>
      <c r="C9" s="97" cm="1">
        <f t="array" ref="C9">IF(Settings!$E$15="POINTS",RANK(E9,E3:E210),H9)</f>
        <v>17</v>
      </c>
      <c r="D9" s="18" t="str" cm="1">
        <f t="array" ref="D9">VLOOKUP(A9,'The List'!B1:F671,5,FALSE)</f>
        <v>TOR</v>
      </c>
      <c r="E9" s="55" cm="1">
        <f t="array" ref="E9">VLOOKUP(A9,'The List'!B1:I671,8,FALSE)</f>
        <v>7.5593186307306963</v>
      </c>
      <c r="F9" s="55" cm="1">
        <f t="array" ref="F9">IF(Settings!$E$15="POINTS",E9-VLOOKUP(B$2,C1:E210,3,FALSE),J9)</f>
        <v>0.67208402892161878</v>
      </c>
      <c r="G9" s="55"/>
      <c r="H9" s="166" cm="1">
        <f t="array" ref="H9">RANK(I9,I3:I210)</f>
        <v>17</v>
      </c>
      <c r="I9" s="167" cm="1">
        <f t="array" ref="I9">VLOOKUP(A9,'Standard Deviations'!A1:C672,3,FALSE)</f>
        <v>7.5593186307306963</v>
      </c>
      <c r="J9" s="167" cm="1">
        <f t="array" ref="J9">I9-VLOOKUP(B$2,H1:J210,2,FALSE)</f>
        <v>0.67208402892161878</v>
      </c>
    </row>
    <row r="10" spans="1:10" ht="21.25" customHeight="1" x14ac:dyDescent="0.15">
      <c r="A10" s="10" t="s">
        <v>160</v>
      </c>
      <c r="B10" s="96" t="str" cm="1">
        <f t="array" ref="B10">VLOOKUP(A10,'The List'!B1:D671,3,FALSE)</f>
        <v>C,LW,RW</v>
      </c>
      <c r="C10" s="97" cm="1">
        <f t="array" ref="C10">IF(Settings!$E$15="POINTS",RANK(E10,E3:E210),H10)</f>
        <v>14</v>
      </c>
      <c r="D10" s="18" t="str" cm="1">
        <f t="array" ref="D10">VLOOKUP(A10,'The List'!B1:F671,5,FALSE)</f>
        <v>ANA</v>
      </c>
      <c r="E10" s="55" cm="1">
        <f t="array" ref="E10">VLOOKUP(A10,'The List'!B1:I671,8,FALSE)</f>
        <v>8.0044150915522536</v>
      </c>
      <c r="F10" s="55" cm="1">
        <f t="array" ref="F10">IF(Settings!$E$15="POINTS",E10-VLOOKUP(B$2,C1:E210,3,FALSE),J10)</f>
        <v>1.1171804897431761</v>
      </c>
      <c r="G10" s="55"/>
      <c r="H10" s="166" cm="1">
        <f t="array" ref="H10">RANK(I10,I3:I210)</f>
        <v>14</v>
      </c>
      <c r="I10" s="167" cm="1">
        <f t="array" ref="I10">VLOOKUP(A10,'Standard Deviations'!A1:C672,3,FALSE)</f>
        <v>8.0044150915522536</v>
      </c>
      <c r="J10" s="167" cm="1">
        <f t="array" ref="J10">I10-VLOOKUP(B$2,H1:J210,2,FALSE)</f>
        <v>1.1171804897431761</v>
      </c>
    </row>
    <row r="11" spans="1:10" ht="21.25" customHeight="1" x14ac:dyDescent="0.15">
      <c r="A11" s="10" t="s">
        <v>162</v>
      </c>
      <c r="B11" s="96" t="str" cm="1">
        <f t="array" ref="B11">VLOOKUP(A11,'The List'!B1:D671,3,FALSE)</f>
        <v>LW,RW</v>
      </c>
      <c r="C11" s="97" cm="1">
        <f t="array" ref="C11">IF(Settings!$E$15="POINTS",RANK(E11,E3:E210),H11)</f>
        <v>7</v>
      </c>
      <c r="D11" s="18" t="str" cm="1">
        <f t="array" ref="D11">VLOOKUP(A11,'The List'!B1:F671,5,FALSE)</f>
        <v>DAL</v>
      </c>
      <c r="E11" s="55" cm="1">
        <f t="array" ref="E11">VLOOKUP(A11,'The List'!B1:I671,8,FALSE)</f>
        <v>9.1685176421004204</v>
      </c>
      <c r="F11" s="55" cm="1">
        <f t="array" ref="F11">IF(Settings!$E$15="POINTS",E11-VLOOKUP(B$2,C1:E210,3,FALSE),J11)</f>
        <v>2.2812830402913429</v>
      </c>
      <c r="G11" s="55"/>
      <c r="H11" s="166" cm="1">
        <f t="array" ref="H11">RANK(I11,I3:I210)</f>
        <v>7</v>
      </c>
      <c r="I11" s="167" cm="1">
        <f t="array" ref="I11">VLOOKUP(A11,'Standard Deviations'!A1:C672,3,FALSE)</f>
        <v>9.1685176421004204</v>
      </c>
      <c r="J11" s="167" cm="1">
        <f t="array" ref="J11">I11-VLOOKUP(B$2,H1:J210,2,FALSE)</f>
        <v>2.2812830402913429</v>
      </c>
    </row>
    <row r="12" spans="1:10" ht="21.25" customHeight="1" x14ac:dyDescent="0.15">
      <c r="A12" s="10" t="s">
        <v>166</v>
      </c>
      <c r="B12" s="96" t="str" cm="1">
        <f t="array" ref="B12">VLOOKUP(A12,'The List'!B1:D671,3,FALSE)</f>
        <v>LW,RW</v>
      </c>
      <c r="C12" s="97" cm="1">
        <f t="array" ref="C12">IF(Settings!$E$15="POINTS",RANK(E12,E3:E210),H12)</f>
        <v>11</v>
      </c>
      <c r="D12" s="18" t="str" cm="1">
        <f t="array" ref="D12">VLOOKUP(A12,'The List'!B1:F671,5,FALSE)</f>
        <v>UTA</v>
      </c>
      <c r="E12" s="55" cm="1">
        <f t="array" ref="E12">VLOOKUP(A12,'The List'!B1:I671,8,FALSE)</f>
        <v>8.5418971934080048</v>
      </c>
      <c r="F12" s="55" cm="1">
        <f t="array" ref="F12">IF(Settings!$E$15="POINTS",E12-VLOOKUP(B$2,C1:E210,3,FALSE),J12)</f>
        <v>1.6546625915989273</v>
      </c>
      <c r="G12" s="55"/>
      <c r="H12" s="166" cm="1">
        <f t="array" ref="H12">RANK(I12,I3:I210)</f>
        <v>11</v>
      </c>
      <c r="I12" s="167" cm="1">
        <f t="array" ref="I12">VLOOKUP(A12,'Standard Deviations'!A1:C672,3,FALSE)</f>
        <v>8.5418971934080048</v>
      </c>
      <c r="J12" s="167" cm="1">
        <f t="array" ref="J12">I12-VLOOKUP(B$2,H1:J210,2,FALSE)</f>
        <v>1.6546625915989273</v>
      </c>
    </row>
    <row r="13" spans="1:10" ht="21.25" customHeight="1" x14ac:dyDescent="0.15">
      <c r="A13" s="10" t="s">
        <v>167</v>
      </c>
      <c r="B13" s="96" t="str" cm="1">
        <f t="array" ref="B13">VLOOKUP(A13,'The List'!B1:D671,3,FALSE)</f>
        <v>LW,RW</v>
      </c>
      <c r="C13" s="97" cm="1">
        <f t="array" ref="C13">IF(Settings!$E$15="POINTS",RANK(E13,E3:E210),H13)</f>
        <v>20</v>
      </c>
      <c r="D13" s="18" t="str" cm="1">
        <f t="array" ref="D13">VLOOKUP(A13,'The List'!B1:F671,5,FALSE)</f>
        <v>UTA</v>
      </c>
      <c r="E13" s="55" cm="1">
        <f t="array" ref="E13">VLOOKUP(A13,'The List'!B1:I671,8,FALSE)</f>
        <v>6.9196335326727603</v>
      </c>
      <c r="F13" s="55" cm="1">
        <f t="array" ref="F13">IF(Settings!$E$15="POINTS",E13-VLOOKUP(B$2,C1:E210,3,FALSE),J13)</f>
        <v>3.2398930863682729E-2</v>
      </c>
      <c r="G13" s="55"/>
      <c r="H13" s="166" cm="1">
        <f t="array" ref="H13">RANK(I13,I3:I210)</f>
        <v>20</v>
      </c>
      <c r="I13" s="167" cm="1">
        <f t="array" ref="I13">VLOOKUP(A13,'Standard Deviations'!A1:C672,3,FALSE)</f>
        <v>6.9196335326727603</v>
      </c>
      <c r="J13" s="167" cm="1">
        <f t="array" ref="J13">I13-VLOOKUP(B$2,H1:J210,2,FALSE)</f>
        <v>3.2398930863682729E-2</v>
      </c>
    </row>
    <row r="14" spans="1:10" ht="21.25" customHeight="1" x14ac:dyDescent="0.15">
      <c r="A14" s="10" t="s">
        <v>169</v>
      </c>
      <c r="B14" s="96" t="str" cm="1">
        <f t="array" ref="B14">VLOOKUP(A14,'The List'!B1:D671,3,FALSE)</f>
        <v>C,RW</v>
      </c>
      <c r="C14" s="97" cm="1">
        <f t="array" ref="C14">IF(Settings!$E$15="POINTS",RANK(E14,E3:E210),H14)</f>
        <v>13</v>
      </c>
      <c r="D14" s="18" t="str" cm="1">
        <f t="array" ref="D14">VLOOKUP(A14,'The List'!B1:F671,5,FALSE)</f>
        <v>BUF</v>
      </c>
      <c r="E14" s="55" cm="1">
        <f t="array" ref="E14">VLOOKUP(A14,'The List'!B1:I671,8,FALSE)</f>
        <v>8.0469109376480308</v>
      </c>
      <c r="F14" s="55" cm="1">
        <f t="array" ref="F14">IF(Settings!$E$15="POINTS",E14-VLOOKUP(B$2,C1:E210,3,FALSE),J14)</f>
        <v>1.1596763358389532</v>
      </c>
      <c r="G14" s="55"/>
      <c r="H14" s="166" cm="1">
        <f t="array" ref="H14">RANK(I14,I3:I210)</f>
        <v>13</v>
      </c>
      <c r="I14" s="167" cm="1">
        <f t="array" ref="I14">VLOOKUP(A14,'Standard Deviations'!A1:C672,3,FALSE)</f>
        <v>8.0469109376480308</v>
      </c>
      <c r="J14" s="167" cm="1">
        <f t="array" ref="J14">I14-VLOOKUP(B$2,H1:J210,2,FALSE)</f>
        <v>1.1596763358389532</v>
      </c>
    </row>
    <row r="15" spans="1:10" ht="21.25" customHeight="1" x14ac:dyDescent="0.15">
      <c r="A15" s="10" t="s">
        <v>174</v>
      </c>
      <c r="B15" s="96" t="str" cm="1">
        <f t="array" ref="B15">VLOOKUP(A15,'The List'!B1:D671,3,FALSE)</f>
        <v>LW,RW</v>
      </c>
      <c r="C15" s="97" cm="1">
        <f t="array" ref="C15">IF(Settings!$E$15="POINTS",RANK(E15,E3:E210),H15)</f>
        <v>22</v>
      </c>
      <c r="D15" s="18" t="str" cm="1">
        <f t="array" ref="D15">VLOOKUP(A15,'The List'!B1:F671,5,FALSE)</f>
        <v>DET</v>
      </c>
      <c r="E15" s="55" cm="1">
        <f t="array" ref="E15">VLOOKUP(A15,'The List'!B1:I671,8,FALSE)</f>
        <v>6.8872346018090775</v>
      </c>
      <c r="F15" s="55" cm="1">
        <f t="array" ref="F15">IF(Settings!$E$15="POINTS",E15-VLOOKUP(B$2,C1:E210,3,FALSE),J15)</f>
        <v>0</v>
      </c>
      <c r="G15" s="55"/>
      <c r="H15" s="166" cm="1">
        <f t="array" ref="H15">RANK(I15,I3:I210)</f>
        <v>22</v>
      </c>
      <c r="I15" s="167" cm="1">
        <f t="array" ref="I15">VLOOKUP(A15,'Standard Deviations'!A1:C672,3,FALSE)</f>
        <v>6.8872346018090775</v>
      </c>
      <c r="J15" s="167" cm="1">
        <f t="array" ref="J15">I15-VLOOKUP(B$2,H1:J210,2,FALSE)</f>
        <v>0</v>
      </c>
    </row>
    <row r="16" spans="1:10" ht="21.25" customHeight="1" x14ac:dyDescent="0.15">
      <c r="A16" s="10" t="s">
        <v>177</v>
      </c>
      <c r="B16" s="96" t="str" cm="1">
        <f t="array" ref="B16">VLOOKUP(A16,'The List'!B1:D671,3,FALSE)</f>
        <v>LW,RW</v>
      </c>
      <c r="C16" s="97" cm="1">
        <f t="array" ref="C16">IF(Settings!$E$15="POINTS",RANK(E16,E3:E210),H16)</f>
        <v>9</v>
      </c>
      <c r="D16" s="18" t="str" cm="1">
        <f t="array" ref="D16">VLOOKUP(A16,'The List'!B1:F671,5,FALSE)</f>
        <v>MTL</v>
      </c>
      <c r="E16" s="55" cm="1">
        <f t="array" ref="E16">VLOOKUP(A16,'The List'!B1:I671,8,FALSE)</f>
        <v>8.89104643795757</v>
      </c>
      <c r="F16" s="55" cm="1">
        <f t="array" ref="F16">IF(Settings!$E$15="POINTS",E16-VLOOKUP(B$2,C1:E210,3,FALSE),J16)</f>
        <v>2.0038118361484925</v>
      </c>
      <c r="G16" s="55"/>
      <c r="H16" s="166" cm="1">
        <f t="array" ref="H16">RANK(I16,I3:I210)</f>
        <v>9</v>
      </c>
      <c r="I16" s="167" cm="1">
        <f t="array" ref="I16">VLOOKUP(A16,'Standard Deviations'!A1:C672,3,FALSE)</f>
        <v>8.89104643795757</v>
      </c>
      <c r="J16" s="167" cm="1">
        <f t="array" ref="J16">I16-VLOOKUP(B$2,H1:J210,2,FALSE)</f>
        <v>2.0038118361484925</v>
      </c>
    </row>
    <row r="17" spans="1:10" ht="21.25" customHeight="1" x14ac:dyDescent="0.15">
      <c r="A17" s="10" t="s">
        <v>182</v>
      </c>
      <c r="B17" s="96" t="str" cm="1">
        <f t="array" ref="B17">VLOOKUP(A17,'The List'!B1:D671,3,FALSE)</f>
        <v>LW,RW</v>
      </c>
      <c r="C17" s="97" cm="1">
        <f t="array" ref="C17">IF(Settings!$E$15="POINTS",RANK(E17,E3:E210),H17)</f>
        <v>8</v>
      </c>
      <c r="D17" s="18" t="str" cm="1">
        <f t="array" ref="D17">VLOOKUP(A17,'The List'!B1:F671,5,FALSE)</f>
        <v>FLA</v>
      </c>
      <c r="E17" s="55" cm="1">
        <f t="array" ref="E17">VLOOKUP(A17,'The List'!B1:I671,8,FALSE)</f>
        <v>9.0948975523192228</v>
      </c>
      <c r="F17" s="55" cm="1">
        <f t="array" ref="F17">IF(Settings!$E$15="POINTS",E17-VLOOKUP(B$2,C1:E210,3,FALSE),J17)</f>
        <v>2.2076629505101453</v>
      </c>
      <c r="G17" s="55"/>
      <c r="H17" s="166" cm="1">
        <f t="array" ref="H17">RANK(I17,I3:I210)</f>
        <v>8</v>
      </c>
      <c r="I17" s="167" cm="1">
        <f t="array" ref="I17">VLOOKUP(A17,'Standard Deviations'!A1:C672,3,FALSE)</f>
        <v>9.0948975523192228</v>
      </c>
      <c r="J17" s="167" cm="1">
        <f t="array" ref="J17">I17-VLOOKUP(B$2,H1:J210,2,FALSE)</f>
        <v>2.2076629505101453</v>
      </c>
    </row>
    <row r="18" spans="1:10" ht="21.25" customHeight="1" x14ac:dyDescent="0.15">
      <c r="A18" s="10" t="s">
        <v>185</v>
      </c>
      <c r="B18" s="96" t="str" cm="1">
        <f t="array" ref="B18">VLOOKUP(A18,'The List'!B1:D671,3,FALSE)</f>
        <v>C,LW,RW</v>
      </c>
      <c r="C18" s="97" cm="1">
        <f t="array" ref="C18">IF(Settings!$E$15="POINTS",RANK(E18,E3:E210),H18)</f>
        <v>18</v>
      </c>
      <c r="D18" s="18" t="str" cm="1">
        <f t="array" ref="D18">VLOOKUP(A18,'The List'!B1:F671,5,FALSE)</f>
        <v>VGK</v>
      </c>
      <c r="E18" s="55" cm="1">
        <f t="array" ref="E18">VLOOKUP(A18,'The List'!B1:I671,8,FALSE)</f>
        <v>7.452029453130919</v>
      </c>
      <c r="F18" s="55" cm="1">
        <f t="array" ref="F18">IF(Settings!$E$15="POINTS",E18-VLOOKUP(B$2,C1:E210,3,FALSE),J18)</f>
        <v>0.56479485132184148</v>
      </c>
      <c r="G18" s="55"/>
      <c r="H18" s="166" cm="1">
        <f t="array" ref="H18">RANK(I18,I3:I210)</f>
        <v>18</v>
      </c>
      <c r="I18" s="167" cm="1">
        <f t="array" ref="I18">VLOOKUP(A18,'Standard Deviations'!A1:C672,3,FALSE)</f>
        <v>7.452029453130919</v>
      </c>
      <c r="J18" s="167" cm="1">
        <f t="array" ref="J18">I18-VLOOKUP(B$2,H1:J210,2,FALSE)</f>
        <v>0.56479485132184148</v>
      </c>
    </row>
    <row r="19" spans="1:10" ht="21.25" customHeight="1" x14ac:dyDescent="0.15">
      <c r="A19" s="10" t="s">
        <v>189</v>
      </c>
      <c r="B19" s="96" t="str" cm="1">
        <f t="array" ref="B19">VLOOKUP(A19,'The List'!B1:D671,3,FALSE)</f>
        <v>LW,RW</v>
      </c>
      <c r="C19" s="97" cm="1">
        <f t="array" ref="C19">IF(Settings!$E$15="POINTS",RANK(E19,E3:E210),H19)</f>
        <v>12</v>
      </c>
      <c r="D19" s="18" t="str" cm="1">
        <f t="array" ref="D19">VLOOKUP(A19,'The List'!B1:F671,5,FALSE)</f>
        <v>T.B</v>
      </c>
      <c r="E19" s="55" cm="1">
        <f t="array" ref="E19">VLOOKUP(A19,'The List'!B1:I671,8,FALSE)</f>
        <v>8.4293905540180667</v>
      </c>
      <c r="F19" s="55" cm="1">
        <f t="array" ref="F19">IF(Settings!$E$15="POINTS",E19-VLOOKUP(B$2,C1:E210,3,FALSE),J19)</f>
        <v>1.5421559522089892</v>
      </c>
      <c r="G19" s="55"/>
      <c r="H19" s="166" cm="1">
        <f t="array" ref="H19">RANK(I19,I3:I210)</f>
        <v>12</v>
      </c>
      <c r="I19" s="167" cm="1">
        <f t="array" ref="I19">VLOOKUP(A19,'Standard Deviations'!A1:C672,3,FALSE)</f>
        <v>8.4293905540180667</v>
      </c>
      <c r="J19" s="167" cm="1">
        <f t="array" ref="J19">I19-VLOOKUP(B$2,H1:J210,2,FALSE)</f>
        <v>1.5421559522089892</v>
      </c>
    </row>
    <row r="20" spans="1:10" ht="21.25" customHeight="1" x14ac:dyDescent="0.15">
      <c r="A20" s="10" t="s">
        <v>190</v>
      </c>
      <c r="B20" s="96" t="str" cm="1">
        <f t="array" ref="B20">VLOOKUP(A20,'The List'!B1:D671,3,FALSE)</f>
        <v>RW</v>
      </c>
      <c r="C20" s="97" cm="1">
        <f t="array" ref="C20">IF(Settings!$E$15="POINTS",RANK(E20,E3:E210),H20)</f>
        <v>30</v>
      </c>
      <c r="D20" s="18" t="str" cm="1">
        <f t="array" ref="D20">VLOOKUP(A20,'The List'!B1:F671,5,FALSE)</f>
        <v>DET</v>
      </c>
      <c r="E20" s="55" cm="1">
        <f t="array" ref="E20">VLOOKUP(A20,'The List'!B1:I671,8,FALSE)</f>
        <v>6.1616765000049849</v>
      </c>
      <c r="F20" s="55" cm="1">
        <f t="array" ref="F20">IF(Settings!$E$15="POINTS",E20-VLOOKUP(B$2,C1:E210,3,FALSE),J20)</f>
        <v>-0.72555810180409264</v>
      </c>
      <c r="G20" s="55"/>
      <c r="H20" s="166" cm="1">
        <f t="array" ref="H20">RANK(I20,I3:I210)</f>
        <v>30</v>
      </c>
      <c r="I20" s="167" cm="1">
        <f t="array" ref="I20">VLOOKUP(A20,'Standard Deviations'!A1:C672,3,FALSE)</f>
        <v>6.1616765000049849</v>
      </c>
      <c r="J20" s="167" cm="1">
        <f t="array" ref="J20">I20-VLOOKUP(B$2,H1:J210,2,FALSE)</f>
        <v>-0.72555810180409264</v>
      </c>
    </row>
    <row r="21" spans="1:10" ht="21.25" customHeight="1" x14ac:dyDescent="0.15">
      <c r="A21" s="10" t="s">
        <v>192</v>
      </c>
      <c r="B21" s="96" t="str" cm="1">
        <f t="array" ref="B21">VLOOKUP(A21,'The List'!B1:D671,3,FALSE)</f>
        <v>LW,RW</v>
      </c>
      <c r="C21" s="97" cm="1">
        <f t="array" ref="C21">IF(Settings!$E$15="POINTS",RANK(E21,E3:E210),H21)</f>
        <v>10</v>
      </c>
      <c r="D21" s="18" t="str" cm="1">
        <f t="array" ref="D21">VLOOKUP(A21,'The List'!B1:F671,5,FALSE)</f>
        <v>T.B</v>
      </c>
      <c r="E21" s="55" cm="1">
        <f t="array" ref="E21">VLOOKUP(A21,'The List'!B1:I671,8,FALSE)</f>
        <v>8.5733122429739819</v>
      </c>
      <c r="F21" s="55" cm="1">
        <f t="array" ref="F21">IF(Settings!$E$15="POINTS",E21-VLOOKUP(B$2,C1:E210,3,FALSE),J21)</f>
        <v>1.6860776411649043</v>
      </c>
      <c r="G21" s="55"/>
      <c r="H21" s="166" cm="1">
        <f t="array" ref="H21">RANK(I21,I3:I210)</f>
        <v>10</v>
      </c>
      <c r="I21" s="167" cm="1">
        <f t="array" ref="I21">VLOOKUP(A21,'Standard Deviations'!A1:C672,3,FALSE)</f>
        <v>8.5733122429739819</v>
      </c>
      <c r="J21" s="167" cm="1">
        <f t="array" ref="J21">I21-VLOOKUP(B$2,H1:J210,2,FALSE)</f>
        <v>1.6860776411649043</v>
      </c>
    </row>
    <row r="22" spans="1:10" ht="21.25" customHeight="1" x14ac:dyDescent="0.15">
      <c r="A22" s="10" t="s">
        <v>195</v>
      </c>
      <c r="B22" s="96" t="str" cm="1">
        <f t="array" ref="B22">VLOOKUP(A22,'The List'!B1:D671,3,FALSE)</f>
        <v>C,RW</v>
      </c>
      <c r="C22" s="97" cm="1">
        <f t="array" ref="C22">IF(Settings!$E$15="POINTS",RANK(E22,E3:E210),H22)</f>
        <v>26</v>
      </c>
      <c r="D22" s="18" t="str" cm="1">
        <f t="array" ref="D22">VLOOKUP(A22,'The List'!B1:F671,5,FALSE)</f>
        <v>NYR</v>
      </c>
      <c r="E22" s="55" cm="1">
        <f t="array" ref="E22">VLOOKUP(A22,'The List'!B1:I671,8,FALSE)</f>
        <v>6.7566070852954736</v>
      </c>
      <c r="F22" s="55" cm="1">
        <f t="array" ref="F22">IF(Settings!$E$15="POINTS",E22-VLOOKUP(B$2,C1:E210,3,FALSE),J22)</f>
        <v>-0.13062751651360394</v>
      </c>
      <c r="G22" s="55"/>
      <c r="H22" s="166" cm="1">
        <f t="array" ref="H22">RANK(I22,I3:I210)</f>
        <v>26</v>
      </c>
      <c r="I22" s="167" cm="1">
        <f t="array" ref="I22">VLOOKUP(A22,'Standard Deviations'!A1:C672,3,FALSE)</f>
        <v>6.7566070852954736</v>
      </c>
      <c r="J22" s="167" cm="1">
        <f t="array" ref="J22">I22-VLOOKUP(B$2,H1:J210,2,FALSE)</f>
        <v>-0.13062751651360394</v>
      </c>
    </row>
    <row r="23" spans="1:10" ht="21.25" customHeight="1" x14ac:dyDescent="0.15">
      <c r="A23" s="10" t="s">
        <v>198</v>
      </c>
      <c r="B23" s="96" t="str" cm="1">
        <f t="array" ref="B23">VLOOKUP(A23,'The List'!B1:D671,3,FALSE)</f>
        <v>RW</v>
      </c>
      <c r="C23" s="97" cm="1">
        <f t="array" ref="C23">IF(Settings!$E$15="POINTS",RANK(E23,E3:E210),H23)</f>
        <v>16</v>
      </c>
      <c r="D23" s="18" t="str" cm="1">
        <f t="array" ref="D23">VLOOKUP(A23,'The List'!B1:F671,5,FALSE)</f>
        <v>FLA</v>
      </c>
      <c r="E23" s="55" cm="1">
        <f t="array" ref="E23">VLOOKUP(A23,'The List'!B1:I671,8,FALSE)</f>
        <v>7.7014084091085007</v>
      </c>
      <c r="F23" s="55" cm="1">
        <f t="array" ref="F23">IF(Settings!$E$15="POINTS",E23-VLOOKUP(B$2,C1:E210,3,FALSE),J23)</f>
        <v>0.81417380729942312</v>
      </c>
      <c r="G23" s="55"/>
      <c r="H23" s="166" cm="1">
        <f t="array" ref="H23">RANK(I23,I3:I210)</f>
        <v>16</v>
      </c>
      <c r="I23" s="167" cm="1">
        <f t="array" ref="I23">VLOOKUP(A23,'Standard Deviations'!A1:C672,3,FALSE)</f>
        <v>7.7014084091085007</v>
      </c>
      <c r="J23" s="167" cm="1">
        <f t="array" ref="J23">I23-VLOOKUP(B$2,H1:J210,2,FALSE)</f>
        <v>0.81417380729942312</v>
      </c>
    </row>
    <row r="24" spans="1:10" ht="21.25" customHeight="1" x14ac:dyDescent="0.15">
      <c r="A24" s="10" t="s">
        <v>204</v>
      </c>
      <c r="B24" s="96" t="str" cm="1">
        <f t="array" ref="B24">VLOOKUP(A24,'The List'!B1:D671,3,FALSE)</f>
        <v>RW</v>
      </c>
      <c r="C24" s="97" cm="1">
        <f t="array" ref="C24">IF(Settings!$E$15="POINTS",RANK(E24,E3:E210),H24)</f>
        <v>23</v>
      </c>
      <c r="D24" s="18" t="str" cm="1">
        <f t="array" ref="D24">VLOOKUP(A24,'The List'!B1:F671,5,FALSE)</f>
        <v>CBJ</v>
      </c>
      <c r="E24" s="55" cm="1">
        <f t="array" ref="E24">VLOOKUP(A24,'The List'!B1:I671,8,FALSE)</f>
        <v>6.8789598675774295</v>
      </c>
      <c r="F24" s="55" cm="1">
        <f t="array" ref="F24">IF(Settings!$E$15="POINTS",E24-VLOOKUP(B$2,C1:E210,3,FALSE),J24)</f>
        <v>-8.2747342316480399E-3</v>
      </c>
      <c r="G24" s="55"/>
      <c r="H24" s="166" cm="1">
        <f t="array" ref="H24">RANK(I24,I3:I210)</f>
        <v>23</v>
      </c>
      <c r="I24" s="167" cm="1">
        <f t="array" ref="I24">VLOOKUP(A24,'Standard Deviations'!A1:C672,3,FALSE)</f>
        <v>6.8789598675774295</v>
      </c>
      <c r="J24" s="167" cm="1">
        <f t="array" ref="J24">I24-VLOOKUP(B$2,H1:J210,2,FALSE)</f>
        <v>-8.2747342316480399E-3</v>
      </c>
    </row>
    <row r="25" spans="1:10" ht="21.25" customHeight="1" x14ac:dyDescent="0.15">
      <c r="A25" s="10" t="s">
        <v>207</v>
      </c>
      <c r="B25" s="96" t="str" cm="1">
        <f t="array" ref="B25">VLOOKUP(A25,'The List'!B1:D671,3,FALSE)</f>
        <v>LW,RW</v>
      </c>
      <c r="C25" s="97" cm="1">
        <f t="array" ref="C25">IF(Settings!$E$15="POINTS",RANK(E25,E3:E210),H25)</f>
        <v>25</v>
      </c>
      <c r="D25" s="18" t="str" cm="1">
        <f t="array" ref="D25">VLOOKUP(A25,'The List'!B1:F671,5,FALSE)</f>
        <v>N.J</v>
      </c>
      <c r="E25" s="55" cm="1">
        <f t="array" ref="E25">VLOOKUP(A25,'The List'!B1:I671,8,FALSE)</f>
        <v>6.7986408508846496</v>
      </c>
      <c r="F25" s="55" cm="1">
        <f t="array" ref="F25">IF(Settings!$E$15="POINTS",E25-VLOOKUP(B$2,C1:E210,3,FALSE),J25)</f>
        <v>-8.8593750924427894E-2</v>
      </c>
      <c r="G25" s="55"/>
      <c r="H25" s="166" cm="1">
        <f t="array" ref="H25">RANK(I25,I3:I210)</f>
        <v>25</v>
      </c>
      <c r="I25" s="167" cm="1">
        <f t="array" ref="I25">VLOOKUP(A25,'Standard Deviations'!A1:C672,3,FALSE)</f>
        <v>6.7986408508846496</v>
      </c>
      <c r="J25" s="167" cm="1">
        <f t="array" ref="J25">I25-VLOOKUP(B$2,H1:J210,2,FALSE)</f>
        <v>-8.8593750924427894E-2</v>
      </c>
    </row>
    <row r="26" spans="1:10" ht="21.25" customHeight="1" x14ac:dyDescent="0.15">
      <c r="A26" s="10" t="s">
        <v>210</v>
      </c>
      <c r="B26" s="96" t="str" cm="1">
        <f t="array" ref="B26">VLOOKUP(A26,'The List'!B1:D671,3,FALSE)</f>
        <v>RW</v>
      </c>
      <c r="C26" s="97" cm="1">
        <f t="array" ref="C26">IF(Settings!$E$15="POINTS",RANK(E26,E3:E210),H26)</f>
        <v>28</v>
      </c>
      <c r="D26" s="18" t="str" cm="1">
        <f t="array" ref="D26">VLOOKUP(A26,'The List'!B1:F671,5,FALSE)</f>
        <v>L.A</v>
      </c>
      <c r="E26" s="55" cm="1">
        <f t="array" ref="E26">VLOOKUP(A26,'The List'!B1:I671,8,FALSE)</f>
        <v>6.7057070523140316</v>
      </c>
      <c r="F26" s="55" cm="1">
        <f t="array" ref="F26">IF(Settings!$E$15="POINTS",E26-VLOOKUP(B$2,C1:E210,3,FALSE),J26)</f>
        <v>-0.1815275494950459</v>
      </c>
      <c r="G26" s="55"/>
      <c r="H26" s="166" cm="1">
        <f t="array" ref="H26">RANK(I26,I3:I210)</f>
        <v>28</v>
      </c>
      <c r="I26" s="167" cm="1">
        <f t="array" ref="I26">VLOOKUP(A26,'Standard Deviations'!A1:C672,3,FALSE)</f>
        <v>6.7057070523140316</v>
      </c>
      <c r="J26" s="167" cm="1">
        <f t="array" ref="J26">I26-VLOOKUP(B$2,H1:J210,2,FALSE)</f>
        <v>-0.1815275494950459</v>
      </c>
    </row>
    <row r="27" spans="1:10" ht="21.25" customHeight="1" x14ac:dyDescent="0.15">
      <c r="A27" s="10" t="s">
        <v>212</v>
      </c>
      <c r="B27" s="96" t="str" cm="1">
        <f t="array" ref="B27">VLOOKUP(A27,'The List'!B1:D671,3,FALSE)</f>
        <v>C,RW</v>
      </c>
      <c r="C27" s="97" cm="1">
        <f t="array" ref="C27">IF(Settings!$E$15="POINTS",RANK(E27,E3:E210),H27)</f>
        <v>62</v>
      </c>
      <c r="D27" s="18" t="str" cm="1">
        <f t="array" ref="D27">VLOOKUP(A27,'The List'!B1:F671,5,FALSE)</f>
        <v>CHI</v>
      </c>
      <c r="E27" s="55" cm="1">
        <f t="array" ref="E27">VLOOKUP(A27,'The List'!B1:I671,8,FALSE)</f>
        <v>3.3407085925006084</v>
      </c>
      <c r="F27" s="55" cm="1">
        <f t="array" ref="F27">IF(Settings!$E$15="POINTS",E27-VLOOKUP(B$2,C1:E210,3,FALSE),J27)</f>
        <v>-3.5465260093084692</v>
      </c>
      <c r="G27" s="55"/>
      <c r="H27" s="166" cm="1">
        <f t="array" ref="H27">RANK(I27,I3:I210)</f>
        <v>62</v>
      </c>
      <c r="I27" s="167" cm="1">
        <f t="array" ref="I27">VLOOKUP(A27,'Standard Deviations'!A1:C672,3,FALSE)</f>
        <v>3.3407085925006084</v>
      </c>
      <c r="J27" s="167" cm="1">
        <f t="array" ref="J27">I27-VLOOKUP(B$2,H1:J210,2,FALSE)</f>
        <v>-3.5465260093084692</v>
      </c>
    </row>
    <row r="28" spans="1:10" ht="21.25" customHeight="1" x14ac:dyDescent="0.15">
      <c r="A28" s="10" t="s">
        <v>221</v>
      </c>
      <c r="B28" s="96" t="str" cm="1">
        <f t="array" ref="B28">VLOOKUP(A28,'The List'!B1:D671,3,FALSE)</f>
        <v>LW,RW</v>
      </c>
      <c r="C28" s="97" cm="1">
        <f t="array" ref="C28">IF(Settings!$E$15="POINTS",RANK(E28,E3:E210),H28)</f>
        <v>45</v>
      </c>
      <c r="D28" s="18" t="str" cm="1">
        <f t="array" ref="D28">VLOOKUP(A28,'The List'!B1:F671,5,FALSE)</f>
        <v>S.J</v>
      </c>
      <c r="E28" s="55" cm="1">
        <f t="array" ref="E28">VLOOKUP(A28,'The List'!B1:I671,8,FALSE)</f>
        <v>4.6309781540389636</v>
      </c>
      <c r="F28" s="55" cm="1">
        <f t="array" ref="F28">IF(Settings!$E$15="POINTS",E28-VLOOKUP(B$2,C1:E210,3,FALSE),J28)</f>
        <v>-2.2562564477701139</v>
      </c>
      <c r="G28" s="55"/>
      <c r="H28" s="166" cm="1">
        <f t="array" ref="H28">RANK(I28,I3:I210)</f>
        <v>45</v>
      </c>
      <c r="I28" s="167" cm="1">
        <f t="array" ref="I28">VLOOKUP(A28,'Standard Deviations'!A1:C672,3,FALSE)</f>
        <v>4.6309781540389636</v>
      </c>
      <c r="J28" s="167" cm="1">
        <f t="array" ref="J28">I28-VLOOKUP(B$2,H1:J210,2,FALSE)</f>
        <v>-2.2562564477701139</v>
      </c>
    </row>
    <row r="29" spans="1:10" ht="21.25" customHeight="1" x14ac:dyDescent="0.15">
      <c r="A29" s="10" t="s">
        <v>223</v>
      </c>
      <c r="B29" s="96" t="str" cm="1">
        <f t="array" ref="B29">VLOOKUP(A29,'The List'!B1:D671,3,FALSE)</f>
        <v>RW</v>
      </c>
      <c r="C29" s="97" cm="1">
        <f t="array" ref="C29">IF(Settings!$E$15="POINTS",RANK(E29,E3:E210),H29)</f>
        <v>69</v>
      </c>
      <c r="D29" s="18" t="str" cm="1">
        <f t="array" ref="D29">VLOOKUP(A29,'The List'!B1:F671,5,FALSE)</f>
        <v>PIT</v>
      </c>
      <c r="E29" s="55" cm="1">
        <f t="array" ref="E29">VLOOKUP(A29,'The List'!B1:I671,8,FALSE)</f>
        <v>2.7678087956547217</v>
      </c>
      <c r="F29" s="55" cm="1">
        <f t="array" ref="F29">IF(Settings!$E$15="POINTS",E29-VLOOKUP(B$2,C1:E210,3,FALSE),J29)</f>
        <v>-4.1194258061543554</v>
      </c>
      <c r="G29" s="55"/>
      <c r="H29" s="166" cm="1">
        <f t="array" ref="H29">RANK(I29,I3:I210)</f>
        <v>69</v>
      </c>
      <c r="I29" s="167" cm="1">
        <f t="array" ref="I29">VLOOKUP(A29,'Standard Deviations'!A1:C672,3,FALSE)</f>
        <v>2.7678087956547217</v>
      </c>
      <c r="J29" s="167" cm="1">
        <f t="array" ref="J29">I29-VLOOKUP(B$2,H1:J210,2,FALSE)</f>
        <v>-4.1194258061543554</v>
      </c>
    </row>
    <row r="30" spans="1:10" ht="21.25" customHeight="1" x14ac:dyDescent="0.15">
      <c r="A30" s="10" t="s">
        <v>228</v>
      </c>
      <c r="B30" s="96" t="str" cm="1">
        <f t="array" ref="B30">VLOOKUP(A30,'The List'!B1:D671,3,FALSE)</f>
        <v>LW,RW</v>
      </c>
      <c r="C30" s="97" cm="1">
        <f t="array" ref="C30">IF(Settings!$E$15="POINTS",RANK(E30,E3:E210),H30)</f>
        <v>27</v>
      </c>
      <c r="D30" s="18" t="str" cm="1">
        <f t="array" ref="D30">VLOOKUP(A30,'The List'!B1:F671,5,FALSE)</f>
        <v>MTL</v>
      </c>
      <c r="E30" s="55" cm="1">
        <f t="array" ref="E30">VLOOKUP(A30,'The List'!B1:I671,8,FALSE)</f>
        <v>6.7396192811947193</v>
      </c>
      <c r="F30" s="55" cm="1">
        <f t="array" ref="F30">IF(Settings!$E$15="POINTS",E30-VLOOKUP(B$2,C1:E210,3,FALSE),J30)</f>
        <v>-0.14761532061435823</v>
      </c>
      <c r="G30" s="55"/>
      <c r="H30" s="166" cm="1">
        <f t="array" ref="H30">RANK(I30,I3:I210)</f>
        <v>27</v>
      </c>
      <c r="I30" s="167" cm="1">
        <f t="array" ref="I30">VLOOKUP(A30,'Standard Deviations'!A1:C672,3,FALSE)</f>
        <v>6.7396192811947193</v>
      </c>
      <c r="J30" s="167" cm="1">
        <f t="array" ref="J30">I30-VLOOKUP(B$2,H1:J210,2,FALSE)</f>
        <v>-0.14761532061435823</v>
      </c>
    </row>
    <row r="31" spans="1:10" ht="21.25" customHeight="1" x14ac:dyDescent="0.15">
      <c r="A31" s="10" t="s">
        <v>236</v>
      </c>
      <c r="B31" s="96" t="str" cm="1">
        <f t="array" ref="B31">VLOOKUP(A31,'The List'!B1:D671,3,FALSE)</f>
        <v>RW</v>
      </c>
      <c r="C31" s="97" cm="1">
        <f t="array" ref="C31">IF(Settings!$E$15="POINTS",RANK(E31,E3:E210),H31)</f>
        <v>24</v>
      </c>
      <c r="D31" s="18" t="str" cm="1">
        <f t="array" ref="D31">VLOOKUP(A31,'The List'!B1:F671,5,FALSE)</f>
        <v>ANA</v>
      </c>
      <c r="E31" s="55" cm="1">
        <f t="array" ref="E31">VLOOKUP(A31,'The List'!B1:I671,8,FALSE)</f>
        <v>6.8533294164904808</v>
      </c>
      <c r="F31" s="55" cm="1">
        <f t="array" ref="F31">IF(Settings!$E$15="POINTS",E31-VLOOKUP(B$2,C1:E210,3,FALSE),J31)</f>
        <v>-3.3905185318596764E-2</v>
      </c>
      <c r="G31" s="55"/>
      <c r="H31" s="166" cm="1">
        <f t="array" ref="H31">RANK(I31,I3:I210)</f>
        <v>24</v>
      </c>
      <c r="I31" s="167" cm="1">
        <f t="array" ref="I31">VLOOKUP(A31,'Standard Deviations'!A1:C672,3,FALSE)</f>
        <v>6.8533294164904808</v>
      </c>
      <c r="J31" s="167" cm="1">
        <f t="array" ref="J31">I31-VLOOKUP(B$2,H1:J210,2,FALSE)</f>
        <v>-3.3905185318596764E-2</v>
      </c>
    </row>
    <row r="32" spans="1:10" ht="21.25" customHeight="1" x14ac:dyDescent="0.15">
      <c r="A32" s="10" t="s">
        <v>237</v>
      </c>
      <c r="B32" s="96" t="str" cm="1">
        <f t="array" ref="B32">VLOOKUP(A32,'The List'!B1:D671,3,FALSE)</f>
        <v>LW,RW</v>
      </c>
      <c r="C32" s="97" cm="1">
        <f t="array" ref="C32">IF(Settings!$E$15="POINTS",RANK(E32,E3:E210),H32)</f>
        <v>33</v>
      </c>
      <c r="D32" s="18" t="str" cm="1">
        <f t="array" ref="D32">VLOOKUP(A32,'The List'!B1:F671,5,FALSE)</f>
        <v>NYR</v>
      </c>
      <c r="E32" s="55" cm="1">
        <f t="array" ref="E32">VLOOKUP(A32,'The List'!B1:I671,8,FALSE)</f>
        <v>5.5469147970908184</v>
      </c>
      <c r="F32" s="55" cm="1">
        <f t="array" ref="F32">IF(Settings!$E$15="POINTS",E32-VLOOKUP(B$2,C1:E210,3,FALSE),J32)</f>
        <v>-1.3403198047182592</v>
      </c>
      <c r="G32" s="55"/>
      <c r="H32" s="166" cm="1">
        <f t="array" ref="H32">RANK(I32,I3:I210)</f>
        <v>33</v>
      </c>
      <c r="I32" s="167" cm="1">
        <f t="array" ref="I32">VLOOKUP(A32,'Standard Deviations'!A1:C672,3,FALSE)</f>
        <v>5.5469147970908184</v>
      </c>
      <c r="J32" s="167" cm="1">
        <f t="array" ref="J32">I32-VLOOKUP(B$2,H1:J210,2,FALSE)</f>
        <v>-1.3403198047182592</v>
      </c>
    </row>
    <row r="33" spans="1:10" ht="21.25" customHeight="1" x14ac:dyDescent="0.15">
      <c r="A33" s="10" t="s">
        <v>243</v>
      </c>
      <c r="B33" s="96" t="str" cm="1">
        <f t="array" ref="B33">VLOOKUP(A33,'The List'!B1:D671,3,FALSE)</f>
        <v>C,RW</v>
      </c>
      <c r="C33" s="97" cm="1">
        <f t="array" ref="C33">IF(Settings!$E$15="POINTS",RANK(E33,E3:E210),H33)</f>
        <v>49</v>
      </c>
      <c r="D33" s="18" t="str" cm="1">
        <f t="array" ref="D33">VLOOKUP(A33,'The List'!B1:F671,5,FALSE)</f>
        <v>UTA</v>
      </c>
      <c r="E33" s="55" cm="1">
        <f t="array" ref="E33">VLOOKUP(A33,'The List'!B1:I671,8,FALSE)</f>
        <v>4.3916714033430972</v>
      </c>
      <c r="F33" s="55" cm="1">
        <f t="array" ref="F33">IF(Settings!$E$15="POINTS",E33-VLOOKUP(B$2,C1:E210,3,FALSE),J33)</f>
        <v>-2.4955631984659803</v>
      </c>
      <c r="G33" s="55"/>
      <c r="H33" s="166" cm="1">
        <f t="array" ref="H33">RANK(I33,I3:I210)</f>
        <v>49</v>
      </c>
      <c r="I33" s="167" cm="1">
        <f t="array" ref="I33">VLOOKUP(A33,'Standard Deviations'!A1:C672,3,FALSE)</f>
        <v>4.3916714033430972</v>
      </c>
      <c r="J33" s="167" cm="1">
        <f t="array" ref="J33">I33-VLOOKUP(B$2,H1:J210,2,FALSE)</f>
        <v>-2.4955631984659803</v>
      </c>
    </row>
    <row r="34" spans="1:10" ht="21.25" customHeight="1" x14ac:dyDescent="0.15">
      <c r="A34" s="10" t="s">
        <v>246</v>
      </c>
      <c r="B34" s="96" t="str" cm="1">
        <f t="array" ref="B34">VLOOKUP(A34,'The List'!B1:D671,3,FALSE)</f>
        <v>LW,RW</v>
      </c>
      <c r="C34" s="97" cm="1">
        <f t="array" ref="C34">IF(Settings!$E$15="POINTS",RANK(E34,E3:E210),H34)</f>
        <v>34</v>
      </c>
      <c r="D34" s="18" t="str" cm="1">
        <f t="array" ref="D34">VLOOKUP(A34,'The List'!B1:F671,5,FALSE)</f>
        <v>NYR</v>
      </c>
      <c r="E34" s="55" cm="1">
        <f t="array" ref="E34">VLOOKUP(A34,'The List'!B1:I671,8,FALSE)</f>
        <v>5.315202374473964</v>
      </c>
      <c r="F34" s="55" cm="1">
        <f t="array" ref="F34">IF(Settings!$E$15="POINTS",E34-VLOOKUP(B$2,C1:E210,3,FALSE),J34)</f>
        <v>-1.5720322273351135</v>
      </c>
      <c r="G34" s="55"/>
      <c r="H34" s="166" cm="1">
        <f t="array" ref="H34">RANK(I34,I3:I210)</f>
        <v>34</v>
      </c>
      <c r="I34" s="167" cm="1">
        <f t="array" ref="I34">VLOOKUP(A34,'Standard Deviations'!A1:C672,3,FALSE)</f>
        <v>5.315202374473964</v>
      </c>
      <c r="J34" s="167" cm="1">
        <f t="array" ref="J34">I34-VLOOKUP(B$2,H1:J210,2,FALSE)</f>
        <v>-1.5720322273351135</v>
      </c>
    </row>
    <row r="35" spans="1:10" ht="21.25" customHeight="1" x14ac:dyDescent="0.15">
      <c r="A35" s="10" t="s">
        <v>249</v>
      </c>
      <c r="B35" s="96" t="str" cm="1">
        <f t="array" ref="B35">VLOOKUP(A35,'The List'!B1:D671,3,FALSE)</f>
        <v>LW,RW</v>
      </c>
      <c r="C35" s="97" cm="1">
        <f t="array" ref="C35">IF(Settings!$E$15="POINTS",RANK(E35,E3:E210),H35)</f>
        <v>39</v>
      </c>
      <c r="D35" s="18" t="str" cm="1">
        <f t="array" ref="D35">VLOOKUP(A35,'The List'!B1:F671,5,FALSE)</f>
        <v>WSH</v>
      </c>
      <c r="E35" s="55" cm="1">
        <f t="array" ref="E35">VLOOKUP(A35,'The List'!B1:I671,8,FALSE)</f>
        <v>4.911093154500719</v>
      </c>
      <c r="F35" s="55" cm="1">
        <f t="array" ref="F35">IF(Settings!$E$15="POINTS",E35-VLOOKUP(B$2,C1:E210,3,FALSE),J35)</f>
        <v>-1.9761414473083585</v>
      </c>
      <c r="G35" s="55"/>
      <c r="H35" s="166" cm="1">
        <f t="array" ref="H35">RANK(I35,I3:I210)</f>
        <v>39</v>
      </c>
      <c r="I35" s="167" cm="1">
        <f t="array" ref="I35">VLOOKUP(A35,'Standard Deviations'!A1:C672,3,FALSE)</f>
        <v>4.911093154500719</v>
      </c>
      <c r="J35" s="167" cm="1">
        <f t="array" ref="J35">I35-VLOOKUP(B$2,H1:J210,2,FALSE)</f>
        <v>-1.9761414473083585</v>
      </c>
    </row>
    <row r="36" spans="1:10" ht="21.25" customHeight="1" x14ac:dyDescent="0.15">
      <c r="A36" s="10" t="s">
        <v>250</v>
      </c>
      <c r="B36" s="96" t="str" cm="1">
        <f t="array" ref="B36">VLOOKUP(A36,'The List'!B1:D671,3,FALSE)</f>
        <v>C,RW</v>
      </c>
      <c r="C36" s="97" cm="1">
        <f t="array" ref="C36">IF(Settings!$E$15="POINTS",RANK(E36,E3:E210),H36)</f>
        <v>61</v>
      </c>
      <c r="D36" s="18" t="str" cm="1">
        <f t="array" ref="D36">VLOOKUP(A36,'The List'!B1:F671,5,FALSE)</f>
        <v>NYI</v>
      </c>
      <c r="E36" s="55" cm="1">
        <f t="array" ref="E36">VLOOKUP(A36,'The List'!B1:I671,8,FALSE)</f>
        <v>3.3482307644787275</v>
      </c>
      <c r="F36" s="55" cm="1">
        <f t="array" ref="F36">IF(Settings!$E$15="POINTS",E36-VLOOKUP(B$2,C1:E210,3,FALSE),J36)</f>
        <v>-3.5390038373303501</v>
      </c>
      <c r="G36" s="55"/>
      <c r="H36" s="166" cm="1">
        <f t="array" ref="H36">RANK(I36,I3:I210)</f>
        <v>61</v>
      </c>
      <c r="I36" s="167" cm="1">
        <f t="array" ref="I36">VLOOKUP(A36,'Standard Deviations'!A1:C672,3,FALSE)</f>
        <v>3.3482307644787275</v>
      </c>
      <c r="J36" s="167" cm="1">
        <f t="array" ref="J36">I36-VLOOKUP(B$2,H1:J210,2,FALSE)</f>
        <v>-3.5390038373303501</v>
      </c>
    </row>
    <row r="37" spans="1:10" ht="21.25" customHeight="1" x14ac:dyDescent="0.15">
      <c r="A37" s="10" t="s">
        <v>254</v>
      </c>
      <c r="B37" s="96" t="str" cm="1">
        <f t="array" ref="B37">VLOOKUP(A37,'The List'!B1:D671,3,FALSE)</f>
        <v>RW</v>
      </c>
      <c r="C37" s="97" cm="1">
        <f t="array" ref="C37">IF(Settings!$E$15="POINTS",RANK(E37,E3:E210),H37)</f>
        <v>43</v>
      </c>
      <c r="D37" s="18" t="str" cm="1">
        <f t="array" ref="D37">VLOOKUP(A37,'The List'!B1:F671,5,FALSE)</f>
        <v>MTL</v>
      </c>
      <c r="E37" s="55" cm="1">
        <f t="array" ref="E37">VLOOKUP(A37,'The List'!B1:I671,8,FALSE)</f>
        <v>4.6441614712014792</v>
      </c>
      <c r="F37" s="55" cm="1">
        <f t="array" ref="F37">IF(Settings!$E$15="POINTS",E37-VLOOKUP(B$2,C1:E210,3,FALSE),J37)</f>
        <v>-2.2430731306075984</v>
      </c>
      <c r="G37" s="55"/>
      <c r="H37" s="166" cm="1">
        <f t="array" ref="H37">RANK(I37,I3:I210)</f>
        <v>43</v>
      </c>
      <c r="I37" s="167" cm="1">
        <f t="array" ref="I37">VLOOKUP(A37,'Standard Deviations'!A1:C672,3,FALSE)</f>
        <v>4.6441614712014792</v>
      </c>
      <c r="J37" s="167" cm="1">
        <f t="array" ref="J37">I37-VLOOKUP(B$2,H1:J210,2,FALSE)</f>
        <v>-2.2430731306075984</v>
      </c>
    </row>
    <row r="38" spans="1:10" ht="21.25" customHeight="1" x14ac:dyDescent="0.15">
      <c r="A38" s="10" t="s">
        <v>255</v>
      </c>
      <c r="B38" s="96" t="str" cm="1">
        <f t="array" ref="B38">VLOOKUP(A38,'The List'!B1:D671,3,FALSE)</f>
        <v>C,LW,RW</v>
      </c>
      <c r="C38" s="97" cm="1">
        <f t="array" ref="C38">IF(Settings!$E$15="POINTS",RANK(E38,E3:E210),H38)</f>
        <v>32</v>
      </c>
      <c r="D38" s="18" t="str" cm="1">
        <f t="array" ref="D38">VLOOKUP(A38,'The List'!B1:F671,5,FALSE)</f>
        <v>NYR</v>
      </c>
      <c r="E38" s="55" cm="1">
        <f t="array" ref="E38">VLOOKUP(A38,'The List'!B1:I671,8,FALSE)</f>
        <v>5.9317549820803022</v>
      </c>
      <c r="F38" s="55" cm="1">
        <f t="array" ref="F38">IF(Settings!$E$15="POINTS",E38-VLOOKUP(B$2,C1:E210,3,FALSE),J38)</f>
        <v>-0.95547961972877538</v>
      </c>
      <c r="G38" s="55"/>
      <c r="H38" s="166" cm="1">
        <f t="array" ref="H38">RANK(I38,I3:I210)</f>
        <v>32</v>
      </c>
      <c r="I38" s="167" cm="1">
        <f t="array" ref="I38">VLOOKUP(A38,'Standard Deviations'!A1:C672,3,FALSE)</f>
        <v>5.9317549820803022</v>
      </c>
      <c r="J38" s="167" cm="1">
        <f t="array" ref="J38">I38-VLOOKUP(B$2,H1:J210,2,FALSE)</f>
        <v>-0.95547961972877538</v>
      </c>
    </row>
    <row r="39" spans="1:10" ht="21.25" customHeight="1" x14ac:dyDescent="0.15">
      <c r="A39" s="10" t="s">
        <v>257</v>
      </c>
      <c r="B39" s="96" t="str" cm="1">
        <f t="array" ref="B39">VLOOKUP(A39,'The List'!B1:D671,3,FALSE)</f>
        <v>RW</v>
      </c>
      <c r="C39" s="97" cm="1">
        <f t="array" ref="C39">IF(Settings!$E$15="POINTS",RANK(E39,E3:E210),H39)</f>
        <v>37</v>
      </c>
      <c r="D39" s="18" t="str" cm="1">
        <f t="array" ref="D39">VLOOKUP(A39,'The List'!B1:F671,5,FALSE)</f>
        <v>VGK</v>
      </c>
      <c r="E39" s="55" cm="1">
        <f t="array" ref="E39">VLOOKUP(A39,'The List'!B1:I671,8,FALSE)</f>
        <v>5.1742099973617437</v>
      </c>
      <c r="F39" s="55" cm="1">
        <f t="array" ref="F39">IF(Settings!$E$15="POINTS",E39-VLOOKUP(B$2,C1:E210,3,FALSE),J39)</f>
        <v>-1.7130246044473338</v>
      </c>
      <c r="G39" s="55"/>
      <c r="H39" s="166" cm="1">
        <f t="array" ref="H39">RANK(I39,I3:I210)</f>
        <v>37</v>
      </c>
      <c r="I39" s="167" cm="1">
        <f t="array" ref="I39">VLOOKUP(A39,'Standard Deviations'!A1:C672,3,FALSE)</f>
        <v>5.1742099973617437</v>
      </c>
      <c r="J39" s="167" cm="1">
        <f t="array" ref="J39">I39-VLOOKUP(B$2,H1:J210,2,FALSE)</f>
        <v>-1.7130246044473338</v>
      </c>
    </row>
    <row r="40" spans="1:10" ht="21.25" customHeight="1" x14ac:dyDescent="0.15">
      <c r="A40" s="10" t="s">
        <v>258</v>
      </c>
      <c r="B40" s="96" t="str" cm="1">
        <f t="array" ref="B40">VLOOKUP(A40,'The List'!B1:D671,3,FALSE)</f>
        <v>LW,RW</v>
      </c>
      <c r="C40" s="97" cm="1">
        <f t="array" ref="C40">IF(Settings!$E$15="POINTS",RANK(E40,E3:E210),H40)</f>
        <v>15</v>
      </c>
      <c r="D40" s="18" t="str" cm="1">
        <f t="array" ref="D40">VLOOKUP(A40,'The List'!B1:F671,5,FALSE)</f>
        <v>CAR</v>
      </c>
      <c r="E40" s="55" cm="1">
        <f t="array" ref="E40">VLOOKUP(A40,'The List'!B1:I671,8,FALSE)</f>
        <v>7.9673790514234586</v>
      </c>
      <c r="F40" s="55" cm="1">
        <f t="array" ref="F40">IF(Settings!$E$15="POINTS",E40-VLOOKUP(B$2,C1:E210,3,FALSE),J40)</f>
        <v>1.0801444496143811</v>
      </c>
      <c r="G40" s="55"/>
      <c r="H40" s="166" cm="1">
        <f t="array" ref="H40">RANK(I40,I3:I210)</f>
        <v>15</v>
      </c>
      <c r="I40" s="167" cm="1">
        <f t="array" ref="I40">VLOOKUP(A40,'Standard Deviations'!A1:C672,3,FALSE)</f>
        <v>7.9673790514234586</v>
      </c>
      <c r="J40" s="167" cm="1">
        <f t="array" ref="J40">I40-VLOOKUP(B$2,H1:J210,2,FALSE)</f>
        <v>1.0801444496143811</v>
      </c>
    </row>
    <row r="41" spans="1:10" ht="21.25" customHeight="1" x14ac:dyDescent="0.15">
      <c r="A41" s="10" t="s">
        <v>262</v>
      </c>
      <c r="B41" s="96" t="str" cm="1">
        <f t="array" ref="B41">VLOOKUP(A41,'The List'!B1:D671,3,FALSE)</f>
        <v>LW,RW</v>
      </c>
      <c r="C41" s="97" cm="1">
        <f t="array" ref="C41">IF(Settings!$E$15="POINTS",RANK(E41,E3:E210),H41)</f>
        <v>52</v>
      </c>
      <c r="D41" s="18" t="str" cm="1">
        <f t="array" ref="D41">VLOOKUP(A41,'The List'!B1:F671,5,FALSE)</f>
        <v>PHI</v>
      </c>
      <c r="E41" s="55" cm="1">
        <f t="array" ref="E41">VLOOKUP(A41,'The List'!B1:I671,8,FALSE)</f>
        <v>4.0270904688992948</v>
      </c>
      <c r="F41" s="55" cm="1">
        <f t="array" ref="F41">IF(Settings!$E$15="POINTS",E41-VLOOKUP(B$2,C1:E210,3,FALSE),J41)</f>
        <v>-2.8601441329097828</v>
      </c>
      <c r="G41" s="55"/>
      <c r="H41" s="166" cm="1">
        <f t="array" ref="H41">RANK(I41,I3:I210)</f>
        <v>52</v>
      </c>
      <c r="I41" s="167" cm="1">
        <f t="array" ref="I41">VLOOKUP(A41,'Standard Deviations'!A1:C672,3,FALSE)</f>
        <v>4.0270904688992948</v>
      </c>
      <c r="J41" s="167" cm="1">
        <f t="array" ref="J41">I41-VLOOKUP(B$2,H1:J210,2,FALSE)</f>
        <v>-2.8601441329097828</v>
      </c>
    </row>
    <row r="42" spans="1:10" ht="21.25" customHeight="1" x14ac:dyDescent="0.15">
      <c r="A42" s="10" t="s">
        <v>263</v>
      </c>
      <c r="B42" s="96" t="str" cm="1">
        <f t="array" ref="B42">VLOOKUP(A42,'The List'!B1:D671,3,FALSE)</f>
        <v>C,RW</v>
      </c>
      <c r="C42" s="97" cm="1">
        <f t="array" ref="C42">IF(Settings!$E$15="POINTS",RANK(E42,E3:E210),H42)</f>
        <v>42</v>
      </c>
      <c r="D42" s="18" t="str" cm="1">
        <f t="array" ref="D42">VLOOKUP(A42,'The List'!B1:F671,5,FALSE)</f>
        <v>NSH</v>
      </c>
      <c r="E42" s="55" cm="1">
        <f t="array" ref="E42">VLOOKUP(A42,'The List'!B1:I671,8,FALSE)</f>
        <v>4.7106056162291967</v>
      </c>
      <c r="F42" s="55" cm="1">
        <f t="array" ref="F42">IF(Settings!$E$15="POINTS",E42-VLOOKUP(B$2,C1:E210,3,FALSE),J42)</f>
        <v>-2.1766289855798808</v>
      </c>
      <c r="G42" s="55"/>
      <c r="H42" s="166" cm="1">
        <f t="array" ref="H42">RANK(I42,I3:I210)</f>
        <v>42</v>
      </c>
      <c r="I42" s="167" cm="1">
        <f t="array" ref="I42">VLOOKUP(A42,'Standard Deviations'!A1:C672,3,FALSE)</f>
        <v>4.7106056162291967</v>
      </c>
      <c r="J42" s="167" cm="1">
        <f t="array" ref="J42">I42-VLOOKUP(B$2,H1:J210,2,FALSE)</f>
        <v>-2.1766289855798808</v>
      </c>
    </row>
    <row r="43" spans="1:10" ht="21.25" customHeight="1" x14ac:dyDescent="0.15">
      <c r="A43" s="10" t="s">
        <v>264</v>
      </c>
      <c r="B43" s="96" t="str" cm="1">
        <f t="array" ref="B43">VLOOKUP(A43,'The List'!B1:D671,3,FALSE)</f>
        <v>C,LW,RW</v>
      </c>
      <c r="C43" s="97" cm="1">
        <f t="array" ref="C43">IF(Settings!$E$15="POINTS",RANK(E43,E3:E210),H43)</f>
        <v>46</v>
      </c>
      <c r="D43" s="18" t="str" cm="1">
        <f t="array" ref="D43">VLOOKUP(A43,'The List'!B1:F671,5,FALSE)</f>
        <v>PIT</v>
      </c>
      <c r="E43" s="55" cm="1">
        <f t="array" ref="E43">VLOOKUP(A43,'The List'!B1:I671,8,FALSE)</f>
        <v>4.5813572957295028</v>
      </c>
      <c r="F43" s="55" cm="1">
        <f t="array" ref="F43">IF(Settings!$E$15="POINTS",E43-VLOOKUP(B$2,C1:E210,3,FALSE),J43)</f>
        <v>-2.3058773060795748</v>
      </c>
      <c r="G43" s="55"/>
      <c r="H43" s="166" cm="1">
        <f t="array" ref="H43">RANK(I43,I3:I210)</f>
        <v>46</v>
      </c>
      <c r="I43" s="167" cm="1">
        <f t="array" ref="I43">VLOOKUP(A43,'Standard Deviations'!A1:C672,3,FALSE)</f>
        <v>4.5813572957295028</v>
      </c>
      <c r="J43" s="167" cm="1">
        <f t="array" ref="J43">I43-VLOOKUP(B$2,H1:J210,2,FALSE)</f>
        <v>-2.3058773060795748</v>
      </c>
    </row>
    <row r="44" spans="1:10" ht="21.25" customHeight="1" x14ac:dyDescent="0.15">
      <c r="A44" s="10" t="s">
        <v>268</v>
      </c>
      <c r="B44" s="96" t="str" cm="1">
        <f t="array" ref="B44">VLOOKUP(A44,'The List'!B1:D671,3,FALSE)</f>
        <v>LW,RW</v>
      </c>
      <c r="C44" s="97" cm="1">
        <f t="array" ref="C44">IF(Settings!$E$15="POINTS",RANK(E44,E3:E210),H44)</f>
        <v>21</v>
      </c>
      <c r="D44" s="18" t="str" cm="1">
        <f t="array" ref="D44">VLOOKUP(A44,'The List'!B1:F671,5,FALSE)</f>
        <v>EDM</v>
      </c>
      <c r="E44" s="55" cm="1">
        <f t="array" ref="E44">VLOOKUP(A44,'The List'!B1:I671,8,FALSE)</f>
        <v>6.8943856443898097</v>
      </c>
      <c r="F44" s="55" cm="1">
        <f t="array" ref="F44">IF(Settings!$E$15="POINTS",E44-VLOOKUP(B$2,C1:E210,3,FALSE),J44)</f>
        <v>7.1510425807321809E-3</v>
      </c>
      <c r="G44" s="55"/>
      <c r="H44" s="166" cm="1">
        <f t="array" ref="H44">RANK(I44,I3:I210)</f>
        <v>21</v>
      </c>
      <c r="I44" s="167" cm="1">
        <f t="array" ref="I44">VLOOKUP(A44,'Standard Deviations'!A1:C672,3,FALSE)</f>
        <v>6.8943856443898097</v>
      </c>
      <c r="J44" s="167" cm="1">
        <f t="array" ref="J44">I44-VLOOKUP(B$2,H1:J210,2,FALSE)</f>
        <v>7.1510425807321809E-3</v>
      </c>
    </row>
    <row r="45" spans="1:10" ht="21.25" customHeight="1" x14ac:dyDescent="0.15">
      <c r="A45" s="10" t="s">
        <v>272</v>
      </c>
      <c r="B45" s="96" t="str" cm="1">
        <f t="array" ref="B45">VLOOKUP(A45,'The List'!B1:D671,3,FALSE)</f>
        <v>RW</v>
      </c>
      <c r="C45" s="97" cm="1">
        <f t="array" ref="C45">IF(Settings!$E$15="POINTS",RANK(E45,E3:E210),H45)</f>
        <v>56</v>
      </c>
      <c r="D45" s="18" t="str" cm="1">
        <f t="array" ref="D45">VLOOKUP(A45,'The List'!B1:F671,5,FALSE)</f>
        <v>STL</v>
      </c>
      <c r="E45" s="55" cm="1">
        <f t="array" ref="E45">VLOOKUP(A45,'The List'!B1:I671,8,FALSE)</f>
        <v>3.9173098159751953</v>
      </c>
      <c r="F45" s="55" cm="1">
        <f t="array" ref="F45">IF(Settings!$E$15="POINTS",E45-VLOOKUP(B$2,C1:E210,3,FALSE),J45)</f>
        <v>-2.9699247858338822</v>
      </c>
      <c r="G45" s="55"/>
      <c r="H45" s="166" cm="1">
        <f t="array" ref="H45">RANK(I45,I3:I210)</f>
        <v>56</v>
      </c>
      <c r="I45" s="167" cm="1">
        <f t="array" ref="I45">VLOOKUP(A45,'Standard Deviations'!A1:C672,3,FALSE)</f>
        <v>3.9173098159751953</v>
      </c>
      <c r="J45" s="167" cm="1">
        <f t="array" ref="J45">I45-VLOOKUP(B$2,H1:J210,2,FALSE)</f>
        <v>-2.9699247858338822</v>
      </c>
    </row>
    <row r="46" spans="1:10" ht="21.25" customHeight="1" x14ac:dyDescent="0.15">
      <c r="A46" s="10" t="s">
        <v>273</v>
      </c>
      <c r="B46" s="96" t="str" cm="1">
        <f t="array" ref="B46">VLOOKUP(A46,'The List'!B1:D671,3,FALSE)</f>
        <v>RW</v>
      </c>
      <c r="C46" s="97" cm="1">
        <f t="array" ref="C46">IF(Settings!$E$15="POINTS",RANK(E46,E3:E210),H46)</f>
        <v>36</v>
      </c>
      <c r="D46" s="18" t="str" cm="1">
        <f t="array" ref="D46">VLOOKUP(A46,'The List'!B1:F671,5,FALSE)</f>
        <v>WSH</v>
      </c>
      <c r="E46" s="55" cm="1">
        <f t="array" ref="E46">VLOOKUP(A46,'The List'!B1:I671,8,FALSE)</f>
        <v>5.2377229918545627</v>
      </c>
      <c r="F46" s="55" cm="1">
        <f t="array" ref="F46">IF(Settings!$E$15="POINTS",E46-VLOOKUP(B$2,C1:E210,3,FALSE),J46)</f>
        <v>-1.6495116099545148</v>
      </c>
      <c r="G46" s="55"/>
      <c r="H46" s="166" cm="1">
        <f t="array" ref="H46">RANK(I46,I3:I210)</f>
        <v>36</v>
      </c>
      <c r="I46" s="167" cm="1">
        <f t="array" ref="I46">VLOOKUP(A46,'Standard Deviations'!A1:C672,3,FALSE)</f>
        <v>5.2377229918545627</v>
      </c>
      <c r="J46" s="167" cm="1">
        <f t="array" ref="J46">I46-VLOOKUP(B$2,H1:J210,2,FALSE)</f>
        <v>-1.6495116099545148</v>
      </c>
    </row>
    <row r="47" spans="1:10" ht="21.25" customHeight="1" x14ac:dyDescent="0.15">
      <c r="A47" s="10" t="s">
        <v>274</v>
      </c>
      <c r="B47" s="96" t="str" cm="1">
        <f t="array" ref="B47">VLOOKUP(A47,'The List'!B1:D671,3,FALSE)</f>
        <v>LW,RW</v>
      </c>
      <c r="C47" s="97" cm="1">
        <f t="array" ref="C47">IF(Settings!$E$15="POINTS",RANK(E47,E3:E210),H47)</f>
        <v>53</v>
      </c>
      <c r="D47" s="18" t="str" cm="1">
        <f t="array" ref="D47">VLOOKUP(A47,'The List'!B1:F671,5,FALSE)</f>
        <v>N.J</v>
      </c>
      <c r="E47" s="55" cm="1">
        <f t="array" ref="E47">VLOOKUP(A47,'The List'!B1:I671,8,FALSE)</f>
        <v>4.0179715163652423</v>
      </c>
      <c r="F47" s="55" cm="1">
        <f t="array" ref="F47">IF(Settings!$E$15="POINTS",E47-VLOOKUP(B$2,C1:E210,3,FALSE),J47)</f>
        <v>-2.8692630854438352</v>
      </c>
      <c r="G47" s="55"/>
      <c r="H47" s="166" cm="1">
        <f t="array" ref="H47">RANK(I47,I3:I210)</f>
        <v>53</v>
      </c>
      <c r="I47" s="167" cm="1">
        <f t="array" ref="I47">VLOOKUP(A47,'Standard Deviations'!A1:C672,3,FALSE)</f>
        <v>4.0179715163652423</v>
      </c>
      <c r="J47" s="167" cm="1">
        <f t="array" ref="J47">I47-VLOOKUP(B$2,H1:J210,2,FALSE)</f>
        <v>-2.8692630854438352</v>
      </c>
    </row>
    <row r="48" spans="1:10" ht="21.25" customHeight="1" x14ac:dyDescent="0.15">
      <c r="A48" s="10" t="s">
        <v>275</v>
      </c>
      <c r="B48" s="96" t="str" cm="1">
        <f t="array" ref="B48">VLOOKUP(A48,'The List'!B1:D671,3,FALSE)</f>
        <v>C,LW,RW</v>
      </c>
      <c r="C48" s="97" cm="1">
        <f t="array" ref="C48">IF(Settings!$E$15="POINTS",RANK(E48,E3:E210),H48)</f>
        <v>35</v>
      </c>
      <c r="D48" s="18" t="str" cm="1">
        <f t="array" ref="D48">VLOOKUP(A48,'The List'!B1:F671,5,FALSE)</f>
        <v>BOS</v>
      </c>
      <c r="E48" s="55" cm="1">
        <f t="array" ref="E48">VLOOKUP(A48,'The List'!B1:I671,8,FALSE)</f>
        <v>5.2657629345430648</v>
      </c>
      <c r="F48" s="55" cm="1">
        <f t="array" ref="F48">IF(Settings!$E$15="POINTS",E48-VLOOKUP(B$2,C1:E210,3,FALSE),J48)</f>
        <v>-1.6214716672660128</v>
      </c>
      <c r="G48" s="55"/>
      <c r="H48" s="166" cm="1">
        <f t="array" ref="H48">RANK(I48,I3:I210)</f>
        <v>35</v>
      </c>
      <c r="I48" s="167" cm="1">
        <f t="array" ref="I48">VLOOKUP(A48,'Standard Deviations'!A1:C672,3,FALSE)</f>
        <v>5.2657629345430648</v>
      </c>
      <c r="J48" s="167" cm="1">
        <f t="array" ref="J48">I48-VLOOKUP(B$2,H1:J210,2,FALSE)</f>
        <v>-1.6214716672660128</v>
      </c>
    </row>
    <row r="49" spans="1:10" ht="21.25" customHeight="1" x14ac:dyDescent="0.15">
      <c r="A49" s="10" t="s">
        <v>276</v>
      </c>
      <c r="B49" s="96" t="str" cm="1">
        <f t="array" ref="B49">VLOOKUP(A49,'The List'!B1:D671,3,FALSE)</f>
        <v>C,LW,RW</v>
      </c>
      <c r="C49" s="97" cm="1">
        <f t="array" ref="C49">IF(Settings!$E$15="POINTS",RANK(E49,E3:E210),H49)</f>
        <v>58</v>
      </c>
      <c r="D49" s="18" t="str" cm="1">
        <f t="array" ref="D49">VLOOKUP(A49,'The List'!B1:F671,5,FALSE)</f>
        <v>PIT</v>
      </c>
      <c r="E49" s="55" cm="1">
        <f t="array" ref="E49">VLOOKUP(A49,'The List'!B1:I671,8,FALSE)</f>
        <v>3.6979420703450154</v>
      </c>
      <c r="F49" s="55" cm="1">
        <f t="array" ref="F49">IF(Settings!$E$15="POINTS",E49-VLOOKUP(B$2,C1:E210,3,FALSE),J49)</f>
        <v>-3.1892925314640621</v>
      </c>
      <c r="G49" s="55"/>
      <c r="H49" s="166" cm="1">
        <f t="array" ref="H49">RANK(I49,I3:I210)</f>
        <v>58</v>
      </c>
      <c r="I49" s="167" cm="1">
        <f t="array" ref="I49">VLOOKUP(A49,'Standard Deviations'!A1:C672,3,FALSE)</f>
        <v>3.6979420703450154</v>
      </c>
      <c r="J49" s="167" cm="1">
        <f t="array" ref="J49">I49-VLOOKUP(B$2,H1:J210,2,FALSE)</f>
        <v>-3.1892925314640621</v>
      </c>
    </row>
    <row r="50" spans="1:10" ht="21.25" customHeight="1" x14ac:dyDescent="0.15">
      <c r="A50" s="10" t="s">
        <v>277</v>
      </c>
      <c r="B50" s="96" t="str" cm="1">
        <f t="array" ref="B50">VLOOKUP(A50,'The List'!B1:D671,3,FALSE)</f>
        <v>LW,RW</v>
      </c>
      <c r="C50" s="97" cm="1">
        <f t="array" ref="C50">IF(Settings!$E$15="POINTS",RANK(E50,E3:E210),H50)</f>
        <v>40</v>
      </c>
      <c r="D50" s="18" t="str" cm="1">
        <f t="array" ref="D50">VLOOKUP(A50,'The List'!B1:F671,5,FALSE)</f>
        <v>TOR</v>
      </c>
      <c r="E50" s="55" cm="1">
        <f t="array" ref="E50">VLOOKUP(A50,'The List'!B1:I671,8,FALSE)</f>
        <v>4.8039094606699768</v>
      </c>
      <c r="F50" s="55" cm="1">
        <f t="array" ref="F50">IF(Settings!$E$15="POINTS",E50-VLOOKUP(B$2,C1:E210,3,FALSE),J50)</f>
        <v>-2.0833251411391007</v>
      </c>
      <c r="G50" s="55"/>
      <c r="H50" s="166" cm="1">
        <f t="array" ref="H50">RANK(I50,I3:I210)</f>
        <v>40</v>
      </c>
      <c r="I50" s="167" cm="1">
        <f t="array" ref="I50">VLOOKUP(A50,'Standard Deviations'!A1:C672,3,FALSE)</f>
        <v>4.8039094606699768</v>
      </c>
      <c r="J50" s="167" cm="1">
        <f t="array" ref="J50">I50-VLOOKUP(B$2,H1:J210,2,FALSE)</f>
        <v>-2.0833251411391007</v>
      </c>
    </row>
    <row r="51" spans="1:10" ht="21.25" customHeight="1" x14ac:dyDescent="0.15">
      <c r="A51" s="10" t="s">
        <v>279</v>
      </c>
      <c r="B51" s="96" t="str" cm="1">
        <f t="array" ref="B51">VLOOKUP(A51,'The List'!B1:D671,3,FALSE)</f>
        <v>LW,RW</v>
      </c>
      <c r="C51" s="97" cm="1">
        <f t="array" ref="C51">IF(Settings!$E$15="POINTS",RANK(E51,E3:E210),H51)</f>
        <v>29</v>
      </c>
      <c r="D51" s="18" t="str" cm="1">
        <f t="array" ref="D51">VLOOKUP(A51,'The List'!B1:F671,5,FALSE)</f>
        <v>OTT</v>
      </c>
      <c r="E51" s="55" cm="1">
        <f t="array" ref="E51">VLOOKUP(A51,'The List'!B1:I671,8,FALSE)</f>
        <v>6.4734943779736449</v>
      </c>
      <c r="F51" s="55" cm="1">
        <f t="array" ref="F51">IF(Settings!$E$15="POINTS",E51-VLOOKUP(B$2,C1:E210,3,FALSE),J51)</f>
        <v>-0.41374022383543263</v>
      </c>
      <c r="G51" s="55"/>
      <c r="H51" s="166" cm="1">
        <f t="array" ref="H51">RANK(I51,I3:I210)</f>
        <v>29</v>
      </c>
      <c r="I51" s="167" cm="1">
        <f t="array" ref="I51">VLOOKUP(A51,'Standard Deviations'!A1:C672,3,FALSE)</f>
        <v>6.4734943779736449</v>
      </c>
      <c r="J51" s="167" cm="1">
        <f t="array" ref="J51">I51-VLOOKUP(B$2,H1:J210,2,FALSE)</f>
        <v>-0.41374022383543263</v>
      </c>
    </row>
    <row r="52" spans="1:10" ht="21.25" customHeight="1" x14ac:dyDescent="0.15">
      <c r="A52" s="10" t="s">
        <v>291</v>
      </c>
      <c r="B52" s="96" t="str" cm="1">
        <f t="array" ref="B52">VLOOKUP(A52,'The List'!B1:D671,3,FALSE)</f>
        <v>RW</v>
      </c>
      <c r="C52" s="97" cm="1">
        <f t="array" ref="C52">IF(Settings!$E$15="POINTS",RANK(E52,E3:E210),H52)</f>
        <v>19</v>
      </c>
      <c r="D52" s="18" t="str" cm="1">
        <f t="array" ref="D52">VLOOKUP(A52,'The List'!B1:F671,5,FALSE)</f>
        <v>WSH</v>
      </c>
      <c r="E52" s="55" cm="1">
        <f t="array" ref="E52">VLOOKUP(A52,'The List'!B1:I671,8,FALSE)</f>
        <v>7.1307096449834102</v>
      </c>
      <c r="F52" s="55" cm="1">
        <f t="array" ref="F52">IF(Settings!$E$15="POINTS",E52-VLOOKUP(B$2,C1:E210,3,FALSE),J52)</f>
        <v>0.24347504317433266</v>
      </c>
      <c r="G52" s="55"/>
      <c r="H52" s="166" cm="1">
        <f t="array" ref="H52">RANK(I52,I3:I210)</f>
        <v>19</v>
      </c>
      <c r="I52" s="167" cm="1">
        <f t="array" ref="I52">VLOOKUP(A52,'Standard Deviations'!A1:C672,3,FALSE)</f>
        <v>7.1307096449834102</v>
      </c>
      <c r="J52" s="167" cm="1">
        <f t="array" ref="J52">I52-VLOOKUP(B$2,H1:J210,2,FALSE)</f>
        <v>0.24347504317433266</v>
      </c>
    </row>
    <row r="53" spans="1:10" ht="21.25" customHeight="1" x14ac:dyDescent="0.15">
      <c r="A53" s="10" t="s">
        <v>292</v>
      </c>
      <c r="B53" s="96" t="str" cm="1">
        <f t="array" ref="B53">VLOOKUP(A53,'The List'!B1:D671,3,FALSE)</f>
        <v>RW</v>
      </c>
      <c r="C53" s="97" cm="1">
        <f t="array" ref="C53">IF(Settings!$E$15="POINTS",RANK(E53,E3:E210),H53)</f>
        <v>47</v>
      </c>
      <c r="D53" s="18" t="str" cm="1">
        <f t="array" ref="D53">VLOOKUP(A53,'The List'!B1:F671,5,FALSE)</f>
        <v>PHI</v>
      </c>
      <c r="E53" s="55" cm="1">
        <f t="array" ref="E53">VLOOKUP(A53,'The List'!B1:I671,8,FALSE)</f>
        <v>4.5387165069534134</v>
      </c>
      <c r="F53" s="55" cm="1">
        <f t="array" ref="F53">IF(Settings!$E$15="POINTS",E53-VLOOKUP(B$2,C1:E210,3,FALSE),J53)</f>
        <v>-2.3485180948556641</v>
      </c>
      <c r="G53" s="55"/>
      <c r="H53" s="166" cm="1">
        <f t="array" ref="H53">RANK(I53,I3:I210)</f>
        <v>47</v>
      </c>
      <c r="I53" s="167" cm="1">
        <f t="array" ref="I53">VLOOKUP(A53,'Standard Deviations'!A1:C672,3,FALSE)</f>
        <v>4.5387165069534134</v>
      </c>
      <c r="J53" s="167" cm="1">
        <f t="array" ref="J53">I53-VLOOKUP(B$2,H1:J210,2,FALSE)</f>
        <v>-2.3485180948556641</v>
      </c>
    </row>
    <row r="54" spans="1:10" ht="21.25" customHeight="1" x14ac:dyDescent="0.15">
      <c r="A54" s="10" t="s">
        <v>293</v>
      </c>
      <c r="B54" s="96" t="str" cm="1">
        <f t="array" ref="B54">VLOOKUP(A54,'The List'!B1:D671,3,FALSE)</f>
        <v>LW,RW</v>
      </c>
      <c r="C54" s="97" cm="1">
        <f t="array" ref="C54">IF(Settings!$E$15="POINTS",RANK(E54,E3:E210),H54)</f>
        <v>63</v>
      </c>
      <c r="D54" s="18" t="str" cm="1">
        <f t="array" ref="D54">VLOOKUP(A54,'The List'!B1:F671,5,FALSE)</f>
        <v>OTT</v>
      </c>
      <c r="E54" s="55" cm="1">
        <f t="array" ref="E54">VLOOKUP(A54,'The List'!B1:I671,8,FALSE)</f>
        <v>3.2635276203471508</v>
      </c>
      <c r="F54" s="55" cm="1">
        <f t="array" ref="F54">IF(Settings!$E$15="POINTS",E54-VLOOKUP(B$2,C1:E210,3,FALSE),J54)</f>
        <v>-3.6237069814619267</v>
      </c>
      <c r="G54" s="55"/>
      <c r="H54" s="166" cm="1">
        <f t="array" ref="H54">RANK(I54,I3:I210)</f>
        <v>63</v>
      </c>
      <c r="I54" s="167" cm="1">
        <f t="array" ref="I54">VLOOKUP(A54,'Standard Deviations'!A1:C672,3,FALSE)</f>
        <v>3.2635276203471508</v>
      </c>
      <c r="J54" s="167" cm="1">
        <f t="array" ref="J54">I54-VLOOKUP(B$2,H1:J210,2,FALSE)</f>
        <v>-3.6237069814619267</v>
      </c>
    </row>
    <row r="55" spans="1:10" ht="21.25" customHeight="1" x14ac:dyDescent="0.15">
      <c r="A55" s="10" t="s">
        <v>296</v>
      </c>
      <c r="B55" s="96" t="str" cm="1">
        <f t="array" ref="B55">VLOOKUP(A55,'The List'!B1:D671,3,FALSE)</f>
        <v>LW,RW</v>
      </c>
      <c r="C55" s="97" cm="1">
        <f t="array" ref="C55">IF(Settings!$E$15="POINTS",RANK(E55,E3:E210),H55)</f>
        <v>68</v>
      </c>
      <c r="D55" s="18" t="str" cm="1">
        <f t="array" ref="D55">VLOOKUP(A55,'The List'!B1:F671,5,FALSE)</f>
        <v>BOS</v>
      </c>
      <c r="E55" s="55" cm="1">
        <f t="array" ref="E55">VLOOKUP(A55,'The List'!B1:I671,8,FALSE)</f>
        <v>2.7846380843270113</v>
      </c>
      <c r="F55" s="55" cm="1">
        <f t="array" ref="F55">IF(Settings!$E$15="POINTS",E55-VLOOKUP(B$2,C1:E210,3,FALSE),J55)</f>
        <v>-4.1025965174820662</v>
      </c>
      <c r="G55" s="55"/>
      <c r="H55" s="166" cm="1">
        <f t="array" ref="H55">RANK(I55,I3:I210)</f>
        <v>68</v>
      </c>
      <c r="I55" s="167" cm="1">
        <f t="array" ref="I55">VLOOKUP(A55,'Standard Deviations'!A1:C672,3,FALSE)</f>
        <v>2.7846380843270113</v>
      </c>
      <c r="J55" s="167" cm="1">
        <f t="array" ref="J55">I55-VLOOKUP(B$2,H1:J210,2,FALSE)</f>
        <v>-4.1025965174820662</v>
      </c>
    </row>
    <row r="56" spans="1:10" ht="21.25" customHeight="1" x14ac:dyDescent="0.15">
      <c r="A56" s="10" t="s">
        <v>301</v>
      </c>
      <c r="B56" s="96" t="str" cm="1">
        <f t="array" ref="B56">VLOOKUP(A56,'The List'!B1:D671,3,FALSE)</f>
        <v>C,RW</v>
      </c>
      <c r="C56" s="97" cm="1">
        <f t="array" ref="C56">IF(Settings!$E$15="POINTS",RANK(E56,E3:E210),H56)</f>
        <v>64</v>
      </c>
      <c r="D56" s="18" t="str" cm="1">
        <f t="array" ref="D56">VLOOKUP(A56,'The List'!B1:F671,5,FALSE)</f>
        <v>WPG</v>
      </c>
      <c r="E56" s="55" cm="1">
        <f t="array" ref="E56">VLOOKUP(A56,'The List'!B1:I671,8,FALSE)</f>
        <v>3.1531162562679746</v>
      </c>
      <c r="F56" s="55" cm="1">
        <f t="array" ref="F56">IF(Settings!$E$15="POINTS",E56-VLOOKUP(B$2,C1:E210,3,FALSE),J56)</f>
        <v>-3.7341183455411029</v>
      </c>
      <c r="G56" s="55"/>
      <c r="H56" s="166" cm="1">
        <f t="array" ref="H56">RANK(I56,I3:I210)</f>
        <v>64</v>
      </c>
      <c r="I56" s="167" cm="1">
        <f t="array" ref="I56">VLOOKUP(A56,'Standard Deviations'!A1:C672,3,FALSE)</f>
        <v>3.1531162562679746</v>
      </c>
      <c r="J56" s="167" cm="1">
        <f t="array" ref="J56">I56-VLOOKUP(B$2,H1:J210,2,FALSE)</f>
        <v>-3.7341183455411029</v>
      </c>
    </row>
    <row r="57" spans="1:10" ht="21.25" customHeight="1" x14ac:dyDescent="0.15">
      <c r="A57" s="10" t="s">
        <v>306</v>
      </c>
      <c r="B57" s="96" t="str" cm="1">
        <f t="array" ref="B57">VLOOKUP(A57,'The List'!B1:D671,3,FALSE)</f>
        <v>C,RW</v>
      </c>
      <c r="C57" s="97" cm="1">
        <f t="array" ref="C57">IF(Settings!$E$15="POINTS",RANK(E57,E3:E210),H57)</f>
        <v>57</v>
      </c>
      <c r="D57" s="18" t="str" cm="1">
        <f t="array" ref="D57">VLOOKUP(A57,'The List'!B1:F671,5,FALSE)</f>
        <v>MIN</v>
      </c>
      <c r="E57" s="55" cm="1">
        <f t="array" ref="E57">VLOOKUP(A57,'The List'!B1:I671,8,FALSE)</f>
        <v>3.7144735881746609</v>
      </c>
      <c r="F57" s="55" cm="1">
        <f t="array" ref="F57">IF(Settings!$E$15="POINTS",E57-VLOOKUP(B$2,C1:E210,3,FALSE),J57)</f>
        <v>-3.1727610136344166</v>
      </c>
      <c r="G57" s="55"/>
      <c r="H57" s="166" cm="1">
        <f t="array" ref="H57">RANK(I57,I3:I210)</f>
        <v>57</v>
      </c>
      <c r="I57" s="167" cm="1">
        <f t="array" ref="I57">VLOOKUP(A57,'Standard Deviations'!A1:C672,3,FALSE)</f>
        <v>3.7144735881746609</v>
      </c>
      <c r="J57" s="167" cm="1">
        <f t="array" ref="J57">I57-VLOOKUP(B$2,H1:J210,2,FALSE)</f>
        <v>-3.1727610136344166</v>
      </c>
    </row>
    <row r="58" spans="1:10" ht="21.25" customHeight="1" x14ac:dyDescent="0.15">
      <c r="A58" s="10" t="s">
        <v>313</v>
      </c>
      <c r="B58" s="96" t="str" cm="1">
        <f t="array" ref="B58">VLOOKUP(A58,'The List'!B1:D671,3,FALSE)</f>
        <v>LW,RW</v>
      </c>
      <c r="C58" s="97" cm="1">
        <f t="array" ref="C58">IF(Settings!$E$15="POINTS",RANK(E58,E3:E210),H58)</f>
        <v>92</v>
      </c>
      <c r="D58" s="18" t="str" cm="1">
        <f t="array" ref="D58">VLOOKUP(A58,'The List'!B1:F671,5,FALSE)</f>
        <v>VAN</v>
      </c>
      <c r="E58" s="55" cm="1">
        <f t="array" ref="E58">VLOOKUP(A58,'The List'!B1:I671,8,FALSE)</f>
        <v>0.904929393653362</v>
      </c>
      <c r="F58" s="55" cm="1">
        <f t="array" ref="F58">IF(Settings!$E$15="POINTS",E58-VLOOKUP(B$2,C1:E210,3,FALSE),J58)</f>
        <v>-5.9823052081557151</v>
      </c>
      <c r="G58" s="55"/>
      <c r="H58" s="166" cm="1">
        <f t="array" ref="H58">RANK(I58,I3:I210)</f>
        <v>92</v>
      </c>
      <c r="I58" s="167" cm="1">
        <f t="array" ref="I58">VLOOKUP(A58,'Standard Deviations'!A1:C672,3,FALSE)</f>
        <v>0.904929393653362</v>
      </c>
      <c r="J58" s="167" cm="1">
        <f t="array" ref="J58">I58-VLOOKUP(B$2,H1:J210,2,FALSE)</f>
        <v>-5.9823052081557151</v>
      </c>
    </row>
    <row r="59" spans="1:10" ht="21.25" customHeight="1" x14ac:dyDescent="0.15">
      <c r="A59" s="10" t="s">
        <v>316</v>
      </c>
      <c r="B59" s="96" t="str" cm="1">
        <f t="array" ref="B59">VLOOKUP(A59,'The List'!B1:D671,3,FALSE)</f>
        <v>LW,RW</v>
      </c>
      <c r="C59" s="97" cm="1">
        <f t="array" ref="C59">IF(Settings!$E$15="POINTS",RANK(E59,E3:E210),H59)</f>
        <v>31</v>
      </c>
      <c r="D59" s="18" t="str" cm="1">
        <f t="array" ref="D59">VLOOKUP(A59,'The List'!B1:F671,5,FALSE)</f>
        <v>CAR</v>
      </c>
      <c r="E59" s="55" cm="1">
        <f t="array" ref="E59">VLOOKUP(A59,'The List'!B1:I671,8,FALSE)</f>
        <v>6.0248230104492233</v>
      </c>
      <c r="F59" s="55" cm="1">
        <f t="array" ref="F59">IF(Settings!$E$15="POINTS",E59-VLOOKUP(B$2,C1:E210,3,FALSE),J59)</f>
        <v>-0.86241159135985423</v>
      </c>
      <c r="G59" s="55"/>
      <c r="H59" s="166" cm="1">
        <f t="array" ref="H59">RANK(I59,I3:I210)</f>
        <v>31</v>
      </c>
      <c r="I59" s="167" cm="1">
        <f t="array" ref="I59">VLOOKUP(A59,'Standard Deviations'!A1:C672,3,FALSE)</f>
        <v>6.0248230104492233</v>
      </c>
      <c r="J59" s="167" cm="1">
        <f t="array" ref="J59">I59-VLOOKUP(B$2,H1:J210,2,FALSE)</f>
        <v>-0.86241159135985423</v>
      </c>
    </row>
    <row r="60" spans="1:10" ht="21.25" customHeight="1" x14ac:dyDescent="0.15">
      <c r="A60" s="10" t="s">
        <v>319</v>
      </c>
      <c r="B60" s="96" t="str" cm="1">
        <f t="array" ref="B60">VLOOKUP(A60,'The List'!B1:D671,3,FALSE)</f>
        <v>LW,RW</v>
      </c>
      <c r="C60" s="97" cm="1">
        <f t="array" ref="C60">IF(Settings!$E$15="POINTS",RANK(E60,E3:E210),H60)</f>
        <v>78</v>
      </c>
      <c r="D60" s="18" t="str" cm="1">
        <f t="array" ref="D60">VLOOKUP(A60,'The List'!B1:F671,5,FALSE)</f>
        <v>VAN</v>
      </c>
      <c r="E60" s="55" cm="1">
        <f t="array" ref="E60">VLOOKUP(A60,'The List'!B1:I671,8,FALSE)</f>
        <v>1.8804872106825958</v>
      </c>
      <c r="F60" s="55" cm="1">
        <f t="array" ref="F60">IF(Settings!$E$15="POINTS",E60-VLOOKUP(B$2,C1:E210,3,FALSE),J60)</f>
        <v>-5.0067473911264813</v>
      </c>
      <c r="G60" s="55"/>
      <c r="H60" s="166" cm="1">
        <f t="array" ref="H60">RANK(I60,I3:I210)</f>
        <v>78</v>
      </c>
      <c r="I60" s="167" cm="1">
        <f t="array" ref="I60">VLOOKUP(A60,'Standard Deviations'!A1:C672,3,FALSE)</f>
        <v>1.8804872106825958</v>
      </c>
      <c r="J60" s="167" cm="1">
        <f t="array" ref="J60">I60-VLOOKUP(B$2,H1:J210,2,FALSE)</f>
        <v>-5.0067473911264813</v>
      </c>
    </row>
    <row r="61" spans="1:10" ht="21.25" customHeight="1" x14ac:dyDescent="0.15">
      <c r="A61" s="10" t="s">
        <v>325</v>
      </c>
      <c r="B61" s="96" t="str" cm="1">
        <f t="array" ref="B61">VLOOKUP(A61,'The List'!B1:D671,3,FALSE)</f>
        <v>LW,RW</v>
      </c>
      <c r="C61" s="97" cm="1">
        <f t="array" ref="C61">IF(Settings!$E$15="POINTS",RANK(E61,E3:E210),H61)</f>
        <v>72</v>
      </c>
      <c r="D61" s="18" t="str" cm="1">
        <f t="array" ref="D61">VLOOKUP(A61,'The List'!B1:F671,5,FALSE)</f>
        <v>NSH</v>
      </c>
      <c r="E61" s="55" cm="1">
        <f t="array" ref="E61">VLOOKUP(A61,'The List'!B1:I671,8,FALSE)</f>
        <v>2.4675081876005462</v>
      </c>
      <c r="F61" s="55" cm="1">
        <f t="array" ref="F61">IF(Settings!$E$15="POINTS",E61-VLOOKUP(B$2,C1:E210,3,FALSE),J61)</f>
        <v>-4.4197264142085313</v>
      </c>
      <c r="G61" s="55"/>
      <c r="H61" s="166" cm="1">
        <f t="array" ref="H61">RANK(I61,I3:I210)</f>
        <v>72</v>
      </c>
      <c r="I61" s="167" cm="1">
        <f t="array" ref="I61">VLOOKUP(A61,'Standard Deviations'!A1:C672,3,FALSE)</f>
        <v>2.4675081876005462</v>
      </c>
      <c r="J61" s="167" cm="1">
        <f t="array" ref="J61">I61-VLOOKUP(B$2,H1:J210,2,FALSE)</f>
        <v>-4.4197264142085313</v>
      </c>
    </row>
    <row r="62" spans="1:10" ht="21.25" customHeight="1" x14ac:dyDescent="0.15">
      <c r="A62" s="10" t="s">
        <v>327</v>
      </c>
      <c r="B62" s="96" t="str" cm="1">
        <f t="array" ref="B62">VLOOKUP(A62,'The List'!B1:D671,3,FALSE)</f>
        <v>C,LW,RW</v>
      </c>
      <c r="C62" s="97" cm="1">
        <f t="array" ref="C62">IF(Settings!$E$15="POINTS",RANK(E62,E3:E210),H62)</f>
        <v>66</v>
      </c>
      <c r="D62" s="18" t="str" cm="1">
        <f t="array" ref="D62">VLOOKUP(A62,'The List'!B1:F671,5,FALSE)</f>
        <v>PHI</v>
      </c>
      <c r="E62" s="55" cm="1">
        <f t="array" ref="E62">VLOOKUP(A62,'The List'!B1:I671,8,FALSE)</f>
        <v>3.0541569889542113</v>
      </c>
      <c r="F62" s="55" cm="1">
        <f t="array" ref="F62">IF(Settings!$E$15="POINTS",E62-VLOOKUP(B$2,C1:E210,3,FALSE),J62)</f>
        <v>-3.8330776128548663</v>
      </c>
      <c r="G62" s="55"/>
      <c r="H62" s="166" cm="1">
        <f t="array" ref="H62">RANK(I62,I3:I210)</f>
        <v>66</v>
      </c>
      <c r="I62" s="167" cm="1">
        <f t="array" ref="I62">VLOOKUP(A62,'Standard Deviations'!A1:C672,3,FALSE)</f>
        <v>3.0541569889542113</v>
      </c>
      <c r="J62" s="167" cm="1">
        <f t="array" ref="J62">I62-VLOOKUP(B$2,H1:J210,2,FALSE)</f>
        <v>-3.8330776128548663</v>
      </c>
    </row>
    <row r="63" spans="1:10" ht="21.25" customHeight="1" x14ac:dyDescent="0.15">
      <c r="A63" s="10" t="s">
        <v>329</v>
      </c>
      <c r="B63" s="96" t="str" cm="1">
        <f t="array" ref="B63">VLOOKUP(A63,'The List'!B1:D671,3,FALSE)</f>
        <v>RW</v>
      </c>
      <c r="C63" s="97" cm="1">
        <f t="array" ref="C63">IF(Settings!$E$15="POINTS",RANK(E63,E3:E210),H63)</f>
        <v>51</v>
      </c>
      <c r="D63" s="18" t="str" cm="1">
        <f t="array" ref="D63">VLOOKUP(A63,'The List'!B1:F671,5,FALSE)</f>
        <v>CAR</v>
      </c>
      <c r="E63" s="55" cm="1">
        <f t="array" ref="E63">VLOOKUP(A63,'The List'!B1:I671,8,FALSE)</f>
        <v>4.1212716633536726</v>
      </c>
      <c r="F63" s="55" cm="1">
        <f t="array" ref="F63">IF(Settings!$E$15="POINTS",E63-VLOOKUP(B$2,C1:E210,3,FALSE),J63)</f>
        <v>-2.765962938455405</v>
      </c>
      <c r="G63" s="55"/>
      <c r="H63" s="166" cm="1">
        <f t="array" ref="H63">RANK(I63,I3:I210)</f>
        <v>51</v>
      </c>
      <c r="I63" s="167" cm="1">
        <f t="array" ref="I63">VLOOKUP(A63,'Standard Deviations'!A1:C672,3,FALSE)</f>
        <v>4.1212716633536726</v>
      </c>
      <c r="J63" s="167" cm="1">
        <f t="array" ref="J63">I63-VLOOKUP(B$2,H1:J210,2,FALSE)</f>
        <v>-2.765962938455405</v>
      </c>
    </row>
    <row r="64" spans="1:10" ht="21.25" customHeight="1" x14ac:dyDescent="0.15">
      <c r="A64" s="10" t="s">
        <v>330</v>
      </c>
      <c r="B64" s="96" t="str" cm="1">
        <f t="array" ref="B64">VLOOKUP(A64,'The List'!B1:D671,3,FALSE)</f>
        <v>RW</v>
      </c>
      <c r="C64" s="97" cm="1">
        <f t="array" ref="C64">IF(Settings!$E$15="POINTS",RANK(E64,E3:E210),H64)</f>
        <v>90</v>
      </c>
      <c r="D64" s="18" t="str" cm="1">
        <f t="array" ref="D64">VLOOKUP(A64,'The List'!B1:F671,5,FALSE)</f>
        <v>CHI</v>
      </c>
      <c r="E64" s="55" cm="1">
        <f t="array" ref="E64">VLOOKUP(A64,'The List'!B1:I671,8,FALSE)</f>
        <v>1.1701183337854659</v>
      </c>
      <c r="F64" s="55" cm="1">
        <f t="array" ref="F64">IF(Settings!$E$15="POINTS",E64-VLOOKUP(B$2,C1:E210,3,FALSE),J64)</f>
        <v>-5.7171162680236112</v>
      </c>
      <c r="G64" s="55"/>
      <c r="H64" s="166" cm="1">
        <f t="array" ref="H64">RANK(I64,I3:I210)</f>
        <v>90</v>
      </c>
      <c r="I64" s="167" cm="1">
        <f t="array" ref="I64">VLOOKUP(A64,'Standard Deviations'!A1:C672,3,FALSE)</f>
        <v>1.1701183337854659</v>
      </c>
      <c r="J64" s="167" cm="1">
        <f t="array" ref="J64">I64-VLOOKUP(B$2,H1:J210,2,FALSE)</f>
        <v>-5.7171162680236112</v>
      </c>
    </row>
    <row r="65" spans="1:10" ht="21.25" customHeight="1" x14ac:dyDescent="0.15">
      <c r="A65" s="10" t="s">
        <v>332</v>
      </c>
      <c r="B65" s="96" t="str" cm="1">
        <f t="array" ref="B65">VLOOKUP(A65,'The List'!B1:D671,3,FALSE)</f>
        <v>LW,RW</v>
      </c>
      <c r="C65" s="97" cm="1">
        <f t="array" ref="C65">IF(Settings!$E$15="POINTS",RANK(E65,E3:E210),H65)</f>
        <v>91</v>
      </c>
      <c r="D65" s="18" t="str" cm="1">
        <f t="array" ref="D65">VLOOKUP(A65,'The List'!B1:F671,5,FALSE)</f>
        <v>FLA</v>
      </c>
      <c r="E65" s="55" cm="1">
        <f t="array" ref="E65">VLOOKUP(A65,'The List'!B1:I671,8,FALSE)</f>
        <v>1.0796955962659789</v>
      </c>
      <c r="F65" s="55" cm="1">
        <f t="array" ref="F65">IF(Settings!$E$15="POINTS",E65-VLOOKUP(B$2,C1:E210,3,FALSE),J65)</f>
        <v>-5.8075390055430987</v>
      </c>
      <c r="G65" s="55"/>
      <c r="H65" s="166" cm="1">
        <f t="array" ref="H65">RANK(I65,I3:I210)</f>
        <v>91</v>
      </c>
      <c r="I65" s="167" cm="1">
        <f t="array" ref="I65">VLOOKUP(A65,'Standard Deviations'!A1:C672,3,FALSE)</f>
        <v>1.0796955962659789</v>
      </c>
      <c r="J65" s="167" cm="1">
        <f t="array" ref="J65">I65-VLOOKUP(B$2,H1:J210,2,FALSE)</f>
        <v>-5.8075390055430987</v>
      </c>
    </row>
    <row r="66" spans="1:10" ht="21.25" customHeight="1" x14ac:dyDescent="0.15">
      <c r="A66" s="10" t="s">
        <v>333</v>
      </c>
      <c r="B66" s="96" t="str" cm="1">
        <f t="array" ref="B66">VLOOKUP(A66,'The List'!B1:D671,3,FALSE)</f>
        <v>LW,RW</v>
      </c>
      <c r="C66" s="97" cm="1">
        <f t="array" ref="C66">IF(Settings!$E$15="POINTS",RANK(E66,E3:E210),H66)</f>
        <v>67</v>
      </c>
      <c r="D66" s="18" t="str" cm="1">
        <f t="array" ref="D66">VLOOKUP(A66,'The List'!B1:F671,5,FALSE)</f>
        <v>PHI</v>
      </c>
      <c r="E66" s="55" cm="1">
        <f t="array" ref="E66">VLOOKUP(A66,'The List'!B1:I671,8,FALSE)</f>
        <v>2.8012577930622831</v>
      </c>
      <c r="F66" s="55" cm="1">
        <f t="array" ref="F66">IF(Settings!$E$15="POINTS",E66-VLOOKUP(B$2,C1:E210,3,FALSE),J66)</f>
        <v>-4.0859768087467945</v>
      </c>
      <c r="G66" s="55"/>
      <c r="H66" s="166" cm="1">
        <f t="array" ref="H66">RANK(I66,I3:I210)</f>
        <v>67</v>
      </c>
      <c r="I66" s="167" cm="1">
        <f t="array" ref="I66">VLOOKUP(A66,'Standard Deviations'!A1:C672,3,FALSE)</f>
        <v>2.8012577930622831</v>
      </c>
      <c r="J66" s="167" cm="1">
        <f t="array" ref="J66">I66-VLOOKUP(B$2,H1:J210,2,FALSE)</f>
        <v>-4.0859768087467945</v>
      </c>
    </row>
    <row r="67" spans="1:10" ht="21.25" customHeight="1" x14ac:dyDescent="0.15">
      <c r="A67" s="10" t="s">
        <v>335</v>
      </c>
      <c r="B67" s="96" t="str" cm="1">
        <f t="array" ref="B67">VLOOKUP(A67,'The List'!B1:D671,3,FALSE)</f>
        <v>RW</v>
      </c>
      <c r="C67" s="97" cm="1">
        <f t="array" ref="C67">IF(Settings!$E$15="POINTS",RANK(E67,E3:E210),H67)</f>
        <v>104</v>
      </c>
      <c r="D67" s="18" t="str" cm="1">
        <f t="array" ref="D67">VLOOKUP(A67,'The List'!B1:F671,5,FALSE)</f>
        <v>CGY</v>
      </c>
      <c r="E67" s="55" cm="1">
        <f t="array" ref="E67">VLOOKUP(A67,'The List'!B1:I671,8,FALSE)</f>
        <v>0.35672529280345389</v>
      </c>
      <c r="F67" s="55" cm="1">
        <f t="array" ref="F67">IF(Settings!$E$15="POINTS",E67-VLOOKUP(B$2,C1:E210,3,FALSE),J67)</f>
        <v>-6.5305093090056232</v>
      </c>
      <c r="G67" s="55"/>
      <c r="H67" s="166" cm="1">
        <f t="array" ref="H67">RANK(I67,I3:I210)</f>
        <v>104</v>
      </c>
      <c r="I67" s="167" cm="1">
        <f t="array" ref="I67">VLOOKUP(A67,'Standard Deviations'!A1:C672,3,FALSE)</f>
        <v>0.35672529280345389</v>
      </c>
      <c r="J67" s="167" cm="1">
        <f t="array" ref="J67">I67-VLOOKUP(B$2,H1:J210,2,FALSE)</f>
        <v>-6.5305093090056232</v>
      </c>
    </row>
    <row r="68" spans="1:10" ht="21.25" customHeight="1" x14ac:dyDescent="0.15">
      <c r="A68" s="10" t="s">
        <v>344</v>
      </c>
      <c r="B68" s="96" t="str" cm="1">
        <f t="array" ref="B68">VLOOKUP(A68,'The List'!B1:D671,3,FALSE)</f>
        <v>LW,RW</v>
      </c>
      <c r="C68" s="97" cm="1">
        <f t="array" ref="C68">IF(Settings!$E$15="POINTS",RANK(E68,E3:E210),H68)</f>
        <v>44</v>
      </c>
      <c r="D68" s="18" t="str" cm="1">
        <f t="array" ref="D68">VLOOKUP(A68,'The List'!B1:F671,5,FALSE)</f>
        <v>PHI</v>
      </c>
      <c r="E68" s="55" cm="1">
        <f t="array" ref="E68">VLOOKUP(A68,'The List'!B1:I671,8,FALSE)</f>
        <v>4.6336823797787394</v>
      </c>
      <c r="F68" s="55" cm="1">
        <f t="array" ref="F68">IF(Settings!$E$15="POINTS",E68-VLOOKUP(B$2,C1:E210,3,FALSE),J68)</f>
        <v>-2.2535522220303381</v>
      </c>
      <c r="G68" s="55"/>
      <c r="H68" s="166" cm="1">
        <f t="array" ref="H68">RANK(I68,I3:I210)</f>
        <v>44</v>
      </c>
      <c r="I68" s="167" cm="1">
        <f t="array" ref="I68">VLOOKUP(A68,'Standard Deviations'!A1:C672,3,FALSE)</f>
        <v>4.6336823797787394</v>
      </c>
      <c r="J68" s="167" cm="1">
        <f t="array" ref="J68">I68-VLOOKUP(B$2,H1:J210,2,FALSE)</f>
        <v>-2.2535522220303381</v>
      </c>
    </row>
    <row r="69" spans="1:10" ht="21.25" customHeight="1" x14ac:dyDescent="0.15">
      <c r="A69" s="10" t="s">
        <v>347</v>
      </c>
      <c r="B69" s="96" t="str" cm="1">
        <f t="array" ref="B69">VLOOKUP(A69,'The List'!B1:D671,3,FALSE)</f>
        <v>LW,RW</v>
      </c>
      <c r="C69" s="97" cm="1">
        <f t="array" ref="C69">IF(Settings!$E$15="POINTS",RANK(E69,E3:E210),H69)</f>
        <v>109</v>
      </c>
      <c r="D69" s="18" t="str" cm="1">
        <f t="array" ref="D69">VLOOKUP(A69,'The List'!B1:F671,5,FALSE)</f>
        <v>CGY</v>
      </c>
      <c r="E69" s="55" cm="1">
        <f t="array" ref="E69">VLOOKUP(A69,'The List'!B1:I671,8,FALSE)</f>
        <v>2.8593388043536283E-2</v>
      </c>
      <c r="F69" s="55" cm="1">
        <f t="array" ref="F69">IF(Settings!$E$15="POINTS",E69-VLOOKUP(B$2,C1:E210,3,FALSE),J69)</f>
        <v>-6.8586412137655408</v>
      </c>
      <c r="G69" s="55"/>
      <c r="H69" s="166" cm="1">
        <f t="array" ref="H69">RANK(I69,I3:I210)</f>
        <v>109</v>
      </c>
      <c r="I69" s="167" cm="1">
        <f t="array" ref="I69">VLOOKUP(A69,'Standard Deviations'!A1:C672,3,FALSE)</f>
        <v>2.8593388043536283E-2</v>
      </c>
      <c r="J69" s="167" cm="1">
        <f t="array" ref="J69">I69-VLOOKUP(B$2,H1:J210,2,FALSE)</f>
        <v>-6.8586412137655408</v>
      </c>
    </row>
    <row r="70" spans="1:10" ht="21.25" customHeight="1" x14ac:dyDescent="0.15">
      <c r="A70" s="10" t="s">
        <v>353</v>
      </c>
      <c r="B70" s="96" t="str" cm="1">
        <f t="array" ref="B70">VLOOKUP(A70,'The List'!B1:D671,3,FALSE)</f>
        <v>C,RW</v>
      </c>
      <c r="C70" s="97" cm="1">
        <f t="array" ref="C70">IF(Settings!$E$15="POINTS",RANK(E70,E3:E210),H70)</f>
        <v>54</v>
      </c>
      <c r="D70" s="18" t="str" cm="1">
        <f t="array" ref="D70">VLOOKUP(A70,'The List'!B1:F671,5,FALSE)</f>
        <v>CAR</v>
      </c>
      <c r="E70" s="55" cm="1">
        <f t="array" ref="E70">VLOOKUP(A70,'The List'!B1:I671,8,FALSE)</f>
        <v>3.9937038316669402</v>
      </c>
      <c r="F70" s="55" cm="1">
        <f t="array" ref="F70">IF(Settings!$E$15="POINTS",E70-VLOOKUP(B$2,C1:E210,3,FALSE),J70)</f>
        <v>-2.8935307701421373</v>
      </c>
      <c r="G70" s="55"/>
      <c r="H70" s="166" cm="1">
        <f t="array" ref="H70">RANK(I70,I3:I210)</f>
        <v>54</v>
      </c>
      <c r="I70" s="167" cm="1">
        <f t="array" ref="I70">VLOOKUP(A70,'Standard Deviations'!A1:C672,3,FALSE)</f>
        <v>3.9937038316669402</v>
      </c>
      <c r="J70" s="167" cm="1">
        <f t="array" ref="J70">I70-VLOOKUP(B$2,H1:J210,2,FALSE)</f>
        <v>-2.8935307701421373</v>
      </c>
    </row>
    <row r="71" spans="1:10" ht="21.25" customHeight="1" x14ac:dyDescent="0.15">
      <c r="A71" s="10" t="s">
        <v>354</v>
      </c>
      <c r="B71" s="96" t="str" cm="1">
        <f t="array" ref="B71">VLOOKUP(A71,'The List'!B1:D671,3,FALSE)</f>
        <v>LW,RW</v>
      </c>
      <c r="C71" s="97" cm="1">
        <f t="array" ref="C71">IF(Settings!$E$15="POINTS",RANK(E71,E3:E210),H71)</f>
        <v>87</v>
      </c>
      <c r="D71" s="18" t="str" cm="1">
        <f t="array" ref="D71">VLOOKUP(A71,'The List'!B1:F671,5,FALSE)</f>
        <v>CHI</v>
      </c>
      <c r="E71" s="55" cm="1">
        <f t="array" ref="E71">VLOOKUP(A71,'The List'!B1:I671,8,FALSE)</f>
        <v>1.2759586930884397</v>
      </c>
      <c r="F71" s="55" cm="1">
        <f t="array" ref="F71">IF(Settings!$E$15="POINTS",E71-VLOOKUP(B$2,C1:E210,3,FALSE),J71)</f>
        <v>-5.6112759087206374</v>
      </c>
      <c r="G71" s="55"/>
      <c r="H71" s="166" cm="1">
        <f t="array" ref="H71">RANK(I71,I3:I210)</f>
        <v>87</v>
      </c>
      <c r="I71" s="167" cm="1">
        <f t="array" ref="I71">VLOOKUP(A71,'Standard Deviations'!A1:C672,3,FALSE)</f>
        <v>1.2759586930884397</v>
      </c>
      <c r="J71" s="167" cm="1">
        <f t="array" ref="J71">I71-VLOOKUP(B$2,H1:J210,2,FALSE)</f>
        <v>-5.6112759087206374</v>
      </c>
    </row>
    <row r="72" spans="1:10" ht="21.25" customHeight="1" x14ac:dyDescent="0.15">
      <c r="A72" s="10" t="s">
        <v>356</v>
      </c>
      <c r="B72" s="96" t="str" cm="1">
        <f t="array" ref="B72">VLOOKUP(A72,'The List'!B1:D671,3,FALSE)</f>
        <v>LW,RW</v>
      </c>
      <c r="C72" s="97" cm="1">
        <f t="array" ref="C72">IF(Settings!$E$15="POINTS",RANK(E72,E3:E210),H72)</f>
        <v>41</v>
      </c>
      <c r="D72" s="18" t="str" cm="1">
        <f t="array" ref="D72">VLOOKUP(A72,'The List'!B1:F671,5,FALSE)</f>
        <v>WSH</v>
      </c>
      <c r="E72" s="55" cm="1">
        <f t="array" ref="E72">VLOOKUP(A72,'The List'!B1:I671,8,FALSE)</f>
        <v>4.7696262282094164</v>
      </c>
      <c r="F72" s="55" cm="1">
        <f t="array" ref="F72">IF(Settings!$E$15="POINTS",E72-VLOOKUP(B$2,C1:E210,3,FALSE),J72)</f>
        <v>-2.1176083735996611</v>
      </c>
      <c r="G72" s="55"/>
      <c r="H72" s="166" cm="1">
        <f t="array" ref="H72">RANK(I72,I3:I210)</f>
        <v>41</v>
      </c>
      <c r="I72" s="167" cm="1">
        <f t="array" ref="I72">VLOOKUP(A72,'Standard Deviations'!A1:C672,3,FALSE)</f>
        <v>4.7696262282094164</v>
      </c>
      <c r="J72" s="167" cm="1">
        <f t="array" ref="J72">I72-VLOOKUP(B$2,H1:J210,2,FALSE)</f>
        <v>-2.1176083735996611</v>
      </c>
    </row>
    <row r="73" spans="1:10" ht="21.25" customHeight="1" x14ac:dyDescent="0.15">
      <c r="A73" s="10" t="s">
        <v>362</v>
      </c>
      <c r="B73" s="96" t="str" cm="1">
        <f t="array" ref="B73">VLOOKUP(A73,'The List'!B1:D671,3,FALSE)</f>
        <v>LW,RW</v>
      </c>
      <c r="C73" s="97" cm="1">
        <f t="array" ref="C73">IF(Settings!$E$15="POINTS",RANK(E73,E3:E210),H73)</f>
        <v>59</v>
      </c>
      <c r="D73" s="18" t="str" cm="1">
        <f t="array" ref="D73">VLOOKUP(A73,'The List'!B1:F671,5,FALSE)</f>
        <v>WPG</v>
      </c>
      <c r="E73" s="55" cm="1">
        <f t="array" ref="E73">VLOOKUP(A73,'The List'!B1:I671,8,FALSE)</f>
        <v>3.5117010275489218</v>
      </c>
      <c r="F73" s="55" cm="1">
        <f t="array" ref="F73">IF(Settings!$E$15="POINTS",E73-VLOOKUP(B$2,C1:E210,3,FALSE),J73)</f>
        <v>-3.3755335742601558</v>
      </c>
      <c r="G73" s="55"/>
      <c r="H73" s="166" cm="1">
        <f t="array" ref="H73">RANK(I73,I3:I210)</f>
        <v>59</v>
      </c>
      <c r="I73" s="167" cm="1">
        <f t="array" ref="I73">VLOOKUP(A73,'Standard Deviations'!A1:C672,3,FALSE)</f>
        <v>3.5117010275489218</v>
      </c>
      <c r="J73" s="167" cm="1">
        <f t="array" ref="J73">I73-VLOOKUP(B$2,H1:J210,2,FALSE)</f>
        <v>-3.3755335742601558</v>
      </c>
    </row>
    <row r="74" spans="1:10" ht="21.25" customHeight="1" x14ac:dyDescent="0.15">
      <c r="A74" s="10" t="s">
        <v>363</v>
      </c>
      <c r="B74" s="96" t="str" cm="1">
        <f t="array" ref="B74">VLOOKUP(A74,'The List'!B1:D671,3,FALSE)</f>
        <v>LW,RW</v>
      </c>
      <c r="C74" s="97" cm="1">
        <f t="array" ref="C74">IF(Settings!$E$15="POINTS",RANK(E74,E3:E210),H74)</f>
        <v>82</v>
      </c>
      <c r="D74" s="18" t="str" cm="1">
        <f t="array" ref="D74">VLOOKUP(A74,'The List'!B1:F671,5,FALSE)</f>
        <v>CBJ</v>
      </c>
      <c r="E74" s="55" cm="1">
        <f t="array" ref="E74">VLOOKUP(A74,'The List'!B1:I671,8,FALSE)</f>
        <v>1.5721087725076734</v>
      </c>
      <c r="F74" s="55" cm="1">
        <f t="array" ref="F74">IF(Settings!$E$15="POINTS",E74-VLOOKUP(B$2,C1:E210,3,FALSE),J74)</f>
        <v>-5.3151258293014045</v>
      </c>
      <c r="G74" s="55"/>
      <c r="H74" s="166" cm="1">
        <f t="array" ref="H74">RANK(I74,I3:I210)</f>
        <v>82</v>
      </c>
      <c r="I74" s="167" cm="1">
        <f t="array" ref="I74">VLOOKUP(A74,'Standard Deviations'!A1:C672,3,FALSE)</f>
        <v>1.5721087725076734</v>
      </c>
      <c r="J74" s="167" cm="1">
        <f t="array" ref="J74">I74-VLOOKUP(B$2,H1:J210,2,FALSE)</f>
        <v>-5.3151258293014045</v>
      </c>
    </row>
    <row r="75" spans="1:10" ht="21.25" customHeight="1" x14ac:dyDescent="0.15">
      <c r="A75" s="10" t="s">
        <v>369</v>
      </c>
      <c r="B75" s="96" t="str" cm="1">
        <f t="array" ref="B75">VLOOKUP(A75,'The List'!B1:D671,3,FALSE)</f>
        <v>LW,RW</v>
      </c>
      <c r="C75" s="97" cm="1">
        <f t="array" ref="C75">IF(Settings!$E$15="POINTS",RANK(E75,E3:E210),H75)</f>
        <v>76</v>
      </c>
      <c r="D75" s="18" t="str" cm="1">
        <f t="array" ref="D75">VLOOKUP(A75,'The List'!B1:F671,5,FALSE)</f>
        <v>WSH</v>
      </c>
      <c r="E75" s="55" cm="1">
        <f t="array" ref="E75">VLOOKUP(A75,'The List'!B1:I671,8,FALSE)</f>
        <v>1.9616488612455536</v>
      </c>
      <c r="F75" s="55" cm="1">
        <f t="array" ref="F75">IF(Settings!$E$15="POINTS",E75-VLOOKUP(B$2,C1:E210,3,FALSE),J75)</f>
        <v>-4.9255857405635242</v>
      </c>
      <c r="G75" s="55"/>
      <c r="H75" s="166" cm="1">
        <f t="array" ref="H75">RANK(I75,I3:I210)</f>
        <v>76</v>
      </c>
      <c r="I75" s="167" cm="1">
        <f t="array" ref="I75">VLOOKUP(A75,'Standard Deviations'!A1:C672,3,FALSE)</f>
        <v>1.9616488612455536</v>
      </c>
      <c r="J75" s="167" cm="1">
        <f t="array" ref="J75">I75-VLOOKUP(B$2,H1:J210,2,FALSE)</f>
        <v>-4.9255857405635242</v>
      </c>
    </row>
    <row r="76" spans="1:10" ht="21.25" customHeight="1" x14ac:dyDescent="0.15">
      <c r="A76" s="10" t="s">
        <v>370</v>
      </c>
      <c r="B76" s="96" t="str" cm="1">
        <f t="array" ref="B76">VLOOKUP(A76,'The List'!B1:D671,3,FALSE)</f>
        <v>RW</v>
      </c>
      <c r="C76" s="97" cm="1">
        <f t="array" ref="C76">IF(Settings!$E$15="POINTS",RANK(E76,E3:E210),H76)</f>
        <v>55</v>
      </c>
      <c r="D76" s="18" t="str" cm="1">
        <f t="array" ref="D76">VLOOKUP(A76,'The List'!B1:F671,5,FALSE)</f>
        <v>BUF</v>
      </c>
      <c r="E76" s="55" cm="1">
        <f t="array" ref="E76">VLOOKUP(A76,'The List'!B1:I671,8,FALSE)</f>
        <v>3.9731035109537971</v>
      </c>
      <c r="F76" s="55" cm="1">
        <f t="array" ref="F76">IF(Settings!$E$15="POINTS",E76-VLOOKUP(B$2,C1:E210,3,FALSE),J76)</f>
        <v>-2.9141310908552804</v>
      </c>
      <c r="G76" s="55"/>
      <c r="H76" s="166" cm="1">
        <f t="array" ref="H76">RANK(I76,I3:I210)</f>
        <v>55</v>
      </c>
      <c r="I76" s="167" cm="1">
        <f t="array" ref="I76">VLOOKUP(A76,'Standard Deviations'!A1:C672,3,FALSE)</f>
        <v>3.9731035109537971</v>
      </c>
      <c r="J76" s="167" cm="1">
        <f t="array" ref="J76">I76-VLOOKUP(B$2,H1:J210,2,FALSE)</f>
        <v>-2.9141310908552804</v>
      </c>
    </row>
    <row r="77" spans="1:10" ht="21.25" customHeight="1" x14ac:dyDescent="0.15">
      <c r="A77" s="10" t="s">
        <v>377</v>
      </c>
      <c r="B77" s="96" t="str" cm="1">
        <f t="array" ref="B77">VLOOKUP(A77,'The List'!B1:D671,3,FALSE)</f>
        <v>LW,RW</v>
      </c>
      <c r="C77" s="97" cm="1">
        <f t="array" ref="C77">IF(Settings!$E$15="POINTS",RANK(E77,E3:E210),H77)</f>
        <v>83</v>
      </c>
      <c r="D77" s="18" t="str" cm="1">
        <f t="array" ref="D77">VLOOKUP(A77,'The List'!B1:F671,5,FALSE)</f>
        <v>DET</v>
      </c>
      <c r="E77" s="55" cm="1">
        <f t="array" ref="E77">VLOOKUP(A77,'The List'!B1:I671,8,FALSE)</f>
        <v>1.5717455871639181</v>
      </c>
      <c r="F77" s="55" cm="1">
        <f t="array" ref="F77">IF(Settings!$E$15="POINTS",E77-VLOOKUP(B$2,C1:E210,3,FALSE),J77)</f>
        <v>-5.3154890146451592</v>
      </c>
      <c r="G77" s="55"/>
      <c r="H77" s="166" cm="1">
        <f t="array" ref="H77">RANK(I77,I3:I210)</f>
        <v>83</v>
      </c>
      <c r="I77" s="167" cm="1">
        <f t="array" ref="I77">VLOOKUP(A77,'Standard Deviations'!A1:C672,3,FALSE)</f>
        <v>1.5717455871639181</v>
      </c>
      <c r="J77" s="167" cm="1">
        <f t="array" ref="J77">I77-VLOOKUP(B$2,H1:J210,2,FALSE)</f>
        <v>-5.3154890146451592</v>
      </c>
    </row>
    <row r="78" spans="1:10" ht="21.25" customHeight="1" x14ac:dyDescent="0.15">
      <c r="A78" s="10" t="s">
        <v>388</v>
      </c>
      <c r="B78" s="96" t="str" cm="1">
        <f t="array" ref="B78">VLOOKUP(A78,'The List'!B1:D671,3,FALSE)</f>
        <v>RW</v>
      </c>
      <c r="C78" s="97" cm="1">
        <f t="array" ref="C78">IF(Settings!$E$15="POINTS",RANK(E78,E3:E210),H78)</f>
        <v>48</v>
      </c>
      <c r="D78" s="18" t="str" cm="1">
        <f t="array" ref="D78">VLOOKUP(A78,'The List'!B1:F671,5,FALSE)</f>
        <v>WSH</v>
      </c>
      <c r="E78" s="55" cm="1">
        <f t="array" ref="E78">VLOOKUP(A78,'The List'!B1:I671,8,FALSE)</f>
        <v>4.4531089924854896</v>
      </c>
      <c r="F78" s="55" cm="1">
        <f t="array" ref="F78">IF(Settings!$E$15="POINTS",E78-VLOOKUP(B$2,C1:E210,3,FALSE),J78)</f>
        <v>-2.4341256093235879</v>
      </c>
      <c r="G78" s="55"/>
      <c r="H78" s="166" cm="1">
        <f t="array" ref="H78">RANK(I78,I3:I210)</f>
        <v>48</v>
      </c>
      <c r="I78" s="167" cm="1">
        <f t="array" ref="I78">VLOOKUP(A78,'Standard Deviations'!A1:C672,3,FALSE)</f>
        <v>4.4531089924854896</v>
      </c>
      <c r="J78" s="167" cm="1">
        <f t="array" ref="J78">I78-VLOOKUP(B$2,H1:J210,2,FALSE)</f>
        <v>-2.4341256093235879</v>
      </c>
    </row>
    <row r="79" spans="1:10" ht="21.25" customHeight="1" x14ac:dyDescent="0.15">
      <c r="A79" s="10" t="s">
        <v>398</v>
      </c>
      <c r="B79" s="96" t="str" cm="1">
        <f t="array" ref="B79">VLOOKUP(A79,'The List'!B1:D671,3,FALSE)</f>
        <v>RW</v>
      </c>
      <c r="C79" s="97" cm="1">
        <f t="array" ref="C79">IF(Settings!$E$15="POINTS",RANK(E79,E3:E210),H79)</f>
        <v>112</v>
      </c>
      <c r="D79" s="18" t="str" cm="1">
        <f t="array" ref="D79">VLOOKUP(A79,'The List'!B1:F671,5,FALSE)</f>
        <v>SEA</v>
      </c>
      <c r="E79" s="55" cm="1">
        <f t="array" ref="E79">VLOOKUP(A79,'The List'!B1:I671,8,FALSE)</f>
        <v>-0.10182593788952765</v>
      </c>
      <c r="F79" s="55" cm="1">
        <f t="array" ref="F79">IF(Settings!$E$15="POINTS",E79-VLOOKUP(B$2,C1:E210,3,FALSE),J79)</f>
        <v>-6.9890605396986052</v>
      </c>
      <c r="G79" s="55"/>
      <c r="H79" s="166" cm="1">
        <f t="array" ref="H79">RANK(I79,I3:I210)</f>
        <v>112</v>
      </c>
      <c r="I79" s="167" cm="1">
        <f t="array" ref="I79">VLOOKUP(A79,'Standard Deviations'!A1:C672,3,FALSE)</f>
        <v>-0.10182593788952765</v>
      </c>
      <c r="J79" s="167" cm="1">
        <f t="array" ref="J79">I79-VLOOKUP(B$2,H1:J210,2,FALSE)</f>
        <v>-6.9890605396986052</v>
      </c>
    </row>
    <row r="80" spans="1:10" ht="21.25" customHeight="1" x14ac:dyDescent="0.15">
      <c r="A80" s="10" t="s">
        <v>401</v>
      </c>
      <c r="B80" s="96" t="str" cm="1">
        <f t="array" ref="B80">VLOOKUP(A80,'The List'!B1:D671,3,FALSE)</f>
        <v>RW</v>
      </c>
      <c r="C80" s="97" cm="1">
        <f t="array" ref="C80">IF(Settings!$E$15="POINTS",RANK(E80,E3:E210),H80)</f>
        <v>79</v>
      </c>
      <c r="D80" s="18" t="str" cm="1">
        <f t="array" ref="D80">VLOOKUP(A80,'The List'!B1:F671,5,FALSE)</f>
        <v>BUF</v>
      </c>
      <c r="E80" s="55" cm="1">
        <f t="array" ref="E80">VLOOKUP(A80,'The List'!B1:I671,8,FALSE)</f>
        <v>1.8361168039480686</v>
      </c>
      <c r="F80" s="55" cm="1">
        <f t="array" ref="F80">IF(Settings!$E$15="POINTS",E80-VLOOKUP(B$2,C1:E210,3,FALSE),J80)</f>
        <v>-5.0511177978610089</v>
      </c>
      <c r="G80" s="55"/>
      <c r="H80" s="166" cm="1">
        <f t="array" ref="H80">RANK(I80,I3:I210)</f>
        <v>79</v>
      </c>
      <c r="I80" s="167" cm="1">
        <f t="array" ref="I80">VLOOKUP(A80,'Standard Deviations'!A1:C672,3,FALSE)</f>
        <v>1.8361168039480686</v>
      </c>
      <c r="J80" s="167" cm="1">
        <f t="array" ref="J80">I80-VLOOKUP(B$2,H1:J210,2,FALSE)</f>
        <v>-5.0511177978610089</v>
      </c>
    </row>
    <row r="81" spans="1:10" ht="21.25" customHeight="1" x14ac:dyDescent="0.15">
      <c r="A81" s="10" t="s">
        <v>403</v>
      </c>
      <c r="B81" s="96" t="str" cm="1">
        <f t="array" ref="B81">VLOOKUP(A81,'The List'!B1:D671,3,FALSE)</f>
        <v>LW,RW</v>
      </c>
      <c r="C81" s="97" cm="1">
        <f t="array" ref="C81">IF(Settings!$E$15="POINTS",RANK(E81,E3:E210),H81)</f>
        <v>38</v>
      </c>
      <c r="D81" s="18" t="str" cm="1">
        <f t="array" ref="D81">VLOOKUP(A81,'The List'!B1:F671,5,FALSE)</f>
        <v>NYR</v>
      </c>
      <c r="E81" s="55" cm="1">
        <f t="array" ref="E81">VLOOKUP(A81,'The List'!B1:I671,8,FALSE)</f>
        <v>5.0264346670579334</v>
      </c>
      <c r="F81" s="55" cm="1">
        <f t="array" ref="F81">IF(Settings!$E$15="POINTS",E81-VLOOKUP(B$2,C1:E210,3,FALSE),J81)</f>
        <v>-1.8607999347511441</v>
      </c>
      <c r="G81" s="55"/>
      <c r="H81" s="166" cm="1">
        <f t="array" ref="H81">RANK(I81,I3:I210)</f>
        <v>38</v>
      </c>
      <c r="I81" s="167" cm="1">
        <f t="array" ref="I81">VLOOKUP(A81,'Standard Deviations'!A1:C672,3,FALSE)</f>
        <v>5.0264346670579334</v>
      </c>
      <c r="J81" s="167" cm="1">
        <f t="array" ref="J81">I81-VLOOKUP(B$2,H1:J210,2,FALSE)</f>
        <v>-1.8607999347511441</v>
      </c>
    </row>
    <row r="82" spans="1:10" ht="21.25" customHeight="1" x14ac:dyDescent="0.15">
      <c r="A82" s="10" t="s">
        <v>405</v>
      </c>
      <c r="B82" s="96" t="str" cm="1">
        <f t="array" ref="B82">VLOOKUP(A82,'The List'!B1:D671,3,FALSE)</f>
        <v>C,LW,RW</v>
      </c>
      <c r="C82" s="97" cm="1">
        <f t="array" ref="C82">IF(Settings!$E$15="POINTS",RANK(E82,E3:E210),H82)</f>
        <v>100</v>
      </c>
      <c r="D82" s="18" t="str" cm="1">
        <f t="array" ref="D82">VLOOKUP(A82,'The List'!B1:F671,5,FALSE)</f>
        <v>STL</v>
      </c>
      <c r="E82" s="55" cm="1">
        <f t="array" ref="E82">VLOOKUP(A82,'The List'!B1:I671,8,FALSE)</f>
        <v>0.47492829953690191</v>
      </c>
      <c r="F82" s="55" cm="1">
        <f t="array" ref="F82">IF(Settings!$E$15="POINTS",E82-VLOOKUP(B$2,C1:E210,3,FALSE),J82)</f>
        <v>-6.4123063022721754</v>
      </c>
      <c r="G82" s="55"/>
      <c r="H82" s="166" cm="1">
        <f t="array" ref="H82">RANK(I82,I3:I210)</f>
        <v>100</v>
      </c>
      <c r="I82" s="167" cm="1">
        <f t="array" ref="I82">VLOOKUP(A82,'Standard Deviations'!A1:C672,3,FALSE)</f>
        <v>0.47492829953690191</v>
      </c>
      <c r="J82" s="167" cm="1">
        <f t="array" ref="J82">I82-VLOOKUP(B$2,H1:J210,2,FALSE)</f>
        <v>-6.4123063022721754</v>
      </c>
    </row>
    <row r="83" spans="1:10" ht="21.25" customHeight="1" x14ac:dyDescent="0.15">
      <c r="A83" s="10" t="s">
        <v>409</v>
      </c>
      <c r="B83" s="96" t="str" cm="1">
        <f t="array" ref="B83">VLOOKUP(A83,'The List'!B1:D671,3,FALSE)</f>
        <v>RW</v>
      </c>
      <c r="C83" s="97" cm="1">
        <f t="array" ref="C83">IF(Settings!$E$15="POINTS",RANK(E83,E3:E210),H83)</f>
        <v>97</v>
      </c>
      <c r="D83" s="18" t="str" cm="1">
        <f t="array" ref="D83">VLOOKUP(A83,'The List'!B1:F671,5,FALSE)</f>
        <v>NYI</v>
      </c>
      <c r="E83" s="55" cm="1">
        <f t="array" ref="E83">VLOOKUP(A83,'The List'!B1:I671,8,FALSE)</f>
        <v>0.58350898171183985</v>
      </c>
      <c r="F83" s="55" cm="1">
        <f t="array" ref="F83">IF(Settings!$E$15="POINTS",E83-VLOOKUP(B$2,C1:E210,3,FALSE),J83)</f>
        <v>-6.3037256200972376</v>
      </c>
      <c r="G83" s="55"/>
      <c r="H83" s="166" cm="1">
        <f t="array" ref="H83">RANK(I83,I3:I210)</f>
        <v>97</v>
      </c>
      <c r="I83" s="167" cm="1">
        <f t="array" ref="I83">VLOOKUP(A83,'Standard Deviations'!A1:C672,3,FALSE)</f>
        <v>0.58350898171183985</v>
      </c>
      <c r="J83" s="167" cm="1">
        <f t="array" ref="J83">I83-VLOOKUP(B$2,H1:J210,2,FALSE)</f>
        <v>-6.3037256200972376</v>
      </c>
    </row>
    <row r="84" spans="1:10" ht="21.25" customHeight="1" x14ac:dyDescent="0.15">
      <c r="A84" s="10" t="s">
        <v>412</v>
      </c>
      <c r="B84" s="96" t="str" cm="1">
        <f t="array" ref="B84">VLOOKUP(A84,'The List'!B1:D671,3,FALSE)</f>
        <v>C,LW,RW</v>
      </c>
      <c r="C84" s="97" cm="1">
        <f t="array" ref="C84">IF(Settings!$E$15="POINTS",RANK(E84,E3:E210),H84)</f>
        <v>60</v>
      </c>
      <c r="D84" s="18" t="str" cm="1">
        <f t="array" ref="D84">VLOOKUP(A84,'The List'!B1:F671,5,FALSE)</f>
        <v>L.A</v>
      </c>
      <c r="E84" s="55" cm="1">
        <f t="array" ref="E84">VLOOKUP(A84,'The List'!B1:I671,8,FALSE)</f>
        <v>3.5095118872038258</v>
      </c>
      <c r="F84" s="55" cm="1">
        <f t="array" ref="F84">IF(Settings!$E$15="POINTS",E84-VLOOKUP(B$2,C1:E210,3,FALSE),J84)</f>
        <v>-3.3777227146052518</v>
      </c>
      <c r="G84" s="55"/>
      <c r="H84" s="166" cm="1">
        <f t="array" ref="H84">RANK(I84,I3:I210)</f>
        <v>60</v>
      </c>
      <c r="I84" s="167" cm="1">
        <f t="array" ref="I84">VLOOKUP(A84,'Standard Deviations'!A1:C672,3,FALSE)</f>
        <v>3.5095118872038258</v>
      </c>
      <c r="J84" s="167" cm="1">
        <f t="array" ref="J84">I84-VLOOKUP(B$2,H1:J210,2,FALSE)</f>
        <v>-3.3777227146052518</v>
      </c>
    </row>
    <row r="85" spans="1:10" ht="21.25" customHeight="1" x14ac:dyDescent="0.15">
      <c r="A85" s="10" t="s">
        <v>415</v>
      </c>
      <c r="B85" s="96" t="str" cm="1">
        <f t="array" ref="B85">VLOOKUP(A85,'The List'!B1:D671,3,FALSE)</f>
        <v>RW</v>
      </c>
      <c r="C85" s="97" cm="1">
        <f t="array" ref="C85">IF(Settings!$E$15="POINTS",RANK(E85,E3:E210),H85)</f>
        <v>103</v>
      </c>
      <c r="D85" s="18" t="str" cm="1">
        <f t="array" ref="D85">VLOOKUP(A85,'The List'!B1:F671,5,FALSE)</f>
        <v>L.A</v>
      </c>
      <c r="E85" s="55" cm="1">
        <f t="array" ref="E85">VLOOKUP(A85,'The List'!B1:I671,8,FALSE)</f>
        <v>0.37385773034224135</v>
      </c>
      <c r="F85" s="55" cm="1">
        <f t="array" ref="F85">IF(Settings!$E$15="POINTS",E85-VLOOKUP(B$2,C1:E210,3,FALSE),J85)</f>
        <v>-6.5133768714668365</v>
      </c>
      <c r="G85" s="55"/>
      <c r="H85" s="166" cm="1">
        <f t="array" ref="H85">RANK(I85,I3:I210)</f>
        <v>103</v>
      </c>
      <c r="I85" s="167" cm="1">
        <f t="array" ref="I85">VLOOKUP(A85,'Standard Deviations'!A1:C672,3,FALSE)</f>
        <v>0.37385773034224135</v>
      </c>
      <c r="J85" s="167" cm="1">
        <f t="array" ref="J85">I85-VLOOKUP(B$2,H1:J210,2,FALSE)</f>
        <v>-6.5133768714668365</v>
      </c>
    </row>
    <row r="86" spans="1:10" ht="21.25" customHeight="1" x14ac:dyDescent="0.15">
      <c r="A86" s="10" t="s">
        <v>430</v>
      </c>
      <c r="B86" s="96" t="str" cm="1">
        <f t="array" ref="B86">VLOOKUP(A86,'The List'!B1:D671,3,FALSE)</f>
        <v>LW,RW</v>
      </c>
      <c r="C86" s="97" cm="1">
        <f t="array" ref="C86">IF(Settings!$E$15="POINTS",RANK(E86,E3:E210),H86)</f>
        <v>159</v>
      </c>
      <c r="D86" s="18" t="str" cm="1">
        <f t="array" ref="D86">VLOOKUP(A86,'The List'!B1:F671,5,FALSE)</f>
        <v>CGY</v>
      </c>
      <c r="E86" s="55" cm="1">
        <f t="array" ref="E86">VLOOKUP(A86,'The List'!B1:I671,8,FALSE)</f>
        <v>-1.9040250149974633</v>
      </c>
      <c r="F86" s="55" cm="1">
        <f t="array" ref="F86">IF(Settings!$E$15="POINTS",E86-VLOOKUP(B$2,C1:E210,3,FALSE),J86)</f>
        <v>-8.7912596168065402</v>
      </c>
      <c r="G86" s="55"/>
      <c r="H86" s="166" cm="1">
        <f t="array" ref="H86">RANK(I86,I3:I210)</f>
        <v>159</v>
      </c>
      <c r="I86" s="167" cm="1">
        <f t="array" ref="I86">VLOOKUP(A86,'Standard Deviations'!A1:C672,3,FALSE)</f>
        <v>-1.9040250149974633</v>
      </c>
      <c r="J86" s="167" cm="1">
        <f t="array" ref="J86">I86-VLOOKUP(B$2,H1:J210,2,FALSE)</f>
        <v>-8.7912596168065402</v>
      </c>
    </row>
    <row r="87" spans="1:10" ht="21.25" customHeight="1" x14ac:dyDescent="0.15">
      <c r="A87" s="10" t="s">
        <v>435</v>
      </c>
      <c r="B87" s="96" t="str" cm="1">
        <f t="array" ref="B87">VLOOKUP(A87,'The List'!B1:D671,3,FALSE)</f>
        <v>LW,RW</v>
      </c>
      <c r="C87" s="97" cm="1">
        <f t="array" ref="C87">IF(Settings!$E$15="POINTS",RANK(E87,E3:E210),H87)</f>
        <v>81</v>
      </c>
      <c r="D87" s="18" t="str" cm="1">
        <f t="array" ref="D87">VLOOKUP(A87,'The List'!B1:F671,5,FALSE)</f>
        <v>SEA</v>
      </c>
      <c r="E87" s="55" cm="1">
        <f t="array" ref="E87">VLOOKUP(A87,'The List'!B1:I671,8,FALSE)</f>
        <v>1.6638795859358606</v>
      </c>
      <c r="F87" s="55" cm="1">
        <f t="array" ref="F87">IF(Settings!$E$15="POINTS",E87-VLOOKUP(B$2,C1:E210,3,FALSE),J87)</f>
        <v>-5.2233550158732172</v>
      </c>
      <c r="G87" s="55"/>
      <c r="H87" s="166" cm="1">
        <f t="array" ref="H87">RANK(I87,I3:I210)</f>
        <v>81</v>
      </c>
      <c r="I87" s="167" cm="1">
        <f t="array" ref="I87">VLOOKUP(A87,'Standard Deviations'!A1:C672,3,FALSE)</f>
        <v>1.6638795859358606</v>
      </c>
      <c r="J87" s="167" cm="1">
        <f t="array" ref="J87">I87-VLOOKUP(B$2,H1:J210,2,FALSE)</f>
        <v>-5.2233550158732172</v>
      </c>
    </row>
    <row r="88" spans="1:10" ht="21.25" customHeight="1" x14ac:dyDescent="0.15">
      <c r="A88" s="10" t="s">
        <v>443</v>
      </c>
      <c r="B88" s="96" t="str" cm="1">
        <f t="array" ref="B88">VLOOKUP(A88,'The List'!B1:D671,3,FALSE)</f>
        <v>LW,RW</v>
      </c>
      <c r="C88" s="97" cm="1">
        <f t="array" ref="C88">IF(Settings!$E$15="POINTS",RANK(E88,E3:E210),H88)</f>
        <v>84</v>
      </c>
      <c r="D88" s="18" t="str" cm="1">
        <f t="array" ref="D88">VLOOKUP(A88,'The List'!B1:F671,5,FALSE)</f>
        <v>PHI</v>
      </c>
      <c r="E88" s="55" cm="1">
        <f t="array" ref="E88">VLOOKUP(A88,'The List'!B1:I671,8,FALSE)</f>
        <v>1.5627608533187733</v>
      </c>
      <c r="F88" s="55" cm="1">
        <f t="array" ref="F88">IF(Settings!$E$15="POINTS",E88-VLOOKUP(B$2,C1:E210,3,FALSE),J88)</f>
        <v>-5.3244737484903037</v>
      </c>
      <c r="G88" s="55"/>
      <c r="H88" s="166" cm="1">
        <f t="array" ref="H88">RANK(I88,I3:I210)</f>
        <v>84</v>
      </c>
      <c r="I88" s="167" cm="1">
        <f t="array" ref="I88">VLOOKUP(A88,'Standard Deviations'!A1:C672,3,FALSE)</f>
        <v>1.5627608533187733</v>
      </c>
      <c r="J88" s="167" cm="1">
        <f t="array" ref="J88">I88-VLOOKUP(B$2,H1:J210,2,FALSE)</f>
        <v>-5.3244737484903037</v>
      </c>
    </row>
    <row r="89" spans="1:10" ht="21.25" customHeight="1" x14ac:dyDescent="0.15">
      <c r="A89" s="10" t="s">
        <v>448</v>
      </c>
      <c r="B89" s="96" t="str" cm="1">
        <f t="array" ref="B89">VLOOKUP(A89,'The List'!B1:D671,3,FALSE)</f>
        <v>C,RW</v>
      </c>
      <c r="C89" s="97" cm="1">
        <f t="array" ref="C89">IF(Settings!$E$15="POINTS",RANK(E89,E3:E210),H89)</f>
        <v>73</v>
      </c>
      <c r="D89" s="18" t="str" cm="1">
        <f t="array" ref="D89">VLOOKUP(A89,'The List'!B1:F671,5,FALSE)</f>
        <v>DAL</v>
      </c>
      <c r="E89" s="55" cm="1">
        <f t="array" ref="E89">VLOOKUP(A89,'The List'!B1:I671,8,FALSE)</f>
        <v>2.4098861633475046</v>
      </c>
      <c r="F89" s="55" cm="1">
        <f t="array" ref="F89">IF(Settings!$E$15="POINTS",E89-VLOOKUP(B$2,C1:E210,3,FALSE),J89)</f>
        <v>-4.4773484384615729</v>
      </c>
      <c r="G89" s="55"/>
      <c r="H89" s="166" cm="1">
        <f t="array" ref="H89">RANK(I89,I3:I210)</f>
        <v>73</v>
      </c>
      <c r="I89" s="167" cm="1">
        <f t="array" ref="I89">VLOOKUP(A89,'Standard Deviations'!A1:C672,3,FALSE)</f>
        <v>2.4098861633475046</v>
      </c>
      <c r="J89" s="167" cm="1">
        <f t="array" ref="J89">I89-VLOOKUP(B$2,H1:J210,2,FALSE)</f>
        <v>-4.4773484384615729</v>
      </c>
    </row>
    <row r="90" spans="1:10" ht="21.25" customHeight="1" x14ac:dyDescent="0.15">
      <c r="A90" s="10" t="s">
        <v>452</v>
      </c>
      <c r="B90" s="96" t="str" cm="1">
        <f t="array" ref="B90">VLOOKUP(A90,'The List'!B1:D671,3,FALSE)</f>
        <v>C,RW</v>
      </c>
      <c r="C90" s="97" cm="1">
        <f t="array" ref="C90">IF(Settings!$E$15="POINTS",RANK(E90,E3:E210),H90)</f>
        <v>121</v>
      </c>
      <c r="D90" s="18" t="str" cm="1">
        <f t="array" ref="D90">VLOOKUP(A90,'The List'!B1:F671,5,FALSE)</f>
        <v>NYI</v>
      </c>
      <c r="E90" s="55" cm="1">
        <f t="array" ref="E90">VLOOKUP(A90,'The List'!B1:I671,8,FALSE)</f>
        <v>-0.47225503998160145</v>
      </c>
      <c r="F90" s="55" cm="1">
        <f t="array" ref="F90">IF(Settings!$E$15="POINTS",E90-VLOOKUP(B$2,C1:E210,3,FALSE),J90)</f>
        <v>-7.3594896417906792</v>
      </c>
      <c r="G90" s="55"/>
      <c r="H90" s="166" cm="1">
        <f t="array" ref="H90">RANK(I90,I3:I210)</f>
        <v>121</v>
      </c>
      <c r="I90" s="167" cm="1">
        <f t="array" ref="I90">VLOOKUP(A90,'Standard Deviations'!A1:C672,3,FALSE)</f>
        <v>-0.47225503998160145</v>
      </c>
      <c r="J90" s="167" cm="1">
        <f t="array" ref="J90">I90-VLOOKUP(B$2,H1:J210,2,FALSE)</f>
        <v>-7.3594896417906792</v>
      </c>
    </row>
    <row r="91" spans="1:10" ht="21.25" customHeight="1" x14ac:dyDescent="0.15">
      <c r="A91" s="10" t="s">
        <v>460</v>
      </c>
      <c r="B91" s="96" t="str" cm="1">
        <f t="array" ref="B91">VLOOKUP(A91,'The List'!B1:D671,3,FALSE)</f>
        <v>LW,RW</v>
      </c>
      <c r="C91" s="97" cm="1">
        <f t="array" ref="C91">IF(Settings!$E$15="POINTS",RANK(E91,E3:E210),H91)</f>
        <v>149</v>
      </c>
      <c r="D91" s="18" t="str" cm="1">
        <f t="array" ref="D91">VLOOKUP(A91,'The List'!B1:F671,5,FALSE)</f>
        <v>NYI</v>
      </c>
      <c r="E91" s="55" cm="1">
        <f t="array" ref="E91">VLOOKUP(A91,'The List'!B1:I671,8,FALSE)</f>
        <v>-1.5582882553853754</v>
      </c>
      <c r="F91" s="55" cm="1">
        <f t="array" ref="F91">IF(Settings!$E$15="POINTS",E91-VLOOKUP(B$2,C1:E210,3,FALSE),J91)</f>
        <v>-8.4455228571944527</v>
      </c>
      <c r="G91" s="55"/>
      <c r="H91" s="166" cm="1">
        <f t="array" ref="H91">RANK(I91,I3:I210)</f>
        <v>149</v>
      </c>
      <c r="I91" s="167" cm="1">
        <f t="array" ref="I91">VLOOKUP(A91,'Standard Deviations'!A1:C672,3,FALSE)</f>
        <v>-1.5582882553853754</v>
      </c>
      <c r="J91" s="167" cm="1">
        <f t="array" ref="J91">I91-VLOOKUP(B$2,H1:J210,2,FALSE)</f>
        <v>-8.4455228571944527</v>
      </c>
    </row>
    <row r="92" spans="1:10" ht="21.25" customHeight="1" x14ac:dyDescent="0.15">
      <c r="A92" s="10" t="s">
        <v>462</v>
      </c>
      <c r="B92" s="96" t="str" cm="1">
        <f t="array" ref="B92">VLOOKUP(A92,'The List'!B1:D671,3,FALSE)</f>
        <v>LW,RW</v>
      </c>
      <c r="C92" s="97" cm="1">
        <f t="array" ref="C92">IF(Settings!$E$15="POINTS",RANK(E92,E3:E210),H92)</f>
        <v>75</v>
      </c>
      <c r="D92" s="18" t="str" cm="1">
        <f t="array" ref="D92">VLOOKUP(A92,'The List'!B1:F671,5,FALSE)</f>
        <v>COL</v>
      </c>
      <c r="E92" s="55" cm="1">
        <f t="array" ref="E92">VLOOKUP(A92,'The List'!B1:I671,8,FALSE)</f>
        <v>2.1078335059837792</v>
      </c>
      <c r="F92" s="55" cm="1">
        <f t="array" ref="F92">IF(Settings!$E$15="POINTS",E92-VLOOKUP(B$2,C1:E210,3,FALSE),J92)</f>
        <v>-4.7794010958252979</v>
      </c>
      <c r="G92" s="55"/>
      <c r="H92" s="166" cm="1">
        <f t="array" ref="H92">RANK(I92,I3:I210)</f>
        <v>75</v>
      </c>
      <c r="I92" s="167" cm="1">
        <f t="array" ref="I92">VLOOKUP(A92,'Standard Deviations'!A1:C672,3,FALSE)</f>
        <v>2.1078335059837792</v>
      </c>
      <c r="J92" s="167" cm="1">
        <f t="array" ref="J92">I92-VLOOKUP(B$2,H1:J210,2,FALSE)</f>
        <v>-4.7794010958252979</v>
      </c>
    </row>
    <row r="93" spans="1:10" ht="21.25" customHeight="1" x14ac:dyDescent="0.15">
      <c r="A93" s="10" t="s">
        <v>469</v>
      </c>
      <c r="B93" s="96" t="str" cm="1">
        <f t="array" ref="B93">VLOOKUP(A93,'The List'!B1:D671,3,FALSE)</f>
        <v>C,RW</v>
      </c>
      <c r="C93" s="97" cm="1">
        <f t="array" ref="C93">IF(Settings!$E$15="POINTS",RANK(E93,E3:E210),H93)</f>
        <v>155</v>
      </c>
      <c r="D93" s="18" t="str" cm="1">
        <f t="array" ref="D93">VLOOKUP(A93,'The List'!B1:F671,5,FALSE)</f>
        <v>N.J</v>
      </c>
      <c r="E93" s="55" cm="1">
        <f t="array" ref="E93">VLOOKUP(A93,'The List'!B1:I671,8,FALSE)</f>
        <v>-1.7040895708625621</v>
      </c>
      <c r="F93" s="55" cm="1">
        <f t="array" ref="F93">IF(Settings!$E$15="POINTS",E93-VLOOKUP(B$2,C1:E210,3,FALSE),J93)</f>
        <v>-8.5913241726716389</v>
      </c>
      <c r="G93" s="55"/>
      <c r="H93" s="166" cm="1">
        <f t="array" ref="H93">RANK(I93,I3:I210)</f>
        <v>155</v>
      </c>
      <c r="I93" s="167" cm="1">
        <f t="array" ref="I93">VLOOKUP(A93,'Standard Deviations'!A1:C672,3,FALSE)</f>
        <v>-1.7040895708625621</v>
      </c>
      <c r="J93" s="167" cm="1">
        <f t="array" ref="J93">I93-VLOOKUP(B$2,H1:J210,2,FALSE)</f>
        <v>-8.5913241726716389</v>
      </c>
    </row>
    <row r="94" spans="1:10" ht="21.25" customHeight="1" x14ac:dyDescent="0.15">
      <c r="A94" s="10" t="s">
        <v>470</v>
      </c>
      <c r="B94" s="96" t="str" cm="1">
        <f t="array" ref="B94">VLOOKUP(A94,'The List'!B1:D671,3,FALSE)</f>
        <v>LW,RW</v>
      </c>
      <c r="C94" s="97" cm="1">
        <f t="array" ref="C94">IF(Settings!$E$15="POINTS",RANK(E94,E3:E210),H94)</f>
        <v>134</v>
      </c>
      <c r="D94" s="18" t="str" cm="1">
        <f t="array" ref="D94">VLOOKUP(A94,'The List'!B1:F671,5,FALSE)</f>
        <v>CGY</v>
      </c>
      <c r="E94" s="55" cm="1">
        <f t="array" ref="E94">VLOOKUP(A94,'The List'!B1:I671,8,FALSE)</f>
        <v>-1.0029587954988544</v>
      </c>
      <c r="F94" s="55" cm="1">
        <f t="array" ref="F94">IF(Settings!$E$15="POINTS",E94-VLOOKUP(B$2,C1:E210,3,FALSE),J94)</f>
        <v>-7.8901933973079323</v>
      </c>
      <c r="G94" s="55"/>
      <c r="H94" s="166" cm="1">
        <f t="array" ref="H94">RANK(I94,I3:I210)</f>
        <v>134</v>
      </c>
      <c r="I94" s="167" cm="1">
        <f t="array" ref="I94">VLOOKUP(A94,'Standard Deviations'!A1:C672,3,FALSE)</f>
        <v>-1.0029587954988544</v>
      </c>
      <c r="J94" s="167" cm="1">
        <f t="array" ref="J94">I94-VLOOKUP(B$2,H1:J210,2,FALSE)</f>
        <v>-7.8901933973079323</v>
      </c>
    </row>
    <row r="95" spans="1:10" ht="21.25" customHeight="1" x14ac:dyDescent="0.15">
      <c r="A95" s="10" t="s">
        <v>472</v>
      </c>
      <c r="B95" s="96" t="str" cm="1">
        <f t="array" ref="B95">VLOOKUP(A95,'The List'!B1:D671,3,FALSE)</f>
        <v>LW,RW</v>
      </c>
      <c r="C95" s="97" cm="1">
        <f t="array" ref="C95">IF(Settings!$E$15="POINTS",RANK(E95,E3:E210),H95)</f>
        <v>50</v>
      </c>
      <c r="D95" s="18" t="str" cm="1">
        <f t="array" ref="D95">VLOOKUP(A95,'The List'!B1:F671,5,FALSE)</f>
        <v>S.J</v>
      </c>
      <c r="E95" s="55" cm="1">
        <f t="array" ref="E95">VLOOKUP(A95,'The List'!B1:I671,8,FALSE)</f>
        <v>4.2151180224389782</v>
      </c>
      <c r="F95" s="55" cm="1">
        <f t="array" ref="F95">IF(Settings!$E$15="POINTS",E95-VLOOKUP(B$2,C1:E210,3,FALSE),J95)</f>
        <v>-2.6721165793700994</v>
      </c>
      <c r="G95" s="55"/>
      <c r="H95" s="166" cm="1">
        <f t="array" ref="H95">RANK(I95,I3:I210)</f>
        <v>50</v>
      </c>
      <c r="I95" s="167" cm="1">
        <f t="array" ref="I95">VLOOKUP(A95,'Standard Deviations'!A1:C672,3,FALSE)</f>
        <v>4.2151180224389782</v>
      </c>
      <c r="J95" s="167" cm="1">
        <f t="array" ref="J95">I95-VLOOKUP(B$2,H1:J210,2,FALSE)</f>
        <v>-2.6721165793700994</v>
      </c>
    </row>
    <row r="96" spans="1:10" ht="21.25" customHeight="1" x14ac:dyDescent="0.15">
      <c r="A96" s="10" t="s">
        <v>482</v>
      </c>
      <c r="B96" s="96" t="str" cm="1">
        <f t="array" ref="B96">VLOOKUP(A96,'The List'!B1:D671,3,FALSE)</f>
        <v>C,RW</v>
      </c>
      <c r="C96" s="97" cm="1">
        <f t="array" ref="C96">IF(Settings!$E$15="POINTS",RANK(E96,E3:E210),H96)</f>
        <v>96</v>
      </c>
      <c r="D96" s="18" t="str" cm="1">
        <f t="array" ref="D96">VLOOKUP(A96,'The List'!B1:F671,5,FALSE)</f>
        <v>NSH</v>
      </c>
      <c r="E96" s="55" cm="1">
        <f t="array" ref="E96">VLOOKUP(A96,'The List'!B1:I671,8,FALSE)</f>
        <v>0.62485121821834455</v>
      </c>
      <c r="F96" s="55" cm="1">
        <f t="array" ref="F96">IF(Settings!$E$15="POINTS",E96-VLOOKUP(B$2,C1:E210,3,FALSE),J96)</f>
        <v>-6.2623833835907332</v>
      </c>
      <c r="G96" s="55"/>
      <c r="H96" s="166" cm="1">
        <f t="array" ref="H96">RANK(I96,I3:I210)</f>
        <v>96</v>
      </c>
      <c r="I96" s="167" cm="1">
        <f t="array" ref="I96">VLOOKUP(A96,'Standard Deviations'!A1:C672,3,FALSE)</f>
        <v>0.62485121821834455</v>
      </c>
      <c r="J96" s="167" cm="1">
        <f t="array" ref="J96">I96-VLOOKUP(B$2,H1:J210,2,FALSE)</f>
        <v>-6.2623833835907332</v>
      </c>
    </row>
    <row r="97" spans="1:10" ht="21.25" customHeight="1" x14ac:dyDescent="0.15">
      <c r="A97" s="10" t="s">
        <v>489</v>
      </c>
      <c r="B97" s="96" t="str" cm="1">
        <f t="array" ref="B97">VLOOKUP(A97,'The List'!B1:D671,3,FALSE)</f>
        <v>C,RW</v>
      </c>
      <c r="C97" s="97" cm="1">
        <f t="array" ref="C97">IF(Settings!$E$15="POINTS",RANK(E97,E3:E210),H97)</f>
        <v>144</v>
      </c>
      <c r="D97" s="18" t="str" cm="1">
        <f t="array" ref="D97">VLOOKUP(A97,'The List'!B1:F671,5,FALSE)</f>
        <v>SEA</v>
      </c>
      <c r="E97" s="55" cm="1">
        <f t="array" ref="E97">VLOOKUP(A97,'The List'!B1:I671,8,FALSE)</f>
        <v>-1.2188232551746023</v>
      </c>
      <c r="F97" s="55" cm="1">
        <f t="array" ref="F97">IF(Settings!$E$15="POINTS",E97-VLOOKUP(B$2,C1:E210,3,FALSE),J97)</f>
        <v>-8.1060578569836803</v>
      </c>
      <c r="G97" s="55"/>
      <c r="H97" s="166" cm="1">
        <f t="array" ref="H97">RANK(I97,I3:I210)</f>
        <v>144</v>
      </c>
      <c r="I97" s="167" cm="1">
        <f t="array" ref="I97">VLOOKUP(A97,'Standard Deviations'!A1:C672,3,FALSE)</f>
        <v>-1.2188232551746023</v>
      </c>
      <c r="J97" s="167" cm="1">
        <f t="array" ref="J97">I97-VLOOKUP(B$2,H1:J210,2,FALSE)</f>
        <v>-8.1060578569836803</v>
      </c>
    </row>
    <row r="98" spans="1:10" ht="21.25" customHeight="1" x14ac:dyDescent="0.15">
      <c r="A98" s="10" t="s">
        <v>490</v>
      </c>
      <c r="B98" s="96" t="str" cm="1">
        <f t="array" ref="B98">VLOOKUP(A98,'The List'!B1:D671,3,FALSE)</f>
        <v>C,RW</v>
      </c>
      <c r="C98" s="97" cm="1">
        <f t="array" ref="C98">IF(Settings!$E$15="POINTS",RANK(E98,E3:E210),H98)</f>
        <v>102</v>
      </c>
      <c r="D98" s="18" t="str" cm="1">
        <f t="array" ref="D98">VLOOKUP(A98,'The List'!B1:F671,5,FALSE)</f>
        <v>EDM</v>
      </c>
      <c r="E98" s="55" cm="1">
        <f t="array" ref="E98">VLOOKUP(A98,'The List'!B1:I671,8,FALSE)</f>
        <v>0.45346267784411021</v>
      </c>
      <c r="F98" s="55" cm="1">
        <f t="array" ref="F98">IF(Settings!$E$15="POINTS",E98-VLOOKUP(B$2,C1:E210,3,FALSE),J98)</f>
        <v>-6.4337719239649669</v>
      </c>
      <c r="G98" s="55"/>
      <c r="H98" s="166" cm="1">
        <f t="array" ref="H98">RANK(I98,I3:I210)</f>
        <v>102</v>
      </c>
      <c r="I98" s="167" cm="1">
        <f t="array" ref="I98">VLOOKUP(A98,'Standard Deviations'!A1:C672,3,FALSE)</f>
        <v>0.45346267784411021</v>
      </c>
      <c r="J98" s="167" cm="1">
        <f t="array" ref="J98">I98-VLOOKUP(B$2,H1:J210,2,FALSE)</f>
        <v>-6.4337719239649669</v>
      </c>
    </row>
    <row r="99" spans="1:10" ht="21.25" customHeight="1" x14ac:dyDescent="0.15">
      <c r="A99" s="10" t="s">
        <v>494</v>
      </c>
      <c r="B99" s="96" t="str" cm="1">
        <f t="array" ref="B99">VLOOKUP(A99,'The List'!B1:D671,3,FALSE)</f>
        <v>LW,RW</v>
      </c>
      <c r="C99" s="97" cm="1">
        <f t="array" ref="C99">IF(Settings!$E$15="POINTS",RANK(E99,E3:E210),H99)</f>
        <v>108</v>
      </c>
      <c r="D99" s="18" t="str" cm="1">
        <f t="array" ref="D99">VLOOKUP(A99,'The List'!B1:F671,5,FALSE)</f>
        <v>NSH</v>
      </c>
      <c r="E99" s="55" cm="1">
        <f t="array" ref="E99">VLOOKUP(A99,'The List'!B1:I671,8,FALSE)</f>
        <v>4.0514667757939105E-2</v>
      </c>
      <c r="F99" s="55" cm="1">
        <f t="array" ref="F99">IF(Settings!$E$15="POINTS",E99-VLOOKUP(B$2,C1:E210,3,FALSE),J99)</f>
        <v>-6.8467199340511389</v>
      </c>
      <c r="G99" s="55"/>
      <c r="H99" s="166" cm="1">
        <f t="array" ref="H99">RANK(I99,I3:I210)</f>
        <v>108</v>
      </c>
      <c r="I99" s="167" cm="1">
        <f t="array" ref="I99">VLOOKUP(A99,'Standard Deviations'!A1:C672,3,FALSE)</f>
        <v>4.0514667757939105E-2</v>
      </c>
      <c r="J99" s="167" cm="1">
        <f t="array" ref="J99">I99-VLOOKUP(B$2,H1:J210,2,FALSE)</f>
        <v>-6.8467199340511389</v>
      </c>
    </row>
    <row r="100" spans="1:10" ht="21.25" customHeight="1" x14ac:dyDescent="0.15">
      <c r="A100" s="10" t="s">
        <v>495</v>
      </c>
      <c r="B100" s="96" t="str" cm="1">
        <f t="array" ref="B100">VLOOKUP(A100,'The List'!B1:D671,3,FALSE)</f>
        <v>RW</v>
      </c>
      <c r="C100" s="97" cm="1">
        <f t="array" ref="C100">IF(Settings!$E$15="POINTS",RANK(E100,E3:E210),H100)</f>
        <v>120</v>
      </c>
      <c r="D100" s="18" t="str" cm="1">
        <f t="array" ref="D100">VLOOKUP(A100,'The List'!B1:F671,5,FALSE)</f>
        <v>CBJ</v>
      </c>
      <c r="E100" s="55" cm="1">
        <f t="array" ref="E100">VLOOKUP(A100,'The List'!B1:I671,8,FALSE)</f>
        <v>-0.40306146667967141</v>
      </c>
      <c r="F100" s="55" cm="1">
        <f t="array" ref="F100">IF(Settings!$E$15="POINTS",E100-VLOOKUP(B$2,C1:E210,3,FALSE),J100)</f>
        <v>-7.2902960684887486</v>
      </c>
      <c r="G100" s="55"/>
      <c r="H100" s="166" cm="1">
        <f t="array" ref="H100">RANK(I100,I3:I210)</f>
        <v>120</v>
      </c>
      <c r="I100" s="167" cm="1">
        <f t="array" ref="I100">VLOOKUP(A100,'Standard Deviations'!A1:C672,3,FALSE)</f>
        <v>-0.40306146667967141</v>
      </c>
      <c r="J100" s="167" cm="1">
        <f t="array" ref="J100">I100-VLOOKUP(B$2,H1:J210,2,FALSE)</f>
        <v>-7.2902960684887486</v>
      </c>
    </row>
    <row r="101" spans="1:10" ht="21.25" customHeight="1" x14ac:dyDescent="0.15">
      <c r="A101" s="10" t="s">
        <v>496</v>
      </c>
      <c r="B101" s="96" t="str" cm="1">
        <f t="array" ref="B101">VLOOKUP(A101,'The List'!B1:D671,3,FALSE)</f>
        <v>LW,RW</v>
      </c>
      <c r="C101" s="97" cm="1">
        <f t="array" ref="C101">IF(Settings!$E$15="POINTS",RANK(E101,E3:E210),H101)</f>
        <v>95</v>
      </c>
      <c r="D101" s="18" t="str" cm="1">
        <f t="array" ref="D101">VLOOKUP(A101,'The List'!B1:F671,5,FALSE)</f>
        <v>S.J</v>
      </c>
      <c r="E101" s="55" cm="1">
        <f t="array" ref="E101">VLOOKUP(A101,'The List'!B1:I671,8,FALSE)</f>
        <v>0.71954987042451113</v>
      </c>
      <c r="F101" s="55" cm="1">
        <f t="array" ref="F101">IF(Settings!$E$15="POINTS",E101-VLOOKUP(B$2,C1:E210,3,FALSE),J101)</f>
        <v>-6.1676847313845666</v>
      </c>
      <c r="G101" s="55"/>
      <c r="H101" s="166" cm="1">
        <f t="array" ref="H101">RANK(I101,I3:I210)</f>
        <v>95</v>
      </c>
      <c r="I101" s="167" cm="1">
        <f t="array" ref="I101">VLOOKUP(A101,'Standard Deviations'!A1:C672,3,FALSE)</f>
        <v>0.71954987042451113</v>
      </c>
      <c r="J101" s="167" cm="1">
        <f t="array" ref="J101">I101-VLOOKUP(B$2,H1:J210,2,FALSE)</f>
        <v>-6.1676847313845666</v>
      </c>
    </row>
    <row r="102" spans="1:10" ht="21.25" customHeight="1" x14ac:dyDescent="0.15">
      <c r="A102" s="10" t="s">
        <v>497</v>
      </c>
      <c r="B102" s="96" t="str" cm="1">
        <f t="array" ref="B102">VLOOKUP(A102,'The List'!B1:D671,3,FALSE)</f>
        <v>LW,RW</v>
      </c>
      <c r="C102" s="97" cm="1">
        <f t="array" ref="C102">IF(Settings!$E$15="POINTS",RANK(E102,E3:E210),H102)</f>
        <v>107</v>
      </c>
      <c r="D102" s="18" t="str" cm="1">
        <f t="array" ref="D102">VLOOKUP(A102,'The List'!B1:F671,5,FALSE)</f>
        <v>PIT</v>
      </c>
      <c r="E102" s="55" cm="1">
        <f t="array" ref="E102">VLOOKUP(A102,'The List'!B1:I671,8,FALSE)</f>
        <v>4.3036012412418709E-2</v>
      </c>
      <c r="F102" s="55" cm="1">
        <f t="array" ref="F102">IF(Settings!$E$15="POINTS",E102-VLOOKUP(B$2,C1:E210,3,FALSE),J102)</f>
        <v>-6.844198589396659</v>
      </c>
      <c r="G102" s="55"/>
      <c r="H102" s="166" cm="1">
        <f t="array" ref="H102">RANK(I102,I3:I210)</f>
        <v>107</v>
      </c>
      <c r="I102" s="167" cm="1">
        <f t="array" ref="I102">VLOOKUP(A102,'Standard Deviations'!A1:C672,3,FALSE)</f>
        <v>4.3036012412418709E-2</v>
      </c>
      <c r="J102" s="167" cm="1">
        <f t="array" ref="J102">I102-VLOOKUP(B$2,H1:J210,2,FALSE)</f>
        <v>-6.844198589396659</v>
      </c>
    </row>
    <row r="103" spans="1:10" ht="21.25" customHeight="1" x14ac:dyDescent="0.15">
      <c r="A103" s="10" t="s">
        <v>499</v>
      </c>
      <c r="B103" s="96" t="str" cm="1">
        <f t="array" ref="B103">VLOOKUP(A103,'The List'!B1:D671,3,FALSE)</f>
        <v>LW,RW</v>
      </c>
      <c r="C103" s="97" cm="1">
        <f t="array" ref="C103">IF(Settings!$E$15="POINTS",RANK(E103,E3:E210),H103)</f>
        <v>74</v>
      </c>
      <c r="D103" s="18" t="str" cm="1">
        <f t="array" ref="D103">VLOOKUP(A103,'The List'!B1:F671,5,FALSE)</f>
        <v>S.J</v>
      </c>
      <c r="E103" s="55" cm="1">
        <f t="array" ref="E103">VLOOKUP(A103,'The List'!B1:I671,8,FALSE)</f>
        <v>2.1958013499609081</v>
      </c>
      <c r="F103" s="55" cm="1">
        <f t="array" ref="F103">IF(Settings!$E$15="POINTS",E103-VLOOKUP(B$2,C1:E210,3,FALSE),J103)</f>
        <v>-4.691433251848169</v>
      </c>
      <c r="G103" s="55"/>
      <c r="H103" s="166" cm="1">
        <f t="array" ref="H103">RANK(I103,I3:I210)</f>
        <v>74</v>
      </c>
      <c r="I103" s="167" cm="1">
        <f t="array" ref="I103">VLOOKUP(A103,'Standard Deviations'!A1:C672,3,FALSE)</f>
        <v>2.1958013499609081</v>
      </c>
      <c r="J103" s="167" cm="1">
        <f t="array" ref="J103">I103-VLOOKUP(B$2,H1:J210,2,FALSE)</f>
        <v>-4.691433251848169</v>
      </c>
    </row>
    <row r="104" spans="1:10" ht="21.25" customHeight="1" x14ac:dyDescent="0.15">
      <c r="A104" s="10" t="s">
        <v>508</v>
      </c>
      <c r="B104" s="96" t="str" cm="1">
        <f t="array" ref="B104">VLOOKUP(A104,'The List'!B1:D671,3,FALSE)</f>
        <v>RW</v>
      </c>
      <c r="C104" s="97" cm="1">
        <f t="array" ref="C104">IF(Settings!$E$15="POINTS",RANK(E104,E3:E210),H104)</f>
        <v>118</v>
      </c>
      <c r="D104" s="18" t="str" cm="1">
        <f t="array" ref="D104">VLOOKUP(A104,'The List'!B1:F671,5,FALSE)</f>
        <v>NYR</v>
      </c>
      <c r="E104" s="55" cm="1">
        <f t="array" ref="E104">VLOOKUP(A104,'The List'!B1:I671,8,FALSE)</f>
        <v>-0.36153253412186837</v>
      </c>
      <c r="F104" s="55" cm="1">
        <f t="array" ref="F104">IF(Settings!$E$15="POINTS",E104-VLOOKUP(B$2,C1:E210,3,FALSE),J104)</f>
        <v>-7.2487671359309456</v>
      </c>
      <c r="G104" s="55"/>
      <c r="H104" s="166" cm="1">
        <f t="array" ref="H104">RANK(I104,I3:I210)</f>
        <v>118</v>
      </c>
      <c r="I104" s="167" cm="1">
        <f t="array" ref="I104">VLOOKUP(A104,'Standard Deviations'!A1:C672,3,FALSE)</f>
        <v>-0.36153253412186837</v>
      </c>
      <c r="J104" s="167" cm="1">
        <f t="array" ref="J104">I104-VLOOKUP(B$2,H1:J210,2,FALSE)</f>
        <v>-7.2487671359309456</v>
      </c>
    </row>
    <row r="105" spans="1:10" ht="21.25" customHeight="1" x14ac:dyDescent="0.15">
      <c r="A105" s="10" t="s">
        <v>518</v>
      </c>
      <c r="B105" s="96" t="str" cm="1">
        <f t="array" ref="B105">VLOOKUP(A105,'The List'!B1:D671,3,FALSE)</f>
        <v>C,LW,RW</v>
      </c>
      <c r="C105" s="97" cm="1">
        <f t="array" ref="C105">IF(Settings!$E$15="POINTS",RANK(E105,E3:E210),H105)</f>
        <v>106</v>
      </c>
      <c r="D105" s="18" t="str" cm="1">
        <f t="array" ref="D105">VLOOKUP(A105,'The List'!B1:F671,5,FALSE)</f>
        <v>OTT</v>
      </c>
      <c r="E105" s="55" cm="1">
        <f t="array" ref="E105">VLOOKUP(A105,'The List'!B1:I671,8,FALSE)</f>
        <v>0.24881976396979089</v>
      </c>
      <c r="F105" s="55" cm="1">
        <f t="array" ref="F105">IF(Settings!$E$15="POINTS",E105-VLOOKUP(B$2,C1:E210,3,FALSE),J105)</f>
        <v>-6.6384148378392869</v>
      </c>
      <c r="G105" s="55"/>
      <c r="H105" s="166" cm="1">
        <f t="array" ref="H105">RANK(I105,I3:I210)</f>
        <v>106</v>
      </c>
      <c r="I105" s="167" cm="1">
        <f t="array" ref="I105">VLOOKUP(A105,'Standard Deviations'!A1:C672,3,FALSE)</f>
        <v>0.24881976396979089</v>
      </c>
      <c r="J105" s="167" cm="1">
        <f t="array" ref="J105">I105-VLOOKUP(B$2,H1:J210,2,FALSE)</f>
        <v>-6.6384148378392869</v>
      </c>
    </row>
    <row r="106" spans="1:10" ht="21.25" customHeight="1" x14ac:dyDescent="0.15">
      <c r="A106" s="10" t="s">
        <v>519</v>
      </c>
      <c r="B106" s="96" t="str" cm="1">
        <f t="array" ref="B106">VLOOKUP(A106,'The List'!B1:D671,3,FALSE)</f>
        <v>LW,RW</v>
      </c>
      <c r="C106" s="97" cm="1">
        <f t="array" ref="C106">IF(Settings!$E$15="POINTS",RANK(E106,E3:E210),H106)</f>
        <v>101</v>
      </c>
      <c r="D106" s="18" t="str" cm="1">
        <f t="array" ref="D106">VLOOKUP(A106,'The List'!B1:F671,5,FALSE)</f>
        <v>N.J</v>
      </c>
      <c r="E106" s="55" cm="1">
        <f t="array" ref="E106">VLOOKUP(A106,'The List'!B1:I671,8,FALSE)</f>
        <v>0.46581080199341396</v>
      </c>
      <c r="F106" s="55" cm="1">
        <f t="array" ref="F106">IF(Settings!$E$15="POINTS",E106-VLOOKUP(B$2,C1:E210,3,FALSE),J106)</f>
        <v>-6.4214237998156634</v>
      </c>
      <c r="G106" s="55"/>
      <c r="H106" s="166" cm="1">
        <f t="array" ref="H106">RANK(I106,I3:I210)</f>
        <v>101</v>
      </c>
      <c r="I106" s="167" cm="1">
        <f t="array" ref="I106">VLOOKUP(A106,'Standard Deviations'!A1:C672,3,FALSE)</f>
        <v>0.46581080199341396</v>
      </c>
      <c r="J106" s="167" cm="1">
        <f t="array" ref="J106">I106-VLOOKUP(B$2,H1:J210,2,FALSE)</f>
        <v>-6.4214237998156634</v>
      </c>
    </row>
    <row r="107" spans="1:10" ht="21.25" customHeight="1" x14ac:dyDescent="0.15">
      <c r="A107" s="10" t="s">
        <v>521</v>
      </c>
      <c r="B107" s="96" t="str" cm="1">
        <f t="array" ref="B107">VLOOKUP(A107,'The List'!B1:D671,3,FALSE)</f>
        <v>C,LW,RW</v>
      </c>
      <c r="C107" s="97" cm="1">
        <f t="array" ref="C107">IF(Settings!$E$15="POINTS",RANK(E107,E3:E210),H107)</f>
        <v>179</v>
      </c>
      <c r="D107" s="18" t="str" cm="1">
        <f t="array" ref="D107">VLOOKUP(A107,'The List'!B1:F671,5,FALSE)</f>
        <v>CGY</v>
      </c>
      <c r="E107" s="55" cm="1">
        <f t="array" ref="E107">VLOOKUP(A107,'The List'!B1:I671,8,FALSE)</f>
        <v>-3.0471179319455439</v>
      </c>
      <c r="F107" s="55" cm="1">
        <f t="array" ref="F107">IF(Settings!$E$15="POINTS",E107-VLOOKUP(B$2,C1:E210,3,FALSE),J107)</f>
        <v>-9.9343525337546215</v>
      </c>
      <c r="G107" s="55"/>
      <c r="H107" s="166" cm="1">
        <f t="array" ref="H107">RANK(I107,I3:I210)</f>
        <v>179</v>
      </c>
      <c r="I107" s="167" cm="1">
        <f t="array" ref="I107">VLOOKUP(A107,'Standard Deviations'!A1:C672,3,FALSE)</f>
        <v>-3.0471179319455439</v>
      </c>
      <c r="J107" s="167" cm="1">
        <f t="array" ref="J107">I107-VLOOKUP(B$2,H1:J210,2,FALSE)</f>
        <v>-9.9343525337546215</v>
      </c>
    </row>
    <row r="108" spans="1:10" ht="21.25" customHeight="1" x14ac:dyDescent="0.15">
      <c r="A108" s="10" t="s">
        <v>524</v>
      </c>
      <c r="B108" s="96" t="str" cm="1">
        <f t="array" ref="B108">VLOOKUP(A108,'The List'!B1:D671,3,FALSE)</f>
        <v>LW,RW</v>
      </c>
      <c r="C108" s="97" cm="1">
        <f t="array" ref="C108">IF(Settings!$E$15="POINTS",RANK(E108,E3:E210),H108)</f>
        <v>71</v>
      </c>
      <c r="D108" s="18" t="str" cm="1">
        <f t="array" ref="D108">VLOOKUP(A108,'The List'!B1:F671,5,FALSE)</f>
        <v>UTA</v>
      </c>
      <c r="E108" s="55" cm="1">
        <f t="array" ref="E108">VLOOKUP(A108,'The List'!B1:I671,8,FALSE)</f>
        <v>2.5390116468375461</v>
      </c>
      <c r="F108" s="55" cm="1">
        <f t="array" ref="F108">IF(Settings!$E$15="POINTS",E108-VLOOKUP(B$2,C1:E210,3,FALSE),J108)</f>
        <v>-4.348222954971531</v>
      </c>
      <c r="G108" s="55"/>
      <c r="H108" s="166" cm="1">
        <f t="array" ref="H108">RANK(I108,I3:I210)</f>
        <v>71</v>
      </c>
      <c r="I108" s="167" cm="1">
        <f t="array" ref="I108">VLOOKUP(A108,'Standard Deviations'!A1:C672,3,FALSE)</f>
        <v>2.5390116468375461</v>
      </c>
      <c r="J108" s="167" cm="1">
        <f t="array" ref="J108">I108-VLOOKUP(B$2,H1:J210,2,FALSE)</f>
        <v>-4.348222954971531</v>
      </c>
    </row>
    <row r="109" spans="1:10" ht="21.25" customHeight="1" x14ac:dyDescent="0.15">
      <c r="A109" s="10" t="s">
        <v>527</v>
      </c>
      <c r="B109" s="96" t="str" cm="1">
        <f t="array" ref="B109">VLOOKUP(A109,'The List'!B1:D671,3,FALSE)</f>
        <v>RW</v>
      </c>
      <c r="C109" s="97" cm="1">
        <f t="array" ref="C109">IF(Settings!$E$15="POINTS",RANK(E109,E3:E210),H109)</f>
        <v>146</v>
      </c>
      <c r="D109" s="18" t="str" cm="1">
        <f t="array" ref="D109">VLOOKUP(A109,'The List'!B1:F671,5,FALSE)</f>
        <v>SEA</v>
      </c>
      <c r="E109" s="55" cm="1">
        <f t="array" ref="E109">VLOOKUP(A109,'The List'!B1:I671,8,FALSE)</f>
        <v>-1.3644384587056608</v>
      </c>
      <c r="F109" s="55" cm="1">
        <f t="array" ref="F109">IF(Settings!$E$15="POINTS",E109-VLOOKUP(B$2,C1:E210,3,FALSE),J109)</f>
        <v>-8.2516730605147384</v>
      </c>
      <c r="G109" s="55"/>
      <c r="H109" s="166" cm="1">
        <f t="array" ref="H109">RANK(I109,I3:I210)</f>
        <v>146</v>
      </c>
      <c r="I109" s="167" cm="1">
        <f t="array" ref="I109">VLOOKUP(A109,'Standard Deviations'!A1:C672,3,FALSE)</f>
        <v>-1.3644384587056608</v>
      </c>
      <c r="J109" s="167" cm="1">
        <f t="array" ref="J109">I109-VLOOKUP(B$2,H1:J210,2,FALSE)</f>
        <v>-8.2516730605147384</v>
      </c>
    </row>
    <row r="110" spans="1:10" ht="21.25" customHeight="1" x14ac:dyDescent="0.15">
      <c r="A110" s="10" t="s">
        <v>528</v>
      </c>
      <c r="B110" s="96" t="str" cm="1">
        <f t="array" ref="B110">VLOOKUP(A110,'The List'!B1:D671,3,FALSE)</f>
        <v>LW,RW</v>
      </c>
      <c r="C110" s="97" cm="1">
        <f t="array" ref="C110">IF(Settings!$E$15="POINTS",RANK(E110,E3:E210),H110)</f>
        <v>85</v>
      </c>
      <c r="D110" s="18" t="str" cm="1">
        <f t="array" ref="D110">VLOOKUP(A110,'The List'!B1:F671,5,FALSE)</f>
        <v>STL</v>
      </c>
      <c r="E110" s="55" cm="1">
        <f t="array" ref="E110">VLOOKUP(A110,'The List'!B1:I671,8,FALSE)</f>
        <v>1.5012186707405824</v>
      </c>
      <c r="F110" s="55" cm="1">
        <f t="array" ref="F110">IF(Settings!$E$15="POINTS",E110-VLOOKUP(B$2,C1:E210,3,FALSE),J110)</f>
        <v>-5.3860159310684956</v>
      </c>
      <c r="G110" s="55"/>
      <c r="H110" s="166" cm="1">
        <f t="array" ref="H110">RANK(I110,I3:I210)</f>
        <v>85</v>
      </c>
      <c r="I110" s="167" cm="1">
        <f t="array" ref="I110">VLOOKUP(A110,'Standard Deviations'!A1:C672,3,FALSE)</f>
        <v>1.5012186707405824</v>
      </c>
      <c r="J110" s="167" cm="1">
        <f t="array" ref="J110">I110-VLOOKUP(B$2,H1:J210,2,FALSE)</f>
        <v>-5.3860159310684956</v>
      </c>
    </row>
    <row r="111" spans="1:10" ht="21.25" customHeight="1" x14ac:dyDescent="0.15">
      <c r="A111" s="10" t="s">
        <v>529</v>
      </c>
      <c r="B111" s="96" t="str" cm="1">
        <f t="array" ref="B111">VLOOKUP(A111,'The List'!B1:D671,3,FALSE)</f>
        <v>RW</v>
      </c>
      <c r="C111" s="97" cm="1">
        <f t="array" ref="C111">IF(Settings!$E$15="POINTS",RANK(E111,E3:E210),H111)</f>
        <v>98</v>
      </c>
      <c r="D111" s="18" t="str" cm="1">
        <f t="array" ref="D111">VLOOKUP(A111,'The List'!B1:F671,5,FALSE)</f>
        <v>SEA</v>
      </c>
      <c r="E111" s="55" cm="1">
        <f t="array" ref="E111">VLOOKUP(A111,'The List'!B1:I671,8,FALSE)</f>
        <v>0.56844503962675152</v>
      </c>
      <c r="F111" s="55" cm="1">
        <f t="array" ref="F111">IF(Settings!$E$15="POINTS",E111-VLOOKUP(B$2,C1:E210,3,FALSE),J111)</f>
        <v>-6.3187895621823262</v>
      </c>
      <c r="G111" s="55"/>
      <c r="H111" s="166" cm="1">
        <f t="array" ref="H111">RANK(I111,I3:I210)</f>
        <v>98</v>
      </c>
      <c r="I111" s="167" cm="1">
        <f t="array" ref="I111">VLOOKUP(A111,'Standard Deviations'!A1:C672,3,FALSE)</f>
        <v>0.56844503962675152</v>
      </c>
      <c r="J111" s="167" cm="1">
        <f t="array" ref="J111">I111-VLOOKUP(B$2,H1:J210,2,FALSE)</f>
        <v>-6.3187895621823262</v>
      </c>
    </row>
    <row r="112" spans="1:10" ht="21.25" customHeight="1" x14ac:dyDescent="0.15">
      <c r="A112" s="10" t="s">
        <v>531</v>
      </c>
      <c r="B112" s="96" t="str" cm="1">
        <f t="array" ref="B112">VLOOKUP(A112,'The List'!B1:D671,3,FALSE)</f>
        <v>RW</v>
      </c>
      <c r="C112" s="97" cm="1">
        <f t="array" ref="C112">IF(Settings!$E$15="POINTS",RANK(E112,E3:E210),H112)</f>
        <v>99</v>
      </c>
      <c r="D112" s="18" t="str" cm="1">
        <f t="array" ref="D112">VLOOKUP(A112,'The List'!B1:F671,5,FALSE)</f>
        <v>CHI</v>
      </c>
      <c r="E112" s="55" cm="1">
        <f t="array" ref="E112">VLOOKUP(A112,'The List'!B1:I671,8,FALSE)</f>
        <v>0.54410987921097398</v>
      </c>
      <c r="F112" s="55" cm="1">
        <f t="array" ref="F112">IF(Settings!$E$15="POINTS",E112-VLOOKUP(B$2,C1:E210,3,FALSE),J112)</f>
        <v>-6.3431247225981036</v>
      </c>
      <c r="G112" s="55"/>
      <c r="H112" s="166" cm="1">
        <f t="array" ref="H112">RANK(I112,I3:I210)</f>
        <v>99</v>
      </c>
      <c r="I112" s="167" cm="1">
        <f t="array" ref="I112">VLOOKUP(A112,'Standard Deviations'!A1:C672,3,FALSE)</f>
        <v>0.54410987921097398</v>
      </c>
      <c r="J112" s="167" cm="1">
        <f t="array" ref="J112">I112-VLOOKUP(B$2,H1:J210,2,FALSE)</f>
        <v>-6.3431247225981036</v>
      </c>
    </row>
    <row r="113" spans="1:10" ht="21.25" customHeight="1" x14ac:dyDescent="0.15">
      <c r="A113" s="10" t="s">
        <v>533</v>
      </c>
      <c r="B113" s="96" t="str" cm="1">
        <f t="array" ref="B113">VLOOKUP(A113,'The List'!B1:D671,3,FALSE)</f>
        <v>RW</v>
      </c>
      <c r="C113" s="97" cm="1">
        <f t="array" ref="C113">IF(Settings!$E$15="POINTS",RANK(E113,E3:E210),H113)</f>
        <v>147</v>
      </c>
      <c r="D113" s="18" t="str" cm="1">
        <f t="array" ref="D113">VLOOKUP(A113,'The List'!B1:F671,5,FALSE)</f>
        <v>ANA</v>
      </c>
      <c r="E113" s="55" cm="1">
        <f t="array" ref="E113">VLOOKUP(A113,'The List'!B1:I671,8,FALSE)</f>
        <v>-1.3849612555042985</v>
      </c>
      <c r="F113" s="55" cm="1">
        <f t="array" ref="F113">IF(Settings!$E$15="POINTS",E113-VLOOKUP(B$2,C1:E210,3,FALSE),J113)</f>
        <v>-8.2721958573133758</v>
      </c>
      <c r="G113" s="55"/>
      <c r="H113" s="166" cm="1">
        <f t="array" ref="H113">RANK(I113,I3:I210)</f>
        <v>147</v>
      </c>
      <c r="I113" s="167" cm="1">
        <f t="array" ref="I113">VLOOKUP(A113,'Standard Deviations'!A1:C672,3,FALSE)</f>
        <v>-1.3849612555042985</v>
      </c>
      <c r="J113" s="167" cm="1">
        <f t="array" ref="J113">I113-VLOOKUP(B$2,H1:J210,2,FALSE)</f>
        <v>-8.2721958573133758</v>
      </c>
    </row>
    <row r="114" spans="1:10" ht="21.25" customHeight="1" x14ac:dyDescent="0.15">
      <c r="A114" s="10" t="s">
        <v>542</v>
      </c>
      <c r="B114" s="96" t="str" cm="1">
        <f t="array" ref="B114">VLOOKUP(A114,'The List'!B1:D671,3,FALSE)</f>
        <v>LW,RW</v>
      </c>
      <c r="C114" s="97" cm="1">
        <f t="array" ref="C114">IF(Settings!$E$15="POINTS",RANK(E114,E3:E210),H114)</f>
        <v>119</v>
      </c>
      <c r="D114" s="18" t="str" cm="1">
        <f t="array" ref="D114">VLOOKUP(A114,'The List'!B1:F671,5,FALSE)</f>
        <v>L.A</v>
      </c>
      <c r="E114" s="55" cm="1">
        <f t="array" ref="E114">VLOOKUP(A114,'The List'!B1:I671,8,FALSE)</f>
        <v>-0.39971182762958651</v>
      </c>
      <c r="F114" s="55" cm="1">
        <f t="array" ref="F114">IF(Settings!$E$15="POINTS",E114-VLOOKUP(B$2,C1:E210,3,FALSE),J114)</f>
        <v>-7.2869464294386637</v>
      </c>
      <c r="G114" s="55"/>
      <c r="H114" s="166" cm="1">
        <f t="array" ref="H114">RANK(I114,I3:I210)</f>
        <v>119</v>
      </c>
      <c r="I114" s="167" cm="1">
        <f t="array" ref="I114">VLOOKUP(A114,'Standard Deviations'!A1:C672,3,FALSE)</f>
        <v>-0.39971182762958651</v>
      </c>
      <c r="J114" s="167" cm="1">
        <f t="array" ref="J114">I114-VLOOKUP(B$2,H1:J210,2,FALSE)</f>
        <v>-7.2869464294386637</v>
      </c>
    </row>
    <row r="115" spans="1:10" ht="21.25" customHeight="1" x14ac:dyDescent="0.15">
      <c r="A115" s="10" t="s">
        <v>547</v>
      </c>
      <c r="B115" s="96" t="str" cm="1">
        <f t="array" ref="B115">VLOOKUP(A115,'The List'!B1:D671,3,FALSE)</f>
        <v>LW,RW</v>
      </c>
      <c r="C115" s="97" cm="1">
        <f t="array" ref="C115">IF(Settings!$E$15="POINTS",RANK(E115,E3:E210),H115)</f>
        <v>110</v>
      </c>
      <c r="D115" s="18" t="str" cm="1">
        <f t="array" ref="D115">VLOOKUP(A115,'The List'!B1:F671,5,FALSE)</f>
        <v>N.J</v>
      </c>
      <c r="E115" s="55" cm="1">
        <f t="array" ref="E115">VLOOKUP(A115,'The List'!B1:I671,8,FALSE)</f>
        <v>-1.3544900706919008E-2</v>
      </c>
      <c r="F115" s="55" cm="1">
        <f t="array" ref="F115">IF(Settings!$E$15="POINTS",E115-VLOOKUP(B$2,C1:E210,3,FALSE),J115)</f>
        <v>-6.9007795025159968</v>
      </c>
      <c r="G115" s="55"/>
      <c r="H115" s="166" cm="1">
        <f t="array" ref="H115">RANK(I115,I3:I210)</f>
        <v>110</v>
      </c>
      <c r="I115" s="167" cm="1">
        <f t="array" ref="I115">VLOOKUP(A115,'Standard Deviations'!A1:C672,3,FALSE)</f>
        <v>-1.3544900706919008E-2</v>
      </c>
      <c r="J115" s="167" cm="1">
        <f t="array" ref="J115">I115-VLOOKUP(B$2,H1:J210,2,FALSE)</f>
        <v>-6.9007795025159968</v>
      </c>
    </row>
    <row r="116" spans="1:10" ht="21.25" customHeight="1" x14ac:dyDescent="0.15">
      <c r="A116" s="10" t="s">
        <v>551</v>
      </c>
      <c r="B116" s="96" t="str" cm="1">
        <f t="array" ref="B116">VLOOKUP(A116,'The List'!B1:D671,3,FALSE)</f>
        <v>C,RW</v>
      </c>
      <c r="C116" s="97" cm="1">
        <f t="array" ref="C116">IF(Settings!$E$15="POINTS",RANK(E116,E3:E210),H116)</f>
        <v>105</v>
      </c>
      <c r="D116" s="18" t="str" cm="1">
        <f t="array" ref="D116">VLOOKUP(A116,'The List'!B1:F671,5,FALSE)</f>
        <v>TOR</v>
      </c>
      <c r="E116" s="55" cm="1">
        <f t="array" ref="E116">VLOOKUP(A116,'The List'!B1:I671,8,FALSE)</f>
        <v>0.31408262778479779</v>
      </c>
      <c r="F116" s="55" cm="1">
        <f t="array" ref="F116">IF(Settings!$E$15="POINTS",E116-VLOOKUP(B$2,C1:E210,3,FALSE),J116)</f>
        <v>-6.5731519740242801</v>
      </c>
      <c r="G116" s="55"/>
      <c r="H116" s="166" cm="1">
        <f t="array" ref="H116">RANK(I116,I3:I210)</f>
        <v>105</v>
      </c>
      <c r="I116" s="167" cm="1">
        <f t="array" ref="I116">VLOOKUP(A116,'Standard Deviations'!A1:C672,3,FALSE)</f>
        <v>0.31408262778479779</v>
      </c>
      <c r="J116" s="167" cm="1">
        <f t="array" ref="J116">I116-VLOOKUP(B$2,H1:J210,2,FALSE)</f>
        <v>-6.5731519740242801</v>
      </c>
    </row>
    <row r="117" spans="1:10" ht="21.25" customHeight="1" x14ac:dyDescent="0.15">
      <c r="A117" s="10" t="s">
        <v>553</v>
      </c>
      <c r="B117" s="96" t="str" cm="1">
        <f t="array" ref="B117">VLOOKUP(A117,'The List'!B1:D671,3,FALSE)</f>
        <v>C,LW,RW</v>
      </c>
      <c r="C117" s="97" cm="1">
        <f t="array" ref="C117">IF(Settings!$E$15="POINTS",RANK(E117,E3:E210),H117)</f>
        <v>115</v>
      </c>
      <c r="D117" s="18" t="str" cm="1">
        <f t="array" ref="D117">VLOOKUP(A117,'The List'!B1:F671,5,FALSE)</f>
        <v>OTT</v>
      </c>
      <c r="E117" s="55" cm="1">
        <f t="array" ref="E117">VLOOKUP(A117,'The List'!B1:I671,8,FALSE)</f>
        <v>-0.23543836571466814</v>
      </c>
      <c r="F117" s="55" cm="1">
        <f t="array" ref="F117">IF(Settings!$E$15="POINTS",E117-VLOOKUP(B$2,C1:E210,3,FALSE),J117)</f>
        <v>-7.1226729675237461</v>
      </c>
      <c r="G117" s="55"/>
      <c r="H117" s="166" cm="1">
        <f t="array" ref="H117">RANK(I117,I3:I210)</f>
        <v>115</v>
      </c>
      <c r="I117" s="167" cm="1">
        <f t="array" ref="I117">VLOOKUP(A117,'Standard Deviations'!A1:C672,3,FALSE)</f>
        <v>-0.23543836571466814</v>
      </c>
      <c r="J117" s="167" cm="1">
        <f t="array" ref="J117">I117-VLOOKUP(B$2,H1:J210,2,FALSE)</f>
        <v>-7.1226729675237461</v>
      </c>
    </row>
    <row r="118" spans="1:10" ht="21.25" customHeight="1" x14ac:dyDescent="0.15">
      <c r="A118" s="10" t="s">
        <v>564</v>
      </c>
      <c r="B118" s="96" t="str" cm="1">
        <f t="array" ref="B118">VLOOKUP(A118,'The List'!B1:D671,3,FALSE)</f>
        <v>LW,RW</v>
      </c>
      <c r="C118" s="97" cm="1">
        <f t="array" ref="C118">IF(Settings!$E$15="POINTS",RANK(E118,E3:E210),H118)</f>
        <v>113</v>
      </c>
      <c r="D118" s="18" t="str" cm="1">
        <f t="array" ref="D118">VLOOKUP(A118,'The List'!B1:F671,5,FALSE)</f>
        <v>ANA</v>
      </c>
      <c r="E118" s="55" cm="1">
        <f t="array" ref="E118">VLOOKUP(A118,'The List'!B1:I671,8,FALSE)</f>
        <v>-0.1453626255798206</v>
      </c>
      <c r="F118" s="55" cm="1">
        <f t="array" ref="F118">IF(Settings!$E$15="POINTS",E118-VLOOKUP(B$2,C1:E210,3,FALSE),J118)</f>
        <v>-7.0325972273888979</v>
      </c>
      <c r="G118" s="55"/>
      <c r="H118" s="166" cm="1">
        <f t="array" ref="H118">RANK(I118,I3:I210)</f>
        <v>113</v>
      </c>
      <c r="I118" s="167" cm="1">
        <f t="array" ref="I118">VLOOKUP(A118,'Standard Deviations'!A1:C672,3,FALSE)</f>
        <v>-0.1453626255798206</v>
      </c>
      <c r="J118" s="167" cm="1">
        <f t="array" ref="J118">I118-VLOOKUP(B$2,H1:J210,2,FALSE)</f>
        <v>-7.0325972273888979</v>
      </c>
    </row>
    <row r="119" spans="1:10" ht="21.25" customHeight="1" x14ac:dyDescent="0.15">
      <c r="A119" s="10" t="s">
        <v>567</v>
      </c>
      <c r="B119" s="96" t="str" cm="1">
        <f t="array" ref="B119">VLOOKUP(A119,'The List'!B1:D671,3,FALSE)</f>
        <v>LW,RW</v>
      </c>
      <c r="C119" s="97" cm="1">
        <f t="array" ref="C119">IF(Settings!$E$15="POINTS",RANK(E119,E3:E210),H119)</f>
        <v>94</v>
      </c>
      <c r="D119" s="18" t="str" cm="1">
        <f t="array" ref="D119">VLOOKUP(A119,'The List'!B1:F671,5,FALSE)</f>
        <v>NYI</v>
      </c>
      <c r="E119" s="55" cm="1">
        <f t="array" ref="E119">VLOOKUP(A119,'The List'!B1:I671,8,FALSE)</f>
        <v>0.81039487407421129</v>
      </c>
      <c r="F119" s="55" cm="1">
        <f t="array" ref="F119">IF(Settings!$E$15="POINTS",E119-VLOOKUP(B$2,C1:E210,3,FALSE),J119)</f>
        <v>-6.0768397277348658</v>
      </c>
      <c r="G119" s="55"/>
      <c r="H119" s="166" cm="1">
        <f t="array" ref="H119">RANK(I119,I3:I210)</f>
        <v>94</v>
      </c>
      <c r="I119" s="167" cm="1">
        <f t="array" ref="I119">VLOOKUP(A119,'Standard Deviations'!A1:C672,3,FALSE)</f>
        <v>0.81039487407421129</v>
      </c>
      <c r="J119" s="167" cm="1">
        <f t="array" ref="J119">I119-VLOOKUP(B$2,H1:J210,2,FALSE)</f>
        <v>-6.0768397277348658</v>
      </c>
    </row>
    <row r="120" spans="1:10" ht="21.25" customHeight="1" x14ac:dyDescent="0.15">
      <c r="A120" s="10" t="s">
        <v>568</v>
      </c>
      <c r="B120" s="96" t="str" cm="1">
        <f t="array" ref="B120">VLOOKUP(A120,'The List'!B1:D671,3,FALSE)</f>
        <v>RW</v>
      </c>
      <c r="C120" s="97" cm="1">
        <f t="array" ref="C120">IF(Settings!$E$15="POINTS",RANK(E120,E3:E210),H120)</f>
        <v>116</v>
      </c>
      <c r="D120" s="18" t="str" cm="1">
        <f t="array" ref="D120">VLOOKUP(A120,'The List'!B1:F671,5,FALSE)</f>
        <v>NYR</v>
      </c>
      <c r="E120" s="55" cm="1">
        <f t="array" ref="E120">VLOOKUP(A120,'The List'!B1:I671,8,FALSE)</f>
        <v>-0.27300764253380649</v>
      </c>
      <c r="F120" s="55" cm="1">
        <f t="array" ref="F120">IF(Settings!$E$15="POINTS",E120-VLOOKUP(B$2,C1:E210,3,FALSE),J120)</f>
        <v>-7.1602422443428839</v>
      </c>
      <c r="G120" s="55"/>
      <c r="H120" s="166" cm="1">
        <f t="array" ref="H120">RANK(I120,I3:I210)</f>
        <v>116</v>
      </c>
      <c r="I120" s="167" cm="1">
        <f t="array" ref="I120">VLOOKUP(A120,'Standard Deviations'!A1:C672,3,FALSE)</f>
        <v>-0.27300764253380649</v>
      </c>
      <c r="J120" s="167" cm="1">
        <f t="array" ref="J120">I120-VLOOKUP(B$2,H1:J210,2,FALSE)</f>
        <v>-7.1602422443428839</v>
      </c>
    </row>
    <row r="121" spans="1:10" ht="21.25" customHeight="1" x14ac:dyDescent="0.15">
      <c r="A121" s="10" t="s">
        <v>569</v>
      </c>
      <c r="B121" s="96" t="str" cm="1">
        <f t="array" ref="B121">VLOOKUP(A121,'The List'!B1:D671,3,FALSE)</f>
        <v>LW,RW</v>
      </c>
      <c r="C121" s="97" cm="1">
        <f t="array" ref="C121">IF(Settings!$E$15="POINTS",RANK(E121,E3:E210),H121)</f>
        <v>143</v>
      </c>
      <c r="D121" s="18" t="str" cm="1">
        <f t="array" ref="D121">VLOOKUP(A121,'The List'!B1:F671,5,FALSE)</f>
        <v>WPG</v>
      </c>
      <c r="E121" s="55" cm="1">
        <f t="array" ref="E121">VLOOKUP(A121,'The List'!B1:I671,8,FALSE)</f>
        <v>-1.2103164070106915</v>
      </c>
      <c r="F121" s="55" cm="1">
        <f t="array" ref="F121">IF(Settings!$E$15="POINTS",E121-VLOOKUP(B$2,C1:E210,3,FALSE),J121)</f>
        <v>-8.0975510088197691</v>
      </c>
      <c r="G121" s="55"/>
      <c r="H121" s="166" cm="1">
        <f t="array" ref="H121">RANK(I121,I3:I210)</f>
        <v>143</v>
      </c>
      <c r="I121" s="167" cm="1">
        <f t="array" ref="I121">VLOOKUP(A121,'Standard Deviations'!A1:C672,3,FALSE)</f>
        <v>-1.2103164070106915</v>
      </c>
      <c r="J121" s="167" cm="1">
        <f t="array" ref="J121">I121-VLOOKUP(B$2,H1:J210,2,FALSE)</f>
        <v>-8.0975510088197691</v>
      </c>
    </row>
    <row r="122" spans="1:10" ht="21.25" customHeight="1" x14ac:dyDescent="0.15">
      <c r="A122" s="10" t="s">
        <v>571</v>
      </c>
      <c r="B122" s="96" t="str" cm="1">
        <f t="array" ref="B122">VLOOKUP(A122,'The List'!B1:D671,3,FALSE)</f>
        <v>LW,RW</v>
      </c>
      <c r="C122" s="97" cm="1">
        <f t="array" ref="C122">IF(Settings!$E$15="POINTS",RANK(E122,E3:E210),H122)</f>
        <v>89</v>
      </c>
      <c r="D122" s="18" t="str" cm="1">
        <f t="array" ref="D122">VLOOKUP(A122,'The List'!B1:F671,5,FALSE)</f>
        <v>MTL</v>
      </c>
      <c r="E122" s="55" cm="1">
        <f t="array" ref="E122">VLOOKUP(A122,'The List'!B1:I671,8,FALSE)</f>
        <v>1.1862128219755155</v>
      </c>
      <c r="F122" s="55" cm="1">
        <f t="array" ref="F122">IF(Settings!$E$15="POINTS",E122-VLOOKUP(B$2,C1:E210,3,FALSE),J122)</f>
        <v>-5.7010217798335621</v>
      </c>
      <c r="G122" s="55"/>
      <c r="H122" s="166" cm="1">
        <f t="array" ref="H122">RANK(I122,I3:I210)</f>
        <v>89</v>
      </c>
      <c r="I122" s="167" cm="1">
        <f t="array" ref="I122">VLOOKUP(A122,'Standard Deviations'!A1:C672,3,FALSE)</f>
        <v>1.1862128219755155</v>
      </c>
      <c r="J122" s="167" cm="1">
        <f t="array" ref="J122">I122-VLOOKUP(B$2,H1:J210,2,FALSE)</f>
        <v>-5.7010217798335621</v>
      </c>
    </row>
    <row r="123" spans="1:10" ht="21.25" customHeight="1" x14ac:dyDescent="0.15">
      <c r="A123" s="10" t="s">
        <v>573</v>
      </c>
      <c r="B123" s="96" t="str" cm="1">
        <f t="array" ref="B123">VLOOKUP(A123,'The List'!B1:D671,3,FALSE)</f>
        <v>C,RW</v>
      </c>
      <c r="C123" s="97" cm="1">
        <f t="array" ref="C123">IF(Settings!$E$15="POINTS",RANK(E123,E3:E210),H123)</f>
        <v>131</v>
      </c>
      <c r="D123" s="18" t="str" cm="1">
        <f t="array" ref="D123">VLOOKUP(A123,'The List'!B1:F671,5,FALSE)</f>
        <v>CBJ</v>
      </c>
      <c r="E123" s="55" cm="1">
        <f t="array" ref="E123">VLOOKUP(A123,'The List'!B1:I671,8,FALSE)</f>
        <v>-0.95055809431372806</v>
      </c>
      <c r="F123" s="55" cm="1">
        <f t="array" ref="F123">IF(Settings!$E$15="POINTS",E123-VLOOKUP(B$2,C1:E210,3,FALSE),J123)</f>
        <v>-7.8377926961228059</v>
      </c>
      <c r="G123" s="55"/>
      <c r="H123" s="166" cm="1">
        <f t="array" ref="H123">RANK(I123,I3:I210)</f>
        <v>131</v>
      </c>
      <c r="I123" s="167" cm="1">
        <f t="array" ref="I123">VLOOKUP(A123,'Standard Deviations'!A1:C672,3,FALSE)</f>
        <v>-0.95055809431372806</v>
      </c>
      <c r="J123" s="167" cm="1">
        <f t="array" ref="J123">I123-VLOOKUP(B$2,H1:J210,2,FALSE)</f>
        <v>-7.8377926961228059</v>
      </c>
    </row>
    <row r="124" spans="1:10" ht="21.25" customHeight="1" x14ac:dyDescent="0.15">
      <c r="A124" s="10" t="s">
        <v>575</v>
      </c>
      <c r="B124" s="96" t="str" cm="1">
        <f t="array" ref="B124">VLOOKUP(A124,'The List'!B1:D671,3,FALSE)</f>
        <v>RW</v>
      </c>
      <c r="C124" s="97" cm="1">
        <f t="array" ref="C124">IF(Settings!$E$15="POINTS",RANK(E124,E3:E210),H124)</f>
        <v>114</v>
      </c>
      <c r="D124" s="18" t="str" cm="1">
        <f t="array" ref="D124">VLOOKUP(A124,'The List'!B1:F671,5,FALSE)</f>
        <v>MIN</v>
      </c>
      <c r="E124" s="55" cm="1">
        <f t="array" ref="E124">VLOOKUP(A124,'The List'!B1:I671,8,FALSE)</f>
        <v>-0.22850821603657123</v>
      </c>
      <c r="F124" s="55" cm="1">
        <f t="array" ref="F124">IF(Settings!$E$15="POINTS",E124-VLOOKUP(B$2,C1:E210,3,FALSE),J124)</f>
        <v>-7.115742817845649</v>
      </c>
      <c r="G124" s="55"/>
      <c r="H124" s="166" cm="1">
        <f t="array" ref="H124">RANK(I124,I3:I210)</f>
        <v>114</v>
      </c>
      <c r="I124" s="167" cm="1">
        <f t="array" ref="I124">VLOOKUP(A124,'Standard Deviations'!A1:C672,3,FALSE)</f>
        <v>-0.22850821603657123</v>
      </c>
      <c r="J124" s="167" cm="1">
        <f t="array" ref="J124">I124-VLOOKUP(B$2,H1:J210,2,FALSE)</f>
        <v>-7.115742817845649</v>
      </c>
    </row>
    <row r="125" spans="1:10" ht="21.25" customHeight="1" x14ac:dyDescent="0.15">
      <c r="A125" s="10" t="s">
        <v>578</v>
      </c>
      <c r="B125" s="96" t="str" cm="1">
        <f t="array" ref="B125">VLOOKUP(A125,'The List'!B1:D671,3,FALSE)</f>
        <v>LW,RW</v>
      </c>
      <c r="C125" s="97" cm="1">
        <f t="array" ref="C125">IF(Settings!$E$15="POINTS",RANK(E125,E3:E210),H125)</f>
        <v>65</v>
      </c>
      <c r="D125" s="18" t="str" cm="1">
        <f t="array" ref="D125">VLOOKUP(A125,'The List'!B1:F671,5,FALSE)</f>
        <v>EDM</v>
      </c>
      <c r="E125" s="55" cm="1">
        <f t="array" ref="E125">VLOOKUP(A125,'The List'!B1:I671,8,FALSE)</f>
        <v>3.0892637641088223</v>
      </c>
      <c r="F125" s="55" cm="1">
        <f t="array" ref="F125">IF(Settings!$E$15="POINTS",E125-VLOOKUP(B$2,C1:E210,3,FALSE),J125)</f>
        <v>-3.7979708377002552</v>
      </c>
      <c r="G125" s="55"/>
      <c r="H125" s="166" cm="1">
        <f t="array" ref="H125">RANK(I125,I3:I210)</f>
        <v>65</v>
      </c>
      <c r="I125" s="167" cm="1">
        <f t="array" ref="I125">VLOOKUP(A125,'Standard Deviations'!A1:C672,3,FALSE)</f>
        <v>3.0892637641088223</v>
      </c>
      <c r="J125" s="167" cm="1">
        <f t="array" ref="J125">I125-VLOOKUP(B$2,H1:J210,2,FALSE)</f>
        <v>-3.7979708377002552</v>
      </c>
    </row>
    <row r="126" spans="1:10" ht="21.25" customHeight="1" x14ac:dyDescent="0.15">
      <c r="A126" s="10" t="s">
        <v>582</v>
      </c>
      <c r="B126" s="96" t="str" cm="1">
        <f t="array" ref="B126">VLOOKUP(A126,'The List'!B1:D671,3,FALSE)</f>
        <v>C,LW,RW</v>
      </c>
      <c r="C126" s="97" cm="1">
        <f t="array" ref="C126">IF(Settings!$E$15="POINTS",RANK(E126,E3:E210),H126)</f>
        <v>88</v>
      </c>
      <c r="D126" s="18" t="str" cm="1">
        <f t="array" ref="D126">VLOOKUP(A126,'The List'!B1:F671,5,FALSE)</f>
        <v>DAL</v>
      </c>
      <c r="E126" s="55" cm="1">
        <f t="array" ref="E126">VLOOKUP(A126,'The List'!B1:I671,8,FALSE)</f>
        <v>1.2688511221708321</v>
      </c>
      <c r="F126" s="55" cm="1">
        <f t="array" ref="F126">IF(Settings!$E$15="POINTS",E126-VLOOKUP(B$2,C1:E210,3,FALSE),J126)</f>
        <v>-5.6183834796382452</v>
      </c>
      <c r="G126" s="55"/>
      <c r="H126" s="166" cm="1">
        <f t="array" ref="H126">RANK(I126,I3:I210)</f>
        <v>88</v>
      </c>
      <c r="I126" s="167" cm="1">
        <f t="array" ref="I126">VLOOKUP(A126,'Standard Deviations'!A1:C672,3,FALSE)</f>
        <v>1.2688511221708321</v>
      </c>
      <c r="J126" s="167" cm="1">
        <f t="array" ref="J126">I126-VLOOKUP(B$2,H1:J210,2,FALSE)</f>
        <v>-5.6183834796382452</v>
      </c>
    </row>
    <row r="127" spans="1:10" ht="21.25" customHeight="1" x14ac:dyDescent="0.15">
      <c r="A127" s="10" t="s">
        <v>584</v>
      </c>
      <c r="B127" s="96" t="str" cm="1">
        <f t="array" ref="B127">VLOOKUP(A127,'The List'!B1:D671,3,FALSE)</f>
        <v>RW</v>
      </c>
      <c r="C127" s="97" cm="1">
        <f t="array" ref="C127">IF(Settings!$E$15="POINTS",RANK(E127,E3:E210),H127)</f>
        <v>127</v>
      </c>
      <c r="D127" s="18" t="str" cm="1">
        <f t="array" ref="D127">VLOOKUP(A127,'The List'!B1:F671,5,FALSE)</f>
        <v>PIT</v>
      </c>
      <c r="E127" s="55" cm="1">
        <f t="array" ref="E127">VLOOKUP(A127,'The List'!B1:I671,8,FALSE)</f>
        <v>-0.74166969821626472</v>
      </c>
      <c r="F127" s="55" cm="1">
        <f t="array" ref="F127">IF(Settings!$E$15="POINTS",E127-VLOOKUP(B$2,C1:E210,3,FALSE),J127)</f>
        <v>-7.6289043000253418</v>
      </c>
      <c r="G127" s="55"/>
      <c r="H127" s="166" cm="1">
        <f t="array" ref="H127">RANK(I127,I3:I210)</f>
        <v>127</v>
      </c>
      <c r="I127" s="167" cm="1">
        <f t="array" ref="I127">VLOOKUP(A127,'Standard Deviations'!A1:C672,3,FALSE)</f>
        <v>-0.74166969821626472</v>
      </c>
      <c r="J127" s="167" cm="1">
        <f t="array" ref="J127">I127-VLOOKUP(B$2,H1:J210,2,FALSE)</f>
        <v>-7.6289043000253418</v>
      </c>
    </row>
    <row r="128" spans="1:10" ht="21.25" customHeight="1" x14ac:dyDescent="0.15">
      <c r="A128" s="10" t="s">
        <v>585</v>
      </c>
      <c r="B128" s="96" t="str" cm="1">
        <f t="array" ref="B128">VLOOKUP(A128,'The List'!B1:D671,3,FALSE)</f>
        <v>LW,RW</v>
      </c>
      <c r="C128" s="97" cm="1">
        <f t="array" ref="C128">IF(Settings!$E$15="POINTS",RANK(E128,E3:E210),H128)</f>
        <v>204</v>
      </c>
      <c r="D128" s="18" t="str" cm="1">
        <f t="array" ref="D128">VLOOKUP(A128,'The List'!B1:F671,5,FALSE)</f>
        <v>CHI</v>
      </c>
      <c r="E128" s="55" cm="1">
        <f t="array" ref="E128">VLOOKUP(A128,'The List'!B1:I671,8,FALSE)</f>
        <v>-4.7590727663433832</v>
      </c>
      <c r="F128" s="55" cm="1">
        <f t="array" ref="F128">IF(Settings!$E$15="POINTS",E128-VLOOKUP(B$2,C1:E210,3,FALSE),J128)</f>
        <v>-11.64630736815246</v>
      </c>
      <c r="G128" s="55"/>
      <c r="H128" s="166" cm="1">
        <f t="array" ref="H128">RANK(I128,I3:I210)</f>
        <v>204</v>
      </c>
      <c r="I128" s="167" cm="1">
        <f t="array" ref="I128">VLOOKUP(A128,'Standard Deviations'!A1:C672,3,FALSE)</f>
        <v>-4.7590727663433832</v>
      </c>
      <c r="J128" s="167" cm="1">
        <f t="array" ref="J128">I128-VLOOKUP(B$2,H1:J210,2,FALSE)</f>
        <v>-11.64630736815246</v>
      </c>
    </row>
    <row r="129" spans="1:10" ht="21.25" customHeight="1" x14ac:dyDescent="0.15">
      <c r="A129" s="10" t="s">
        <v>587</v>
      </c>
      <c r="B129" s="96" t="str" cm="1">
        <f t="array" ref="B129">VLOOKUP(A129,'The List'!B1:D671,3,FALSE)</f>
        <v>C,RW</v>
      </c>
      <c r="C129" s="97" cm="1">
        <f t="array" ref="C129">IF(Settings!$E$15="POINTS",RANK(E129,E3:E210),H129)</f>
        <v>86</v>
      </c>
      <c r="D129" s="18" t="str" cm="1">
        <f t="array" ref="D129">VLOOKUP(A129,'The List'!B1:F671,5,FALSE)</f>
        <v>NSH</v>
      </c>
      <c r="E129" s="55" cm="1">
        <f t="array" ref="E129">VLOOKUP(A129,'The List'!B1:I671,8,FALSE)</f>
        <v>1.4115741189852895</v>
      </c>
      <c r="F129" s="55" cm="1">
        <f t="array" ref="F129">IF(Settings!$E$15="POINTS",E129-VLOOKUP(B$2,C1:E210,3,FALSE),J129)</f>
        <v>-5.4756604828237876</v>
      </c>
      <c r="G129" s="55"/>
      <c r="H129" s="166" cm="1">
        <f t="array" ref="H129">RANK(I129,I3:I210)</f>
        <v>86</v>
      </c>
      <c r="I129" s="167" cm="1">
        <f t="array" ref="I129">VLOOKUP(A129,'Standard Deviations'!A1:C672,3,FALSE)</f>
        <v>1.4115741189852895</v>
      </c>
      <c r="J129" s="167" cm="1">
        <f t="array" ref="J129">I129-VLOOKUP(B$2,H1:J210,2,FALSE)</f>
        <v>-5.4756604828237876</v>
      </c>
    </row>
    <row r="130" spans="1:10" ht="21.25" customHeight="1" x14ac:dyDescent="0.15">
      <c r="A130" s="10" t="s">
        <v>589</v>
      </c>
      <c r="B130" s="96" t="str" cm="1">
        <f t="array" ref="B130">VLOOKUP(A130,'The List'!B1:D671,3,FALSE)</f>
        <v>LW,RW</v>
      </c>
      <c r="C130" s="97" cm="1">
        <f t="array" ref="C130">IF(Settings!$E$15="POINTS",RANK(E130,E3:E210),H130)</f>
        <v>165</v>
      </c>
      <c r="D130" s="18" t="str" cm="1">
        <f t="array" ref="D130">VLOOKUP(A130,'The List'!B1:F671,5,FALSE)</f>
        <v>NYI</v>
      </c>
      <c r="E130" s="55" cm="1">
        <f t="array" ref="E130">VLOOKUP(A130,'The List'!B1:I671,8,FALSE)</f>
        <v>-2.3126938165404245</v>
      </c>
      <c r="F130" s="55" cm="1">
        <f t="array" ref="F130">IF(Settings!$E$15="POINTS",E130-VLOOKUP(B$2,C1:E210,3,FALSE),J130)</f>
        <v>-9.1999284183495025</v>
      </c>
      <c r="G130" s="55"/>
      <c r="H130" s="166" cm="1">
        <f t="array" ref="H130">RANK(I130,I3:I210)</f>
        <v>165</v>
      </c>
      <c r="I130" s="167" cm="1">
        <f t="array" ref="I130">VLOOKUP(A130,'Standard Deviations'!A1:C672,3,FALSE)</f>
        <v>-2.3126938165404245</v>
      </c>
      <c r="J130" s="167" cm="1">
        <f t="array" ref="J130">I130-VLOOKUP(B$2,H1:J210,2,FALSE)</f>
        <v>-9.1999284183495025</v>
      </c>
    </row>
    <row r="131" spans="1:10" ht="21.25" customHeight="1" x14ac:dyDescent="0.15">
      <c r="A131" s="10" t="s">
        <v>593</v>
      </c>
      <c r="B131" s="96" t="str" cm="1">
        <f t="array" ref="B131">VLOOKUP(A131,'The List'!B1:D671,3,FALSE)</f>
        <v>C,RW</v>
      </c>
      <c r="C131" s="97" cm="1">
        <f t="array" ref="C131">IF(Settings!$E$15="POINTS",RANK(E131,E3:E210),H131)</f>
        <v>122</v>
      </c>
      <c r="D131" s="18" t="str" cm="1">
        <f t="array" ref="D131">VLOOKUP(A131,'The List'!B1:F671,5,FALSE)</f>
        <v>DAL</v>
      </c>
      <c r="E131" s="55" cm="1">
        <f t="array" ref="E131">VLOOKUP(A131,'The List'!B1:I671,8,FALSE)</f>
        <v>-0.51212094113553297</v>
      </c>
      <c r="F131" s="55" cm="1">
        <f t="array" ref="F131">IF(Settings!$E$15="POINTS",E131-VLOOKUP(B$2,C1:E210,3,FALSE),J131)</f>
        <v>-7.3993555429446101</v>
      </c>
      <c r="G131" s="55"/>
      <c r="H131" s="166" cm="1">
        <f t="array" ref="H131">RANK(I131,I3:I210)</f>
        <v>122</v>
      </c>
      <c r="I131" s="167" cm="1">
        <f t="array" ref="I131">VLOOKUP(A131,'Standard Deviations'!A1:C672,3,FALSE)</f>
        <v>-0.51212094113553297</v>
      </c>
      <c r="J131" s="167" cm="1">
        <f t="array" ref="J131">I131-VLOOKUP(B$2,H1:J210,2,FALSE)</f>
        <v>-7.3993555429446101</v>
      </c>
    </row>
    <row r="132" spans="1:10" ht="21.25" customHeight="1" x14ac:dyDescent="0.15">
      <c r="A132" s="10" t="s">
        <v>596</v>
      </c>
      <c r="B132" s="96" t="str" cm="1">
        <f t="array" ref="B132">VLOOKUP(A132,'The List'!B1:D671,3,FALSE)</f>
        <v>LW,RW</v>
      </c>
      <c r="C132" s="97" cm="1">
        <f t="array" ref="C132">IF(Settings!$E$15="POINTS",RANK(E132,E3:E210),H132)</f>
        <v>93</v>
      </c>
      <c r="D132" s="18" t="str" cm="1">
        <f t="array" ref="D132">VLOOKUP(A132,'The List'!B1:F671,5,FALSE)</f>
        <v>COL</v>
      </c>
      <c r="E132" s="55" cm="1">
        <f t="array" ref="E132">VLOOKUP(A132,'The List'!B1:I671,8,FALSE)</f>
        <v>0.81570949302161677</v>
      </c>
      <c r="F132" s="55" cm="1">
        <f t="array" ref="F132">IF(Settings!$E$15="POINTS",E132-VLOOKUP(B$2,C1:E210,3,FALSE),J132)</f>
        <v>-6.0715251087874611</v>
      </c>
      <c r="G132" s="55"/>
      <c r="H132" s="166" cm="1">
        <f t="array" ref="H132">RANK(I132,I3:I210)</f>
        <v>93</v>
      </c>
      <c r="I132" s="167" cm="1">
        <f t="array" ref="I132">VLOOKUP(A132,'Standard Deviations'!A1:C672,3,FALSE)</f>
        <v>0.81570949302161677</v>
      </c>
      <c r="J132" s="167" cm="1">
        <f t="array" ref="J132">I132-VLOOKUP(B$2,H1:J210,2,FALSE)</f>
        <v>-6.0715251087874611</v>
      </c>
    </row>
    <row r="133" spans="1:10" ht="21.25" customHeight="1" x14ac:dyDescent="0.15">
      <c r="A133" s="10" t="s">
        <v>597</v>
      </c>
      <c r="B133" s="96" t="str" cm="1">
        <f t="array" ref="B133">VLOOKUP(A133,'The List'!B1:D671,3,FALSE)</f>
        <v>RW</v>
      </c>
      <c r="C133" s="97" cm="1">
        <f t="array" ref="C133">IF(Settings!$E$15="POINTS",RANK(E133,E3:E210),H133)</f>
        <v>191</v>
      </c>
      <c r="D133" s="18" t="str" cm="1">
        <f t="array" ref="D133">VLOOKUP(A133,'The List'!B1:F671,5,FALSE)</f>
        <v>N.J</v>
      </c>
      <c r="E133" s="55" cm="1">
        <f t="array" ref="E133">VLOOKUP(A133,'The List'!B1:I671,8,FALSE)</f>
        <v>-3.5555764349588568</v>
      </c>
      <c r="F133" s="55" cm="1">
        <f t="array" ref="F133">IF(Settings!$E$15="POINTS",E133-VLOOKUP(B$2,C1:E210,3,FALSE),J133)</f>
        <v>-10.442811036767935</v>
      </c>
      <c r="G133" s="55"/>
      <c r="H133" s="166" cm="1">
        <f t="array" ref="H133">RANK(I133,I3:I210)</f>
        <v>191</v>
      </c>
      <c r="I133" s="167" cm="1">
        <f t="array" ref="I133">VLOOKUP(A133,'Standard Deviations'!A1:C672,3,FALSE)</f>
        <v>-3.5555764349588568</v>
      </c>
      <c r="J133" s="167" cm="1">
        <f t="array" ref="J133">I133-VLOOKUP(B$2,H1:J210,2,FALSE)</f>
        <v>-10.442811036767935</v>
      </c>
    </row>
    <row r="134" spans="1:10" ht="21.25" customHeight="1" x14ac:dyDescent="0.15">
      <c r="A134" s="10" t="s">
        <v>598</v>
      </c>
      <c r="B134" s="96" t="str" cm="1">
        <f t="array" ref="B134">VLOOKUP(A134,'The List'!B1:D671,3,FALSE)</f>
        <v>LW,RW</v>
      </c>
      <c r="C134" s="97" cm="1">
        <f t="array" ref="C134">IF(Settings!$E$15="POINTS",RANK(E134,E3:E210),H134)</f>
        <v>196</v>
      </c>
      <c r="D134" s="18" t="str" cm="1">
        <f t="array" ref="D134">VLOOKUP(A134,'The List'!B1:F671,5,FALSE)</f>
        <v>VAN</v>
      </c>
      <c r="E134" s="55" cm="1">
        <f t="array" ref="E134">VLOOKUP(A134,'The List'!B1:I671,8,FALSE)</f>
        <v>-3.8514497783843922</v>
      </c>
      <c r="F134" s="55" cm="1">
        <f t="array" ref="F134">IF(Settings!$E$15="POINTS",E134-VLOOKUP(B$2,C1:E210,3,FALSE),J134)</f>
        <v>-10.738684380193469</v>
      </c>
      <c r="G134" s="55"/>
      <c r="H134" s="166" cm="1">
        <f t="array" ref="H134">RANK(I134,I3:I210)</f>
        <v>196</v>
      </c>
      <c r="I134" s="167" cm="1">
        <f t="array" ref="I134">VLOOKUP(A134,'Standard Deviations'!A1:C672,3,FALSE)</f>
        <v>-3.8514497783843922</v>
      </c>
      <c r="J134" s="167" cm="1">
        <f t="array" ref="J134">I134-VLOOKUP(B$2,H1:J210,2,FALSE)</f>
        <v>-10.738684380193469</v>
      </c>
    </row>
    <row r="135" spans="1:10" ht="21.25" customHeight="1" x14ac:dyDescent="0.15">
      <c r="A135" s="10" t="s">
        <v>600</v>
      </c>
      <c r="B135" s="96" t="str" cm="1">
        <f t="array" ref="B135">VLOOKUP(A135,'The List'!B1:D671,3,FALSE)</f>
        <v>LW,RW</v>
      </c>
      <c r="C135" s="97" cm="1">
        <f t="array" ref="C135">IF(Settings!$E$15="POINTS",RANK(E135,E3:E210),H135)</f>
        <v>153</v>
      </c>
      <c r="D135" s="18" t="str" cm="1">
        <f t="array" ref="D135">VLOOKUP(A135,'The List'!B1:F671,5,FALSE)</f>
        <v>S.J</v>
      </c>
      <c r="E135" s="55" cm="1">
        <f t="array" ref="E135">VLOOKUP(A135,'The List'!B1:I671,8,FALSE)</f>
        <v>-1.6670101965604309</v>
      </c>
      <c r="F135" s="55" cm="1">
        <f t="array" ref="F135">IF(Settings!$E$15="POINTS",E135-VLOOKUP(B$2,C1:E210,3,FALSE),J135)</f>
        <v>-8.554244798369508</v>
      </c>
      <c r="G135" s="55"/>
      <c r="H135" s="166" cm="1">
        <f t="array" ref="H135">RANK(I135,I3:I210)</f>
        <v>153</v>
      </c>
      <c r="I135" s="167" cm="1">
        <f t="array" ref="I135">VLOOKUP(A135,'Standard Deviations'!A1:C672,3,FALSE)</f>
        <v>-1.6670101965604309</v>
      </c>
      <c r="J135" s="167" cm="1">
        <f t="array" ref="J135">I135-VLOOKUP(B$2,H1:J210,2,FALSE)</f>
        <v>-8.554244798369508</v>
      </c>
    </row>
    <row r="136" spans="1:10" ht="21.25" customHeight="1" x14ac:dyDescent="0.15">
      <c r="A136" s="10" t="s">
        <v>601</v>
      </c>
      <c r="B136" s="96" t="str" cm="1">
        <f t="array" ref="B136">VLOOKUP(A136,'The List'!B1:D671,3,FALSE)</f>
        <v>LW,RW</v>
      </c>
      <c r="C136" s="97" cm="1">
        <f t="array" ref="C136">IF(Settings!$E$15="POINTS",RANK(E136,E3:E210),H136)</f>
        <v>142</v>
      </c>
      <c r="D136" s="18" t="str" cm="1">
        <f t="array" ref="D136">VLOOKUP(A136,'The List'!B1:F671,5,FALSE)</f>
        <v>ANA</v>
      </c>
      <c r="E136" s="55" cm="1">
        <f t="array" ref="E136">VLOOKUP(A136,'The List'!B1:I671,8,FALSE)</f>
        <v>-1.2081383921809659</v>
      </c>
      <c r="F136" s="55" cm="1">
        <f t="array" ref="F136">IF(Settings!$E$15="POINTS",E136-VLOOKUP(B$2,C1:E210,3,FALSE),J136)</f>
        <v>-8.0953729939900434</v>
      </c>
      <c r="G136" s="55"/>
      <c r="H136" s="166" cm="1">
        <f t="array" ref="H136">RANK(I136,I3:I210)</f>
        <v>142</v>
      </c>
      <c r="I136" s="167" cm="1">
        <f t="array" ref="I136">VLOOKUP(A136,'Standard Deviations'!A1:C672,3,FALSE)</f>
        <v>-1.2081383921809659</v>
      </c>
      <c r="J136" s="167" cm="1">
        <f t="array" ref="J136">I136-VLOOKUP(B$2,H1:J210,2,FALSE)</f>
        <v>-8.0953729939900434</v>
      </c>
    </row>
    <row r="137" spans="1:10" ht="21.25" customHeight="1" x14ac:dyDescent="0.15">
      <c r="A137" s="10" t="s">
        <v>603</v>
      </c>
      <c r="B137" s="96" t="str" cm="1">
        <f t="array" ref="B137">VLOOKUP(A137,'The List'!B1:D671,3,FALSE)</f>
        <v>LW,RW</v>
      </c>
      <c r="C137" s="97" cm="1">
        <f t="array" ref="C137">IF(Settings!$E$15="POINTS",RANK(E137,E3:E210),H137)</f>
        <v>80</v>
      </c>
      <c r="D137" s="18" t="str" cm="1">
        <f t="array" ref="D137">VLOOKUP(A137,'The List'!B1:F671,5,FALSE)</f>
        <v>OTT</v>
      </c>
      <c r="E137" s="55" cm="1">
        <f t="array" ref="E137">VLOOKUP(A137,'The List'!B1:I671,8,FALSE)</f>
        <v>1.8144933703892363</v>
      </c>
      <c r="F137" s="55" cm="1">
        <f t="array" ref="F137">IF(Settings!$E$15="POINTS",E137-VLOOKUP(B$2,C1:E210,3,FALSE),J137)</f>
        <v>-5.0727412314198412</v>
      </c>
      <c r="G137" s="55"/>
      <c r="H137" s="166" cm="1">
        <f t="array" ref="H137">RANK(I137,I3:I210)</f>
        <v>80</v>
      </c>
      <c r="I137" s="167" cm="1">
        <f t="array" ref="I137">VLOOKUP(A137,'Standard Deviations'!A1:C672,3,FALSE)</f>
        <v>1.8144933703892363</v>
      </c>
      <c r="J137" s="167" cm="1">
        <f t="array" ref="J137">I137-VLOOKUP(B$2,H1:J210,2,FALSE)</f>
        <v>-5.0727412314198412</v>
      </c>
    </row>
    <row r="138" spans="1:10" ht="21.25" customHeight="1" x14ac:dyDescent="0.15">
      <c r="A138" s="10" t="s">
        <v>606</v>
      </c>
      <c r="B138" s="96" t="str" cm="1">
        <f t="array" ref="B138">VLOOKUP(A138,'The List'!B1:D671,3,FALSE)</f>
        <v>C,LW,RW</v>
      </c>
      <c r="C138" s="97" cm="1">
        <f t="array" ref="C138">IF(Settings!$E$15="POINTS",RANK(E138,E3:E210),H138)</f>
        <v>174</v>
      </c>
      <c r="D138" s="18" t="str" cm="1">
        <f t="array" ref="D138">VLOOKUP(A138,'The List'!B1:F671,5,FALSE)</f>
        <v>CGY</v>
      </c>
      <c r="E138" s="55" cm="1">
        <f t="array" ref="E138">VLOOKUP(A138,'The List'!B1:I671,8,FALSE)</f>
        <v>-2.8241249987362189</v>
      </c>
      <c r="F138" s="55" cm="1">
        <f t="array" ref="F138">IF(Settings!$E$15="POINTS",E138-VLOOKUP(B$2,C1:E210,3,FALSE),J138)</f>
        <v>-9.7113596005452969</v>
      </c>
      <c r="G138" s="55"/>
      <c r="H138" s="166" cm="1">
        <f t="array" ref="H138">RANK(I138,I3:I210)</f>
        <v>174</v>
      </c>
      <c r="I138" s="167" cm="1">
        <f t="array" ref="I138">VLOOKUP(A138,'Standard Deviations'!A1:C672,3,FALSE)</f>
        <v>-2.8241249987362189</v>
      </c>
      <c r="J138" s="167" cm="1">
        <f t="array" ref="J138">I138-VLOOKUP(B$2,H1:J210,2,FALSE)</f>
        <v>-9.7113596005452969</v>
      </c>
    </row>
    <row r="139" spans="1:10" ht="21.25" customHeight="1" x14ac:dyDescent="0.15">
      <c r="A139" s="10" t="s">
        <v>609</v>
      </c>
      <c r="B139" s="96" t="str" cm="1">
        <f t="array" ref="B139">VLOOKUP(A139,'The List'!B1:D671,3,FALSE)</f>
        <v>LW,RW</v>
      </c>
      <c r="C139" s="97" cm="1">
        <f t="array" ref="C139">IF(Settings!$E$15="POINTS",RANK(E139,E3:E210),H139)</f>
        <v>128</v>
      </c>
      <c r="D139" s="18" t="str" cm="1">
        <f t="array" ref="D139">VLOOKUP(A139,'The List'!B1:F671,5,FALSE)</f>
        <v>CBJ</v>
      </c>
      <c r="E139" s="55" cm="1">
        <f t="array" ref="E139">VLOOKUP(A139,'The List'!B1:I671,8,FALSE)</f>
        <v>-0.74485413039234549</v>
      </c>
      <c r="F139" s="55" cm="1">
        <f t="array" ref="F139">IF(Settings!$E$15="POINTS",E139-VLOOKUP(B$2,C1:E210,3,FALSE),J139)</f>
        <v>-7.6320887322014226</v>
      </c>
      <c r="G139" s="55"/>
      <c r="H139" s="166" cm="1">
        <f t="array" ref="H139">RANK(I139,I3:I210)</f>
        <v>128</v>
      </c>
      <c r="I139" s="167" cm="1">
        <f t="array" ref="I139">VLOOKUP(A139,'Standard Deviations'!A1:C672,3,FALSE)</f>
        <v>-0.74485413039234549</v>
      </c>
      <c r="J139" s="167" cm="1">
        <f t="array" ref="J139">I139-VLOOKUP(B$2,H1:J210,2,FALSE)</f>
        <v>-7.6320887322014226</v>
      </c>
    </row>
    <row r="140" spans="1:10" ht="21.25" customHeight="1" x14ac:dyDescent="0.15">
      <c r="A140" s="10" t="s">
        <v>616</v>
      </c>
      <c r="B140" s="96" t="str" cm="1">
        <f t="array" ref="B140">VLOOKUP(A140,'The List'!B1:D671,3,FALSE)</f>
        <v>C,LW,RW</v>
      </c>
      <c r="C140" s="97" cm="1">
        <f t="array" ref="C140">IF(Settings!$E$15="POINTS",RANK(E140,E3:E210),H140)</f>
        <v>125</v>
      </c>
      <c r="D140" s="18" t="str" cm="1">
        <f t="array" ref="D140">VLOOKUP(A140,'The List'!B1:F671,5,FALSE)</f>
        <v>N.J</v>
      </c>
      <c r="E140" s="55" cm="1">
        <f t="array" ref="E140">VLOOKUP(A140,'The List'!B1:I671,8,FALSE)</f>
        <v>-0.64661283149079551</v>
      </c>
      <c r="F140" s="55" cm="1">
        <f t="array" ref="F140">IF(Settings!$E$15="POINTS",E140-VLOOKUP(B$2,C1:E210,3,FALSE),J140)</f>
        <v>-7.5338474332998731</v>
      </c>
      <c r="G140" s="55"/>
      <c r="H140" s="166" cm="1">
        <f t="array" ref="H140">RANK(I140,I3:I210)</f>
        <v>125</v>
      </c>
      <c r="I140" s="167" cm="1">
        <f t="array" ref="I140">VLOOKUP(A140,'Standard Deviations'!A1:C672,3,FALSE)</f>
        <v>-0.64661283149079551</v>
      </c>
      <c r="J140" s="167" cm="1">
        <f t="array" ref="J140">I140-VLOOKUP(B$2,H1:J210,2,FALSE)</f>
        <v>-7.5338474332998731</v>
      </c>
    </row>
    <row r="141" spans="1:10" ht="21.25" customHeight="1" x14ac:dyDescent="0.15">
      <c r="A141" s="10" t="s">
        <v>617</v>
      </c>
      <c r="B141" s="96" t="str" cm="1">
        <f t="array" ref="B141">VLOOKUP(A141,'The List'!B1:D671,3,FALSE)</f>
        <v>C,RW</v>
      </c>
      <c r="C141" s="97" cm="1">
        <f t="array" ref="C141">IF(Settings!$E$15="POINTS",RANK(E141,E3:E210),H141)</f>
        <v>202</v>
      </c>
      <c r="D141" s="18" t="str" cm="1">
        <f t="array" ref="D141">VLOOKUP(A141,'The List'!B1:F671,5,FALSE)</f>
        <v>CHI</v>
      </c>
      <c r="E141" s="55" cm="1">
        <f t="array" ref="E141">VLOOKUP(A141,'The List'!B1:I671,8,FALSE)</f>
        <v>-4.5172099715601881</v>
      </c>
      <c r="F141" s="55" cm="1">
        <f t="array" ref="F141">IF(Settings!$E$15="POINTS",E141-VLOOKUP(B$2,C1:E210,3,FALSE),J141)</f>
        <v>-11.404444573369265</v>
      </c>
      <c r="G141" s="55"/>
      <c r="H141" s="166" cm="1">
        <f t="array" ref="H141">RANK(I141,I3:I210)</f>
        <v>202</v>
      </c>
      <c r="I141" s="167" cm="1">
        <f t="array" ref="I141">VLOOKUP(A141,'Standard Deviations'!A1:C672,3,FALSE)</f>
        <v>-4.5172099715601881</v>
      </c>
      <c r="J141" s="167" cm="1">
        <f t="array" ref="J141">I141-VLOOKUP(B$2,H1:J210,2,FALSE)</f>
        <v>-11.404444573369265</v>
      </c>
    </row>
    <row r="142" spans="1:10" ht="21.25" customHeight="1" x14ac:dyDescent="0.15">
      <c r="A142" s="10" t="s">
        <v>618</v>
      </c>
      <c r="B142" s="96" t="str" cm="1">
        <f t="array" ref="B142">VLOOKUP(A142,'The List'!B1:D671,3,FALSE)</f>
        <v>RW</v>
      </c>
      <c r="C142" s="97" cm="1">
        <f t="array" ref="C142">IF(Settings!$E$15="POINTS",RANK(E142,E3:E210),H142)</f>
        <v>167</v>
      </c>
      <c r="D142" s="18" t="str" cm="1">
        <f t="array" ref="D142">VLOOKUP(A142,'The List'!B1:F671,5,FALSE)</f>
        <v>VAN</v>
      </c>
      <c r="E142" s="55" cm="1">
        <f t="array" ref="E142">VLOOKUP(A142,'The List'!B1:I671,8,FALSE)</f>
        <v>-2.3291493433084089</v>
      </c>
      <c r="F142" s="55" cm="1">
        <f t="array" ref="F142">IF(Settings!$E$15="POINTS",E142-VLOOKUP(B$2,C1:E210,3,FALSE),J142)</f>
        <v>-9.2163839451174869</v>
      </c>
      <c r="G142" s="55"/>
      <c r="H142" s="166" cm="1">
        <f t="array" ref="H142">RANK(I142,I3:I210)</f>
        <v>167</v>
      </c>
      <c r="I142" s="167" cm="1">
        <f t="array" ref="I142">VLOOKUP(A142,'Standard Deviations'!A1:C672,3,FALSE)</f>
        <v>-2.3291493433084089</v>
      </c>
      <c r="J142" s="167" cm="1">
        <f t="array" ref="J142">I142-VLOOKUP(B$2,H1:J210,2,FALSE)</f>
        <v>-9.2163839451174869</v>
      </c>
    </row>
    <row r="143" spans="1:10" ht="21.25" customHeight="1" x14ac:dyDescent="0.15">
      <c r="A143" s="10" t="s">
        <v>621</v>
      </c>
      <c r="B143" s="96" t="str" cm="1">
        <f t="array" ref="B143">VLOOKUP(A143,'The List'!B1:D671,3,FALSE)</f>
        <v>LW,RW</v>
      </c>
      <c r="C143" s="97" cm="1">
        <f t="array" ref="C143">IF(Settings!$E$15="POINTS",RANK(E143,E3:E210),H143)</f>
        <v>137</v>
      </c>
      <c r="D143" s="18" t="str" cm="1">
        <f t="array" ref="D143">VLOOKUP(A143,'The List'!B1:F671,5,FALSE)</f>
        <v>OTT</v>
      </c>
      <c r="E143" s="55" cm="1">
        <f t="array" ref="E143">VLOOKUP(A143,'The List'!B1:I671,8,FALSE)</f>
        <v>-1.0519437435226986</v>
      </c>
      <c r="F143" s="55" cm="1">
        <f t="array" ref="F143">IF(Settings!$E$15="POINTS",E143-VLOOKUP(B$2,C1:E210,3,FALSE),J143)</f>
        <v>-7.9391783453317757</v>
      </c>
      <c r="G143" s="55"/>
      <c r="H143" s="166" cm="1">
        <f t="array" ref="H143">RANK(I143,I3:I210)</f>
        <v>137</v>
      </c>
      <c r="I143" s="167" cm="1">
        <f t="array" ref="I143">VLOOKUP(A143,'Standard Deviations'!A1:C672,3,FALSE)</f>
        <v>-1.0519437435226986</v>
      </c>
      <c r="J143" s="167" cm="1">
        <f t="array" ref="J143">I143-VLOOKUP(B$2,H1:J210,2,FALSE)</f>
        <v>-7.9391783453317757</v>
      </c>
    </row>
    <row r="144" spans="1:10" ht="21.25" customHeight="1" x14ac:dyDescent="0.15">
      <c r="A144" s="10" t="s">
        <v>622</v>
      </c>
      <c r="B144" s="96" t="str" cm="1">
        <f t="array" ref="B144">VLOOKUP(A144,'The List'!B1:D671,3,FALSE)</f>
        <v>C,LW,RW</v>
      </c>
      <c r="C144" s="97" cm="1">
        <f t="array" ref="C144">IF(Settings!$E$15="POINTS",RANK(E144,E3:E210),H144)</f>
        <v>162</v>
      </c>
      <c r="D144" s="18" t="str" cm="1">
        <f t="array" ref="D144">VLOOKUP(A144,'The List'!B1:F671,5,FALSE)</f>
        <v>CHI</v>
      </c>
      <c r="E144" s="55" cm="1">
        <f t="array" ref="E144">VLOOKUP(A144,'The List'!B1:I671,8,FALSE)</f>
        <v>-2.1597569642769132</v>
      </c>
      <c r="F144" s="55" cm="1">
        <f t="array" ref="F144">IF(Settings!$E$15="POINTS",E144-VLOOKUP(B$2,C1:E210,3,FALSE),J144)</f>
        <v>-9.0469915660859908</v>
      </c>
      <c r="G144" s="55"/>
      <c r="H144" s="166" cm="1">
        <f t="array" ref="H144">RANK(I144,I3:I210)</f>
        <v>162</v>
      </c>
      <c r="I144" s="167" cm="1">
        <f t="array" ref="I144">VLOOKUP(A144,'Standard Deviations'!A1:C672,3,FALSE)</f>
        <v>-2.1597569642769132</v>
      </c>
      <c r="J144" s="167" cm="1">
        <f t="array" ref="J144">I144-VLOOKUP(B$2,H1:J210,2,FALSE)</f>
        <v>-9.0469915660859908</v>
      </c>
    </row>
    <row r="145" spans="1:10" ht="21.25" customHeight="1" x14ac:dyDescent="0.15">
      <c r="A145" s="10" t="s">
        <v>627</v>
      </c>
      <c r="B145" s="96" t="str" cm="1">
        <f t="array" ref="B145">VLOOKUP(A145,'The List'!B1:D671,3,FALSE)</f>
        <v>LW,RW</v>
      </c>
      <c r="C145" s="97" cm="1">
        <f t="array" ref="C145">IF(Settings!$E$15="POINTS",RANK(E145,E3:E210),H145)</f>
        <v>133</v>
      </c>
      <c r="D145" s="18" t="str" cm="1">
        <f t="array" ref="D145">VLOOKUP(A145,'The List'!B1:F671,5,FALSE)</f>
        <v>OTT</v>
      </c>
      <c r="E145" s="55" cm="1">
        <f t="array" ref="E145">VLOOKUP(A145,'The List'!B1:I671,8,FALSE)</f>
        <v>-0.99025770759389942</v>
      </c>
      <c r="F145" s="55" cm="1">
        <f t="array" ref="F145">IF(Settings!$E$15="POINTS",E145-VLOOKUP(B$2,C1:E210,3,FALSE),J145)</f>
        <v>-7.8774923094029772</v>
      </c>
      <c r="G145" s="55"/>
      <c r="H145" s="166" cm="1">
        <f t="array" ref="H145">RANK(I145,I3:I210)</f>
        <v>133</v>
      </c>
      <c r="I145" s="167" cm="1">
        <f t="array" ref="I145">VLOOKUP(A145,'Standard Deviations'!A1:C672,3,FALSE)</f>
        <v>-0.99025770759389942</v>
      </c>
      <c r="J145" s="167" cm="1">
        <f t="array" ref="J145">I145-VLOOKUP(B$2,H1:J210,2,FALSE)</f>
        <v>-7.8774923094029772</v>
      </c>
    </row>
    <row r="146" spans="1:10" ht="21.25" customHeight="1" x14ac:dyDescent="0.15">
      <c r="A146" s="10" t="s">
        <v>634</v>
      </c>
      <c r="B146" s="96" t="str" cm="1">
        <f t="array" ref="B146">VLOOKUP(A146,'The List'!B1:D671,3,FALSE)</f>
        <v>LW,RW</v>
      </c>
      <c r="C146" s="97" cm="1">
        <f t="array" ref="C146">IF(Settings!$E$15="POINTS",RANK(E146,E3:E210),H146)</f>
        <v>111</v>
      </c>
      <c r="D146" s="18" t="str" cm="1">
        <f t="array" ref="D146">VLOOKUP(A146,'The List'!B1:F671,5,FALSE)</f>
        <v>CAR</v>
      </c>
      <c r="E146" s="55" cm="1">
        <f t="array" ref="E146">VLOOKUP(A146,'The List'!B1:I671,8,FALSE)</f>
        <v>-5.7966698950750795E-2</v>
      </c>
      <c r="F146" s="55" cm="1">
        <f t="array" ref="F146">IF(Settings!$E$15="POINTS",E146-VLOOKUP(B$2,C1:E210,3,FALSE),J146)</f>
        <v>-6.9452013007598286</v>
      </c>
      <c r="G146" s="55"/>
      <c r="H146" s="166" cm="1">
        <f t="array" ref="H146">RANK(I146,I3:I210)</f>
        <v>111</v>
      </c>
      <c r="I146" s="167" cm="1">
        <f t="array" ref="I146">VLOOKUP(A146,'Standard Deviations'!A1:C672,3,FALSE)</f>
        <v>-5.7966698950750795E-2</v>
      </c>
      <c r="J146" s="167" cm="1">
        <f t="array" ref="J146">I146-VLOOKUP(B$2,H1:J210,2,FALSE)</f>
        <v>-6.9452013007598286</v>
      </c>
    </row>
    <row r="147" spans="1:10" ht="21.25" customHeight="1" x14ac:dyDescent="0.15">
      <c r="A147" s="10" t="s">
        <v>642</v>
      </c>
      <c r="B147" s="96" t="str" cm="1">
        <f t="array" ref="B147">VLOOKUP(A147,'The List'!B1:D671,3,FALSE)</f>
        <v>C,RW</v>
      </c>
      <c r="C147" s="97" cm="1">
        <f t="array" ref="C147">IF(Settings!$E$15="POINTS",RANK(E147,E3:E210),H147)</f>
        <v>140</v>
      </c>
      <c r="D147" s="18" t="str" cm="1">
        <f t="array" ref="D147">VLOOKUP(A147,'The List'!B1:F671,5,FALSE)</f>
        <v>MIN</v>
      </c>
      <c r="E147" s="55" cm="1">
        <f t="array" ref="E147">VLOOKUP(A147,'The List'!B1:I671,8,FALSE)</f>
        <v>-1.1810132525968216</v>
      </c>
      <c r="F147" s="55" cm="1">
        <f t="array" ref="F147">IF(Settings!$E$15="POINTS",E147-VLOOKUP(B$2,C1:E210,3,FALSE),J147)</f>
        <v>-8.0682478544058984</v>
      </c>
      <c r="G147" s="55"/>
      <c r="H147" s="166" cm="1">
        <f t="array" ref="H147">RANK(I147,I3:I210)</f>
        <v>140</v>
      </c>
      <c r="I147" s="167" cm="1">
        <f t="array" ref="I147">VLOOKUP(A147,'Standard Deviations'!A1:C672,3,FALSE)</f>
        <v>-1.1810132525968216</v>
      </c>
      <c r="J147" s="167" cm="1">
        <f t="array" ref="J147">I147-VLOOKUP(B$2,H1:J210,2,FALSE)</f>
        <v>-8.0682478544058984</v>
      </c>
    </row>
    <row r="148" spans="1:10" ht="21.25" customHeight="1" x14ac:dyDescent="0.15">
      <c r="A148" s="10" t="s">
        <v>643</v>
      </c>
      <c r="B148" s="96" t="str" cm="1">
        <f t="array" ref="B148">VLOOKUP(A148,'The List'!B1:D671,3,FALSE)</f>
        <v>RW</v>
      </c>
      <c r="C148" s="97" cm="1">
        <f t="array" ref="C148">IF(Settings!$E$15="POINTS",RANK(E148,E3:E210),H148)</f>
        <v>77</v>
      </c>
      <c r="D148" s="18" t="str" cm="1">
        <f t="array" ref="D148">VLOOKUP(A148,'The List'!B1:F671,5,FALSE)</f>
        <v>CBJ</v>
      </c>
      <c r="E148" s="55" cm="1">
        <f t="array" ref="E148">VLOOKUP(A148,'The List'!B1:I671,8,FALSE)</f>
        <v>1.9590169311411303</v>
      </c>
      <c r="F148" s="55" cm="1">
        <f t="array" ref="F148">IF(Settings!$E$15="POINTS",E148-VLOOKUP(B$2,C1:E210,3,FALSE),J148)</f>
        <v>-4.928217670667947</v>
      </c>
      <c r="G148" s="55"/>
      <c r="H148" s="166" cm="1">
        <f t="array" ref="H148">RANK(I148,I3:I210)</f>
        <v>77</v>
      </c>
      <c r="I148" s="167" cm="1">
        <f t="array" ref="I148">VLOOKUP(A148,'Standard Deviations'!A1:C672,3,FALSE)</f>
        <v>1.9590169311411303</v>
      </c>
      <c r="J148" s="167" cm="1">
        <f t="array" ref="J148">I148-VLOOKUP(B$2,H1:J210,2,FALSE)</f>
        <v>-4.928217670667947</v>
      </c>
    </row>
    <row r="149" spans="1:10" ht="21.25" customHeight="1" x14ac:dyDescent="0.15">
      <c r="A149" s="10" t="s">
        <v>645</v>
      </c>
      <c r="B149" s="96" t="str" cm="1">
        <f t="array" ref="B149">VLOOKUP(A149,'The List'!B1:D671,3,FALSE)</f>
        <v>LW,RW</v>
      </c>
      <c r="C149" s="97" cm="1">
        <f t="array" ref="C149">IF(Settings!$E$15="POINTS",RANK(E149,E3:E210),H149)</f>
        <v>145</v>
      </c>
      <c r="D149" s="18" t="str" cm="1">
        <f t="array" ref="D149">VLOOKUP(A149,'The List'!B1:F671,5,FALSE)</f>
        <v>VGK</v>
      </c>
      <c r="E149" s="55" cm="1">
        <f t="array" ref="E149">VLOOKUP(A149,'The List'!B1:I671,8,FALSE)</f>
        <v>-1.2575447680183016</v>
      </c>
      <c r="F149" s="55" cm="1">
        <f t="array" ref="F149">IF(Settings!$E$15="POINTS",E149-VLOOKUP(B$2,C1:E210,3,FALSE),J149)</f>
        <v>-8.1447793698273792</v>
      </c>
      <c r="G149" s="55"/>
      <c r="H149" s="166" cm="1">
        <f t="array" ref="H149">RANK(I149,I3:I210)</f>
        <v>145</v>
      </c>
      <c r="I149" s="167" cm="1">
        <f t="array" ref="I149">VLOOKUP(A149,'Standard Deviations'!A1:C672,3,FALSE)</f>
        <v>-1.2575447680183016</v>
      </c>
      <c r="J149" s="167" cm="1">
        <f t="array" ref="J149">I149-VLOOKUP(B$2,H1:J210,2,FALSE)</f>
        <v>-8.1447793698273792</v>
      </c>
    </row>
    <row r="150" spans="1:10" ht="21.25" customHeight="1" x14ac:dyDescent="0.15">
      <c r="A150" s="10" t="s">
        <v>649</v>
      </c>
      <c r="B150" s="96" t="str" cm="1">
        <f t="array" ref="B150">VLOOKUP(A150,'The List'!B1:D671,3,FALSE)</f>
        <v>LW,RW</v>
      </c>
      <c r="C150" s="97" cm="1">
        <f t="array" ref="C150">IF(Settings!$E$15="POINTS",RANK(E150,E3:E210),H150)</f>
        <v>123</v>
      </c>
      <c r="D150" s="18" t="str" cm="1">
        <f t="array" ref="D150">VLOOKUP(A150,'The List'!B1:F671,5,FALSE)</f>
        <v>T.B</v>
      </c>
      <c r="E150" s="55" cm="1">
        <f t="array" ref="E150">VLOOKUP(A150,'The List'!B1:I671,8,FALSE)</f>
        <v>-0.63208882888598561</v>
      </c>
      <c r="F150" s="55" cm="1">
        <f t="array" ref="F150">IF(Settings!$E$15="POINTS",E150-VLOOKUP(B$2,C1:E210,3,FALSE),J150)</f>
        <v>-7.5193234306950636</v>
      </c>
      <c r="G150" s="55"/>
      <c r="H150" s="166" cm="1">
        <f t="array" ref="H150">RANK(I150,I3:I210)</f>
        <v>123</v>
      </c>
      <c r="I150" s="167" cm="1">
        <f t="array" ref="I150">VLOOKUP(A150,'Standard Deviations'!A1:C672,3,FALSE)</f>
        <v>-0.63208882888598561</v>
      </c>
      <c r="J150" s="167" cm="1">
        <f t="array" ref="J150">I150-VLOOKUP(B$2,H1:J210,2,FALSE)</f>
        <v>-7.5193234306950636</v>
      </c>
    </row>
    <row r="151" spans="1:10" ht="21.25" customHeight="1" x14ac:dyDescent="0.15">
      <c r="A151" s="10" t="s">
        <v>654</v>
      </c>
      <c r="B151" s="96" t="str" cm="1">
        <f t="array" ref="B151">VLOOKUP(A151,'The List'!B1:D671,3,FALSE)</f>
        <v>RW</v>
      </c>
      <c r="C151" s="97" cm="1">
        <f t="array" ref="C151">IF(Settings!$E$15="POINTS",RANK(E151,E3:E210),H151)</f>
        <v>150</v>
      </c>
      <c r="D151" s="18" t="str" cm="1">
        <f t="array" ref="D151">VLOOKUP(A151,'The List'!B1:F671,5,FALSE)</f>
        <v>PIT</v>
      </c>
      <c r="E151" s="55" cm="1">
        <f t="array" ref="E151">VLOOKUP(A151,'The List'!B1:I671,8,FALSE)</f>
        <v>-1.5587072618623365</v>
      </c>
      <c r="F151" s="55" cm="1">
        <f t="array" ref="F151">IF(Settings!$E$15="POINTS",E151-VLOOKUP(B$2,C1:E210,3,FALSE),J151)</f>
        <v>-8.4459418636714148</v>
      </c>
      <c r="G151" s="55"/>
      <c r="H151" s="166" cm="1">
        <f t="array" ref="H151">RANK(I151,I3:I210)</f>
        <v>150</v>
      </c>
      <c r="I151" s="167" cm="1">
        <f t="array" ref="I151">VLOOKUP(A151,'Standard Deviations'!A1:C672,3,FALSE)</f>
        <v>-1.5587072618623365</v>
      </c>
      <c r="J151" s="167" cm="1">
        <f t="array" ref="J151">I151-VLOOKUP(B$2,H1:J210,2,FALSE)</f>
        <v>-8.4459418636714148</v>
      </c>
    </row>
    <row r="152" spans="1:10" ht="21.25" customHeight="1" x14ac:dyDescent="0.15">
      <c r="A152" s="10" t="s">
        <v>664</v>
      </c>
      <c r="B152" s="96" t="str" cm="1">
        <f t="array" ref="B152">VLOOKUP(A152,'The List'!B1:D671,3,FALSE)</f>
        <v>C,RW</v>
      </c>
      <c r="C152" s="97" cm="1">
        <f t="array" ref="C152">IF(Settings!$E$15="POINTS",RANK(E152,E3:E210),H152)</f>
        <v>132</v>
      </c>
      <c r="D152" s="18" t="str" cm="1">
        <f t="array" ref="D152">VLOOKUP(A152,'The List'!B1:F671,5,FALSE)</f>
        <v>COL</v>
      </c>
      <c r="E152" s="55" cm="1">
        <f t="array" ref="E152">VLOOKUP(A152,'The List'!B1:I671,8,FALSE)</f>
        <v>-0.9511738264205809</v>
      </c>
      <c r="F152" s="55" cm="1">
        <f t="array" ref="F152">IF(Settings!$E$15="POINTS",E152-VLOOKUP(B$2,C1:E210,3,FALSE),J152)</f>
        <v>-7.8384084282296582</v>
      </c>
      <c r="G152" s="55"/>
      <c r="H152" s="166" cm="1">
        <f t="array" ref="H152">RANK(I152,I3:I210)</f>
        <v>132</v>
      </c>
      <c r="I152" s="167" cm="1">
        <f t="array" ref="I152">VLOOKUP(A152,'Standard Deviations'!A1:C672,3,FALSE)</f>
        <v>-0.9511738264205809</v>
      </c>
      <c r="J152" s="167" cm="1">
        <f t="array" ref="J152">I152-VLOOKUP(B$2,H1:J210,2,FALSE)</f>
        <v>-7.8384084282296582</v>
      </c>
    </row>
    <row r="153" spans="1:10" ht="21.25" customHeight="1" x14ac:dyDescent="0.15">
      <c r="A153" s="10" t="s">
        <v>666</v>
      </c>
      <c r="B153" s="96" t="str" cm="1">
        <f t="array" ref="B153">VLOOKUP(A153,'The List'!B1:D671,3,FALSE)</f>
        <v>C,RW</v>
      </c>
      <c r="C153" s="97" cm="1">
        <f t="array" ref="C153">IF(Settings!$E$15="POINTS",RANK(E153,E3:E210),H153)</f>
        <v>182</v>
      </c>
      <c r="D153" s="18" t="str" cm="1">
        <f t="array" ref="D153">VLOOKUP(A153,'The List'!B1:F671,5,FALSE)</f>
        <v>N.J</v>
      </c>
      <c r="E153" s="55" cm="1">
        <f t="array" ref="E153">VLOOKUP(A153,'The List'!B1:I671,8,FALSE)</f>
        <v>-3.1341786946669719</v>
      </c>
      <c r="F153" s="55" cm="1">
        <f t="array" ref="F153">IF(Settings!$E$15="POINTS",E153-VLOOKUP(B$2,C1:E210,3,FALSE),J153)</f>
        <v>-10.02141329647605</v>
      </c>
      <c r="G153" s="55"/>
      <c r="H153" s="166" cm="1">
        <f t="array" ref="H153">RANK(I153,I3:I210)</f>
        <v>182</v>
      </c>
      <c r="I153" s="167" cm="1">
        <f t="array" ref="I153">VLOOKUP(A153,'Standard Deviations'!A1:C672,3,FALSE)</f>
        <v>-3.1341786946669719</v>
      </c>
      <c r="J153" s="167" cm="1">
        <f t="array" ref="J153">I153-VLOOKUP(B$2,H1:J210,2,FALSE)</f>
        <v>-10.02141329647605</v>
      </c>
    </row>
    <row r="154" spans="1:10" ht="21.25" customHeight="1" x14ac:dyDescent="0.15">
      <c r="A154" s="10" t="s">
        <v>671</v>
      </c>
      <c r="B154" s="96" t="str" cm="1">
        <f t="array" ref="B154">VLOOKUP(A154,'The List'!B1:D671,3,FALSE)</f>
        <v>LW,RW</v>
      </c>
      <c r="C154" s="97" cm="1">
        <f t="array" ref="C154">IF(Settings!$E$15="POINTS",RANK(E154,E3:E210),H154)</f>
        <v>154</v>
      </c>
      <c r="D154" s="18" t="str" cm="1">
        <f t="array" ref="D154">VLOOKUP(A154,'The List'!B1:F671,5,FALSE)</f>
        <v>MTL</v>
      </c>
      <c r="E154" s="55" cm="1">
        <f t="array" ref="E154">VLOOKUP(A154,'The List'!B1:I671,8,FALSE)</f>
        <v>-1.7036081245795029</v>
      </c>
      <c r="F154" s="55" cm="1">
        <f t="array" ref="F154">IF(Settings!$E$15="POINTS",E154-VLOOKUP(B$2,C1:E210,3,FALSE),J154)</f>
        <v>-8.5908427263885798</v>
      </c>
      <c r="G154" s="55"/>
      <c r="H154" s="166" cm="1">
        <f t="array" ref="H154">RANK(I154,I3:I210)</f>
        <v>154</v>
      </c>
      <c r="I154" s="167" cm="1">
        <f t="array" ref="I154">VLOOKUP(A154,'Standard Deviations'!A1:C672,3,FALSE)</f>
        <v>-1.7036081245795029</v>
      </c>
      <c r="J154" s="167" cm="1">
        <f t="array" ref="J154">I154-VLOOKUP(B$2,H1:J210,2,FALSE)</f>
        <v>-8.5908427263885798</v>
      </c>
    </row>
    <row r="155" spans="1:10" ht="21.25" customHeight="1" x14ac:dyDescent="0.15">
      <c r="A155" s="10" t="s">
        <v>672</v>
      </c>
      <c r="B155" s="96" t="str" cm="1">
        <f t="array" ref="B155">VLOOKUP(A155,'The List'!B1:D671,3,FALSE)</f>
        <v>C,RW</v>
      </c>
      <c r="C155" s="97" cm="1">
        <f t="array" ref="C155">IF(Settings!$E$15="POINTS",RANK(E155,E3:E210),H155)</f>
        <v>158</v>
      </c>
      <c r="D155" s="18" t="str" cm="1">
        <f t="array" ref="D155">VLOOKUP(A155,'The List'!B1:F671,5,FALSE)</f>
        <v>MTL</v>
      </c>
      <c r="E155" s="55" cm="1">
        <f t="array" ref="E155">VLOOKUP(A155,'The List'!B1:I671,8,FALSE)</f>
        <v>-1.8102459853513537</v>
      </c>
      <c r="F155" s="55" cm="1">
        <f t="array" ref="F155">IF(Settings!$E$15="POINTS",E155-VLOOKUP(B$2,C1:E210,3,FALSE),J155)</f>
        <v>-8.697480587160431</v>
      </c>
      <c r="G155" s="55"/>
      <c r="H155" s="166" cm="1">
        <f t="array" ref="H155">RANK(I155,I3:I210)</f>
        <v>158</v>
      </c>
      <c r="I155" s="167" cm="1">
        <f t="array" ref="I155">VLOOKUP(A155,'Standard Deviations'!A1:C672,3,FALSE)</f>
        <v>-1.8102459853513537</v>
      </c>
      <c r="J155" s="167" cm="1">
        <f t="array" ref="J155">I155-VLOOKUP(B$2,H1:J210,2,FALSE)</f>
        <v>-8.697480587160431</v>
      </c>
    </row>
    <row r="156" spans="1:10" ht="21.25" customHeight="1" x14ac:dyDescent="0.15">
      <c r="A156" s="10" t="s">
        <v>674</v>
      </c>
      <c r="B156" s="96" t="str" cm="1">
        <f t="array" ref="B156">VLOOKUP(A156,'The List'!B1:D671,3,FALSE)</f>
        <v>C,RW</v>
      </c>
      <c r="C156" s="97" cm="1">
        <f t="array" ref="C156">IF(Settings!$E$15="POINTS",RANK(E156,E3:E210),H156)</f>
        <v>141</v>
      </c>
      <c r="D156" s="18" t="str" cm="1">
        <f t="array" ref="D156">VLOOKUP(A156,'The List'!B1:F671,5,FALSE)</f>
        <v>WSH</v>
      </c>
      <c r="E156" s="55" cm="1">
        <f t="array" ref="E156">VLOOKUP(A156,'The List'!B1:I671,8,FALSE)</f>
        <v>-1.1902907480935121</v>
      </c>
      <c r="F156" s="55" cm="1">
        <f t="array" ref="F156">IF(Settings!$E$15="POINTS",E156-VLOOKUP(B$2,C1:E210,3,FALSE),J156)</f>
        <v>-8.0775253499025901</v>
      </c>
      <c r="G156" s="55"/>
      <c r="H156" s="166" cm="1">
        <f t="array" ref="H156">RANK(I156,I3:I210)</f>
        <v>141</v>
      </c>
      <c r="I156" s="167" cm="1">
        <f t="array" ref="I156">VLOOKUP(A156,'Standard Deviations'!A1:C672,3,FALSE)</f>
        <v>-1.1902907480935121</v>
      </c>
      <c r="J156" s="167" cm="1">
        <f t="array" ref="J156">I156-VLOOKUP(B$2,H1:J210,2,FALSE)</f>
        <v>-8.0775253499025901</v>
      </c>
    </row>
    <row r="157" spans="1:10" ht="21.25" customHeight="1" x14ac:dyDescent="0.15">
      <c r="A157" s="10" t="s">
        <v>675</v>
      </c>
      <c r="B157" s="96" t="str" cm="1">
        <f t="array" ref="B157">VLOOKUP(A157,'The List'!B1:D671,3,FALSE)</f>
        <v>LW,RW</v>
      </c>
      <c r="C157" s="97" cm="1">
        <f t="array" ref="C157">IF(Settings!$E$15="POINTS",RANK(E157,E3:E210),H157)</f>
        <v>173</v>
      </c>
      <c r="D157" s="18" t="str" cm="1">
        <f t="array" ref="D157">VLOOKUP(A157,'The List'!B1:F671,5,FALSE)</f>
        <v>VGK</v>
      </c>
      <c r="E157" s="55" cm="1">
        <f t="array" ref="E157">VLOOKUP(A157,'The List'!B1:I671,8,FALSE)</f>
        <v>-2.7957597946804449</v>
      </c>
      <c r="F157" s="55" cm="1">
        <f t="array" ref="F157">IF(Settings!$E$15="POINTS",E157-VLOOKUP(B$2,C1:E210,3,FALSE),J157)</f>
        <v>-9.6829943964895229</v>
      </c>
      <c r="G157" s="55"/>
      <c r="H157" s="166" cm="1">
        <f t="array" ref="H157">RANK(I157,I3:I210)</f>
        <v>173</v>
      </c>
      <c r="I157" s="167" cm="1">
        <f t="array" ref="I157">VLOOKUP(A157,'Standard Deviations'!A1:C672,3,FALSE)</f>
        <v>-2.7957597946804449</v>
      </c>
      <c r="J157" s="167" cm="1">
        <f t="array" ref="J157">I157-VLOOKUP(B$2,H1:J210,2,FALSE)</f>
        <v>-9.6829943964895229</v>
      </c>
    </row>
    <row r="158" spans="1:10" ht="21.25" customHeight="1" x14ac:dyDescent="0.15">
      <c r="A158" s="10" t="s">
        <v>678</v>
      </c>
      <c r="B158" s="96" t="str" cm="1">
        <f t="array" ref="B158">VLOOKUP(A158,'The List'!B1:D671,3,FALSE)</f>
        <v>C,RW</v>
      </c>
      <c r="C158" s="97" cm="1">
        <f t="array" ref="C158">IF(Settings!$E$15="POINTS",RANK(E158,E3:E210),H158)</f>
        <v>208</v>
      </c>
      <c r="D158" s="18" t="str" cm="1">
        <f t="array" ref="D158">VLOOKUP(A158,'The List'!B1:F671,5,FALSE)</f>
        <v>SEA</v>
      </c>
      <c r="E158" s="55" cm="1">
        <f t="array" ref="E158">VLOOKUP(A158,'The List'!B1:I671,8,FALSE)</f>
        <v>-5.6293011214189415</v>
      </c>
      <c r="F158" s="55" cm="1">
        <f t="array" ref="F158">IF(Settings!$E$15="POINTS",E158-VLOOKUP(B$2,C1:E210,3,FALSE),J158)</f>
        <v>-12.516535723228019</v>
      </c>
      <c r="G158" s="55"/>
      <c r="H158" s="166" cm="1">
        <f t="array" ref="H158">RANK(I158,I3:I210)</f>
        <v>208</v>
      </c>
      <c r="I158" s="167" cm="1">
        <f t="array" ref="I158">VLOOKUP(A158,'Standard Deviations'!A1:C672,3,FALSE)</f>
        <v>-5.6293011214189415</v>
      </c>
      <c r="J158" s="167" cm="1">
        <f t="array" ref="J158">I158-VLOOKUP(B$2,H1:J210,2,FALSE)</f>
        <v>-12.516535723228019</v>
      </c>
    </row>
    <row r="159" spans="1:10" ht="21.25" customHeight="1" x14ac:dyDescent="0.15">
      <c r="A159" s="10" t="s">
        <v>679</v>
      </c>
      <c r="B159" s="96" t="str" cm="1">
        <f t="array" ref="B159">VLOOKUP(A159,'The List'!B1:D671,3,FALSE)</f>
        <v>LW,RW</v>
      </c>
      <c r="C159" s="97" cm="1">
        <f t="array" ref="C159">IF(Settings!$E$15="POINTS",RANK(E159,E3:E210),H159)</f>
        <v>203</v>
      </c>
      <c r="D159" s="18" t="str" cm="1">
        <f t="array" ref="D159">VLOOKUP(A159,'The List'!B1:F671,5,FALSE)</f>
        <v>STL</v>
      </c>
      <c r="E159" s="55" cm="1">
        <f t="array" ref="E159">VLOOKUP(A159,'The List'!B1:I671,8,FALSE)</f>
        <v>-4.5401849625870749</v>
      </c>
      <c r="F159" s="55" cm="1">
        <f t="array" ref="F159">IF(Settings!$E$15="POINTS",E159-VLOOKUP(B$2,C1:E210,3,FALSE),J159)</f>
        <v>-11.427419564396153</v>
      </c>
      <c r="G159" s="55"/>
      <c r="H159" s="166" cm="1">
        <f t="array" ref="H159">RANK(I159,I3:I210)</f>
        <v>203</v>
      </c>
      <c r="I159" s="167" cm="1">
        <f t="array" ref="I159">VLOOKUP(A159,'Standard Deviations'!A1:C672,3,FALSE)</f>
        <v>-4.5401849625870749</v>
      </c>
      <c r="J159" s="167" cm="1">
        <f t="array" ref="J159">I159-VLOOKUP(B$2,H1:J210,2,FALSE)</f>
        <v>-11.427419564396153</v>
      </c>
    </row>
    <row r="160" spans="1:10" ht="21.25" customHeight="1" x14ac:dyDescent="0.15">
      <c r="A160" s="10" t="s">
        <v>680</v>
      </c>
      <c r="B160" s="96" t="str" cm="1">
        <f t="array" ref="B160">VLOOKUP(A160,'The List'!B1:D671,3,FALSE)</f>
        <v>LW,RW</v>
      </c>
      <c r="C160" s="97" cm="1">
        <f t="array" ref="C160">IF(Settings!$E$15="POINTS",RANK(E160,E3:E210),H160)</f>
        <v>126</v>
      </c>
      <c r="D160" s="18" t="str" cm="1">
        <f t="array" ref="D160">VLOOKUP(A160,'The List'!B1:F671,5,FALSE)</f>
        <v>WPG</v>
      </c>
      <c r="E160" s="55" cm="1">
        <f t="array" ref="E160">VLOOKUP(A160,'The List'!B1:I671,8,FALSE)</f>
        <v>-0.66577269043066101</v>
      </c>
      <c r="F160" s="55" cm="1">
        <f t="array" ref="F160">IF(Settings!$E$15="POINTS",E160-VLOOKUP(B$2,C1:E210,3,FALSE),J160)</f>
        <v>-7.5530072922397382</v>
      </c>
      <c r="G160" s="55"/>
      <c r="H160" s="166" cm="1">
        <f t="array" ref="H160">RANK(I160,I3:I210)</f>
        <v>126</v>
      </c>
      <c r="I160" s="167" cm="1">
        <f t="array" ref="I160">VLOOKUP(A160,'Standard Deviations'!A1:C672,3,FALSE)</f>
        <v>-0.66577269043066101</v>
      </c>
      <c r="J160" s="167" cm="1">
        <f t="array" ref="J160">I160-VLOOKUP(B$2,H1:J210,2,FALSE)</f>
        <v>-7.5530072922397382</v>
      </c>
    </row>
    <row r="161" spans="1:10" ht="21.25" customHeight="1" x14ac:dyDescent="0.15">
      <c r="A161" s="10" t="s">
        <v>684</v>
      </c>
      <c r="B161" s="96" t="str" cm="1">
        <f t="array" ref="B161">VLOOKUP(A161,'The List'!B1:D671,3,FALSE)</f>
        <v>RW</v>
      </c>
      <c r="C161" s="97" cm="1">
        <f t="array" ref="C161">IF(Settings!$E$15="POINTS",RANK(E161,E3:E210),H161)</f>
        <v>160</v>
      </c>
      <c r="D161" s="18" t="str" cm="1">
        <f t="array" ref="D161">VLOOKUP(A161,'The List'!B1:F671,5,FALSE)</f>
        <v>WSH</v>
      </c>
      <c r="E161" s="55" cm="1">
        <f t="array" ref="E161">VLOOKUP(A161,'The List'!B1:I671,8,FALSE)</f>
        <v>-1.9100616998083231</v>
      </c>
      <c r="F161" s="55" cm="1">
        <f t="array" ref="F161">IF(Settings!$E$15="POINTS",E161-VLOOKUP(B$2,C1:E210,3,FALSE),J161)</f>
        <v>-8.7972963016174006</v>
      </c>
      <c r="G161" s="55"/>
      <c r="H161" s="166" cm="1">
        <f t="array" ref="H161">RANK(I161,I3:I210)</f>
        <v>160</v>
      </c>
      <c r="I161" s="167" cm="1">
        <f t="array" ref="I161">VLOOKUP(A161,'Standard Deviations'!A1:C672,3,FALSE)</f>
        <v>-1.9100616998083231</v>
      </c>
      <c r="J161" s="167" cm="1">
        <f t="array" ref="J161">I161-VLOOKUP(B$2,H1:J210,2,FALSE)</f>
        <v>-8.7972963016174006</v>
      </c>
    </row>
    <row r="162" spans="1:10" ht="21.25" customHeight="1" x14ac:dyDescent="0.15">
      <c r="A162" s="10" t="s">
        <v>686</v>
      </c>
      <c r="B162" s="96" t="str" cm="1">
        <f t="array" ref="B162">VLOOKUP(A162,'The List'!B1:D671,3,FALSE)</f>
        <v>RW</v>
      </c>
      <c r="C162" s="97" cm="1">
        <f t="array" ref="C162">IF(Settings!$E$15="POINTS",RANK(E162,E3:E210),H162)</f>
        <v>136</v>
      </c>
      <c r="D162" s="18" t="str" cm="1">
        <f t="array" ref="D162">VLOOKUP(A162,'The List'!B1:F671,5,FALSE)</f>
        <v>MTL</v>
      </c>
      <c r="E162" s="55" cm="1">
        <f t="array" ref="E162">VLOOKUP(A162,'The List'!B1:I671,8,FALSE)</f>
        <v>-1.0511744711829583</v>
      </c>
      <c r="F162" s="55" cm="1">
        <f t="array" ref="F162">IF(Settings!$E$15="POINTS",E162-VLOOKUP(B$2,C1:E210,3,FALSE),J162)</f>
        <v>-7.9384090729920356</v>
      </c>
      <c r="G162" s="55"/>
      <c r="H162" s="166" cm="1">
        <f t="array" ref="H162">RANK(I162,I3:I210)</f>
        <v>136</v>
      </c>
      <c r="I162" s="167" cm="1">
        <f t="array" ref="I162">VLOOKUP(A162,'Standard Deviations'!A1:C672,3,FALSE)</f>
        <v>-1.0511744711829583</v>
      </c>
      <c r="J162" s="167" cm="1">
        <f t="array" ref="J162">I162-VLOOKUP(B$2,H1:J210,2,FALSE)</f>
        <v>-7.9384090729920356</v>
      </c>
    </row>
    <row r="163" spans="1:10" ht="21.25" customHeight="1" x14ac:dyDescent="0.15">
      <c r="A163" s="10" t="s">
        <v>687</v>
      </c>
      <c r="B163" s="96" t="str" cm="1">
        <f t="array" ref="B163">VLOOKUP(A163,'The List'!B1:D671,3,FALSE)</f>
        <v>C,RW</v>
      </c>
      <c r="C163" s="97" cm="1">
        <f t="array" ref="C163">IF(Settings!$E$15="POINTS",RANK(E163,E3:E210),H163)</f>
        <v>169</v>
      </c>
      <c r="D163" s="18" t="str" cm="1">
        <f t="array" ref="D163">VLOOKUP(A163,'The List'!B1:F671,5,FALSE)</f>
        <v>PHI</v>
      </c>
      <c r="E163" s="55" cm="1">
        <f t="array" ref="E163">VLOOKUP(A163,'The List'!B1:I671,8,FALSE)</f>
        <v>-2.4421427064460115</v>
      </c>
      <c r="F163" s="55" cm="1">
        <f t="array" ref="F163">IF(Settings!$E$15="POINTS",E163-VLOOKUP(B$2,C1:E210,3,FALSE),J163)</f>
        <v>-9.3293773082550899</v>
      </c>
      <c r="G163" s="55"/>
      <c r="H163" s="166" cm="1">
        <f t="array" ref="H163">RANK(I163,I3:I210)</f>
        <v>169</v>
      </c>
      <c r="I163" s="167" cm="1">
        <f t="array" ref="I163">VLOOKUP(A163,'Standard Deviations'!A1:C672,3,FALSE)</f>
        <v>-2.4421427064460115</v>
      </c>
      <c r="J163" s="167" cm="1">
        <f t="array" ref="J163">I163-VLOOKUP(B$2,H1:J210,2,FALSE)</f>
        <v>-9.3293773082550899</v>
      </c>
    </row>
    <row r="164" spans="1:10" ht="21.25" customHeight="1" x14ac:dyDescent="0.15">
      <c r="A164" s="10" t="s">
        <v>690</v>
      </c>
      <c r="B164" s="96" t="str" cm="1">
        <f t="array" ref="B164">VLOOKUP(A164,'The List'!B1:D671,3,FALSE)</f>
        <v>C,RW</v>
      </c>
      <c r="C164" s="97" cm="1">
        <f t="array" ref="C164">IF(Settings!$E$15="POINTS",RANK(E164,E3:E210),H164)</f>
        <v>130</v>
      </c>
      <c r="D164" s="18" t="str" cm="1">
        <f t="array" ref="D164">VLOOKUP(A164,'The List'!B1:F671,5,FALSE)</f>
        <v>BOS</v>
      </c>
      <c r="E164" s="55" cm="1">
        <f t="array" ref="E164">VLOOKUP(A164,'The List'!B1:I671,8,FALSE)</f>
        <v>-0.81661890518515745</v>
      </c>
      <c r="F164" s="55" cm="1">
        <f t="array" ref="F164">IF(Settings!$E$15="POINTS",E164-VLOOKUP(B$2,C1:E210,3,FALSE),J164)</f>
        <v>-7.7038535069942347</v>
      </c>
      <c r="G164" s="55"/>
      <c r="H164" s="166" cm="1">
        <f t="array" ref="H164">RANK(I164,I3:I210)</f>
        <v>130</v>
      </c>
      <c r="I164" s="167" cm="1">
        <f t="array" ref="I164">VLOOKUP(A164,'Standard Deviations'!A1:C672,3,FALSE)</f>
        <v>-0.81661890518515745</v>
      </c>
      <c r="J164" s="167" cm="1">
        <f t="array" ref="J164">I164-VLOOKUP(B$2,H1:J210,2,FALSE)</f>
        <v>-7.7038535069942347</v>
      </c>
    </row>
    <row r="165" spans="1:10" ht="21.25" customHeight="1" x14ac:dyDescent="0.15">
      <c r="A165" s="10" t="s">
        <v>692</v>
      </c>
      <c r="B165" s="96" t="str" cm="1">
        <f t="array" ref="B165">VLOOKUP(A165,'The List'!B1:D671,3,FALSE)</f>
        <v>RW</v>
      </c>
      <c r="C165" s="97" cm="1">
        <f t="array" ref="C165">IF(Settings!$E$15="POINTS",RANK(E165,E3:E210),H165)</f>
        <v>161</v>
      </c>
      <c r="D165" s="18" t="str" cm="1">
        <f t="array" ref="D165">VLOOKUP(A165,'The List'!B1:F671,5,FALSE)</f>
        <v>MIN</v>
      </c>
      <c r="E165" s="55" cm="1">
        <f t="array" ref="E165">VLOOKUP(A165,'The List'!B1:I671,8,FALSE)</f>
        <v>-2.0105980973910089</v>
      </c>
      <c r="F165" s="55" cm="1">
        <f t="array" ref="F165">IF(Settings!$E$15="POINTS",E165-VLOOKUP(B$2,C1:E210,3,FALSE),J165)</f>
        <v>-8.8978326992000873</v>
      </c>
      <c r="G165" s="55"/>
      <c r="H165" s="166" cm="1">
        <f t="array" ref="H165">RANK(I165,I3:I210)</f>
        <v>161</v>
      </c>
      <c r="I165" s="167" cm="1">
        <f t="array" ref="I165">VLOOKUP(A165,'Standard Deviations'!A1:C672,3,FALSE)</f>
        <v>-2.0105980973910089</v>
      </c>
      <c r="J165" s="167" cm="1">
        <f t="array" ref="J165">I165-VLOOKUP(B$2,H1:J210,2,FALSE)</f>
        <v>-8.8978326992000873</v>
      </c>
    </row>
    <row r="166" spans="1:10" ht="21.25" customHeight="1" x14ac:dyDescent="0.15">
      <c r="A166" s="10" t="s">
        <v>693</v>
      </c>
      <c r="B166" s="96" t="str" cm="1">
        <f t="array" ref="B166">VLOOKUP(A166,'The List'!B1:D671,3,FALSE)</f>
        <v>C,LW,RW</v>
      </c>
      <c r="C166" s="97" cm="1">
        <f t="array" ref="C166">IF(Settings!$E$15="POINTS",RANK(E166,E3:E210),H166)</f>
        <v>199</v>
      </c>
      <c r="D166" s="18" t="str" cm="1">
        <f t="array" ref="D166">VLOOKUP(A166,'The List'!B1:F671,5,FALSE)</f>
        <v>NSH</v>
      </c>
      <c r="E166" s="55" cm="1">
        <f t="array" ref="E166">VLOOKUP(A166,'The List'!B1:I671,8,FALSE)</f>
        <v>-4.1446360347583466</v>
      </c>
      <c r="F166" s="55" cm="1">
        <f t="array" ref="F166">IF(Settings!$E$15="POINTS",E166-VLOOKUP(B$2,C1:E210,3,FALSE),J166)</f>
        <v>-11.031870636567424</v>
      </c>
      <c r="G166" s="55"/>
      <c r="H166" s="166" cm="1">
        <f t="array" ref="H166">RANK(I166,I3:I210)</f>
        <v>199</v>
      </c>
      <c r="I166" s="167" cm="1">
        <f t="array" ref="I166">VLOOKUP(A166,'Standard Deviations'!A1:C672,3,FALSE)</f>
        <v>-4.1446360347583466</v>
      </c>
      <c r="J166" s="167" cm="1">
        <f t="array" ref="J166">I166-VLOOKUP(B$2,H1:J210,2,FALSE)</f>
        <v>-11.031870636567424</v>
      </c>
    </row>
    <row r="167" spans="1:10" ht="21.25" customHeight="1" x14ac:dyDescent="0.15">
      <c r="A167" s="10" t="s">
        <v>696</v>
      </c>
      <c r="B167" s="96" t="str" cm="1">
        <f t="array" ref="B167">VLOOKUP(A167,'The List'!B1:D671,3,FALSE)</f>
        <v>RW</v>
      </c>
      <c r="C167" s="97" cm="1">
        <f t="array" ref="C167">IF(Settings!$E$15="POINTS",RANK(E167,E3:E210),H167)</f>
        <v>156</v>
      </c>
      <c r="D167" s="18" t="str" cm="1">
        <f t="array" ref="D167">VLOOKUP(A167,'The List'!B1:F671,5,FALSE)</f>
        <v>T.B</v>
      </c>
      <c r="E167" s="55" cm="1">
        <f t="array" ref="E167">VLOOKUP(A167,'The List'!B1:I671,8,FALSE)</f>
        <v>-1.7204186641133012</v>
      </c>
      <c r="F167" s="55" cm="1">
        <f t="array" ref="F167">IF(Settings!$E$15="POINTS",E167-VLOOKUP(B$2,C1:E210,3,FALSE),J167)</f>
        <v>-8.6076532659223783</v>
      </c>
      <c r="G167" s="55"/>
      <c r="H167" s="166" cm="1">
        <f t="array" ref="H167">RANK(I167,I3:I210)</f>
        <v>156</v>
      </c>
      <c r="I167" s="167" cm="1">
        <f t="array" ref="I167">VLOOKUP(A167,'Standard Deviations'!A1:C672,3,FALSE)</f>
        <v>-1.7204186641133012</v>
      </c>
      <c r="J167" s="167" cm="1">
        <f t="array" ref="J167">I167-VLOOKUP(B$2,H1:J210,2,FALSE)</f>
        <v>-8.6076532659223783</v>
      </c>
    </row>
    <row r="168" spans="1:10" ht="21.25" customHeight="1" x14ac:dyDescent="0.15">
      <c r="A168" s="10" t="s">
        <v>703</v>
      </c>
      <c r="B168" s="96" t="str" cm="1">
        <f t="array" ref="B168">VLOOKUP(A168,'The List'!B1:D671,3,FALSE)</f>
        <v>C,RW</v>
      </c>
      <c r="C168" s="97" cm="1">
        <f t="array" ref="C168">IF(Settings!$E$15="POINTS",RANK(E168,E3:E210),H168)</f>
        <v>192</v>
      </c>
      <c r="D168" s="18" t="str" cm="1">
        <f t="array" ref="D168">VLOOKUP(A168,'The List'!B1:F671,5,FALSE)</f>
        <v>CHI</v>
      </c>
      <c r="E168" s="55" cm="1">
        <f t="array" ref="E168">VLOOKUP(A168,'The List'!B1:I671,8,FALSE)</f>
        <v>-3.6620152094877709</v>
      </c>
      <c r="F168" s="55" cm="1">
        <f t="array" ref="F168">IF(Settings!$E$15="POINTS",E168-VLOOKUP(B$2,C1:E210,3,FALSE),J168)</f>
        <v>-10.549249811296848</v>
      </c>
      <c r="G168" s="55"/>
      <c r="H168" s="166" cm="1">
        <f t="array" ref="H168">RANK(I168,I3:I210)</f>
        <v>192</v>
      </c>
      <c r="I168" s="167" cm="1">
        <f t="array" ref="I168">VLOOKUP(A168,'Standard Deviations'!A1:C672,3,FALSE)</f>
        <v>-3.6620152094877709</v>
      </c>
      <c r="J168" s="167" cm="1">
        <f t="array" ref="J168">I168-VLOOKUP(B$2,H1:J210,2,FALSE)</f>
        <v>-10.549249811296848</v>
      </c>
    </row>
    <row r="169" spans="1:10" ht="21.25" customHeight="1" x14ac:dyDescent="0.15">
      <c r="A169" s="10" t="s">
        <v>707</v>
      </c>
      <c r="B169" s="96" t="str" cm="1">
        <f t="array" ref="B169">VLOOKUP(A169,'The List'!B1:D671,3,FALSE)</f>
        <v>RW</v>
      </c>
      <c r="C169" s="97" cm="1">
        <f t="array" ref="C169">IF(Settings!$E$15="POINTS",RANK(E169,E3:E210),H169)</f>
        <v>184</v>
      </c>
      <c r="D169" s="18" t="str" cm="1">
        <f t="array" ref="D169">VLOOKUP(A169,'The List'!B1:F671,5,FALSE)</f>
        <v>L.A</v>
      </c>
      <c r="E169" s="55" cm="1">
        <f t="array" ref="E169">VLOOKUP(A169,'The List'!B1:I671,8,FALSE)</f>
        <v>-3.1771374448866836</v>
      </c>
      <c r="F169" s="55" cm="1">
        <f t="array" ref="F169">IF(Settings!$E$15="POINTS",E169-VLOOKUP(B$2,C1:E210,3,FALSE),J169)</f>
        <v>-10.064372046695761</v>
      </c>
      <c r="G169" s="55"/>
      <c r="H169" s="166" cm="1">
        <f t="array" ref="H169">RANK(I169,I3:I210)</f>
        <v>184</v>
      </c>
      <c r="I169" s="167" cm="1">
        <f t="array" ref="I169">VLOOKUP(A169,'Standard Deviations'!A1:C672,3,FALSE)</f>
        <v>-3.1771374448866836</v>
      </c>
      <c r="J169" s="167" cm="1">
        <f t="array" ref="J169">I169-VLOOKUP(B$2,H1:J210,2,FALSE)</f>
        <v>-10.064372046695761</v>
      </c>
    </row>
    <row r="170" spans="1:10" ht="21.25" customHeight="1" x14ac:dyDescent="0.15">
      <c r="A170" s="10" t="s">
        <v>708</v>
      </c>
      <c r="B170" s="96" t="str" cm="1">
        <f t="array" ref="B170">VLOOKUP(A170,'The List'!B1:D671,3,FALSE)</f>
        <v>C,RW</v>
      </c>
      <c r="C170" s="97" cm="1">
        <f t="array" ref="C170">IF(Settings!$E$15="POINTS",RANK(E170,E3:E210),H170)</f>
        <v>157</v>
      </c>
      <c r="D170" s="18" t="str" cm="1">
        <f t="array" ref="D170">VLOOKUP(A170,'The List'!B1:F671,5,FALSE)</f>
        <v>DAL</v>
      </c>
      <c r="E170" s="55" cm="1">
        <f t="array" ref="E170">VLOOKUP(A170,'The List'!B1:I671,8,FALSE)</f>
        <v>-1.726368971078331</v>
      </c>
      <c r="F170" s="55" cm="1">
        <f t="array" ref="F170">IF(Settings!$E$15="POINTS",E170-VLOOKUP(B$2,C1:E210,3,FALSE),J170)</f>
        <v>-8.6136035728874081</v>
      </c>
      <c r="G170" s="55"/>
      <c r="H170" s="166" cm="1">
        <f t="array" ref="H170">RANK(I170,I3:I210)</f>
        <v>157</v>
      </c>
      <c r="I170" s="167" cm="1">
        <f t="array" ref="I170">VLOOKUP(A170,'Standard Deviations'!A1:C672,3,FALSE)</f>
        <v>-1.726368971078331</v>
      </c>
      <c r="J170" s="167" cm="1">
        <f t="array" ref="J170">I170-VLOOKUP(B$2,H1:J210,2,FALSE)</f>
        <v>-8.6136035728874081</v>
      </c>
    </row>
    <row r="171" spans="1:10" ht="21.25" customHeight="1" x14ac:dyDescent="0.15">
      <c r="A171" s="10" t="s">
        <v>709</v>
      </c>
      <c r="B171" s="96" t="str" cm="1">
        <f t="array" ref="B171">VLOOKUP(A171,'The List'!B1:D671,3,FALSE)</f>
        <v>C,LW,RW</v>
      </c>
      <c r="C171" s="97" cm="1">
        <f t="array" ref="C171">IF(Settings!$E$15="POINTS",RANK(E171,E3:E210),H171)</f>
        <v>70</v>
      </c>
      <c r="D171" s="18" t="str" cm="1">
        <f t="array" ref="D171">VLOOKUP(A171,'The List'!B1:F671,5,FALSE)</f>
        <v>MIN</v>
      </c>
      <c r="E171" s="55" cm="1">
        <f t="array" ref="E171">VLOOKUP(A171,'The List'!B1:I671,8,FALSE)</f>
        <v>2.6923313742704238</v>
      </c>
      <c r="F171" s="55" cm="1">
        <f t="array" ref="F171">IF(Settings!$E$15="POINTS",E171-VLOOKUP(B$2,C1:E210,3,FALSE),J171)</f>
        <v>-4.1949032275386537</v>
      </c>
      <c r="G171" s="55"/>
      <c r="H171" s="166" cm="1">
        <f t="array" ref="H171">RANK(I171,I3:I210)</f>
        <v>70</v>
      </c>
      <c r="I171" s="167" cm="1">
        <f t="array" ref="I171">VLOOKUP(A171,'Standard Deviations'!A1:C672,3,FALSE)</f>
        <v>2.6923313742704238</v>
      </c>
      <c r="J171" s="167" cm="1">
        <f t="array" ref="J171">I171-VLOOKUP(B$2,H1:J210,2,FALSE)</f>
        <v>-4.1949032275386537</v>
      </c>
    </row>
    <row r="172" spans="1:10" ht="21.25" customHeight="1" x14ac:dyDescent="0.15">
      <c r="A172" s="10" t="s">
        <v>710</v>
      </c>
      <c r="B172" s="96" t="str" cm="1">
        <f t="array" ref="B172">VLOOKUP(A172,'The List'!B1:D671,3,FALSE)</f>
        <v>C,RW</v>
      </c>
      <c r="C172" s="97" cm="1">
        <f t="array" ref="C172">IF(Settings!$E$15="POINTS",RANK(E172,E3:E210),H172)</f>
        <v>175</v>
      </c>
      <c r="D172" s="18" t="str" cm="1">
        <f t="array" ref="D172">VLOOKUP(A172,'The List'!B1:F671,5,FALSE)</f>
        <v>BOS</v>
      </c>
      <c r="E172" s="55" cm="1">
        <f t="array" ref="E172">VLOOKUP(A172,'The List'!B1:I671,8,FALSE)</f>
        <v>-2.9092596885174622</v>
      </c>
      <c r="F172" s="55" cm="1">
        <f t="array" ref="F172">IF(Settings!$E$15="POINTS",E172-VLOOKUP(B$2,C1:E210,3,FALSE),J172)</f>
        <v>-9.7964942903265388</v>
      </c>
      <c r="G172" s="55"/>
      <c r="H172" s="166" cm="1">
        <f t="array" ref="H172">RANK(I172,I3:I210)</f>
        <v>175</v>
      </c>
      <c r="I172" s="167" cm="1">
        <f t="array" ref="I172">VLOOKUP(A172,'Standard Deviations'!A1:C672,3,FALSE)</f>
        <v>-2.9092596885174622</v>
      </c>
      <c r="J172" s="167" cm="1">
        <f t="array" ref="J172">I172-VLOOKUP(B$2,H1:J210,2,FALSE)</f>
        <v>-9.7964942903265388</v>
      </c>
    </row>
    <row r="173" spans="1:10" ht="21.25" customHeight="1" x14ac:dyDescent="0.15">
      <c r="A173" s="10" t="s">
        <v>711</v>
      </c>
      <c r="B173" s="96" t="str" cm="1">
        <f t="array" ref="B173">VLOOKUP(A173,'The List'!B1:D671,3,FALSE)</f>
        <v>RW</v>
      </c>
      <c r="C173" s="97" cm="1">
        <f t="array" ref="C173">IF(Settings!$E$15="POINTS",RANK(E173,E3:E210),H173)</f>
        <v>186</v>
      </c>
      <c r="D173" s="18" t="str" cm="1">
        <f t="array" ref="D173">VLOOKUP(A173,'The List'!B1:F671,5,FALSE)</f>
        <v>L.A</v>
      </c>
      <c r="E173" s="55" cm="1">
        <f t="array" ref="E173">VLOOKUP(A173,'The List'!B1:I671,8,FALSE)</f>
        <v>-3.2894602419570238</v>
      </c>
      <c r="F173" s="55" cm="1">
        <f t="array" ref="F173">IF(Settings!$E$15="POINTS",E173-VLOOKUP(B$2,C1:E210,3,FALSE),J173)</f>
        <v>-10.176694843766102</v>
      </c>
      <c r="G173" s="55"/>
      <c r="H173" s="166" cm="1">
        <f t="array" ref="H173">RANK(I173,I3:I210)</f>
        <v>186</v>
      </c>
      <c r="I173" s="167" cm="1">
        <f t="array" ref="I173">VLOOKUP(A173,'Standard Deviations'!A1:C672,3,FALSE)</f>
        <v>-3.2894602419570238</v>
      </c>
      <c r="J173" s="167" cm="1">
        <f t="array" ref="J173">I173-VLOOKUP(B$2,H1:J210,2,FALSE)</f>
        <v>-10.176694843766102</v>
      </c>
    </row>
    <row r="174" spans="1:10" ht="21.25" customHeight="1" x14ac:dyDescent="0.15">
      <c r="A174" s="10" t="s">
        <v>712</v>
      </c>
      <c r="B174" s="96" t="str" cm="1">
        <f t="array" ref="B174">VLOOKUP(A174,'The List'!B1:D671,3,FALSE)</f>
        <v>LW,RW</v>
      </c>
      <c r="C174" s="97" cm="1">
        <f t="array" ref="C174">IF(Settings!$E$15="POINTS",RANK(E174,E3:E210),H174)</f>
        <v>164</v>
      </c>
      <c r="D174" s="18" t="str" cm="1">
        <f t="array" ref="D174">VLOOKUP(A174,'The List'!B1:F671,5,FALSE)</f>
        <v>STL</v>
      </c>
      <c r="E174" s="55" cm="1">
        <f t="array" ref="E174">VLOOKUP(A174,'The List'!B1:I671,8,FALSE)</f>
        <v>-2.2554325284737589</v>
      </c>
      <c r="F174" s="55" cm="1">
        <f t="array" ref="F174">IF(Settings!$E$15="POINTS",E174-VLOOKUP(B$2,C1:E210,3,FALSE),J174)</f>
        <v>-9.1426671302828364</v>
      </c>
      <c r="G174" s="55"/>
      <c r="H174" s="166" cm="1">
        <f t="array" ref="H174">RANK(I174,I3:I210)</f>
        <v>164</v>
      </c>
      <c r="I174" s="167" cm="1">
        <f t="array" ref="I174">VLOOKUP(A174,'Standard Deviations'!A1:C672,3,FALSE)</f>
        <v>-2.2554325284737589</v>
      </c>
      <c r="J174" s="167" cm="1">
        <f t="array" ref="J174">I174-VLOOKUP(B$2,H1:J210,2,FALSE)</f>
        <v>-9.1426671302828364</v>
      </c>
    </row>
    <row r="175" spans="1:10" ht="21.25" customHeight="1" x14ac:dyDescent="0.15">
      <c r="A175" s="10" t="s">
        <v>713</v>
      </c>
      <c r="B175" s="96" t="str" cm="1">
        <f t="array" ref="B175">VLOOKUP(A175,'The List'!B1:D671,3,FALSE)</f>
        <v>RW</v>
      </c>
      <c r="C175" s="97" cm="1">
        <f t="array" ref="C175">IF(Settings!$E$15="POINTS",RANK(E175,E3:E210),H175)</f>
        <v>138</v>
      </c>
      <c r="D175" s="18" t="str" cm="1">
        <f t="array" ref="D175">VLOOKUP(A175,'The List'!B1:F671,5,FALSE)</f>
        <v>CGY</v>
      </c>
      <c r="E175" s="55" cm="1">
        <f t="array" ref="E175">VLOOKUP(A175,'The List'!B1:I671,8,FALSE)</f>
        <v>-1.0808650551433439</v>
      </c>
      <c r="F175" s="55" cm="1">
        <f t="array" ref="F175">IF(Settings!$E$15="POINTS",E175-VLOOKUP(B$2,C1:E210,3,FALSE),J175)</f>
        <v>-7.9680996569524218</v>
      </c>
      <c r="G175" s="55"/>
      <c r="H175" s="166" cm="1">
        <f t="array" ref="H175">RANK(I175,I3:I210)</f>
        <v>138</v>
      </c>
      <c r="I175" s="167" cm="1">
        <f t="array" ref="I175">VLOOKUP(A175,'Standard Deviations'!A1:C672,3,FALSE)</f>
        <v>-1.0808650551433439</v>
      </c>
      <c r="J175" s="167" cm="1">
        <f t="array" ref="J175">I175-VLOOKUP(B$2,H1:J210,2,FALSE)</f>
        <v>-7.9680996569524218</v>
      </c>
    </row>
    <row r="176" spans="1:10" ht="21.25" customHeight="1" x14ac:dyDescent="0.15">
      <c r="A176" s="10" t="s">
        <v>715</v>
      </c>
      <c r="B176" s="96" t="str" cm="1">
        <f t="array" ref="B176">VLOOKUP(A176,'The List'!B1:D671,3,FALSE)</f>
        <v>RW</v>
      </c>
      <c r="C176" s="97" cm="1">
        <f t="array" ref="C176">IF(Settings!$E$15="POINTS",RANK(E176,E3:E210),H176)</f>
        <v>181</v>
      </c>
      <c r="D176" s="18" t="str" cm="1">
        <f t="array" ref="D176">VLOOKUP(A176,'The List'!B1:F671,5,FALSE)</f>
        <v>WPG</v>
      </c>
      <c r="E176" s="55" cm="1">
        <f t="array" ref="E176">VLOOKUP(A176,'The List'!B1:I671,8,FALSE)</f>
        <v>-3.0971480404689538</v>
      </c>
      <c r="F176" s="55" cm="1">
        <f t="array" ref="F176">IF(Settings!$E$15="POINTS",E176-VLOOKUP(B$2,C1:E210,3,FALSE),J176)</f>
        <v>-9.9843826422780317</v>
      </c>
      <c r="G176" s="55"/>
      <c r="H176" s="166" cm="1">
        <f t="array" ref="H176">RANK(I176,I3:I210)</f>
        <v>181</v>
      </c>
      <c r="I176" s="167" cm="1">
        <f t="array" ref="I176">VLOOKUP(A176,'Standard Deviations'!A1:C672,3,FALSE)</f>
        <v>-3.0971480404689538</v>
      </c>
      <c r="J176" s="167" cm="1">
        <f t="array" ref="J176">I176-VLOOKUP(B$2,H1:J210,2,FALSE)</f>
        <v>-9.9843826422780317</v>
      </c>
    </row>
    <row r="177" spans="1:10" ht="21.25" customHeight="1" x14ac:dyDescent="0.15">
      <c r="A177" s="10" t="s">
        <v>716</v>
      </c>
      <c r="B177" s="96" t="str" cm="1">
        <f t="array" ref="B177">VLOOKUP(A177,'The List'!B1:D671,3,FALSE)</f>
        <v>C,RW</v>
      </c>
      <c r="C177" s="97" cm="1">
        <f t="array" ref="C177">IF(Settings!$E$15="POINTS",RANK(E177,E3:E210),H177)</f>
        <v>171</v>
      </c>
      <c r="D177" s="18" t="str" cm="1">
        <f t="array" ref="D177">VLOOKUP(A177,'The List'!B1:F671,5,FALSE)</f>
        <v>TOR</v>
      </c>
      <c r="E177" s="55" cm="1">
        <f t="array" ref="E177">VLOOKUP(A177,'The List'!B1:I671,8,FALSE)</f>
        <v>-2.6295194922595329</v>
      </c>
      <c r="F177" s="55" cm="1">
        <f t="array" ref="F177">IF(Settings!$E$15="POINTS",E177-VLOOKUP(B$2,C1:E210,3,FALSE),J177)</f>
        <v>-9.5167540940686095</v>
      </c>
      <c r="G177" s="55"/>
      <c r="H177" s="166" cm="1">
        <f t="array" ref="H177">RANK(I177,I3:I210)</f>
        <v>171</v>
      </c>
      <c r="I177" s="167" cm="1">
        <f t="array" ref="I177">VLOOKUP(A177,'Standard Deviations'!A1:C672,3,FALSE)</f>
        <v>-2.6295194922595329</v>
      </c>
      <c r="J177" s="167" cm="1">
        <f t="array" ref="J177">I177-VLOOKUP(B$2,H1:J210,2,FALSE)</f>
        <v>-9.5167540940686095</v>
      </c>
    </row>
    <row r="178" spans="1:10" ht="21.25" customHeight="1" x14ac:dyDescent="0.15">
      <c r="A178" s="10" t="s">
        <v>717</v>
      </c>
      <c r="B178" s="96" t="str" cm="1">
        <f t="array" ref="B178">VLOOKUP(A178,'The List'!B1:D671,3,FALSE)</f>
        <v>RW</v>
      </c>
      <c r="C178" s="97" cm="1">
        <f t="array" ref="C178">IF(Settings!$E$15="POINTS",RANK(E178,E3:E210),H178)</f>
        <v>129</v>
      </c>
      <c r="D178" s="18" t="str" cm="1">
        <f t="array" ref="D178">VLOOKUP(A178,'The List'!B1:F671,5,FALSE)</f>
        <v>DET</v>
      </c>
      <c r="E178" s="55" cm="1">
        <f t="array" ref="E178">VLOOKUP(A178,'The List'!B1:I671,8,FALSE)</f>
        <v>-0.75007217298942763</v>
      </c>
      <c r="F178" s="55" cm="1">
        <f t="array" ref="F178">IF(Settings!$E$15="POINTS",E178-VLOOKUP(B$2,C1:E210,3,FALSE),J178)</f>
        <v>-7.6373067747985051</v>
      </c>
      <c r="G178" s="55"/>
      <c r="H178" s="166" cm="1">
        <f t="array" ref="H178">RANK(I178,I3:I210)</f>
        <v>129</v>
      </c>
      <c r="I178" s="167" cm="1">
        <f t="array" ref="I178">VLOOKUP(A178,'Standard Deviations'!A1:C672,3,FALSE)</f>
        <v>-0.75007217298942763</v>
      </c>
      <c r="J178" s="167" cm="1">
        <f t="array" ref="J178">I178-VLOOKUP(B$2,H1:J210,2,FALSE)</f>
        <v>-7.6373067747985051</v>
      </c>
    </row>
    <row r="179" spans="1:10" ht="21.25" customHeight="1" x14ac:dyDescent="0.15">
      <c r="A179" s="10" t="s">
        <v>718</v>
      </c>
      <c r="B179" s="96" t="str" cm="1">
        <f t="array" ref="B179">VLOOKUP(A179,'The List'!B1:D671,3,FALSE)</f>
        <v>LW,RW</v>
      </c>
      <c r="C179" s="97" cm="1">
        <f t="array" ref="C179">IF(Settings!$E$15="POINTS",RANK(E179,E3:E210),H179)</f>
        <v>168</v>
      </c>
      <c r="D179" s="18" t="str" cm="1">
        <f t="array" ref="D179">VLOOKUP(A179,'The List'!B1:F671,5,FALSE)</f>
        <v>OTT</v>
      </c>
      <c r="E179" s="55" cm="1">
        <f t="array" ref="E179">VLOOKUP(A179,'The List'!B1:I671,8,FALSE)</f>
        <v>-2.3505720411779167</v>
      </c>
      <c r="F179" s="55" cm="1">
        <f t="array" ref="F179">IF(Settings!$E$15="POINTS",E179-VLOOKUP(B$2,C1:E210,3,FALSE),J179)</f>
        <v>-9.2378066429869943</v>
      </c>
      <c r="G179" s="55"/>
      <c r="H179" s="166" cm="1">
        <f t="array" ref="H179">RANK(I179,I3:I210)</f>
        <v>168</v>
      </c>
      <c r="I179" s="167" cm="1">
        <f t="array" ref="I179">VLOOKUP(A179,'Standard Deviations'!A1:C672,3,FALSE)</f>
        <v>-2.3505720411779167</v>
      </c>
      <c r="J179" s="167" cm="1">
        <f t="array" ref="J179">I179-VLOOKUP(B$2,H1:J210,2,FALSE)</f>
        <v>-9.2378066429869943</v>
      </c>
    </row>
    <row r="180" spans="1:10" ht="21.25" customHeight="1" x14ac:dyDescent="0.15">
      <c r="A180" s="10" t="s">
        <v>719</v>
      </c>
      <c r="B180" s="96" t="str" cm="1">
        <f t="array" ref="B180">VLOOKUP(A180,'The List'!B1:D671,3,FALSE)</f>
        <v>C,RW</v>
      </c>
      <c r="C180" s="97" cm="1">
        <f t="array" ref="C180">IF(Settings!$E$15="POINTS",RANK(E180,E3:E210),H180)</f>
        <v>188</v>
      </c>
      <c r="D180" s="18" t="str" cm="1">
        <f t="array" ref="D180">VLOOKUP(A180,'The List'!B1:F671,5,FALSE)</f>
        <v>S.J</v>
      </c>
      <c r="E180" s="55" cm="1">
        <f t="array" ref="E180">VLOOKUP(A180,'The List'!B1:I671,8,FALSE)</f>
        <v>-3.4730851234203177</v>
      </c>
      <c r="F180" s="55" cm="1">
        <f t="array" ref="F180">IF(Settings!$E$15="POINTS",E180-VLOOKUP(B$2,C1:E210,3,FALSE),J180)</f>
        <v>-10.360319725229395</v>
      </c>
      <c r="G180" s="55"/>
      <c r="H180" s="166" cm="1">
        <f t="array" ref="H180">RANK(I180,I3:I210)</f>
        <v>188</v>
      </c>
      <c r="I180" s="167" cm="1">
        <f t="array" ref="I180">VLOOKUP(A180,'Standard Deviations'!A1:C672,3,FALSE)</f>
        <v>-3.4730851234203177</v>
      </c>
      <c r="J180" s="167" cm="1">
        <f t="array" ref="J180">I180-VLOOKUP(B$2,H1:J210,2,FALSE)</f>
        <v>-10.360319725229395</v>
      </c>
    </row>
    <row r="181" spans="1:10" ht="21.25" customHeight="1" x14ac:dyDescent="0.15">
      <c r="A181" s="10" t="s">
        <v>722</v>
      </c>
      <c r="B181" s="96" t="str" cm="1">
        <f t="array" ref="B181">VLOOKUP(A181,'The List'!B1:D671,3,FALSE)</f>
        <v>LW,RW</v>
      </c>
      <c r="C181" s="97" cm="1">
        <f t="array" ref="C181">IF(Settings!$E$15="POINTS",RANK(E181,E3:E210),H181)</f>
        <v>139</v>
      </c>
      <c r="D181" s="18" t="str" cm="1">
        <f t="array" ref="D181">VLOOKUP(A181,'The List'!B1:F671,5,FALSE)</f>
        <v>BOS</v>
      </c>
      <c r="E181" s="55" cm="1">
        <f t="array" ref="E181">VLOOKUP(A181,'The List'!B1:I671,8,FALSE)</f>
        <v>-1.1794715691308397</v>
      </c>
      <c r="F181" s="55" cm="1">
        <f t="array" ref="F181">IF(Settings!$E$15="POINTS",E181-VLOOKUP(B$2,C1:E210,3,FALSE),J181)</f>
        <v>-8.0667061709399164</v>
      </c>
      <c r="G181" s="55"/>
      <c r="H181" s="166" cm="1">
        <f t="array" ref="H181">RANK(I181,I3:I210)</f>
        <v>139</v>
      </c>
      <c r="I181" s="167" cm="1">
        <f t="array" ref="I181">VLOOKUP(A181,'Standard Deviations'!A1:C672,3,FALSE)</f>
        <v>-1.1794715691308397</v>
      </c>
      <c r="J181" s="167" cm="1">
        <f t="array" ref="J181">I181-VLOOKUP(B$2,H1:J210,2,FALSE)</f>
        <v>-8.0667061709399164</v>
      </c>
    </row>
    <row r="182" spans="1:10" ht="21.25" customHeight="1" x14ac:dyDescent="0.15">
      <c r="A182" s="10" t="s">
        <v>723</v>
      </c>
      <c r="B182" s="96" t="str" cm="1">
        <f t="array" ref="B182">VLOOKUP(A182,'The List'!B1:D671,3,FALSE)</f>
        <v>LW,RW</v>
      </c>
      <c r="C182" s="97" cm="1">
        <f t="array" ref="C182">IF(Settings!$E$15="POINTS",RANK(E182,E3:E210),H182)</f>
        <v>151</v>
      </c>
      <c r="D182" s="18" t="str" cm="1">
        <f t="array" ref="D182">VLOOKUP(A182,'The List'!B1:F671,5,FALSE)</f>
        <v>TOR</v>
      </c>
      <c r="E182" s="55" cm="1">
        <f t="array" ref="E182">VLOOKUP(A182,'The List'!B1:I671,8,FALSE)</f>
        <v>-1.5854709524943382</v>
      </c>
      <c r="F182" s="55" cm="1">
        <f t="array" ref="F182">IF(Settings!$E$15="POINTS",E182-VLOOKUP(B$2,C1:E210,3,FALSE),J182)</f>
        <v>-8.4727055543034151</v>
      </c>
      <c r="G182" s="55"/>
      <c r="H182" s="166" cm="1">
        <f t="array" ref="H182">RANK(I182,I3:I210)</f>
        <v>151</v>
      </c>
      <c r="I182" s="167" cm="1">
        <f t="array" ref="I182">VLOOKUP(A182,'Standard Deviations'!A1:C672,3,FALSE)</f>
        <v>-1.5854709524943382</v>
      </c>
      <c r="J182" s="167" cm="1">
        <f t="array" ref="J182">I182-VLOOKUP(B$2,H1:J210,2,FALSE)</f>
        <v>-8.4727055543034151</v>
      </c>
    </row>
    <row r="183" spans="1:10" ht="21.25" customHeight="1" x14ac:dyDescent="0.15">
      <c r="A183" s="10" t="s">
        <v>726</v>
      </c>
      <c r="B183" s="96" t="str" cm="1">
        <f t="array" ref="B183">VLOOKUP(A183,'The List'!B1:D671,3,FALSE)</f>
        <v>LW,RW</v>
      </c>
      <c r="C183" s="97" cm="1">
        <f t="array" ref="C183">IF(Settings!$E$15="POINTS",RANK(E183,E3:E210),H183)</f>
        <v>205</v>
      </c>
      <c r="D183" s="18" t="str" cm="1">
        <f t="array" ref="D183">VLOOKUP(A183,'The List'!B1:F671,5,FALSE)</f>
        <v>CHI</v>
      </c>
      <c r="E183" s="55" cm="1">
        <f t="array" ref="E183">VLOOKUP(A183,'The List'!B1:I671,8,FALSE)</f>
        <v>-4.8028475090220795</v>
      </c>
      <c r="F183" s="55" cm="1">
        <f t="array" ref="F183">IF(Settings!$E$15="POINTS",E183-VLOOKUP(B$2,C1:E210,3,FALSE),J183)</f>
        <v>-11.690082110831156</v>
      </c>
      <c r="G183" s="55"/>
      <c r="H183" s="166" cm="1">
        <f t="array" ref="H183">RANK(I183,I3:I210)</f>
        <v>205</v>
      </c>
      <c r="I183" s="167" cm="1">
        <f t="array" ref="I183">VLOOKUP(A183,'Standard Deviations'!A1:C672,3,FALSE)</f>
        <v>-4.8028475090220795</v>
      </c>
      <c r="J183" s="167" cm="1">
        <f t="array" ref="J183">I183-VLOOKUP(B$2,H1:J210,2,FALSE)</f>
        <v>-11.690082110831156</v>
      </c>
    </row>
    <row r="184" spans="1:10" ht="21.25" customHeight="1" x14ac:dyDescent="0.15">
      <c r="A184" s="10" t="s">
        <v>727</v>
      </c>
      <c r="B184" s="96" t="str" cm="1">
        <f t="array" ref="B184">VLOOKUP(A184,'The List'!B1:D671,3,FALSE)</f>
        <v>RW</v>
      </c>
      <c r="C184" s="97" cm="1">
        <f t="array" ref="C184">IF(Settings!$E$15="POINTS",RANK(E184,E3:E210),H184)</f>
        <v>148</v>
      </c>
      <c r="D184" s="18" t="str" cm="1">
        <f t="array" ref="D184">VLOOKUP(A184,'The List'!B1:F671,5,FALSE)</f>
        <v>EDM</v>
      </c>
      <c r="E184" s="55" cm="1">
        <f t="array" ref="E184">VLOOKUP(A184,'The List'!B1:I671,8,FALSE)</f>
        <v>-1.4501069590465332</v>
      </c>
      <c r="F184" s="55" cm="1">
        <f t="array" ref="F184">IF(Settings!$E$15="POINTS",E184-VLOOKUP(B$2,C1:E210,3,FALSE),J184)</f>
        <v>-8.3373415608556112</v>
      </c>
      <c r="G184" s="55"/>
      <c r="H184" s="166" cm="1">
        <f t="array" ref="H184">RANK(I184,I3:I210)</f>
        <v>148</v>
      </c>
      <c r="I184" s="167" cm="1">
        <f t="array" ref="I184">VLOOKUP(A184,'Standard Deviations'!A1:C672,3,FALSE)</f>
        <v>-1.4501069590465332</v>
      </c>
      <c r="J184" s="167" cm="1">
        <f t="array" ref="J184">I184-VLOOKUP(B$2,H1:J210,2,FALSE)</f>
        <v>-8.3373415608556112</v>
      </c>
    </row>
    <row r="185" spans="1:10" ht="21.25" customHeight="1" x14ac:dyDescent="0.15">
      <c r="A185" s="10" t="s">
        <v>729</v>
      </c>
      <c r="B185" s="96" t="str" cm="1">
        <f t="array" ref="B185">VLOOKUP(A185,'The List'!B1:D671,3,FALSE)</f>
        <v>RW</v>
      </c>
      <c r="C185" s="97" cm="1">
        <f t="array" ref="C185">IF(Settings!$E$15="POINTS",RANK(E185,E3:E210),H185)</f>
        <v>193</v>
      </c>
      <c r="D185" s="18" t="str" cm="1">
        <f t="array" ref="D185">VLOOKUP(A185,'The List'!B1:F671,5,FALSE)</f>
        <v>NYR</v>
      </c>
      <c r="E185" s="55" cm="1">
        <f t="array" ref="E185">VLOOKUP(A185,'The List'!B1:I671,8,FALSE)</f>
        <v>-3.6941076043270926</v>
      </c>
      <c r="F185" s="55" cm="1">
        <f t="array" ref="F185">IF(Settings!$E$15="POINTS",E185-VLOOKUP(B$2,C1:E210,3,FALSE),J185)</f>
        <v>-10.581342206136171</v>
      </c>
      <c r="G185" s="55"/>
      <c r="H185" s="166" cm="1">
        <f t="array" ref="H185">RANK(I185,I3:I210)</f>
        <v>193</v>
      </c>
      <c r="I185" s="167" cm="1">
        <f t="array" ref="I185">VLOOKUP(A185,'Standard Deviations'!A1:C672,3,FALSE)</f>
        <v>-3.6941076043270926</v>
      </c>
      <c r="J185" s="167" cm="1">
        <f t="array" ref="J185">I185-VLOOKUP(B$2,H1:J210,2,FALSE)</f>
        <v>-10.581342206136171</v>
      </c>
    </row>
    <row r="186" spans="1:10" ht="21.25" customHeight="1" x14ac:dyDescent="0.15">
      <c r="A186" s="10" t="s">
        <v>730</v>
      </c>
      <c r="B186" s="96" t="str" cm="1">
        <f t="array" ref="B186">VLOOKUP(A186,'The List'!B1:D671,3,FALSE)</f>
        <v>LW,RW</v>
      </c>
      <c r="C186" s="97" cm="1">
        <f t="array" ref="C186">IF(Settings!$E$15="POINTS",RANK(E186,E3:E210),H186)</f>
        <v>177</v>
      </c>
      <c r="D186" s="18" t="str" cm="1">
        <f t="array" ref="D186">VLOOKUP(A186,'The List'!B1:F671,5,FALSE)</f>
        <v>UTA</v>
      </c>
      <c r="E186" s="55" cm="1">
        <f t="array" ref="E186">VLOOKUP(A186,'The List'!B1:I671,8,FALSE)</f>
        <v>-2.9853942071396324</v>
      </c>
      <c r="F186" s="55" cm="1">
        <f t="array" ref="F186">IF(Settings!$E$15="POINTS",E186-VLOOKUP(B$2,C1:E210,3,FALSE),J186)</f>
        <v>-9.8726288089487095</v>
      </c>
      <c r="G186" s="55"/>
      <c r="H186" s="166" cm="1">
        <f t="array" ref="H186">RANK(I186,I3:I210)</f>
        <v>177</v>
      </c>
      <c r="I186" s="167" cm="1">
        <f t="array" ref="I186">VLOOKUP(A186,'Standard Deviations'!A1:C672,3,FALSE)</f>
        <v>-2.9853942071396324</v>
      </c>
      <c r="J186" s="167" cm="1">
        <f t="array" ref="J186">I186-VLOOKUP(B$2,H1:J210,2,FALSE)</f>
        <v>-9.8726288089487095</v>
      </c>
    </row>
    <row r="187" spans="1:10" ht="21.25" customHeight="1" x14ac:dyDescent="0.15">
      <c r="A187" s="10" t="s">
        <v>731</v>
      </c>
      <c r="B187" s="96" t="str" cm="1">
        <f t="array" ref="B187">VLOOKUP(A187,'The List'!B1:D671,3,FALSE)</f>
        <v>LW,RW</v>
      </c>
      <c r="C187" s="97" cm="1">
        <f t="array" ref="C187">IF(Settings!$E$15="POINTS",RANK(E187,E3:E210),H187)</f>
        <v>135</v>
      </c>
      <c r="D187" s="18" t="str" cm="1">
        <f t="array" ref="D187">VLOOKUP(A187,'The List'!B1:F671,5,FALSE)</f>
        <v>CAR</v>
      </c>
      <c r="E187" s="55" cm="1">
        <f t="array" ref="E187">VLOOKUP(A187,'The List'!B1:I671,8,FALSE)</f>
        <v>-1.0146216631431979</v>
      </c>
      <c r="F187" s="55" cm="1">
        <f t="array" ref="F187">IF(Settings!$E$15="POINTS",E187-VLOOKUP(B$2,C1:E210,3,FALSE),J187)</f>
        <v>-7.9018562649522757</v>
      </c>
      <c r="G187" s="55"/>
      <c r="H187" s="166" cm="1">
        <f t="array" ref="H187">RANK(I187,I3:I210)</f>
        <v>135</v>
      </c>
      <c r="I187" s="167" cm="1">
        <f t="array" ref="I187">VLOOKUP(A187,'Standard Deviations'!A1:C672,3,FALSE)</f>
        <v>-1.0146216631431979</v>
      </c>
      <c r="J187" s="167" cm="1">
        <f t="array" ref="J187">I187-VLOOKUP(B$2,H1:J210,2,FALSE)</f>
        <v>-7.9018562649522757</v>
      </c>
    </row>
    <row r="188" spans="1:10" ht="21.25" customHeight="1" x14ac:dyDescent="0.15">
      <c r="A188" s="10" t="s">
        <v>733</v>
      </c>
      <c r="B188" s="96" t="str" cm="1">
        <f t="array" ref="B188">VLOOKUP(A188,'The List'!B1:D671,3,FALSE)</f>
        <v>RW</v>
      </c>
      <c r="C188" s="97" cm="1">
        <f t="array" ref="C188">IF(Settings!$E$15="POINTS",RANK(E188,E3:E210),H188)</f>
        <v>187</v>
      </c>
      <c r="D188" s="18" t="str" cm="1">
        <f t="array" ref="D188">VLOOKUP(A188,'The List'!B1:F671,5,FALSE)</f>
        <v>DET</v>
      </c>
      <c r="E188" s="55" cm="1">
        <f t="array" ref="E188">VLOOKUP(A188,'The List'!B1:I671,8,FALSE)</f>
        <v>-3.4217523248872075</v>
      </c>
      <c r="F188" s="55" cm="1">
        <f t="array" ref="F188">IF(Settings!$E$15="POINTS",E188-VLOOKUP(B$2,C1:E210,3,FALSE),J188)</f>
        <v>-10.308986926696285</v>
      </c>
      <c r="G188" s="55"/>
      <c r="H188" s="166" cm="1">
        <f t="array" ref="H188">RANK(I188,I3:I210)</f>
        <v>187</v>
      </c>
      <c r="I188" s="167" cm="1">
        <f t="array" ref="I188">VLOOKUP(A188,'Standard Deviations'!A1:C672,3,FALSE)</f>
        <v>-3.4217523248872075</v>
      </c>
      <c r="J188" s="167" cm="1">
        <f t="array" ref="J188">I188-VLOOKUP(B$2,H1:J210,2,FALSE)</f>
        <v>-10.308986926696285</v>
      </c>
    </row>
    <row r="189" spans="1:10" ht="21.25" customHeight="1" x14ac:dyDescent="0.15">
      <c r="A189" s="10" t="s">
        <v>736</v>
      </c>
      <c r="B189" s="96" t="str" cm="1">
        <f t="array" ref="B189">VLOOKUP(A189,'The List'!B1:D671,3,FALSE)</f>
        <v>C,RW</v>
      </c>
      <c r="C189" s="97" cm="1">
        <f t="array" ref="C189">IF(Settings!$E$15="POINTS",RANK(E189,E3:E210),H189)</f>
        <v>152</v>
      </c>
      <c r="D189" s="18" t="str" cm="1">
        <f t="array" ref="D189">VLOOKUP(A189,'The List'!B1:F671,5,FALSE)</f>
        <v>CGY</v>
      </c>
      <c r="E189" s="55" cm="1">
        <f t="array" ref="E189">VLOOKUP(A189,'The List'!B1:I671,8,FALSE)</f>
        <v>-1.619234432600376</v>
      </c>
      <c r="F189" s="55" cm="1">
        <f t="array" ref="F189">IF(Settings!$E$15="POINTS",E189-VLOOKUP(B$2,C1:E210,3,FALSE),J189)</f>
        <v>-8.506469034409454</v>
      </c>
      <c r="G189" s="55"/>
      <c r="H189" s="166" cm="1">
        <f t="array" ref="H189">RANK(I189,I3:I210)</f>
        <v>152</v>
      </c>
      <c r="I189" s="167" cm="1">
        <f t="array" ref="I189">VLOOKUP(A189,'Standard Deviations'!A1:C672,3,FALSE)</f>
        <v>-1.619234432600376</v>
      </c>
      <c r="J189" s="167" cm="1">
        <f t="array" ref="J189">I189-VLOOKUP(B$2,H1:J210,2,FALSE)</f>
        <v>-8.506469034409454</v>
      </c>
    </row>
    <row r="190" spans="1:10" ht="21.25" customHeight="1" x14ac:dyDescent="0.15">
      <c r="A190" s="10" t="s">
        <v>745</v>
      </c>
      <c r="B190" s="96" t="str" cm="1">
        <f t="array" ref="B190">VLOOKUP(A190,'The List'!B1:D671,3,FALSE)</f>
        <v>RW</v>
      </c>
      <c r="C190" s="97" cm="1">
        <f t="array" ref="C190">IF(Settings!$E$15="POINTS",RANK(E190,E3:E210),H190)</f>
        <v>185</v>
      </c>
      <c r="D190" s="18" t="str" cm="1">
        <f t="array" ref="D190">VLOOKUP(A190,'The List'!B1:F671,5,FALSE)</f>
        <v>N.J</v>
      </c>
      <c r="E190" s="55" cm="1">
        <f t="array" ref="E190">VLOOKUP(A190,'The List'!B1:I671,8,FALSE)</f>
        <v>-3.2310887533119801</v>
      </c>
      <c r="F190" s="55" cm="1">
        <f t="array" ref="F190">IF(Settings!$E$15="POINTS",E190-VLOOKUP(B$2,C1:E210,3,FALSE),J190)</f>
        <v>-10.118323355121058</v>
      </c>
      <c r="G190" s="55"/>
      <c r="H190" s="166" cm="1">
        <f t="array" ref="H190">RANK(I190,I3:I210)</f>
        <v>185</v>
      </c>
      <c r="I190" s="167" cm="1">
        <f t="array" ref="I190">VLOOKUP(A190,'Standard Deviations'!A1:C672,3,FALSE)</f>
        <v>-3.2310887533119801</v>
      </c>
      <c r="J190" s="167" cm="1">
        <f t="array" ref="J190">I190-VLOOKUP(B$2,H1:J210,2,FALSE)</f>
        <v>-10.118323355121058</v>
      </c>
    </row>
    <row r="191" spans="1:10" ht="21.25" customHeight="1" x14ac:dyDescent="0.15">
      <c r="A191" s="10" t="s">
        <v>746</v>
      </c>
      <c r="B191" s="96" t="str" cm="1">
        <f t="array" ref="B191">VLOOKUP(A191,'The List'!B1:D671,3,FALSE)</f>
        <v>RW</v>
      </c>
      <c r="C191" s="97" cm="1">
        <f t="array" ref="C191">IF(Settings!$E$15="POINTS",RANK(E191,E3:E210),H191)</f>
        <v>201</v>
      </c>
      <c r="D191" s="18" t="str" cm="1">
        <f t="array" ref="D191">VLOOKUP(A191,'The List'!B1:F671,5,FALSE)</f>
        <v>VAN</v>
      </c>
      <c r="E191" s="55" cm="1">
        <f t="array" ref="E191">VLOOKUP(A191,'The List'!B1:I671,8,FALSE)</f>
        <v>-4.4066524949900705</v>
      </c>
      <c r="F191" s="55" cm="1">
        <f t="array" ref="F191">IF(Settings!$E$15="POINTS",E191-VLOOKUP(B$2,C1:E210,3,FALSE),J191)</f>
        <v>-11.293887096799148</v>
      </c>
      <c r="G191" s="55"/>
      <c r="H191" s="166" cm="1">
        <f t="array" ref="H191">RANK(I191,I3:I210)</f>
        <v>201</v>
      </c>
      <c r="I191" s="167" cm="1">
        <f t="array" ref="I191">VLOOKUP(A191,'Standard Deviations'!A1:C672,3,FALSE)</f>
        <v>-4.4066524949900705</v>
      </c>
      <c r="J191" s="167" cm="1">
        <f t="array" ref="J191">I191-VLOOKUP(B$2,H1:J210,2,FALSE)</f>
        <v>-11.293887096799148</v>
      </c>
    </row>
    <row r="192" spans="1:10" ht="21.25" customHeight="1" x14ac:dyDescent="0.15">
      <c r="A192" s="10" t="s">
        <v>752</v>
      </c>
      <c r="B192" s="96" t="str" cm="1">
        <f t="array" ref="B192">VLOOKUP(A192,'The List'!B1:D671,3,FALSE)</f>
        <v>C,LW,RW</v>
      </c>
      <c r="C192" s="97" cm="1">
        <f t="array" ref="C192">IF(Settings!$E$15="POINTS",RANK(E192,E3:E210),H192)</f>
        <v>117</v>
      </c>
      <c r="D192" s="18" t="str" cm="1">
        <f t="array" ref="D192">VLOOKUP(A192,'The List'!B1:F671,5,FALSE)</f>
        <v>EDM</v>
      </c>
      <c r="E192" s="55" cm="1">
        <f t="array" ref="E192">VLOOKUP(A192,'The List'!B1:I671,8,FALSE)</f>
        <v>-0.33342779672342404</v>
      </c>
      <c r="F192" s="55" cm="1">
        <f t="array" ref="F192">IF(Settings!$E$15="POINTS",E192-VLOOKUP(B$2,C1:E210,3,FALSE),J192)</f>
        <v>-7.220662398532502</v>
      </c>
      <c r="G192" s="55"/>
      <c r="H192" s="166" cm="1">
        <f t="array" ref="H192">RANK(I192,I3:I210)</f>
        <v>117</v>
      </c>
      <c r="I192" s="167" cm="1">
        <f t="array" ref="I192">VLOOKUP(A192,'Standard Deviations'!A1:C672,3,FALSE)</f>
        <v>-0.33342779672342404</v>
      </c>
      <c r="J192" s="167" cm="1">
        <f t="array" ref="J192">I192-VLOOKUP(B$2,H1:J210,2,FALSE)</f>
        <v>-7.220662398532502</v>
      </c>
    </row>
    <row r="193" spans="1:10" ht="21.25" customHeight="1" x14ac:dyDescent="0.15">
      <c r="A193" s="10" t="s">
        <v>753</v>
      </c>
      <c r="B193" s="96" t="str" cm="1">
        <f t="array" ref="B193">VLOOKUP(A193,'The List'!B1:D671,3,FALSE)</f>
        <v>RW</v>
      </c>
      <c r="C193" s="97" cm="1">
        <f t="array" ref="C193">IF(Settings!$E$15="POINTS",RANK(E193,E3:E210),H193)</f>
        <v>197</v>
      </c>
      <c r="D193" s="18" t="str" cm="1">
        <f t="array" ref="D193">VLOOKUP(A193,'The List'!B1:F671,5,FALSE)</f>
        <v>STL</v>
      </c>
      <c r="E193" s="55" cm="1">
        <f t="array" ref="E193">VLOOKUP(A193,'The List'!B1:I671,8,FALSE)</f>
        <v>-3.8707791597885675</v>
      </c>
      <c r="F193" s="55" cm="1">
        <f t="array" ref="F193">IF(Settings!$E$15="POINTS",E193-VLOOKUP(B$2,C1:E210,3,FALSE),J193)</f>
        <v>-10.758013761597645</v>
      </c>
      <c r="G193" s="55"/>
      <c r="H193" s="166" cm="1">
        <f t="array" ref="H193">RANK(I193,I3:I210)</f>
        <v>197</v>
      </c>
      <c r="I193" s="167" cm="1">
        <f t="array" ref="I193">VLOOKUP(A193,'Standard Deviations'!A1:C672,3,FALSE)</f>
        <v>-3.8707791597885675</v>
      </c>
      <c r="J193" s="167" cm="1">
        <f t="array" ref="J193">I193-VLOOKUP(B$2,H1:J210,2,FALSE)</f>
        <v>-10.758013761597645</v>
      </c>
    </row>
    <row r="194" spans="1:10" ht="21.25" customHeight="1" x14ac:dyDescent="0.15">
      <c r="A194" s="10" t="s">
        <v>756</v>
      </c>
      <c r="B194" s="96" t="str" cm="1">
        <f t="array" ref="B194">VLOOKUP(A194,'The List'!B1:D671,3,FALSE)</f>
        <v>RW</v>
      </c>
      <c r="C194" s="97" cm="1">
        <f t="array" ref="C194">IF(Settings!$E$15="POINTS",RANK(E194,E3:E210),H194)</f>
        <v>195</v>
      </c>
      <c r="D194" s="18" t="str" cm="1">
        <f t="array" ref="D194">VLOOKUP(A194,'The List'!B1:F671,5,FALSE)</f>
        <v>N.J</v>
      </c>
      <c r="E194" s="55" cm="1">
        <f t="array" ref="E194">VLOOKUP(A194,'The List'!B1:I671,8,FALSE)</f>
        <v>-3.7842982068751092</v>
      </c>
      <c r="F194" s="55" cm="1">
        <f t="array" ref="F194">IF(Settings!$E$15="POINTS",E194-VLOOKUP(B$2,C1:E210,3,FALSE),J194)</f>
        <v>-10.671532808684187</v>
      </c>
      <c r="G194" s="55"/>
      <c r="H194" s="166" cm="1">
        <f t="array" ref="H194">RANK(I194,I3:I210)</f>
        <v>195</v>
      </c>
      <c r="I194" s="167" cm="1">
        <f t="array" ref="I194">VLOOKUP(A194,'Standard Deviations'!A1:C672,3,FALSE)</f>
        <v>-3.7842982068751092</v>
      </c>
      <c r="J194" s="167" cm="1">
        <f t="array" ref="J194">I194-VLOOKUP(B$2,H1:J210,2,FALSE)</f>
        <v>-10.671532808684187</v>
      </c>
    </row>
    <row r="195" spans="1:10" ht="21.25" customHeight="1" x14ac:dyDescent="0.15">
      <c r="A195" s="10" t="s">
        <v>759</v>
      </c>
      <c r="B195" s="96" t="str" cm="1">
        <f t="array" ref="B195">VLOOKUP(A195,'The List'!B1:D671,3,FALSE)</f>
        <v>LW,RW</v>
      </c>
      <c r="C195" s="97" cm="1">
        <f t="array" ref="C195">IF(Settings!$E$15="POINTS",RANK(E195,E3:E210),H195)</f>
        <v>172</v>
      </c>
      <c r="D195" s="18" t="str" cm="1">
        <f t="array" ref="D195">VLOOKUP(A195,'The List'!B1:F671,5,FALSE)</f>
        <v>PIT</v>
      </c>
      <c r="E195" s="55" cm="1">
        <f t="array" ref="E195">VLOOKUP(A195,'The List'!B1:I671,8,FALSE)</f>
        <v>-2.7186296687408822</v>
      </c>
      <c r="F195" s="55" cm="1">
        <f t="array" ref="F195">IF(Settings!$E$15="POINTS",E195-VLOOKUP(B$2,C1:E210,3,FALSE),J195)</f>
        <v>-9.6058642705499597</v>
      </c>
      <c r="G195" s="55"/>
      <c r="H195" s="166" cm="1">
        <f t="array" ref="H195">RANK(I195,I3:I210)</f>
        <v>172</v>
      </c>
      <c r="I195" s="167" cm="1">
        <f t="array" ref="I195">VLOOKUP(A195,'Standard Deviations'!A1:C672,3,FALSE)</f>
        <v>-2.7186296687408822</v>
      </c>
      <c r="J195" s="167" cm="1">
        <f t="array" ref="J195">I195-VLOOKUP(B$2,H1:J210,2,FALSE)</f>
        <v>-9.6058642705499597</v>
      </c>
    </row>
    <row r="196" spans="1:10" ht="21.25" customHeight="1" x14ac:dyDescent="0.15">
      <c r="A196" s="10" t="s">
        <v>761</v>
      </c>
      <c r="B196" s="96" t="str" cm="1">
        <f t="array" ref="B196">VLOOKUP(A196,'The List'!B1:D671,3,FALSE)</f>
        <v>RW</v>
      </c>
      <c r="C196" s="97" cm="1">
        <f t="array" ref="C196">IF(Settings!$E$15="POINTS",RANK(E196,E3:E210),H196)</f>
        <v>180</v>
      </c>
      <c r="D196" s="18" t="str" cm="1">
        <f t="array" ref="D196">VLOOKUP(A196,'The List'!B1:F671,5,FALSE)</f>
        <v>VGK</v>
      </c>
      <c r="E196" s="55" cm="1">
        <f t="array" ref="E196">VLOOKUP(A196,'The List'!B1:I671,8,FALSE)</f>
        <v>-3.0606294096661228</v>
      </c>
      <c r="F196" s="55" cm="1">
        <f t="array" ref="F196">IF(Settings!$E$15="POINTS",E196-VLOOKUP(B$2,C1:E210,3,FALSE),J196)</f>
        <v>-9.9478640114752004</v>
      </c>
      <c r="G196" s="55"/>
      <c r="H196" s="166" cm="1">
        <f t="array" ref="H196">RANK(I196,I3:I210)</f>
        <v>180</v>
      </c>
      <c r="I196" s="167" cm="1">
        <f t="array" ref="I196">VLOOKUP(A196,'Standard Deviations'!A1:C672,3,FALSE)</f>
        <v>-3.0606294096661228</v>
      </c>
      <c r="J196" s="167" cm="1">
        <f t="array" ref="J196">I196-VLOOKUP(B$2,H1:J210,2,FALSE)</f>
        <v>-9.9478640114752004</v>
      </c>
    </row>
    <row r="197" spans="1:10" ht="21.25" customHeight="1" x14ac:dyDescent="0.15">
      <c r="A197" s="10" t="s">
        <v>762</v>
      </c>
      <c r="B197" s="96" t="str" cm="1">
        <f t="array" ref="B197">VLOOKUP(A197,'The List'!B1:D671,3,FALSE)</f>
        <v>LW,RW</v>
      </c>
      <c r="C197" s="97" cm="1">
        <f t="array" ref="C197">IF(Settings!$E$15="POINTS",RANK(E197,E3:E210),H197)</f>
        <v>163</v>
      </c>
      <c r="D197" s="18" t="str" cm="1">
        <f t="array" ref="D197">VLOOKUP(A197,'The List'!B1:F671,5,FALSE)</f>
        <v>TOR</v>
      </c>
      <c r="E197" s="55" cm="1">
        <f t="array" ref="E197">VLOOKUP(A197,'The List'!B1:I671,8,FALSE)</f>
        <v>-2.1703472375258155</v>
      </c>
      <c r="F197" s="55" cm="1">
        <f t="array" ref="F197">IF(Settings!$E$15="POINTS",E197-VLOOKUP(B$2,C1:E210,3,FALSE),J197)</f>
        <v>-9.0575818393348939</v>
      </c>
      <c r="G197" s="55"/>
      <c r="H197" s="166" cm="1">
        <f t="array" ref="H197">RANK(I197,I3:I210)</f>
        <v>163</v>
      </c>
      <c r="I197" s="167" cm="1">
        <f t="array" ref="I197">VLOOKUP(A197,'Standard Deviations'!A1:C672,3,FALSE)</f>
        <v>-2.1703472375258155</v>
      </c>
      <c r="J197" s="167" cm="1">
        <f t="array" ref="J197">I197-VLOOKUP(B$2,H1:J210,2,FALSE)</f>
        <v>-9.0575818393348939</v>
      </c>
    </row>
    <row r="198" spans="1:10" ht="21.25" customHeight="1" x14ac:dyDescent="0.15">
      <c r="A198" s="10" t="s">
        <v>763</v>
      </c>
      <c r="B198" s="96" t="str" cm="1">
        <f t="array" ref="B198">VLOOKUP(A198,'The List'!B1:D671,3,FALSE)</f>
        <v>LW,RW</v>
      </c>
      <c r="C198" s="97" cm="1">
        <f t="array" ref="C198">IF(Settings!$E$15="POINTS",RANK(E198,E3:E210),H198)</f>
        <v>198</v>
      </c>
      <c r="D198" s="18" t="str" cm="1">
        <f t="array" ref="D198">VLOOKUP(A198,'The List'!B1:F671,5,FALSE)</f>
        <v>CGY</v>
      </c>
      <c r="E198" s="55" cm="1">
        <f t="array" ref="E198">VLOOKUP(A198,'The List'!B1:I671,8,FALSE)</f>
        <v>-4.0634360510744019</v>
      </c>
      <c r="F198" s="55" cm="1">
        <f t="array" ref="F198">IF(Settings!$E$15="POINTS",E198-VLOOKUP(B$2,C1:E210,3,FALSE),J198)</f>
        <v>-10.950670652883479</v>
      </c>
      <c r="G198" s="55"/>
      <c r="H198" s="166" cm="1">
        <f t="array" ref="H198">RANK(I198,I3:I210)</f>
        <v>198</v>
      </c>
      <c r="I198" s="167" cm="1">
        <f t="array" ref="I198">VLOOKUP(A198,'Standard Deviations'!A1:C672,3,FALSE)</f>
        <v>-4.0634360510744019</v>
      </c>
      <c r="J198" s="167" cm="1">
        <f t="array" ref="J198">I198-VLOOKUP(B$2,H1:J210,2,FALSE)</f>
        <v>-10.950670652883479</v>
      </c>
    </row>
    <row r="199" spans="1:10" ht="21.25" customHeight="1" x14ac:dyDescent="0.15">
      <c r="A199" s="10" t="s">
        <v>769</v>
      </c>
      <c r="B199" s="96" t="str" cm="1">
        <f t="array" ref="B199">VLOOKUP(A199,'The List'!B1:D671,3,FALSE)</f>
        <v>C,RW</v>
      </c>
      <c r="C199" s="97" cm="1">
        <f t="array" ref="C199">IF(Settings!$E$15="POINTS",RANK(E199,E3:E210),H199)</f>
        <v>166</v>
      </c>
      <c r="D199" s="18" t="str" cm="1">
        <f t="array" ref="D199">VLOOKUP(A199,'The List'!B1:F671,5,FALSE)</f>
        <v>DAL</v>
      </c>
      <c r="E199" s="55" cm="1">
        <f t="array" ref="E199">VLOOKUP(A199,'The List'!B1:I671,8,FALSE)</f>
        <v>-2.3143111037597985</v>
      </c>
      <c r="F199" s="55" cm="1">
        <f t="array" ref="F199">IF(Settings!$E$15="POINTS",E199-VLOOKUP(B$2,C1:E210,3,FALSE),J199)</f>
        <v>-9.2015457055688756</v>
      </c>
      <c r="G199" s="55"/>
      <c r="H199" s="166" cm="1">
        <f t="array" ref="H199">RANK(I199,I3:I210)</f>
        <v>166</v>
      </c>
      <c r="I199" s="167" cm="1">
        <f t="array" ref="I199">VLOOKUP(A199,'Standard Deviations'!A1:C672,3,FALSE)</f>
        <v>-2.3143111037597985</v>
      </c>
      <c r="J199" s="167" cm="1">
        <f t="array" ref="J199">I199-VLOOKUP(B$2,H1:J210,2,FALSE)</f>
        <v>-9.2015457055688756</v>
      </c>
    </row>
    <row r="200" spans="1:10" ht="21.25" customHeight="1" x14ac:dyDescent="0.15">
      <c r="A200" s="10" t="s">
        <v>772</v>
      </c>
      <c r="B200" s="96" t="str" cm="1">
        <f t="array" ref="B200">VLOOKUP(A200,'The List'!B1:D671,3,FALSE)</f>
        <v>RW</v>
      </c>
      <c r="C200" s="97" cm="1">
        <f t="array" ref="C200">IF(Settings!$E$15="POINTS",RANK(E200,E3:E210),H200)</f>
        <v>178</v>
      </c>
      <c r="D200" s="18" t="str" cm="1">
        <f t="array" ref="D200">VLOOKUP(A200,'The List'!B1:F671,5,FALSE)</f>
        <v>COL</v>
      </c>
      <c r="E200" s="55" cm="1">
        <f t="array" ref="E200">VLOOKUP(A200,'The List'!B1:I671,8,FALSE)</f>
        <v>-3.0396598546849933</v>
      </c>
      <c r="F200" s="55" cm="1">
        <f t="array" ref="F200">IF(Settings!$E$15="POINTS",E200-VLOOKUP(B$2,C1:E210,3,FALSE),J200)</f>
        <v>-9.9268944564940718</v>
      </c>
      <c r="G200" s="55"/>
      <c r="H200" s="166" cm="1">
        <f t="array" ref="H200">RANK(I200,I3:I210)</f>
        <v>178</v>
      </c>
      <c r="I200" s="167" cm="1">
        <f t="array" ref="I200">VLOOKUP(A200,'Standard Deviations'!A1:C672,3,FALSE)</f>
        <v>-3.0396598546849933</v>
      </c>
      <c r="J200" s="167" cm="1">
        <f t="array" ref="J200">I200-VLOOKUP(B$2,H1:J210,2,FALSE)</f>
        <v>-9.9268944564940718</v>
      </c>
    </row>
    <row r="201" spans="1:10" ht="21.25" customHeight="1" x14ac:dyDescent="0.15">
      <c r="A201" s="10" t="s">
        <v>777</v>
      </c>
      <c r="B201" s="96" t="str" cm="1">
        <f t="array" ref="B201">VLOOKUP(A201,'The List'!B1:D671,3,FALSE)</f>
        <v>LW,RW</v>
      </c>
      <c r="C201" s="97" cm="1">
        <f t="array" ref="C201">IF(Settings!$E$15="POINTS",RANK(E201,E3:E210),H201)</f>
        <v>189</v>
      </c>
      <c r="D201" s="18" t="str" cm="1">
        <f t="array" ref="D201">VLOOKUP(A201,'The List'!B1:F671,5,FALSE)</f>
        <v>PHI</v>
      </c>
      <c r="E201" s="55" cm="1">
        <f t="array" ref="E201">VLOOKUP(A201,'The List'!B1:I671,8,FALSE)</f>
        <v>-3.5019036343420527</v>
      </c>
      <c r="F201" s="55" cm="1">
        <f t="array" ref="F201">IF(Settings!$E$15="POINTS",E201-VLOOKUP(B$2,C1:E210,3,FALSE),J201)</f>
        <v>-10.38913823615113</v>
      </c>
      <c r="G201" s="55"/>
      <c r="H201" s="166" cm="1">
        <f t="array" ref="H201">RANK(I201,I3:I210)</f>
        <v>189</v>
      </c>
      <c r="I201" s="167" cm="1">
        <f t="array" ref="I201">VLOOKUP(A201,'Standard Deviations'!A1:C672,3,FALSE)</f>
        <v>-3.5019036343420527</v>
      </c>
      <c r="J201" s="167" cm="1">
        <f t="array" ref="J201">I201-VLOOKUP(B$2,H1:J210,2,FALSE)</f>
        <v>-10.38913823615113</v>
      </c>
    </row>
    <row r="202" spans="1:10" ht="21.25" customHeight="1" x14ac:dyDescent="0.15">
      <c r="A202" s="10" t="s">
        <v>780</v>
      </c>
      <c r="B202" s="96" t="str" cm="1">
        <f t="array" ref="B202">VLOOKUP(A202,'The List'!B1:D671,3,FALSE)</f>
        <v>RW</v>
      </c>
      <c r="C202" s="97" cm="1">
        <f t="array" ref="C202">IF(Settings!$E$15="POINTS",RANK(E202,E3:E210),H202)</f>
        <v>207</v>
      </c>
      <c r="D202" s="18" t="str" cm="1">
        <f t="array" ref="D202">VLOOKUP(A202,'The List'!B1:F671,5,FALSE)</f>
        <v>SEA</v>
      </c>
      <c r="E202" s="55" cm="1">
        <f t="array" ref="E202">VLOOKUP(A202,'The List'!B1:I671,8,FALSE)</f>
        <v>-5.4349542901548968</v>
      </c>
      <c r="F202" s="55" cm="1">
        <f t="array" ref="F202">IF(Settings!$E$15="POINTS",E202-VLOOKUP(B$2,C1:E210,3,FALSE),J202)</f>
        <v>-12.322188891963975</v>
      </c>
      <c r="G202" s="55"/>
      <c r="H202" s="166" cm="1">
        <f t="array" ref="H202">RANK(I202,I3:I210)</f>
        <v>207</v>
      </c>
      <c r="I202" s="167" cm="1">
        <f t="array" ref="I202">VLOOKUP(A202,'Standard Deviations'!A1:C672,3,FALSE)</f>
        <v>-5.4349542901548968</v>
      </c>
      <c r="J202" s="167" cm="1">
        <f t="array" ref="J202">I202-VLOOKUP(B$2,H1:J210,2,FALSE)</f>
        <v>-12.322188891963975</v>
      </c>
    </row>
    <row r="203" spans="1:10" ht="21.25" customHeight="1" x14ac:dyDescent="0.15">
      <c r="A203" s="10" t="s">
        <v>782</v>
      </c>
      <c r="B203" s="96" t="str" cm="1">
        <f t="array" ref="B203">VLOOKUP(A203,'The List'!B1:D671,3,FALSE)</f>
        <v>LW,RW</v>
      </c>
      <c r="C203" s="97" cm="1">
        <f t="array" ref="C203">IF(Settings!$E$15="POINTS",RANK(E203,E3:E210),H203)</f>
        <v>176</v>
      </c>
      <c r="D203" s="18" t="str" cm="1">
        <f t="array" ref="D203">VLOOKUP(A203,'The List'!B1:F671,5,FALSE)</f>
        <v>UTA</v>
      </c>
      <c r="E203" s="55" cm="1">
        <f t="array" ref="E203">VLOOKUP(A203,'The List'!B1:I671,8,FALSE)</f>
        <v>-2.9801103622299596</v>
      </c>
      <c r="F203" s="55" cm="1">
        <f t="array" ref="F203">IF(Settings!$E$15="POINTS",E203-VLOOKUP(B$2,C1:E210,3,FALSE),J203)</f>
        <v>-9.867344964039038</v>
      </c>
      <c r="G203" s="55"/>
      <c r="H203" s="166" cm="1">
        <f t="array" ref="H203">RANK(I203,I3:I210)</f>
        <v>176</v>
      </c>
      <c r="I203" s="167" cm="1">
        <f t="array" ref="I203">VLOOKUP(A203,'Standard Deviations'!A1:C672,3,FALSE)</f>
        <v>-2.9801103622299596</v>
      </c>
      <c r="J203" s="167" cm="1">
        <f t="array" ref="J203">I203-VLOOKUP(B$2,H1:J210,2,FALSE)</f>
        <v>-9.867344964039038</v>
      </c>
    </row>
    <row r="204" spans="1:10" ht="21.25" customHeight="1" x14ac:dyDescent="0.15">
      <c r="A204" s="10" t="s">
        <v>784</v>
      </c>
      <c r="B204" s="96" t="str" cm="1">
        <f t="array" ref="B204">VLOOKUP(A204,'The List'!B1:D671,3,FALSE)</f>
        <v>RW</v>
      </c>
      <c r="C204" s="97" cm="1">
        <f t="array" ref="C204">IF(Settings!$E$15="POINTS",RANK(E204,E3:E210),H204)</f>
        <v>124</v>
      </c>
      <c r="D204" s="18" t="str" cm="1">
        <f t="array" ref="D204">VLOOKUP(A204,'The List'!B1:F671,5,FALSE)</f>
        <v>FLA</v>
      </c>
      <c r="E204" s="55" cm="1">
        <f t="array" ref="E204">VLOOKUP(A204,'The List'!B1:I671,8,FALSE)</f>
        <v>-0.64621268206791205</v>
      </c>
      <c r="F204" s="55" cm="1">
        <f t="array" ref="F204">IF(Settings!$E$15="POINTS",E204-VLOOKUP(B$2,C1:E210,3,FALSE),J204)</f>
        <v>-7.5334472838769893</v>
      </c>
      <c r="G204" s="55"/>
      <c r="H204" s="166" cm="1">
        <f t="array" ref="H204">RANK(I204,I3:I210)</f>
        <v>124</v>
      </c>
      <c r="I204" s="167" cm="1">
        <f t="array" ref="I204">VLOOKUP(A204,'Standard Deviations'!A1:C672,3,FALSE)</f>
        <v>-0.64621268206791205</v>
      </c>
      <c r="J204" s="167" cm="1">
        <f t="array" ref="J204">I204-VLOOKUP(B$2,H1:J210,2,FALSE)</f>
        <v>-7.5334472838769893</v>
      </c>
    </row>
    <row r="205" spans="1:10" ht="21.25" customHeight="1" x14ac:dyDescent="0.15">
      <c r="A205" s="10" t="s">
        <v>786</v>
      </c>
      <c r="B205" s="96" t="str" cm="1">
        <f t="array" ref="B205">VLOOKUP(A205,'The List'!B1:D671,3,FALSE)</f>
        <v>RW</v>
      </c>
      <c r="C205" s="97" cm="1">
        <f t="array" ref="C205">IF(Settings!$E$15="POINTS",RANK(E205,E3:E210),H205)</f>
        <v>190</v>
      </c>
      <c r="D205" s="18" t="str" cm="1">
        <f t="array" ref="D205">VLOOKUP(A205,'The List'!B1:F671,5,FALSE)</f>
        <v>NSH</v>
      </c>
      <c r="E205" s="55" cm="1">
        <f t="array" ref="E205">VLOOKUP(A205,'The List'!B1:I671,8,FALSE)</f>
        <v>-3.515069715972825</v>
      </c>
      <c r="F205" s="55" cm="1">
        <f t="array" ref="F205">IF(Settings!$E$15="POINTS",E205-VLOOKUP(B$2,C1:E210,3,FALSE),J205)</f>
        <v>-10.402304317781903</v>
      </c>
      <c r="G205" s="55"/>
      <c r="H205" s="166" cm="1">
        <f t="array" ref="H205">RANK(I205,I3:I210)</f>
        <v>190</v>
      </c>
      <c r="I205" s="167" cm="1">
        <f t="array" ref="I205">VLOOKUP(A205,'Standard Deviations'!A1:C672,3,FALSE)</f>
        <v>-3.515069715972825</v>
      </c>
      <c r="J205" s="167" cm="1">
        <f t="array" ref="J205">I205-VLOOKUP(B$2,H1:J210,2,FALSE)</f>
        <v>-10.402304317781903</v>
      </c>
    </row>
    <row r="206" spans="1:10" ht="21.25" customHeight="1" x14ac:dyDescent="0.15">
      <c r="A206" s="10" t="s">
        <v>787</v>
      </c>
      <c r="B206" s="96" t="str" cm="1">
        <f t="array" ref="B206">VLOOKUP(A206,'The List'!B1:D671,3,FALSE)</f>
        <v>LW,RW</v>
      </c>
      <c r="C206" s="97" cm="1">
        <f t="array" ref="C206">IF(Settings!$E$15="POINTS",RANK(E206,E3:E210),H206)</f>
        <v>206</v>
      </c>
      <c r="D206" s="18" t="str" cm="1">
        <f t="array" ref="D206">VLOOKUP(A206,'The List'!B1:F671,5,FALSE)</f>
        <v>CHI</v>
      </c>
      <c r="E206" s="55" cm="1">
        <f t="array" ref="E206">VLOOKUP(A206,'The List'!B1:I671,8,FALSE)</f>
        <v>-5.3817048702612533</v>
      </c>
      <c r="F206" s="55" cm="1">
        <f t="array" ref="F206">IF(Settings!$E$15="POINTS",E206-VLOOKUP(B$2,C1:E210,3,FALSE),J206)</f>
        <v>-12.268939472070331</v>
      </c>
      <c r="G206" s="55"/>
      <c r="H206" s="166" cm="1">
        <f t="array" ref="H206">RANK(I206,I3:I210)</f>
        <v>206</v>
      </c>
      <c r="I206" s="167" cm="1">
        <f t="array" ref="I206">VLOOKUP(A206,'Standard Deviations'!A1:C672,3,FALSE)</f>
        <v>-5.3817048702612533</v>
      </c>
      <c r="J206" s="167" cm="1">
        <f t="array" ref="J206">I206-VLOOKUP(B$2,H1:J210,2,FALSE)</f>
        <v>-12.268939472070331</v>
      </c>
    </row>
    <row r="207" spans="1:10" ht="21.25" customHeight="1" x14ac:dyDescent="0.15">
      <c r="A207" s="10" t="s">
        <v>789</v>
      </c>
      <c r="B207" s="96" t="str" cm="1">
        <f t="array" ref="B207">VLOOKUP(A207,'The List'!B1:D671,3,FALSE)</f>
        <v>RW</v>
      </c>
      <c r="C207" s="97" cm="1">
        <f t="array" ref="C207">IF(Settings!$E$15="POINTS",RANK(E207,E3:E210),H207)</f>
        <v>194</v>
      </c>
      <c r="D207" s="18" t="str" cm="1">
        <f t="array" ref="D207">VLOOKUP(A207,'The List'!B1:F671,5,FALSE)</f>
        <v>NYR</v>
      </c>
      <c r="E207" s="55" cm="1">
        <f t="array" ref="E207">VLOOKUP(A207,'The List'!B1:I671,8,FALSE)</f>
        <v>-3.70261586159394</v>
      </c>
      <c r="F207" s="55" cm="1">
        <f t="array" ref="F207">IF(Settings!$E$15="POINTS",E207-VLOOKUP(B$2,C1:E210,3,FALSE),J207)</f>
        <v>-10.589850463403017</v>
      </c>
      <c r="G207" s="55"/>
      <c r="H207" s="166" cm="1">
        <f t="array" ref="H207">RANK(I207,I3:I210)</f>
        <v>194</v>
      </c>
      <c r="I207" s="167" cm="1">
        <f t="array" ref="I207">VLOOKUP(A207,'Standard Deviations'!A1:C672,3,FALSE)</f>
        <v>-3.70261586159394</v>
      </c>
      <c r="J207" s="167" cm="1">
        <f t="array" ref="J207">I207-VLOOKUP(B$2,H1:J210,2,FALSE)</f>
        <v>-10.589850463403017</v>
      </c>
    </row>
    <row r="208" spans="1:10" ht="21.25" customHeight="1" x14ac:dyDescent="0.15">
      <c r="A208" s="10" t="s">
        <v>790</v>
      </c>
      <c r="B208" s="96" t="str" cm="1">
        <f t="array" ref="B208">VLOOKUP(A208,'The List'!B1:D671,3,FALSE)</f>
        <v>RW</v>
      </c>
      <c r="C208" s="97" cm="1">
        <f t="array" ref="C208">IF(Settings!$E$15="POINTS",RANK(E208,E3:E210),H208)</f>
        <v>200</v>
      </c>
      <c r="D208" s="18" t="str" cm="1">
        <f t="array" ref="D208">VLOOKUP(A208,'The List'!B1:F671,5,FALSE)</f>
        <v>VGK</v>
      </c>
      <c r="E208" s="55" cm="1">
        <f t="array" ref="E208">VLOOKUP(A208,'The List'!B1:I671,8,FALSE)</f>
        <v>-4.2781138537097068</v>
      </c>
      <c r="F208" s="55" cm="1">
        <f t="array" ref="F208">IF(Settings!$E$15="POINTS",E208-VLOOKUP(B$2,C1:E210,3,FALSE),J208)</f>
        <v>-11.165348455518785</v>
      </c>
      <c r="G208" s="55"/>
      <c r="H208" s="166" cm="1">
        <f t="array" ref="H208">RANK(I208,I3:I210)</f>
        <v>200</v>
      </c>
      <c r="I208" s="167" cm="1">
        <f t="array" ref="I208">VLOOKUP(A208,'Standard Deviations'!A1:C672,3,FALSE)</f>
        <v>-4.2781138537097068</v>
      </c>
      <c r="J208" s="167" cm="1">
        <f t="array" ref="J208">I208-VLOOKUP(B$2,H1:J210,2,FALSE)</f>
        <v>-11.165348455518785</v>
      </c>
    </row>
    <row r="209" spans="1:10" ht="21.25" customHeight="1" x14ac:dyDescent="0.15">
      <c r="A209" s="10" t="s">
        <v>794</v>
      </c>
      <c r="B209" s="96" t="str" cm="1">
        <f t="array" ref="B209">VLOOKUP(A209,'The List'!B1:D671,3,FALSE)</f>
        <v>LW,RW</v>
      </c>
      <c r="C209" s="97" cm="1">
        <f t="array" ref="C209">IF(Settings!$E$15="POINTS",RANK(E209,E3:E210),H209)</f>
        <v>170</v>
      </c>
      <c r="D209" s="18" t="str" cm="1">
        <f t="array" ref="D209">VLOOKUP(A209,'The List'!B1:F671,5,FALSE)</f>
        <v>UTA</v>
      </c>
      <c r="E209" s="55" cm="1">
        <f t="array" ref="E209">VLOOKUP(A209,'The List'!B1:I671,8,FALSE)</f>
        <v>-2.5185366996230396</v>
      </c>
      <c r="F209" s="55" cm="1">
        <f t="array" ref="F209">IF(Settings!$E$15="POINTS",E209-VLOOKUP(B$2,C1:E210,3,FALSE),J209)</f>
        <v>-9.405771301432118</v>
      </c>
      <c r="G209" s="55"/>
      <c r="H209" s="166" cm="1">
        <f t="array" ref="H209">RANK(I209,I3:I210)</f>
        <v>170</v>
      </c>
      <c r="I209" s="167" cm="1">
        <f t="array" ref="I209">VLOOKUP(A209,'Standard Deviations'!A1:C672,3,FALSE)</f>
        <v>-2.5185366996230396</v>
      </c>
      <c r="J209" s="167" cm="1">
        <f t="array" ref="J209">I209-VLOOKUP(B$2,H1:J210,2,FALSE)</f>
        <v>-9.405771301432118</v>
      </c>
    </row>
    <row r="210" spans="1:10" ht="21.25" customHeight="1" x14ac:dyDescent="0.15">
      <c r="A210" s="10" t="s">
        <v>795</v>
      </c>
      <c r="B210" s="96" t="str" cm="1">
        <f t="array" ref="B210">VLOOKUP(A210,'The List'!B1:D671,3,FALSE)</f>
        <v>RW</v>
      </c>
      <c r="C210" s="97" cm="1">
        <f t="array" ref="C210">IF(Settings!$E$15="POINTS",RANK(E210,E3:E210),H210)</f>
        <v>183</v>
      </c>
      <c r="D210" s="18" t="str" cm="1">
        <f t="array" ref="D210">VLOOKUP(A210,'The List'!B1:F671,5,FALSE)</f>
        <v>NYR</v>
      </c>
      <c r="E210" s="55" cm="1">
        <f t="array" ref="E210">VLOOKUP(A210,'The List'!B1:I671,8,FALSE)</f>
        <v>-3.1488417995710858</v>
      </c>
      <c r="F210" s="55" cm="1">
        <f t="array" ref="F210">IF(Settings!$E$15="POINTS",E210-VLOOKUP(B$2,C1:E210,3,FALSE),J210)</f>
        <v>-10.036076401380164</v>
      </c>
      <c r="G210" s="55"/>
      <c r="H210" s="166" cm="1">
        <f t="array" ref="H210">RANK(I210,I3:I210)</f>
        <v>183</v>
      </c>
      <c r="I210" s="167" cm="1">
        <f t="array" ref="I210">VLOOKUP(A210,'Standard Deviations'!A1:C672,3,FALSE)</f>
        <v>-3.1488417995710858</v>
      </c>
      <c r="J210" s="167" cm="1">
        <f t="array" ref="J210">I210-VLOOKUP(B$2,H1:J210,2,FALSE)</f>
        <v>-10.036076401380164</v>
      </c>
    </row>
  </sheetData>
  <conditionalFormatting sqref="C3:C210 H3:H210">
    <cfRule type="containsText" dxfId="17" priority="1" stopIfTrue="1" operator="containsText" text="/">
      <formula>NOT(ISERROR(FIND(UPPER("/"),UPPER(C3))))</formula>
      <formula>"/"</formula>
    </cfRule>
    <cfRule type="containsText" dxfId="16" priority="2" stopIfTrue="1" operator="containsText" text="C">
      <formula>NOT(ISERROR(FIND(UPPER("C"),UPPER(C3))))</formula>
      <formula>"C"</formula>
    </cfRule>
    <cfRule type="containsText" dxfId="15" priority="3" stopIfTrue="1" operator="containsText" text="D">
      <formula>NOT(ISERROR(FIND(UPPER("D"),UPPER(C3))))</formula>
      <formula>"D"</formula>
    </cfRule>
    <cfRule type="containsText" dxfId="14" priority="4" stopIfTrue="1" operator="containsText" text="LW">
      <formula>NOT(ISERROR(FIND(UPPER("LW"),UPPER(C3))))</formula>
      <formula>"LW"</formula>
    </cfRule>
    <cfRule type="containsText" dxfId="13" priority="5" stopIfTrue="1" operator="containsText" text="RW">
      <formula>NOT(ISERROR(FIND(UPPER("RW"),UPPER(C3))))</formula>
      <formula>"RW"</formula>
    </cfRule>
    <cfRule type="containsText" dxfId="12" priority="6" stopIfTrue="1" operator="containsText" text="G">
      <formula>NOT(ISERROR(FIND(UPPER("G"),UPPER(C3))))</formula>
      <formula>"G"</formula>
    </cfRule>
  </conditionalFormatting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04"/>
  <sheetViews>
    <sheetView showGridLines="0" workbookViewId="0">
      <pane ySplit="2" topLeftCell="A3" activePane="bottomLeft" state="frozen"/>
      <selection pane="bottomLeft"/>
    </sheetView>
  </sheetViews>
  <sheetFormatPr baseColWidth="10" defaultColWidth="8" defaultRowHeight="16.25" customHeight="1" x14ac:dyDescent="0.15"/>
  <cols>
    <col min="1" max="1" width="33" style="1" customWidth="1"/>
    <col min="2" max="2" width="7.1640625" style="1" customWidth="1"/>
    <col min="3" max="3" width="6" style="1" customWidth="1"/>
    <col min="4" max="6" width="8.33203125" style="1" customWidth="1"/>
    <col min="7" max="10" width="1.33203125" style="1" customWidth="1"/>
    <col min="11" max="11" width="8" style="1" customWidth="1"/>
    <col min="12" max="16384" width="8" style="1"/>
  </cols>
  <sheetData>
    <row r="1" spans="1:10" ht="28.25" customHeight="1" x14ac:dyDescent="0.15">
      <c r="A1" s="150" t="s">
        <v>816</v>
      </c>
      <c r="B1" s="151" t="s">
        <v>823</v>
      </c>
      <c r="C1" s="152"/>
      <c r="D1" s="4" t="s">
        <v>13</v>
      </c>
      <c r="E1" s="153" t="s">
        <v>818</v>
      </c>
      <c r="F1" s="151" t="s">
        <v>98</v>
      </c>
      <c r="G1" s="154"/>
      <c r="H1" s="155"/>
      <c r="I1" s="156" t="s">
        <v>819</v>
      </c>
      <c r="J1" s="157" t="s">
        <v>98</v>
      </c>
    </row>
    <row r="2" spans="1:10" ht="28.25" customHeight="1" x14ac:dyDescent="0.15">
      <c r="A2" s="158" t="s">
        <v>62</v>
      </c>
      <c r="B2" s="159" cm="1">
        <f t="array" ref="B2">Settings!F5</f>
        <v>37</v>
      </c>
      <c r="C2" s="160"/>
      <c r="D2" s="161"/>
      <c r="E2" s="162"/>
      <c r="F2" s="162"/>
      <c r="G2" s="162"/>
      <c r="H2" s="168"/>
      <c r="I2" s="169"/>
      <c r="J2" s="169"/>
    </row>
    <row r="3" spans="1:10" ht="21.25" customHeight="1" x14ac:dyDescent="0.15">
      <c r="A3" s="10" t="s">
        <v>129</v>
      </c>
      <c r="B3" s="172" t="str" cm="1">
        <f t="array" ref="B3">VLOOKUP(A3,'The List'!B1:D671,3,FALSE)</f>
        <v>D</v>
      </c>
      <c r="C3" s="173" cm="1">
        <f t="array" ref="C3">IF(Settings!$E$15="POINTS",RANK(E3,E3:E204),H3)</f>
        <v>4</v>
      </c>
      <c r="D3" s="18" t="str" cm="1">
        <f t="array" ref="D3">VLOOKUP(A3,'The List'!B1:F671,5,FALSE)</f>
        <v>CBJ</v>
      </c>
      <c r="E3" s="55" cm="1">
        <f t="array" ref="E3">VLOOKUP(A3,'The List'!B1:I671,8,FALSE)</f>
        <v>7.5895482954025129</v>
      </c>
      <c r="F3" s="55" cm="1">
        <f t="array" ref="F3">IF(Settings!$E$15="POINTS",E3-VLOOKUP(B$2,C1:E204,3,FALSE),J3)</f>
        <v>7.0226973808849582</v>
      </c>
      <c r="G3" s="55"/>
      <c r="H3" s="170" cm="1">
        <f t="array" ref="H3">RANK(I3,I3:I204)</f>
        <v>4</v>
      </c>
      <c r="I3" s="171" cm="1">
        <f t="array" ref="I3">VLOOKUP(A3,'Standard Deviations'!A1:C672,3,FALSE)</f>
        <v>7.5895482954025129</v>
      </c>
      <c r="J3" s="171" cm="1">
        <f t="array" ref="J3">I3-VLOOKUP(B$2,H1:J204,2,FALSE)</f>
        <v>7.0226973808849582</v>
      </c>
    </row>
    <row r="4" spans="1:10" ht="21.25" customHeight="1" x14ac:dyDescent="0.15">
      <c r="A4" s="10" t="s">
        <v>130</v>
      </c>
      <c r="B4" s="172" t="str" cm="1">
        <f t="array" ref="B4">VLOOKUP(A4,'The List'!B1:D671,3,FALSE)</f>
        <v>D</v>
      </c>
      <c r="C4" s="173" cm="1">
        <f t="array" ref="C4">IF(Settings!$E$15="POINTS",RANK(E4,E3:E204),H4)</f>
        <v>1</v>
      </c>
      <c r="D4" s="18" t="str" cm="1">
        <f t="array" ref="D4">VLOOKUP(A4,'The List'!B1:F671,5,FALSE)</f>
        <v>COL</v>
      </c>
      <c r="E4" s="55" cm="1">
        <f t="array" ref="E4">VLOOKUP(A4,'The List'!B1:I671,8,FALSE)</f>
        <v>9.2791339731796594</v>
      </c>
      <c r="F4" s="55" cm="1">
        <f t="array" ref="F4">IF(Settings!$E$15="POINTS",E4-VLOOKUP(B$2,C1:E204,3,FALSE),J4)</f>
        <v>8.7122830586621056</v>
      </c>
      <c r="G4" s="55"/>
      <c r="H4" s="166" cm="1">
        <f t="array" ref="H4">RANK(I4,I3:I204)</f>
        <v>1</v>
      </c>
      <c r="I4" s="167" cm="1">
        <f t="array" ref="I4">VLOOKUP(A4,'Standard Deviations'!A1:C672,3,FALSE)</f>
        <v>9.2791339731796594</v>
      </c>
      <c r="J4" s="167" cm="1">
        <f t="array" ref="J4">I4-VLOOKUP(B$2,H1:J204,2,FALSE)</f>
        <v>8.7122830586621056</v>
      </c>
    </row>
    <row r="5" spans="1:10" ht="21.25" customHeight="1" x14ac:dyDescent="0.15">
      <c r="A5" s="10" t="s">
        <v>131</v>
      </c>
      <c r="B5" s="172" t="str" cm="1">
        <f t="array" ref="B5">VLOOKUP(A5,'The List'!B1:D671,3,FALSE)</f>
        <v>D</v>
      </c>
      <c r="C5" s="173" cm="1">
        <f t="array" ref="C5">IF(Settings!$E$15="POINTS",RANK(E5,E3:E204),H5)</f>
        <v>3</v>
      </c>
      <c r="D5" s="18" t="str" cm="1">
        <f t="array" ref="D5">VLOOKUP(A5,'The List'!B1:F671,5,FALSE)</f>
        <v>MIN</v>
      </c>
      <c r="E5" s="55" cm="1">
        <f t="array" ref="E5">VLOOKUP(A5,'The List'!B1:I671,8,FALSE)</f>
        <v>8.3682050026701251</v>
      </c>
      <c r="F5" s="55" cm="1">
        <f t="array" ref="F5">IF(Settings!$E$15="POINTS",E5-VLOOKUP(B$2,C1:E204,3,FALSE),J5)</f>
        <v>7.8013540881525705</v>
      </c>
      <c r="G5" s="55"/>
      <c r="H5" s="166" cm="1">
        <f t="array" ref="H5">RANK(I5,I3:I204)</f>
        <v>3</v>
      </c>
      <c r="I5" s="167" cm="1">
        <f t="array" ref="I5">VLOOKUP(A5,'Standard Deviations'!A1:C672,3,FALSE)</f>
        <v>8.3682050026701251</v>
      </c>
      <c r="J5" s="167" cm="1">
        <f t="array" ref="J5">I5-VLOOKUP(B$2,H1:J204,2,FALSE)</f>
        <v>7.8013540881525705</v>
      </c>
    </row>
    <row r="6" spans="1:10" ht="21.25" customHeight="1" x14ac:dyDescent="0.15">
      <c r="A6" s="10" t="s">
        <v>133</v>
      </c>
      <c r="B6" s="172" t="str" cm="1">
        <f t="array" ref="B6">VLOOKUP(A6,'The List'!B1:D671,3,FALSE)</f>
        <v>D</v>
      </c>
      <c r="C6" s="173" cm="1">
        <f t="array" ref="C6">IF(Settings!$E$15="POINTS",RANK(E6,E3:E204),H6)</f>
        <v>2</v>
      </c>
      <c r="D6" s="18" t="str" cm="1">
        <f t="array" ref="D6">VLOOKUP(A6,'The List'!B1:F671,5,FALSE)</f>
        <v>EDM</v>
      </c>
      <c r="E6" s="55" cm="1">
        <f t="array" ref="E6">VLOOKUP(A6,'The List'!B1:I671,8,FALSE)</f>
        <v>8.8388074941457138</v>
      </c>
      <c r="F6" s="55" cm="1">
        <f t="array" ref="F6">IF(Settings!$E$15="POINTS",E6-VLOOKUP(B$2,C1:E204,3,FALSE),J6)</f>
        <v>8.27195657962816</v>
      </c>
      <c r="G6" s="55"/>
      <c r="H6" s="166" cm="1">
        <f t="array" ref="H6">RANK(I6,I3:I204)</f>
        <v>2</v>
      </c>
      <c r="I6" s="167" cm="1">
        <f t="array" ref="I6">VLOOKUP(A6,'Standard Deviations'!A1:C672,3,FALSE)</f>
        <v>8.8388074941457138</v>
      </c>
      <c r="J6" s="167" cm="1">
        <f t="array" ref="J6">I6-VLOOKUP(B$2,H1:J204,2,FALSE)</f>
        <v>8.27195657962816</v>
      </c>
    </row>
    <row r="7" spans="1:10" ht="21.25" customHeight="1" x14ac:dyDescent="0.15">
      <c r="A7" s="10" t="s">
        <v>135</v>
      </c>
      <c r="B7" s="172" t="str" cm="1">
        <f t="array" ref="B7">VLOOKUP(A7,'The List'!B1:D671,3,FALSE)</f>
        <v>D</v>
      </c>
      <c r="C7" s="173" cm="1">
        <f t="array" ref="C7">IF(Settings!$E$15="POINTS",RANK(E7,E3:E204),H7)</f>
        <v>5</v>
      </c>
      <c r="D7" s="18" t="str" cm="1">
        <f t="array" ref="D7">VLOOKUP(A7,'The List'!B1:F671,5,FALSE)</f>
        <v>BUF</v>
      </c>
      <c r="E7" s="55" cm="1">
        <f t="array" ref="E7">VLOOKUP(A7,'The List'!B1:I671,8,FALSE)</f>
        <v>7.3550860221683489</v>
      </c>
      <c r="F7" s="55" cm="1">
        <f t="array" ref="F7">IF(Settings!$E$15="POINTS",E7-VLOOKUP(B$2,C1:E204,3,FALSE),J7)</f>
        <v>6.7882351076507943</v>
      </c>
      <c r="G7" s="55"/>
      <c r="H7" s="166" cm="1">
        <f t="array" ref="H7">RANK(I7,I3:I204)</f>
        <v>5</v>
      </c>
      <c r="I7" s="167" cm="1">
        <f t="array" ref="I7">VLOOKUP(A7,'Standard Deviations'!A1:C672,3,FALSE)</f>
        <v>7.3550860221683489</v>
      </c>
      <c r="J7" s="167" cm="1">
        <f t="array" ref="J7">I7-VLOOKUP(B$2,H1:J204,2,FALSE)</f>
        <v>6.7882351076507943</v>
      </c>
    </row>
    <row r="8" spans="1:10" ht="21.25" customHeight="1" x14ac:dyDescent="0.15">
      <c r="A8" s="10" t="s">
        <v>139</v>
      </c>
      <c r="B8" s="172" t="str" cm="1">
        <f t="array" ref="B8">VLOOKUP(A8,'The List'!B1:D671,3,FALSE)</f>
        <v>D</v>
      </c>
      <c r="C8" s="173" cm="1">
        <f t="array" ref="C8">IF(Settings!$E$15="POINTS",RANK(E8,E3:E204),H8)</f>
        <v>9</v>
      </c>
      <c r="D8" s="18" t="str" cm="1">
        <f t="array" ref="D8">VLOOKUP(A8,'The List'!B1:F671,5,FALSE)</f>
        <v>NYI</v>
      </c>
      <c r="E8" s="55" cm="1">
        <f t="array" ref="E8">VLOOKUP(A8,'The List'!B1:I671,8,FALSE)</f>
        <v>4.9499453948269387</v>
      </c>
      <c r="F8" s="55" cm="1">
        <f t="array" ref="F8">IF(Settings!$E$15="POINTS",E8-VLOOKUP(B$2,C1:E204,3,FALSE),J8)</f>
        <v>4.3830944803093841</v>
      </c>
      <c r="G8" s="55"/>
      <c r="H8" s="166" cm="1">
        <f t="array" ref="H8">RANK(I8,I3:I204)</f>
        <v>9</v>
      </c>
      <c r="I8" s="167" cm="1">
        <f t="array" ref="I8">VLOOKUP(A8,'Standard Deviations'!A1:C672,3,FALSE)</f>
        <v>4.9499453948269387</v>
      </c>
      <c r="J8" s="167" cm="1">
        <f t="array" ref="J8">I8-VLOOKUP(B$2,H1:J204,2,FALSE)</f>
        <v>4.3830944803093841</v>
      </c>
    </row>
    <row r="9" spans="1:10" ht="21.25" customHeight="1" x14ac:dyDescent="0.15">
      <c r="A9" s="10" t="s">
        <v>143</v>
      </c>
      <c r="B9" s="172" t="str" cm="1">
        <f t="array" ref="B9">VLOOKUP(A9,'The List'!B1:D671,3,FALSE)</f>
        <v>D</v>
      </c>
      <c r="C9" s="173" cm="1">
        <f t="array" ref="C9">IF(Settings!$E$15="POINTS",RANK(E9,E3:E204),H9)</f>
        <v>7</v>
      </c>
      <c r="D9" s="18" t="str" cm="1">
        <f t="array" ref="D9">VLOOKUP(A9,'The List'!B1:F671,5,FALSE)</f>
        <v>MTL</v>
      </c>
      <c r="E9" s="55" cm="1">
        <f t="array" ref="E9">VLOOKUP(A9,'The List'!B1:I671,8,FALSE)</f>
        <v>5.4796290389987927</v>
      </c>
      <c r="F9" s="55" cm="1">
        <f t="array" ref="F9">IF(Settings!$E$15="POINTS",E9-VLOOKUP(B$2,C1:E204,3,FALSE),J9)</f>
        <v>4.9127781244812381</v>
      </c>
      <c r="G9" s="55"/>
      <c r="H9" s="166" cm="1">
        <f t="array" ref="H9">RANK(I9,I3:I204)</f>
        <v>7</v>
      </c>
      <c r="I9" s="167" cm="1">
        <f t="array" ref="I9">VLOOKUP(A9,'Standard Deviations'!A1:C672,3,FALSE)</f>
        <v>5.4796290389987927</v>
      </c>
      <c r="J9" s="167" cm="1">
        <f t="array" ref="J9">I9-VLOOKUP(B$2,H1:J204,2,FALSE)</f>
        <v>4.9127781244812381</v>
      </c>
    </row>
    <row r="10" spans="1:10" ht="21.25" customHeight="1" x14ac:dyDescent="0.15">
      <c r="A10" s="10" t="s">
        <v>144</v>
      </c>
      <c r="B10" s="172" t="str" cm="1">
        <f t="array" ref="B10">VLOOKUP(A10,'The List'!B1:D671,3,FALSE)</f>
        <v>D</v>
      </c>
      <c r="C10" s="173" cm="1">
        <f t="array" ref="C10">IF(Settings!$E$15="POINTS",RANK(E10,E3:E204),H10)</f>
        <v>6</v>
      </c>
      <c r="D10" s="18" t="str" cm="1">
        <f t="array" ref="D10">VLOOKUP(A10,'The List'!B1:F671,5,FALSE)</f>
        <v>DET</v>
      </c>
      <c r="E10" s="55" cm="1">
        <f t="array" ref="E10">VLOOKUP(A10,'The List'!B1:I671,8,FALSE)</f>
        <v>6.0618593867747883</v>
      </c>
      <c r="F10" s="55" cm="1">
        <f t="array" ref="F10">IF(Settings!$E$15="POINTS",E10-VLOOKUP(B$2,C1:E204,3,FALSE),J10)</f>
        <v>5.4950084722572337</v>
      </c>
      <c r="G10" s="55"/>
      <c r="H10" s="166" cm="1">
        <f t="array" ref="H10">RANK(I10,I3:I204)</f>
        <v>6</v>
      </c>
      <c r="I10" s="167" cm="1">
        <f t="array" ref="I10">VLOOKUP(A10,'Standard Deviations'!A1:C672,3,FALSE)</f>
        <v>6.0618593867747883</v>
      </c>
      <c r="J10" s="167" cm="1">
        <f t="array" ref="J10">I10-VLOOKUP(B$2,H1:J204,2,FALSE)</f>
        <v>5.4950084722572337</v>
      </c>
    </row>
    <row r="11" spans="1:10" ht="21.25" customHeight="1" x14ac:dyDescent="0.15">
      <c r="A11" s="10" t="s">
        <v>148</v>
      </c>
      <c r="B11" s="172" t="str" cm="1">
        <f t="array" ref="B11">VLOOKUP(A11,'The List'!B1:D671,3,FALSE)</f>
        <v>D</v>
      </c>
      <c r="C11" s="173" cm="1">
        <f t="array" ref="C11">IF(Settings!$E$15="POINTS",RANK(E11,E3:E204),H11)</f>
        <v>11</v>
      </c>
      <c r="D11" s="18" t="str" cm="1">
        <f t="array" ref="D11">VLOOKUP(A11,'The List'!B1:F671,5,FALSE)</f>
        <v>NYR</v>
      </c>
      <c r="E11" s="55" cm="1">
        <f t="array" ref="E11">VLOOKUP(A11,'The List'!B1:I671,8,FALSE)</f>
        <v>4.6954541293942746</v>
      </c>
      <c r="F11" s="55" cm="1">
        <f t="array" ref="F11">IF(Settings!$E$15="POINTS",E11-VLOOKUP(B$2,C1:E204,3,FALSE),J11)</f>
        <v>4.12860321487672</v>
      </c>
      <c r="G11" s="55"/>
      <c r="H11" s="166" cm="1">
        <f t="array" ref="H11">RANK(I11,I3:I204)</f>
        <v>11</v>
      </c>
      <c r="I11" s="167" cm="1">
        <f t="array" ref="I11">VLOOKUP(A11,'Standard Deviations'!A1:C672,3,FALSE)</f>
        <v>4.6954541293942746</v>
      </c>
      <c r="J11" s="167" cm="1">
        <f t="array" ref="J11">I11-VLOOKUP(B$2,H1:J204,2,FALSE)</f>
        <v>4.12860321487672</v>
      </c>
    </row>
    <row r="12" spans="1:10" ht="21.25" customHeight="1" x14ac:dyDescent="0.15">
      <c r="A12" s="10" t="s">
        <v>150</v>
      </c>
      <c r="B12" s="172" t="str" cm="1">
        <f t="array" ref="B12">VLOOKUP(A12,'The List'!B1:D671,3,FALSE)</f>
        <v>D</v>
      </c>
      <c r="C12" s="173" cm="1">
        <f t="array" ref="C12">IF(Settings!$E$15="POINTS",RANK(E12,E3:E204),H12)</f>
        <v>13</v>
      </c>
      <c r="D12" s="18" t="str" cm="1">
        <f t="array" ref="D12">VLOOKUP(A12,'The List'!B1:F671,5,FALSE)</f>
        <v>OTT</v>
      </c>
      <c r="E12" s="55" cm="1">
        <f t="array" ref="E12">VLOOKUP(A12,'The List'!B1:I671,8,FALSE)</f>
        <v>3.6417534459348682</v>
      </c>
      <c r="F12" s="55" cm="1">
        <f t="array" ref="F12">IF(Settings!$E$15="POINTS",E12-VLOOKUP(B$2,C1:E204,3,FALSE),J12)</f>
        <v>3.0749025314173135</v>
      </c>
      <c r="G12" s="55"/>
      <c r="H12" s="166" cm="1">
        <f t="array" ref="H12">RANK(I12,I3:I204)</f>
        <v>13</v>
      </c>
      <c r="I12" s="167" cm="1">
        <f t="array" ref="I12">VLOOKUP(A12,'Standard Deviations'!A1:C672,3,FALSE)</f>
        <v>3.6417534459348682</v>
      </c>
      <c r="J12" s="167" cm="1">
        <f t="array" ref="J12">I12-VLOOKUP(B$2,H1:J204,2,FALSE)</f>
        <v>3.0749025314173135</v>
      </c>
    </row>
    <row r="13" spans="1:10" ht="21.25" customHeight="1" x14ac:dyDescent="0.15">
      <c r="A13" s="10" t="s">
        <v>155</v>
      </c>
      <c r="B13" s="172" t="str" cm="1">
        <f t="array" ref="B13">VLOOKUP(A13,'The List'!B1:D671,3,FALSE)</f>
        <v>D</v>
      </c>
      <c r="C13" s="173" cm="1">
        <f t="array" ref="C13">IF(Settings!$E$15="POINTS",RANK(E13,E3:E204),H13)</f>
        <v>18</v>
      </c>
      <c r="D13" s="18" t="str" cm="1">
        <f t="array" ref="D13">VLOOKUP(A13,'The List'!B1:F671,5,FALSE)</f>
        <v>NSH</v>
      </c>
      <c r="E13" s="55" cm="1">
        <f t="array" ref="E13">VLOOKUP(A13,'The List'!B1:I671,8,FALSE)</f>
        <v>2.6190831124297138</v>
      </c>
      <c r="F13" s="55" cm="1">
        <f t="array" ref="F13">IF(Settings!$E$15="POINTS",E13-VLOOKUP(B$2,C1:E204,3,FALSE),J13)</f>
        <v>2.0522321979121596</v>
      </c>
      <c r="G13" s="55"/>
      <c r="H13" s="166" cm="1">
        <f t="array" ref="H13">RANK(I13,I3:I204)</f>
        <v>18</v>
      </c>
      <c r="I13" s="167" cm="1">
        <f t="array" ref="I13">VLOOKUP(A13,'Standard Deviations'!A1:C672,3,FALSE)</f>
        <v>2.6190831124297138</v>
      </c>
      <c r="J13" s="167" cm="1">
        <f t="array" ref="J13">I13-VLOOKUP(B$2,H1:J204,2,FALSE)</f>
        <v>2.0522321979121596</v>
      </c>
    </row>
    <row r="14" spans="1:10" ht="21.25" customHeight="1" x14ac:dyDescent="0.15">
      <c r="A14" s="10" t="s">
        <v>156</v>
      </c>
      <c r="B14" s="172" t="str" cm="1">
        <f t="array" ref="B14">VLOOKUP(A14,'The List'!B1:D671,3,FALSE)</f>
        <v>D</v>
      </c>
      <c r="C14" s="173" cm="1">
        <f t="array" ref="C14">IF(Settings!$E$15="POINTS",RANK(E14,E3:E204),H14)</f>
        <v>10</v>
      </c>
      <c r="D14" s="18" t="str" cm="1">
        <f t="array" ref="D14">VLOOKUP(A14,'The List'!B1:F671,5,FALSE)</f>
        <v>TOR</v>
      </c>
      <c r="E14" s="55" cm="1">
        <f t="array" ref="E14">VLOOKUP(A14,'The List'!B1:I671,8,FALSE)</f>
        <v>4.8016307418862887</v>
      </c>
      <c r="F14" s="55" cm="1">
        <f t="array" ref="F14">IF(Settings!$E$15="POINTS",E14-VLOOKUP(B$2,C1:E204,3,FALSE),J14)</f>
        <v>4.234779827368734</v>
      </c>
      <c r="G14" s="55"/>
      <c r="H14" s="166" cm="1">
        <f t="array" ref="H14">RANK(I14,I3:I204)</f>
        <v>10</v>
      </c>
      <c r="I14" s="167" cm="1">
        <f t="array" ref="I14">VLOOKUP(A14,'Standard Deviations'!A1:C672,3,FALSE)</f>
        <v>4.8016307418862887</v>
      </c>
      <c r="J14" s="167" cm="1">
        <f t="array" ref="J14">I14-VLOOKUP(B$2,H1:J204,2,FALSE)</f>
        <v>4.234779827368734</v>
      </c>
    </row>
    <row r="15" spans="1:10" ht="21.25" customHeight="1" x14ac:dyDescent="0.15">
      <c r="A15" s="10" t="s">
        <v>158</v>
      </c>
      <c r="B15" s="172" t="str" cm="1">
        <f t="array" ref="B15">VLOOKUP(A15,'The List'!B1:D671,3,FALSE)</f>
        <v>D</v>
      </c>
      <c r="C15" s="173" cm="1">
        <f t="array" ref="C15">IF(Settings!$E$15="POINTS",RANK(E15,E3:E204),H15)</f>
        <v>8</v>
      </c>
      <c r="D15" s="18" t="str" cm="1">
        <f t="array" ref="D15">VLOOKUP(A15,'The List'!B1:F671,5,FALSE)</f>
        <v>WSH</v>
      </c>
      <c r="E15" s="55" cm="1">
        <f t="array" ref="E15">VLOOKUP(A15,'The List'!B1:I671,8,FALSE)</f>
        <v>5.0308180720151761</v>
      </c>
      <c r="F15" s="55" cm="1">
        <f t="array" ref="F15">IF(Settings!$E$15="POINTS",E15-VLOOKUP(B$2,C1:E204,3,FALSE),J15)</f>
        <v>4.4639671574976214</v>
      </c>
      <c r="G15" s="55"/>
      <c r="H15" s="166" cm="1">
        <f t="array" ref="H15">RANK(I15,I3:I204)</f>
        <v>8</v>
      </c>
      <c r="I15" s="167" cm="1">
        <f t="array" ref="I15">VLOOKUP(A15,'Standard Deviations'!A1:C672,3,FALSE)</f>
        <v>5.0308180720151761</v>
      </c>
      <c r="J15" s="167" cm="1">
        <f t="array" ref="J15">I15-VLOOKUP(B$2,H1:J204,2,FALSE)</f>
        <v>4.4639671574976214</v>
      </c>
    </row>
    <row r="16" spans="1:10" ht="21.25" customHeight="1" x14ac:dyDescent="0.15">
      <c r="A16" s="10" t="s">
        <v>159</v>
      </c>
      <c r="B16" s="172" t="str" cm="1">
        <f t="array" ref="B16">VLOOKUP(A16,'The List'!B1:D671,3,FALSE)</f>
        <v>D</v>
      </c>
      <c r="C16" s="173" cm="1">
        <f t="array" ref="C16">IF(Settings!$E$15="POINTS",RANK(E16,E3:E204),H16)</f>
        <v>23</v>
      </c>
      <c r="D16" s="18" t="str" cm="1">
        <f t="array" ref="D16">VLOOKUP(A16,'The List'!B1:F671,5,FALSE)</f>
        <v>ANA</v>
      </c>
      <c r="E16" s="55" cm="1">
        <f t="array" ref="E16">VLOOKUP(A16,'The List'!B1:I671,8,FALSE)</f>
        <v>2.1998400803385554</v>
      </c>
      <c r="F16" s="55" cm="1">
        <f t="array" ref="F16">IF(Settings!$E$15="POINTS",E16-VLOOKUP(B$2,C1:E204,3,FALSE),J16)</f>
        <v>1.632989165821001</v>
      </c>
      <c r="G16" s="55"/>
      <c r="H16" s="166" cm="1">
        <f t="array" ref="H16">RANK(I16,I3:I204)</f>
        <v>23</v>
      </c>
      <c r="I16" s="167" cm="1">
        <f t="array" ref="I16">VLOOKUP(A16,'Standard Deviations'!A1:C672,3,FALSE)</f>
        <v>2.1998400803385554</v>
      </c>
      <c r="J16" s="167" cm="1">
        <f t="array" ref="J16">I16-VLOOKUP(B$2,H1:J204,2,FALSE)</f>
        <v>1.632989165821001</v>
      </c>
    </row>
    <row r="17" spans="1:10" ht="21.25" customHeight="1" x14ac:dyDescent="0.15">
      <c r="A17" s="10" t="s">
        <v>232</v>
      </c>
      <c r="B17" s="172" t="str" cm="1">
        <f t="array" ref="B17">VLOOKUP(A17,'The List'!B1:D671,3,FALSE)</f>
        <v>D</v>
      </c>
      <c r="C17" s="173" cm="1">
        <f t="array" ref="C17">IF(Settings!$E$15="POINTS",RANK(E17,E3:E204),H17)</f>
        <v>26</v>
      </c>
      <c r="D17" s="18" t="str" cm="1">
        <f t="array" ref="D17">VLOOKUP(A17,'The List'!B1:F671,5,FALSE)</f>
        <v>VAN</v>
      </c>
      <c r="E17" s="55" cm="1">
        <f t="array" ref="E17">VLOOKUP(A17,'The List'!B1:I671,8,FALSE)</f>
        <v>1.7818902646793893</v>
      </c>
      <c r="F17" s="55" cm="1">
        <f t="array" ref="F17">IF(Settings!$E$15="POINTS",E17-VLOOKUP(B$2,C1:E204,3,FALSE),J17)</f>
        <v>1.2150393501618348</v>
      </c>
      <c r="G17" s="55"/>
      <c r="H17" s="166" cm="1">
        <f t="array" ref="H17">RANK(I17,I3:I204)</f>
        <v>26</v>
      </c>
      <c r="I17" s="167" cm="1">
        <f t="array" ref="I17">VLOOKUP(A17,'Standard Deviations'!A1:C672,3,FALSE)</f>
        <v>1.7818902646793893</v>
      </c>
      <c r="J17" s="167" cm="1">
        <f t="array" ref="J17">I17-VLOOKUP(B$2,H1:J204,2,FALSE)</f>
        <v>1.2150393501618348</v>
      </c>
    </row>
    <row r="18" spans="1:10" ht="21.25" customHeight="1" x14ac:dyDescent="0.15">
      <c r="A18" s="10" t="s">
        <v>161</v>
      </c>
      <c r="B18" s="172" t="str" cm="1">
        <f t="array" ref="B18">VLOOKUP(A18,'The List'!B1:D671,3,FALSE)</f>
        <v>D</v>
      </c>
      <c r="C18" s="173" cm="1">
        <f t="array" ref="C18">IF(Settings!$E$15="POINTS",RANK(E18,E3:E204),H18)</f>
        <v>14</v>
      </c>
      <c r="D18" s="18" t="str" cm="1">
        <f t="array" ref="D18">VLOOKUP(A18,'The List'!B1:F671,5,FALSE)</f>
        <v>WPG</v>
      </c>
      <c r="E18" s="55" cm="1">
        <f t="array" ref="E18">VLOOKUP(A18,'The List'!B1:I671,8,FALSE)</f>
        <v>3.3393330785311801</v>
      </c>
      <c r="F18" s="55" cm="1">
        <f t="array" ref="F18">IF(Settings!$E$15="POINTS",E18-VLOOKUP(B$2,C1:E204,3,FALSE),J18)</f>
        <v>2.7724821640136259</v>
      </c>
      <c r="G18" s="55"/>
      <c r="H18" s="166" cm="1">
        <f t="array" ref="H18">RANK(I18,I3:I204)</f>
        <v>14</v>
      </c>
      <c r="I18" s="167" cm="1">
        <f t="array" ref="I18">VLOOKUP(A18,'Standard Deviations'!A1:C672,3,FALSE)</f>
        <v>3.3393330785311801</v>
      </c>
      <c r="J18" s="167" cm="1">
        <f t="array" ref="J18">I18-VLOOKUP(B$2,H1:J204,2,FALSE)</f>
        <v>2.7724821640136259</v>
      </c>
    </row>
    <row r="19" spans="1:10" ht="21.25" customHeight="1" x14ac:dyDescent="0.15">
      <c r="A19" s="10" t="s">
        <v>165</v>
      </c>
      <c r="B19" s="172" t="str" cm="1">
        <f t="array" ref="B19">VLOOKUP(A19,'The List'!B1:D671,3,FALSE)</f>
        <v>D</v>
      </c>
      <c r="C19" s="173" cm="1">
        <f t="array" ref="C19">IF(Settings!$E$15="POINTS",RANK(E19,E3:E204),H19)</f>
        <v>22</v>
      </c>
      <c r="D19" s="18" t="str" cm="1">
        <f t="array" ref="D19">VLOOKUP(A19,'The List'!B1:F671,5,FALSE)</f>
        <v>L.A</v>
      </c>
      <c r="E19" s="55" cm="1">
        <f t="array" ref="E19">VLOOKUP(A19,'The List'!B1:I671,8,FALSE)</f>
        <v>2.2702082891641147</v>
      </c>
      <c r="F19" s="55" cm="1">
        <f t="array" ref="F19">IF(Settings!$E$15="POINTS",E19-VLOOKUP(B$2,C1:E204,3,FALSE),J19)</f>
        <v>1.7033573746465602</v>
      </c>
      <c r="G19" s="55"/>
      <c r="H19" s="166" cm="1">
        <f t="array" ref="H19">RANK(I19,I3:I204)</f>
        <v>22</v>
      </c>
      <c r="I19" s="167" cm="1">
        <f t="array" ref="I19">VLOOKUP(A19,'Standard Deviations'!A1:C672,3,FALSE)</f>
        <v>2.2702082891641147</v>
      </c>
      <c r="J19" s="167" cm="1">
        <f t="array" ref="J19">I19-VLOOKUP(B$2,H1:J204,2,FALSE)</f>
        <v>1.7033573746465602</v>
      </c>
    </row>
    <row r="20" spans="1:10" ht="21.25" customHeight="1" x14ac:dyDescent="0.15">
      <c r="A20" s="10" t="s">
        <v>168</v>
      </c>
      <c r="B20" s="172" t="str" cm="1">
        <f t="array" ref="B20">VLOOKUP(A20,'The List'!B1:D671,3,FALSE)</f>
        <v>D</v>
      </c>
      <c r="C20" s="173" cm="1">
        <f t="array" ref="C20">IF(Settings!$E$15="POINTS",RANK(E20,E3:E204),H20)</f>
        <v>15</v>
      </c>
      <c r="D20" s="18" t="str" cm="1">
        <f t="array" ref="D20">VLOOKUP(A20,'The List'!B1:F671,5,FALSE)</f>
        <v>VGK</v>
      </c>
      <c r="E20" s="55" cm="1">
        <f t="array" ref="E20">VLOOKUP(A20,'The List'!B1:I671,8,FALSE)</f>
        <v>3.2197982786705515</v>
      </c>
      <c r="F20" s="55" cm="1">
        <f t="array" ref="F20">IF(Settings!$E$15="POINTS",E20-VLOOKUP(B$2,C1:E204,3,FALSE),J20)</f>
        <v>2.6529473641529968</v>
      </c>
      <c r="G20" s="55"/>
      <c r="H20" s="166" cm="1">
        <f t="array" ref="H20">RANK(I20,I3:I204)</f>
        <v>15</v>
      </c>
      <c r="I20" s="167" cm="1">
        <f t="array" ref="I20">VLOOKUP(A20,'Standard Deviations'!A1:C672,3,FALSE)</f>
        <v>3.2197982786705515</v>
      </c>
      <c r="J20" s="167" cm="1">
        <f t="array" ref="J20">I20-VLOOKUP(B$2,H1:J204,2,FALSE)</f>
        <v>2.6529473641529968</v>
      </c>
    </row>
    <row r="21" spans="1:10" ht="21.25" customHeight="1" x14ac:dyDescent="0.15">
      <c r="A21" s="10" t="s">
        <v>176</v>
      </c>
      <c r="B21" s="172" t="str" cm="1">
        <f t="array" ref="B21">VLOOKUP(A21,'The List'!B1:D671,3,FALSE)</f>
        <v>D</v>
      </c>
      <c r="C21" s="173" cm="1">
        <f t="array" ref="C21">IF(Settings!$E$15="POINTS",RANK(E21,E3:E204),H21)</f>
        <v>17</v>
      </c>
      <c r="D21" s="18" t="str" cm="1">
        <f t="array" ref="D21">VLOOKUP(A21,'The List'!B1:F671,5,FALSE)</f>
        <v>DAL</v>
      </c>
      <c r="E21" s="55" cm="1">
        <f t="array" ref="E21">VLOOKUP(A21,'The List'!B1:I671,8,FALSE)</f>
        <v>2.9948208332653392</v>
      </c>
      <c r="F21" s="55" cm="1">
        <f t="array" ref="F21">IF(Settings!$E$15="POINTS",E21-VLOOKUP(B$2,C1:E204,3,FALSE),J21)</f>
        <v>2.4279699187477846</v>
      </c>
      <c r="G21" s="55"/>
      <c r="H21" s="166" cm="1">
        <f t="array" ref="H21">RANK(I21,I3:I204)</f>
        <v>17</v>
      </c>
      <c r="I21" s="167" cm="1">
        <f t="array" ref="I21">VLOOKUP(A21,'Standard Deviations'!A1:C672,3,FALSE)</f>
        <v>2.9948208332653392</v>
      </c>
      <c r="J21" s="167" cm="1">
        <f t="array" ref="J21">I21-VLOOKUP(B$2,H1:J204,2,FALSE)</f>
        <v>2.4279699187477846</v>
      </c>
    </row>
    <row r="22" spans="1:10" ht="21.25" customHeight="1" x14ac:dyDescent="0.15">
      <c r="A22" s="10" t="s">
        <v>178</v>
      </c>
      <c r="B22" s="172" t="str" cm="1">
        <f t="array" ref="B22">VLOOKUP(A22,'The List'!B1:D671,3,FALSE)</f>
        <v>D</v>
      </c>
      <c r="C22" s="173" cm="1">
        <f t="array" ref="C22">IF(Settings!$E$15="POINTS",RANK(E22,E3:E204),H22)</f>
        <v>29</v>
      </c>
      <c r="D22" s="18" t="str" cm="1">
        <f t="array" ref="D22">VLOOKUP(A22,'The List'!B1:F671,5,FALSE)</f>
        <v>MTL</v>
      </c>
      <c r="E22" s="55" cm="1">
        <f t="array" ref="E22">VLOOKUP(A22,'The List'!B1:I671,8,FALSE)</f>
        <v>1.4431460622167667</v>
      </c>
      <c r="F22" s="55" cm="1">
        <f t="array" ref="F22">IF(Settings!$E$15="POINTS",E22-VLOOKUP(B$2,C1:E204,3,FALSE),J22)</f>
        <v>0.87629514769921224</v>
      </c>
      <c r="G22" s="55"/>
      <c r="H22" s="166" cm="1">
        <f t="array" ref="H22">RANK(I22,I3:I204)</f>
        <v>29</v>
      </c>
      <c r="I22" s="167" cm="1">
        <f t="array" ref="I22">VLOOKUP(A22,'Standard Deviations'!A1:C672,3,FALSE)</f>
        <v>1.4431460622167667</v>
      </c>
      <c r="J22" s="167" cm="1">
        <f t="array" ref="J22">I22-VLOOKUP(B$2,H1:J204,2,FALSE)</f>
        <v>0.87629514769921224</v>
      </c>
    </row>
    <row r="23" spans="1:10" ht="21.25" customHeight="1" x14ac:dyDescent="0.15">
      <c r="A23" s="10" t="s">
        <v>181</v>
      </c>
      <c r="B23" s="172" t="str" cm="1">
        <f t="array" ref="B23">VLOOKUP(A23,'The List'!B1:D671,3,FALSE)</f>
        <v>D</v>
      </c>
      <c r="C23" s="173" cm="1">
        <f t="array" ref="C23">IF(Settings!$E$15="POINTS",RANK(E23,E3:E204),H23)</f>
        <v>12</v>
      </c>
      <c r="D23" s="18" t="str" cm="1">
        <f t="array" ref="D23">VLOOKUP(A23,'The List'!B1:F671,5,FALSE)</f>
        <v>T.B</v>
      </c>
      <c r="E23" s="55" cm="1">
        <f t="array" ref="E23">VLOOKUP(A23,'The List'!B1:I671,8,FALSE)</f>
        <v>3.684563414301167</v>
      </c>
      <c r="F23" s="55" cm="1">
        <f t="array" ref="F23">IF(Settings!$E$15="POINTS",E23-VLOOKUP(B$2,C1:E204,3,FALSE),J23)</f>
        <v>3.1177124997836128</v>
      </c>
      <c r="G23" s="55"/>
      <c r="H23" s="166" cm="1">
        <f t="array" ref="H23">RANK(I23,I3:I204)</f>
        <v>12</v>
      </c>
      <c r="I23" s="167" cm="1">
        <f t="array" ref="I23">VLOOKUP(A23,'Standard Deviations'!A1:C672,3,FALSE)</f>
        <v>3.684563414301167</v>
      </c>
      <c r="J23" s="167" cm="1">
        <f t="array" ref="J23">I23-VLOOKUP(B$2,H1:J204,2,FALSE)</f>
        <v>3.1177124997836128</v>
      </c>
    </row>
    <row r="24" spans="1:10" ht="21.25" customHeight="1" x14ac:dyDescent="0.15">
      <c r="A24" s="10" t="s">
        <v>183</v>
      </c>
      <c r="B24" s="172" t="str" cm="1">
        <f t="array" ref="B24">VLOOKUP(A24,'The List'!B1:D671,3,FALSE)</f>
        <v>D</v>
      </c>
      <c r="C24" s="173" cm="1">
        <f t="array" ref="C24">IF(Settings!$E$15="POINTS",RANK(E24,E3:E204),H24)</f>
        <v>27</v>
      </c>
      <c r="D24" s="18" t="str" cm="1">
        <f t="array" ref="D24">VLOOKUP(A24,'The List'!B1:F671,5,FALSE)</f>
        <v>BOS</v>
      </c>
      <c r="E24" s="55" cm="1">
        <f t="array" ref="E24">VLOOKUP(A24,'The List'!B1:I671,8,FALSE)</f>
        <v>1.7255668026968056</v>
      </c>
      <c r="F24" s="55" cm="1">
        <f t="array" ref="F24">IF(Settings!$E$15="POINTS",E24-VLOOKUP(B$2,C1:E204,3,FALSE),J24)</f>
        <v>1.1587158881792512</v>
      </c>
      <c r="G24" s="55"/>
      <c r="H24" s="166" cm="1">
        <f t="array" ref="H24">RANK(I24,I3:I204)</f>
        <v>27</v>
      </c>
      <c r="I24" s="167" cm="1">
        <f t="array" ref="I24">VLOOKUP(A24,'Standard Deviations'!A1:C672,3,FALSE)</f>
        <v>1.7255668026968056</v>
      </c>
      <c r="J24" s="167" cm="1">
        <f t="array" ref="J24">I24-VLOOKUP(B$2,H1:J204,2,FALSE)</f>
        <v>1.1587158881792512</v>
      </c>
    </row>
    <row r="25" spans="1:10" ht="21.25" customHeight="1" x14ac:dyDescent="0.15">
      <c r="A25" s="10" t="s">
        <v>184</v>
      </c>
      <c r="B25" s="172" t="str" cm="1">
        <f t="array" ref="B25">VLOOKUP(A25,'The List'!B1:D671,3,FALSE)</f>
        <v>D</v>
      </c>
      <c r="C25" s="173" cm="1">
        <f t="array" ref="C25">IF(Settings!$E$15="POINTS",RANK(E25,E3:E204),H25)</f>
        <v>21</v>
      </c>
      <c r="D25" s="18" t="str" cm="1">
        <f t="array" ref="D25">VLOOKUP(A25,'The List'!B1:F671,5,FALSE)</f>
        <v>UTA</v>
      </c>
      <c r="E25" s="55" cm="1">
        <f t="array" ref="E25">VLOOKUP(A25,'The List'!B1:I671,8,FALSE)</f>
        <v>2.2769917339511161</v>
      </c>
      <c r="F25" s="55" cm="1">
        <f t="array" ref="F25">IF(Settings!$E$15="POINTS",E25-VLOOKUP(B$2,C1:E204,3,FALSE),J25)</f>
        <v>1.7101408194335617</v>
      </c>
      <c r="G25" s="55"/>
      <c r="H25" s="166" cm="1">
        <f t="array" ref="H25">RANK(I25,I3:I204)</f>
        <v>21</v>
      </c>
      <c r="I25" s="167" cm="1">
        <f t="array" ref="I25">VLOOKUP(A25,'Standard Deviations'!A1:C672,3,FALSE)</f>
        <v>2.2769917339511161</v>
      </c>
      <c r="J25" s="167" cm="1">
        <f t="array" ref="J25">I25-VLOOKUP(B$2,H1:J204,2,FALSE)</f>
        <v>1.7101408194335617</v>
      </c>
    </row>
    <row r="26" spans="1:10" ht="21.25" customHeight="1" x14ac:dyDescent="0.15">
      <c r="A26" s="10" t="s">
        <v>186</v>
      </c>
      <c r="B26" s="172" t="str" cm="1">
        <f t="array" ref="B26">VLOOKUP(A26,'The List'!B1:D671,3,FALSE)</f>
        <v>D</v>
      </c>
      <c r="C26" s="173" cm="1">
        <f t="array" ref="C26">IF(Settings!$E$15="POINTS",RANK(E26,E3:E204),H26)</f>
        <v>19</v>
      </c>
      <c r="D26" s="18" t="str" cm="1">
        <f t="array" ref="D26">VLOOKUP(A26,'The List'!B1:F671,5,FALSE)</f>
        <v>PIT</v>
      </c>
      <c r="E26" s="55" cm="1">
        <f t="array" ref="E26">VLOOKUP(A26,'The List'!B1:I671,8,FALSE)</f>
        <v>2.5208805963562608</v>
      </c>
      <c r="F26" s="55" cm="1">
        <f t="array" ref="F26">IF(Settings!$E$15="POINTS",E26-VLOOKUP(B$2,C1:E204,3,FALSE),J26)</f>
        <v>1.9540296818387064</v>
      </c>
      <c r="G26" s="55"/>
      <c r="H26" s="166" cm="1">
        <f t="array" ref="H26">RANK(I26,I3:I204)</f>
        <v>19</v>
      </c>
      <c r="I26" s="167" cm="1">
        <f t="array" ref="I26">VLOOKUP(A26,'Standard Deviations'!A1:C672,3,FALSE)</f>
        <v>2.5208805963562608</v>
      </c>
      <c r="J26" s="167" cm="1">
        <f t="array" ref="J26">I26-VLOOKUP(B$2,H1:J204,2,FALSE)</f>
        <v>1.9540296818387064</v>
      </c>
    </row>
    <row r="27" spans="1:10" ht="21.25" customHeight="1" x14ac:dyDescent="0.15">
      <c r="A27" s="10" t="s">
        <v>197</v>
      </c>
      <c r="B27" s="172" t="str" cm="1">
        <f t="array" ref="B27">VLOOKUP(A27,'The List'!B1:D671,3,FALSE)</f>
        <v>D</v>
      </c>
      <c r="C27" s="173" cm="1">
        <f t="array" ref="C27">IF(Settings!$E$15="POINTS",RANK(E27,E3:E204),H27)</f>
        <v>25</v>
      </c>
      <c r="D27" s="18" t="str" cm="1">
        <f t="array" ref="D27">VLOOKUP(A27,'The List'!B1:F671,5,FALSE)</f>
        <v>DAL</v>
      </c>
      <c r="E27" s="55" cm="1">
        <f t="array" ref="E27">VLOOKUP(A27,'The List'!B1:I671,8,FALSE)</f>
        <v>2.0393318062471257</v>
      </c>
      <c r="F27" s="55" cm="1">
        <f t="array" ref="F27">IF(Settings!$E$15="POINTS",E27-VLOOKUP(B$2,C1:E204,3,FALSE),J27)</f>
        <v>1.4724808917295713</v>
      </c>
      <c r="G27" s="55"/>
      <c r="H27" s="166" cm="1">
        <f t="array" ref="H27">RANK(I27,I3:I204)</f>
        <v>25</v>
      </c>
      <c r="I27" s="167" cm="1">
        <f t="array" ref="I27">VLOOKUP(A27,'Standard Deviations'!A1:C672,3,FALSE)</f>
        <v>2.0393318062471257</v>
      </c>
      <c r="J27" s="167" cm="1">
        <f t="array" ref="J27">I27-VLOOKUP(B$2,H1:J204,2,FALSE)</f>
        <v>1.4724808917295713</v>
      </c>
    </row>
    <row r="28" spans="1:10" ht="21.25" customHeight="1" x14ac:dyDescent="0.15">
      <c r="A28" s="10" t="s">
        <v>199</v>
      </c>
      <c r="B28" s="172" t="str" cm="1">
        <f t="array" ref="B28">VLOOKUP(A28,'The List'!B1:D671,3,FALSE)</f>
        <v>D</v>
      </c>
      <c r="C28" s="173" cm="1">
        <f t="array" ref="C28">IF(Settings!$E$15="POINTS",RANK(E28,E3:E204),H28)</f>
        <v>49</v>
      </c>
      <c r="D28" s="18" t="str" cm="1">
        <f t="array" ref="D28">VLOOKUP(A28,'The List'!B1:F671,5,FALSE)</f>
        <v>CHI</v>
      </c>
      <c r="E28" s="55" cm="1">
        <f t="array" ref="E28">VLOOKUP(A28,'The List'!B1:I671,8,FALSE)</f>
        <v>-0.45920149015417944</v>
      </c>
      <c r="F28" s="55" cm="1">
        <f t="array" ref="F28">IF(Settings!$E$15="POINTS",E28-VLOOKUP(B$2,C1:E204,3,FALSE),J28)</f>
        <v>-1.0260524046717339</v>
      </c>
      <c r="G28" s="55"/>
      <c r="H28" s="166" cm="1">
        <f t="array" ref="H28">RANK(I28,I3:I204)</f>
        <v>49</v>
      </c>
      <c r="I28" s="167" cm="1">
        <f t="array" ref="I28">VLOOKUP(A28,'Standard Deviations'!A1:C672,3,FALSE)</f>
        <v>-0.45920149015417944</v>
      </c>
      <c r="J28" s="167" cm="1">
        <f t="array" ref="J28">I28-VLOOKUP(B$2,H1:J204,2,FALSE)</f>
        <v>-1.0260524046717339</v>
      </c>
    </row>
    <row r="29" spans="1:10" ht="21.25" customHeight="1" x14ac:dyDescent="0.15">
      <c r="A29" s="10" t="s">
        <v>203</v>
      </c>
      <c r="B29" s="172" t="str" cm="1">
        <f t="array" ref="B29">VLOOKUP(A29,'The List'!B1:D671,3,FALSE)</f>
        <v>D</v>
      </c>
      <c r="C29" s="173" cm="1">
        <f t="array" ref="C29">IF(Settings!$E$15="POINTS",RANK(E29,E3:E204),H29)</f>
        <v>34</v>
      </c>
      <c r="D29" s="18" t="str" cm="1">
        <f t="array" ref="D29">VLOOKUP(A29,'The List'!B1:F671,5,FALSE)</f>
        <v>MIN</v>
      </c>
      <c r="E29" s="55" cm="1">
        <f t="array" ref="E29">VLOOKUP(A29,'The List'!B1:I671,8,FALSE)</f>
        <v>0.8518329494199981</v>
      </c>
      <c r="F29" s="55" cm="1">
        <f t="array" ref="F29">IF(Settings!$E$15="POINTS",E29-VLOOKUP(B$2,C1:E204,3,FALSE),J29)</f>
        <v>0.28498203490244367</v>
      </c>
      <c r="G29" s="55"/>
      <c r="H29" s="166" cm="1">
        <f t="array" ref="H29">RANK(I29,I3:I204)</f>
        <v>34</v>
      </c>
      <c r="I29" s="167" cm="1">
        <f t="array" ref="I29">VLOOKUP(A29,'Standard Deviations'!A1:C672,3,FALSE)</f>
        <v>0.8518329494199981</v>
      </c>
      <c r="J29" s="167" cm="1">
        <f t="array" ref="J29">I29-VLOOKUP(B$2,H1:J204,2,FALSE)</f>
        <v>0.28498203490244367</v>
      </c>
    </row>
    <row r="30" spans="1:10" ht="21.25" customHeight="1" x14ac:dyDescent="0.15">
      <c r="A30" s="10" t="s">
        <v>211</v>
      </c>
      <c r="B30" s="172" t="str" cm="1">
        <f t="array" ref="B30">VLOOKUP(A30,'The List'!B1:D671,3,FALSE)</f>
        <v>D</v>
      </c>
      <c r="C30" s="173" cm="1">
        <f t="array" ref="C30">IF(Settings!$E$15="POINTS",RANK(E30,E3:E204),H30)</f>
        <v>20</v>
      </c>
      <c r="D30" s="18" t="str" cm="1">
        <f t="array" ref="D30">VLOOKUP(A30,'The List'!B1:F671,5,FALSE)</f>
        <v>N.J</v>
      </c>
      <c r="E30" s="55" cm="1">
        <f t="array" ref="E30">VLOOKUP(A30,'The List'!B1:I671,8,FALSE)</f>
        <v>2.406050345948743</v>
      </c>
      <c r="F30" s="55" cm="1">
        <f t="array" ref="F30">IF(Settings!$E$15="POINTS",E30-VLOOKUP(B$2,C1:E204,3,FALSE),J30)</f>
        <v>1.8391994314311886</v>
      </c>
      <c r="G30" s="55"/>
      <c r="H30" s="166" cm="1">
        <f t="array" ref="H30">RANK(I30,I3:I204)</f>
        <v>20</v>
      </c>
      <c r="I30" s="167" cm="1">
        <f t="array" ref="I30">VLOOKUP(A30,'Standard Deviations'!A1:C672,3,FALSE)</f>
        <v>2.406050345948743</v>
      </c>
      <c r="J30" s="167" cm="1">
        <f t="array" ref="J30">I30-VLOOKUP(B$2,H1:J204,2,FALSE)</f>
        <v>1.8391994314311886</v>
      </c>
    </row>
    <row r="31" spans="1:10" ht="21.25" customHeight="1" x14ac:dyDescent="0.15">
      <c r="A31" s="10" t="s">
        <v>214</v>
      </c>
      <c r="B31" s="172" t="str" cm="1">
        <f t="array" ref="B31">VLOOKUP(A31,'The List'!B1:D671,3,FALSE)</f>
        <v>D</v>
      </c>
      <c r="C31" s="173" cm="1">
        <f t="array" ref="C31">IF(Settings!$E$15="POINTS",RANK(E31,E3:E204),H31)</f>
        <v>16</v>
      </c>
      <c r="D31" s="18" t="str" cm="1">
        <f t="array" ref="D31">VLOOKUP(A31,'The List'!B1:F671,5,FALSE)</f>
        <v>CAR</v>
      </c>
      <c r="E31" s="55" cm="1">
        <f t="array" ref="E31">VLOOKUP(A31,'The List'!B1:I671,8,FALSE)</f>
        <v>3.1050120330451199</v>
      </c>
      <c r="F31" s="55" cm="1">
        <f t="array" ref="F31">IF(Settings!$E$15="POINTS",E31-VLOOKUP(B$2,C1:E204,3,FALSE),J31)</f>
        <v>2.5381611185275652</v>
      </c>
      <c r="G31" s="55"/>
      <c r="H31" s="166" cm="1">
        <f t="array" ref="H31">RANK(I31,I3:I204)</f>
        <v>16</v>
      </c>
      <c r="I31" s="167" cm="1">
        <f t="array" ref="I31">VLOOKUP(A31,'Standard Deviations'!A1:C672,3,FALSE)</f>
        <v>3.1050120330451199</v>
      </c>
      <c r="J31" s="167" cm="1">
        <f t="array" ref="J31">I31-VLOOKUP(B$2,H1:J204,2,FALSE)</f>
        <v>2.5381611185275652</v>
      </c>
    </row>
    <row r="32" spans="1:10" ht="21.25" customHeight="1" x14ac:dyDescent="0.15">
      <c r="A32" s="10" t="s">
        <v>215</v>
      </c>
      <c r="B32" s="172" t="str" cm="1">
        <f t="array" ref="B32">VLOOKUP(A32,'The List'!B1:D671,3,FALSE)</f>
        <v>D</v>
      </c>
      <c r="C32" s="173" cm="1">
        <f t="array" ref="C32">IF(Settings!$E$15="POINTS",RANK(E32,E3:E204),H32)</f>
        <v>51</v>
      </c>
      <c r="D32" s="18" t="str" cm="1">
        <f t="array" ref="D32">VLOOKUP(A32,'The List'!B1:F671,5,FALSE)</f>
        <v>SEA</v>
      </c>
      <c r="E32" s="55" cm="1">
        <f t="array" ref="E32">VLOOKUP(A32,'The List'!B1:I671,8,FALSE)</f>
        <v>-0.51894248766618056</v>
      </c>
      <c r="F32" s="55" cm="1">
        <f t="array" ref="F32">IF(Settings!$E$15="POINTS",E32-VLOOKUP(B$2,C1:E204,3,FALSE),J32)</f>
        <v>-1.085793402183735</v>
      </c>
      <c r="G32" s="55"/>
      <c r="H32" s="166" cm="1">
        <f t="array" ref="H32">RANK(I32,I3:I204)</f>
        <v>51</v>
      </c>
      <c r="I32" s="167" cm="1">
        <f t="array" ref="I32">VLOOKUP(A32,'Standard Deviations'!A1:C672,3,FALSE)</f>
        <v>-0.51894248766618056</v>
      </c>
      <c r="J32" s="167" cm="1">
        <f t="array" ref="J32">I32-VLOOKUP(B$2,H1:J204,2,FALSE)</f>
        <v>-1.085793402183735</v>
      </c>
    </row>
    <row r="33" spans="1:10" ht="21.25" customHeight="1" x14ac:dyDescent="0.15">
      <c r="A33" s="10" t="s">
        <v>217</v>
      </c>
      <c r="B33" s="172" t="str" cm="1">
        <f t="array" ref="B33">VLOOKUP(A33,'The List'!B1:D671,3,FALSE)</f>
        <v>D</v>
      </c>
      <c r="C33" s="173" cm="1">
        <f t="array" ref="C33">IF(Settings!$E$15="POINTS",RANK(E33,E3:E204),H33)</f>
        <v>42</v>
      </c>
      <c r="D33" s="18" t="str" cm="1">
        <f t="array" ref="D33">VLOOKUP(A33,'The List'!B1:F671,5,FALSE)</f>
        <v>VAN</v>
      </c>
      <c r="E33" s="55" cm="1">
        <f t="array" ref="E33">VLOOKUP(A33,'The List'!B1:I671,8,FALSE)</f>
        <v>0.14524539029762207</v>
      </c>
      <c r="F33" s="55" cm="1">
        <f t="array" ref="F33">IF(Settings!$E$15="POINTS",E33-VLOOKUP(B$2,C1:E204,3,FALSE),J33)</f>
        <v>-0.42160552421993236</v>
      </c>
      <c r="G33" s="55"/>
      <c r="H33" s="166" cm="1">
        <f t="array" ref="H33">RANK(I33,I3:I204)</f>
        <v>42</v>
      </c>
      <c r="I33" s="167" cm="1">
        <f t="array" ref="I33">VLOOKUP(A33,'Standard Deviations'!A1:C672,3,FALSE)</f>
        <v>0.14524539029762207</v>
      </c>
      <c r="J33" s="167" cm="1">
        <f t="array" ref="J33">I33-VLOOKUP(B$2,H1:J204,2,FALSE)</f>
        <v>-0.42160552421993236</v>
      </c>
    </row>
    <row r="34" spans="1:10" ht="21.25" customHeight="1" x14ac:dyDescent="0.15">
      <c r="A34" s="10" t="s">
        <v>218</v>
      </c>
      <c r="B34" s="172" t="str" cm="1">
        <f t="array" ref="B34">VLOOKUP(A34,'The List'!B1:D671,3,FALSE)</f>
        <v>D</v>
      </c>
      <c r="C34" s="173" cm="1">
        <f t="array" ref="C34">IF(Settings!$E$15="POINTS",RANK(E34,E3:E204),H34)</f>
        <v>33</v>
      </c>
      <c r="D34" s="18" t="str" cm="1">
        <f t="array" ref="D34">VLOOKUP(A34,'The List'!B1:F671,5,FALSE)</f>
        <v>N.J</v>
      </c>
      <c r="E34" s="55" cm="1">
        <f t="array" ref="E34">VLOOKUP(A34,'The List'!B1:I671,8,FALSE)</f>
        <v>0.98466025721642669</v>
      </c>
      <c r="F34" s="55" cm="1">
        <f t="array" ref="F34">IF(Settings!$E$15="POINTS",E34-VLOOKUP(B$2,C1:E204,3,FALSE),J34)</f>
        <v>0.41780934269887227</v>
      </c>
      <c r="G34" s="55"/>
      <c r="H34" s="166" cm="1">
        <f t="array" ref="H34">RANK(I34,I3:I204)</f>
        <v>33</v>
      </c>
      <c r="I34" s="167" cm="1">
        <f t="array" ref="I34">VLOOKUP(A34,'Standard Deviations'!A1:C672,3,FALSE)</f>
        <v>0.98466025721642669</v>
      </c>
      <c r="J34" s="167" cm="1">
        <f t="array" ref="J34">I34-VLOOKUP(B$2,H1:J204,2,FALSE)</f>
        <v>0.41780934269887227</v>
      </c>
    </row>
    <row r="35" spans="1:10" ht="21.25" customHeight="1" x14ac:dyDescent="0.15">
      <c r="A35" s="10" t="s">
        <v>224</v>
      </c>
      <c r="B35" s="172" t="str" cm="1">
        <f t="array" ref="B35">VLOOKUP(A35,'The List'!B1:D671,3,FALSE)</f>
        <v>D</v>
      </c>
      <c r="C35" s="173" cm="1">
        <f t="array" ref="C35">IF(Settings!$E$15="POINTS",RANK(E35,E3:E204),H35)</f>
        <v>32</v>
      </c>
      <c r="D35" s="18" t="str" cm="1">
        <f t="array" ref="D35">VLOOKUP(A35,'The List'!B1:F671,5,FALSE)</f>
        <v>UTA</v>
      </c>
      <c r="E35" s="55" cm="1">
        <f t="array" ref="E35">VLOOKUP(A35,'The List'!B1:I671,8,FALSE)</f>
        <v>1.1306909830498044</v>
      </c>
      <c r="F35" s="55" cm="1">
        <f t="array" ref="F35">IF(Settings!$E$15="POINTS",E35-VLOOKUP(B$2,C1:E204,3,FALSE),J35)</f>
        <v>0.56384006853224999</v>
      </c>
      <c r="G35" s="55"/>
      <c r="H35" s="166" cm="1">
        <f t="array" ref="H35">RANK(I35,I3:I204)</f>
        <v>32</v>
      </c>
      <c r="I35" s="167" cm="1">
        <f t="array" ref="I35">VLOOKUP(A35,'Standard Deviations'!A1:C672,3,FALSE)</f>
        <v>1.1306909830498044</v>
      </c>
      <c r="J35" s="167" cm="1">
        <f t="array" ref="J35">I35-VLOOKUP(B$2,H1:J204,2,FALSE)</f>
        <v>0.56384006853224999</v>
      </c>
    </row>
    <row r="36" spans="1:10" ht="21.25" customHeight="1" x14ac:dyDescent="0.15">
      <c r="A36" s="10" t="s">
        <v>229</v>
      </c>
      <c r="B36" s="172" t="str" cm="1">
        <f t="array" ref="B36">VLOOKUP(A36,'The List'!B1:D671,3,FALSE)</f>
        <v>D</v>
      </c>
      <c r="C36" s="173" cm="1">
        <f t="array" ref="C36">IF(Settings!$E$15="POINTS",RANK(E36,E3:E204),H36)</f>
        <v>50</v>
      </c>
      <c r="D36" s="18" t="str" cm="1">
        <f t="array" ref="D36">VLOOKUP(A36,'The List'!B1:F671,5,FALSE)</f>
        <v>BUF</v>
      </c>
      <c r="E36" s="55" cm="1">
        <f t="array" ref="E36">VLOOKUP(A36,'The List'!B1:I671,8,FALSE)</f>
        <v>-0.47501528981463437</v>
      </c>
      <c r="F36" s="55" cm="1">
        <f t="array" ref="F36">IF(Settings!$E$15="POINTS",E36-VLOOKUP(B$2,C1:E204,3,FALSE),J36)</f>
        <v>-1.0418662043321887</v>
      </c>
      <c r="G36" s="55"/>
      <c r="H36" s="166" cm="1">
        <f t="array" ref="H36">RANK(I36,I3:I204)</f>
        <v>50</v>
      </c>
      <c r="I36" s="167" cm="1">
        <f t="array" ref="I36">VLOOKUP(A36,'Standard Deviations'!A1:C672,3,FALSE)</f>
        <v>-0.47501528981463437</v>
      </c>
      <c r="J36" s="167" cm="1">
        <f t="array" ref="J36">I36-VLOOKUP(B$2,H1:J204,2,FALSE)</f>
        <v>-1.0418662043321887</v>
      </c>
    </row>
    <row r="37" spans="1:10" ht="21.25" customHeight="1" x14ac:dyDescent="0.15">
      <c r="A37" s="10" t="s">
        <v>230</v>
      </c>
      <c r="B37" s="172" t="str" cm="1">
        <f t="array" ref="B37">VLOOKUP(A37,'The List'!B1:D671,3,FALSE)</f>
        <v>D</v>
      </c>
      <c r="C37" s="173" cm="1">
        <f t="array" ref="C37">IF(Settings!$E$15="POINTS",RANK(E37,E3:E204),H37)</f>
        <v>30</v>
      </c>
      <c r="D37" s="18" t="str" cm="1">
        <f t="array" ref="D37">VLOOKUP(A37,'The List'!B1:F671,5,FALSE)</f>
        <v>FLA</v>
      </c>
      <c r="E37" s="55" cm="1">
        <f t="array" ref="E37">VLOOKUP(A37,'The List'!B1:I671,8,FALSE)</f>
        <v>1.1825786610612372</v>
      </c>
      <c r="F37" s="55" cm="1">
        <f t="array" ref="F37">IF(Settings!$E$15="POINTS",E37-VLOOKUP(B$2,C1:E204,3,FALSE),J37)</f>
        <v>0.61572774654368279</v>
      </c>
      <c r="G37" s="55"/>
      <c r="H37" s="166" cm="1">
        <f t="array" ref="H37">RANK(I37,I3:I204)</f>
        <v>30</v>
      </c>
      <c r="I37" s="167" cm="1">
        <f t="array" ref="I37">VLOOKUP(A37,'Standard Deviations'!A1:C672,3,FALSE)</f>
        <v>1.1825786610612372</v>
      </c>
      <c r="J37" s="167" cm="1">
        <f t="array" ref="J37">I37-VLOOKUP(B$2,H1:J204,2,FALSE)</f>
        <v>0.61572774654368279</v>
      </c>
    </row>
    <row r="38" spans="1:10" ht="21.25" customHeight="1" x14ac:dyDescent="0.15">
      <c r="A38" s="10" t="s">
        <v>231</v>
      </c>
      <c r="B38" s="172" t="str" cm="1">
        <f t="array" ref="B38">VLOOKUP(A38,'The List'!B1:D671,3,FALSE)</f>
        <v>D</v>
      </c>
      <c r="C38" s="173" cm="1">
        <f t="array" ref="C38">IF(Settings!$E$15="POINTS",RANK(E38,E3:E204),H38)</f>
        <v>44</v>
      </c>
      <c r="D38" s="18" t="str" cm="1">
        <f t="array" ref="D38">VLOOKUP(A38,'The List'!B1:F671,5,FALSE)</f>
        <v>OTT</v>
      </c>
      <c r="E38" s="55" cm="1">
        <f t="array" ref="E38">VLOOKUP(A38,'The List'!B1:I671,8,FALSE)</f>
        <v>8.4311150407319624E-3</v>
      </c>
      <c r="F38" s="55" cm="1">
        <f t="array" ref="F38">IF(Settings!$E$15="POINTS",E38-VLOOKUP(B$2,C1:E204,3,FALSE),J38)</f>
        <v>-0.55841979947682252</v>
      </c>
      <c r="G38" s="55"/>
      <c r="H38" s="166" cm="1">
        <f t="array" ref="H38">RANK(I38,I3:I204)</f>
        <v>44</v>
      </c>
      <c r="I38" s="167" cm="1">
        <f t="array" ref="I38">VLOOKUP(A38,'Standard Deviations'!A1:C672,3,FALSE)</f>
        <v>8.4311150407319624E-3</v>
      </c>
      <c r="J38" s="167" cm="1">
        <f t="array" ref="J38">I38-VLOOKUP(B$2,H1:J204,2,FALSE)</f>
        <v>-0.55841979947682252</v>
      </c>
    </row>
    <row r="39" spans="1:10" ht="21.25" customHeight="1" x14ac:dyDescent="0.15">
      <c r="A39" s="10" t="s">
        <v>238</v>
      </c>
      <c r="B39" s="172" t="str" cm="1">
        <f t="array" ref="B39">VLOOKUP(A39,'The List'!B1:D671,3,FALSE)</f>
        <v>D</v>
      </c>
      <c r="C39" s="173" cm="1">
        <f t="array" ref="C39">IF(Settings!$E$15="POINTS",RANK(E39,E3:E204),H39)</f>
        <v>41</v>
      </c>
      <c r="D39" s="18" t="str" cm="1">
        <f t="array" ref="D39">VLOOKUP(A39,'The List'!B1:F671,5,FALSE)</f>
        <v>STL</v>
      </c>
      <c r="E39" s="55" cm="1">
        <f t="array" ref="E39">VLOOKUP(A39,'The List'!B1:I671,8,FALSE)</f>
        <v>0.16516633466125408</v>
      </c>
      <c r="F39" s="55" cm="1">
        <f t="array" ref="F39">IF(Settings!$E$15="POINTS",E39-VLOOKUP(B$2,C1:E204,3,FALSE),J39)</f>
        <v>-0.40168457985630035</v>
      </c>
      <c r="G39" s="55"/>
      <c r="H39" s="166" cm="1">
        <f t="array" ref="H39">RANK(I39,I3:I204)</f>
        <v>41</v>
      </c>
      <c r="I39" s="167" cm="1">
        <f t="array" ref="I39">VLOOKUP(A39,'Standard Deviations'!A1:C672,3,FALSE)</f>
        <v>0.16516633466125408</v>
      </c>
      <c r="J39" s="167" cm="1">
        <f t="array" ref="J39">I39-VLOOKUP(B$2,H1:J204,2,FALSE)</f>
        <v>-0.40168457985630035</v>
      </c>
    </row>
    <row r="40" spans="1:10" ht="21.25" customHeight="1" x14ac:dyDescent="0.15">
      <c r="A40" s="10" t="s">
        <v>239</v>
      </c>
      <c r="B40" s="172" t="str" cm="1">
        <f t="array" ref="B40">VLOOKUP(A40,'The List'!B1:D671,3,FALSE)</f>
        <v>D</v>
      </c>
      <c r="C40" s="173" cm="1">
        <f t="array" ref="C40">IF(Settings!$E$15="POINTS",RANK(E40,E3:E204),H40)</f>
        <v>24</v>
      </c>
      <c r="D40" s="18" t="str" cm="1">
        <f t="array" ref="D40">VLOOKUP(A40,'The List'!B1:F671,5,FALSE)</f>
        <v>WSH</v>
      </c>
      <c r="E40" s="55" cm="1">
        <f t="array" ref="E40">VLOOKUP(A40,'The List'!B1:I671,8,FALSE)</f>
        <v>2.1858213341746513</v>
      </c>
      <c r="F40" s="55" cm="1">
        <f t="array" ref="F40">IF(Settings!$E$15="POINTS",E40-VLOOKUP(B$2,C1:E204,3,FALSE),J40)</f>
        <v>1.6189704196570969</v>
      </c>
      <c r="G40" s="55"/>
      <c r="H40" s="166" cm="1">
        <f t="array" ref="H40">RANK(I40,I3:I204)</f>
        <v>24</v>
      </c>
      <c r="I40" s="167" cm="1">
        <f t="array" ref="I40">VLOOKUP(A40,'Standard Deviations'!A1:C672,3,FALSE)</f>
        <v>2.1858213341746513</v>
      </c>
      <c r="J40" s="167" cm="1">
        <f t="array" ref="J40">I40-VLOOKUP(B$2,H1:J204,2,FALSE)</f>
        <v>1.6189704196570969</v>
      </c>
    </row>
    <row r="41" spans="1:10" ht="21.25" customHeight="1" x14ac:dyDescent="0.15">
      <c r="A41" s="10" t="s">
        <v>241</v>
      </c>
      <c r="B41" s="172" t="str" cm="1">
        <f t="array" ref="B41">VLOOKUP(A41,'The List'!B1:D671,3,FALSE)</f>
        <v>D</v>
      </c>
      <c r="C41" s="173" cm="1">
        <f t="array" ref="C41">IF(Settings!$E$15="POINTS",RANK(E41,E3:E204),H41)</f>
        <v>62</v>
      </c>
      <c r="D41" s="18" t="str" cm="1">
        <f t="array" ref="D41">VLOOKUP(A41,'The List'!B1:F671,5,FALSE)</f>
        <v>SEA</v>
      </c>
      <c r="E41" s="55" cm="1">
        <f t="array" ref="E41">VLOOKUP(A41,'The List'!B1:I671,8,FALSE)</f>
        <v>-1.0866928103183757</v>
      </c>
      <c r="F41" s="55" cm="1">
        <f t="array" ref="F41">IF(Settings!$E$15="POINTS",E41-VLOOKUP(B$2,C1:E204,3,FALSE),J41)</f>
        <v>-1.6535437248359302</v>
      </c>
      <c r="G41" s="55"/>
      <c r="H41" s="166" cm="1">
        <f t="array" ref="H41">RANK(I41,I3:I204)</f>
        <v>62</v>
      </c>
      <c r="I41" s="167" cm="1">
        <f t="array" ref="I41">VLOOKUP(A41,'Standard Deviations'!A1:C672,3,FALSE)</f>
        <v>-1.0866928103183757</v>
      </c>
      <c r="J41" s="167" cm="1">
        <f t="array" ref="J41">I41-VLOOKUP(B$2,H1:J204,2,FALSE)</f>
        <v>-1.6535437248359302</v>
      </c>
    </row>
    <row r="42" spans="1:10" ht="21.25" customHeight="1" x14ac:dyDescent="0.15">
      <c r="A42" s="10" t="s">
        <v>244</v>
      </c>
      <c r="B42" s="172" t="str" cm="1">
        <f t="array" ref="B42">VLOOKUP(A42,'The List'!B1:D671,3,FALSE)</f>
        <v>D</v>
      </c>
      <c r="C42" s="173" cm="1">
        <f t="array" ref="C42">IF(Settings!$E$15="POINTS",RANK(E42,E3:E204),H42)</f>
        <v>46</v>
      </c>
      <c r="D42" s="18" t="str" cm="1">
        <f t="array" ref="D42">VLOOKUP(A42,'The List'!B1:F671,5,FALSE)</f>
        <v>VGK</v>
      </c>
      <c r="E42" s="55" cm="1">
        <f t="array" ref="E42">VLOOKUP(A42,'The List'!B1:I671,8,FALSE)</f>
        <v>-0.36553273758934934</v>
      </c>
      <c r="F42" s="55" cm="1">
        <f t="array" ref="F42">IF(Settings!$E$15="POINTS",E42-VLOOKUP(B$2,C1:E204,3,FALSE),J42)</f>
        <v>-0.93238365210690377</v>
      </c>
      <c r="G42" s="55"/>
      <c r="H42" s="166" cm="1">
        <f t="array" ref="H42">RANK(I42,I3:I204)</f>
        <v>46</v>
      </c>
      <c r="I42" s="167" cm="1">
        <f t="array" ref="I42">VLOOKUP(A42,'Standard Deviations'!A1:C672,3,FALSE)</f>
        <v>-0.36553273758934934</v>
      </c>
      <c r="J42" s="167" cm="1">
        <f t="array" ref="J42">I42-VLOOKUP(B$2,H1:J204,2,FALSE)</f>
        <v>-0.93238365210690377</v>
      </c>
    </row>
    <row r="43" spans="1:10" ht="21.25" customHeight="1" x14ac:dyDescent="0.15">
      <c r="A43" s="10" t="s">
        <v>247</v>
      </c>
      <c r="B43" s="172" t="str" cm="1">
        <f t="array" ref="B43">VLOOKUP(A43,'The List'!B1:D671,3,FALSE)</f>
        <v>D</v>
      </c>
      <c r="C43" s="173" cm="1">
        <f t="array" ref="C43">IF(Settings!$E$15="POINTS",RANK(E43,E3:E204),H43)</f>
        <v>47</v>
      </c>
      <c r="D43" s="18" t="str" cm="1">
        <f t="array" ref="D43">VLOOKUP(A43,'The List'!B1:F671,5,FALSE)</f>
        <v>S.J</v>
      </c>
      <c r="E43" s="55" cm="1">
        <f t="array" ref="E43">VLOOKUP(A43,'The List'!B1:I671,8,FALSE)</f>
        <v>-0.38602041544637899</v>
      </c>
      <c r="F43" s="55" cm="1">
        <f t="array" ref="F43">IF(Settings!$E$15="POINTS",E43-VLOOKUP(B$2,C1:E204,3,FALSE),J43)</f>
        <v>-0.95287132996393342</v>
      </c>
      <c r="G43" s="55"/>
      <c r="H43" s="166" cm="1">
        <f t="array" ref="H43">RANK(I43,I3:I204)</f>
        <v>47</v>
      </c>
      <c r="I43" s="167" cm="1">
        <f t="array" ref="I43">VLOOKUP(A43,'Standard Deviations'!A1:C672,3,FALSE)</f>
        <v>-0.38602041544637899</v>
      </c>
      <c r="J43" s="167" cm="1">
        <f t="array" ref="J43">I43-VLOOKUP(B$2,H1:J204,2,FALSE)</f>
        <v>-0.95287132996393342</v>
      </c>
    </row>
    <row r="44" spans="1:10" ht="21.25" customHeight="1" x14ac:dyDescent="0.15">
      <c r="A44" s="10" t="s">
        <v>252</v>
      </c>
      <c r="B44" s="172" t="str" cm="1">
        <f t="array" ref="B44">VLOOKUP(A44,'The List'!B1:D671,3,FALSE)</f>
        <v>D</v>
      </c>
      <c r="C44" s="173" cm="1">
        <f t="array" ref="C44">IF(Settings!$E$15="POINTS",RANK(E44,E3:E204),H44)</f>
        <v>38</v>
      </c>
      <c r="D44" s="18" t="str" cm="1">
        <f t="array" ref="D44">VLOOKUP(A44,'The List'!B1:F671,5,FALSE)</f>
        <v>VGK</v>
      </c>
      <c r="E44" s="55" cm="1">
        <f t="array" ref="E44">VLOOKUP(A44,'The List'!B1:I671,8,FALSE)</f>
        <v>0.31863390590296747</v>
      </c>
      <c r="F44" s="55" cm="1">
        <f t="array" ref="F44">IF(Settings!$E$15="POINTS",E44-VLOOKUP(B$2,C1:E204,3,FALSE),J44)</f>
        <v>-0.24821700861458695</v>
      </c>
      <c r="G44" s="55"/>
      <c r="H44" s="166" cm="1">
        <f t="array" ref="H44">RANK(I44,I3:I204)</f>
        <v>38</v>
      </c>
      <c r="I44" s="167" cm="1">
        <f t="array" ref="I44">VLOOKUP(A44,'Standard Deviations'!A1:C672,3,FALSE)</f>
        <v>0.31863390590296747</v>
      </c>
      <c r="J44" s="167" cm="1">
        <f t="array" ref="J44">I44-VLOOKUP(B$2,H1:J204,2,FALSE)</f>
        <v>-0.24821700861458695</v>
      </c>
    </row>
    <row r="45" spans="1:10" ht="21.25" customHeight="1" x14ac:dyDescent="0.15">
      <c r="A45" s="10" t="s">
        <v>253</v>
      </c>
      <c r="B45" s="172" t="str" cm="1">
        <f t="array" ref="B45">VLOOKUP(A45,'The List'!B1:D671,3,FALSE)</f>
        <v>D</v>
      </c>
      <c r="C45" s="173" cm="1">
        <f t="array" ref="C45">IF(Settings!$E$15="POINTS",RANK(E45,E3:E204),H45)</f>
        <v>122</v>
      </c>
      <c r="D45" s="18" t="str" cm="1">
        <f t="array" ref="D45">VLOOKUP(A45,'The List'!B1:F671,5,FALSE)</f>
        <v>CGY</v>
      </c>
      <c r="E45" s="55" cm="1">
        <f t="array" ref="E45">VLOOKUP(A45,'The List'!B1:I671,8,FALSE)</f>
        <v>-2.9482075529377969</v>
      </c>
      <c r="F45" s="55" cm="1">
        <f t="array" ref="F45">IF(Settings!$E$15="POINTS",E45-VLOOKUP(B$2,C1:E204,3,FALSE),J45)</f>
        <v>-3.5150584674553516</v>
      </c>
      <c r="G45" s="55"/>
      <c r="H45" s="166" cm="1">
        <f t="array" ref="H45">RANK(I45,I3:I204)</f>
        <v>122</v>
      </c>
      <c r="I45" s="167" cm="1">
        <f t="array" ref="I45">VLOOKUP(A45,'Standard Deviations'!A1:C672,3,FALSE)</f>
        <v>-2.9482075529377969</v>
      </c>
      <c r="J45" s="167" cm="1">
        <f t="array" ref="J45">I45-VLOOKUP(B$2,H1:J204,2,FALSE)</f>
        <v>-3.5150584674553516</v>
      </c>
    </row>
    <row r="46" spans="1:10" ht="21.25" customHeight="1" x14ac:dyDescent="0.15">
      <c r="A46" s="10" t="s">
        <v>256</v>
      </c>
      <c r="B46" s="172" t="str" cm="1">
        <f t="array" ref="B46">VLOOKUP(A46,'The List'!B1:D671,3,FALSE)</f>
        <v>D</v>
      </c>
      <c r="C46" s="173" cm="1">
        <f t="array" ref="C46">IF(Settings!$E$15="POINTS",RANK(E46,E3:E204),H46)</f>
        <v>55</v>
      </c>
      <c r="D46" s="18" t="str" cm="1">
        <f t="array" ref="D46">VLOOKUP(A46,'The List'!B1:F671,5,FALSE)</f>
        <v>S.J</v>
      </c>
      <c r="E46" s="55" cm="1">
        <f t="array" ref="E46">VLOOKUP(A46,'The List'!B1:I671,8,FALSE)</f>
        <v>-0.69302915202337245</v>
      </c>
      <c r="F46" s="55" cm="1">
        <f t="array" ref="F46">IF(Settings!$E$15="POINTS",E46-VLOOKUP(B$2,C1:E204,3,FALSE),J46)</f>
        <v>-1.2598800665409269</v>
      </c>
      <c r="G46" s="55"/>
      <c r="H46" s="166" cm="1">
        <f t="array" ref="H46">RANK(I46,I3:I204)</f>
        <v>55</v>
      </c>
      <c r="I46" s="167" cm="1">
        <f t="array" ref="I46">VLOOKUP(A46,'Standard Deviations'!A1:C672,3,FALSE)</f>
        <v>-0.69302915202337245</v>
      </c>
      <c r="J46" s="167" cm="1">
        <f t="array" ref="J46">I46-VLOOKUP(B$2,H1:J204,2,FALSE)</f>
        <v>-1.2598800665409269</v>
      </c>
    </row>
    <row r="47" spans="1:10" ht="21.25" customHeight="1" x14ac:dyDescent="0.15">
      <c r="A47" s="10" t="s">
        <v>265</v>
      </c>
      <c r="B47" s="172" t="str" cm="1">
        <f t="array" ref="B47">VLOOKUP(A47,'The List'!B1:D671,3,FALSE)</f>
        <v>D</v>
      </c>
      <c r="C47" s="173" cm="1">
        <f t="array" ref="C47">IF(Settings!$E$15="POINTS",RANK(E47,E3:E204),H47)</f>
        <v>88</v>
      </c>
      <c r="D47" s="18" t="str" cm="1">
        <f t="array" ref="D47">VLOOKUP(A47,'The List'!B1:F671,5,FALSE)</f>
        <v>VAN</v>
      </c>
      <c r="E47" s="55" cm="1">
        <f t="array" ref="E47">VLOOKUP(A47,'The List'!B1:I671,8,FALSE)</f>
        <v>-2.0778155682660193</v>
      </c>
      <c r="F47" s="55" cm="1">
        <f t="array" ref="F47">IF(Settings!$E$15="POINTS",E47-VLOOKUP(B$2,C1:E204,3,FALSE),J47)</f>
        <v>-2.644666482783574</v>
      </c>
      <c r="G47" s="55"/>
      <c r="H47" s="166" cm="1">
        <f t="array" ref="H47">RANK(I47,I3:I204)</f>
        <v>88</v>
      </c>
      <c r="I47" s="167" cm="1">
        <f t="array" ref="I47">VLOOKUP(A47,'Standard Deviations'!A1:C672,3,FALSE)</f>
        <v>-2.0778155682660193</v>
      </c>
      <c r="J47" s="167" cm="1">
        <f t="array" ref="J47">I47-VLOOKUP(B$2,H1:J204,2,FALSE)</f>
        <v>-2.644666482783574</v>
      </c>
    </row>
    <row r="48" spans="1:10" ht="21.25" customHeight="1" x14ac:dyDescent="0.15">
      <c r="A48" s="10" t="s">
        <v>267</v>
      </c>
      <c r="B48" s="172" t="str" cm="1">
        <f t="array" ref="B48">VLOOKUP(A48,'The List'!B1:D671,3,FALSE)</f>
        <v>D</v>
      </c>
      <c r="C48" s="173" cm="1">
        <f t="array" ref="C48">IF(Settings!$E$15="POINTS",RANK(E48,E3:E204),H48)</f>
        <v>69</v>
      </c>
      <c r="D48" s="18" t="str" cm="1">
        <f t="array" ref="D48">VLOOKUP(A48,'The List'!B1:F671,5,FALSE)</f>
        <v>DET</v>
      </c>
      <c r="E48" s="55" cm="1">
        <f t="array" ref="E48">VLOOKUP(A48,'The List'!B1:I671,8,FALSE)</f>
        <v>-1.2864003184628605</v>
      </c>
      <c r="F48" s="55" cm="1">
        <f t="array" ref="F48">IF(Settings!$E$15="POINTS",E48-VLOOKUP(B$2,C1:E204,3,FALSE),J48)</f>
        <v>-1.8532512329804149</v>
      </c>
      <c r="G48" s="55"/>
      <c r="H48" s="166" cm="1">
        <f t="array" ref="H48">RANK(I48,I3:I204)</f>
        <v>69</v>
      </c>
      <c r="I48" s="167" cm="1">
        <f t="array" ref="I48">VLOOKUP(A48,'Standard Deviations'!A1:C672,3,FALSE)</f>
        <v>-1.2864003184628605</v>
      </c>
      <c r="J48" s="167" cm="1">
        <f t="array" ref="J48">I48-VLOOKUP(B$2,H1:J204,2,FALSE)</f>
        <v>-1.8532512329804149</v>
      </c>
    </row>
    <row r="49" spans="1:10" ht="21.25" customHeight="1" x14ac:dyDescent="0.15">
      <c r="A49" s="10" t="s">
        <v>269</v>
      </c>
      <c r="B49" s="172" t="str" cm="1">
        <f t="array" ref="B49">VLOOKUP(A49,'The List'!B1:D671,3,FALSE)</f>
        <v>D</v>
      </c>
      <c r="C49" s="173" cm="1">
        <f t="array" ref="C49">IF(Settings!$E$15="POINTS",RANK(E49,E3:E204),H49)</f>
        <v>36</v>
      </c>
      <c r="D49" s="18" t="str" cm="1">
        <f t="array" ref="D49">VLOOKUP(A49,'The List'!B1:F671,5,FALSE)</f>
        <v>T.B</v>
      </c>
      <c r="E49" s="55" cm="1">
        <f t="array" ref="E49">VLOOKUP(A49,'The List'!B1:I671,8,FALSE)</f>
        <v>0.70603314089046432</v>
      </c>
      <c r="F49" s="55" cm="1">
        <f t="array" ref="F49">IF(Settings!$E$15="POINTS",E49-VLOOKUP(B$2,C1:E204,3,FALSE),J49)</f>
        <v>0.13918222637290989</v>
      </c>
      <c r="G49" s="55"/>
      <c r="H49" s="166" cm="1">
        <f t="array" ref="H49">RANK(I49,I3:I204)</f>
        <v>36</v>
      </c>
      <c r="I49" s="167" cm="1">
        <f t="array" ref="I49">VLOOKUP(A49,'Standard Deviations'!A1:C672,3,FALSE)</f>
        <v>0.70603314089046432</v>
      </c>
      <c r="J49" s="167" cm="1">
        <f t="array" ref="J49">I49-VLOOKUP(B$2,H1:J204,2,FALSE)</f>
        <v>0.13918222637290989</v>
      </c>
    </row>
    <row r="50" spans="1:10" ht="21.25" customHeight="1" x14ac:dyDescent="0.15">
      <c r="A50" s="10" t="s">
        <v>270</v>
      </c>
      <c r="B50" s="172" t="str" cm="1">
        <f t="array" ref="B50">VLOOKUP(A50,'The List'!B1:D671,3,FALSE)</f>
        <v>D</v>
      </c>
      <c r="C50" s="173" cm="1">
        <f t="array" ref="C50">IF(Settings!$E$15="POINTS",RANK(E50,E3:E204),H50)</f>
        <v>84</v>
      </c>
      <c r="D50" s="18" t="str" cm="1">
        <f t="array" ref="D50">VLOOKUP(A50,'The List'!B1:F671,5,FALSE)</f>
        <v>ANA</v>
      </c>
      <c r="E50" s="55" cm="1">
        <f t="array" ref="E50">VLOOKUP(A50,'The List'!B1:I671,8,FALSE)</f>
        <v>-1.9097894544299547</v>
      </c>
      <c r="F50" s="55" cm="1">
        <f t="array" ref="F50">IF(Settings!$E$15="POINTS",E50-VLOOKUP(B$2,C1:E204,3,FALSE),J50)</f>
        <v>-2.4766403689475092</v>
      </c>
      <c r="G50" s="55"/>
      <c r="H50" s="166" cm="1">
        <f t="array" ref="H50">RANK(I50,I3:I204)</f>
        <v>84</v>
      </c>
      <c r="I50" s="167" cm="1">
        <f t="array" ref="I50">VLOOKUP(A50,'Standard Deviations'!A1:C672,3,FALSE)</f>
        <v>-1.9097894544299547</v>
      </c>
      <c r="J50" s="167" cm="1">
        <f t="array" ref="J50">I50-VLOOKUP(B$2,H1:J204,2,FALSE)</f>
        <v>-2.4766403689475092</v>
      </c>
    </row>
    <row r="51" spans="1:10" ht="21.25" customHeight="1" x14ac:dyDescent="0.15">
      <c r="A51" s="10" t="s">
        <v>282</v>
      </c>
      <c r="B51" s="172" t="str" cm="1">
        <f t="array" ref="B51">VLOOKUP(A51,'The List'!B1:D671,3,FALSE)</f>
        <v>D</v>
      </c>
      <c r="C51" s="173" cm="1">
        <f t="array" ref="C51">IF(Settings!$E$15="POINTS",RANK(E51,E3:E204),H51)</f>
        <v>40</v>
      </c>
      <c r="D51" s="18" t="str" cm="1">
        <f t="array" ref="D51">VLOOKUP(A51,'The List'!B1:F671,5,FALSE)</f>
        <v>EDM</v>
      </c>
      <c r="E51" s="55" cm="1">
        <f t="array" ref="E51">VLOOKUP(A51,'The List'!B1:I671,8,FALSE)</f>
        <v>0.28242985531275888</v>
      </c>
      <c r="F51" s="55" cm="1">
        <f t="array" ref="F51">IF(Settings!$E$15="POINTS",E51-VLOOKUP(B$2,C1:E204,3,FALSE),J51)</f>
        <v>-0.28442105920479555</v>
      </c>
      <c r="G51" s="55"/>
      <c r="H51" s="166" cm="1">
        <f t="array" ref="H51">RANK(I51,I3:I204)</f>
        <v>40</v>
      </c>
      <c r="I51" s="167" cm="1">
        <f t="array" ref="I51">VLOOKUP(A51,'Standard Deviations'!A1:C672,3,FALSE)</f>
        <v>0.28242985531275888</v>
      </c>
      <c r="J51" s="167" cm="1">
        <f t="array" ref="J51">I51-VLOOKUP(B$2,H1:J204,2,FALSE)</f>
        <v>-0.28442105920479555</v>
      </c>
    </row>
    <row r="52" spans="1:10" ht="21.25" customHeight="1" x14ac:dyDescent="0.15">
      <c r="A52" s="10" t="s">
        <v>284</v>
      </c>
      <c r="B52" s="172" t="str" cm="1">
        <f t="array" ref="B52">VLOOKUP(A52,'The List'!B1:D671,3,FALSE)</f>
        <v>D</v>
      </c>
      <c r="C52" s="173" cm="1">
        <f t="array" ref="C52">IF(Settings!$E$15="POINTS",RANK(E52,E3:E204),H52)</f>
        <v>65</v>
      </c>
      <c r="D52" s="18" t="str" cm="1">
        <f t="array" ref="D52">VLOOKUP(A52,'The List'!B1:F671,5,FALSE)</f>
        <v>PHI</v>
      </c>
      <c r="E52" s="55" cm="1">
        <f t="array" ref="E52">VLOOKUP(A52,'The List'!B1:I671,8,FALSE)</f>
        <v>-1.1412151555754744</v>
      </c>
      <c r="F52" s="55" cm="1">
        <f t="array" ref="F52">IF(Settings!$E$15="POINTS",E52-VLOOKUP(B$2,C1:E204,3,FALSE),J52)</f>
        <v>-1.7080660700930288</v>
      </c>
      <c r="G52" s="55"/>
      <c r="H52" s="166" cm="1">
        <f t="array" ref="H52">RANK(I52,I3:I204)</f>
        <v>65</v>
      </c>
      <c r="I52" s="167" cm="1">
        <f t="array" ref="I52">VLOOKUP(A52,'Standard Deviations'!A1:C672,3,FALSE)</f>
        <v>-1.1412151555754744</v>
      </c>
      <c r="J52" s="167" cm="1">
        <f t="array" ref="J52">I52-VLOOKUP(B$2,H1:J204,2,FALSE)</f>
        <v>-1.7080660700930288</v>
      </c>
    </row>
    <row r="53" spans="1:10" ht="21.25" customHeight="1" x14ac:dyDescent="0.15">
      <c r="A53" s="10" t="s">
        <v>286</v>
      </c>
      <c r="B53" s="172" t="str" cm="1">
        <f t="array" ref="B53">VLOOKUP(A53,'The List'!B1:D671,3,FALSE)</f>
        <v>D</v>
      </c>
      <c r="C53" s="173" cm="1">
        <f t="array" ref="C53">IF(Settings!$E$15="POINTS",RANK(E53,E3:E204),H53)</f>
        <v>91</v>
      </c>
      <c r="D53" s="18" t="str" cm="1">
        <f t="array" ref="D53">VLOOKUP(A53,'The List'!B1:F671,5,FALSE)</f>
        <v>PHI</v>
      </c>
      <c r="E53" s="55" cm="1">
        <f t="array" ref="E53">VLOOKUP(A53,'The List'!B1:I671,8,FALSE)</f>
        <v>-2.1227930208935586</v>
      </c>
      <c r="F53" s="55" cm="1">
        <f t="array" ref="F53">IF(Settings!$E$15="POINTS",E53-VLOOKUP(B$2,C1:E204,3,FALSE),J53)</f>
        <v>-2.6896439354111132</v>
      </c>
      <c r="G53" s="55"/>
      <c r="H53" s="166" cm="1">
        <f t="array" ref="H53">RANK(I53,I3:I204)</f>
        <v>91</v>
      </c>
      <c r="I53" s="167" cm="1">
        <f t="array" ref="I53">VLOOKUP(A53,'Standard Deviations'!A1:C672,3,FALSE)</f>
        <v>-2.1227930208935586</v>
      </c>
      <c r="J53" s="167" cm="1">
        <f t="array" ref="J53">I53-VLOOKUP(B$2,H1:J204,2,FALSE)</f>
        <v>-2.6896439354111132</v>
      </c>
    </row>
    <row r="54" spans="1:10" ht="21.25" customHeight="1" x14ac:dyDescent="0.15">
      <c r="A54" s="10" t="s">
        <v>287</v>
      </c>
      <c r="B54" s="172" t="str" cm="1">
        <f t="array" ref="B54">VLOOKUP(A54,'The List'!B1:D671,3,FALSE)</f>
        <v>D</v>
      </c>
      <c r="C54" s="173" cm="1">
        <f t="array" ref="C54">IF(Settings!$E$15="POINTS",RANK(E54,E3:E204),H54)</f>
        <v>74</v>
      </c>
      <c r="D54" s="18" t="str" cm="1">
        <f t="array" ref="D54">VLOOKUP(A54,'The List'!B1:F671,5,FALSE)</f>
        <v>DET</v>
      </c>
      <c r="E54" s="55" cm="1">
        <f t="array" ref="E54">VLOOKUP(A54,'The List'!B1:I671,8,FALSE)</f>
        <v>-1.473051330241087</v>
      </c>
      <c r="F54" s="55" cm="1">
        <f t="array" ref="F54">IF(Settings!$E$15="POINTS",E54-VLOOKUP(B$2,C1:E204,3,FALSE),J54)</f>
        <v>-2.0399022447586415</v>
      </c>
      <c r="G54" s="55"/>
      <c r="H54" s="166" cm="1">
        <f t="array" ref="H54">RANK(I54,I3:I204)</f>
        <v>74</v>
      </c>
      <c r="I54" s="167" cm="1">
        <f t="array" ref="I54">VLOOKUP(A54,'Standard Deviations'!A1:C672,3,FALSE)</f>
        <v>-1.473051330241087</v>
      </c>
      <c r="J54" s="167" cm="1">
        <f t="array" ref="J54">I54-VLOOKUP(B$2,H1:J204,2,FALSE)</f>
        <v>-2.0399022447586415</v>
      </c>
    </row>
    <row r="55" spans="1:10" ht="21.25" customHeight="1" x14ac:dyDescent="0.15">
      <c r="A55" s="10" t="s">
        <v>288</v>
      </c>
      <c r="B55" s="172" t="str" cm="1">
        <f t="array" ref="B55">VLOOKUP(A55,'The List'!B1:D671,3,FALSE)</f>
        <v>D</v>
      </c>
      <c r="C55" s="173" cm="1">
        <f t="array" ref="C55">IF(Settings!$E$15="POINTS",RANK(E55,E3:E204),H55)</f>
        <v>28</v>
      </c>
      <c r="D55" s="18" t="str" cm="1">
        <f t="array" ref="D55">VLOOKUP(A55,'The List'!B1:F671,5,FALSE)</f>
        <v>CAR</v>
      </c>
      <c r="E55" s="55" cm="1">
        <f t="array" ref="E55">VLOOKUP(A55,'The List'!B1:I671,8,FALSE)</f>
        <v>1.4542807860696725</v>
      </c>
      <c r="F55" s="55" cm="1">
        <f t="array" ref="F55">IF(Settings!$E$15="POINTS",E55-VLOOKUP(B$2,C1:E204,3,FALSE),J55)</f>
        <v>0.88742987155211805</v>
      </c>
      <c r="G55" s="55"/>
      <c r="H55" s="166" cm="1">
        <f t="array" ref="H55">RANK(I55,I3:I204)</f>
        <v>28</v>
      </c>
      <c r="I55" s="167" cm="1">
        <f t="array" ref="I55">VLOOKUP(A55,'Standard Deviations'!A1:C672,3,FALSE)</f>
        <v>1.4542807860696725</v>
      </c>
      <c r="J55" s="167" cm="1">
        <f t="array" ref="J55">I55-VLOOKUP(B$2,H1:J204,2,FALSE)</f>
        <v>0.88742987155211805</v>
      </c>
    </row>
    <row r="56" spans="1:10" ht="21.25" customHeight="1" x14ac:dyDescent="0.15">
      <c r="A56" s="10" t="s">
        <v>289</v>
      </c>
      <c r="B56" s="172" t="str" cm="1">
        <f t="array" ref="B56">VLOOKUP(A56,'The List'!B1:D671,3,FALSE)</f>
        <v>D</v>
      </c>
      <c r="C56" s="173" cm="1">
        <f t="array" ref="C56">IF(Settings!$E$15="POINTS",RANK(E56,E3:E204),H56)</f>
        <v>73</v>
      </c>
      <c r="D56" s="18" t="str" cm="1">
        <f t="array" ref="D56">VLOOKUP(A56,'The List'!B1:F671,5,FALSE)</f>
        <v>CBJ</v>
      </c>
      <c r="E56" s="55" cm="1">
        <f t="array" ref="E56">VLOOKUP(A56,'The List'!B1:I671,8,FALSE)</f>
        <v>-1.4493035688006706</v>
      </c>
      <c r="F56" s="55" cm="1">
        <f t="array" ref="F56">IF(Settings!$E$15="POINTS",E56-VLOOKUP(B$2,C1:E204,3,FALSE),J56)</f>
        <v>-2.0161544833182248</v>
      </c>
      <c r="G56" s="55"/>
      <c r="H56" s="166" cm="1">
        <f t="array" ref="H56">RANK(I56,I3:I204)</f>
        <v>73</v>
      </c>
      <c r="I56" s="167" cm="1">
        <f t="array" ref="I56">VLOOKUP(A56,'Standard Deviations'!A1:C672,3,FALSE)</f>
        <v>-1.4493035688006706</v>
      </c>
      <c r="J56" s="167" cm="1">
        <f t="array" ref="J56">I56-VLOOKUP(B$2,H1:J204,2,FALSE)</f>
        <v>-2.0161544833182248</v>
      </c>
    </row>
    <row r="57" spans="1:10" ht="21.25" customHeight="1" x14ac:dyDescent="0.15">
      <c r="A57" s="10" t="s">
        <v>294</v>
      </c>
      <c r="B57" s="172" t="str" cm="1">
        <f t="array" ref="B57">VLOOKUP(A57,'The List'!B1:D671,3,FALSE)</f>
        <v>D</v>
      </c>
      <c r="C57" s="173" cm="1">
        <f t="array" ref="C57">IF(Settings!$E$15="POINTS",RANK(E57,E3:E204),H57)</f>
        <v>31</v>
      </c>
      <c r="D57" s="18" t="str" cm="1">
        <f t="array" ref="D57">VLOOKUP(A57,'The List'!B1:F671,5,FALSE)</f>
        <v>CAR</v>
      </c>
      <c r="E57" s="55" cm="1">
        <f t="array" ref="E57">VLOOKUP(A57,'The List'!B1:I671,8,FALSE)</f>
        <v>1.1308564844572015</v>
      </c>
      <c r="F57" s="55" cm="1">
        <f t="array" ref="F57">IF(Settings!$E$15="POINTS",E57-VLOOKUP(B$2,C1:E204,3,FALSE),J57)</f>
        <v>0.56400556993964712</v>
      </c>
      <c r="G57" s="55"/>
      <c r="H57" s="166" cm="1">
        <f t="array" ref="H57">RANK(I57,I3:I204)</f>
        <v>31</v>
      </c>
      <c r="I57" s="167" cm="1">
        <f t="array" ref="I57">VLOOKUP(A57,'Standard Deviations'!A1:C672,3,FALSE)</f>
        <v>1.1308564844572015</v>
      </c>
      <c r="J57" s="167" cm="1">
        <f t="array" ref="J57">I57-VLOOKUP(B$2,H1:J204,2,FALSE)</f>
        <v>0.56400556993964712</v>
      </c>
    </row>
    <row r="58" spans="1:10" ht="21.25" customHeight="1" x14ac:dyDescent="0.15">
      <c r="A58" s="10" t="s">
        <v>299</v>
      </c>
      <c r="B58" s="172" t="str" cm="1">
        <f t="array" ref="B58">VLOOKUP(A58,'The List'!B1:D671,3,FALSE)</f>
        <v>D</v>
      </c>
      <c r="C58" s="173" cm="1">
        <f t="array" ref="C58">IF(Settings!$E$15="POINTS",RANK(E58,E3:E204),H58)</f>
        <v>80</v>
      </c>
      <c r="D58" s="18" t="str" cm="1">
        <f t="array" ref="D58">VLOOKUP(A58,'The List'!B1:F671,5,FALSE)</f>
        <v>S.J</v>
      </c>
      <c r="E58" s="55" cm="1">
        <f t="array" ref="E58">VLOOKUP(A58,'The List'!B1:I671,8,FALSE)</f>
        <v>-1.7299681226312149</v>
      </c>
      <c r="F58" s="55" cm="1">
        <f t="array" ref="F58">IF(Settings!$E$15="POINTS",E58-VLOOKUP(B$2,C1:E204,3,FALSE),J58)</f>
        <v>-2.2968190371487696</v>
      </c>
      <c r="G58" s="55"/>
      <c r="H58" s="166" cm="1">
        <f t="array" ref="H58">RANK(I58,I3:I204)</f>
        <v>80</v>
      </c>
      <c r="I58" s="167" cm="1">
        <f t="array" ref="I58">VLOOKUP(A58,'Standard Deviations'!A1:C672,3,FALSE)</f>
        <v>-1.7299681226312149</v>
      </c>
      <c r="J58" s="167" cm="1">
        <f t="array" ref="J58">I58-VLOOKUP(B$2,H1:J204,2,FALSE)</f>
        <v>-2.2968190371487696</v>
      </c>
    </row>
    <row r="59" spans="1:10" ht="21.25" customHeight="1" x14ac:dyDescent="0.15">
      <c r="A59" s="10" t="s">
        <v>300</v>
      </c>
      <c r="B59" s="172" t="str" cm="1">
        <f t="array" ref="B59">VLOOKUP(A59,'The List'!B1:D671,3,FALSE)</f>
        <v>D</v>
      </c>
      <c r="C59" s="173" cm="1">
        <f t="array" ref="C59">IF(Settings!$E$15="POINTS",RANK(E59,E3:E204),H59)</f>
        <v>48</v>
      </c>
      <c r="D59" s="18" t="str" cm="1">
        <f t="array" ref="D59">VLOOKUP(A59,'The List'!B1:F671,5,FALSE)</f>
        <v>FLA</v>
      </c>
      <c r="E59" s="55" cm="1">
        <f t="array" ref="E59">VLOOKUP(A59,'The List'!B1:I671,8,FALSE)</f>
        <v>-0.41017952499207022</v>
      </c>
      <c r="F59" s="55" cm="1">
        <f t="array" ref="F59">IF(Settings!$E$15="POINTS",E59-VLOOKUP(B$2,C1:E204,3,FALSE),J59)</f>
        <v>-0.97703043950962465</v>
      </c>
      <c r="G59" s="55"/>
      <c r="H59" s="166" cm="1">
        <f t="array" ref="H59">RANK(I59,I3:I204)</f>
        <v>48</v>
      </c>
      <c r="I59" s="167" cm="1">
        <f t="array" ref="I59">VLOOKUP(A59,'Standard Deviations'!A1:C672,3,FALSE)</f>
        <v>-0.41017952499207022</v>
      </c>
      <c r="J59" s="167" cm="1">
        <f t="array" ref="J59">I59-VLOOKUP(B$2,H1:J204,2,FALSE)</f>
        <v>-0.97703043950962465</v>
      </c>
    </row>
    <row r="60" spans="1:10" ht="21.25" customHeight="1" x14ac:dyDescent="0.15">
      <c r="A60" s="10" t="s">
        <v>302</v>
      </c>
      <c r="B60" s="172" t="str" cm="1">
        <f t="array" ref="B60">VLOOKUP(A60,'The List'!B1:D671,3,FALSE)</f>
        <v>D</v>
      </c>
      <c r="C60" s="173" cm="1">
        <f t="array" ref="C60">IF(Settings!$E$15="POINTS",RANK(E60,E3:E204),H60)</f>
        <v>83</v>
      </c>
      <c r="D60" s="18" t="str" cm="1">
        <f t="array" ref="D60">VLOOKUP(A60,'The List'!B1:F671,5,FALSE)</f>
        <v>TOR</v>
      </c>
      <c r="E60" s="55" cm="1">
        <f t="array" ref="E60">VLOOKUP(A60,'The List'!B1:I671,8,FALSE)</f>
        <v>-1.8620814909425341</v>
      </c>
      <c r="F60" s="55" cm="1">
        <f t="array" ref="F60">IF(Settings!$E$15="POINTS",E60-VLOOKUP(B$2,C1:E204,3,FALSE),J60)</f>
        <v>-2.4289324054600883</v>
      </c>
      <c r="G60" s="55"/>
      <c r="H60" s="166" cm="1">
        <f t="array" ref="H60">RANK(I60,I3:I204)</f>
        <v>83</v>
      </c>
      <c r="I60" s="167" cm="1">
        <f t="array" ref="I60">VLOOKUP(A60,'Standard Deviations'!A1:C672,3,FALSE)</f>
        <v>-1.8620814909425341</v>
      </c>
      <c r="J60" s="167" cm="1">
        <f t="array" ref="J60">I60-VLOOKUP(B$2,H1:J204,2,FALSE)</f>
        <v>-2.4289324054600883</v>
      </c>
    </row>
    <row r="61" spans="1:10" ht="21.25" customHeight="1" x14ac:dyDescent="0.15">
      <c r="A61" s="10" t="s">
        <v>303</v>
      </c>
      <c r="B61" s="172" t="str" cm="1">
        <f t="array" ref="B61">VLOOKUP(A61,'The List'!B1:D671,3,FALSE)</f>
        <v>D</v>
      </c>
      <c r="C61" s="173" cm="1">
        <f t="array" ref="C61">IF(Settings!$E$15="POINTS",RANK(E61,E3:E204),H61)</f>
        <v>101</v>
      </c>
      <c r="D61" s="18" t="str" cm="1">
        <f t="array" ref="D61">VLOOKUP(A61,'The List'!B1:F671,5,FALSE)</f>
        <v>PHI</v>
      </c>
      <c r="E61" s="55" cm="1">
        <f t="array" ref="E61">VLOOKUP(A61,'The List'!B1:I671,8,FALSE)</f>
        <v>-2.4303901657655169</v>
      </c>
      <c r="F61" s="55" cm="1">
        <f t="array" ref="F61">IF(Settings!$E$15="POINTS",E61-VLOOKUP(B$2,C1:E204,3,FALSE),J61)</f>
        <v>-2.9972410802830716</v>
      </c>
      <c r="G61" s="55"/>
      <c r="H61" s="166" cm="1">
        <f t="array" ref="H61">RANK(I61,I3:I204)</f>
        <v>101</v>
      </c>
      <c r="I61" s="167" cm="1">
        <f t="array" ref="I61">VLOOKUP(A61,'Standard Deviations'!A1:C672,3,FALSE)</f>
        <v>-2.4303901657655169</v>
      </c>
      <c r="J61" s="167" cm="1">
        <f t="array" ref="J61">I61-VLOOKUP(B$2,H1:J204,2,FALSE)</f>
        <v>-2.9972410802830716</v>
      </c>
    </row>
    <row r="62" spans="1:10" ht="21.25" customHeight="1" x14ac:dyDescent="0.15">
      <c r="A62" s="10" t="s">
        <v>304</v>
      </c>
      <c r="B62" s="172" t="str" cm="1">
        <f t="array" ref="B62">VLOOKUP(A62,'The List'!B1:D671,3,FALSE)</f>
        <v>D</v>
      </c>
      <c r="C62" s="173" cm="1">
        <f t="array" ref="C62">IF(Settings!$E$15="POINTS",RANK(E62,E3:E204),H62)</f>
        <v>81</v>
      </c>
      <c r="D62" s="18" t="str" cm="1">
        <f t="array" ref="D62">VLOOKUP(A62,'The List'!B1:F671,5,FALSE)</f>
        <v>NSH</v>
      </c>
      <c r="E62" s="55" cm="1">
        <f t="array" ref="E62">VLOOKUP(A62,'The List'!B1:I671,8,FALSE)</f>
        <v>-1.7855443067375361</v>
      </c>
      <c r="F62" s="55" cm="1">
        <f t="array" ref="F62">IF(Settings!$E$15="POINTS",E62-VLOOKUP(B$2,C1:E204,3,FALSE),J62)</f>
        <v>-2.3523952212550903</v>
      </c>
      <c r="G62" s="55"/>
      <c r="H62" s="166" cm="1">
        <f t="array" ref="H62">RANK(I62,I3:I204)</f>
        <v>81</v>
      </c>
      <c r="I62" s="167" cm="1">
        <f t="array" ref="I62">VLOOKUP(A62,'Standard Deviations'!A1:C672,3,FALSE)</f>
        <v>-1.7855443067375361</v>
      </c>
      <c r="J62" s="167" cm="1">
        <f t="array" ref="J62">I62-VLOOKUP(B$2,H1:J204,2,FALSE)</f>
        <v>-2.3523952212550903</v>
      </c>
    </row>
    <row r="63" spans="1:10" ht="21.25" customHeight="1" x14ac:dyDescent="0.15">
      <c r="A63" s="10" t="s">
        <v>307</v>
      </c>
      <c r="B63" s="172" t="str" cm="1">
        <f t="array" ref="B63">VLOOKUP(A63,'The List'!B1:D671,3,FALSE)</f>
        <v>D</v>
      </c>
      <c r="C63" s="173" cm="1">
        <f t="array" ref="C63">IF(Settings!$E$15="POINTS",RANK(E63,E3:E204),H63)</f>
        <v>43</v>
      </c>
      <c r="D63" s="18" t="str" cm="1">
        <f t="array" ref="D63">VLOOKUP(A63,'The List'!B1:F671,5,FALSE)</f>
        <v>COL</v>
      </c>
      <c r="E63" s="55" cm="1">
        <f t="array" ref="E63">VLOOKUP(A63,'The List'!B1:I671,8,FALSE)</f>
        <v>9.2930268359642687E-2</v>
      </c>
      <c r="F63" s="55" cm="1">
        <f t="array" ref="F63">IF(Settings!$E$15="POINTS",E63-VLOOKUP(B$2,C1:E204,3,FALSE),J63)</f>
        <v>-0.47392064615791174</v>
      </c>
      <c r="G63" s="55"/>
      <c r="H63" s="166" cm="1">
        <f t="array" ref="H63">RANK(I63,I3:I204)</f>
        <v>43</v>
      </c>
      <c r="I63" s="167" cm="1">
        <f t="array" ref="I63">VLOOKUP(A63,'Standard Deviations'!A1:C672,3,FALSE)</f>
        <v>9.2930268359642687E-2</v>
      </c>
      <c r="J63" s="167" cm="1">
        <f t="array" ref="J63">I63-VLOOKUP(B$2,H1:J204,2,FALSE)</f>
        <v>-0.47392064615791174</v>
      </c>
    </row>
    <row r="64" spans="1:10" ht="21.25" customHeight="1" x14ac:dyDescent="0.15">
      <c r="A64" s="10" t="s">
        <v>309</v>
      </c>
      <c r="B64" s="172" t="str" cm="1">
        <f t="array" ref="B64">VLOOKUP(A64,'The List'!B1:D671,3,FALSE)</f>
        <v>D</v>
      </c>
      <c r="C64" s="173" cm="1">
        <f t="array" ref="C64">IF(Settings!$E$15="POINTS",RANK(E64,E3:E204),H64)</f>
        <v>57</v>
      </c>
      <c r="D64" s="18" t="str" cm="1">
        <f t="array" ref="D64">VLOOKUP(A64,'The List'!B1:F671,5,FALSE)</f>
        <v>BUF</v>
      </c>
      <c r="E64" s="55" cm="1">
        <f t="array" ref="E64">VLOOKUP(A64,'The List'!B1:I671,8,FALSE)</f>
        <v>-0.83308492488774755</v>
      </c>
      <c r="F64" s="55" cm="1">
        <f t="array" ref="F64">IF(Settings!$E$15="POINTS",E64-VLOOKUP(B$2,C1:E204,3,FALSE),J64)</f>
        <v>-1.3999358394053019</v>
      </c>
      <c r="G64" s="55"/>
      <c r="H64" s="166" cm="1">
        <f t="array" ref="H64">RANK(I64,I3:I204)</f>
        <v>57</v>
      </c>
      <c r="I64" s="167" cm="1">
        <f t="array" ref="I64">VLOOKUP(A64,'Standard Deviations'!A1:C672,3,FALSE)</f>
        <v>-0.83308492488774755</v>
      </c>
      <c r="J64" s="167" cm="1">
        <f t="array" ref="J64">I64-VLOOKUP(B$2,H1:J204,2,FALSE)</f>
        <v>-1.3999358394053019</v>
      </c>
    </row>
    <row r="65" spans="1:10" ht="21.25" customHeight="1" x14ac:dyDescent="0.15">
      <c r="A65" s="10" t="s">
        <v>311</v>
      </c>
      <c r="B65" s="172" t="str" cm="1">
        <f t="array" ref="B65">VLOOKUP(A65,'The List'!B1:D671,3,FALSE)</f>
        <v>D</v>
      </c>
      <c r="C65" s="173" cm="1">
        <f t="array" ref="C65">IF(Settings!$E$15="POINTS",RANK(E65,E3:E204),H65)</f>
        <v>63</v>
      </c>
      <c r="D65" s="18" t="str" cm="1">
        <f t="array" ref="D65">VLOOKUP(A65,'The List'!B1:F671,5,FALSE)</f>
        <v>PIT</v>
      </c>
      <c r="E65" s="55" cm="1">
        <f t="array" ref="E65">VLOOKUP(A65,'The List'!B1:I671,8,FALSE)</f>
        <v>-1.1202120397397395</v>
      </c>
      <c r="F65" s="55" cm="1">
        <f t="array" ref="F65">IF(Settings!$E$15="POINTS",E65-VLOOKUP(B$2,C1:E204,3,FALSE),J65)</f>
        <v>-1.6870629542572939</v>
      </c>
      <c r="G65" s="55"/>
      <c r="H65" s="166" cm="1">
        <f t="array" ref="H65">RANK(I65,I3:I204)</f>
        <v>63</v>
      </c>
      <c r="I65" s="167" cm="1">
        <f t="array" ref="I65">VLOOKUP(A65,'Standard Deviations'!A1:C672,3,FALSE)</f>
        <v>-1.1202120397397395</v>
      </c>
      <c r="J65" s="167" cm="1">
        <f t="array" ref="J65">I65-VLOOKUP(B$2,H1:J204,2,FALSE)</f>
        <v>-1.6870629542572939</v>
      </c>
    </row>
    <row r="66" spans="1:10" ht="21.25" customHeight="1" x14ac:dyDescent="0.15">
      <c r="A66" s="10" t="s">
        <v>314</v>
      </c>
      <c r="B66" s="172" t="str" cm="1">
        <f t="array" ref="B66">VLOOKUP(A66,'The List'!B1:D671,3,FALSE)</f>
        <v>D</v>
      </c>
      <c r="C66" s="173" cm="1">
        <f t="array" ref="C66">IF(Settings!$E$15="POINTS",RANK(E66,E3:E204),H66)</f>
        <v>107</v>
      </c>
      <c r="D66" s="18" t="str" cm="1">
        <f t="array" ref="D66">VLOOKUP(A66,'The List'!B1:F671,5,FALSE)</f>
        <v>MTL</v>
      </c>
      <c r="E66" s="55" cm="1">
        <f t="array" ref="E66">VLOOKUP(A66,'The List'!B1:I671,8,FALSE)</f>
        <v>-2.6018382251666341</v>
      </c>
      <c r="F66" s="55" cm="1">
        <f t="array" ref="F66">IF(Settings!$E$15="POINTS",E66-VLOOKUP(B$2,C1:E204,3,FALSE),J66)</f>
        <v>-3.1686891396841883</v>
      </c>
      <c r="G66" s="55"/>
      <c r="H66" s="166" cm="1">
        <f t="array" ref="H66">RANK(I66,I3:I204)</f>
        <v>107</v>
      </c>
      <c r="I66" s="167" cm="1">
        <f t="array" ref="I66">VLOOKUP(A66,'Standard Deviations'!A1:C672,3,FALSE)</f>
        <v>-2.6018382251666341</v>
      </c>
      <c r="J66" s="167" cm="1">
        <f t="array" ref="J66">I66-VLOOKUP(B$2,H1:J204,2,FALSE)</f>
        <v>-3.1686891396841883</v>
      </c>
    </row>
    <row r="67" spans="1:10" ht="21.25" customHeight="1" x14ac:dyDescent="0.15">
      <c r="A67" s="10" t="s">
        <v>320</v>
      </c>
      <c r="B67" s="172" t="str" cm="1">
        <f t="array" ref="B67">VLOOKUP(A67,'The List'!B1:D671,3,FALSE)</f>
        <v>D</v>
      </c>
      <c r="C67" s="173" cm="1">
        <f t="array" ref="C67">IF(Settings!$E$15="POINTS",RANK(E67,E3:E204),H67)</f>
        <v>102</v>
      </c>
      <c r="D67" s="18" t="str" cm="1">
        <f t="array" ref="D67">VLOOKUP(A67,'The List'!B1:F671,5,FALSE)</f>
        <v>STL</v>
      </c>
      <c r="E67" s="55" cm="1">
        <f t="array" ref="E67">VLOOKUP(A67,'The List'!B1:I671,8,FALSE)</f>
        <v>-2.4544795669667749</v>
      </c>
      <c r="F67" s="55" cm="1">
        <f t="array" ref="F67">IF(Settings!$E$15="POINTS",E67-VLOOKUP(B$2,C1:E204,3,FALSE),J67)</f>
        <v>-3.0213304814843296</v>
      </c>
      <c r="G67" s="55"/>
      <c r="H67" s="166" cm="1">
        <f t="array" ref="H67">RANK(I67,I3:I204)</f>
        <v>102</v>
      </c>
      <c r="I67" s="167" cm="1">
        <f t="array" ref="I67">VLOOKUP(A67,'Standard Deviations'!A1:C672,3,FALSE)</f>
        <v>-2.4544795669667749</v>
      </c>
      <c r="J67" s="167" cm="1">
        <f t="array" ref="J67">I67-VLOOKUP(B$2,H1:J204,2,FALSE)</f>
        <v>-3.0213304814843296</v>
      </c>
    </row>
    <row r="68" spans="1:10" ht="21.25" customHeight="1" x14ac:dyDescent="0.15">
      <c r="A68" s="10" t="s">
        <v>321</v>
      </c>
      <c r="B68" s="172" t="str" cm="1">
        <f t="array" ref="B68">VLOOKUP(A68,'The List'!B1:D671,3,FALSE)</f>
        <v>D</v>
      </c>
      <c r="C68" s="173" cm="1">
        <f t="array" ref="C68">IF(Settings!$E$15="POINTS",RANK(E68,E3:E204),H68)</f>
        <v>72</v>
      </c>
      <c r="D68" s="18" t="str" cm="1">
        <f t="array" ref="D68">VLOOKUP(A68,'The List'!B1:F671,5,FALSE)</f>
        <v>EDM</v>
      </c>
      <c r="E68" s="55" cm="1">
        <f t="array" ref="E68">VLOOKUP(A68,'The List'!B1:I671,8,FALSE)</f>
        <v>-1.3651195739972937</v>
      </c>
      <c r="F68" s="55" cm="1">
        <f t="array" ref="F68">IF(Settings!$E$15="POINTS",E68-VLOOKUP(B$2,C1:E204,3,FALSE),J68)</f>
        <v>-1.9319704885148481</v>
      </c>
      <c r="G68" s="55"/>
      <c r="H68" s="166" cm="1">
        <f t="array" ref="H68">RANK(I68,I3:I204)</f>
        <v>72</v>
      </c>
      <c r="I68" s="167" cm="1">
        <f t="array" ref="I68">VLOOKUP(A68,'Standard Deviations'!A1:C672,3,FALSE)</f>
        <v>-1.3651195739972937</v>
      </c>
      <c r="J68" s="167" cm="1">
        <f t="array" ref="J68">I68-VLOOKUP(B$2,H1:J204,2,FALSE)</f>
        <v>-1.9319704885148481</v>
      </c>
    </row>
    <row r="69" spans="1:10" ht="21.25" customHeight="1" x14ac:dyDescent="0.15">
      <c r="A69" s="10" t="s">
        <v>322</v>
      </c>
      <c r="B69" s="172" t="str" cm="1">
        <f t="array" ref="B69">VLOOKUP(A69,'The List'!B1:D671,3,FALSE)</f>
        <v>D</v>
      </c>
      <c r="C69" s="173" cm="1">
        <f t="array" ref="C69">IF(Settings!$E$15="POINTS",RANK(E69,E3:E204),H69)</f>
        <v>68</v>
      </c>
      <c r="D69" s="18" t="str" cm="1">
        <f t="array" ref="D69">VLOOKUP(A69,'The List'!B1:F671,5,FALSE)</f>
        <v>CBJ</v>
      </c>
      <c r="E69" s="55" cm="1">
        <f t="array" ref="E69">VLOOKUP(A69,'The List'!B1:I671,8,FALSE)</f>
        <v>-1.2838139875313739</v>
      </c>
      <c r="F69" s="55" cm="1">
        <f t="array" ref="F69">IF(Settings!$E$15="POINTS",E69-VLOOKUP(B$2,C1:E204,3,FALSE),J69)</f>
        <v>-1.8506649020489283</v>
      </c>
      <c r="G69" s="55"/>
      <c r="H69" s="166" cm="1">
        <f t="array" ref="H69">RANK(I69,I3:I204)</f>
        <v>68</v>
      </c>
      <c r="I69" s="167" cm="1">
        <f t="array" ref="I69">VLOOKUP(A69,'Standard Deviations'!A1:C672,3,FALSE)</f>
        <v>-1.2838139875313739</v>
      </c>
      <c r="J69" s="167" cm="1">
        <f t="array" ref="J69">I69-VLOOKUP(B$2,H1:J204,2,FALSE)</f>
        <v>-1.8506649020489283</v>
      </c>
    </row>
    <row r="70" spans="1:10" ht="21.25" customHeight="1" x14ac:dyDescent="0.15">
      <c r="A70" s="10" t="s">
        <v>323</v>
      </c>
      <c r="B70" s="172" t="str" cm="1">
        <f t="array" ref="B70">VLOOKUP(A70,'The List'!B1:D671,3,FALSE)</f>
        <v>D</v>
      </c>
      <c r="C70" s="173" cm="1">
        <f t="array" ref="C70">IF(Settings!$E$15="POINTS",RANK(E70,E3:E204),H70)</f>
        <v>153</v>
      </c>
      <c r="D70" s="18" t="str" cm="1">
        <f t="array" ref="D70">VLOOKUP(A70,'The List'!B1:F671,5,FALSE)</f>
        <v>CHI</v>
      </c>
      <c r="E70" s="55" cm="1">
        <f t="array" ref="E70">VLOOKUP(A70,'The List'!B1:I671,8,FALSE)</f>
        <v>-3.8184518076418406</v>
      </c>
      <c r="F70" s="55" cm="1">
        <f t="array" ref="F70">IF(Settings!$E$15="POINTS",E70-VLOOKUP(B$2,C1:E204,3,FALSE),J70)</f>
        <v>-4.3853027221593948</v>
      </c>
      <c r="G70" s="55"/>
      <c r="H70" s="166" cm="1">
        <f t="array" ref="H70">RANK(I70,I3:I204)</f>
        <v>153</v>
      </c>
      <c r="I70" s="167" cm="1">
        <f t="array" ref="I70">VLOOKUP(A70,'Standard Deviations'!A1:C672,3,FALSE)</f>
        <v>-3.8184518076418406</v>
      </c>
      <c r="J70" s="167" cm="1">
        <f t="array" ref="J70">I70-VLOOKUP(B$2,H1:J204,2,FALSE)</f>
        <v>-4.3853027221593948</v>
      </c>
    </row>
    <row r="71" spans="1:10" ht="21.25" customHeight="1" x14ac:dyDescent="0.15">
      <c r="A71" s="10" t="s">
        <v>326</v>
      </c>
      <c r="B71" s="172" t="str" cm="1">
        <f t="array" ref="B71">VLOOKUP(A71,'The List'!B1:D671,3,FALSE)</f>
        <v>D</v>
      </c>
      <c r="C71" s="173" cm="1">
        <f t="array" ref="C71">IF(Settings!$E$15="POINTS",RANK(E71,E3:E204),H71)</f>
        <v>35</v>
      </c>
      <c r="D71" s="18" t="str" cm="1">
        <f t="array" ref="D71">VLOOKUP(A71,'The List'!B1:F671,5,FALSE)</f>
        <v>CAR</v>
      </c>
      <c r="E71" s="55" cm="1">
        <f t="array" ref="E71">VLOOKUP(A71,'The List'!B1:I671,8,FALSE)</f>
        <v>0.80013193596796506</v>
      </c>
      <c r="F71" s="55" cm="1">
        <f t="array" ref="F71">IF(Settings!$E$15="POINTS",E71-VLOOKUP(B$2,C1:E204,3,FALSE),J71)</f>
        <v>0.23328102145041063</v>
      </c>
      <c r="G71" s="55"/>
      <c r="H71" s="166" cm="1">
        <f t="array" ref="H71">RANK(I71,I3:I204)</f>
        <v>35</v>
      </c>
      <c r="I71" s="167" cm="1">
        <f t="array" ref="I71">VLOOKUP(A71,'Standard Deviations'!A1:C672,3,FALSE)</f>
        <v>0.80013193596796506</v>
      </c>
      <c r="J71" s="167" cm="1">
        <f t="array" ref="J71">I71-VLOOKUP(B$2,H1:J204,2,FALSE)</f>
        <v>0.23328102145041063</v>
      </c>
    </row>
    <row r="72" spans="1:10" ht="21.25" customHeight="1" x14ac:dyDescent="0.15">
      <c r="A72" s="10" t="s">
        <v>328</v>
      </c>
      <c r="B72" s="172" t="str" cm="1">
        <f t="array" ref="B72">VLOOKUP(A72,'The List'!B1:D671,3,FALSE)</f>
        <v>D</v>
      </c>
      <c r="C72" s="173" cm="1">
        <f t="array" ref="C72">IF(Settings!$E$15="POINTS",RANK(E72,E3:E204),H72)</f>
        <v>78</v>
      </c>
      <c r="D72" s="18" t="str" cm="1">
        <f t="array" ref="D72">VLOOKUP(A72,'The List'!B1:F671,5,FALSE)</f>
        <v>DAL</v>
      </c>
      <c r="E72" s="55" cm="1">
        <f t="array" ref="E72">VLOOKUP(A72,'The List'!B1:I671,8,FALSE)</f>
        <v>-1.5731586942010809</v>
      </c>
      <c r="F72" s="55" cm="1">
        <f t="array" ref="F72">IF(Settings!$E$15="POINTS",E72-VLOOKUP(B$2,C1:E204,3,FALSE),J72)</f>
        <v>-2.1400096087186355</v>
      </c>
      <c r="G72" s="55"/>
      <c r="H72" s="166" cm="1">
        <f t="array" ref="H72">RANK(I72,I3:I204)</f>
        <v>78</v>
      </c>
      <c r="I72" s="167" cm="1">
        <f t="array" ref="I72">VLOOKUP(A72,'Standard Deviations'!A1:C672,3,FALSE)</f>
        <v>-1.5731586942010809</v>
      </c>
      <c r="J72" s="167" cm="1">
        <f t="array" ref="J72">I72-VLOOKUP(B$2,H1:J204,2,FALSE)</f>
        <v>-2.1400096087186355</v>
      </c>
    </row>
    <row r="73" spans="1:10" ht="21.25" customHeight="1" x14ac:dyDescent="0.15">
      <c r="A73" s="10" t="s">
        <v>334</v>
      </c>
      <c r="B73" s="172" t="str" cm="1">
        <f t="array" ref="B73">VLOOKUP(A73,'The List'!B1:D671,3,FALSE)</f>
        <v>D</v>
      </c>
      <c r="C73" s="173" cm="1">
        <f t="array" ref="C73">IF(Settings!$E$15="POINTS",RANK(E73,E3:E204),H73)</f>
        <v>56</v>
      </c>
      <c r="D73" s="18" t="str" cm="1">
        <f t="array" ref="D73">VLOOKUP(A73,'The List'!B1:F671,5,FALSE)</f>
        <v>S.J</v>
      </c>
      <c r="E73" s="55" cm="1">
        <f t="array" ref="E73">VLOOKUP(A73,'The List'!B1:I671,8,FALSE)</f>
        <v>-0.73943106570745221</v>
      </c>
      <c r="F73" s="55" cm="1">
        <f t="array" ref="F73">IF(Settings!$E$15="POINTS",E73-VLOOKUP(B$2,C1:E204,3,FALSE),J73)</f>
        <v>-1.3062819802250067</v>
      </c>
      <c r="G73" s="55"/>
      <c r="H73" s="166" cm="1">
        <f t="array" ref="H73">RANK(I73,I3:I204)</f>
        <v>56</v>
      </c>
      <c r="I73" s="167" cm="1">
        <f t="array" ref="I73">VLOOKUP(A73,'Standard Deviations'!A1:C672,3,FALSE)</f>
        <v>-0.73943106570745221</v>
      </c>
      <c r="J73" s="167" cm="1">
        <f t="array" ref="J73">I73-VLOOKUP(B$2,H1:J204,2,FALSE)</f>
        <v>-1.3062819802250067</v>
      </c>
    </row>
    <row r="74" spans="1:10" ht="21.25" customHeight="1" x14ac:dyDescent="0.15">
      <c r="A74" s="10" t="s">
        <v>336</v>
      </c>
      <c r="B74" s="172" t="str" cm="1">
        <f t="array" ref="B74">VLOOKUP(A74,'The List'!B1:D671,3,FALSE)</f>
        <v>D</v>
      </c>
      <c r="C74" s="173" cm="1">
        <f t="array" ref="C74">IF(Settings!$E$15="POINTS",RANK(E74,E3:E204),H74)</f>
        <v>75</v>
      </c>
      <c r="D74" s="18" t="str" cm="1">
        <f t="array" ref="D74">VLOOKUP(A74,'The List'!B1:F671,5,FALSE)</f>
        <v>CAR</v>
      </c>
      <c r="E74" s="55" cm="1">
        <f t="array" ref="E74">VLOOKUP(A74,'The List'!B1:I671,8,FALSE)</f>
        <v>-1.5044322974091737</v>
      </c>
      <c r="F74" s="55" cm="1">
        <f t="array" ref="F74">IF(Settings!$E$15="POINTS",E74-VLOOKUP(B$2,C1:E204,3,FALSE),J74)</f>
        <v>-2.0712832119267279</v>
      </c>
      <c r="G74" s="55"/>
      <c r="H74" s="166" cm="1">
        <f t="array" ref="H74">RANK(I74,I3:I204)</f>
        <v>75</v>
      </c>
      <c r="I74" s="167" cm="1">
        <f t="array" ref="I74">VLOOKUP(A74,'Standard Deviations'!A1:C672,3,FALSE)</f>
        <v>-1.5044322974091737</v>
      </c>
      <c r="J74" s="167" cm="1">
        <f t="array" ref="J74">I74-VLOOKUP(B$2,H1:J204,2,FALSE)</f>
        <v>-2.0712832119267279</v>
      </c>
    </row>
    <row r="75" spans="1:10" ht="21.25" customHeight="1" x14ac:dyDescent="0.15">
      <c r="A75" s="10" t="s">
        <v>340</v>
      </c>
      <c r="B75" s="172" t="str" cm="1">
        <f t="array" ref="B75">VLOOKUP(A75,'The List'!B1:D671,3,FALSE)</f>
        <v>D</v>
      </c>
      <c r="C75" s="173" cm="1">
        <f t="array" ref="C75">IF(Settings!$E$15="POINTS",RANK(E75,E3:E204),H75)</f>
        <v>125</v>
      </c>
      <c r="D75" s="18" t="str" cm="1">
        <f t="array" ref="D75">VLOOKUP(A75,'The List'!B1:F671,5,FALSE)</f>
        <v>S.J</v>
      </c>
      <c r="E75" s="55" cm="1">
        <f t="array" ref="E75">VLOOKUP(A75,'The List'!B1:I671,8,FALSE)</f>
        <v>-3.1267729156465571</v>
      </c>
      <c r="F75" s="55" cm="1">
        <f t="array" ref="F75">IF(Settings!$E$15="POINTS",E75-VLOOKUP(B$2,C1:E204,3,FALSE),J75)</f>
        <v>-3.6936238301641113</v>
      </c>
      <c r="G75" s="55"/>
      <c r="H75" s="166" cm="1">
        <f t="array" ref="H75">RANK(I75,I3:I204)</f>
        <v>125</v>
      </c>
      <c r="I75" s="167" cm="1">
        <f t="array" ref="I75">VLOOKUP(A75,'Standard Deviations'!A1:C672,3,FALSE)</f>
        <v>-3.1267729156465571</v>
      </c>
      <c r="J75" s="167" cm="1">
        <f t="array" ref="J75">I75-VLOOKUP(B$2,H1:J204,2,FALSE)</f>
        <v>-3.6936238301641113</v>
      </c>
    </row>
    <row r="76" spans="1:10" ht="21.25" customHeight="1" x14ac:dyDescent="0.15">
      <c r="A76" s="10" t="s">
        <v>341</v>
      </c>
      <c r="B76" s="172" t="str" cm="1">
        <f t="array" ref="B76">VLOOKUP(A76,'The List'!B1:D671,3,FALSE)</f>
        <v>D</v>
      </c>
      <c r="C76" s="173" cm="1">
        <f t="array" ref="C76">IF(Settings!$E$15="POINTS",RANK(E76,E3:E204),H76)</f>
        <v>106</v>
      </c>
      <c r="D76" s="18" t="str" cm="1">
        <f t="array" ref="D76">VLOOKUP(A76,'The List'!B1:F671,5,FALSE)</f>
        <v>NYR</v>
      </c>
      <c r="E76" s="55" cm="1">
        <f t="array" ref="E76">VLOOKUP(A76,'The List'!B1:I671,8,FALSE)</f>
        <v>-2.5748821480741038</v>
      </c>
      <c r="F76" s="55" cm="1">
        <f t="array" ref="F76">IF(Settings!$E$15="POINTS",E76-VLOOKUP(B$2,C1:E204,3,FALSE),J76)</f>
        <v>-3.1417330625916584</v>
      </c>
      <c r="G76" s="55"/>
      <c r="H76" s="166" cm="1">
        <f t="array" ref="H76">RANK(I76,I3:I204)</f>
        <v>106</v>
      </c>
      <c r="I76" s="167" cm="1">
        <f t="array" ref="I76">VLOOKUP(A76,'Standard Deviations'!A1:C672,3,FALSE)</f>
        <v>-2.5748821480741038</v>
      </c>
      <c r="J76" s="167" cm="1">
        <f t="array" ref="J76">I76-VLOOKUP(B$2,H1:J204,2,FALSE)</f>
        <v>-3.1417330625916584</v>
      </c>
    </row>
    <row r="77" spans="1:10" ht="21.25" customHeight="1" x14ac:dyDescent="0.15">
      <c r="A77" s="10" t="s">
        <v>343</v>
      </c>
      <c r="B77" s="172" t="str" cm="1">
        <f t="array" ref="B77">VLOOKUP(A77,'The List'!B1:D671,3,FALSE)</f>
        <v>D</v>
      </c>
      <c r="C77" s="173" cm="1">
        <f t="array" ref="C77">IF(Settings!$E$15="POINTS",RANK(E77,E3:E204),H77)</f>
        <v>103</v>
      </c>
      <c r="D77" s="18" t="str" cm="1">
        <f t="array" ref="D77">VLOOKUP(A77,'The List'!B1:F671,5,FALSE)</f>
        <v>NYR</v>
      </c>
      <c r="E77" s="55" cm="1">
        <f t="array" ref="E77">VLOOKUP(A77,'The List'!B1:I671,8,FALSE)</f>
        <v>-2.4873347975026681</v>
      </c>
      <c r="F77" s="55" cm="1">
        <f t="array" ref="F77">IF(Settings!$E$15="POINTS",E77-VLOOKUP(B$2,C1:E204,3,FALSE),J77)</f>
        <v>-3.0541857120202227</v>
      </c>
      <c r="G77" s="55"/>
      <c r="H77" s="166" cm="1">
        <f t="array" ref="H77">RANK(I77,I3:I204)</f>
        <v>103</v>
      </c>
      <c r="I77" s="167" cm="1">
        <f t="array" ref="I77">VLOOKUP(A77,'Standard Deviations'!A1:C672,3,FALSE)</f>
        <v>-2.4873347975026681</v>
      </c>
      <c r="J77" s="167" cm="1">
        <f t="array" ref="J77">I77-VLOOKUP(B$2,H1:J204,2,FALSE)</f>
        <v>-3.0541857120202227</v>
      </c>
    </row>
    <row r="78" spans="1:10" ht="21.25" customHeight="1" x14ac:dyDescent="0.15">
      <c r="A78" s="10" t="s">
        <v>345</v>
      </c>
      <c r="B78" s="172" t="str" cm="1">
        <f t="array" ref="B78">VLOOKUP(A78,'The List'!B1:D671,3,FALSE)</f>
        <v>D</v>
      </c>
      <c r="C78" s="173" cm="1">
        <f t="array" ref="C78">IF(Settings!$E$15="POINTS",RANK(E78,E3:E204),H78)</f>
        <v>39</v>
      </c>
      <c r="D78" s="18" t="str" cm="1">
        <f t="array" ref="D78">VLOOKUP(A78,'The List'!B1:F671,5,FALSE)</f>
        <v>COL</v>
      </c>
      <c r="E78" s="55" cm="1">
        <f t="array" ref="E78">VLOOKUP(A78,'The List'!B1:I671,8,FALSE)</f>
        <v>0.29637308011033192</v>
      </c>
      <c r="F78" s="55" cm="1">
        <f t="array" ref="F78">IF(Settings!$E$15="POINTS",E78-VLOOKUP(B$2,C1:E204,3,FALSE),J78)</f>
        <v>-0.27047783440722251</v>
      </c>
      <c r="G78" s="55"/>
      <c r="H78" s="166" cm="1">
        <f t="array" ref="H78">RANK(I78,I3:I204)</f>
        <v>39</v>
      </c>
      <c r="I78" s="167" cm="1">
        <f t="array" ref="I78">VLOOKUP(A78,'Standard Deviations'!A1:C672,3,FALSE)</f>
        <v>0.29637308011033192</v>
      </c>
      <c r="J78" s="167" cm="1">
        <f t="array" ref="J78">I78-VLOOKUP(B$2,H1:J204,2,FALSE)</f>
        <v>-0.27047783440722251</v>
      </c>
    </row>
    <row r="79" spans="1:10" ht="21.25" customHeight="1" x14ac:dyDescent="0.15">
      <c r="A79" s="10" t="s">
        <v>346</v>
      </c>
      <c r="B79" s="172" t="str" cm="1">
        <f t="array" ref="B79">VLOOKUP(A79,'The List'!B1:D671,3,FALSE)</f>
        <v>D</v>
      </c>
      <c r="C79" s="173" cm="1">
        <f t="array" ref="C79">IF(Settings!$E$15="POINTS",RANK(E79,E3:E204),H79)</f>
        <v>52</v>
      </c>
      <c r="D79" s="18" t="str" cm="1">
        <f t="array" ref="D79">VLOOKUP(A79,'The List'!B1:F671,5,FALSE)</f>
        <v>WPG</v>
      </c>
      <c r="E79" s="55" cm="1">
        <f t="array" ref="E79">VLOOKUP(A79,'The List'!B1:I671,8,FALSE)</f>
        <v>-0.5329120631791836</v>
      </c>
      <c r="F79" s="55" cm="1">
        <f t="array" ref="F79">IF(Settings!$E$15="POINTS",E79-VLOOKUP(B$2,C1:E204,3,FALSE),J79)</f>
        <v>-1.0997629776967379</v>
      </c>
      <c r="G79" s="55"/>
      <c r="H79" s="166" cm="1">
        <f t="array" ref="H79">RANK(I79,I3:I204)</f>
        <v>52</v>
      </c>
      <c r="I79" s="167" cm="1">
        <f t="array" ref="I79">VLOOKUP(A79,'Standard Deviations'!A1:C672,3,FALSE)</f>
        <v>-0.5329120631791836</v>
      </c>
      <c r="J79" s="167" cm="1">
        <f t="array" ref="J79">I79-VLOOKUP(B$2,H1:J204,2,FALSE)</f>
        <v>-1.0997629776967379</v>
      </c>
    </row>
    <row r="80" spans="1:10" ht="21.25" customHeight="1" x14ac:dyDescent="0.15">
      <c r="A80" s="10" t="s">
        <v>348</v>
      </c>
      <c r="B80" s="172" t="str" cm="1">
        <f t="array" ref="B80">VLOOKUP(A80,'The List'!B1:D671,3,FALSE)</f>
        <v>D</v>
      </c>
      <c r="C80" s="173" cm="1">
        <f t="array" ref="C80">IF(Settings!$E$15="POINTS",RANK(E80,E3:E204),H80)</f>
        <v>96</v>
      </c>
      <c r="D80" s="18" t="str" cm="1">
        <f t="array" ref="D80">VLOOKUP(A80,'The List'!B1:F671,5,FALSE)</f>
        <v>TOR</v>
      </c>
      <c r="E80" s="55" cm="1">
        <f t="array" ref="E80">VLOOKUP(A80,'The List'!B1:I671,8,FALSE)</f>
        <v>-2.3092236280933003</v>
      </c>
      <c r="F80" s="55" cm="1">
        <f t="array" ref="F80">IF(Settings!$E$15="POINTS",E80-VLOOKUP(B$2,C1:E204,3,FALSE),J80)</f>
        <v>-2.8760745426108549</v>
      </c>
      <c r="G80" s="55"/>
      <c r="H80" s="166" cm="1">
        <f t="array" ref="H80">RANK(I80,I3:I204)</f>
        <v>96</v>
      </c>
      <c r="I80" s="167" cm="1">
        <f t="array" ref="I80">VLOOKUP(A80,'Standard Deviations'!A1:C672,3,FALSE)</f>
        <v>-2.3092236280933003</v>
      </c>
      <c r="J80" s="167" cm="1">
        <f t="array" ref="J80">I80-VLOOKUP(B$2,H1:J204,2,FALSE)</f>
        <v>-2.8760745426108549</v>
      </c>
    </row>
    <row r="81" spans="1:10" ht="21.25" customHeight="1" x14ac:dyDescent="0.15">
      <c r="A81" s="10" t="s">
        <v>349</v>
      </c>
      <c r="B81" s="172" t="str" cm="1">
        <f t="array" ref="B81">VLOOKUP(A81,'The List'!B1:D671,3,FALSE)</f>
        <v>D</v>
      </c>
      <c r="C81" s="173" cm="1">
        <f t="array" ref="C81">IF(Settings!$E$15="POINTS",RANK(E81,E3:E204),H81)</f>
        <v>99</v>
      </c>
      <c r="D81" s="18" t="str" cm="1">
        <f t="array" ref="D81">VLOOKUP(A81,'The List'!B1:F671,5,FALSE)</f>
        <v>BUF</v>
      </c>
      <c r="E81" s="55" cm="1">
        <f t="array" ref="E81">VLOOKUP(A81,'The List'!B1:I671,8,FALSE)</f>
        <v>-2.3695499270096234</v>
      </c>
      <c r="F81" s="55" cm="1">
        <f t="array" ref="F81">IF(Settings!$E$15="POINTS",E81-VLOOKUP(B$2,C1:E204,3,FALSE),J81)</f>
        <v>-2.9364008415271776</v>
      </c>
      <c r="G81" s="55"/>
      <c r="H81" s="166" cm="1">
        <f t="array" ref="H81">RANK(I81,I3:I204)</f>
        <v>99</v>
      </c>
      <c r="I81" s="167" cm="1">
        <f t="array" ref="I81">VLOOKUP(A81,'Standard Deviations'!A1:C672,3,FALSE)</f>
        <v>-2.3695499270096234</v>
      </c>
      <c r="J81" s="167" cm="1">
        <f t="array" ref="J81">I81-VLOOKUP(B$2,H1:J204,2,FALSE)</f>
        <v>-2.9364008415271776</v>
      </c>
    </row>
    <row r="82" spans="1:10" ht="21.25" customHeight="1" x14ac:dyDescent="0.15">
      <c r="A82" s="10" t="s">
        <v>350</v>
      </c>
      <c r="B82" s="172" t="str" cm="1">
        <f t="array" ref="B82">VLOOKUP(A82,'The List'!B1:D671,3,FALSE)</f>
        <v>D</v>
      </c>
      <c r="C82" s="173" cm="1">
        <f t="array" ref="C82">IF(Settings!$E$15="POINTS",RANK(E82,E3:E204),H82)</f>
        <v>97</v>
      </c>
      <c r="D82" s="18" t="str" cm="1">
        <f t="array" ref="D82">VLOOKUP(A82,'The List'!B1:F671,5,FALSE)</f>
        <v>WPG</v>
      </c>
      <c r="E82" s="55" cm="1">
        <f t="array" ref="E82">VLOOKUP(A82,'The List'!B1:I671,8,FALSE)</f>
        <v>-2.3399505800285914</v>
      </c>
      <c r="F82" s="55" cm="1">
        <f t="array" ref="F82">IF(Settings!$E$15="POINTS",E82-VLOOKUP(B$2,C1:E204,3,FALSE),J82)</f>
        <v>-2.906801494546146</v>
      </c>
      <c r="G82" s="55"/>
      <c r="H82" s="166" cm="1">
        <f t="array" ref="H82">RANK(I82,I3:I204)</f>
        <v>97</v>
      </c>
      <c r="I82" s="167" cm="1">
        <f t="array" ref="I82">VLOOKUP(A82,'Standard Deviations'!A1:C672,3,FALSE)</f>
        <v>-2.3399505800285914</v>
      </c>
      <c r="J82" s="167" cm="1">
        <f t="array" ref="J82">I82-VLOOKUP(B$2,H1:J204,2,FALSE)</f>
        <v>-2.906801494546146</v>
      </c>
    </row>
    <row r="83" spans="1:10" ht="21.25" customHeight="1" x14ac:dyDescent="0.15">
      <c r="A83" s="10" t="s">
        <v>351</v>
      </c>
      <c r="B83" s="172" t="str" cm="1">
        <f t="array" ref="B83">VLOOKUP(A83,'The List'!B1:D671,3,FALSE)</f>
        <v>D</v>
      </c>
      <c r="C83" s="173" cm="1">
        <f t="array" ref="C83">IF(Settings!$E$15="POINTS",RANK(E83,E3:E204),H83)</f>
        <v>76</v>
      </c>
      <c r="D83" s="18" t="str" cm="1">
        <f t="array" ref="D83">VLOOKUP(A83,'The List'!B1:F671,5,FALSE)</f>
        <v>WSH</v>
      </c>
      <c r="E83" s="55" cm="1">
        <f t="array" ref="E83">VLOOKUP(A83,'The List'!B1:I671,8,FALSE)</f>
        <v>-1.51988016083345</v>
      </c>
      <c r="F83" s="55" cm="1">
        <f t="array" ref="F83">IF(Settings!$E$15="POINTS",E83-VLOOKUP(B$2,C1:E204,3,FALSE),J83)</f>
        <v>-2.0867310753510044</v>
      </c>
      <c r="G83" s="55"/>
      <c r="H83" s="166" cm="1">
        <f t="array" ref="H83">RANK(I83,I3:I204)</f>
        <v>76</v>
      </c>
      <c r="I83" s="167" cm="1">
        <f t="array" ref="I83">VLOOKUP(A83,'Standard Deviations'!A1:C672,3,FALSE)</f>
        <v>-1.51988016083345</v>
      </c>
      <c r="J83" s="167" cm="1">
        <f t="array" ref="J83">I83-VLOOKUP(B$2,H1:J204,2,FALSE)</f>
        <v>-2.0867310753510044</v>
      </c>
    </row>
    <row r="84" spans="1:10" ht="21.25" customHeight="1" x14ac:dyDescent="0.15">
      <c r="A84" s="10" t="s">
        <v>352</v>
      </c>
      <c r="B84" s="172" t="str" cm="1">
        <f t="array" ref="B84">VLOOKUP(A84,'The List'!B1:D671,3,FALSE)</f>
        <v>D</v>
      </c>
      <c r="C84" s="173" cm="1">
        <f t="array" ref="C84">IF(Settings!$E$15="POINTS",RANK(E84,E3:E204),H84)</f>
        <v>45</v>
      </c>
      <c r="D84" s="18" t="str" cm="1">
        <f t="array" ref="D84">VLOOKUP(A84,'The List'!B1:F671,5,FALSE)</f>
        <v>FLA</v>
      </c>
      <c r="E84" s="55" cm="1">
        <f t="array" ref="E84">VLOOKUP(A84,'The List'!B1:I671,8,FALSE)</f>
        <v>-0.13850420639575778</v>
      </c>
      <c r="F84" s="55" cm="1">
        <f t="array" ref="F84">IF(Settings!$E$15="POINTS",E84-VLOOKUP(B$2,C1:E204,3,FALSE),J84)</f>
        <v>-0.70535512091331221</v>
      </c>
      <c r="G84" s="55"/>
      <c r="H84" s="166" cm="1">
        <f t="array" ref="H84">RANK(I84,I3:I204)</f>
        <v>45</v>
      </c>
      <c r="I84" s="167" cm="1">
        <f t="array" ref="I84">VLOOKUP(A84,'Standard Deviations'!A1:C672,3,FALSE)</f>
        <v>-0.13850420639575778</v>
      </c>
      <c r="J84" s="167" cm="1">
        <f t="array" ref="J84">I84-VLOOKUP(B$2,H1:J204,2,FALSE)</f>
        <v>-0.70535512091331221</v>
      </c>
    </row>
    <row r="85" spans="1:10" ht="21.25" customHeight="1" x14ac:dyDescent="0.15">
      <c r="A85" s="10" t="s">
        <v>355</v>
      </c>
      <c r="B85" s="172" t="str" cm="1">
        <f t="array" ref="B85">VLOOKUP(A85,'The List'!B1:D671,3,FALSE)</f>
        <v>D</v>
      </c>
      <c r="C85" s="173" cm="1">
        <f t="array" ref="C85">IF(Settings!$E$15="POINTS",RANK(E85,E3:E204),H85)</f>
        <v>60</v>
      </c>
      <c r="D85" s="18" t="str" cm="1">
        <f t="array" ref="D85">VLOOKUP(A85,'The List'!B1:F671,5,FALSE)</f>
        <v>COL</v>
      </c>
      <c r="E85" s="55" cm="1">
        <f t="array" ref="E85">VLOOKUP(A85,'The List'!B1:I671,8,FALSE)</f>
        <v>-0.91859130539771061</v>
      </c>
      <c r="F85" s="55" cm="1">
        <f t="array" ref="F85">IF(Settings!$E$15="POINTS",E85-VLOOKUP(B$2,C1:E204,3,FALSE),J85)</f>
        <v>-1.485442219915265</v>
      </c>
      <c r="G85" s="55"/>
      <c r="H85" s="166" cm="1">
        <f t="array" ref="H85">RANK(I85,I3:I204)</f>
        <v>60</v>
      </c>
      <c r="I85" s="167" cm="1">
        <f t="array" ref="I85">VLOOKUP(A85,'Standard Deviations'!A1:C672,3,FALSE)</f>
        <v>-0.91859130539771061</v>
      </c>
      <c r="J85" s="167" cm="1">
        <f t="array" ref="J85">I85-VLOOKUP(B$2,H1:J204,2,FALSE)</f>
        <v>-1.485442219915265</v>
      </c>
    </row>
    <row r="86" spans="1:10" ht="21.25" customHeight="1" x14ac:dyDescent="0.15">
      <c r="A86" s="10" t="s">
        <v>357</v>
      </c>
      <c r="B86" s="172" t="str" cm="1">
        <f t="array" ref="B86">VLOOKUP(A86,'The List'!B1:D671,3,FALSE)</f>
        <v>D</v>
      </c>
      <c r="C86" s="173" cm="1">
        <f t="array" ref="C86">IF(Settings!$E$15="POINTS",RANK(E86,E3:E204),H86)</f>
        <v>66</v>
      </c>
      <c r="D86" s="18" t="str" cm="1">
        <f t="array" ref="D86">VLOOKUP(A86,'The List'!B1:F671,5,FALSE)</f>
        <v>WSH</v>
      </c>
      <c r="E86" s="55" cm="1">
        <f t="array" ref="E86">VLOOKUP(A86,'The List'!B1:I671,8,FALSE)</f>
        <v>-1.1761232896704377</v>
      </c>
      <c r="F86" s="55" cm="1">
        <f t="array" ref="F86">IF(Settings!$E$15="POINTS",E86-VLOOKUP(B$2,C1:E204,3,FALSE),J86)</f>
        <v>-1.7429742041879921</v>
      </c>
      <c r="G86" s="55"/>
      <c r="H86" s="166" cm="1">
        <f t="array" ref="H86">RANK(I86,I3:I204)</f>
        <v>66</v>
      </c>
      <c r="I86" s="167" cm="1">
        <f t="array" ref="I86">VLOOKUP(A86,'Standard Deviations'!A1:C672,3,FALSE)</f>
        <v>-1.1761232896704377</v>
      </c>
      <c r="J86" s="167" cm="1">
        <f t="array" ref="J86">I86-VLOOKUP(B$2,H1:J204,2,FALSE)</f>
        <v>-1.7429742041879921</v>
      </c>
    </row>
    <row r="87" spans="1:10" ht="21.25" customHeight="1" x14ac:dyDescent="0.15">
      <c r="A87" s="10" t="s">
        <v>358</v>
      </c>
      <c r="B87" s="172" t="str" cm="1">
        <f t="array" ref="B87">VLOOKUP(A87,'The List'!B1:D671,3,FALSE)</f>
        <v>D</v>
      </c>
      <c r="C87" s="173" cm="1">
        <f t="array" ref="C87">IF(Settings!$E$15="POINTS",RANK(E87,E3:E204),H87)</f>
        <v>59</v>
      </c>
      <c r="D87" s="18" t="str" cm="1">
        <f t="array" ref="D87">VLOOKUP(A87,'The List'!B1:F671,5,FALSE)</f>
        <v>OTT</v>
      </c>
      <c r="E87" s="55" cm="1">
        <f t="array" ref="E87">VLOOKUP(A87,'The List'!B1:I671,8,FALSE)</f>
        <v>-0.90751934655258126</v>
      </c>
      <c r="F87" s="55" cm="1">
        <f t="array" ref="F87">IF(Settings!$E$15="POINTS",E87-VLOOKUP(B$2,C1:E204,3,FALSE),J87)</f>
        <v>-1.4743702610701357</v>
      </c>
      <c r="G87" s="55"/>
      <c r="H87" s="166" cm="1">
        <f t="array" ref="H87">RANK(I87,I3:I204)</f>
        <v>59</v>
      </c>
      <c r="I87" s="167" cm="1">
        <f t="array" ref="I87">VLOOKUP(A87,'Standard Deviations'!A1:C672,3,FALSE)</f>
        <v>-0.90751934655258126</v>
      </c>
      <c r="J87" s="167" cm="1">
        <f t="array" ref="J87">I87-VLOOKUP(B$2,H1:J204,2,FALSE)</f>
        <v>-1.4743702610701357</v>
      </c>
    </row>
    <row r="88" spans="1:10" ht="21.25" customHeight="1" x14ac:dyDescent="0.15">
      <c r="A88" s="10" t="s">
        <v>359</v>
      </c>
      <c r="B88" s="172" t="str" cm="1">
        <f t="array" ref="B88">VLOOKUP(A88,'The List'!B1:D671,3,FALSE)</f>
        <v>D</v>
      </c>
      <c r="C88" s="173" cm="1">
        <f t="array" ref="C88">IF(Settings!$E$15="POINTS",RANK(E88,E3:E204),H88)</f>
        <v>37</v>
      </c>
      <c r="D88" s="18" t="str" cm="1">
        <f t="array" ref="D88">VLOOKUP(A88,'The List'!B1:F671,5,FALSE)</f>
        <v>COL</v>
      </c>
      <c r="E88" s="55" cm="1">
        <f t="array" ref="E88">VLOOKUP(A88,'The List'!B1:I671,8,FALSE)</f>
        <v>0.56685091451755443</v>
      </c>
      <c r="F88" s="55" cm="1">
        <f t="array" ref="F88">IF(Settings!$E$15="POINTS",E88-VLOOKUP(B$2,C1:E204,3,FALSE),J88)</f>
        <v>0</v>
      </c>
      <c r="G88" s="55"/>
      <c r="H88" s="166" cm="1">
        <f t="array" ref="H88">RANK(I88,I3:I204)</f>
        <v>37</v>
      </c>
      <c r="I88" s="167" cm="1">
        <f t="array" ref="I88">VLOOKUP(A88,'Standard Deviations'!A1:C672,3,FALSE)</f>
        <v>0.56685091451755443</v>
      </c>
      <c r="J88" s="167" cm="1">
        <f t="array" ref="J88">I88-VLOOKUP(B$2,H1:J204,2,FALSE)</f>
        <v>0</v>
      </c>
    </row>
    <row r="89" spans="1:10" ht="21.25" customHeight="1" x14ac:dyDescent="0.15">
      <c r="A89" s="10" t="s">
        <v>361</v>
      </c>
      <c r="B89" s="172" t="str" cm="1">
        <f t="array" ref="B89">VLOOKUP(A89,'The List'!B1:D671,3,FALSE)</f>
        <v>D</v>
      </c>
      <c r="C89" s="173" cm="1">
        <f t="array" ref="C89">IF(Settings!$E$15="POINTS",RANK(E89,E3:E204),H89)</f>
        <v>93</v>
      </c>
      <c r="D89" s="18" t="str" cm="1">
        <f t="array" ref="D89">VLOOKUP(A89,'The List'!B1:F671,5,FALSE)</f>
        <v>CBJ</v>
      </c>
      <c r="E89" s="55" cm="1">
        <f t="array" ref="E89">VLOOKUP(A89,'The List'!B1:I671,8,FALSE)</f>
        <v>-2.1668262058937966</v>
      </c>
      <c r="F89" s="55" cm="1">
        <f t="array" ref="F89">IF(Settings!$E$15="POINTS",E89-VLOOKUP(B$2,C1:E204,3,FALSE),J89)</f>
        <v>-2.7336771204113512</v>
      </c>
      <c r="G89" s="55"/>
      <c r="H89" s="166" cm="1">
        <f t="array" ref="H89">RANK(I89,I3:I204)</f>
        <v>93</v>
      </c>
      <c r="I89" s="167" cm="1">
        <f t="array" ref="I89">VLOOKUP(A89,'Standard Deviations'!A1:C672,3,FALSE)</f>
        <v>-2.1668262058937966</v>
      </c>
      <c r="J89" s="167" cm="1">
        <f t="array" ref="J89">I89-VLOOKUP(B$2,H1:J204,2,FALSE)</f>
        <v>-2.7336771204113512</v>
      </c>
    </row>
    <row r="90" spans="1:10" ht="21.25" customHeight="1" x14ac:dyDescent="0.15">
      <c r="A90" s="10" t="s">
        <v>365</v>
      </c>
      <c r="B90" s="172" t="str" cm="1">
        <f t="array" ref="B90">VLOOKUP(A90,'The List'!B1:D671,3,FALSE)</f>
        <v>D</v>
      </c>
      <c r="C90" s="173" cm="1">
        <f t="array" ref="C90">IF(Settings!$E$15="POINTS",RANK(E90,E3:E204),H90)</f>
        <v>61</v>
      </c>
      <c r="D90" s="18" t="str" cm="1">
        <f t="array" ref="D90">VLOOKUP(A90,'The List'!B1:F671,5,FALSE)</f>
        <v>VGK</v>
      </c>
      <c r="E90" s="55" cm="1">
        <f t="array" ref="E90">VLOOKUP(A90,'The List'!B1:I671,8,FALSE)</f>
        <v>-1.0238804414251954</v>
      </c>
      <c r="F90" s="55" cm="1">
        <f t="array" ref="F90">IF(Settings!$E$15="POINTS",E90-VLOOKUP(B$2,C1:E204,3,FALSE),J90)</f>
        <v>-1.5907313559427498</v>
      </c>
      <c r="G90" s="55"/>
      <c r="H90" s="166" cm="1">
        <f t="array" ref="H90">RANK(I90,I3:I204)</f>
        <v>61</v>
      </c>
      <c r="I90" s="167" cm="1">
        <f t="array" ref="I90">VLOOKUP(A90,'Standard Deviations'!A1:C672,3,FALSE)</f>
        <v>-1.0238804414251954</v>
      </c>
      <c r="J90" s="167" cm="1">
        <f t="array" ref="J90">I90-VLOOKUP(B$2,H1:J204,2,FALSE)</f>
        <v>-1.5907313559427498</v>
      </c>
    </row>
    <row r="91" spans="1:10" ht="21.25" customHeight="1" x14ac:dyDescent="0.15">
      <c r="A91" s="10" t="s">
        <v>367</v>
      </c>
      <c r="B91" s="172" t="str" cm="1">
        <f t="array" ref="B91">VLOOKUP(A91,'The List'!B1:D671,3,FALSE)</f>
        <v>D</v>
      </c>
      <c r="C91" s="173" cm="1">
        <f t="array" ref="C91">IF(Settings!$E$15="POINTS",RANK(E91,E3:E204),H91)</f>
        <v>200</v>
      </c>
      <c r="D91" s="18" t="str" cm="1">
        <f t="array" ref="D91">VLOOKUP(A91,'The List'!B1:F671,5,FALSE)</f>
        <v>CHI</v>
      </c>
      <c r="E91" s="55" cm="1">
        <f t="array" ref="E91">VLOOKUP(A91,'The List'!B1:I671,8,FALSE)</f>
        <v>-6.1047226589952999</v>
      </c>
      <c r="F91" s="55" cm="1">
        <f t="array" ref="F91">IF(Settings!$E$15="POINTS",E91-VLOOKUP(B$2,C1:E204,3,FALSE),J91)</f>
        <v>-6.6715735735128545</v>
      </c>
      <c r="G91" s="55"/>
      <c r="H91" s="166" cm="1">
        <f t="array" ref="H91">RANK(I91,I3:I204)</f>
        <v>200</v>
      </c>
      <c r="I91" s="167" cm="1">
        <f t="array" ref="I91">VLOOKUP(A91,'Standard Deviations'!A1:C672,3,FALSE)</f>
        <v>-6.1047226589952999</v>
      </c>
      <c r="J91" s="167" cm="1">
        <f t="array" ref="J91">I91-VLOOKUP(B$2,H1:J204,2,FALSE)</f>
        <v>-6.6715735735128545</v>
      </c>
    </row>
    <row r="92" spans="1:10" ht="21.25" customHeight="1" x14ac:dyDescent="0.15">
      <c r="A92" s="10" t="s">
        <v>368</v>
      </c>
      <c r="B92" s="172" t="str" cm="1">
        <f t="array" ref="B92">VLOOKUP(A92,'The List'!B1:D671,3,FALSE)</f>
        <v>D</v>
      </c>
      <c r="C92" s="173" cm="1">
        <f t="array" ref="C92">IF(Settings!$E$15="POINTS",RANK(E92,E3:E204),H92)</f>
        <v>58</v>
      </c>
      <c r="D92" s="18" t="str" cm="1">
        <f t="array" ref="D92">VLOOKUP(A92,'The List'!B1:F671,5,FALSE)</f>
        <v>T.B</v>
      </c>
      <c r="E92" s="55" cm="1">
        <f t="array" ref="E92">VLOOKUP(A92,'The List'!B1:I671,8,FALSE)</f>
        <v>-0.87313091856589908</v>
      </c>
      <c r="F92" s="55" cm="1">
        <f t="array" ref="F92">IF(Settings!$E$15="POINTS",E92-VLOOKUP(B$2,C1:E204,3,FALSE),J92)</f>
        <v>-1.4399818330834535</v>
      </c>
      <c r="G92" s="55"/>
      <c r="H92" s="166" cm="1">
        <f t="array" ref="H92">RANK(I92,I3:I204)</f>
        <v>58</v>
      </c>
      <c r="I92" s="167" cm="1">
        <f t="array" ref="I92">VLOOKUP(A92,'Standard Deviations'!A1:C672,3,FALSE)</f>
        <v>-0.87313091856589908</v>
      </c>
      <c r="J92" s="167" cm="1">
        <f t="array" ref="J92">I92-VLOOKUP(B$2,H1:J204,2,FALSE)</f>
        <v>-1.4399818330834535</v>
      </c>
    </row>
    <row r="93" spans="1:10" ht="21.25" customHeight="1" x14ac:dyDescent="0.15">
      <c r="A93" s="10" t="s">
        <v>373</v>
      </c>
      <c r="B93" s="172" t="str" cm="1">
        <f t="array" ref="B93">VLOOKUP(A93,'The List'!B1:D671,3,FALSE)</f>
        <v>D</v>
      </c>
      <c r="C93" s="173" cm="1">
        <f t="array" ref="C93">IF(Settings!$E$15="POINTS",RANK(E93,E3:E204),H93)</f>
        <v>164</v>
      </c>
      <c r="D93" s="18" t="str" cm="1">
        <f t="array" ref="D93">VLOOKUP(A93,'The List'!B1:F671,5,FALSE)</f>
        <v>SEA</v>
      </c>
      <c r="E93" s="55" cm="1">
        <f t="array" ref="E93">VLOOKUP(A93,'The List'!B1:I671,8,FALSE)</f>
        <v>-4.4535924606226764</v>
      </c>
      <c r="F93" s="55" cm="1">
        <f t="array" ref="F93">IF(Settings!$E$15="POINTS",E93-VLOOKUP(B$2,C1:E204,3,FALSE),J93)</f>
        <v>-5.0204433751402311</v>
      </c>
      <c r="G93" s="55"/>
      <c r="H93" s="166" cm="1">
        <f t="array" ref="H93">RANK(I93,I3:I204)</f>
        <v>164</v>
      </c>
      <c r="I93" s="167" cm="1">
        <f t="array" ref="I93">VLOOKUP(A93,'Standard Deviations'!A1:C672,3,FALSE)</f>
        <v>-4.4535924606226764</v>
      </c>
      <c r="J93" s="167" cm="1">
        <f t="array" ref="J93">I93-VLOOKUP(B$2,H1:J204,2,FALSE)</f>
        <v>-5.0204433751402311</v>
      </c>
    </row>
    <row r="94" spans="1:10" ht="21.25" customHeight="1" x14ac:dyDescent="0.15">
      <c r="A94" s="10" t="s">
        <v>374</v>
      </c>
      <c r="B94" s="172" t="str" cm="1">
        <f t="array" ref="B94">VLOOKUP(A94,'The List'!B1:D671,3,FALSE)</f>
        <v>D</v>
      </c>
      <c r="C94" s="173" cm="1">
        <f t="array" ref="C94">IF(Settings!$E$15="POINTS",RANK(E94,E3:E204),H94)</f>
        <v>142</v>
      </c>
      <c r="D94" s="18" t="str" cm="1">
        <f t="array" ref="D94">VLOOKUP(A94,'The List'!B1:F671,5,FALSE)</f>
        <v>BOS</v>
      </c>
      <c r="E94" s="55" cm="1">
        <f t="array" ref="E94">VLOOKUP(A94,'The List'!B1:I671,8,FALSE)</f>
        <v>-3.5582874088041621</v>
      </c>
      <c r="F94" s="55" cm="1">
        <f t="array" ref="F94">IF(Settings!$E$15="POINTS",E94-VLOOKUP(B$2,C1:E204,3,FALSE),J94)</f>
        <v>-4.1251383233217167</v>
      </c>
      <c r="G94" s="55"/>
      <c r="H94" s="166" cm="1">
        <f t="array" ref="H94">RANK(I94,I3:I204)</f>
        <v>142</v>
      </c>
      <c r="I94" s="167" cm="1">
        <f t="array" ref="I94">VLOOKUP(A94,'Standard Deviations'!A1:C672,3,FALSE)</f>
        <v>-3.5582874088041621</v>
      </c>
      <c r="J94" s="167" cm="1">
        <f t="array" ref="J94">I94-VLOOKUP(B$2,H1:J204,2,FALSE)</f>
        <v>-4.1251383233217167</v>
      </c>
    </row>
    <row r="95" spans="1:10" ht="21.25" customHeight="1" x14ac:dyDescent="0.15">
      <c r="A95" s="10" t="s">
        <v>375</v>
      </c>
      <c r="B95" s="172" t="str" cm="1">
        <f t="array" ref="B95">VLOOKUP(A95,'The List'!B1:D671,3,FALSE)</f>
        <v>D</v>
      </c>
      <c r="C95" s="173" cm="1">
        <f t="array" ref="C95">IF(Settings!$E$15="POINTS",RANK(E95,E3:E204),H95)</f>
        <v>169</v>
      </c>
      <c r="D95" s="18" t="str" cm="1">
        <f t="array" ref="D95">VLOOKUP(A95,'The List'!B1:F671,5,FALSE)</f>
        <v>STL</v>
      </c>
      <c r="E95" s="55" cm="1">
        <f t="array" ref="E95">VLOOKUP(A95,'The List'!B1:I671,8,FALSE)</f>
        <v>-4.559309558084693</v>
      </c>
      <c r="F95" s="55" cm="1">
        <f t="array" ref="F95">IF(Settings!$E$15="POINTS",E95-VLOOKUP(B$2,C1:E204,3,FALSE),J95)</f>
        <v>-5.1261604726022476</v>
      </c>
      <c r="G95" s="55"/>
      <c r="H95" s="166" cm="1">
        <f t="array" ref="H95">RANK(I95,I3:I204)</f>
        <v>169</v>
      </c>
      <c r="I95" s="167" cm="1">
        <f t="array" ref="I95">VLOOKUP(A95,'Standard Deviations'!A1:C672,3,FALSE)</f>
        <v>-4.559309558084693</v>
      </c>
      <c r="J95" s="167" cm="1">
        <f t="array" ref="J95">I95-VLOOKUP(B$2,H1:J204,2,FALSE)</f>
        <v>-5.1261604726022476</v>
      </c>
    </row>
    <row r="96" spans="1:10" ht="21.25" customHeight="1" x14ac:dyDescent="0.15">
      <c r="A96" s="10" t="s">
        <v>376</v>
      </c>
      <c r="B96" s="172" t="str" cm="1">
        <f t="array" ref="B96">VLOOKUP(A96,'The List'!B1:D671,3,FALSE)</f>
        <v>D</v>
      </c>
      <c r="C96" s="173" cm="1">
        <f t="array" ref="C96">IF(Settings!$E$15="POINTS",RANK(E96,E3:E204),H96)</f>
        <v>197</v>
      </c>
      <c r="D96" s="18" t="str" cm="1">
        <f t="array" ref="D96">VLOOKUP(A96,'The List'!B1:F671,5,FALSE)</f>
        <v>VAN</v>
      </c>
      <c r="E96" s="55" cm="1">
        <f t="array" ref="E96">VLOOKUP(A96,'The List'!B1:I671,8,FALSE)</f>
        <v>-5.9184636209914485</v>
      </c>
      <c r="F96" s="55" cm="1">
        <f t="array" ref="F96">IF(Settings!$E$15="POINTS",E96-VLOOKUP(B$2,C1:E204,3,FALSE),J96)</f>
        <v>-6.4853145355090032</v>
      </c>
      <c r="G96" s="55"/>
      <c r="H96" s="166" cm="1">
        <f t="array" ref="H96">RANK(I96,I3:I204)</f>
        <v>197</v>
      </c>
      <c r="I96" s="167" cm="1">
        <f t="array" ref="I96">VLOOKUP(A96,'Standard Deviations'!A1:C672,3,FALSE)</f>
        <v>-5.9184636209914485</v>
      </c>
      <c r="J96" s="167" cm="1">
        <f t="array" ref="J96">I96-VLOOKUP(B$2,H1:J204,2,FALSE)</f>
        <v>-6.4853145355090032</v>
      </c>
    </row>
    <row r="97" spans="1:10" ht="21.25" customHeight="1" x14ac:dyDescent="0.15">
      <c r="A97" s="10" t="s">
        <v>378</v>
      </c>
      <c r="B97" s="172" t="str" cm="1">
        <f t="array" ref="B97">VLOOKUP(A97,'The List'!B1:D671,3,FALSE)</f>
        <v>D</v>
      </c>
      <c r="C97" s="173" cm="1">
        <f t="array" ref="C97">IF(Settings!$E$15="POINTS",RANK(E97,E3:E204),H97)</f>
        <v>67</v>
      </c>
      <c r="D97" s="18" t="str" cm="1">
        <f t="array" ref="D97">VLOOKUP(A97,'The List'!B1:F671,5,FALSE)</f>
        <v>TOR</v>
      </c>
      <c r="E97" s="55" cm="1">
        <f t="array" ref="E97">VLOOKUP(A97,'The List'!B1:I671,8,FALSE)</f>
        <v>-1.2420021464094466</v>
      </c>
      <c r="F97" s="55" cm="1">
        <f t="array" ref="F97">IF(Settings!$E$15="POINTS",E97-VLOOKUP(B$2,C1:E204,3,FALSE),J97)</f>
        <v>-1.808853060927001</v>
      </c>
      <c r="G97" s="55"/>
      <c r="H97" s="166" cm="1">
        <f t="array" ref="H97">RANK(I97,I3:I204)</f>
        <v>67</v>
      </c>
      <c r="I97" s="167" cm="1">
        <f t="array" ref="I97">VLOOKUP(A97,'Standard Deviations'!A1:C672,3,FALSE)</f>
        <v>-1.2420021464094466</v>
      </c>
      <c r="J97" s="167" cm="1">
        <f t="array" ref="J97">I97-VLOOKUP(B$2,H1:J204,2,FALSE)</f>
        <v>-1.808853060927001</v>
      </c>
    </row>
    <row r="98" spans="1:10" ht="21.25" customHeight="1" x14ac:dyDescent="0.15">
      <c r="A98" s="10" t="s">
        <v>379</v>
      </c>
      <c r="B98" s="172" t="str" cm="1">
        <f t="array" ref="B98">VLOOKUP(A98,'The List'!B1:D671,3,FALSE)</f>
        <v>D</v>
      </c>
      <c r="C98" s="173" cm="1">
        <f t="array" ref="C98">IF(Settings!$E$15="POINTS",RANK(E98,E3:E204),H98)</f>
        <v>162</v>
      </c>
      <c r="D98" s="18" t="str" cm="1">
        <f t="array" ref="D98">VLOOKUP(A98,'The List'!B1:F671,5,FALSE)</f>
        <v>NYI</v>
      </c>
      <c r="E98" s="55" cm="1">
        <f t="array" ref="E98">VLOOKUP(A98,'The List'!B1:I671,8,FALSE)</f>
        <v>-4.1896971415999813</v>
      </c>
      <c r="F98" s="55" cm="1">
        <f t="array" ref="F98">IF(Settings!$E$15="POINTS",E98-VLOOKUP(B$2,C1:E204,3,FALSE),J98)</f>
        <v>-4.7565480561175359</v>
      </c>
      <c r="G98" s="55"/>
      <c r="H98" s="166" cm="1">
        <f t="array" ref="H98">RANK(I98,I3:I204)</f>
        <v>162</v>
      </c>
      <c r="I98" s="167" cm="1">
        <f t="array" ref="I98">VLOOKUP(A98,'Standard Deviations'!A1:C672,3,FALSE)</f>
        <v>-4.1896971415999813</v>
      </c>
      <c r="J98" s="167" cm="1">
        <f t="array" ref="J98">I98-VLOOKUP(B$2,H1:J204,2,FALSE)</f>
        <v>-4.7565480561175359</v>
      </c>
    </row>
    <row r="99" spans="1:10" ht="21.25" customHeight="1" x14ac:dyDescent="0.15">
      <c r="A99" s="10" t="s">
        <v>380</v>
      </c>
      <c r="B99" s="172" t="str" cm="1">
        <f t="array" ref="B99">VLOOKUP(A99,'The List'!B1:D671,3,FALSE)</f>
        <v>D</v>
      </c>
      <c r="C99" s="173" cm="1">
        <f t="array" ref="C99">IF(Settings!$E$15="POINTS",RANK(E99,E3:E204),H99)</f>
        <v>95</v>
      </c>
      <c r="D99" s="18" t="str" cm="1">
        <f t="array" ref="D99">VLOOKUP(A99,'The List'!B1:F671,5,FALSE)</f>
        <v>L.A</v>
      </c>
      <c r="E99" s="55" cm="1">
        <f t="array" ref="E99">VLOOKUP(A99,'The List'!B1:I671,8,FALSE)</f>
        <v>-2.2071457668993881</v>
      </c>
      <c r="F99" s="55" cm="1">
        <f t="array" ref="F99">IF(Settings!$E$15="POINTS",E99-VLOOKUP(B$2,C1:E204,3,FALSE),J99)</f>
        <v>-2.7739966814169428</v>
      </c>
      <c r="G99" s="55"/>
      <c r="H99" s="166" cm="1">
        <f t="array" ref="H99">RANK(I99,I3:I204)</f>
        <v>95</v>
      </c>
      <c r="I99" s="167" cm="1">
        <f t="array" ref="I99">VLOOKUP(A99,'Standard Deviations'!A1:C672,3,FALSE)</f>
        <v>-2.2071457668993881</v>
      </c>
      <c r="J99" s="167" cm="1">
        <f t="array" ref="J99">I99-VLOOKUP(B$2,H1:J204,2,FALSE)</f>
        <v>-2.7739966814169428</v>
      </c>
    </row>
    <row r="100" spans="1:10" ht="21.25" customHeight="1" x14ac:dyDescent="0.15">
      <c r="A100" s="10" t="s">
        <v>381</v>
      </c>
      <c r="B100" s="172" t="str" cm="1">
        <f t="array" ref="B100">VLOOKUP(A100,'The List'!B1:D671,3,FALSE)</f>
        <v>D</v>
      </c>
      <c r="C100" s="173" cm="1">
        <f t="array" ref="C100">IF(Settings!$E$15="POINTS",RANK(E100,E3:E204),H100)</f>
        <v>86</v>
      </c>
      <c r="D100" s="18" t="str" cm="1">
        <f t="array" ref="D100">VLOOKUP(A100,'The List'!B1:F671,5,FALSE)</f>
        <v>T.B</v>
      </c>
      <c r="E100" s="55" cm="1">
        <f t="array" ref="E100">VLOOKUP(A100,'The List'!B1:I671,8,FALSE)</f>
        <v>-2.0753947118254188</v>
      </c>
      <c r="F100" s="55" cm="1">
        <f t="array" ref="F100">IF(Settings!$E$15="POINTS",E100-VLOOKUP(B$2,C1:E204,3,FALSE),J100)</f>
        <v>-2.642245626342973</v>
      </c>
      <c r="G100" s="55"/>
      <c r="H100" s="166" cm="1">
        <f t="array" ref="H100">RANK(I100,I3:I204)</f>
        <v>86</v>
      </c>
      <c r="I100" s="167" cm="1">
        <f t="array" ref="I100">VLOOKUP(A100,'Standard Deviations'!A1:C672,3,FALSE)</f>
        <v>-2.0753947118254188</v>
      </c>
      <c r="J100" s="167" cm="1">
        <f t="array" ref="J100">I100-VLOOKUP(B$2,H1:J204,2,FALSE)</f>
        <v>-2.642245626342973</v>
      </c>
    </row>
    <row r="101" spans="1:10" ht="21.25" customHeight="1" x14ac:dyDescent="0.15">
      <c r="A101" s="10" t="s">
        <v>382</v>
      </c>
      <c r="B101" s="172" t="str" cm="1">
        <f t="array" ref="B101">VLOOKUP(A101,'The List'!B1:D671,3,FALSE)</f>
        <v>D</v>
      </c>
      <c r="C101" s="173" cm="1">
        <f t="array" ref="C101">IF(Settings!$E$15="POINTS",RANK(E101,E3:E204),H101)</f>
        <v>128</v>
      </c>
      <c r="D101" s="18" t="str" cm="1">
        <f t="array" ref="D101">VLOOKUP(A101,'The List'!B1:F671,5,FALSE)</f>
        <v>MIN</v>
      </c>
      <c r="E101" s="55" cm="1">
        <f t="array" ref="E101">VLOOKUP(A101,'The List'!B1:I671,8,FALSE)</f>
        <v>-3.1868043467108826</v>
      </c>
      <c r="F101" s="55" cm="1">
        <f t="array" ref="F101">IF(Settings!$E$15="POINTS",E101-VLOOKUP(B$2,C1:E204,3,FALSE),J101)</f>
        <v>-3.7536552612284373</v>
      </c>
      <c r="G101" s="55"/>
      <c r="H101" s="166" cm="1">
        <f t="array" ref="H101">RANK(I101,I3:I204)</f>
        <v>128</v>
      </c>
      <c r="I101" s="167" cm="1">
        <f t="array" ref="I101">VLOOKUP(A101,'Standard Deviations'!A1:C672,3,FALSE)</f>
        <v>-3.1868043467108826</v>
      </c>
      <c r="J101" s="167" cm="1">
        <f t="array" ref="J101">I101-VLOOKUP(B$2,H1:J204,2,FALSE)</f>
        <v>-3.7536552612284373</v>
      </c>
    </row>
    <row r="102" spans="1:10" ht="21.25" customHeight="1" x14ac:dyDescent="0.15">
      <c r="A102" s="10" t="s">
        <v>384</v>
      </c>
      <c r="B102" s="172" t="str" cm="1">
        <f t="array" ref="B102">VLOOKUP(A102,'The List'!B1:D671,3,FALSE)</f>
        <v>D</v>
      </c>
      <c r="C102" s="173" cm="1">
        <f t="array" ref="C102">IF(Settings!$E$15="POINTS",RANK(E102,E3:E204),H102)</f>
        <v>130</v>
      </c>
      <c r="D102" s="18" t="str" cm="1">
        <f t="array" ref="D102">VLOOKUP(A102,'The List'!B1:F671,5,FALSE)</f>
        <v>NYR</v>
      </c>
      <c r="E102" s="55" cm="1">
        <f t="array" ref="E102">VLOOKUP(A102,'The List'!B1:I671,8,FALSE)</f>
        <v>-3.2624244310454209</v>
      </c>
      <c r="F102" s="55" cm="1">
        <f t="array" ref="F102">IF(Settings!$E$15="POINTS",E102-VLOOKUP(B$2,C1:E204,3,FALSE),J102)</f>
        <v>-3.8292753455629756</v>
      </c>
      <c r="G102" s="55"/>
      <c r="H102" s="166" cm="1">
        <f t="array" ref="H102">RANK(I102,I3:I204)</f>
        <v>130</v>
      </c>
      <c r="I102" s="167" cm="1">
        <f t="array" ref="I102">VLOOKUP(A102,'Standard Deviations'!A1:C672,3,FALSE)</f>
        <v>-3.2624244310454209</v>
      </c>
      <c r="J102" s="167" cm="1">
        <f t="array" ref="J102">I102-VLOOKUP(B$2,H1:J204,2,FALSE)</f>
        <v>-3.8292753455629756</v>
      </c>
    </row>
    <row r="103" spans="1:10" ht="21.25" customHeight="1" x14ac:dyDescent="0.15">
      <c r="A103" s="10" t="s">
        <v>387</v>
      </c>
      <c r="B103" s="172" t="str" cm="1">
        <f t="array" ref="B103">VLOOKUP(A103,'The List'!B1:D671,3,FALSE)</f>
        <v>D</v>
      </c>
      <c r="C103" s="173" cm="1">
        <f t="array" ref="C103">IF(Settings!$E$15="POINTS",RANK(E103,E3:E204),H103)</f>
        <v>89</v>
      </c>
      <c r="D103" s="18" t="str" cm="1">
        <f t="array" ref="D103">VLOOKUP(A103,'The List'!B1:F671,5,FALSE)</f>
        <v>WSH</v>
      </c>
      <c r="E103" s="55" cm="1">
        <f t="array" ref="E103">VLOOKUP(A103,'The List'!B1:I671,8,FALSE)</f>
        <v>-2.0994397831324347</v>
      </c>
      <c r="F103" s="55" cm="1">
        <f t="array" ref="F103">IF(Settings!$E$15="POINTS",E103-VLOOKUP(B$2,C1:E204,3,FALSE),J103)</f>
        <v>-2.6662906976499894</v>
      </c>
      <c r="G103" s="55"/>
      <c r="H103" s="166" cm="1">
        <f t="array" ref="H103">RANK(I103,I3:I204)</f>
        <v>89</v>
      </c>
      <c r="I103" s="167" cm="1">
        <f t="array" ref="I103">VLOOKUP(A103,'Standard Deviations'!A1:C672,3,FALSE)</f>
        <v>-2.0994397831324347</v>
      </c>
      <c r="J103" s="167" cm="1">
        <f t="array" ref="J103">I103-VLOOKUP(B$2,H1:J204,2,FALSE)</f>
        <v>-2.6662906976499894</v>
      </c>
    </row>
    <row r="104" spans="1:10" ht="21.25" customHeight="1" x14ac:dyDescent="0.15">
      <c r="A104" s="10" t="s">
        <v>389</v>
      </c>
      <c r="B104" s="172" t="str" cm="1">
        <f t="array" ref="B104">VLOOKUP(A104,'The List'!B1:D671,3,FALSE)</f>
        <v>D</v>
      </c>
      <c r="C104" s="173" cm="1">
        <f t="array" ref="C104">IF(Settings!$E$15="POINTS",RANK(E104,E3:E204),H104)</f>
        <v>131</v>
      </c>
      <c r="D104" s="18" t="str" cm="1">
        <f t="array" ref="D104">VLOOKUP(A104,'The List'!B1:F671,5,FALSE)</f>
        <v>NYI</v>
      </c>
      <c r="E104" s="55" cm="1">
        <f t="array" ref="E104">VLOOKUP(A104,'The List'!B1:I671,8,FALSE)</f>
        <v>-3.3136977973440835</v>
      </c>
      <c r="F104" s="55" cm="1">
        <f t="array" ref="F104">IF(Settings!$E$15="POINTS",E104-VLOOKUP(B$2,C1:E204,3,FALSE),J104)</f>
        <v>-3.8805487118616382</v>
      </c>
      <c r="G104" s="55"/>
      <c r="H104" s="166" cm="1">
        <f t="array" ref="H104">RANK(I104,I3:I204)</f>
        <v>131</v>
      </c>
      <c r="I104" s="167" cm="1">
        <f t="array" ref="I104">VLOOKUP(A104,'Standard Deviations'!A1:C672,3,FALSE)</f>
        <v>-3.3136977973440835</v>
      </c>
      <c r="J104" s="167" cm="1">
        <f t="array" ref="J104">I104-VLOOKUP(B$2,H1:J204,2,FALSE)</f>
        <v>-3.8805487118616382</v>
      </c>
    </row>
    <row r="105" spans="1:10" ht="21.25" customHeight="1" x14ac:dyDescent="0.15">
      <c r="A105" s="10" t="s">
        <v>391</v>
      </c>
      <c r="B105" s="172" t="str" cm="1">
        <f t="array" ref="B105">VLOOKUP(A105,'The List'!B1:D671,3,FALSE)</f>
        <v>D</v>
      </c>
      <c r="C105" s="173" cm="1">
        <f t="array" ref="C105">IF(Settings!$E$15="POINTS",RANK(E105,E3:E204),H105)</f>
        <v>100</v>
      </c>
      <c r="D105" s="18" t="str" cm="1">
        <f t="array" ref="D105">VLOOKUP(A105,'The List'!B1:F671,5,FALSE)</f>
        <v>NYR</v>
      </c>
      <c r="E105" s="55" cm="1">
        <f t="array" ref="E105">VLOOKUP(A105,'The List'!B1:I671,8,FALSE)</f>
        <v>-2.4048401050308819</v>
      </c>
      <c r="F105" s="55" cm="1">
        <f t="array" ref="F105">IF(Settings!$E$15="POINTS",E105-VLOOKUP(B$2,C1:E204,3,FALSE),J105)</f>
        <v>-2.9716910195484365</v>
      </c>
      <c r="G105" s="55"/>
      <c r="H105" s="166" cm="1">
        <f t="array" ref="H105">RANK(I105,I3:I204)</f>
        <v>100</v>
      </c>
      <c r="I105" s="167" cm="1">
        <f t="array" ref="I105">VLOOKUP(A105,'Standard Deviations'!A1:C672,3,FALSE)</f>
        <v>-2.4048401050308819</v>
      </c>
      <c r="J105" s="167" cm="1">
        <f t="array" ref="J105">I105-VLOOKUP(B$2,H1:J204,2,FALSE)</f>
        <v>-2.9716910195484365</v>
      </c>
    </row>
    <row r="106" spans="1:10" ht="21.25" customHeight="1" x14ac:dyDescent="0.15">
      <c r="A106" s="10" t="s">
        <v>393</v>
      </c>
      <c r="B106" s="172" t="str" cm="1">
        <f t="array" ref="B106">VLOOKUP(A106,'The List'!B1:D671,3,FALSE)</f>
        <v>D</v>
      </c>
      <c r="C106" s="173" cm="1">
        <f t="array" ref="C106">IF(Settings!$E$15="POINTS",RANK(E106,E3:E204),H106)</f>
        <v>105</v>
      </c>
      <c r="D106" s="18" t="str" cm="1">
        <f t="array" ref="D106">VLOOKUP(A106,'The List'!B1:F671,5,FALSE)</f>
        <v>OTT</v>
      </c>
      <c r="E106" s="55" cm="1">
        <f t="array" ref="E106">VLOOKUP(A106,'The List'!B1:I671,8,FALSE)</f>
        <v>-2.547194612210478</v>
      </c>
      <c r="F106" s="55" cm="1">
        <f t="array" ref="F106">IF(Settings!$E$15="POINTS",E106-VLOOKUP(B$2,C1:E204,3,FALSE),J106)</f>
        <v>-3.1140455267280327</v>
      </c>
      <c r="G106" s="55"/>
      <c r="H106" s="166" cm="1">
        <f t="array" ref="H106">RANK(I106,I3:I204)</f>
        <v>105</v>
      </c>
      <c r="I106" s="167" cm="1">
        <f t="array" ref="I106">VLOOKUP(A106,'Standard Deviations'!A1:C672,3,FALSE)</f>
        <v>-2.547194612210478</v>
      </c>
      <c r="J106" s="167" cm="1">
        <f t="array" ref="J106">I106-VLOOKUP(B$2,H1:J204,2,FALSE)</f>
        <v>-3.1140455267280327</v>
      </c>
    </row>
    <row r="107" spans="1:10" ht="21.25" customHeight="1" x14ac:dyDescent="0.15">
      <c r="A107" s="10" t="s">
        <v>394</v>
      </c>
      <c r="B107" s="172" t="str" cm="1">
        <f t="array" ref="B107">VLOOKUP(A107,'The List'!B1:D671,3,FALSE)</f>
        <v>D</v>
      </c>
      <c r="C107" s="173" cm="1">
        <f t="array" ref="C107">IF(Settings!$E$15="POINTS",RANK(E107,E3:E204),H107)</f>
        <v>149</v>
      </c>
      <c r="D107" s="18" t="str" cm="1">
        <f t="array" ref="D107">VLOOKUP(A107,'The List'!B1:F671,5,FALSE)</f>
        <v>MTL</v>
      </c>
      <c r="E107" s="55" cm="1">
        <f t="array" ref="E107">VLOOKUP(A107,'The List'!B1:I671,8,FALSE)</f>
        <v>-3.7133721432982316</v>
      </c>
      <c r="F107" s="55" cm="1">
        <f t="array" ref="F107">IF(Settings!$E$15="POINTS",E107-VLOOKUP(B$2,C1:E204,3,FALSE),J107)</f>
        <v>-4.2802230578157863</v>
      </c>
      <c r="G107" s="55"/>
      <c r="H107" s="166" cm="1">
        <f t="array" ref="H107">RANK(I107,I3:I204)</f>
        <v>149</v>
      </c>
      <c r="I107" s="167" cm="1">
        <f t="array" ref="I107">VLOOKUP(A107,'Standard Deviations'!A1:C672,3,FALSE)</f>
        <v>-3.7133721432982316</v>
      </c>
      <c r="J107" s="167" cm="1">
        <f t="array" ref="J107">I107-VLOOKUP(B$2,H1:J204,2,FALSE)</f>
        <v>-4.2802230578157863</v>
      </c>
    </row>
    <row r="108" spans="1:10" ht="21.25" customHeight="1" x14ac:dyDescent="0.15">
      <c r="A108" s="10" t="s">
        <v>395</v>
      </c>
      <c r="B108" s="172" t="str" cm="1">
        <f t="array" ref="B108">VLOOKUP(A108,'The List'!B1:D671,3,FALSE)</f>
        <v>D</v>
      </c>
      <c r="C108" s="173" cm="1">
        <f t="array" ref="C108">IF(Settings!$E$15="POINTS",RANK(E108,E3:E204),H108)</f>
        <v>141</v>
      </c>
      <c r="D108" s="18" t="str" cm="1">
        <f t="array" ref="D108">VLOOKUP(A108,'The List'!B1:F671,5,FALSE)</f>
        <v>NYI</v>
      </c>
      <c r="E108" s="55" cm="1">
        <f t="array" ref="E108">VLOOKUP(A108,'The List'!B1:I671,8,FALSE)</f>
        <v>-3.5582787043807098</v>
      </c>
      <c r="F108" s="55" cm="1">
        <f t="array" ref="F108">IF(Settings!$E$15="POINTS",E108-VLOOKUP(B$2,C1:E204,3,FALSE),J108)</f>
        <v>-4.1251296188982645</v>
      </c>
      <c r="G108" s="55"/>
      <c r="H108" s="166" cm="1">
        <f t="array" ref="H108">RANK(I108,I3:I204)</f>
        <v>141</v>
      </c>
      <c r="I108" s="167" cm="1">
        <f t="array" ref="I108">VLOOKUP(A108,'Standard Deviations'!A1:C672,3,FALSE)</f>
        <v>-3.5582787043807098</v>
      </c>
      <c r="J108" s="167" cm="1">
        <f t="array" ref="J108">I108-VLOOKUP(B$2,H1:J204,2,FALSE)</f>
        <v>-4.1251296188982645</v>
      </c>
    </row>
    <row r="109" spans="1:10" ht="21.25" customHeight="1" x14ac:dyDescent="0.15">
      <c r="A109" s="10" t="s">
        <v>397</v>
      </c>
      <c r="B109" s="172" t="str" cm="1">
        <f t="array" ref="B109">VLOOKUP(A109,'The List'!B1:D671,3,FALSE)</f>
        <v>D</v>
      </c>
      <c r="C109" s="173" cm="1">
        <f t="array" ref="C109">IF(Settings!$E$15="POINTS",RANK(E109,E3:E204),H109)</f>
        <v>160</v>
      </c>
      <c r="D109" s="18" t="str" cm="1">
        <f t="array" ref="D109">VLOOKUP(A109,'The List'!B1:F671,5,FALSE)</f>
        <v>CHI</v>
      </c>
      <c r="E109" s="55" cm="1">
        <f t="array" ref="E109">VLOOKUP(A109,'The List'!B1:I671,8,FALSE)</f>
        <v>-4.1440990917311229</v>
      </c>
      <c r="F109" s="55" cm="1">
        <f t="array" ref="F109">IF(Settings!$E$15="POINTS",E109-VLOOKUP(B$2,C1:E204,3,FALSE),J109)</f>
        <v>-4.7109500062486775</v>
      </c>
      <c r="G109" s="55"/>
      <c r="H109" s="166" cm="1">
        <f t="array" ref="H109">RANK(I109,I3:I204)</f>
        <v>160</v>
      </c>
      <c r="I109" s="167" cm="1">
        <f t="array" ref="I109">VLOOKUP(A109,'Standard Deviations'!A1:C672,3,FALSE)</f>
        <v>-4.1440990917311229</v>
      </c>
      <c r="J109" s="167" cm="1">
        <f t="array" ref="J109">I109-VLOOKUP(B$2,H1:J204,2,FALSE)</f>
        <v>-4.7109500062486775</v>
      </c>
    </row>
    <row r="110" spans="1:10" ht="21.25" customHeight="1" x14ac:dyDescent="0.15">
      <c r="A110" s="10" t="s">
        <v>399</v>
      </c>
      <c r="B110" s="172" t="str" cm="1">
        <f t="array" ref="B110">VLOOKUP(A110,'The List'!B1:D671,3,FALSE)</f>
        <v>D</v>
      </c>
      <c r="C110" s="173" cm="1">
        <f t="array" ref="C110">IF(Settings!$E$15="POINTS",RANK(E110,E3:E204),H110)</f>
        <v>110</v>
      </c>
      <c r="D110" s="18" t="str" cm="1">
        <f t="array" ref="D110">VLOOKUP(A110,'The List'!B1:F671,5,FALSE)</f>
        <v>L.A</v>
      </c>
      <c r="E110" s="55" cm="1">
        <f t="array" ref="E110">VLOOKUP(A110,'The List'!B1:I671,8,FALSE)</f>
        <v>-2.675686829595342</v>
      </c>
      <c r="F110" s="55" cm="1">
        <f t="array" ref="F110">IF(Settings!$E$15="POINTS",E110-VLOOKUP(B$2,C1:E204,3,FALSE),J110)</f>
        <v>-3.2425377441128962</v>
      </c>
      <c r="G110" s="55"/>
      <c r="H110" s="166" cm="1">
        <f t="array" ref="H110">RANK(I110,I3:I204)</f>
        <v>110</v>
      </c>
      <c r="I110" s="167" cm="1">
        <f t="array" ref="I110">VLOOKUP(A110,'Standard Deviations'!A1:C672,3,FALSE)</f>
        <v>-2.675686829595342</v>
      </c>
      <c r="J110" s="167" cm="1">
        <f t="array" ref="J110">I110-VLOOKUP(B$2,H1:J204,2,FALSE)</f>
        <v>-3.2425377441128962</v>
      </c>
    </row>
    <row r="111" spans="1:10" ht="21.25" customHeight="1" x14ac:dyDescent="0.15">
      <c r="A111" s="10" t="s">
        <v>400</v>
      </c>
      <c r="B111" s="172" t="str" cm="1">
        <f t="array" ref="B111">VLOOKUP(A111,'The List'!B1:D671,3,FALSE)</f>
        <v>D</v>
      </c>
      <c r="C111" s="173" cm="1">
        <f t="array" ref="C111">IF(Settings!$E$15="POINTS",RANK(E111,E3:E204),H111)</f>
        <v>53</v>
      </c>
      <c r="D111" s="18" t="str" cm="1">
        <f t="array" ref="D111">VLOOKUP(A111,'The List'!B1:F671,5,FALSE)</f>
        <v>T.B</v>
      </c>
      <c r="E111" s="55" cm="1">
        <f t="array" ref="E111">VLOOKUP(A111,'The List'!B1:I671,8,FALSE)</f>
        <v>-0.55429605781944713</v>
      </c>
      <c r="F111" s="55" cm="1">
        <f t="array" ref="F111">IF(Settings!$E$15="POINTS",E111-VLOOKUP(B$2,C1:E204,3,FALSE),J111)</f>
        <v>-1.1211469723370016</v>
      </c>
      <c r="G111" s="55"/>
      <c r="H111" s="166" cm="1">
        <f t="array" ref="H111">RANK(I111,I3:I204)</f>
        <v>53</v>
      </c>
      <c r="I111" s="167" cm="1">
        <f t="array" ref="I111">VLOOKUP(A111,'Standard Deviations'!A1:C672,3,FALSE)</f>
        <v>-0.55429605781944713</v>
      </c>
      <c r="J111" s="167" cm="1">
        <f t="array" ref="J111">I111-VLOOKUP(B$2,H1:J204,2,FALSE)</f>
        <v>-1.1211469723370016</v>
      </c>
    </row>
    <row r="112" spans="1:10" ht="21.25" customHeight="1" x14ac:dyDescent="0.15">
      <c r="A112" s="10" t="s">
        <v>402</v>
      </c>
      <c r="B112" s="172" t="str" cm="1">
        <f t="array" ref="B112">VLOOKUP(A112,'The List'!B1:D671,3,FALSE)</f>
        <v>D</v>
      </c>
      <c r="C112" s="173" cm="1">
        <f t="array" ref="C112">IF(Settings!$E$15="POINTS",RANK(E112,E3:E204),H112)</f>
        <v>108</v>
      </c>
      <c r="D112" s="18" t="str" cm="1">
        <f t="array" ref="D112">VLOOKUP(A112,'The List'!B1:F671,5,FALSE)</f>
        <v>S.J</v>
      </c>
      <c r="E112" s="55" cm="1">
        <f t="array" ref="E112">VLOOKUP(A112,'The List'!B1:I671,8,FALSE)</f>
        <v>-2.6139858737426063</v>
      </c>
      <c r="F112" s="55" cm="1">
        <f t="array" ref="F112">IF(Settings!$E$15="POINTS",E112-VLOOKUP(B$2,C1:E204,3,FALSE),J112)</f>
        <v>-3.1808367882601605</v>
      </c>
      <c r="G112" s="55"/>
      <c r="H112" s="166" cm="1">
        <f t="array" ref="H112">RANK(I112,I3:I204)</f>
        <v>108</v>
      </c>
      <c r="I112" s="167" cm="1">
        <f t="array" ref="I112">VLOOKUP(A112,'Standard Deviations'!A1:C672,3,FALSE)</f>
        <v>-2.6139858737426063</v>
      </c>
      <c r="J112" s="167" cm="1">
        <f t="array" ref="J112">I112-VLOOKUP(B$2,H1:J204,2,FALSE)</f>
        <v>-3.1808367882601605</v>
      </c>
    </row>
    <row r="113" spans="1:10" ht="21.25" customHeight="1" x14ac:dyDescent="0.15">
      <c r="A113" s="10" t="s">
        <v>404</v>
      </c>
      <c r="B113" s="172" t="str" cm="1">
        <f t="array" ref="B113">VLOOKUP(A113,'The List'!B1:D671,3,FALSE)</f>
        <v>D</v>
      </c>
      <c r="C113" s="173" cm="1">
        <f t="array" ref="C113">IF(Settings!$E$15="POINTS",RANK(E113,E3:E204),H113)</f>
        <v>150</v>
      </c>
      <c r="D113" s="18" t="str" cm="1">
        <f t="array" ref="D113">VLOOKUP(A113,'The List'!B1:F671,5,FALSE)</f>
        <v>BOS</v>
      </c>
      <c r="E113" s="55" cm="1">
        <f t="array" ref="E113">VLOOKUP(A113,'The List'!B1:I671,8,FALSE)</f>
        <v>-3.7195097957798486</v>
      </c>
      <c r="F113" s="55" cm="1">
        <f t="array" ref="F113">IF(Settings!$E$15="POINTS",E113-VLOOKUP(B$2,C1:E204,3,FALSE),J113)</f>
        <v>-4.2863607102974033</v>
      </c>
      <c r="G113" s="55"/>
      <c r="H113" s="166" cm="1">
        <f t="array" ref="H113">RANK(I113,I3:I204)</f>
        <v>150</v>
      </c>
      <c r="I113" s="167" cm="1">
        <f t="array" ref="I113">VLOOKUP(A113,'Standard Deviations'!A1:C672,3,FALSE)</f>
        <v>-3.7195097957798486</v>
      </c>
      <c r="J113" s="167" cm="1">
        <f t="array" ref="J113">I113-VLOOKUP(B$2,H1:J204,2,FALSE)</f>
        <v>-4.2863607102974033</v>
      </c>
    </row>
    <row r="114" spans="1:10" ht="21.25" customHeight="1" x14ac:dyDescent="0.15">
      <c r="A114" s="10" t="s">
        <v>406</v>
      </c>
      <c r="B114" s="172" t="str" cm="1">
        <f t="array" ref="B114">VLOOKUP(A114,'The List'!B1:D671,3,FALSE)</f>
        <v>D</v>
      </c>
      <c r="C114" s="173" cm="1">
        <f t="array" ref="C114">IF(Settings!$E$15="POINTS",RANK(E114,E3:E204),H114)</f>
        <v>165</v>
      </c>
      <c r="D114" s="18" t="str" cm="1">
        <f t="array" ref="D114">VLOOKUP(A114,'The List'!B1:F671,5,FALSE)</f>
        <v>CGY</v>
      </c>
      <c r="E114" s="55" cm="1">
        <f t="array" ref="E114">VLOOKUP(A114,'The List'!B1:I671,8,FALSE)</f>
        <v>-4.459402862901106</v>
      </c>
      <c r="F114" s="55" cm="1">
        <f t="array" ref="F114">IF(Settings!$E$15="POINTS",E114-VLOOKUP(B$2,C1:E204,3,FALSE),J114)</f>
        <v>-5.0262537774186606</v>
      </c>
      <c r="G114" s="55"/>
      <c r="H114" s="166" cm="1">
        <f t="array" ref="H114">RANK(I114,I3:I204)</f>
        <v>165</v>
      </c>
      <c r="I114" s="167" cm="1">
        <f t="array" ref="I114">VLOOKUP(A114,'Standard Deviations'!A1:C672,3,FALSE)</f>
        <v>-4.459402862901106</v>
      </c>
      <c r="J114" s="167" cm="1">
        <f t="array" ref="J114">I114-VLOOKUP(B$2,H1:J204,2,FALSE)</f>
        <v>-5.0262537774186606</v>
      </c>
    </row>
    <row r="115" spans="1:10" ht="21.25" customHeight="1" x14ac:dyDescent="0.15">
      <c r="A115" s="10" t="s">
        <v>407</v>
      </c>
      <c r="B115" s="172" t="str" cm="1">
        <f t="array" ref="B115">VLOOKUP(A115,'The List'!B1:D671,3,FALSE)</f>
        <v>D</v>
      </c>
      <c r="C115" s="173" cm="1">
        <f t="array" ref="C115">IF(Settings!$E$15="POINTS",RANK(E115,E3:E204),H115)</f>
        <v>167</v>
      </c>
      <c r="D115" s="18" t="str" cm="1">
        <f t="array" ref="D115">VLOOKUP(A115,'The List'!B1:F671,5,FALSE)</f>
        <v>CGY</v>
      </c>
      <c r="E115" s="55" cm="1">
        <f t="array" ref="E115">VLOOKUP(A115,'The List'!B1:I671,8,FALSE)</f>
        <v>-4.4873414576453001</v>
      </c>
      <c r="F115" s="55" cm="1">
        <f t="array" ref="F115">IF(Settings!$E$15="POINTS",E115-VLOOKUP(B$2,C1:E204,3,FALSE),J115)</f>
        <v>-5.0541923721628548</v>
      </c>
      <c r="G115" s="55"/>
      <c r="H115" s="166" cm="1">
        <f t="array" ref="H115">RANK(I115,I3:I204)</f>
        <v>167</v>
      </c>
      <c r="I115" s="167" cm="1">
        <f t="array" ref="I115">VLOOKUP(A115,'Standard Deviations'!A1:C672,3,FALSE)</f>
        <v>-4.4873414576453001</v>
      </c>
      <c r="J115" s="167" cm="1">
        <f t="array" ref="J115">I115-VLOOKUP(B$2,H1:J204,2,FALSE)</f>
        <v>-5.0541923721628548</v>
      </c>
    </row>
    <row r="116" spans="1:10" ht="21.25" customHeight="1" x14ac:dyDescent="0.15">
      <c r="A116" s="10" t="s">
        <v>408</v>
      </c>
      <c r="B116" s="172" t="str" cm="1">
        <f t="array" ref="B116">VLOOKUP(A116,'The List'!B1:D671,3,FALSE)</f>
        <v>D</v>
      </c>
      <c r="C116" s="173" cm="1">
        <f t="array" ref="C116">IF(Settings!$E$15="POINTS",RANK(E116,E3:E204),H116)</f>
        <v>152</v>
      </c>
      <c r="D116" s="18" t="str" cm="1">
        <f t="array" ref="D116">VLOOKUP(A116,'The List'!B1:F671,5,FALSE)</f>
        <v>NYI</v>
      </c>
      <c r="E116" s="55" cm="1">
        <f t="array" ref="E116">VLOOKUP(A116,'The List'!B1:I671,8,FALSE)</f>
        <v>-3.7901172691849743</v>
      </c>
      <c r="F116" s="55" cm="1">
        <f t="array" ref="F116">IF(Settings!$E$15="POINTS",E116-VLOOKUP(B$2,C1:E204,3,FALSE),J116)</f>
        <v>-4.3569681837025289</v>
      </c>
      <c r="G116" s="55"/>
      <c r="H116" s="166" cm="1">
        <f t="array" ref="H116">RANK(I116,I3:I204)</f>
        <v>152</v>
      </c>
      <c r="I116" s="167" cm="1">
        <f t="array" ref="I116">VLOOKUP(A116,'Standard Deviations'!A1:C672,3,FALSE)</f>
        <v>-3.7901172691849743</v>
      </c>
      <c r="J116" s="167" cm="1">
        <f t="array" ref="J116">I116-VLOOKUP(B$2,H1:J204,2,FALSE)</f>
        <v>-4.3569681837025289</v>
      </c>
    </row>
    <row r="117" spans="1:10" ht="21.25" customHeight="1" x14ac:dyDescent="0.15">
      <c r="A117" s="10" t="s">
        <v>411</v>
      </c>
      <c r="B117" s="172" t="str" cm="1">
        <f t="array" ref="B117">VLOOKUP(A117,'The List'!B1:D671,3,FALSE)</f>
        <v>D</v>
      </c>
      <c r="C117" s="173" cm="1">
        <f t="array" ref="C117">IF(Settings!$E$15="POINTS",RANK(E117,E3:E204),H117)</f>
        <v>174</v>
      </c>
      <c r="D117" s="18" t="str" cm="1">
        <f t="array" ref="D117">VLOOKUP(A117,'The List'!B1:F671,5,FALSE)</f>
        <v>VAN</v>
      </c>
      <c r="E117" s="55" cm="1">
        <f t="array" ref="E117">VLOOKUP(A117,'The List'!B1:I671,8,FALSE)</f>
        <v>-4.6486162323988598</v>
      </c>
      <c r="F117" s="55" cm="1">
        <f t="array" ref="F117">IF(Settings!$E$15="POINTS",E117-VLOOKUP(B$2,C1:E204,3,FALSE),J117)</f>
        <v>-5.2154671469164144</v>
      </c>
      <c r="G117" s="55"/>
      <c r="H117" s="166" cm="1">
        <f t="array" ref="H117">RANK(I117,I3:I204)</f>
        <v>174</v>
      </c>
      <c r="I117" s="167" cm="1">
        <f t="array" ref="I117">VLOOKUP(A117,'Standard Deviations'!A1:C672,3,FALSE)</f>
        <v>-4.6486162323988598</v>
      </c>
      <c r="J117" s="167" cm="1">
        <f t="array" ref="J117">I117-VLOOKUP(B$2,H1:J204,2,FALSE)</f>
        <v>-5.2154671469164144</v>
      </c>
    </row>
    <row r="118" spans="1:10" ht="21.25" customHeight="1" x14ac:dyDescent="0.15">
      <c r="A118" s="10" t="s">
        <v>413</v>
      </c>
      <c r="B118" s="172" t="str" cm="1">
        <f t="array" ref="B118">VLOOKUP(A118,'The List'!B1:D671,3,FALSE)</f>
        <v>D</v>
      </c>
      <c r="C118" s="173" cm="1">
        <f t="array" ref="C118">IF(Settings!$E$15="POINTS",RANK(E118,E3:E204),H118)</f>
        <v>70</v>
      </c>
      <c r="D118" s="18" t="str" cm="1">
        <f t="array" ref="D118">VLOOKUP(A118,'The List'!B1:F671,5,FALSE)</f>
        <v>BOS</v>
      </c>
      <c r="E118" s="55" cm="1">
        <f t="array" ref="E118">VLOOKUP(A118,'The List'!B1:I671,8,FALSE)</f>
        <v>-1.3332934161137575</v>
      </c>
      <c r="F118" s="55" cm="1">
        <f t="array" ref="F118">IF(Settings!$E$15="POINTS",E118-VLOOKUP(B$2,C1:E204,3,FALSE),J118)</f>
        <v>-1.9001443306313119</v>
      </c>
      <c r="G118" s="55"/>
      <c r="H118" s="166" cm="1">
        <f t="array" ref="H118">RANK(I118,I3:I204)</f>
        <v>70</v>
      </c>
      <c r="I118" s="167" cm="1">
        <f t="array" ref="I118">VLOOKUP(A118,'Standard Deviations'!A1:C672,3,FALSE)</f>
        <v>-1.3332934161137575</v>
      </c>
      <c r="J118" s="167" cm="1">
        <f t="array" ref="J118">I118-VLOOKUP(B$2,H1:J204,2,FALSE)</f>
        <v>-1.9001443306313119</v>
      </c>
    </row>
    <row r="119" spans="1:10" ht="21.25" customHeight="1" x14ac:dyDescent="0.15">
      <c r="A119" s="10" t="s">
        <v>417</v>
      </c>
      <c r="B119" s="172" t="str" cm="1">
        <f t="array" ref="B119">VLOOKUP(A119,'The List'!B1:D671,3,FALSE)</f>
        <v>D</v>
      </c>
      <c r="C119" s="173" cm="1">
        <f t="array" ref="C119">IF(Settings!$E$15="POINTS",RANK(E119,E3:E204),H119)</f>
        <v>118</v>
      </c>
      <c r="D119" s="18" t="str" cm="1">
        <f t="array" ref="D119">VLOOKUP(A119,'The List'!B1:F671,5,FALSE)</f>
        <v>BOS</v>
      </c>
      <c r="E119" s="55" cm="1">
        <f t="array" ref="E119">VLOOKUP(A119,'The List'!B1:I671,8,FALSE)</f>
        <v>-2.8639861159048223</v>
      </c>
      <c r="F119" s="55" cm="1">
        <f t="array" ref="F119">IF(Settings!$E$15="POINTS",E119-VLOOKUP(B$2,C1:E204,3,FALSE),J119)</f>
        <v>-3.430837030422377</v>
      </c>
      <c r="G119" s="55"/>
      <c r="H119" s="166" cm="1">
        <f t="array" ref="H119">RANK(I119,I3:I204)</f>
        <v>118</v>
      </c>
      <c r="I119" s="167" cm="1">
        <f t="array" ref="I119">VLOOKUP(A119,'Standard Deviations'!A1:C672,3,FALSE)</f>
        <v>-2.8639861159048223</v>
      </c>
      <c r="J119" s="167" cm="1">
        <f t="array" ref="J119">I119-VLOOKUP(B$2,H1:J204,2,FALSE)</f>
        <v>-3.430837030422377</v>
      </c>
    </row>
    <row r="120" spans="1:10" ht="21.25" customHeight="1" x14ac:dyDescent="0.15">
      <c r="A120" s="10" t="s">
        <v>421</v>
      </c>
      <c r="B120" s="172" t="str" cm="1">
        <f t="array" ref="B120">VLOOKUP(A120,'The List'!B1:D671,3,FALSE)</f>
        <v>D</v>
      </c>
      <c r="C120" s="173" cm="1">
        <f t="array" ref="C120">IF(Settings!$E$15="POINTS",RANK(E120,E3:E204),H120)</f>
        <v>134</v>
      </c>
      <c r="D120" s="18" t="str" cm="1">
        <f t="array" ref="D120">VLOOKUP(A120,'The List'!B1:F671,5,FALSE)</f>
        <v>CGY</v>
      </c>
      <c r="E120" s="55" cm="1">
        <f t="array" ref="E120">VLOOKUP(A120,'The List'!B1:I671,8,FALSE)</f>
        <v>-3.4172168158685681</v>
      </c>
      <c r="F120" s="55" cm="1">
        <f t="array" ref="F120">IF(Settings!$E$15="POINTS",E120-VLOOKUP(B$2,C1:E204,3,FALSE),J120)</f>
        <v>-3.9840677303861227</v>
      </c>
      <c r="G120" s="55"/>
      <c r="H120" s="166" cm="1">
        <f t="array" ref="H120">RANK(I120,I3:I204)</f>
        <v>134</v>
      </c>
      <c r="I120" s="167" cm="1">
        <f t="array" ref="I120">VLOOKUP(A120,'Standard Deviations'!A1:C672,3,FALSE)</f>
        <v>-3.4172168158685681</v>
      </c>
      <c r="J120" s="167" cm="1">
        <f t="array" ref="J120">I120-VLOOKUP(B$2,H1:J204,2,FALSE)</f>
        <v>-3.9840677303861227</v>
      </c>
    </row>
    <row r="121" spans="1:10" ht="21.25" customHeight="1" x14ac:dyDescent="0.15">
      <c r="A121" s="10" t="s">
        <v>422</v>
      </c>
      <c r="B121" s="172" t="str" cm="1">
        <f t="array" ref="B121">VLOOKUP(A121,'The List'!B1:D671,3,FALSE)</f>
        <v>D</v>
      </c>
      <c r="C121" s="173" cm="1">
        <f t="array" ref="C121">IF(Settings!$E$15="POINTS",RANK(E121,E3:E204),H121)</f>
        <v>123</v>
      </c>
      <c r="D121" s="18" t="str" cm="1">
        <f t="array" ref="D121">VLOOKUP(A121,'The List'!B1:F671,5,FALSE)</f>
        <v>UTA</v>
      </c>
      <c r="E121" s="55" cm="1">
        <f t="array" ref="E121">VLOOKUP(A121,'The List'!B1:I671,8,FALSE)</f>
        <v>-2.9919964507200811</v>
      </c>
      <c r="F121" s="55" cm="1">
        <f t="array" ref="F121">IF(Settings!$E$15="POINTS",E121-VLOOKUP(B$2,C1:E204,3,FALSE),J121)</f>
        <v>-3.5588473652376358</v>
      </c>
      <c r="G121" s="55"/>
      <c r="H121" s="166" cm="1">
        <f t="array" ref="H121">RANK(I121,I3:I204)</f>
        <v>123</v>
      </c>
      <c r="I121" s="167" cm="1">
        <f t="array" ref="I121">VLOOKUP(A121,'Standard Deviations'!A1:C672,3,FALSE)</f>
        <v>-2.9919964507200811</v>
      </c>
      <c r="J121" s="167" cm="1">
        <f t="array" ref="J121">I121-VLOOKUP(B$2,H1:J204,2,FALSE)</f>
        <v>-3.5588473652376358</v>
      </c>
    </row>
    <row r="122" spans="1:10" ht="21.25" customHeight="1" x14ac:dyDescent="0.15">
      <c r="A122" s="10" t="s">
        <v>423</v>
      </c>
      <c r="B122" s="172" t="str" cm="1">
        <f t="array" ref="B122">VLOOKUP(A122,'The List'!B1:D671,3,FALSE)</f>
        <v>D</v>
      </c>
      <c r="C122" s="173" cm="1">
        <f t="array" ref="C122">IF(Settings!$E$15="POINTS",RANK(E122,E3:E204),H122)</f>
        <v>168</v>
      </c>
      <c r="D122" s="18" t="str" cm="1">
        <f t="array" ref="D122">VLOOKUP(A122,'The List'!B1:F671,5,FALSE)</f>
        <v>N.J</v>
      </c>
      <c r="E122" s="55" cm="1">
        <f t="array" ref="E122">VLOOKUP(A122,'The List'!B1:I671,8,FALSE)</f>
        <v>-4.5470803672148676</v>
      </c>
      <c r="F122" s="55" cm="1">
        <f t="array" ref="F122">IF(Settings!$E$15="POINTS",E122-VLOOKUP(B$2,C1:E204,3,FALSE),J122)</f>
        <v>-5.1139312817324223</v>
      </c>
      <c r="G122" s="55"/>
      <c r="H122" s="166" cm="1">
        <f t="array" ref="H122">RANK(I122,I3:I204)</f>
        <v>168</v>
      </c>
      <c r="I122" s="167" cm="1">
        <f t="array" ref="I122">VLOOKUP(A122,'Standard Deviations'!A1:C672,3,FALSE)</f>
        <v>-4.5470803672148676</v>
      </c>
      <c r="J122" s="167" cm="1">
        <f t="array" ref="J122">I122-VLOOKUP(B$2,H1:J204,2,FALSE)</f>
        <v>-5.1139312817324223</v>
      </c>
    </row>
    <row r="123" spans="1:10" ht="21.25" customHeight="1" x14ac:dyDescent="0.15">
      <c r="A123" s="10" t="s">
        <v>427</v>
      </c>
      <c r="B123" s="172" t="str" cm="1">
        <f t="array" ref="B123">VLOOKUP(A123,'The List'!B1:D671,3,FALSE)</f>
        <v>D</v>
      </c>
      <c r="C123" s="173" cm="1">
        <f t="array" ref="C123">IF(Settings!$E$15="POINTS",RANK(E123,E3:E204),H123)</f>
        <v>112</v>
      </c>
      <c r="D123" s="18" t="str" cm="1">
        <f t="array" ref="D123">VLOOKUP(A123,'The List'!B1:F671,5,FALSE)</f>
        <v>MTL</v>
      </c>
      <c r="E123" s="55" cm="1">
        <f t="array" ref="E123">VLOOKUP(A123,'The List'!B1:I671,8,FALSE)</f>
        <v>-2.7285767253543241</v>
      </c>
      <c r="F123" s="55" cm="1">
        <f t="array" ref="F123">IF(Settings!$E$15="POINTS",E123-VLOOKUP(B$2,C1:E204,3,FALSE),J123)</f>
        <v>-3.2954276398718783</v>
      </c>
      <c r="G123" s="55"/>
      <c r="H123" s="166" cm="1">
        <f t="array" ref="H123">RANK(I123,I3:I204)</f>
        <v>112</v>
      </c>
      <c r="I123" s="167" cm="1">
        <f t="array" ref="I123">VLOOKUP(A123,'Standard Deviations'!A1:C672,3,FALSE)</f>
        <v>-2.7285767253543241</v>
      </c>
      <c r="J123" s="167" cm="1">
        <f t="array" ref="J123">I123-VLOOKUP(B$2,H1:J204,2,FALSE)</f>
        <v>-3.2954276398718783</v>
      </c>
    </row>
    <row r="124" spans="1:10" ht="21.25" customHeight="1" x14ac:dyDescent="0.15">
      <c r="A124" s="10" t="s">
        <v>429</v>
      </c>
      <c r="B124" s="172" t="str" cm="1">
        <f t="array" ref="B124">VLOOKUP(A124,'The List'!B1:D671,3,FALSE)</f>
        <v>D</v>
      </c>
      <c r="C124" s="173" cm="1">
        <f t="array" ref="C124">IF(Settings!$E$15="POINTS",RANK(E124,E3:E204),H124)</f>
        <v>87</v>
      </c>
      <c r="D124" s="18" t="str" cm="1">
        <f t="array" ref="D124">VLOOKUP(A124,'The List'!B1:F671,5,FALSE)</f>
        <v>OTT</v>
      </c>
      <c r="E124" s="55" cm="1">
        <f t="array" ref="E124">VLOOKUP(A124,'The List'!B1:I671,8,FALSE)</f>
        <v>-2.0762053887620375</v>
      </c>
      <c r="F124" s="55" cm="1">
        <f t="array" ref="F124">IF(Settings!$E$15="POINTS",E124-VLOOKUP(B$2,C1:E204,3,FALSE),J124)</f>
        <v>-2.6430563032795922</v>
      </c>
      <c r="G124" s="55"/>
      <c r="H124" s="166" cm="1">
        <f t="array" ref="H124">RANK(I124,I3:I204)</f>
        <v>87</v>
      </c>
      <c r="I124" s="167" cm="1">
        <f t="array" ref="I124">VLOOKUP(A124,'Standard Deviations'!A1:C672,3,FALSE)</f>
        <v>-2.0762053887620375</v>
      </c>
      <c r="J124" s="167" cm="1">
        <f t="array" ref="J124">I124-VLOOKUP(B$2,H1:J204,2,FALSE)</f>
        <v>-2.6430563032795922</v>
      </c>
    </row>
    <row r="125" spans="1:10" ht="21.25" customHeight="1" x14ac:dyDescent="0.15">
      <c r="A125" s="10" t="s">
        <v>432</v>
      </c>
      <c r="B125" s="172" t="str" cm="1">
        <f t="array" ref="B125">VLOOKUP(A125,'The List'!B1:D671,3,FALSE)</f>
        <v>D</v>
      </c>
      <c r="C125" s="173" cm="1">
        <f t="array" ref="C125">IF(Settings!$E$15="POINTS",RANK(E125,E3:E204),H125)</f>
        <v>119</v>
      </c>
      <c r="D125" s="18" t="str" cm="1">
        <f t="array" ref="D125">VLOOKUP(A125,'The List'!B1:F671,5,FALSE)</f>
        <v>MIN</v>
      </c>
      <c r="E125" s="55" cm="1">
        <f t="array" ref="E125">VLOOKUP(A125,'The List'!B1:I671,8,FALSE)</f>
        <v>-2.8987760749906974</v>
      </c>
      <c r="F125" s="55" cm="1">
        <f t="array" ref="F125">IF(Settings!$E$15="POINTS",E125-VLOOKUP(B$2,C1:E204,3,FALSE),J125)</f>
        <v>-3.4656269895082517</v>
      </c>
      <c r="G125" s="55"/>
      <c r="H125" s="166" cm="1">
        <f t="array" ref="H125">RANK(I125,I3:I204)</f>
        <v>119</v>
      </c>
      <c r="I125" s="167" cm="1">
        <f t="array" ref="I125">VLOOKUP(A125,'Standard Deviations'!A1:C672,3,FALSE)</f>
        <v>-2.8987760749906974</v>
      </c>
      <c r="J125" s="167" cm="1">
        <f t="array" ref="J125">I125-VLOOKUP(B$2,H1:J204,2,FALSE)</f>
        <v>-3.4656269895082517</v>
      </c>
    </row>
    <row r="126" spans="1:10" ht="21.25" customHeight="1" x14ac:dyDescent="0.15">
      <c r="A126" s="10" t="s">
        <v>433</v>
      </c>
      <c r="B126" s="172" t="str" cm="1">
        <f t="array" ref="B126">VLOOKUP(A126,'The List'!B1:D671,3,FALSE)</f>
        <v>D</v>
      </c>
      <c r="C126" s="173" cm="1">
        <f t="array" ref="C126">IF(Settings!$E$15="POINTS",RANK(E126,E3:E204),H126)</f>
        <v>177</v>
      </c>
      <c r="D126" s="18" t="str" cm="1">
        <f t="array" ref="D126">VLOOKUP(A126,'The List'!B1:F671,5,FALSE)</f>
        <v>NSH</v>
      </c>
      <c r="E126" s="55" cm="1">
        <f t="array" ref="E126">VLOOKUP(A126,'The List'!B1:I671,8,FALSE)</f>
        <v>-4.8043753812017904</v>
      </c>
      <c r="F126" s="55" cm="1">
        <f t="array" ref="F126">IF(Settings!$E$15="POINTS",E126-VLOOKUP(B$2,C1:E204,3,FALSE),J126)</f>
        <v>-5.3712262957193451</v>
      </c>
      <c r="G126" s="55"/>
      <c r="H126" s="166" cm="1">
        <f t="array" ref="H126">RANK(I126,I3:I204)</f>
        <v>177</v>
      </c>
      <c r="I126" s="167" cm="1">
        <f t="array" ref="I126">VLOOKUP(A126,'Standard Deviations'!A1:C672,3,FALSE)</f>
        <v>-4.8043753812017904</v>
      </c>
      <c r="J126" s="167" cm="1">
        <f t="array" ref="J126">I126-VLOOKUP(B$2,H1:J204,2,FALSE)</f>
        <v>-5.3712262957193451</v>
      </c>
    </row>
    <row r="127" spans="1:10" ht="21.25" customHeight="1" x14ac:dyDescent="0.15">
      <c r="A127" s="10" t="s">
        <v>434</v>
      </c>
      <c r="B127" s="172" t="str" cm="1">
        <f t="array" ref="B127">VLOOKUP(A127,'The List'!B1:D671,3,FALSE)</f>
        <v>D</v>
      </c>
      <c r="C127" s="173" cm="1">
        <f t="array" ref="C127">IF(Settings!$E$15="POINTS",RANK(E127,E3:E204),H127)</f>
        <v>137</v>
      </c>
      <c r="D127" s="18" t="str" cm="1">
        <f t="array" ref="D127">VLOOKUP(A127,'The List'!B1:F671,5,FALSE)</f>
        <v>ANA</v>
      </c>
      <c r="E127" s="55" cm="1">
        <f t="array" ref="E127">VLOOKUP(A127,'The List'!B1:I671,8,FALSE)</f>
        <v>-3.4810929052900965</v>
      </c>
      <c r="F127" s="55" cm="1">
        <f t="array" ref="F127">IF(Settings!$E$15="POINTS",E127-VLOOKUP(B$2,C1:E204,3,FALSE),J127)</f>
        <v>-4.0479438198076512</v>
      </c>
      <c r="G127" s="55"/>
      <c r="H127" s="166" cm="1">
        <f t="array" ref="H127">RANK(I127,I3:I204)</f>
        <v>137</v>
      </c>
      <c r="I127" s="167" cm="1">
        <f t="array" ref="I127">VLOOKUP(A127,'Standard Deviations'!A1:C672,3,FALSE)</f>
        <v>-3.4810929052900965</v>
      </c>
      <c r="J127" s="167" cm="1">
        <f t="array" ref="J127">I127-VLOOKUP(B$2,H1:J204,2,FALSE)</f>
        <v>-4.0479438198076512</v>
      </c>
    </row>
    <row r="128" spans="1:10" ht="21.25" customHeight="1" x14ac:dyDescent="0.15">
      <c r="A128" s="10" t="s">
        <v>436</v>
      </c>
      <c r="B128" s="172" t="str" cm="1">
        <f t="array" ref="B128">VLOOKUP(A128,'The List'!B1:D671,3,FALSE)</f>
        <v>D</v>
      </c>
      <c r="C128" s="173" cm="1">
        <f t="array" ref="C128">IF(Settings!$E$15="POINTS",RANK(E128,E3:E204),H128)</f>
        <v>116</v>
      </c>
      <c r="D128" s="18" t="str" cm="1">
        <f t="array" ref="D128">VLOOKUP(A128,'The List'!B1:F671,5,FALSE)</f>
        <v>PHI</v>
      </c>
      <c r="E128" s="55" cm="1">
        <f t="array" ref="E128">VLOOKUP(A128,'The List'!B1:I671,8,FALSE)</f>
        <v>-2.8051136230632716</v>
      </c>
      <c r="F128" s="55" cm="1">
        <f t="array" ref="F128">IF(Settings!$E$15="POINTS",E128-VLOOKUP(B$2,C1:E204,3,FALSE),J128)</f>
        <v>-3.3719645375808263</v>
      </c>
      <c r="G128" s="55"/>
      <c r="H128" s="166" cm="1">
        <f t="array" ref="H128">RANK(I128,I3:I204)</f>
        <v>116</v>
      </c>
      <c r="I128" s="167" cm="1">
        <f t="array" ref="I128">VLOOKUP(A128,'Standard Deviations'!A1:C672,3,FALSE)</f>
        <v>-2.8051136230632716</v>
      </c>
      <c r="J128" s="167" cm="1">
        <f t="array" ref="J128">I128-VLOOKUP(B$2,H1:J204,2,FALSE)</f>
        <v>-3.3719645375808263</v>
      </c>
    </row>
    <row r="129" spans="1:10" ht="21.25" customHeight="1" x14ac:dyDescent="0.15">
      <c r="A129" s="10" t="s">
        <v>437</v>
      </c>
      <c r="B129" s="172" t="str" cm="1">
        <f t="array" ref="B129">VLOOKUP(A129,'The List'!B1:D671,3,FALSE)</f>
        <v>D</v>
      </c>
      <c r="C129" s="173" cm="1">
        <f t="array" ref="C129">IF(Settings!$E$15="POINTS",RANK(E129,E3:E204),H129)</f>
        <v>189</v>
      </c>
      <c r="D129" s="18" t="str" cm="1">
        <f t="array" ref="D129">VLOOKUP(A129,'The List'!B1:F671,5,FALSE)</f>
        <v>CGY</v>
      </c>
      <c r="E129" s="55" cm="1">
        <f t="array" ref="E129">VLOOKUP(A129,'The List'!B1:I671,8,FALSE)</f>
        <v>-5.2963447431492572</v>
      </c>
      <c r="F129" s="55" cm="1">
        <f t="array" ref="F129">IF(Settings!$E$15="POINTS",E129-VLOOKUP(B$2,C1:E204,3,FALSE),J129)</f>
        <v>-5.8631956576668118</v>
      </c>
      <c r="G129" s="55"/>
      <c r="H129" s="166" cm="1">
        <f t="array" ref="H129">RANK(I129,I3:I204)</f>
        <v>189</v>
      </c>
      <c r="I129" s="167" cm="1">
        <f t="array" ref="I129">VLOOKUP(A129,'Standard Deviations'!A1:C672,3,FALSE)</f>
        <v>-5.2963447431492572</v>
      </c>
      <c r="J129" s="167" cm="1">
        <f t="array" ref="J129">I129-VLOOKUP(B$2,H1:J204,2,FALSE)</f>
        <v>-5.8631956576668118</v>
      </c>
    </row>
    <row r="130" spans="1:10" ht="21.25" customHeight="1" x14ac:dyDescent="0.15">
      <c r="A130" s="10" t="s">
        <v>439</v>
      </c>
      <c r="B130" s="172" t="str" cm="1">
        <f t="array" ref="B130">VLOOKUP(A130,'The List'!B1:D671,3,FALSE)</f>
        <v>D</v>
      </c>
      <c r="C130" s="173" cm="1">
        <f t="array" ref="C130">IF(Settings!$E$15="POINTS",RANK(E130,E3:E204),H130)</f>
        <v>145</v>
      </c>
      <c r="D130" s="18" t="str" cm="1">
        <f t="array" ref="D130">VLOOKUP(A130,'The List'!B1:F671,5,FALSE)</f>
        <v>CBJ</v>
      </c>
      <c r="E130" s="55" cm="1">
        <f t="array" ref="E130">VLOOKUP(A130,'The List'!B1:I671,8,FALSE)</f>
        <v>-3.5737574823838312</v>
      </c>
      <c r="F130" s="55" cm="1">
        <f t="array" ref="F130">IF(Settings!$E$15="POINTS",E130-VLOOKUP(B$2,C1:E204,3,FALSE),J130)</f>
        <v>-4.1406083969013858</v>
      </c>
      <c r="G130" s="55"/>
      <c r="H130" s="166" cm="1">
        <f t="array" ref="H130">RANK(I130,I3:I204)</f>
        <v>145</v>
      </c>
      <c r="I130" s="167" cm="1">
        <f t="array" ref="I130">VLOOKUP(A130,'Standard Deviations'!A1:C672,3,FALSE)</f>
        <v>-3.5737574823838312</v>
      </c>
      <c r="J130" s="167" cm="1">
        <f t="array" ref="J130">I130-VLOOKUP(B$2,H1:J204,2,FALSE)</f>
        <v>-4.1406083969013858</v>
      </c>
    </row>
    <row r="131" spans="1:10" ht="21.25" customHeight="1" x14ac:dyDescent="0.15">
      <c r="A131" s="10" t="s">
        <v>444</v>
      </c>
      <c r="B131" s="172" t="str" cm="1">
        <f t="array" ref="B131">VLOOKUP(A131,'The List'!B1:D671,3,FALSE)</f>
        <v>D</v>
      </c>
      <c r="C131" s="173" cm="1">
        <f t="array" ref="C131">IF(Settings!$E$15="POINTS",RANK(E131,E3:E204),H131)</f>
        <v>148</v>
      </c>
      <c r="D131" s="18" t="str" cm="1">
        <f t="array" ref="D131">VLOOKUP(A131,'The List'!B1:F671,5,FALSE)</f>
        <v>DET</v>
      </c>
      <c r="E131" s="55" cm="1">
        <f t="array" ref="E131">VLOOKUP(A131,'The List'!B1:I671,8,FALSE)</f>
        <v>-3.6943607772184839</v>
      </c>
      <c r="F131" s="55" cm="1">
        <f t="array" ref="F131">IF(Settings!$E$15="POINTS",E131-VLOOKUP(B$2,C1:E204,3,FALSE),J131)</f>
        <v>-4.2612116917360385</v>
      </c>
      <c r="G131" s="55"/>
      <c r="H131" s="166" cm="1">
        <f t="array" ref="H131">RANK(I131,I3:I204)</f>
        <v>148</v>
      </c>
      <c r="I131" s="167" cm="1">
        <f t="array" ref="I131">VLOOKUP(A131,'Standard Deviations'!A1:C672,3,FALSE)</f>
        <v>-3.6943607772184839</v>
      </c>
      <c r="J131" s="167" cm="1">
        <f t="array" ref="J131">I131-VLOOKUP(B$2,H1:J204,2,FALSE)</f>
        <v>-4.2612116917360385</v>
      </c>
    </row>
    <row r="132" spans="1:10" ht="21.25" customHeight="1" x14ac:dyDescent="0.15">
      <c r="A132" s="10" t="s">
        <v>445</v>
      </c>
      <c r="B132" s="172" t="str" cm="1">
        <f t="array" ref="B132">VLOOKUP(A132,'The List'!B1:D671,3,FALSE)</f>
        <v>D</v>
      </c>
      <c r="C132" s="173" cm="1">
        <f t="array" ref="C132">IF(Settings!$E$15="POINTS",RANK(E132,E3:E204),H132)</f>
        <v>114</v>
      </c>
      <c r="D132" s="18" t="str" cm="1">
        <f t="array" ref="D132">VLOOKUP(A132,'The List'!B1:F671,5,FALSE)</f>
        <v>WPG</v>
      </c>
      <c r="E132" s="55" cm="1">
        <f t="array" ref="E132">VLOOKUP(A132,'The List'!B1:I671,8,FALSE)</f>
        <v>-2.7685360900502136</v>
      </c>
      <c r="F132" s="55" cm="1">
        <f t="array" ref="F132">IF(Settings!$E$15="POINTS",E132-VLOOKUP(B$2,C1:E204,3,FALSE),J132)</f>
        <v>-3.3353870045677683</v>
      </c>
      <c r="G132" s="55"/>
      <c r="H132" s="166" cm="1">
        <f t="array" ref="H132">RANK(I132,I3:I204)</f>
        <v>114</v>
      </c>
      <c r="I132" s="167" cm="1">
        <f t="array" ref="I132">VLOOKUP(A132,'Standard Deviations'!A1:C672,3,FALSE)</f>
        <v>-2.7685360900502136</v>
      </c>
      <c r="J132" s="167" cm="1">
        <f t="array" ref="J132">I132-VLOOKUP(B$2,H1:J204,2,FALSE)</f>
        <v>-3.3353870045677683</v>
      </c>
    </row>
    <row r="133" spans="1:10" ht="21.25" customHeight="1" x14ac:dyDescent="0.15">
      <c r="A133" s="10" t="s">
        <v>447</v>
      </c>
      <c r="B133" s="172" t="str" cm="1">
        <f t="array" ref="B133">VLOOKUP(A133,'The List'!B1:D671,3,FALSE)</f>
        <v>D</v>
      </c>
      <c r="C133" s="173" cm="1">
        <f t="array" ref="C133">IF(Settings!$E$15="POINTS",RANK(E133,E3:E204),H133)</f>
        <v>109</v>
      </c>
      <c r="D133" s="18" t="str" cm="1">
        <f t="array" ref="D133">VLOOKUP(A133,'The List'!B1:F671,5,FALSE)</f>
        <v>DAL</v>
      </c>
      <c r="E133" s="55" cm="1">
        <f t="array" ref="E133">VLOOKUP(A133,'The List'!B1:I671,8,FALSE)</f>
        <v>-2.6495466779575656</v>
      </c>
      <c r="F133" s="55" cm="1">
        <f t="array" ref="F133">IF(Settings!$E$15="POINTS",E133-VLOOKUP(B$2,C1:E204,3,FALSE),J133)</f>
        <v>-3.2163975924751202</v>
      </c>
      <c r="G133" s="55"/>
      <c r="H133" s="166" cm="1">
        <f t="array" ref="H133">RANK(I133,I3:I204)</f>
        <v>109</v>
      </c>
      <c r="I133" s="167" cm="1">
        <f t="array" ref="I133">VLOOKUP(A133,'Standard Deviations'!A1:C672,3,FALSE)</f>
        <v>-2.6495466779575656</v>
      </c>
      <c r="J133" s="167" cm="1">
        <f t="array" ref="J133">I133-VLOOKUP(B$2,H1:J204,2,FALSE)</f>
        <v>-3.2163975924751202</v>
      </c>
    </row>
    <row r="134" spans="1:10" ht="21.25" customHeight="1" x14ac:dyDescent="0.15">
      <c r="A134" s="10" t="s">
        <v>453</v>
      </c>
      <c r="B134" s="172" t="str" cm="1">
        <f t="array" ref="B134">VLOOKUP(A134,'The List'!B1:D671,3,FALSE)</f>
        <v>D</v>
      </c>
      <c r="C134" s="173" cm="1">
        <f t="array" ref="C134">IF(Settings!$E$15="POINTS",RANK(E134,E3:E204),H134)</f>
        <v>85</v>
      </c>
      <c r="D134" s="18" t="str" cm="1">
        <f t="array" ref="D134">VLOOKUP(A134,'The List'!B1:F671,5,FALSE)</f>
        <v>EDM</v>
      </c>
      <c r="E134" s="55" cm="1">
        <f t="array" ref="E134">VLOOKUP(A134,'The List'!B1:I671,8,FALSE)</f>
        <v>-2.0048193332843347</v>
      </c>
      <c r="F134" s="55" cm="1">
        <f t="array" ref="F134">IF(Settings!$E$15="POINTS",E134-VLOOKUP(B$2,C1:E204,3,FALSE),J134)</f>
        <v>-2.5716702478018894</v>
      </c>
      <c r="G134" s="55"/>
      <c r="H134" s="166" cm="1">
        <f t="array" ref="H134">RANK(I134,I3:I204)</f>
        <v>85</v>
      </c>
      <c r="I134" s="167" cm="1">
        <f t="array" ref="I134">VLOOKUP(A134,'Standard Deviations'!A1:C672,3,FALSE)</f>
        <v>-2.0048193332843347</v>
      </c>
      <c r="J134" s="167" cm="1">
        <f t="array" ref="J134">I134-VLOOKUP(B$2,H1:J204,2,FALSE)</f>
        <v>-2.5716702478018894</v>
      </c>
    </row>
    <row r="135" spans="1:10" ht="21.25" customHeight="1" x14ac:dyDescent="0.15">
      <c r="A135" s="10" t="s">
        <v>454</v>
      </c>
      <c r="B135" s="172" t="str" cm="1">
        <f t="array" ref="B135">VLOOKUP(A135,'The List'!B1:D671,3,FALSE)</f>
        <v>D</v>
      </c>
      <c r="C135" s="173" cm="1">
        <f t="array" ref="C135">IF(Settings!$E$15="POINTS",RANK(E135,E3:E204),H135)</f>
        <v>127</v>
      </c>
      <c r="D135" s="18" t="str" cm="1">
        <f t="array" ref="D135">VLOOKUP(A135,'The List'!B1:F671,5,FALSE)</f>
        <v>PHI</v>
      </c>
      <c r="E135" s="55" cm="1">
        <f t="array" ref="E135">VLOOKUP(A135,'The List'!B1:I671,8,FALSE)</f>
        <v>-3.1298986222746881</v>
      </c>
      <c r="F135" s="55" cm="1">
        <f t="array" ref="F135">IF(Settings!$E$15="POINTS",E135-VLOOKUP(B$2,C1:E204,3,FALSE),J135)</f>
        <v>-3.6967495367922423</v>
      </c>
      <c r="G135" s="55"/>
      <c r="H135" s="166" cm="1">
        <f t="array" ref="H135">RANK(I135,I3:I204)</f>
        <v>127</v>
      </c>
      <c r="I135" s="167" cm="1">
        <f t="array" ref="I135">VLOOKUP(A135,'Standard Deviations'!A1:C672,3,FALSE)</f>
        <v>-3.1298986222746881</v>
      </c>
      <c r="J135" s="167" cm="1">
        <f t="array" ref="J135">I135-VLOOKUP(B$2,H1:J204,2,FALSE)</f>
        <v>-3.6967495367922423</v>
      </c>
    </row>
    <row r="136" spans="1:10" ht="21.25" customHeight="1" x14ac:dyDescent="0.15">
      <c r="A136" s="10" t="s">
        <v>456</v>
      </c>
      <c r="B136" s="172" t="str" cm="1">
        <f t="array" ref="B136">VLOOKUP(A136,'The List'!B1:D671,3,FALSE)</f>
        <v>D</v>
      </c>
      <c r="C136" s="173" cm="1">
        <f t="array" ref="C136">IF(Settings!$E$15="POINTS",RANK(E136,E3:E204),H136)</f>
        <v>133</v>
      </c>
      <c r="D136" s="18" t="str" cm="1">
        <f t="array" ref="D136">VLOOKUP(A136,'The List'!B1:F671,5,FALSE)</f>
        <v>COL</v>
      </c>
      <c r="E136" s="55" cm="1">
        <f t="array" ref="E136">VLOOKUP(A136,'The List'!B1:I671,8,FALSE)</f>
        <v>-3.3745980663081228</v>
      </c>
      <c r="F136" s="55" cm="1">
        <f t="array" ref="F136">IF(Settings!$E$15="POINTS",E136-VLOOKUP(B$2,C1:E204,3,FALSE),J136)</f>
        <v>-3.941448980825677</v>
      </c>
      <c r="G136" s="55"/>
      <c r="H136" s="166" cm="1">
        <f t="array" ref="H136">RANK(I136,I3:I204)</f>
        <v>133</v>
      </c>
      <c r="I136" s="167" cm="1">
        <f t="array" ref="I136">VLOOKUP(A136,'Standard Deviations'!A1:C672,3,FALSE)</f>
        <v>-3.3745980663081228</v>
      </c>
      <c r="J136" s="167" cm="1">
        <f t="array" ref="J136">I136-VLOOKUP(B$2,H1:J204,2,FALSE)</f>
        <v>-3.941448980825677</v>
      </c>
    </row>
    <row r="137" spans="1:10" ht="21.25" customHeight="1" x14ac:dyDescent="0.15">
      <c r="A137" s="10" t="s">
        <v>457</v>
      </c>
      <c r="B137" s="172" t="str" cm="1">
        <f t="array" ref="B137">VLOOKUP(A137,'The List'!B1:D671,3,FALSE)</f>
        <v>D</v>
      </c>
      <c r="C137" s="173" cm="1">
        <f t="array" ref="C137">IF(Settings!$E$15="POINTS",RANK(E137,E3:E204),H137)</f>
        <v>92</v>
      </c>
      <c r="D137" s="18" t="str" cm="1">
        <f t="array" ref="D137">VLOOKUP(A137,'The List'!B1:F671,5,FALSE)</f>
        <v>BUF</v>
      </c>
      <c r="E137" s="55" cm="1">
        <f t="array" ref="E137">VLOOKUP(A137,'The List'!B1:I671,8,FALSE)</f>
        <v>-2.1519536494077642</v>
      </c>
      <c r="F137" s="55" cm="1">
        <f t="array" ref="F137">IF(Settings!$E$15="POINTS",E137-VLOOKUP(B$2,C1:E204,3,FALSE),J137)</f>
        <v>-2.7188045639253184</v>
      </c>
      <c r="G137" s="55"/>
      <c r="H137" s="166" cm="1">
        <f t="array" ref="H137">RANK(I137,I3:I204)</f>
        <v>92</v>
      </c>
      <c r="I137" s="167" cm="1">
        <f t="array" ref="I137">VLOOKUP(A137,'Standard Deviations'!A1:C672,3,FALSE)</f>
        <v>-2.1519536494077642</v>
      </c>
      <c r="J137" s="167" cm="1">
        <f t="array" ref="J137">I137-VLOOKUP(B$2,H1:J204,2,FALSE)</f>
        <v>-2.7188045639253184</v>
      </c>
    </row>
    <row r="138" spans="1:10" ht="21.25" customHeight="1" x14ac:dyDescent="0.15">
      <c r="A138" s="10" t="s">
        <v>459</v>
      </c>
      <c r="B138" s="172" t="str" cm="1">
        <f t="array" ref="B138">VLOOKUP(A138,'The List'!B1:D671,3,FALSE)</f>
        <v>D</v>
      </c>
      <c r="C138" s="173" cm="1">
        <f t="array" ref="C138">IF(Settings!$E$15="POINTS",RANK(E138,E3:E204),H138)</f>
        <v>111</v>
      </c>
      <c r="D138" s="18" t="str" cm="1">
        <f t="array" ref="D138">VLOOKUP(A138,'The List'!B1:F671,5,FALSE)</f>
        <v>PIT</v>
      </c>
      <c r="E138" s="55" cm="1">
        <f t="array" ref="E138">VLOOKUP(A138,'The List'!B1:I671,8,FALSE)</f>
        <v>-2.6854161634096889</v>
      </c>
      <c r="F138" s="55" cm="1">
        <f t="array" ref="F138">IF(Settings!$E$15="POINTS",E138-VLOOKUP(B$2,C1:E204,3,FALSE),J138)</f>
        <v>-3.2522670779272431</v>
      </c>
      <c r="G138" s="55"/>
      <c r="H138" s="166" cm="1">
        <f t="array" ref="H138">RANK(I138,I3:I204)</f>
        <v>111</v>
      </c>
      <c r="I138" s="167" cm="1">
        <f t="array" ref="I138">VLOOKUP(A138,'Standard Deviations'!A1:C672,3,FALSE)</f>
        <v>-2.6854161634096889</v>
      </c>
      <c r="J138" s="167" cm="1">
        <f t="array" ref="J138">I138-VLOOKUP(B$2,H1:J204,2,FALSE)</f>
        <v>-3.2522670779272431</v>
      </c>
    </row>
    <row r="139" spans="1:10" ht="21.25" customHeight="1" x14ac:dyDescent="0.15">
      <c r="A139" s="10" t="s">
        <v>461</v>
      </c>
      <c r="B139" s="172" t="str" cm="1">
        <f t="array" ref="B139">VLOOKUP(A139,'The List'!B1:D671,3,FALSE)</f>
        <v>D</v>
      </c>
      <c r="C139" s="173" cm="1">
        <f t="array" ref="C139">IF(Settings!$E$15="POINTS",RANK(E139,E3:E204),H139)</f>
        <v>113</v>
      </c>
      <c r="D139" s="18" t="str" cm="1">
        <f t="array" ref="D139">VLOOKUP(A139,'The List'!B1:F671,5,FALSE)</f>
        <v>NYR</v>
      </c>
      <c r="E139" s="55" cm="1">
        <f t="array" ref="E139">VLOOKUP(A139,'The List'!B1:I671,8,FALSE)</f>
        <v>-2.7412341880818731</v>
      </c>
      <c r="F139" s="55" cm="1">
        <f t="array" ref="F139">IF(Settings!$E$15="POINTS",E139-VLOOKUP(B$2,C1:E204,3,FALSE),J139)</f>
        <v>-3.3080851025994278</v>
      </c>
      <c r="G139" s="55"/>
      <c r="H139" s="166" cm="1">
        <f t="array" ref="H139">RANK(I139,I3:I204)</f>
        <v>113</v>
      </c>
      <c r="I139" s="167" cm="1">
        <f t="array" ref="I139">VLOOKUP(A139,'Standard Deviations'!A1:C672,3,FALSE)</f>
        <v>-2.7412341880818731</v>
      </c>
      <c r="J139" s="167" cm="1">
        <f t="array" ref="J139">I139-VLOOKUP(B$2,H1:J204,2,FALSE)</f>
        <v>-3.3080851025994278</v>
      </c>
    </row>
    <row r="140" spans="1:10" ht="21.25" customHeight="1" x14ac:dyDescent="0.15">
      <c r="A140" s="10" t="s">
        <v>463</v>
      </c>
      <c r="B140" s="172" t="str" cm="1">
        <f t="array" ref="B140">VLOOKUP(A140,'The List'!B1:D671,3,FALSE)</f>
        <v>D</v>
      </c>
      <c r="C140" s="173" cm="1">
        <f t="array" ref="C140">IF(Settings!$E$15="POINTS",RANK(E140,E3:E204),H140)</f>
        <v>94</v>
      </c>
      <c r="D140" s="18" t="str" cm="1">
        <f t="array" ref="D140">VLOOKUP(A140,'The List'!B1:F671,5,FALSE)</f>
        <v>CAR</v>
      </c>
      <c r="E140" s="55" cm="1">
        <f t="array" ref="E140">VLOOKUP(A140,'The List'!B1:I671,8,FALSE)</f>
        <v>-2.1832810922182682</v>
      </c>
      <c r="F140" s="55" cm="1">
        <f t="array" ref="F140">IF(Settings!$E$15="POINTS",E140-VLOOKUP(B$2,C1:E204,3,FALSE),J140)</f>
        <v>-2.7501320067358224</v>
      </c>
      <c r="G140" s="55"/>
      <c r="H140" s="166" cm="1">
        <f t="array" ref="H140">RANK(I140,I3:I204)</f>
        <v>94</v>
      </c>
      <c r="I140" s="167" cm="1">
        <f t="array" ref="I140">VLOOKUP(A140,'Standard Deviations'!A1:C672,3,FALSE)</f>
        <v>-2.1832810922182682</v>
      </c>
      <c r="J140" s="167" cm="1">
        <f t="array" ref="J140">I140-VLOOKUP(B$2,H1:J204,2,FALSE)</f>
        <v>-2.7501320067358224</v>
      </c>
    </row>
    <row r="141" spans="1:10" ht="21.25" customHeight="1" x14ac:dyDescent="0.15">
      <c r="A141" s="10" t="s">
        <v>464</v>
      </c>
      <c r="B141" s="172" t="str" cm="1">
        <f t="array" ref="B141">VLOOKUP(A141,'The List'!B1:D671,3,FALSE)</f>
        <v>D</v>
      </c>
      <c r="C141" s="173" cm="1">
        <f t="array" ref="C141">IF(Settings!$E$15="POINTS",RANK(E141,E3:E204),H141)</f>
        <v>98</v>
      </c>
      <c r="D141" s="18" t="str" cm="1">
        <f t="array" ref="D141">VLOOKUP(A141,'The List'!B1:F671,5,FALSE)</f>
        <v>WPG</v>
      </c>
      <c r="E141" s="55" cm="1">
        <f t="array" ref="E141">VLOOKUP(A141,'The List'!B1:I671,8,FALSE)</f>
        <v>-2.3542040481268138</v>
      </c>
      <c r="F141" s="55" cm="1">
        <f t="array" ref="F141">IF(Settings!$E$15="POINTS",E141-VLOOKUP(B$2,C1:E204,3,FALSE),J141)</f>
        <v>-2.9210549626443685</v>
      </c>
      <c r="G141" s="55"/>
      <c r="H141" s="166" cm="1">
        <f t="array" ref="H141">RANK(I141,I3:I204)</f>
        <v>98</v>
      </c>
      <c r="I141" s="167" cm="1">
        <f t="array" ref="I141">VLOOKUP(A141,'Standard Deviations'!A1:C672,3,FALSE)</f>
        <v>-2.3542040481268138</v>
      </c>
      <c r="J141" s="167" cm="1">
        <f t="array" ref="J141">I141-VLOOKUP(B$2,H1:J204,2,FALSE)</f>
        <v>-2.9210549626443685</v>
      </c>
    </row>
    <row r="142" spans="1:10" ht="21.25" customHeight="1" x14ac:dyDescent="0.15">
      <c r="A142" s="10" t="s">
        <v>465</v>
      </c>
      <c r="B142" s="172" t="str" cm="1">
        <f t="array" ref="B142">VLOOKUP(A142,'The List'!B1:D671,3,FALSE)</f>
        <v>D</v>
      </c>
      <c r="C142" s="173" cm="1">
        <f t="array" ref="C142">IF(Settings!$E$15="POINTS",RANK(E142,E3:E204),H142)</f>
        <v>166</v>
      </c>
      <c r="D142" s="18" t="str" cm="1">
        <f t="array" ref="D142">VLOOKUP(A142,'The List'!B1:F671,5,FALSE)</f>
        <v>ANA</v>
      </c>
      <c r="E142" s="55" cm="1">
        <f t="array" ref="E142">VLOOKUP(A142,'The List'!B1:I671,8,FALSE)</f>
        <v>-4.4802205309133454</v>
      </c>
      <c r="F142" s="55" cm="1">
        <f t="array" ref="F142">IF(Settings!$E$15="POINTS",E142-VLOOKUP(B$2,C1:E204,3,FALSE),J142)</f>
        <v>-5.0470714454309</v>
      </c>
      <c r="G142" s="55"/>
      <c r="H142" s="166" cm="1">
        <f t="array" ref="H142">RANK(I142,I3:I204)</f>
        <v>166</v>
      </c>
      <c r="I142" s="167" cm="1">
        <f t="array" ref="I142">VLOOKUP(A142,'Standard Deviations'!A1:C672,3,FALSE)</f>
        <v>-4.4802205309133454</v>
      </c>
      <c r="J142" s="167" cm="1">
        <f t="array" ref="J142">I142-VLOOKUP(B$2,H1:J204,2,FALSE)</f>
        <v>-5.0470714454309</v>
      </c>
    </row>
    <row r="143" spans="1:10" ht="21.25" customHeight="1" x14ac:dyDescent="0.15">
      <c r="A143" s="10" t="s">
        <v>466</v>
      </c>
      <c r="B143" s="172" t="str" cm="1">
        <f t="array" ref="B143">VLOOKUP(A143,'The List'!B1:D671,3,FALSE)</f>
        <v>D</v>
      </c>
      <c r="C143" s="173" cm="1">
        <f t="array" ref="C143">IF(Settings!$E$15="POINTS",RANK(E143,E3:E204),H143)</f>
        <v>79</v>
      </c>
      <c r="D143" s="18" t="str" cm="1">
        <f t="array" ref="D143">VLOOKUP(A143,'The List'!B1:F671,5,FALSE)</f>
        <v>EDM</v>
      </c>
      <c r="E143" s="55" cm="1">
        <f t="array" ref="E143">VLOOKUP(A143,'The List'!B1:I671,8,FALSE)</f>
        <v>-1.7034893145515837</v>
      </c>
      <c r="F143" s="55" cm="1">
        <f t="array" ref="F143">IF(Settings!$E$15="POINTS",E143-VLOOKUP(B$2,C1:E204,3,FALSE),J143)</f>
        <v>-2.2703402290691379</v>
      </c>
      <c r="G143" s="55"/>
      <c r="H143" s="166" cm="1">
        <f t="array" ref="H143">RANK(I143,I3:I204)</f>
        <v>79</v>
      </c>
      <c r="I143" s="167" cm="1">
        <f t="array" ref="I143">VLOOKUP(A143,'Standard Deviations'!A1:C672,3,FALSE)</f>
        <v>-1.7034893145515837</v>
      </c>
      <c r="J143" s="167" cm="1">
        <f t="array" ref="J143">I143-VLOOKUP(B$2,H1:J204,2,FALSE)</f>
        <v>-2.2703402290691379</v>
      </c>
    </row>
    <row r="144" spans="1:10" ht="21.25" customHeight="1" x14ac:dyDescent="0.15">
      <c r="A144" s="10" t="s">
        <v>467</v>
      </c>
      <c r="B144" s="172" t="str" cm="1">
        <f t="array" ref="B144">VLOOKUP(A144,'The List'!B1:D671,3,FALSE)</f>
        <v>D</v>
      </c>
      <c r="C144" s="173" cm="1">
        <f t="array" ref="C144">IF(Settings!$E$15="POINTS",RANK(E144,E3:E204),H144)</f>
        <v>157</v>
      </c>
      <c r="D144" s="18" t="str" cm="1">
        <f t="array" ref="D144">VLOOKUP(A144,'The List'!B1:F671,5,FALSE)</f>
        <v>PIT</v>
      </c>
      <c r="E144" s="55" cm="1">
        <f t="array" ref="E144">VLOOKUP(A144,'The List'!B1:I671,8,FALSE)</f>
        <v>-4.0806952016364137</v>
      </c>
      <c r="F144" s="55" cm="1">
        <f t="array" ref="F144">IF(Settings!$E$15="POINTS",E144-VLOOKUP(B$2,C1:E204,3,FALSE),J144)</f>
        <v>-4.6475461161539684</v>
      </c>
      <c r="G144" s="55"/>
      <c r="H144" s="166" cm="1">
        <f t="array" ref="H144">RANK(I144,I3:I204)</f>
        <v>157</v>
      </c>
      <c r="I144" s="167" cm="1">
        <f t="array" ref="I144">VLOOKUP(A144,'Standard Deviations'!A1:C672,3,FALSE)</f>
        <v>-4.0806952016364137</v>
      </c>
      <c r="J144" s="167" cm="1">
        <f t="array" ref="J144">I144-VLOOKUP(B$2,H1:J204,2,FALSE)</f>
        <v>-4.6475461161539684</v>
      </c>
    </row>
    <row r="145" spans="1:10" ht="21.25" customHeight="1" x14ac:dyDescent="0.15">
      <c r="A145" s="10" t="s">
        <v>471</v>
      </c>
      <c r="B145" s="172" t="str" cm="1">
        <f t="array" ref="B145">VLOOKUP(A145,'The List'!B1:D671,3,FALSE)</f>
        <v>D</v>
      </c>
      <c r="C145" s="173" cm="1">
        <f t="array" ref="C145">IF(Settings!$E$15="POINTS",RANK(E145,E3:E204),H145)</f>
        <v>104</v>
      </c>
      <c r="D145" s="18" t="str" cm="1">
        <f t="array" ref="D145">VLOOKUP(A145,'The List'!B1:F671,5,FALSE)</f>
        <v>UTA</v>
      </c>
      <c r="E145" s="55" cm="1">
        <f t="array" ref="E145">VLOOKUP(A145,'The List'!B1:I671,8,FALSE)</f>
        <v>-2.5268462063975461</v>
      </c>
      <c r="F145" s="55" cm="1">
        <f t="array" ref="F145">IF(Settings!$E$15="POINTS",E145-VLOOKUP(B$2,C1:E204,3,FALSE),J145)</f>
        <v>-3.0936971209151007</v>
      </c>
      <c r="G145" s="55"/>
      <c r="H145" s="166" cm="1">
        <f t="array" ref="H145">RANK(I145,I3:I204)</f>
        <v>104</v>
      </c>
      <c r="I145" s="167" cm="1">
        <f t="array" ref="I145">VLOOKUP(A145,'Standard Deviations'!A1:C672,3,FALSE)</f>
        <v>-2.5268462063975461</v>
      </c>
      <c r="J145" s="167" cm="1">
        <f t="array" ref="J145">I145-VLOOKUP(B$2,H1:J204,2,FALSE)</f>
        <v>-3.0936971209151007</v>
      </c>
    </row>
    <row r="146" spans="1:10" ht="21.25" customHeight="1" x14ac:dyDescent="0.15">
      <c r="A146" s="10" t="s">
        <v>474</v>
      </c>
      <c r="B146" s="172" t="str" cm="1">
        <f t="array" ref="B146">VLOOKUP(A146,'The List'!B1:D671,3,FALSE)</f>
        <v>D</v>
      </c>
      <c r="C146" s="173" cm="1">
        <f t="array" ref="C146">IF(Settings!$E$15="POINTS",RANK(E146,E3:E204),H146)</f>
        <v>158</v>
      </c>
      <c r="D146" s="18" t="str" cm="1">
        <f t="array" ref="D146">VLOOKUP(A146,'The List'!B1:F671,5,FALSE)</f>
        <v>N.J</v>
      </c>
      <c r="E146" s="55" cm="1">
        <f t="array" ref="E146">VLOOKUP(A146,'The List'!B1:I671,8,FALSE)</f>
        <v>-4.1222328551338707</v>
      </c>
      <c r="F146" s="55" cm="1">
        <f t="array" ref="F146">IF(Settings!$E$15="POINTS",E146-VLOOKUP(B$2,C1:E204,3,FALSE),J146)</f>
        <v>-4.6890837696514254</v>
      </c>
      <c r="G146" s="55"/>
      <c r="H146" s="166" cm="1">
        <f t="array" ref="H146">RANK(I146,I3:I204)</f>
        <v>158</v>
      </c>
      <c r="I146" s="167" cm="1">
        <f t="array" ref="I146">VLOOKUP(A146,'Standard Deviations'!A1:C672,3,FALSE)</f>
        <v>-4.1222328551338707</v>
      </c>
      <c r="J146" s="167" cm="1">
        <f t="array" ref="J146">I146-VLOOKUP(B$2,H1:J204,2,FALSE)</f>
        <v>-4.6890837696514254</v>
      </c>
    </row>
    <row r="147" spans="1:10" ht="21.25" customHeight="1" x14ac:dyDescent="0.15">
      <c r="A147" s="10" t="s">
        <v>476</v>
      </c>
      <c r="B147" s="172" t="str" cm="1">
        <f t="array" ref="B147">VLOOKUP(A147,'The List'!B1:D671,3,FALSE)</f>
        <v>D</v>
      </c>
      <c r="C147" s="173" cm="1">
        <f t="array" ref="C147">IF(Settings!$E$15="POINTS",RANK(E147,E3:E204),H147)</f>
        <v>173</v>
      </c>
      <c r="D147" s="18" t="str" cm="1">
        <f t="array" ref="D147">VLOOKUP(A147,'The List'!B1:F671,5,FALSE)</f>
        <v>SEA</v>
      </c>
      <c r="E147" s="55" cm="1">
        <f t="array" ref="E147">VLOOKUP(A147,'The List'!B1:I671,8,FALSE)</f>
        <v>-4.6175663788947467</v>
      </c>
      <c r="F147" s="55" cm="1">
        <f t="array" ref="F147">IF(Settings!$E$15="POINTS",E147-VLOOKUP(B$2,C1:E204,3,FALSE),J147)</f>
        <v>-5.1844172934123014</v>
      </c>
      <c r="G147" s="55"/>
      <c r="H147" s="166" cm="1">
        <f t="array" ref="H147">RANK(I147,I3:I204)</f>
        <v>173</v>
      </c>
      <c r="I147" s="167" cm="1">
        <f t="array" ref="I147">VLOOKUP(A147,'Standard Deviations'!A1:C672,3,FALSE)</f>
        <v>-4.6175663788947467</v>
      </c>
      <c r="J147" s="167" cm="1">
        <f t="array" ref="J147">I147-VLOOKUP(B$2,H1:J204,2,FALSE)</f>
        <v>-5.1844172934123014</v>
      </c>
    </row>
    <row r="148" spans="1:10" ht="21.25" customHeight="1" x14ac:dyDescent="0.15">
      <c r="A148" s="10" t="s">
        <v>477</v>
      </c>
      <c r="B148" s="172" t="str" cm="1">
        <f t="array" ref="B148">VLOOKUP(A148,'The List'!B1:D671,3,FALSE)</f>
        <v>D</v>
      </c>
      <c r="C148" s="173" cm="1">
        <f t="array" ref="C148">IF(Settings!$E$15="POINTS",RANK(E148,E3:E204),H148)</f>
        <v>82</v>
      </c>
      <c r="D148" s="18" t="str" cm="1">
        <f t="array" ref="D148">VLOOKUP(A148,'The List'!B1:F671,5,FALSE)</f>
        <v>FLA</v>
      </c>
      <c r="E148" s="55" cm="1">
        <f t="array" ref="E148">VLOOKUP(A148,'The List'!B1:I671,8,FALSE)</f>
        <v>-1.8474713846927537</v>
      </c>
      <c r="F148" s="55" cm="1">
        <f t="array" ref="F148">IF(Settings!$E$15="POINTS",E148-VLOOKUP(B$2,C1:E204,3,FALSE),J148)</f>
        <v>-2.4143222992103084</v>
      </c>
      <c r="G148" s="55"/>
      <c r="H148" s="166" cm="1">
        <f t="array" ref="H148">RANK(I148,I3:I204)</f>
        <v>82</v>
      </c>
      <c r="I148" s="167" cm="1">
        <f t="array" ref="I148">VLOOKUP(A148,'Standard Deviations'!A1:C672,3,FALSE)</f>
        <v>-1.8474713846927537</v>
      </c>
      <c r="J148" s="167" cm="1">
        <f t="array" ref="J148">I148-VLOOKUP(B$2,H1:J204,2,FALSE)</f>
        <v>-2.4143222992103084</v>
      </c>
    </row>
    <row r="149" spans="1:10" ht="21.25" customHeight="1" x14ac:dyDescent="0.15">
      <c r="A149" s="10" t="s">
        <v>478</v>
      </c>
      <c r="B149" s="172" t="str" cm="1">
        <f t="array" ref="B149">VLOOKUP(A149,'The List'!B1:D671,3,FALSE)</f>
        <v>D</v>
      </c>
      <c r="C149" s="173" cm="1">
        <f t="array" ref="C149">IF(Settings!$E$15="POINTS",RANK(E149,E3:E204),H149)</f>
        <v>193</v>
      </c>
      <c r="D149" s="18" t="str" cm="1">
        <f t="array" ref="D149">VLOOKUP(A149,'The List'!B1:F671,5,FALSE)</f>
        <v>CHI</v>
      </c>
      <c r="E149" s="55" cm="1">
        <f t="array" ref="E149">VLOOKUP(A149,'The List'!B1:I671,8,FALSE)</f>
        <v>-5.6115692403722148</v>
      </c>
      <c r="F149" s="55" cm="1">
        <f t="array" ref="F149">IF(Settings!$E$15="POINTS",E149-VLOOKUP(B$2,C1:E204,3,FALSE),J149)</f>
        <v>-6.1784201548897695</v>
      </c>
      <c r="G149" s="55"/>
      <c r="H149" s="166" cm="1">
        <f t="array" ref="H149">RANK(I149,I3:I204)</f>
        <v>193</v>
      </c>
      <c r="I149" s="167" cm="1">
        <f t="array" ref="I149">VLOOKUP(A149,'Standard Deviations'!A1:C672,3,FALSE)</f>
        <v>-5.6115692403722148</v>
      </c>
      <c r="J149" s="167" cm="1">
        <f t="array" ref="J149">I149-VLOOKUP(B$2,H1:J204,2,FALSE)</f>
        <v>-6.1784201548897695</v>
      </c>
    </row>
    <row r="150" spans="1:10" ht="21.25" customHeight="1" x14ac:dyDescent="0.15">
      <c r="A150" s="10" t="s">
        <v>479</v>
      </c>
      <c r="B150" s="172" t="str" cm="1">
        <f t="array" ref="B150">VLOOKUP(A150,'The List'!B1:D671,3,FALSE)</f>
        <v>D</v>
      </c>
      <c r="C150" s="173" cm="1">
        <f t="array" ref="C150">IF(Settings!$E$15="POINTS",RANK(E150,E3:E204),H150)</f>
        <v>144</v>
      </c>
      <c r="D150" s="18" t="str" cm="1">
        <f t="array" ref="D150">VLOOKUP(A150,'The List'!B1:F671,5,FALSE)</f>
        <v>STL</v>
      </c>
      <c r="E150" s="55" cm="1">
        <f t="array" ref="E150">VLOOKUP(A150,'The List'!B1:I671,8,FALSE)</f>
        <v>-3.5675269694146872</v>
      </c>
      <c r="F150" s="55" cm="1">
        <f t="array" ref="F150">IF(Settings!$E$15="POINTS",E150-VLOOKUP(B$2,C1:E204,3,FALSE),J150)</f>
        <v>-4.1343778839322418</v>
      </c>
      <c r="G150" s="55"/>
      <c r="H150" s="166" cm="1">
        <f t="array" ref="H150">RANK(I150,I3:I204)</f>
        <v>144</v>
      </c>
      <c r="I150" s="167" cm="1">
        <f t="array" ref="I150">VLOOKUP(A150,'Standard Deviations'!A1:C672,3,FALSE)</f>
        <v>-3.5675269694146872</v>
      </c>
      <c r="J150" s="167" cm="1">
        <f t="array" ref="J150">I150-VLOOKUP(B$2,H1:J204,2,FALSE)</f>
        <v>-4.1343778839322418</v>
      </c>
    </row>
    <row r="151" spans="1:10" ht="21.25" customHeight="1" x14ac:dyDescent="0.15">
      <c r="A151" s="10" t="s">
        <v>481</v>
      </c>
      <c r="B151" s="172" t="str" cm="1">
        <f t="array" ref="B151">VLOOKUP(A151,'The List'!B1:D671,3,FALSE)</f>
        <v>D</v>
      </c>
      <c r="C151" s="173" cm="1">
        <f t="array" ref="C151">IF(Settings!$E$15="POINTS",RANK(E151,E3:E204),H151)</f>
        <v>151</v>
      </c>
      <c r="D151" s="18" t="str" cm="1">
        <f t="array" ref="D151">VLOOKUP(A151,'The List'!B1:F671,5,FALSE)</f>
        <v>ANA</v>
      </c>
      <c r="E151" s="55" cm="1">
        <f t="array" ref="E151">VLOOKUP(A151,'The List'!B1:I671,8,FALSE)</f>
        <v>-3.7869636785873473</v>
      </c>
      <c r="F151" s="55" cm="1">
        <f t="array" ref="F151">IF(Settings!$E$15="POINTS",E151-VLOOKUP(B$2,C1:E204,3,FALSE),J151)</f>
        <v>-4.3538145931049019</v>
      </c>
      <c r="G151" s="55"/>
      <c r="H151" s="166" cm="1">
        <f t="array" ref="H151">RANK(I151,I3:I204)</f>
        <v>151</v>
      </c>
      <c r="I151" s="167" cm="1">
        <f t="array" ref="I151">VLOOKUP(A151,'Standard Deviations'!A1:C672,3,FALSE)</f>
        <v>-3.7869636785873473</v>
      </c>
      <c r="J151" s="167" cm="1">
        <f t="array" ref="J151">I151-VLOOKUP(B$2,H1:J204,2,FALSE)</f>
        <v>-4.3538145931049019</v>
      </c>
    </row>
    <row r="152" spans="1:10" ht="21.25" customHeight="1" x14ac:dyDescent="0.15">
      <c r="A152" s="10" t="s">
        <v>483</v>
      </c>
      <c r="B152" s="172" t="str" cm="1">
        <f t="array" ref="B152">VLOOKUP(A152,'The List'!B1:D671,3,FALSE)</f>
        <v>D</v>
      </c>
      <c r="C152" s="173" cm="1">
        <f t="array" ref="C152">IF(Settings!$E$15="POINTS",RANK(E152,E3:E204),H152)</f>
        <v>179</v>
      </c>
      <c r="D152" s="18" t="str" cm="1">
        <f t="array" ref="D152">VLOOKUP(A152,'The List'!B1:F671,5,FALSE)</f>
        <v>L.A</v>
      </c>
      <c r="E152" s="55" cm="1">
        <f t="array" ref="E152">VLOOKUP(A152,'The List'!B1:I671,8,FALSE)</f>
        <v>-4.8734092076288729</v>
      </c>
      <c r="F152" s="55" cm="1">
        <f t="array" ref="F152">IF(Settings!$E$15="POINTS",E152-VLOOKUP(B$2,C1:E204,3,FALSE),J152)</f>
        <v>-5.4402601221464275</v>
      </c>
      <c r="G152" s="55"/>
      <c r="H152" s="166" cm="1">
        <f t="array" ref="H152">RANK(I152,I3:I204)</f>
        <v>179</v>
      </c>
      <c r="I152" s="167" cm="1">
        <f t="array" ref="I152">VLOOKUP(A152,'Standard Deviations'!A1:C672,3,FALSE)</f>
        <v>-4.8734092076288729</v>
      </c>
      <c r="J152" s="167" cm="1">
        <f t="array" ref="J152">I152-VLOOKUP(B$2,H1:J204,2,FALSE)</f>
        <v>-5.4402601221464275</v>
      </c>
    </row>
    <row r="153" spans="1:10" ht="21.25" customHeight="1" x14ac:dyDescent="0.15">
      <c r="A153" s="10" t="s">
        <v>484</v>
      </c>
      <c r="B153" s="172" t="str" cm="1">
        <f t="array" ref="B153">VLOOKUP(A153,'The List'!B1:D671,3,FALSE)</f>
        <v>D</v>
      </c>
      <c r="C153" s="173" cm="1">
        <f t="array" ref="C153">IF(Settings!$E$15="POINTS",RANK(E153,E3:E204),H153)</f>
        <v>71</v>
      </c>
      <c r="D153" s="18" t="str" cm="1">
        <f t="array" ref="D153">VLOOKUP(A153,'The List'!B1:F671,5,FALSE)</f>
        <v>T.B</v>
      </c>
      <c r="E153" s="55" cm="1">
        <f t="array" ref="E153">VLOOKUP(A153,'The List'!B1:I671,8,FALSE)</f>
        <v>-1.3341588110496614</v>
      </c>
      <c r="F153" s="55" cm="1">
        <f t="array" ref="F153">IF(Settings!$E$15="POINTS",E153-VLOOKUP(B$2,C1:E204,3,FALSE),J153)</f>
        <v>-1.9010097255672158</v>
      </c>
      <c r="G153" s="55"/>
      <c r="H153" s="166" cm="1">
        <f t="array" ref="H153">RANK(I153,I3:I204)</f>
        <v>71</v>
      </c>
      <c r="I153" s="167" cm="1">
        <f t="array" ref="I153">VLOOKUP(A153,'Standard Deviations'!A1:C672,3,FALSE)</f>
        <v>-1.3341588110496614</v>
      </c>
      <c r="J153" s="167" cm="1">
        <f t="array" ref="J153">I153-VLOOKUP(B$2,H1:J204,2,FALSE)</f>
        <v>-1.9010097255672158</v>
      </c>
    </row>
    <row r="154" spans="1:10" ht="21.25" customHeight="1" x14ac:dyDescent="0.15">
      <c r="A154" s="10" t="s">
        <v>486</v>
      </c>
      <c r="B154" s="172" t="str" cm="1">
        <f t="array" ref="B154">VLOOKUP(A154,'The List'!B1:D671,3,FALSE)</f>
        <v>D</v>
      </c>
      <c r="C154" s="173" cm="1">
        <f t="array" ref="C154">IF(Settings!$E$15="POINTS",RANK(E154,E3:E204),H154)</f>
        <v>135</v>
      </c>
      <c r="D154" s="18" t="str" cm="1">
        <f t="array" ref="D154">VLOOKUP(A154,'The List'!B1:F671,5,FALSE)</f>
        <v>L.A</v>
      </c>
      <c r="E154" s="55" cm="1">
        <f t="array" ref="E154">VLOOKUP(A154,'The List'!B1:I671,8,FALSE)</f>
        <v>-3.4521775839460691</v>
      </c>
      <c r="F154" s="55" cm="1">
        <f t="array" ref="F154">IF(Settings!$E$15="POINTS",E154-VLOOKUP(B$2,C1:E204,3,FALSE),J154)</f>
        <v>-4.0190284984636238</v>
      </c>
      <c r="G154" s="55"/>
      <c r="H154" s="166" cm="1">
        <f t="array" ref="H154">RANK(I154,I3:I204)</f>
        <v>135</v>
      </c>
      <c r="I154" s="167" cm="1">
        <f t="array" ref="I154">VLOOKUP(A154,'Standard Deviations'!A1:C672,3,FALSE)</f>
        <v>-3.4521775839460691</v>
      </c>
      <c r="J154" s="167" cm="1">
        <f t="array" ref="J154">I154-VLOOKUP(B$2,H1:J204,2,FALSE)</f>
        <v>-4.0190284984636238</v>
      </c>
    </row>
    <row r="155" spans="1:10" ht="21.25" customHeight="1" x14ac:dyDescent="0.15">
      <c r="A155" s="10" t="s">
        <v>487</v>
      </c>
      <c r="B155" s="172" t="str" cm="1">
        <f t="array" ref="B155">VLOOKUP(A155,'The List'!B1:D671,3,FALSE)</f>
        <v>D</v>
      </c>
      <c r="C155" s="173" cm="1">
        <f t="array" ref="C155">IF(Settings!$E$15="POINTS",RANK(E155,E3:E204),H155)</f>
        <v>201</v>
      </c>
      <c r="D155" s="18" t="str" cm="1">
        <f t="array" ref="D155">VLOOKUP(A155,'The List'!B1:F671,5,FALSE)</f>
        <v>SEA</v>
      </c>
      <c r="E155" s="55" cm="1">
        <f t="array" ref="E155">VLOOKUP(A155,'The List'!B1:I671,8,FALSE)</f>
        <v>-6.2287577701819785</v>
      </c>
      <c r="F155" s="55" cm="1">
        <f t="array" ref="F155">IF(Settings!$E$15="POINTS",E155-VLOOKUP(B$2,C1:E204,3,FALSE),J155)</f>
        <v>-6.7956086846995332</v>
      </c>
      <c r="G155" s="55"/>
      <c r="H155" s="166" cm="1">
        <f t="array" ref="H155">RANK(I155,I3:I204)</f>
        <v>201</v>
      </c>
      <c r="I155" s="167" cm="1">
        <f t="array" ref="I155">VLOOKUP(A155,'Standard Deviations'!A1:C672,3,FALSE)</f>
        <v>-6.2287577701819785</v>
      </c>
      <c r="J155" s="167" cm="1">
        <f t="array" ref="J155">I155-VLOOKUP(B$2,H1:J204,2,FALSE)</f>
        <v>-6.7956086846995332</v>
      </c>
    </row>
    <row r="156" spans="1:10" ht="21.25" customHeight="1" x14ac:dyDescent="0.15">
      <c r="A156" s="10" t="s">
        <v>488</v>
      </c>
      <c r="B156" s="172" t="str" cm="1">
        <f t="array" ref="B156">VLOOKUP(A156,'The List'!B1:D671,3,FALSE)</f>
        <v>D</v>
      </c>
      <c r="C156" s="173" cm="1">
        <f t="array" ref="C156">IF(Settings!$E$15="POINTS",RANK(E156,E3:E204),H156)</f>
        <v>140</v>
      </c>
      <c r="D156" s="18" t="str" cm="1">
        <f t="array" ref="D156">VLOOKUP(A156,'The List'!B1:F671,5,FALSE)</f>
        <v>WSH</v>
      </c>
      <c r="E156" s="55" cm="1">
        <f t="array" ref="E156">VLOOKUP(A156,'The List'!B1:I671,8,FALSE)</f>
        <v>-3.5426191133036085</v>
      </c>
      <c r="F156" s="55" cm="1">
        <f t="array" ref="F156">IF(Settings!$E$15="POINTS",E156-VLOOKUP(B$2,C1:E204,3,FALSE),J156)</f>
        <v>-4.1094700278211631</v>
      </c>
      <c r="G156" s="55"/>
      <c r="H156" s="166" cm="1">
        <f t="array" ref="H156">RANK(I156,I3:I204)</f>
        <v>140</v>
      </c>
      <c r="I156" s="167" cm="1">
        <f t="array" ref="I156">VLOOKUP(A156,'Standard Deviations'!A1:C672,3,FALSE)</f>
        <v>-3.5426191133036085</v>
      </c>
      <c r="J156" s="167" cm="1">
        <f t="array" ref="J156">I156-VLOOKUP(B$2,H1:J204,2,FALSE)</f>
        <v>-4.1094700278211631</v>
      </c>
    </row>
    <row r="157" spans="1:10" ht="21.25" customHeight="1" x14ac:dyDescent="0.15">
      <c r="A157" s="10" t="s">
        <v>491</v>
      </c>
      <c r="B157" s="172" t="str" cm="1">
        <f t="array" ref="B157">VLOOKUP(A157,'The List'!B1:D671,3,FALSE)</f>
        <v>D</v>
      </c>
      <c r="C157" s="173" cm="1">
        <f t="array" ref="C157">IF(Settings!$E$15="POINTS",RANK(E157,E3:E204),H157)</f>
        <v>154</v>
      </c>
      <c r="D157" s="18" t="str" cm="1">
        <f t="array" ref="D157">VLOOKUP(A157,'The List'!B1:F671,5,FALSE)</f>
        <v>NSH</v>
      </c>
      <c r="E157" s="55" cm="1">
        <f t="array" ref="E157">VLOOKUP(A157,'The List'!B1:I671,8,FALSE)</f>
        <v>-3.997535822474152</v>
      </c>
      <c r="F157" s="55" cm="1">
        <f t="array" ref="F157">IF(Settings!$E$15="POINTS",E157-VLOOKUP(B$2,C1:E204,3,FALSE),J157)</f>
        <v>-4.5643867369917066</v>
      </c>
      <c r="G157" s="55"/>
      <c r="H157" s="166" cm="1">
        <f t="array" ref="H157">RANK(I157,I3:I204)</f>
        <v>154</v>
      </c>
      <c r="I157" s="167" cm="1">
        <f t="array" ref="I157">VLOOKUP(A157,'Standard Deviations'!A1:C672,3,FALSE)</f>
        <v>-3.997535822474152</v>
      </c>
      <c r="J157" s="167" cm="1">
        <f t="array" ref="J157">I157-VLOOKUP(B$2,H1:J204,2,FALSE)</f>
        <v>-4.5643867369917066</v>
      </c>
    </row>
    <row r="158" spans="1:10" ht="21.25" customHeight="1" x14ac:dyDescent="0.15">
      <c r="A158" s="10" t="s">
        <v>492</v>
      </c>
      <c r="B158" s="172" t="str" cm="1">
        <f t="array" ref="B158">VLOOKUP(A158,'The List'!B1:D671,3,FALSE)</f>
        <v>D</v>
      </c>
      <c r="C158" s="173" cm="1">
        <f t="array" ref="C158">IF(Settings!$E$15="POINTS",RANK(E158,E3:E204),H158)</f>
        <v>64</v>
      </c>
      <c r="D158" s="18" t="str" cm="1">
        <f t="array" ref="D158">VLOOKUP(A158,'The List'!B1:F671,5,FALSE)</f>
        <v>FLA</v>
      </c>
      <c r="E158" s="55" cm="1">
        <f t="array" ref="E158">VLOOKUP(A158,'The List'!B1:I671,8,FALSE)</f>
        <v>-1.139663198016478</v>
      </c>
      <c r="F158" s="55" cm="1">
        <f t="array" ref="F158">IF(Settings!$E$15="POINTS",E158-VLOOKUP(B$2,C1:E204,3,FALSE),J158)</f>
        <v>-1.7065141125340324</v>
      </c>
      <c r="G158" s="55"/>
      <c r="H158" s="166" cm="1">
        <f t="array" ref="H158">RANK(I158,I3:I204)</f>
        <v>64</v>
      </c>
      <c r="I158" s="167" cm="1">
        <f t="array" ref="I158">VLOOKUP(A158,'Standard Deviations'!A1:C672,3,FALSE)</f>
        <v>-1.139663198016478</v>
      </c>
      <c r="J158" s="167" cm="1">
        <f t="array" ref="J158">I158-VLOOKUP(B$2,H1:J204,2,FALSE)</f>
        <v>-1.7065141125340324</v>
      </c>
    </row>
    <row r="159" spans="1:10" ht="21.25" customHeight="1" x14ac:dyDescent="0.15">
      <c r="A159" s="10" t="s">
        <v>500</v>
      </c>
      <c r="B159" s="172" t="str" cm="1">
        <f t="array" ref="B159">VLOOKUP(A159,'The List'!B1:D671,3,FALSE)</f>
        <v>D</v>
      </c>
      <c r="C159" s="173" cm="1">
        <f t="array" ref="C159">IF(Settings!$E$15="POINTS",RANK(E159,E3:E204),H159)</f>
        <v>163</v>
      </c>
      <c r="D159" s="18" t="str" cm="1">
        <f t="array" ref="D159">VLOOKUP(A159,'The List'!B1:F671,5,FALSE)</f>
        <v>NSH</v>
      </c>
      <c r="E159" s="55" cm="1">
        <f t="array" ref="E159">VLOOKUP(A159,'The List'!B1:I671,8,FALSE)</f>
        <v>-4.4157199528765609</v>
      </c>
      <c r="F159" s="55" cm="1">
        <f t="array" ref="F159">IF(Settings!$E$15="POINTS",E159-VLOOKUP(B$2,C1:E204,3,FALSE),J159)</f>
        <v>-4.9825708673941156</v>
      </c>
      <c r="G159" s="55"/>
      <c r="H159" s="166" cm="1">
        <f t="array" ref="H159">RANK(I159,I3:I204)</f>
        <v>163</v>
      </c>
      <c r="I159" s="167" cm="1">
        <f t="array" ref="I159">VLOOKUP(A159,'Standard Deviations'!A1:C672,3,FALSE)</f>
        <v>-4.4157199528765609</v>
      </c>
      <c r="J159" s="167" cm="1">
        <f t="array" ref="J159">I159-VLOOKUP(B$2,H1:J204,2,FALSE)</f>
        <v>-4.9825708673941156</v>
      </c>
    </row>
    <row r="160" spans="1:10" ht="21.25" customHeight="1" x14ac:dyDescent="0.15">
      <c r="A160" s="10" t="s">
        <v>501</v>
      </c>
      <c r="B160" s="172" t="str" cm="1">
        <f t="array" ref="B160">VLOOKUP(A160,'The List'!B1:D671,3,FALSE)</f>
        <v>D</v>
      </c>
      <c r="C160" s="173" cm="1">
        <f t="array" ref="C160">IF(Settings!$E$15="POINTS",RANK(E160,E3:E204),H160)</f>
        <v>161</v>
      </c>
      <c r="D160" s="18" t="str" cm="1">
        <f t="array" ref="D160">VLOOKUP(A160,'The List'!B1:F671,5,FALSE)</f>
        <v>BUF</v>
      </c>
      <c r="E160" s="55" cm="1">
        <f t="array" ref="E160">VLOOKUP(A160,'The List'!B1:I671,8,FALSE)</f>
        <v>-4.1850316334333542</v>
      </c>
      <c r="F160" s="55" cm="1">
        <f t="array" ref="F160">IF(Settings!$E$15="POINTS",E160-VLOOKUP(B$2,C1:E204,3,FALSE),J160)</f>
        <v>-4.7518825479509088</v>
      </c>
      <c r="G160" s="55"/>
      <c r="H160" s="166" cm="1">
        <f t="array" ref="H160">RANK(I160,I3:I204)</f>
        <v>161</v>
      </c>
      <c r="I160" s="167" cm="1">
        <f t="array" ref="I160">VLOOKUP(A160,'Standard Deviations'!A1:C672,3,FALSE)</f>
        <v>-4.1850316334333542</v>
      </c>
      <c r="J160" s="167" cm="1">
        <f t="array" ref="J160">I160-VLOOKUP(B$2,H1:J204,2,FALSE)</f>
        <v>-4.7518825479509088</v>
      </c>
    </row>
    <row r="161" spans="1:10" ht="21.25" customHeight="1" x14ac:dyDescent="0.15">
      <c r="A161" s="10" t="s">
        <v>505</v>
      </c>
      <c r="B161" s="172" t="str" cm="1">
        <f t="array" ref="B161">VLOOKUP(A161,'The List'!B1:D671,3,FALSE)</f>
        <v>D</v>
      </c>
      <c r="C161" s="173" cm="1">
        <f t="array" ref="C161">IF(Settings!$E$15="POINTS",RANK(E161,E3:E204),H161)</f>
        <v>185</v>
      </c>
      <c r="D161" s="18" t="str" cm="1">
        <f t="array" ref="D161">VLOOKUP(A161,'The List'!B1:F671,5,FALSE)</f>
        <v>VAN</v>
      </c>
      <c r="E161" s="55" cm="1">
        <f t="array" ref="E161">VLOOKUP(A161,'The List'!B1:I671,8,FALSE)</f>
        <v>-5.0848844079275466</v>
      </c>
      <c r="F161" s="55" cm="1">
        <f t="array" ref="F161">IF(Settings!$E$15="POINTS",E161-VLOOKUP(B$2,C1:E204,3,FALSE),J161)</f>
        <v>-5.6517353224451012</v>
      </c>
      <c r="G161" s="55"/>
      <c r="H161" s="166" cm="1">
        <f t="array" ref="H161">RANK(I161,I3:I204)</f>
        <v>185</v>
      </c>
      <c r="I161" s="167" cm="1">
        <f t="array" ref="I161">VLOOKUP(A161,'Standard Deviations'!A1:C672,3,FALSE)</f>
        <v>-5.0848844079275466</v>
      </c>
      <c r="J161" s="167" cm="1">
        <f t="array" ref="J161">I161-VLOOKUP(B$2,H1:J204,2,FALSE)</f>
        <v>-5.6517353224451012</v>
      </c>
    </row>
    <row r="162" spans="1:10" ht="21.25" customHeight="1" x14ac:dyDescent="0.15">
      <c r="A162" s="10" t="s">
        <v>507</v>
      </c>
      <c r="B162" s="172" t="str" cm="1">
        <f t="array" ref="B162">VLOOKUP(A162,'The List'!B1:D671,3,FALSE)</f>
        <v>D</v>
      </c>
      <c r="C162" s="173" cm="1">
        <f t="array" ref="C162">IF(Settings!$E$15="POINTS",RANK(E162,E3:E204),H162)</f>
        <v>170</v>
      </c>
      <c r="D162" s="18" t="str" cm="1">
        <f t="array" ref="D162">VLOOKUP(A162,'The List'!B1:F671,5,FALSE)</f>
        <v>L.A</v>
      </c>
      <c r="E162" s="55" cm="1">
        <f t="array" ref="E162">VLOOKUP(A162,'The List'!B1:I671,8,FALSE)</f>
        <v>-4.5917816126094113</v>
      </c>
      <c r="F162" s="55" cm="1">
        <f t="array" ref="F162">IF(Settings!$E$15="POINTS",E162-VLOOKUP(B$2,C1:E204,3,FALSE),J162)</f>
        <v>-5.158632527126966</v>
      </c>
      <c r="G162" s="55"/>
      <c r="H162" s="166" cm="1">
        <f t="array" ref="H162">RANK(I162,I3:I204)</f>
        <v>170</v>
      </c>
      <c r="I162" s="167" cm="1">
        <f t="array" ref="I162">VLOOKUP(A162,'Standard Deviations'!A1:C672,3,FALSE)</f>
        <v>-4.5917816126094113</v>
      </c>
      <c r="J162" s="167" cm="1">
        <f t="array" ref="J162">I162-VLOOKUP(B$2,H1:J204,2,FALSE)</f>
        <v>-5.158632527126966</v>
      </c>
    </row>
    <row r="163" spans="1:10" ht="21.25" customHeight="1" x14ac:dyDescent="0.15">
      <c r="A163" s="10" t="s">
        <v>509</v>
      </c>
      <c r="B163" s="172" t="str" cm="1">
        <f t="array" ref="B163">VLOOKUP(A163,'The List'!B1:D671,3,FALSE)</f>
        <v>D</v>
      </c>
      <c r="C163" s="173" cm="1">
        <f t="array" ref="C163">IF(Settings!$E$15="POINTS",RANK(E163,E3:E204),H163)</f>
        <v>198</v>
      </c>
      <c r="D163" s="18" t="str" cm="1">
        <f t="array" ref="D163">VLOOKUP(A163,'The List'!B1:F671,5,FALSE)</f>
        <v>CHI</v>
      </c>
      <c r="E163" s="55" cm="1">
        <f t="array" ref="E163">VLOOKUP(A163,'The List'!B1:I671,8,FALSE)</f>
        <v>-6.0173940157489074</v>
      </c>
      <c r="F163" s="55" cm="1">
        <f t="array" ref="F163">IF(Settings!$E$15="POINTS",E163-VLOOKUP(B$2,C1:E204,3,FALSE),J163)</f>
        <v>-6.5842449302664621</v>
      </c>
      <c r="G163" s="55"/>
      <c r="H163" s="166" cm="1">
        <f t="array" ref="H163">RANK(I163,I3:I204)</f>
        <v>198</v>
      </c>
      <c r="I163" s="167" cm="1">
        <f t="array" ref="I163">VLOOKUP(A163,'Standard Deviations'!A1:C672,3,FALSE)</f>
        <v>-6.0173940157489074</v>
      </c>
      <c r="J163" s="167" cm="1">
        <f t="array" ref="J163">I163-VLOOKUP(B$2,H1:J204,2,FALSE)</f>
        <v>-6.5842449302664621</v>
      </c>
    </row>
    <row r="164" spans="1:10" ht="21.25" customHeight="1" x14ac:dyDescent="0.15">
      <c r="A164" s="10" t="s">
        <v>512</v>
      </c>
      <c r="B164" s="172" t="str" cm="1">
        <f t="array" ref="B164">VLOOKUP(A164,'The List'!B1:D671,3,FALSE)</f>
        <v>D</v>
      </c>
      <c r="C164" s="173" cm="1">
        <f t="array" ref="C164">IF(Settings!$E$15="POINTS",RANK(E164,E3:E204),H164)</f>
        <v>192</v>
      </c>
      <c r="D164" s="18" t="str" cm="1">
        <f t="array" ref="D164">VLOOKUP(A164,'The List'!B1:F671,5,FALSE)</f>
        <v>ANA</v>
      </c>
      <c r="E164" s="55" cm="1">
        <f t="array" ref="E164">VLOOKUP(A164,'The List'!B1:I671,8,FALSE)</f>
        <v>-5.552338543707199</v>
      </c>
      <c r="F164" s="55" cm="1">
        <f t="array" ref="F164">IF(Settings!$E$15="POINTS",E164-VLOOKUP(B$2,C1:E204,3,FALSE),J164)</f>
        <v>-6.1191894582247537</v>
      </c>
      <c r="G164" s="55"/>
      <c r="H164" s="166" cm="1">
        <f t="array" ref="H164">RANK(I164,I3:I204)</f>
        <v>192</v>
      </c>
      <c r="I164" s="167" cm="1">
        <f t="array" ref="I164">VLOOKUP(A164,'Standard Deviations'!A1:C672,3,FALSE)</f>
        <v>-5.552338543707199</v>
      </c>
      <c r="J164" s="167" cm="1">
        <f t="array" ref="J164">I164-VLOOKUP(B$2,H1:J204,2,FALSE)</f>
        <v>-6.1191894582247537</v>
      </c>
    </row>
    <row r="165" spans="1:10" ht="21.25" customHeight="1" x14ac:dyDescent="0.15">
      <c r="A165" s="10" t="s">
        <v>513</v>
      </c>
      <c r="B165" s="172" t="str" cm="1">
        <f t="array" ref="B165">VLOOKUP(A165,'The List'!B1:D671,3,FALSE)</f>
        <v>D</v>
      </c>
      <c r="C165" s="173" cm="1">
        <f t="array" ref="C165">IF(Settings!$E$15="POINTS",RANK(E165,E3:E204),H165)</f>
        <v>126</v>
      </c>
      <c r="D165" s="18" t="str" cm="1">
        <f t="array" ref="D165">VLOOKUP(A165,'The List'!B1:F671,5,FALSE)</f>
        <v>UTA</v>
      </c>
      <c r="E165" s="55" cm="1">
        <f t="array" ref="E165">VLOOKUP(A165,'The List'!B1:I671,8,FALSE)</f>
        <v>-3.1284122176554634</v>
      </c>
      <c r="F165" s="55" cm="1">
        <f t="array" ref="F165">IF(Settings!$E$15="POINTS",E165-VLOOKUP(B$2,C1:E204,3,FALSE),J165)</f>
        <v>-3.6952631321730181</v>
      </c>
      <c r="G165" s="55"/>
      <c r="H165" s="166" cm="1">
        <f t="array" ref="H165">RANK(I165,I3:I204)</f>
        <v>126</v>
      </c>
      <c r="I165" s="167" cm="1">
        <f t="array" ref="I165">VLOOKUP(A165,'Standard Deviations'!A1:C672,3,FALSE)</f>
        <v>-3.1284122176554634</v>
      </c>
      <c r="J165" s="167" cm="1">
        <f t="array" ref="J165">I165-VLOOKUP(B$2,H1:J204,2,FALSE)</f>
        <v>-3.6952631321730181</v>
      </c>
    </row>
    <row r="166" spans="1:10" ht="21.25" customHeight="1" x14ac:dyDescent="0.15">
      <c r="A166" s="10" t="s">
        <v>515</v>
      </c>
      <c r="B166" s="172" t="str" cm="1">
        <f t="array" ref="B166">VLOOKUP(A166,'The List'!B1:D671,3,FALSE)</f>
        <v>D</v>
      </c>
      <c r="C166" s="173" cm="1">
        <f t="array" ref="C166">IF(Settings!$E$15="POINTS",RANK(E166,E3:E204),H166)</f>
        <v>139</v>
      </c>
      <c r="D166" s="18" t="str" cm="1">
        <f t="array" ref="D166">VLOOKUP(A166,'The List'!B1:F671,5,FALSE)</f>
        <v>N.J</v>
      </c>
      <c r="E166" s="55" cm="1">
        <f t="array" ref="E166">VLOOKUP(A166,'The List'!B1:I671,8,FALSE)</f>
        <v>-3.5392901408472253</v>
      </c>
      <c r="F166" s="55" cm="1">
        <f t="array" ref="F166">IF(Settings!$E$15="POINTS",E166-VLOOKUP(B$2,C1:E204,3,FALSE),J166)</f>
        <v>-4.1061410553647795</v>
      </c>
      <c r="G166" s="55"/>
      <c r="H166" s="166" cm="1">
        <f t="array" ref="H166">RANK(I166,I3:I204)</f>
        <v>139</v>
      </c>
      <c r="I166" s="167" cm="1">
        <f t="array" ref="I166">VLOOKUP(A166,'Standard Deviations'!A1:C672,3,FALSE)</f>
        <v>-3.5392901408472253</v>
      </c>
      <c r="J166" s="167" cm="1">
        <f t="array" ref="J166">I166-VLOOKUP(B$2,H1:J204,2,FALSE)</f>
        <v>-4.1061410553647795</v>
      </c>
    </row>
    <row r="167" spans="1:10" ht="21.25" customHeight="1" x14ac:dyDescent="0.15">
      <c r="A167" s="10" t="s">
        <v>517</v>
      </c>
      <c r="B167" s="172" t="str" cm="1">
        <f t="array" ref="B167">VLOOKUP(A167,'The List'!B1:D671,3,FALSE)</f>
        <v>D</v>
      </c>
      <c r="C167" s="173" cm="1">
        <f t="array" ref="C167">IF(Settings!$E$15="POINTS",RANK(E167,E3:E204),H167)</f>
        <v>175</v>
      </c>
      <c r="D167" s="18" t="str" cm="1">
        <f t="array" ref="D167">VLOOKUP(A167,'The List'!B1:F671,5,FALSE)</f>
        <v>STL</v>
      </c>
      <c r="E167" s="55" cm="1">
        <f t="array" ref="E167">VLOOKUP(A167,'The List'!B1:I671,8,FALSE)</f>
        <v>-4.7007576638716095</v>
      </c>
      <c r="F167" s="55" cm="1">
        <f t="array" ref="F167">IF(Settings!$E$15="POINTS",E167-VLOOKUP(B$2,C1:E204,3,FALSE),J167)</f>
        <v>-5.2676085783891642</v>
      </c>
      <c r="G167" s="55"/>
      <c r="H167" s="166" cm="1">
        <f t="array" ref="H167">RANK(I167,I3:I204)</f>
        <v>175</v>
      </c>
      <c r="I167" s="167" cm="1">
        <f t="array" ref="I167">VLOOKUP(A167,'Standard Deviations'!A1:C672,3,FALSE)</f>
        <v>-4.7007576638716095</v>
      </c>
      <c r="J167" s="167" cm="1">
        <f t="array" ref="J167">I167-VLOOKUP(B$2,H1:J204,2,FALSE)</f>
        <v>-5.2676085783891642</v>
      </c>
    </row>
    <row r="168" spans="1:10" ht="21.25" customHeight="1" x14ac:dyDescent="0.15">
      <c r="A168" s="10" t="s">
        <v>520</v>
      </c>
      <c r="B168" s="172" t="str" cm="1">
        <f t="array" ref="B168">VLOOKUP(A168,'The List'!B1:D671,3,FALSE)</f>
        <v>D</v>
      </c>
      <c r="C168" s="173" cm="1">
        <f t="array" ref="C168">IF(Settings!$E$15="POINTS",RANK(E168,E3:E204),H168)</f>
        <v>187</v>
      </c>
      <c r="D168" s="18" t="str" cm="1">
        <f t="array" ref="D168">VLOOKUP(A168,'The List'!B1:F671,5,FALSE)</f>
        <v>TOR</v>
      </c>
      <c r="E168" s="55" cm="1">
        <f t="array" ref="E168">VLOOKUP(A168,'The List'!B1:I671,8,FALSE)</f>
        <v>-5.130382523126487</v>
      </c>
      <c r="F168" s="55" cm="1">
        <f t="array" ref="F168">IF(Settings!$E$15="POINTS",E168-VLOOKUP(B$2,C1:E204,3,FALSE),J168)</f>
        <v>-5.6972334376440417</v>
      </c>
      <c r="G168" s="55"/>
      <c r="H168" s="166" cm="1">
        <f t="array" ref="H168">RANK(I168,I3:I204)</f>
        <v>187</v>
      </c>
      <c r="I168" s="167" cm="1">
        <f t="array" ref="I168">VLOOKUP(A168,'Standard Deviations'!A1:C672,3,FALSE)</f>
        <v>-5.130382523126487</v>
      </c>
      <c r="J168" s="167" cm="1">
        <f t="array" ref="J168">I168-VLOOKUP(B$2,H1:J204,2,FALSE)</f>
        <v>-5.6972334376440417</v>
      </c>
    </row>
    <row r="169" spans="1:10" ht="21.25" customHeight="1" x14ac:dyDescent="0.15">
      <c r="A169" s="10" t="s">
        <v>522</v>
      </c>
      <c r="B169" s="172" t="str" cm="1">
        <f t="array" ref="B169">VLOOKUP(A169,'The List'!B1:D671,3,FALSE)</f>
        <v>D</v>
      </c>
      <c r="C169" s="173" cm="1">
        <f t="array" ref="C169">IF(Settings!$E$15="POINTS",RANK(E169,E3:E204),H169)</f>
        <v>146</v>
      </c>
      <c r="D169" s="18" t="str" cm="1">
        <f t="array" ref="D169">VLOOKUP(A169,'The List'!B1:F671,5,FALSE)</f>
        <v>BOS</v>
      </c>
      <c r="E169" s="55" cm="1">
        <f t="array" ref="E169">VLOOKUP(A169,'The List'!B1:I671,8,FALSE)</f>
        <v>-3.6390183272006285</v>
      </c>
      <c r="F169" s="55" cm="1">
        <f t="array" ref="F169">IF(Settings!$E$15="POINTS",E169-VLOOKUP(B$2,C1:E204,3,FALSE),J169)</f>
        <v>-4.2058692417181831</v>
      </c>
      <c r="G169" s="55"/>
      <c r="H169" s="166" cm="1">
        <f t="array" ref="H169">RANK(I169,I3:I204)</f>
        <v>146</v>
      </c>
      <c r="I169" s="167" cm="1">
        <f t="array" ref="I169">VLOOKUP(A169,'Standard Deviations'!A1:C672,3,FALSE)</f>
        <v>-3.6390183272006285</v>
      </c>
      <c r="J169" s="167" cm="1">
        <f t="array" ref="J169">I169-VLOOKUP(B$2,H1:J204,2,FALSE)</f>
        <v>-4.2058692417181831</v>
      </c>
    </row>
    <row r="170" spans="1:10" ht="21.25" customHeight="1" x14ac:dyDescent="0.15">
      <c r="A170" s="10" t="s">
        <v>523</v>
      </c>
      <c r="B170" s="172" t="str" cm="1">
        <f t="array" ref="B170">VLOOKUP(A170,'The List'!B1:D671,3,FALSE)</f>
        <v>D</v>
      </c>
      <c r="C170" s="173" cm="1">
        <f t="array" ref="C170">IF(Settings!$E$15="POINTS",RANK(E170,E3:E204),H170)</f>
        <v>121</v>
      </c>
      <c r="D170" s="18" t="str" cm="1">
        <f t="array" ref="D170">VLOOKUP(A170,'The List'!B1:F671,5,FALSE)</f>
        <v>EDM</v>
      </c>
      <c r="E170" s="55" cm="1">
        <f t="array" ref="E170">VLOOKUP(A170,'The List'!B1:I671,8,FALSE)</f>
        <v>-2.9451739568244015</v>
      </c>
      <c r="F170" s="55" cm="1">
        <f t="array" ref="F170">IF(Settings!$E$15="POINTS",E170-VLOOKUP(B$2,C1:E204,3,FALSE),J170)</f>
        <v>-3.5120248713419562</v>
      </c>
      <c r="G170" s="55"/>
      <c r="H170" s="166" cm="1">
        <f t="array" ref="H170">RANK(I170,I3:I204)</f>
        <v>121</v>
      </c>
      <c r="I170" s="167" cm="1">
        <f t="array" ref="I170">VLOOKUP(A170,'Standard Deviations'!A1:C672,3,FALSE)</f>
        <v>-2.9451739568244015</v>
      </c>
      <c r="J170" s="167" cm="1">
        <f t="array" ref="J170">I170-VLOOKUP(B$2,H1:J204,2,FALSE)</f>
        <v>-3.5120248713419562</v>
      </c>
    </row>
    <row r="171" spans="1:10" ht="21.25" customHeight="1" x14ac:dyDescent="0.15">
      <c r="A171" s="10" t="s">
        <v>525</v>
      </c>
      <c r="B171" s="172" t="str" cm="1">
        <f t="array" ref="B171">VLOOKUP(A171,'The List'!B1:D671,3,FALSE)</f>
        <v>D</v>
      </c>
      <c r="C171" s="173" cm="1">
        <f t="array" ref="C171">IF(Settings!$E$15="POINTS",RANK(E171,E3:E204),H171)</f>
        <v>124</v>
      </c>
      <c r="D171" s="18" t="str" cm="1">
        <f t="array" ref="D171">VLOOKUP(A171,'The List'!B1:F671,5,FALSE)</f>
        <v>DAL</v>
      </c>
      <c r="E171" s="55" cm="1">
        <f t="array" ref="E171">VLOOKUP(A171,'The List'!B1:I671,8,FALSE)</f>
        <v>-3.043051253406885</v>
      </c>
      <c r="F171" s="55" cm="1">
        <f t="array" ref="F171">IF(Settings!$E$15="POINTS",E171-VLOOKUP(B$2,C1:E204,3,FALSE),J171)</f>
        <v>-3.6099021679244396</v>
      </c>
      <c r="G171" s="55"/>
      <c r="H171" s="166" cm="1">
        <f t="array" ref="H171">RANK(I171,I3:I204)</f>
        <v>124</v>
      </c>
      <c r="I171" s="167" cm="1">
        <f t="array" ref="I171">VLOOKUP(A171,'Standard Deviations'!A1:C672,3,FALSE)</f>
        <v>-3.043051253406885</v>
      </c>
      <c r="J171" s="167" cm="1">
        <f t="array" ref="J171">I171-VLOOKUP(B$2,H1:J204,2,FALSE)</f>
        <v>-3.6099021679244396</v>
      </c>
    </row>
    <row r="172" spans="1:10" ht="21.25" customHeight="1" x14ac:dyDescent="0.15">
      <c r="A172" s="10" t="s">
        <v>526</v>
      </c>
      <c r="B172" s="172" t="str" cm="1">
        <f t="array" ref="B172">VLOOKUP(A172,'The List'!B1:D671,3,FALSE)</f>
        <v>D</v>
      </c>
      <c r="C172" s="173" cm="1">
        <f t="array" ref="C172">IF(Settings!$E$15="POINTS",RANK(E172,E3:E204),H172)</f>
        <v>190</v>
      </c>
      <c r="D172" s="18" t="str" cm="1">
        <f t="array" ref="D172">VLOOKUP(A172,'The List'!B1:F671,5,FALSE)</f>
        <v>PIT</v>
      </c>
      <c r="E172" s="55" cm="1">
        <f t="array" ref="E172">VLOOKUP(A172,'The List'!B1:I671,8,FALSE)</f>
        <v>-5.3182921483823593</v>
      </c>
      <c r="F172" s="55" cm="1">
        <f t="array" ref="F172">IF(Settings!$E$15="POINTS",E172-VLOOKUP(B$2,C1:E204,3,FALSE),J172)</f>
        <v>-5.885143062899914</v>
      </c>
      <c r="G172" s="55"/>
      <c r="H172" s="166" cm="1">
        <f t="array" ref="H172">RANK(I172,I3:I204)</f>
        <v>190</v>
      </c>
      <c r="I172" s="167" cm="1">
        <f t="array" ref="I172">VLOOKUP(A172,'Standard Deviations'!A1:C672,3,FALSE)</f>
        <v>-5.3182921483823593</v>
      </c>
      <c r="J172" s="167" cm="1">
        <f t="array" ref="J172">I172-VLOOKUP(B$2,H1:J204,2,FALSE)</f>
        <v>-5.885143062899914</v>
      </c>
    </row>
    <row r="173" spans="1:10" ht="21.25" customHeight="1" x14ac:dyDescent="0.15">
      <c r="A173" s="10" t="s">
        <v>534</v>
      </c>
      <c r="B173" s="172" t="str" cm="1">
        <f t="array" ref="B173">VLOOKUP(A173,'The List'!B1:D671,3,FALSE)</f>
        <v>D</v>
      </c>
      <c r="C173" s="173" cm="1">
        <f t="array" ref="C173">IF(Settings!$E$15="POINTS",RANK(E173,E3:E204),H173)</f>
        <v>115</v>
      </c>
      <c r="D173" s="18" t="str" cm="1">
        <f t="array" ref="D173">VLOOKUP(A173,'The List'!B1:F671,5,FALSE)</f>
        <v>VGK</v>
      </c>
      <c r="E173" s="55" cm="1">
        <f t="array" ref="E173">VLOOKUP(A173,'The List'!B1:I671,8,FALSE)</f>
        <v>-2.7823816098331582</v>
      </c>
      <c r="F173" s="55" cm="1">
        <f t="array" ref="F173">IF(Settings!$E$15="POINTS",E173-VLOOKUP(B$2,C1:E204,3,FALSE),J173)</f>
        <v>-3.3492325243507128</v>
      </c>
      <c r="G173" s="55"/>
      <c r="H173" s="166" cm="1">
        <f t="array" ref="H173">RANK(I173,I3:I204)</f>
        <v>115</v>
      </c>
      <c r="I173" s="167" cm="1">
        <f t="array" ref="I173">VLOOKUP(A173,'Standard Deviations'!A1:C672,3,FALSE)</f>
        <v>-2.7823816098331582</v>
      </c>
      <c r="J173" s="167" cm="1">
        <f t="array" ref="J173">I173-VLOOKUP(B$2,H1:J204,2,FALSE)</f>
        <v>-3.3492325243507128</v>
      </c>
    </row>
    <row r="174" spans="1:10" ht="21.25" customHeight="1" x14ac:dyDescent="0.15">
      <c r="A174" s="10" t="s">
        <v>536</v>
      </c>
      <c r="B174" s="172" t="str" cm="1">
        <f t="array" ref="B174">VLOOKUP(A174,'The List'!B1:D671,3,FALSE)</f>
        <v>D</v>
      </c>
      <c r="C174" s="173" cm="1">
        <f t="array" ref="C174">IF(Settings!$E$15="POINTS",RANK(E174,E3:E204),H174)</f>
        <v>184</v>
      </c>
      <c r="D174" s="18" t="str" cm="1">
        <f t="array" ref="D174">VLOOKUP(A174,'The List'!B1:F671,5,FALSE)</f>
        <v>SEA</v>
      </c>
      <c r="E174" s="55" cm="1">
        <f t="array" ref="E174">VLOOKUP(A174,'The List'!B1:I671,8,FALSE)</f>
        <v>-5.0490589515351374</v>
      </c>
      <c r="F174" s="55" cm="1">
        <f t="array" ref="F174">IF(Settings!$E$15="POINTS",E174-VLOOKUP(B$2,C1:E204,3,FALSE),J174)</f>
        <v>-5.615909866052692</v>
      </c>
      <c r="G174" s="55"/>
      <c r="H174" s="166" cm="1">
        <f t="array" ref="H174">RANK(I174,I3:I204)</f>
        <v>184</v>
      </c>
      <c r="I174" s="167" cm="1">
        <f t="array" ref="I174">VLOOKUP(A174,'Standard Deviations'!A1:C672,3,FALSE)</f>
        <v>-5.0490589515351374</v>
      </c>
      <c r="J174" s="167" cm="1">
        <f t="array" ref="J174">I174-VLOOKUP(B$2,H1:J204,2,FALSE)</f>
        <v>-5.615909866052692</v>
      </c>
    </row>
    <row r="175" spans="1:10" ht="21.25" customHeight="1" x14ac:dyDescent="0.15">
      <c r="A175" s="10" t="s">
        <v>543</v>
      </c>
      <c r="B175" s="172" t="str" cm="1">
        <f t="array" ref="B175">VLOOKUP(A175,'The List'!B1:D671,3,FALSE)</f>
        <v>D</v>
      </c>
      <c r="C175" s="173" cm="1">
        <f t="array" ref="C175">IF(Settings!$E$15="POINTS",RANK(E175,E3:E204),H175)</f>
        <v>54</v>
      </c>
      <c r="D175" s="18" t="str" cm="1">
        <f t="array" ref="D175">VLOOKUP(A175,'The List'!B1:F671,5,FALSE)</f>
        <v>VGK</v>
      </c>
      <c r="E175" s="55" cm="1">
        <f t="array" ref="E175">VLOOKUP(A175,'The List'!B1:I671,8,FALSE)</f>
        <v>-0.66325562539959382</v>
      </c>
      <c r="F175" s="55" cm="1">
        <f t="array" ref="F175">IF(Settings!$E$15="POINTS",E175-VLOOKUP(B$2,C1:E204,3,FALSE),J175)</f>
        <v>-1.2301065399171482</v>
      </c>
      <c r="G175" s="55"/>
      <c r="H175" s="166" cm="1">
        <f t="array" ref="H175">RANK(I175,I3:I204)</f>
        <v>54</v>
      </c>
      <c r="I175" s="167" cm="1">
        <f t="array" ref="I175">VLOOKUP(A175,'Standard Deviations'!A1:C672,3,FALSE)</f>
        <v>-0.66325562539959382</v>
      </c>
      <c r="J175" s="167" cm="1">
        <f t="array" ref="J175">I175-VLOOKUP(B$2,H1:J204,2,FALSE)</f>
        <v>-1.2301065399171482</v>
      </c>
    </row>
    <row r="176" spans="1:10" ht="21.25" customHeight="1" x14ac:dyDescent="0.15">
      <c r="A176" s="10" t="s">
        <v>544</v>
      </c>
      <c r="B176" s="172" t="str" cm="1">
        <f t="array" ref="B176">VLOOKUP(A176,'The List'!B1:D671,3,FALSE)</f>
        <v>D</v>
      </c>
      <c r="C176" s="173" cm="1">
        <f t="array" ref="C176">IF(Settings!$E$15="POINTS",RANK(E176,E3:E204),H176)</f>
        <v>176</v>
      </c>
      <c r="D176" s="18" t="str" cm="1">
        <f t="array" ref="D176">VLOOKUP(A176,'The List'!B1:F671,5,FALSE)</f>
        <v>MIN</v>
      </c>
      <c r="E176" s="55" cm="1">
        <f t="array" ref="E176">VLOOKUP(A176,'The List'!B1:I671,8,FALSE)</f>
        <v>-4.7426470702377612</v>
      </c>
      <c r="F176" s="55" cm="1">
        <f t="array" ref="F176">IF(Settings!$E$15="POINTS",E176-VLOOKUP(B$2,C1:E204,3,FALSE),J176)</f>
        <v>-5.3094979847553159</v>
      </c>
      <c r="G176" s="55"/>
      <c r="H176" s="166" cm="1">
        <f t="array" ref="H176">RANK(I176,I3:I204)</f>
        <v>176</v>
      </c>
      <c r="I176" s="167" cm="1">
        <f t="array" ref="I176">VLOOKUP(A176,'Standard Deviations'!A1:C672,3,FALSE)</f>
        <v>-4.7426470702377612</v>
      </c>
      <c r="J176" s="167" cm="1">
        <f t="array" ref="J176">I176-VLOOKUP(B$2,H1:J204,2,FALSE)</f>
        <v>-5.3094979847553159</v>
      </c>
    </row>
    <row r="177" spans="1:10" ht="21.25" customHeight="1" x14ac:dyDescent="0.15">
      <c r="A177" s="10" t="s">
        <v>546</v>
      </c>
      <c r="B177" s="172" t="str" cm="1">
        <f t="array" ref="B177">VLOOKUP(A177,'The List'!B1:D671,3,FALSE)</f>
        <v>D</v>
      </c>
      <c r="C177" s="173" cm="1">
        <f t="array" ref="C177">IF(Settings!$E$15="POINTS",RANK(E177,E3:E204),H177)</f>
        <v>132</v>
      </c>
      <c r="D177" s="18" t="str" cm="1">
        <f t="array" ref="D177">VLOOKUP(A177,'The List'!B1:F671,5,FALSE)</f>
        <v>WPG</v>
      </c>
      <c r="E177" s="55" cm="1">
        <f t="array" ref="E177">VLOOKUP(A177,'The List'!B1:I671,8,FALSE)</f>
        <v>-3.3267757502475486</v>
      </c>
      <c r="F177" s="55" cm="1">
        <f t="array" ref="F177">IF(Settings!$E$15="POINTS",E177-VLOOKUP(B$2,C1:E204,3,FALSE),J177)</f>
        <v>-3.8936266647651028</v>
      </c>
      <c r="G177" s="55"/>
      <c r="H177" s="166" cm="1">
        <f t="array" ref="H177">RANK(I177,I3:I204)</f>
        <v>132</v>
      </c>
      <c r="I177" s="167" cm="1">
        <f t="array" ref="I177">VLOOKUP(A177,'Standard Deviations'!A1:C672,3,FALSE)</f>
        <v>-3.3267757502475486</v>
      </c>
      <c r="J177" s="167" cm="1">
        <f t="array" ref="J177">I177-VLOOKUP(B$2,H1:J204,2,FALSE)</f>
        <v>-3.8936266647651028</v>
      </c>
    </row>
    <row r="178" spans="1:10" ht="21.25" customHeight="1" x14ac:dyDescent="0.15">
      <c r="A178" s="10" t="s">
        <v>548</v>
      </c>
      <c r="B178" s="172" t="str" cm="1">
        <f t="array" ref="B178">VLOOKUP(A178,'The List'!B1:D671,3,FALSE)</f>
        <v>D</v>
      </c>
      <c r="C178" s="173" cm="1">
        <f t="array" ref="C178">IF(Settings!$E$15="POINTS",RANK(E178,E3:E204),H178)</f>
        <v>191</v>
      </c>
      <c r="D178" s="18" t="str" cm="1">
        <f t="array" ref="D178">VLOOKUP(A178,'The List'!B1:F671,5,FALSE)</f>
        <v>CGY</v>
      </c>
      <c r="E178" s="55" cm="1">
        <f t="array" ref="E178">VLOOKUP(A178,'The List'!B1:I671,8,FALSE)</f>
        <v>-5.3463622590746169</v>
      </c>
      <c r="F178" s="55" cm="1">
        <f t="array" ref="F178">IF(Settings!$E$15="POINTS",E178-VLOOKUP(B$2,C1:E204,3,FALSE),J178)</f>
        <v>-5.9132131735921716</v>
      </c>
      <c r="G178" s="55"/>
      <c r="H178" s="166" cm="1">
        <f t="array" ref="H178">RANK(I178,I3:I204)</f>
        <v>191</v>
      </c>
      <c r="I178" s="167" cm="1">
        <f t="array" ref="I178">VLOOKUP(A178,'Standard Deviations'!A1:C672,3,FALSE)</f>
        <v>-5.3463622590746169</v>
      </c>
      <c r="J178" s="167" cm="1">
        <f t="array" ref="J178">I178-VLOOKUP(B$2,H1:J204,2,FALSE)</f>
        <v>-5.9132131735921716</v>
      </c>
    </row>
    <row r="179" spans="1:10" ht="21.25" customHeight="1" x14ac:dyDescent="0.15">
      <c r="A179" s="10" t="s">
        <v>549</v>
      </c>
      <c r="B179" s="172" t="str" cm="1">
        <f t="array" ref="B179">VLOOKUP(A179,'The List'!B1:D671,3,FALSE)</f>
        <v>D</v>
      </c>
      <c r="C179" s="173" cm="1">
        <f t="array" ref="C179">IF(Settings!$E$15="POINTS",RANK(E179,E3:E204),H179)</f>
        <v>120</v>
      </c>
      <c r="D179" s="18" t="str" cm="1">
        <f t="array" ref="D179">VLOOKUP(A179,'The List'!B1:F671,5,FALSE)</f>
        <v>FLA</v>
      </c>
      <c r="E179" s="55" cm="1">
        <f t="array" ref="E179">VLOOKUP(A179,'The List'!B1:I671,8,FALSE)</f>
        <v>-2.9027931141239889</v>
      </c>
      <c r="F179" s="55" cm="1">
        <f t="array" ref="F179">IF(Settings!$E$15="POINTS",E179-VLOOKUP(B$2,C1:E204,3,FALSE),J179)</f>
        <v>-3.4696440286415431</v>
      </c>
      <c r="G179" s="55"/>
      <c r="H179" s="166" cm="1">
        <f t="array" ref="H179">RANK(I179,I3:I204)</f>
        <v>120</v>
      </c>
      <c r="I179" s="167" cm="1">
        <f t="array" ref="I179">VLOOKUP(A179,'Standard Deviations'!A1:C672,3,FALSE)</f>
        <v>-2.9027931141239889</v>
      </c>
      <c r="J179" s="167" cm="1">
        <f t="array" ref="J179">I179-VLOOKUP(B$2,H1:J204,2,FALSE)</f>
        <v>-3.4696440286415431</v>
      </c>
    </row>
    <row r="180" spans="1:10" ht="21.25" customHeight="1" x14ac:dyDescent="0.15">
      <c r="A180" s="10" t="s">
        <v>550</v>
      </c>
      <c r="B180" s="172" t="str" cm="1">
        <f t="array" ref="B180">VLOOKUP(A180,'The List'!B1:D671,3,FALSE)</f>
        <v>D</v>
      </c>
      <c r="C180" s="173" cm="1">
        <f t="array" ref="C180">IF(Settings!$E$15="POINTS",RANK(E180,E3:E204),H180)</f>
        <v>172</v>
      </c>
      <c r="D180" s="18" t="str" cm="1">
        <f t="array" ref="D180">VLOOKUP(A180,'The List'!B1:F671,5,FALSE)</f>
        <v>BOS</v>
      </c>
      <c r="E180" s="55" cm="1">
        <f t="array" ref="E180">VLOOKUP(A180,'The List'!B1:I671,8,FALSE)</f>
        <v>-4.5985923740121422</v>
      </c>
      <c r="F180" s="55" cm="1">
        <f t="array" ref="F180">IF(Settings!$E$15="POINTS",E180-VLOOKUP(B$2,C1:E204,3,FALSE),J180)</f>
        <v>-5.1654432885296968</v>
      </c>
      <c r="G180" s="55"/>
      <c r="H180" s="166" cm="1">
        <f t="array" ref="H180">RANK(I180,I3:I204)</f>
        <v>172</v>
      </c>
      <c r="I180" s="167" cm="1">
        <f t="array" ref="I180">VLOOKUP(A180,'Standard Deviations'!A1:C672,3,FALSE)</f>
        <v>-4.5985923740121422</v>
      </c>
      <c r="J180" s="167" cm="1">
        <f t="array" ref="J180">I180-VLOOKUP(B$2,H1:J204,2,FALSE)</f>
        <v>-5.1654432885296968</v>
      </c>
    </row>
    <row r="181" spans="1:10" ht="21.25" customHeight="1" x14ac:dyDescent="0.15">
      <c r="A181" s="10" t="s">
        <v>554</v>
      </c>
      <c r="B181" s="172" t="str" cm="1">
        <f t="array" ref="B181">VLOOKUP(A181,'The List'!B1:D671,3,FALSE)</f>
        <v>D</v>
      </c>
      <c r="C181" s="173" cm="1">
        <f t="array" ref="C181">IF(Settings!$E$15="POINTS",RANK(E181,E3:E204),H181)</f>
        <v>138</v>
      </c>
      <c r="D181" s="18" t="str" cm="1">
        <f t="array" ref="D181">VLOOKUP(A181,'The List'!B1:F671,5,FALSE)</f>
        <v>STL</v>
      </c>
      <c r="E181" s="55" cm="1">
        <f t="array" ref="E181">VLOOKUP(A181,'The List'!B1:I671,8,FALSE)</f>
        <v>-3.5042815135397039</v>
      </c>
      <c r="F181" s="55" cm="1">
        <f t="array" ref="F181">IF(Settings!$E$15="POINTS",E181-VLOOKUP(B$2,C1:E204,3,FALSE),J181)</f>
        <v>-4.0711324280572585</v>
      </c>
      <c r="G181" s="55"/>
      <c r="H181" s="166" cm="1">
        <f t="array" ref="H181">RANK(I181,I3:I204)</f>
        <v>138</v>
      </c>
      <c r="I181" s="167" cm="1">
        <f t="array" ref="I181">VLOOKUP(A181,'Standard Deviations'!A1:C672,3,FALSE)</f>
        <v>-3.5042815135397039</v>
      </c>
      <c r="J181" s="167" cm="1">
        <f t="array" ref="J181">I181-VLOOKUP(B$2,H1:J204,2,FALSE)</f>
        <v>-4.0711324280572585</v>
      </c>
    </row>
    <row r="182" spans="1:10" ht="21.25" customHeight="1" x14ac:dyDescent="0.15">
      <c r="A182" s="10" t="s">
        <v>556</v>
      </c>
      <c r="B182" s="172" t="str" cm="1">
        <f t="array" ref="B182">VLOOKUP(A182,'The List'!B1:D671,3,FALSE)</f>
        <v>D</v>
      </c>
      <c r="C182" s="173" cm="1">
        <f t="array" ref="C182">IF(Settings!$E$15="POINTS",RANK(E182,E3:E204),H182)</f>
        <v>188</v>
      </c>
      <c r="D182" s="18" t="str" cm="1">
        <f t="array" ref="D182">VLOOKUP(A182,'The List'!B1:F671,5,FALSE)</f>
        <v>DET</v>
      </c>
      <c r="E182" s="55" cm="1">
        <f t="array" ref="E182">VLOOKUP(A182,'The List'!B1:I671,8,FALSE)</f>
        <v>-5.2725834592941077</v>
      </c>
      <c r="F182" s="55" cm="1">
        <f t="array" ref="F182">IF(Settings!$E$15="POINTS",E182-VLOOKUP(B$2,C1:E204,3,FALSE),J182)</f>
        <v>-5.8394343738116623</v>
      </c>
      <c r="G182" s="55"/>
      <c r="H182" s="166" cm="1">
        <f t="array" ref="H182">RANK(I182,I3:I204)</f>
        <v>188</v>
      </c>
      <c r="I182" s="167" cm="1">
        <f t="array" ref="I182">VLOOKUP(A182,'Standard Deviations'!A1:C672,3,FALSE)</f>
        <v>-5.2725834592941077</v>
      </c>
      <c r="J182" s="167" cm="1">
        <f t="array" ref="J182">I182-VLOOKUP(B$2,H1:J204,2,FALSE)</f>
        <v>-5.8394343738116623</v>
      </c>
    </row>
    <row r="183" spans="1:10" ht="21.25" customHeight="1" x14ac:dyDescent="0.15">
      <c r="A183" s="10" t="s">
        <v>557</v>
      </c>
      <c r="B183" s="172" t="str" cm="1">
        <f t="array" ref="B183">VLOOKUP(A183,'The List'!B1:D671,3,FALSE)</f>
        <v>D</v>
      </c>
      <c r="C183" s="173" cm="1">
        <f t="array" ref="C183">IF(Settings!$E$15="POINTS",RANK(E183,E3:E204),H183)</f>
        <v>90</v>
      </c>
      <c r="D183" s="18" t="str" cm="1">
        <f t="array" ref="D183">VLOOKUP(A183,'The List'!B1:F671,5,FALSE)</f>
        <v>T.B</v>
      </c>
      <c r="E183" s="55" cm="1">
        <f t="array" ref="E183">VLOOKUP(A183,'The List'!B1:I671,8,FALSE)</f>
        <v>-2.1172851606323126</v>
      </c>
      <c r="F183" s="55" cm="1">
        <f t="array" ref="F183">IF(Settings!$E$15="POINTS",E183-VLOOKUP(B$2,C1:E204,3,FALSE),J183)</f>
        <v>-2.6841360751498673</v>
      </c>
      <c r="G183" s="55"/>
      <c r="H183" s="166" cm="1">
        <f t="array" ref="H183">RANK(I183,I3:I204)</f>
        <v>90</v>
      </c>
      <c r="I183" s="167" cm="1">
        <f t="array" ref="I183">VLOOKUP(A183,'Standard Deviations'!A1:C672,3,FALSE)</f>
        <v>-2.1172851606323126</v>
      </c>
      <c r="J183" s="167" cm="1">
        <f t="array" ref="J183">I183-VLOOKUP(B$2,H1:J204,2,FALSE)</f>
        <v>-2.6841360751498673</v>
      </c>
    </row>
    <row r="184" spans="1:10" ht="21.25" customHeight="1" x14ac:dyDescent="0.15">
      <c r="A184" s="10" t="s">
        <v>560</v>
      </c>
      <c r="B184" s="172" t="str" cm="1">
        <f t="array" ref="B184">VLOOKUP(A184,'The List'!B1:D671,3,FALSE)</f>
        <v>D</v>
      </c>
      <c r="C184" s="173" cm="1">
        <f t="array" ref="C184">IF(Settings!$E$15="POINTS",RANK(E184,E3:E204),H184)</f>
        <v>155</v>
      </c>
      <c r="D184" s="18" t="str" cm="1">
        <f t="array" ref="D184">VLOOKUP(A184,'The List'!B1:F671,5,FALSE)</f>
        <v>EDM</v>
      </c>
      <c r="E184" s="55" cm="1">
        <f t="array" ref="E184">VLOOKUP(A184,'The List'!B1:I671,8,FALSE)</f>
        <v>-4.0093014959949658</v>
      </c>
      <c r="F184" s="55" cm="1">
        <f t="array" ref="F184">IF(Settings!$E$15="POINTS",E184-VLOOKUP(B$2,C1:E204,3,FALSE),J184)</f>
        <v>-4.5761524105125204</v>
      </c>
      <c r="G184" s="55"/>
      <c r="H184" s="166" cm="1">
        <f t="array" ref="H184">RANK(I184,I3:I204)</f>
        <v>155</v>
      </c>
      <c r="I184" s="167" cm="1">
        <f t="array" ref="I184">VLOOKUP(A184,'Standard Deviations'!A1:C672,3,FALSE)</f>
        <v>-4.0093014959949658</v>
      </c>
      <c r="J184" s="167" cm="1">
        <f t="array" ref="J184">I184-VLOOKUP(B$2,H1:J204,2,FALSE)</f>
        <v>-4.5761524105125204</v>
      </c>
    </row>
    <row r="185" spans="1:10" ht="21.25" customHeight="1" x14ac:dyDescent="0.15">
      <c r="A185" s="10" t="s">
        <v>561</v>
      </c>
      <c r="B185" s="172" t="str" cm="1">
        <f t="array" ref="B185">VLOOKUP(A185,'The List'!B1:D671,3,FALSE)</f>
        <v>D</v>
      </c>
      <c r="C185" s="173" cm="1">
        <f t="array" ref="C185">IF(Settings!$E$15="POINTS",RANK(E185,E3:E204),H185)</f>
        <v>147</v>
      </c>
      <c r="D185" s="18" t="str" cm="1">
        <f t="array" ref="D185">VLOOKUP(A185,'The List'!B1:F671,5,FALSE)</f>
        <v>TOR</v>
      </c>
      <c r="E185" s="55" cm="1">
        <f t="array" ref="E185">VLOOKUP(A185,'The List'!B1:I671,8,FALSE)</f>
        <v>-3.6805749250812316</v>
      </c>
      <c r="F185" s="55" cm="1">
        <f t="array" ref="F185">IF(Settings!$E$15="POINTS",E185-VLOOKUP(B$2,C1:E204,3,FALSE),J185)</f>
        <v>-4.2474258395987858</v>
      </c>
      <c r="G185" s="55"/>
      <c r="H185" s="166" cm="1">
        <f t="array" ref="H185">RANK(I185,I3:I204)</f>
        <v>147</v>
      </c>
      <c r="I185" s="167" cm="1">
        <f t="array" ref="I185">VLOOKUP(A185,'Standard Deviations'!A1:C672,3,FALSE)</f>
        <v>-3.6805749250812316</v>
      </c>
      <c r="J185" s="167" cm="1">
        <f t="array" ref="J185">I185-VLOOKUP(B$2,H1:J204,2,FALSE)</f>
        <v>-4.2474258395987858</v>
      </c>
    </row>
    <row r="186" spans="1:10" ht="21.25" customHeight="1" x14ac:dyDescent="0.15">
      <c r="A186" s="10" t="s">
        <v>562</v>
      </c>
      <c r="B186" s="172" t="str" cm="1">
        <f t="array" ref="B186">VLOOKUP(A186,'The List'!B1:D671,3,FALSE)</f>
        <v>D</v>
      </c>
      <c r="C186" s="173" cm="1">
        <f t="array" ref="C186">IF(Settings!$E$15="POINTS",RANK(E186,E3:E204),H186)</f>
        <v>180</v>
      </c>
      <c r="D186" s="18" t="str" cm="1">
        <f t="array" ref="D186">VLOOKUP(A186,'The List'!B1:F671,5,FALSE)</f>
        <v>NSH</v>
      </c>
      <c r="E186" s="55" cm="1">
        <f t="array" ref="E186">VLOOKUP(A186,'The List'!B1:I671,8,FALSE)</f>
        <v>-4.9116384502541814</v>
      </c>
      <c r="F186" s="55" cm="1">
        <f t="array" ref="F186">IF(Settings!$E$15="POINTS",E186-VLOOKUP(B$2,C1:E204,3,FALSE),J186)</f>
        <v>-5.4784893647717361</v>
      </c>
      <c r="G186" s="55"/>
      <c r="H186" s="166" cm="1">
        <f t="array" ref="H186">RANK(I186,I3:I204)</f>
        <v>180</v>
      </c>
      <c r="I186" s="167" cm="1">
        <f t="array" ref="I186">VLOOKUP(A186,'Standard Deviations'!A1:C672,3,FALSE)</f>
        <v>-4.9116384502541814</v>
      </c>
      <c r="J186" s="167" cm="1">
        <f t="array" ref="J186">I186-VLOOKUP(B$2,H1:J204,2,FALSE)</f>
        <v>-5.4784893647717361</v>
      </c>
    </row>
    <row r="187" spans="1:10" ht="21.25" customHeight="1" x14ac:dyDescent="0.15">
      <c r="A187" s="10" t="s">
        <v>565</v>
      </c>
      <c r="B187" s="172" t="str" cm="1">
        <f t="array" ref="B187">VLOOKUP(A187,'The List'!B1:D671,3,FALSE)</f>
        <v>D</v>
      </c>
      <c r="C187" s="173" cm="1">
        <f t="array" ref="C187">IF(Settings!$E$15="POINTS",RANK(E187,E3:E204),H187)</f>
        <v>129</v>
      </c>
      <c r="D187" s="18" t="str" cm="1">
        <f t="array" ref="D187">VLOOKUP(A187,'The List'!B1:F671,5,FALSE)</f>
        <v>PHI</v>
      </c>
      <c r="E187" s="55" cm="1">
        <f t="array" ref="E187">VLOOKUP(A187,'The List'!B1:I671,8,FALSE)</f>
        <v>-3.2029171999551891</v>
      </c>
      <c r="F187" s="55" cm="1">
        <f t="array" ref="F187">IF(Settings!$E$15="POINTS",E187-VLOOKUP(B$2,C1:E204,3,FALSE),J187)</f>
        <v>-3.7697681144727433</v>
      </c>
      <c r="G187" s="55"/>
      <c r="H187" s="166" cm="1">
        <f t="array" ref="H187">RANK(I187,I3:I204)</f>
        <v>129</v>
      </c>
      <c r="I187" s="167" cm="1">
        <f t="array" ref="I187">VLOOKUP(A187,'Standard Deviations'!A1:C672,3,FALSE)</f>
        <v>-3.2029171999551891</v>
      </c>
      <c r="J187" s="167" cm="1">
        <f t="array" ref="J187">I187-VLOOKUP(B$2,H1:J204,2,FALSE)</f>
        <v>-3.7697681144727433</v>
      </c>
    </row>
    <row r="188" spans="1:10" ht="21.25" customHeight="1" x14ac:dyDescent="0.15">
      <c r="A188" s="10" t="s">
        <v>572</v>
      </c>
      <c r="B188" s="172" t="str" cm="1">
        <f t="array" ref="B188">VLOOKUP(A188,'The List'!B1:D671,3,FALSE)</f>
        <v>D</v>
      </c>
      <c r="C188" s="173" cm="1">
        <f t="array" ref="C188">IF(Settings!$E$15="POINTS",RANK(E188,E3:E204),H188)</f>
        <v>178</v>
      </c>
      <c r="D188" s="18" t="str" cm="1">
        <f t="array" ref="D188">VLOOKUP(A188,'The List'!B1:F671,5,FALSE)</f>
        <v>DET</v>
      </c>
      <c r="E188" s="55" cm="1">
        <f t="array" ref="E188">VLOOKUP(A188,'The List'!B1:I671,8,FALSE)</f>
        <v>-4.8234548646260782</v>
      </c>
      <c r="F188" s="55" cm="1">
        <f t="array" ref="F188">IF(Settings!$E$15="POINTS",E188-VLOOKUP(B$2,C1:E204,3,FALSE),J188)</f>
        <v>-5.3903057791436328</v>
      </c>
      <c r="G188" s="55"/>
      <c r="H188" s="166" cm="1">
        <f t="array" ref="H188">RANK(I188,I3:I204)</f>
        <v>178</v>
      </c>
      <c r="I188" s="167" cm="1">
        <f t="array" ref="I188">VLOOKUP(A188,'Standard Deviations'!A1:C672,3,FALSE)</f>
        <v>-4.8234548646260782</v>
      </c>
      <c r="J188" s="167" cm="1">
        <f t="array" ref="J188">I188-VLOOKUP(B$2,H1:J204,2,FALSE)</f>
        <v>-5.3903057791436328</v>
      </c>
    </row>
    <row r="189" spans="1:10" ht="21.25" customHeight="1" x14ac:dyDescent="0.15">
      <c r="A189" s="10" t="s">
        <v>577</v>
      </c>
      <c r="B189" s="172" t="str" cm="1">
        <f t="array" ref="B189">VLOOKUP(A189,'The List'!B1:D671,3,FALSE)</f>
        <v>D</v>
      </c>
      <c r="C189" s="173" cm="1">
        <f t="array" ref="C189">IF(Settings!$E$15="POINTS",RANK(E189,E3:E204),H189)</f>
        <v>143</v>
      </c>
      <c r="D189" s="18" t="str" cm="1">
        <f t="array" ref="D189">VLOOKUP(A189,'The List'!B1:F671,5,FALSE)</f>
        <v>FLA</v>
      </c>
      <c r="E189" s="55" cm="1">
        <f t="array" ref="E189">VLOOKUP(A189,'The List'!B1:I671,8,FALSE)</f>
        <v>-3.5668148446253589</v>
      </c>
      <c r="F189" s="55" cm="1">
        <f t="array" ref="F189">IF(Settings!$E$15="POINTS",E189-VLOOKUP(B$2,C1:E204,3,FALSE),J189)</f>
        <v>-4.1336657591429136</v>
      </c>
      <c r="G189" s="55"/>
      <c r="H189" s="166" cm="1">
        <f t="array" ref="H189">RANK(I189,I3:I204)</f>
        <v>143</v>
      </c>
      <c r="I189" s="167" cm="1">
        <f t="array" ref="I189">VLOOKUP(A189,'Standard Deviations'!A1:C672,3,FALSE)</f>
        <v>-3.5668148446253589</v>
      </c>
      <c r="J189" s="167" cm="1">
        <f t="array" ref="J189">I189-VLOOKUP(B$2,H1:J204,2,FALSE)</f>
        <v>-4.1336657591429136</v>
      </c>
    </row>
    <row r="190" spans="1:10" ht="21.25" customHeight="1" x14ac:dyDescent="0.15">
      <c r="A190" s="10" t="s">
        <v>581</v>
      </c>
      <c r="B190" s="172" t="str" cm="1">
        <f t="array" ref="B190">VLOOKUP(A190,'The List'!B1:D671,3,FALSE)</f>
        <v>D</v>
      </c>
      <c r="C190" s="173" cm="1">
        <f t="array" ref="C190">IF(Settings!$E$15="POINTS",RANK(E190,E3:E204),H190)</f>
        <v>77</v>
      </c>
      <c r="D190" s="18" t="str" cm="1">
        <f t="array" ref="D190">VLOOKUP(A190,'The List'!B1:F671,5,FALSE)</f>
        <v>DAL</v>
      </c>
      <c r="E190" s="55" cm="1">
        <f t="array" ref="E190">VLOOKUP(A190,'The List'!B1:I671,8,FALSE)</f>
        <v>-1.5581484641757304</v>
      </c>
      <c r="F190" s="55" cm="1">
        <f t="array" ref="F190">IF(Settings!$E$15="POINTS",E190-VLOOKUP(B$2,C1:E204,3,FALSE),J190)</f>
        <v>-2.1249993786932846</v>
      </c>
      <c r="G190" s="55"/>
      <c r="H190" s="166" cm="1">
        <f t="array" ref="H190">RANK(I190,I3:I204)</f>
        <v>77</v>
      </c>
      <c r="I190" s="167" cm="1">
        <f t="array" ref="I190">VLOOKUP(A190,'Standard Deviations'!A1:C672,3,FALSE)</f>
        <v>-1.5581484641757304</v>
      </c>
      <c r="J190" s="167" cm="1">
        <f t="array" ref="J190">I190-VLOOKUP(B$2,H1:J204,2,FALSE)</f>
        <v>-2.1249993786932846</v>
      </c>
    </row>
    <row r="191" spans="1:10" ht="21.25" customHeight="1" x14ac:dyDescent="0.15">
      <c r="A191" s="10" t="s">
        <v>583</v>
      </c>
      <c r="B191" s="172" t="str" cm="1">
        <f t="array" ref="B191">VLOOKUP(A191,'The List'!B1:D671,3,FALSE)</f>
        <v>D</v>
      </c>
      <c r="C191" s="173" cm="1">
        <f t="array" ref="C191">IF(Settings!$E$15="POINTS",RANK(E191,E3:E204),H191)</f>
        <v>159</v>
      </c>
      <c r="D191" s="18" t="str" cm="1">
        <f t="array" ref="D191">VLOOKUP(A191,'The List'!B1:F671,5,FALSE)</f>
        <v>STL</v>
      </c>
      <c r="E191" s="55" cm="1">
        <f t="array" ref="E191">VLOOKUP(A191,'The List'!B1:I671,8,FALSE)</f>
        <v>-4.1285828603388133</v>
      </c>
      <c r="F191" s="55" cm="1">
        <f t="array" ref="F191">IF(Settings!$E$15="POINTS",E191-VLOOKUP(B$2,C1:E204,3,FALSE),J191)</f>
        <v>-4.6954337748563679</v>
      </c>
      <c r="G191" s="55"/>
      <c r="H191" s="166" cm="1">
        <f t="array" ref="H191">RANK(I191,I3:I204)</f>
        <v>159</v>
      </c>
      <c r="I191" s="167" cm="1">
        <f t="array" ref="I191">VLOOKUP(A191,'Standard Deviations'!A1:C672,3,FALSE)</f>
        <v>-4.1285828603388133</v>
      </c>
      <c r="J191" s="167" cm="1">
        <f t="array" ref="J191">I191-VLOOKUP(B$2,H1:J204,2,FALSE)</f>
        <v>-4.6954337748563679</v>
      </c>
    </row>
    <row r="192" spans="1:10" ht="21.25" customHeight="1" x14ac:dyDescent="0.15">
      <c r="A192" s="10" t="s">
        <v>586</v>
      </c>
      <c r="B192" s="172" t="str" cm="1">
        <f t="array" ref="B192">VLOOKUP(A192,'The List'!B1:D671,3,FALSE)</f>
        <v>D</v>
      </c>
      <c r="C192" s="173" cm="1">
        <f t="array" ref="C192">IF(Settings!$E$15="POINTS",RANK(E192,E3:E204),H192)</f>
        <v>186</v>
      </c>
      <c r="D192" s="18" t="str" cm="1">
        <f t="array" ref="D192">VLOOKUP(A192,'The List'!B1:F671,5,FALSE)</f>
        <v>N.J</v>
      </c>
      <c r="E192" s="55" cm="1">
        <f t="array" ref="E192">VLOOKUP(A192,'The List'!B1:I671,8,FALSE)</f>
        <v>-5.101327586024798</v>
      </c>
      <c r="F192" s="55" cm="1">
        <f t="array" ref="F192">IF(Settings!$E$15="POINTS",E192-VLOOKUP(B$2,C1:E204,3,FALSE),J192)</f>
        <v>-5.6681785005423526</v>
      </c>
      <c r="G192" s="55"/>
      <c r="H192" s="166" cm="1">
        <f t="array" ref="H192">RANK(I192,I3:I204)</f>
        <v>186</v>
      </c>
      <c r="I192" s="167" cm="1">
        <f t="array" ref="I192">VLOOKUP(A192,'Standard Deviations'!A1:C672,3,FALSE)</f>
        <v>-5.101327586024798</v>
      </c>
      <c r="J192" s="167" cm="1">
        <f t="array" ref="J192">I192-VLOOKUP(B$2,H1:J204,2,FALSE)</f>
        <v>-5.6681785005423526</v>
      </c>
    </row>
    <row r="193" spans="1:10" ht="21.25" customHeight="1" x14ac:dyDescent="0.15">
      <c r="A193" s="10" t="s">
        <v>590</v>
      </c>
      <c r="B193" s="172" t="str" cm="1">
        <f t="array" ref="B193">VLOOKUP(A193,'The List'!B1:D671,3,FALSE)</f>
        <v>D</v>
      </c>
      <c r="C193" s="173" cm="1">
        <f t="array" ref="C193">IF(Settings!$E$15="POINTS",RANK(E193,E3:E204),H193)</f>
        <v>196</v>
      </c>
      <c r="D193" s="18" t="str" cm="1">
        <f t="array" ref="D193">VLOOKUP(A193,'The List'!B1:F671,5,FALSE)</f>
        <v>NYI</v>
      </c>
      <c r="E193" s="55" cm="1">
        <f t="array" ref="E193">VLOOKUP(A193,'The List'!B1:I671,8,FALSE)</f>
        <v>-5.7111440751327702</v>
      </c>
      <c r="F193" s="55" cm="1">
        <f t="array" ref="F193">IF(Settings!$E$15="POINTS",E193-VLOOKUP(B$2,C1:E204,3,FALSE),J193)</f>
        <v>-6.2779949896503249</v>
      </c>
      <c r="G193" s="55"/>
      <c r="H193" s="166" cm="1">
        <f t="array" ref="H193">RANK(I193,I3:I204)</f>
        <v>196</v>
      </c>
      <c r="I193" s="167" cm="1">
        <f t="array" ref="I193">VLOOKUP(A193,'Standard Deviations'!A1:C672,3,FALSE)</f>
        <v>-5.7111440751327702</v>
      </c>
      <c r="J193" s="167" cm="1">
        <f t="array" ref="J193">I193-VLOOKUP(B$2,H1:J204,2,FALSE)</f>
        <v>-6.2779949896503249</v>
      </c>
    </row>
    <row r="194" spans="1:10" ht="21.25" customHeight="1" x14ac:dyDescent="0.15">
      <c r="A194" s="10" t="s">
        <v>592</v>
      </c>
      <c r="B194" s="172" t="str" cm="1">
        <f t="array" ref="B194">VLOOKUP(A194,'The List'!B1:D671,3,FALSE)</f>
        <v>D</v>
      </c>
      <c r="C194" s="173" cm="1">
        <f t="array" ref="C194">IF(Settings!$E$15="POINTS",RANK(E194,E3:E204),H194)</f>
        <v>136</v>
      </c>
      <c r="D194" s="18" t="str" cm="1">
        <f t="array" ref="D194">VLOOKUP(A194,'The List'!B1:F671,5,FALSE)</f>
        <v>WSH</v>
      </c>
      <c r="E194" s="55" cm="1">
        <f t="array" ref="E194">VLOOKUP(A194,'The List'!B1:I671,8,FALSE)</f>
        <v>-3.4560893681819307</v>
      </c>
      <c r="F194" s="55" cm="1">
        <f t="array" ref="F194">IF(Settings!$E$15="POINTS",E194-VLOOKUP(B$2,C1:E204,3,FALSE),J194)</f>
        <v>-4.0229402826994853</v>
      </c>
      <c r="G194" s="55"/>
      <c r="H194" s="166" cm="1">
        <f t="array" ref="H194">RANK(I194,I3:I204)</f>
        <v>136</v>
      </c>
      <c r="I194" s="167" cm="1">
        <f t="array" ref="I194">VLOOKUP(A194,'Standard Deviations'!A1:C672,3,FALSE)</f>
        <v>-3.4560893681819307</v>
      </c>
      <c r="J194" s="167" cm="1">
        <f t="array" ref="J194">I194-VLOOKUP(B$2,H1:J204,2,FALSE)</f>
        <v>-4.0229402826994853</v>
      </c>
    </row>
    <row r="195" spans="1:10" ht="21.25" customHeight="1" x14ac:dyDescent="0.15">
      <c r="A195" s="10" t="s">
        <v>599</v>
      </c>
      <c r="B195" s="172" t="str" cm="1">
        <f t="array" ref="B195">VLOOKUP(A195,'The List'!B1:D671,3,FALSE)</f>
        <v>D</v>
      </c>
      <c r="C195" s="173" cm="1">
        <f t="array" ref="C195">IF(Settings!$E$15="POINTS",RANK(E195,E3:E204),H195)</f>
        <v>182</v>
      </c>
      <c r="D195" s="18" t="str" cm="1">
        <f t="array" ref="D195">VLOOKUP(A195,'The List'!B1:F671,5,FALSE)</f>
        <v>PIT</v>
      </c>
      <c r="E195" s="55" cm="1">
        <f t="array" ref="E195">VLOOKUP(A195,'The List'!B1:I671,8,FALSE)</f>
        <v>-4.9774616797926976</v>
      </c>
      <c r="F195" s="55" cm="1">
        <f t="array" ref="F195">IF(Settings!$E$15="POINTS",E195-VLOOKUP(B$2,C1:E204,3,FALSE),J195)</f>
        <v>-5.5443125943102523</v>
      </c>
      <c r="G195" s="55"/>
      <c r="H195" s="166" cm="1">
        <f t="array" ref="H195">RANK(I195,I3:I204)</f>
        <v>182</v>
      </c>
      <c r="I195" s="167" cm="1">
        <f t="array" ref="I195">VLOOKUP(A195,'Standard Deviations'!A1:C672,3,FALSE)</f>
        <v>-4.9774616797926976</v>
      </c>
      <c r="J195" s="167" cm="1">
        <f t="array" ref="J195">I195-VLOOKUP(B$2,H1:J204,2,FALSE)</f>
        <v>-5.5443125943102523</v>
      </c>
    </row>
    <row r="196" spans="1:10" ht="21.25" customHeight="1" x14ac:dyDescent="0.15">
      <c r="A196" s="10" t="s">
        <v>605</v>
      </c>
      <c r="B196" s="172" t="str" cm="1">
        <f t="array" ref="B196">VLOOKUP(A196,'The List'!B1:D671,3,FALSE)</f>
        <v>D</v>
      </c>
      <c r="C196" s="173" cm="1">
        <f t="array" ref="C196">IF(Settings!$E$15="POINTS",RANK(E196,E3:E204),H196)</f>
        <v>117</v>
      </c>
      <c r="D196" s="18" t="str" cm="1">
        <f t="array" ref="D196">VLOOKUP(A196,'The List'!B1:F671,5,FALSE)</f>
        <v>MTL</v>
      </c>
      <c r="E196" s="55" cm="1">
        <f t="array" ref="E196">VLOOKUP(A196,'The List'!B1:I671,8,FALSE)</f>
        <v>-2.8424598738455358</v>
      </c>
      <c r="F196" s="55" cm="1">
        <f t="array" ref="F196">IF(Settings!$E$15="POINTS",E196-VLOOKUP(B$2,C1:E204,3,FALSE),J196)</f>
        <v>-3.40931078836309</v>
      </c>
      <c r="G196" s="55"/>
      <c r="H196" s="166" cm="1">
        <f t="array" ref="H196">RANK(I196,I3:I204)</f>
        <v>117</v>
      </c>
      <c r="I196" s="167" cm="1">
        <f t="array" ref="I196">VLOOKUP(A196,'Standard Deviations'!A1:C672,3,FALSE)</f>
        <v>-2.8424598738455358</v>
      </c>
      <c r="J196" s="167" cm="1">
        <f t="array" ref="J196">I196-VLOOKUP(B$2,H1:J204,2,FALSE)</f>
        <v>-3.40931078836309</v>
      </c>
    </row>
    <row r="197" spans="1:10" ht="21.25" customHeight="1" x14ac:dyDescent="0.15">
      <c r="A197" s="10" t="s">
        <v>607</v>
      </c>
      <c r="B197" s="172" t="str" cm="1">
        <f t="array" ref="B197">VLOOKUP(A197,'The List'!B1:D671,3,FALSE)</f>
        <v>D</v>
      </c>
      <c r="C197" s="173" cm="1">
        <f t="array" ref="C197">IF(Settings!$E$15="POINTS",RANK(E197,E3:E204),H197)</f>
        <v>183</v>
      </c>
      <c r="D197" s="18" t="str" cm="1">
        <f t="array" ref="D197">VLOOKUP(A197,'The List'!B1:F671,5,FALSE)</f>
        <v>UTA</v>
      </c>
      <c r="E197" s="55" cm="1">
        <f t="array" ref="E197">VLOOKUP(A197,'The List'!B1:I671,8,FALSE)</f>
        <v>-5.0091470068219435</v>
      </c>
      <c r="F197" s="55" cm="1">
        <f t="array" ref="F197">IF(Settings!$E$15="POINTS",E197-VLOOKUP(B$2,C1:E204,3,FALSE),J197)</f>
        <v>-5.5759979213394981</v>
      </c>
      <c r="G197" s="55"/>
      <c r="H197" s="166" cm="1">
        <f t="array" ref="H197">RANK(I197,I3:I204)</f>
        <v>183</v>
      </c>
      <c r="I197" s="167" cm="1">
        <f t="array" ref="I197">VLOOKUP(A197,'Standard Deviations'!A1:C672,3,FALSE)</f>
        <v>-5.0091470068219435</v>
      </c>
      <c r="J197" s="167" cm="1">
        <f t="array" ref="J197">I197-VLOOKUP(B$2,H1:J204,2,FALSE)</f>
        <v>-5.5759979213394981</v>
      </c>
    </row>
    <row r="198" spans="1:10" ht="21.25" customHeight="1" x14ac:dyDescent="0.15">
      <c r="A198" s="10" t="s">
        <v>611</v>
      </c>
      <c r="B198" s="172" t="str" cm="1">
        <f t="array" ref="B198">VLOOKUP(A198,'The List'!B1:D671,3,FALSE)</f>
        <v>D</v>
      </c>
      <c r="C198" s="173" cm="1">
        <f t="array" ref="C198">IF(Settings!$E$15="POINTS",RANK(E198,E3:E204),H198)</f>
        <v>171</v>
      </c>
      <c r="D198" s="18" t="str" cm="1">
        <f t="array" ref="D198">VLOOKUP(A198,'The List'!B1:F671,5,FALSE)</f>
        <v>EDM</v>
      </c>
      <c r="E198" s="55" cm="1">
        <f t="array" ref="E198">VLOOKUP(A198,'The List'!B1:I671,8,FALSE)</f>
        <v>-4.5984460916291869</v>
      </c>
      <c r="F198" s="55" cm="1">
        <f t="array" ref="F198">IF(Settings!$E$15="POINTS",E198-VLOOKUP(B$2,C1:E204,3,FALSE),J198)</f>
        <v>-5.1652970061467416</v>
      </c>
      <c r="G198" s="55"/>
      <c r="H198" s="166" cm="1">
        <f t="array" ref="H198">RANK(I198,I3:I204)</f>
        <v>171</v>
      </c>
      <c r="I198" s="167" cm="1">
        <f t="array" ref="I198">VLOOKUP(A198,'Standard Deviations'!A1:C672,3,FALSE)</f>
        <v>-4.5984460916291869</v>
      </c>
      <c r="J198" s="167" cm="1">
        <f t="array" ref="J198">I198-VLOOKUP(B$2,H1:J204,2,FALSE)</f>
        <v>-5.1652970061467416</v>
      </c>
    </row>
    <row r="199" spans="1:10" ht="21.25" customHeight="1" x14ac:dyDescent="0.15">
      <c r="A199" s="10" t="s">
        <v>619</v>
      </c>
      <c r="B199" s="172" t="str" cm="1">
        <f t="array" ref="B199">VLOOKUP(A199,'The List'!B1:D671,3,FALSE)</f>
        <v>D</v>
      </c>
      <c r="C199" s="173" cm="1">
        <f t="array" ref="C199">IF(Settings!$E$15="POINTS",RANK(E199,E3:E204),H199)</f>
        <v>156</v>
      </c>
      <c r="D199" s="18" t="str" cm="1">
        <f t="array" ref="D199">VLOOKUP(A199,'The List'!B1:F671,5,FALSE)</f>
        <v>MIN</v>
      </c>
      <c r="E199" s="55" cm="1">
        <f t="array" ref="E199">VLOOKUP(A199,'The List'!B1:I671,8,FALSE)</f>
        <v>-4.0191473225993892</v>
      </c>
      <c r="F199" s="55" cm="1">
        <f t="array" ref="F199">IF(Settings!$E$15="POINTS",E199-VLOOKUP(B$2,C1:E204,3,FALSE),J199)</f>
        <v>-4.5859982371169439</v>
      </c>
      <c r="G199" s="55"/>
      <c r="H199" s="166" cm="1">
        <f t="array" ref="H199">RANK(I199,I3:I204)</f>
        <v>156</v>
      </c>
      <c r="I199" s="167" cm="1">
        <f t="array" ref="I199">VLOOKUP(A199,'Standard Deviations'!A1:C672,3,FALSE)</f>
        <v>-4.0191473225993892</v>
      </c>
      <c r="J199" s="167" cm="1">
        <f t="array" ref="J199">I199-VLOOKUP(B$2,H1:J204,2,FALSE)</f>
        <v>-4.5859982371169439</v>
      </c>
    </row>
    <row r="200" spans="1:10" ht="21.25" customHeight="1" x14ac:dyDescent="0.15">
      <c r="A200" s="10" t="s">
        <v>620</v>
      </c>
      <c r="B200" s="172" t="str" cm="1">
        <f t="array" ref="B200">VLOOKUP(A200,'The List'!B1:D671,3,FALSE)</f>
        <v>D</v>
      </c>
      <c r="C200" s="173" cm="1">
        <f t="array" ref="C200">IF(Settings!$E$15="POINTS",RANK(E200,E3:E204),H200)</f>
        <v>181</v>
      </c>
      <c r="D200" s="18" t="str" cm="1">
        <f t="array" ref="D200">VLOOKUP(A200,'The List'!B1:F671,5,FALSE)</f>
        <v>OTT</v>
      </c>
      <c r="E200" s="55" cm="1">
        <f t="array" ref="E200">VLOOKUP(A200,'The List'!B1:I671,8,FALSE)</f>
        <v>-4.9279887841252652</v>
      </c>
      <c r="F200" s="55" cm="1">
        <f t="array" ref="F200">IF(Settings!$E$15="POINTS",E200-VLOOKUP(B$2,C1:E204,3,FALSE),J200)</f>
        <v>-5.4948396986428198</v>
      </c>
      <c r="G200" s="55"/>
      <c r="H200" s="166" cm="1">
        <f t="array" ref="H200">RANK(I200,I3:I204)</f>
        <v>181</v>
      </c>
      <c r="I200" s="167" cm="1">
        <f t="array" ref="I200">VLOOKUP(A200,'Standard Deviations'!A1:C672,3,FALSE)</f>
        <v>-4.9279887841252652</v>
      </c>
      <c r="J200" s="167" cm="1">
        <f t="array" ref="J200">I200-VLOOKUP(B$2,H1:J204,2,FALSE)</f>
        <v>-5.4948396986428198</v>
      </c>
    </row>
    <row r="201" spans="1:10" ht="21.25" customHeight="1" x14ac:dyDescent="0.15">
      <c r="A201" s="10" t="s">
        <v>623</v>
      </c>
      <c r="B201" s="172" t="str" cm="1">
        <f t="array" ref="B201">VLOOKUP(A201,'The List'!B1:D671,3,FALSE)</f>
        <v>D</v>
      </c>
      <c r="C201" s="173" cm="1">
        <f t="array" ref="C201">IF(Settings!$E$15="POINTS",RANK(E201,E3:E204),H201)</f>
        <v>195</v>
      </c>
      <c r="D201" s="18" t="str" cm="1">
        <f t="array" ref="D201">VLOOKUP(A201,'The List'!B1:F671,5,FALSE)</f>
        <v>NYR</v>
      </c>
      <c r="E201" s="55" cm="1">
        <f t="array" ref="E201">VLOOKUP(A201,'The List'!B1:I671,8,FALSE)</f>
        <v>-5.7058237436342276</v>
      </c>
      <c r="F201" s="55" cm="1">
        <f t="array" ref="F201">IF(Settings!$E$15="POINTS",E201-VLOOKUP(B$2,C1:E204,3,FALSE),J201)</f>
        <v>-6.2726746581517823</v>
      </c>
      <c r="G201" s="55"/>
      <c r="H201" s="166" cm="1">
        <f t="array" ref="H201">RANK(I201,I3:I204)</f>
        <v>195</v>
      </c>
      <c r="I201" s="167" cm="1">
        <f t="array" ref="I201">VLOOKUP(A201,'Standard Deviations'!A1:C672,3,FALSE)</f>
        <v>-5.7058237436342276</v>
      </c>
      <c r="J201" s="167" cm="1">
        <f t="array" ref="J201">I201-VLOOKUP(B$2,H1:J204,2,FALSE)</f>
        <v>-6.2726746581517823</v>
      </c>
    </row>
    <row r="202" spans="1:10" ht="21.25" customHeight="1" x14ac:dyDescent="0.15">
      <c r="A202" s="10" t="s">
        <v>629</v>
      </c>
      <c r="B202" s="172" t="str" cm="1">
        <f t="array" ref="B202">VLOOKUP(A202,'The List'!B1:D671,3,FALSE)</f>
        <v>D</v>
      </c>
      <c r="C202" s="173" cm="1">
        <f t="array" ref="C202">IF(Settings!$E$15="POINTS",RANK(E202,E3:E204),H202)</f>
        <v>199</v>
      </c>
      <c r="D202" s="18" t="str" cm="1">
        <f t="array" ref="D202">VLOOKUP(A202,'The List'!B1:F671,5,FALSE)</f>
        <v>NYI</v>
      </c>
      <c r="E202" s="55" cm="1">
        <f t="array" ref="E202">VLOOKUP(A202,'The List'!B1:I671,8,FALSE)</f>
        <v>-6.0760654005215233</v>
      </c>
      <c r="F202" s="55" cm="1">
        <f t="array" ref="F202">IF(Settings!$E$15="POINTS",E202-VLOOKUP(B$2,C1:E204,3,FALSE),J202)</f>
        <v>-6.642916315039078</v>
      </c>
      <c r="G202" s="55"/>
      <c r="H202" s="166" cm="1">
        <f t="array" ref="H202">RANK(I202,I3:I204)</f>
        <v>199</v>
      </c>
      <c r="I202" s="167" cm="1">
        <f t="array" ref="I202">VLOOKUP(A202,'Standard Deviations'!A1:C672,3,FALSE)</f>
        <v>-6.0760654005215233</v>
      </c>
      <c r="J202" s="167" cm="1">
        <f t="array" ref="J202">I202-VLOOKUP(B$2,H1:J204,2,FALSE)</f>
        <v>-6.642916315039078</v>
      </c>
    </row>
    <row r="203" spans="1:10" ht="21.25" customHeight="1" x14ac:dyDescent="0.15">
      <c r="A203" s="10" t="s">
        <v>630</v>
      </c>
      <c r="B203" s="172" t="str" cm="1">
        <f t="array" ref="B203">VLOOKUP(A203,'The List'!B1:D671,3,FALSE)</f>
        <v>D</v>
      </c>
      <c r="C203" s="173" cm="1">
        <f t="array" ref="C203">IF(Settings!$E$15="POINTS",RANK(E203,E3:E204),H203)</f>
        <v>202</v>
      </c>
      <c r="D203" s="18" t="str" cm="1">
        <f t="array" ref="D203">VLOOKUP(A203,'The List'!B1:F671,5,FALSE)</f>
        <v>CGY</v>
      </c>
      <c r="E203" s="55" cm="1">
        <f t="array" ref="E203">VLOOKUP(A203,'The List'!B1:I671,8,FALSE)</f>
        <v>-7.0892810488395632</v>
      </c>
      <c r="F203" s="55" cm="1">
        <f t="array" ref="F203">IF(Settings!$E$15="POINTS",E203-VLOOKUP(B$2,C1:E204,3,FALSE),J203)</f>
        <v>-7.6561319633571179</v>
      </c>
      <c r="G203" s="55"/>
      <c r="H203" s="166" cm="1">
        <f t="array" ref="H203">RANK(I203,I3:I204)</f>
        <v>202</v>
      </c>
      <c r="I203" s="167" cm="1">
        <f t="array" ref="I203">VLOOKUP(A203,'Standard Deviations'!A1:C672,3,FALSE)</f>
        <v>-7.0892810488395632</v>
      </c>
      <c r="J203" s="167" cm="1">
        <f t="array" ref="J203">I203-VLOOKUP(B$2,H1:J204,2,FALSE)</f>
        <v>-7.6561319633571179</v>
      </c>
    </row>
    <row r="204" spans="1:10" ht="21.25" customHeight="1" x14ac:dyDescent="0.15">
      <c r="A204" s="10" t="s">
        <v>667</v>
      </c>
      <c r="B204" s="172" t="str" cm="1">
        <f t="array" ref="B204">VLOOKUP(A204,'The List'!B1:D671,3,FALSE)</f>
        <v>D</v>
      </c>
      <c r="C204" s="173" cm="1">
        <f t="array" ref="C204">IF(Settings!$E$15="POINTS",RANK(E204,E3:E204),H204)</f>
        <v>194</v>
      </c>
      <c r="D204" s="18" t="str" cm="1">
        <f t="array" ref="D204">VLOOKUP(A204,'The List'!B1:F671,5,FALSE)</f>
        <v>CBJ</v>
      </c>
      <c r="E204" s="55" cm="1">
        <f t="array" ref="E204">VLOOKUP(A204,'The List'!B1:I671,8,FALSE)</f>
        <v>-5.67977158640746</v>
      </c>
      <c r="F204" s="55" cm="1">
        <f t="array" ref="F204">IF(Settings!$E$15="POINTS",E204-VLOOKUP(B$2,C1:E204,3,FALSE),J204)</f>
        <v>-6.2466225009250147</v>
      </c>
      <c r="G204" s="55"/>
      <c r="H204" s="166" cm="1">
        <f t="array" ref="H204">RANK(I204,I3:I204)</f>
        <v>194</v>
      </c>
      <c r="I204" s="167" cm="1">
        <f t="array" ref="I204">VLOOKUP(A204,'Standard Deviations'!A1:C672,3,FALSE)</f>
        <v>-5.67977158640746</v>
      </c>
      <c r="J204" s="167" cm="1">
        <f t="array" ref="J204">I204-VLOOKUP(B$2,H1:J204,2,FALSE)</f>
        <v>-6.2466225009250147</v>
      </c>
    </row>
  </sheetData>
  <conditionalFormatting sqref="C3:C204 H3:H204">
    <cfRule type="containsText" dxfId="11" priority="1" stopIfTrue="1" operator="containsText" text="/">
      <formula>NOT(ISERROR(FIND(UPPER("/"),UPPER(C3))))</formula>
      <formula>"/"</formula>
    </cfRule>
    <cfRule type="containsText" dxfId="10" priority="2" stopIfTrue="1" operator="containsText" text="C">
      <formula>NOT(ISERROR(FIND(UPPER("C"),UPPER(C3))))</formula>
      <formula>"C"</formula>
    </cfRule>
    <cfRule type="containsText" dxfId="9" priority="3" stopIfTrue="1" operator="containsText" text="D">
      <formula>NOT(ISERROR(FIND(UPPER("D"),UPPER(C3))))</formula>
      <formula>"D"</formula>
    </cfRule>
    <cfRule type="containsText" dxfId="8" priority="4" stopIfTrue="1" operator="containsText" text="LW">
      <formula>NOT(ISERROR(FIND(UPPER("LW"),UPPER(C3))))</formula>
      <formula>"LW"</formula>
    </cfRule>
    <cfRule type="containsText" dxfId="7" priority="5" stopIfTrue="1" operator="containsText" text="RW">
      <formula>NOT(ISERROR(FIND(UPPER("RW"),UPPER(C3))))</formula>
      <formula>"RW"</formula>
    </cfRule>
    <cfRule type="containsText" dxfId="6" priority="6" stopIfTrue="1" operator="containsText" text="G">
      <formula>NOT(ISERROR(FIND(UPPER("G"),UPPER(C3))))</formula>
      <formula>"G"</formula>
    </cfRule>
  </conditionalFormatting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66"/>
  <sheetViews>
    <sheetView showGridLines="0" workbookViewId="0">
      <pane ySplit="2" topLeftCell="A3" activePane="bottomLeft" state="frozen"/>
      <selection pane="bottomLeft"/>
    </sheetView>
  </sheetViews>
  <sheetFormatPr baseColWidth="10" defaultColWidth="8" defaultRowHeight="16.25" customHeight="1" x14ac:dyDescent="0.15"/>
  <cols>
    <col min="1" max="1" width="33" style="1" customWidth="1"/>
    <col min="2" max="2" width="7.1640625" style="1" customWidth="1"/>
    <col min="3" max="3" width="6" style="1" customWidth="1"/>
    <col min="4" max="6" width="8.33203125" style="1" customWidth="1"/>
    <col min="7" max="10" width="1.33203125" style="1" customWidth="1"/>
    <col min="11" max="11" width="8" style="1" customWidth="1"/>
    <col min="12" max="16384" width="8" style="1"/>
  </cols>
  <sheetData>
    <row r="1" spans="1:10" ht="28.25" customHeight="1" x14ac:dyDescent="0.15">
      <c r="A1" s="150" t="s">
        <v>816</v>
      </c>
      <c r="B1" s="151" t="s">
        <v>104</v>
      </c>
      <c r="C1" s="152"/>
      <c r="D1" s="4" t="s">
        <v>13</v>
      </c>
      <c r="E1" s="153" t="s">
        <v>818</v>
      </c>
      <c r="F1" s="151" t="s">
        <v>98</v>
      </c>
      <c r="G1" s="154"/>
      <c r="H1" s="155"/>
      <c r="I1" s="156" t="s">
        <v>819</v>
      </c>
      <c r="J1" s="157" t="s">
        <v>98</v>
      </c>
    </row>
    <row r="2" spans="1:10" ht="28.25" customHeight="1" x14ac:dyDescent="0.15">
      <c r="A2" s="158" t="s">
        <v>62</v>
      </c>
      <c r="B2" s="159" cm="1">
        <f t="array" ref="B2">Settings!F6</f>
        <v>21</v>
      </c>
      <c r="C2" s="160"/>
      <c r="D2" s="161"/>
      <c r="E2" s="162"/>
      <c r="F2" s="162"/>
      <c r="G2" s="162"/>
      <c r="H2" s="168"/>
      <c r="I2" s="169"/>
      <c r="J2" s="169"/>
    </row>
    <row r="3" spans="1:10" ht="21.25" customHeight="1" x14ac:dyDescent="0.15">
      <c r="A3" s="10" t="s">
        <v>149</v>
      </c>
      <c r="B3" s="140" t="str" cm="1">
        <f t="array" ref="B3">VLOOKUP(A3,'The List'!B1:D671,3,FALSE)</f>
        <v>G</v>
      </c>
      <c r="C3" s="174" cm="1">
        <f t="array" ref="C3">RANK(E3,E3:E66)</f>
        <v>2</v>
      </c>
      <c r="D3" s="18" t="str" cm="1">
        <f t="array" ref="D3">VLOOKUP(A3,'The List'!B1:F671,5,FALSE)</f>
        <v>WPG</v>
      </c>
      <c r="E3" s="55" cm="1">
        <f t="array" ref="E3">VLOOKUP(A3,'The List'!B1:I671,8,FALSE)</f>
        <v>6.6333593514752183</v>
      </c>
      <c r="F3" s="55" cm="1">
        <f t="array" ref="F3">IF(Settings!$E$15="POINTS",E3-VLOOKUP(B$2,C1:E66,3,FALSE),J3)</f>
        <v>4.5951740923515434</v>
      </c>
      <c r="G3" s="55"/>
      <c r="H3" s="170" cm="1">
        <f t="array" ref="H3">RANK(I3,I3:I66)</f>
        <v>2</v>
      </c>
      <c r="I3" s="171" cm="1">
        <f t="array" ref="I3">VLOOKUP(A3,'Standard Deviations'!A1:C672,3,FALSE)</f>
        <v>6.6333593514752183</v>
      </c>
      <c r="J3" s="171" cm="1">
        <f t="array" ref="J3">I3-VLOOKUP(B$2,H1:J66,2,FALSE)</f>
        <v>4.5951740923515434</v>
      </c>
    </row>
    <row r="4" spans="1:10" ht="21.25" customHeight="1" x14ac:dyDescent="0.15">
      <c r="A4" s="10" t="s">
        <v>151</v>
      </c>
      <c r="B4" s="140" t="str" cm="1">
        <f t="array" ref="B4">VLOOKUP(A4,'The List'!B1:D671,3,FALSE)</f>
        <v>G</v>
      </c>
      <c r="C4" s="174" cm="1">
        <f t="array" ref="C4">RANK(E4,E3:E66)</f>
        <v>1</v>
      </c>
      <c r="D4" s="18" t="str" cm="1">
        <f t="array" ref="D4">VLOOKUP(A4,'The List'!B1:F671,5,FALSE)</f>
        <v>T.B</v>
      </c>
      <c r="E4" s="55" cm="1">
        <f t="array" ref="E4">VLOOKUP(A4,'The List'!B1:I671,8,FALSE)</f>
        <v>7.7477345822871779</v>
      </c>
      <c r="F4" s="55" cm="1">
        <f t="array" ref="F4">IF(Settings!$E$15="POINTS",E4-VLOOKUP(B$2,C1:E66,3,FALSE),J4)</f>
        <v>5.7095493231635031</v>
      </c>
      <c r="G4" s="55"/>
      <c r="H4" s="166" cm="1">
        <f t="array" ref="H4">RANK(I4,I3:I66)</f>
        <v>1</v>
      </c>
      <c r="I4" s="167" cm="1">
        <f t="array" ref="I4">VLOOKUP(A4,'Standard Deviations'!A1:C672,3,FALSE)</f>
        <v>7.7477345822871779</v>
      </c>
      <c r="J4" s="167" cm="1">
        <f t="array" ref="J4">I4-VLOOKUP(B$2,H1:J66,2,FALSE)</f>
        <v>5.7095493231635031</v>
      </c>
    </row>
    <row r="5" spans="1:10" ht="21.25" customHeight="1" x14ac:dyDescent="0.15">
      <c r="A5" s="10" t="s">
        <v>164</v>
      </c>
      <c r="B5" s="140" t="str" cm="1">
        <f t="array" ref="B5">VLOOKUP(A5,'The List'!B1:D671,3,FALSE)</f>
        <v>G</v>
      </c>
      <c r="C5" s="174" cm="1">
        <f t="array" ref="C5">RANK(E5,E3:E66)</f>
        <v>3</v>
      </c>
      <c r="D5" s="18" t="str" cm="1">
        <f t="array" ref="D5">VLOOKUP(A5,'The List'!B1:F671,5,FALSE)</f>
        <v>WSH</v>
      </c>
      <c r="E5" s="55" cm="1">
        <f t="array" ref="E5">VLOOKUP(A5,'The List'!B1:I671,8,FALSE)</f>
        <v>6.5965759774192874</v>
      </c>
      <c r="F5" s="55" cm="1">
        <f t="array" ref="F5">IF(Settings!$E$15="POINTS",E5-VLOOKUP(B$2,C1:E66,3,FALSE),J5)</f>
        <v>4.5583907182956125</v>
      </c>
      <c r="G5" s="55"/>
      <c r="H5" s="166" cm="1">
        <f t="array" ref="H5">RANK(I5,I3:I66)</f>
        <v>3</v>
      </c>
      <c r="I5" s="167" cm="1">
        <f t="array" ref="I5">VLOOKUP(A5,'Standard Deviations'!A1:C672,3,FALSE)</f>
        <v>6.5965759774192874</v>
      </c>
      <c r="J5" s="167" cm="1">
        <f t="array" ref="J5">I5-VLOOKUP(B$2,H1:J66,2,FALSE)</f>
        <v>4.5583907182956125</v>
      </c>
    </row>
    <row r="6" spans="1:10" ht="21.25" customHeight="1" x14ac:dyDescent="0.15">
      <c r="A6" s="10" t="s">
        <v>170</v>
      </c>
      <c r="B6" s="140" t="str" cm="1">
        <f t="array" ref="B6">VLOOKUP(A6,'The List'!B1:D671,3,FALSE)</f>
        <v>G</v>
      </c>
      <c r="C6" s="174" cm="1">
        <f t="array" ref="C6">RANK(E6,E3:E66)</f>
        <v>5</v>
      </c>
      <c r="D6" s="18" t="str" cm="1">
        <f t="array" ref="D6">VLOOKUP(A6,'The List'!B1:F671,5,FALSE)</f>
        <v>CBJ</v>
      </c>
      <c r="E6" s="55" cm="1">
        <f t="array" ref="E6">VLOOKUP(A6,'The List'!B1:I671,8,FALSE)</f>
        <v>5.288217767424471</v>
      </c>
      <c r="F6" s="55" cm="1">
        <f t="array" ref="F6">IF(Settings!$E$15="POINTS",E6-VLOOKUP(B$2,C1:E66,3,FALSE),J6)</f>
        <v>3.2500325083007962</v>
      </c>
      <c r="G6" s="55"/>
      <c r="H6" s="166" cm="1">
        <f t="array" ref="H6">RANK(I6,I3:I66)</f>
        <v>5</v>
      </c>
      <c r="I6" s="167" cm="1">
        <f t="array" ref="I6">VLOOKUP(A6,'Standard Deviations'!A1:C672,3,FALSE)</f>
        <v>5.288217767424471</v>
      </c>
      <c r="J6" s="167" cm="1">
        <f t="array" ref="J6">I6-VLOOKUP(B$2,H1:J66,2,FALSE)</f>
        <v>3.2500325083007962</v>
      </c>
    </row>
    <row r="7" spans="1:10" ht="21.25" customHeight="1" x14ac:dyDescent="0.15">
      <c r="A7" s="10" t="s">
        <v>172</v>
      </c>
      <c r="B7" s="140" t="str" cm="1">
        <f t="array" ref="B7">VLOOKUP(A7,'The List'!B1:D671,3,FALSE)</f>
        <v>G</v>
      </c>
      <c r="C7" s="174" cm="1">
        <f t="array" ref="C7">RANK(E7,E3:E66)</f>
        <v>13</v>
      </c>
      <c r="D7" s="18" t="str" cm="1">
        <f t="array" ref="D7">VLOOKUP(A7,'The List'!B1:F671,5,FALSE)</f>
        <v>NYI</v>
      </c>
      <c r="E7" s="55" cm="1">
        <f t="array" ref="E7">VLOOKUP(A7,'The List'!B1:I671,8,FALSE)</f>
        <v>2.9349616030674901</v>
      </c>
      <c r="F7" s="55" cm="1">
        <f t="array" ref="F7">IF(Settings!$E$15="POINTS",E7-VLOOKUP(B$2,C1:E66,3,FALSE),J7)</f>
        <v>0.89677634394381522</v>
      </c>
      <c r="G7" s="55"/>
      <c r="H7" s="166" cm="1">
        <f t="array" ref="H7">RANK(I7,I3:I66)</f>
        <v>13</v>
      </c>
      <c r="I7" s="167" cm="1">
        <f t="array" ref="I7">VLOOKUP(A7,'Standard Deviations'!A1:C672,3,FALSE)</f>
        <v>2.9349616030674901</v>
      </c>
      <c r="J7" s="167" cm="1">
        <f t="array" ref="J7">I7-VLOOKUP(B$2,H1:J66,2,FALSE)</f>
        <v>0.89677634394381522</v>
      </c>
    </row>
    <row r="8" spans="1:10" ht="21.25" customHeight="1" x14ac:dyDescent="0.15">
      <c r="A8" s="10" t="s">
        <v>175</v>
      </c>
      <c r="B8" s="140" t="str" cm="1">
        <f t="array" ref="B8">VLOOKUP(A8,'The List'!B1:D671,3,FALSE)</f>
        <v>G</v>
      </c>
      <c r="C8" s="174" cm="1">
        <f t="array" ref="C8">RANK(E8,E3:E66)</f>
        <v>6</v>
      </c>
      <c r="D8" s="18" t="str" cm="1">
        <f t="array" ref="D8">VLOOKUP(A8,'The List'!B1:F671,5,FALSE)</f>
        <v>NYR</v>
      </c>
      <c r="E8" s="55" cm="1">
        <f t="array" ref="E8">VLOOKUP(A8,'The List'!B1:I671,8,FALSE)</f>
        <v>5.120665215540658</v>
      </c>
      <c r="F8" s="55" cm="1">
        <f t="array" ref="F8">IF(Settings!$E$15="POINTS",E8-VLOOKUP(B$2,C1:E66,3,FALSE),J8)</f>
        <v>3.0824799564169831</v>
      </c>
      <c r="G8" s="55"/>
      <c r="H8" s="166" cm="1">
        <f t="array" ref="H8">RANK(I8,I3:I66)</f>
        <v>6</v>
      </c>
      <c r="I8" s="167" cm="1">
        <f t="array" ref="I8">VLOOKUP(A8,'Standard Deviations'!A1:C672,3,FALSE)</f>
        <v>5.120665215540658</v>
      </c>
      <c r="J8" s="167" cm="1">
        <f t="array" ref="J8">I8-VLOOKUP(B$2,H1:J66,2,FALSE)</f>
        <v>3.0824799564169831</v>
      </c>
    </row>
    <row r="9" spans="1:10" ht="21.25" customHeight="1" x14ac:dyDescent="0.15">
      <c r="A9" s="10" t="s">
        <v>188</v>
      </c>
      <c r="B9" s="140" t="str" cm="1">
        <f t="array" ref="B9">VLOOKUP(A9,'The List'!B1:D671,3,FALSE)</f>
        <v>G</v>
      </c>
      <c r="C9" s="174" cm="1">
        <f t="array" ref="C9">RANK(E9,E3:E66)</f>
        <v>22</v>
      </c>
      <c r="D9" s="18" t="str" cm="1">
        <f t="array" ref="D9">VLOOKUP(A9,'The List'!B1:F671,5,FALSE)</f>
        <v>NSH</v>
      </c>
      <c r="E9" s="55" cm="1">
        <f t="array" ref="E9">VLOOKUP(A9,'The List'!B1:I671,8,FALSE)</f>
        <v>2.0087974554362558</v>
      </c>
      <c r="F9" s="55" cm="1">
        <f t="array" ref="F9">IF(Settings!$E$15="POINTS",E9-VLOOKUP(B$2,C1:E66,3,FALSE),J9)</f>
        <v>-2.9387803687419112E-2</v>
      </c>
      <c r="G9" s="55"/>
      <c r="H9" s="166" cm="1">
        <f t="array" ref="H9">RANK(I9,I3:I66)</f>
        <v>22</v>
      </c>
      <c r="I9" s="167" cm="1">
        <f t="array" ref="I9">VLOOKUP(A9,'Standard Deviations'!A1:C672,3,FALSE)</f>
        <v>2.0087974554362558</v>
      </c>
      <c r="J9" s="167" cm="1">
        <f t="array" ref="J9">I9-VLOOKUP(B$2,H1:J66,2,FALSE)</f>
        <v>-2.9387803687419112E-2</v>
      </c>
    </row>
    <row r="10" spans="1:10" ht="21.25" customHeight="1" x14ac:dyDescent="0.15">
      <c r="A10" s="10" t="s">
        <v>191</v>
      </c>
      <c r="B10" s="140" t="str" cm="1">
        <f t="array" ref="B10">VLOOKUP(A10,'The List'!B1:D671,3,FALSE)</f>
        <v>G</v>
      </c>
      <c r="C10" s="174" cm="1">
        <f t="array" ref="C10">RANK(E10,E3:E66)</f>
        <v>4</v>
      </c>
      <c r="D10" s="18" t="str" cm="1">
        <f t="array" ref="D10">VLOOKUP(A10,'The List'!B1:F671,5,FALSE)</f>
        <v>DAL</v>
      </c>
      <c r="E10" s="55" cm="1">
        <f t="array" ref="E10">VLOOKUP(A10,'The List'!B1:I671,8,FALSE)</f>
        <v>6.161597223886222</v>
      </c>
      <c r="F10" s="55" cm="1">
        <f t="array" ref="F10">IF(Settings!$E$15="POINTS",E10-VLOOKUP(B$2,C1:E66,3,FALSE),J10)</f>
        <v>4.1234119647625471</v>
      </c>
      <c r="G10" s="55"/>
      <c r="H10" s="166" cm="1">
        <f t="array" ref="H10">RANK(I10,I3:I66)</f>
        <v>4</v>
      </c>
      <c r="I10" s="167" cm="1">
        <f t="array" ref="I10">VLOOKUP(A10,'Standard Deviations'!A1:C672,3,FALSE)</f>
        <v>6.161597223886222</v>
      </c>
      <c r="J10" s="167" cm="1">
        <f t="array" ref="J10">I10-VLOOKUP(B$2,H1:J66,2,FALSE)</f>
        <v>4.1234119647625471</v>
      </c>
    </row>
    <row r="11" spans="1:10" ht="21.25" customHeight="1" x14ac:dyDescent="0.15">
      <c r="A11" s="10" t="s">
        <v>196</v>
      </c>
      <c r="B11" s="140" t="str" cm="1">
        <f t="array" ref="B11">VLOOKUP(A11,'The List'!B1:D671,3,FALSE)</f>
        <v>G</v>
      </c>
      <c r="C11" s="174" cm="1">
        <f t="array" ref="C11">RANK(E11,E3:E66)</f>
        <v>37</v>
      </c>
      <c r="D11" s="18" t="str" cm="1">
        <f t="array" ref="D11">VLOOKUP(A11,'The List'!B1:F671,5,FALSE)</f>
        <v>CHI</v>
      </c>
      <c r="E11" s="55" cm="1">
        <f t="array" ref="E11">VLOOKUP(A11,'The List'!B1:I671,8,FALSE)</f>
        <v>-0.90742921711536095</v>
      </c>
      <c r="F11" s="55" cm="1">
        <f t="array" ref="F11">IF(Settings!$E$15="POINTS",E11-VLOOKUP(B$2,C1:E66,3,FALSE),J11)</f>
        <v>-2.9456144762390357</v>
      </c>
      <c r="G11" s="55"/>
      <c r="H11" s="166" cm="1">
        <f t="array" ref="H11">RANK(I11,I3:I66)</f>
        <v>37</v>
      </c>
      <c r="I11" s="167" cm="1">
        <f t="array" ref="I11">VLOOKUP(A11,'Standard Deviations'!A1:C672,3,FALSE)</f>
        <v>-0.90742921711536095</v>
      </c>
      <c r="J11" s="167" cm="1">
        <f t="array" ref="J11">I11-VLOOKUP(B$2,H1:J66,2,FALSE)</f>
        <v>-2.9456144762390357</v>
      </c>
    </row>
    <row r="12" spans="1:10" ht="21.25" customHeight="1" x14ac:dyDescent="0.15">
      <c r="A12" s="10" t="s">
        <v>202</v>
      </c>
      <c r="B12" s="140" t="str" cm="1">
        <f t="array" ref="B12">VLOOKUP(A12,'The List'!B1:D671,3,FALSE)</f>
        <v>G</v>
      </c>
      <c r="C12" s="174" cm="1">
        <f t="array" ref="C12">RANK(E12,E3:E66)</f>
        <v>31</v>
      </c>
      <c r="D12" s="18" t="str" cm="1">
        <f t="array" ref="D12">VLOOKUP(A12,'The List'!B1:F671,5,FALSE)</f>
        <v>CGY</v>
      </c>
      <c r="E12" s="55" cm="1">
        <f t="array" ref="E12">VLOOKUP(A12,'The List'!B1:I671,8,FALSE)</f>
        <v>0.37234967081110837</v>
      </c>
      <c r="F12" s="55" cm="1">
        <f t="array" ref="F12">IF(Settings!$E$15="POINTS",E12-VLOOKUP(B$2,C1:E66,3,FALSE),J12)</f>
        <v>-1.6658355883125666</v>
      </c>
      <c r="G12" s="55"/>
      <c r="H12" s="166" cm="1">
        <f t="array" ref="H12">RANK(I12,I3:I66)</f>
        <v>31</v>
      </c>
      <c r="I12" s="167" cm="1">
        <f t="array" ref="I12">VLOOKUP(A12,'Standard Deviations'!A1:C672,3,FALSE)</f>
        <v>0.37234967081110837</v>
      </c>
      <c r="J12" s="167" cm="1">
        <f t="array" ref="J12">I12-VLOOKUP(B$2,H1:J66,2,FALSE)</f>
        <v>-1.6658355883125666</v>
      </c>
    </row>
    <row r="13" spans="1:10" ht="21.25" customHeight="1" x14ac:dyDescent="0.15">
      <c r="A13" s="10" t="s">
        <v>205</v>
      </c>
      <c r="B13" s="140" t="str" cm="1">
        <f t="array" ref="B13">VLOOKUP(A13,'The List'!B1:D671,3,FALSE)</f>
        <v>G</v>
      </c>
      <c r="C13" s="174" cm="1">
        <f t="array" ref="C13">RANK(E13,E3:E66)</f>
        <v>17</v>
      </c>
      <c r="D13" s="18" t="str" cm="1">
        <f t="array" ref="D13">VLOOKUP(A13,'The List'!B1:F671,5,FALSE)</f>
        <v>BOS</v>
      </c>
      <c r="E13" s="55" cm="1">
        <f t="array" ref="E13">VLOOKUP(A13,'The List'!B1:I671,8,FALSE)</f>
        <v>2.5556037601752073</v>
      </c>
      <c r="F13" s="55" cm="1">
        <f t="array" ref="F13">IF(Settings!$E$15="POINTS",E13-VLOOKUP(B$2,C1:E66,3,FALSE),J13)</f>
        <v>0.51741850105153242</v>
      </c>
      <c r="G13" s="55"/>
      <c r="H13" s="166" cm="1">
        <f t="array" ref="H13">RANK(I13,I3:I66)</f>
        <v>17</v>
      </c>
      <c r="I13" s="167" cm="1">
        <f t="array" ref="I13">VLOOKUP(A13,'Standard Deviations'!A1:C672,3,FALSE)</f>
        <v>2.5556037601752073</v>
      </c>
      <c r="J13" s="167" cm="1">
        <f t="array" ref="J13">I13-VLOOKUP(B$2,H1:J66,2,FALSE)</f>
        <v>0.51741850105153242</v>
      </c>
    </row>
    <row r="14" spans="1:10" ht="21.25" customHeight="1" x14ac:dyDescent="0.15">
      <c r="A14" s="10" t="s">
        <v>206</v>
      </c>
      <c r="B14" s="140" t="str" cm="1">
        <f t="array" ref="B14">VLOOKUP(A14,'The List'!B1:D671,3,FALSE)</f>
        <v>G</v>
      </c>
      <c r="C14" s="174" cm="1">
        <f t="array" ref="C14">RANK(E14,E3:E66)</f>
        <v>11</v>
      </c>
      <c r="D14" s="18" t="str" cm="1">
        <f t="array" ref="D14">VLOOKUP(A14,'The List'!B1:F671,5,FALSE)</f>
        <v>DET</v>
      </c>
      <c r="E14" s="55" cm="1">
        <f t="array" ref="E14">VLOOKUP(A14,'The List'!B1:I671,8,FALSE)</f>
        <v>3.4088749988588063</v>
      </c>
      <c r="F14" s="55" cm="1">
        <f t="array" ref="F14">IF(Settings!$E$15="POINTS",E14-VLOOKUP(B$2,C1:E66,3,FALSE),J14)</f>
        <v>1.3706897397351314</v>
      </c>
      <c r="G14" s="55"/>
      <c r="H14" s="166" cm="1">
        <f t="array" ref="H14">RANK(I14,I3:I66)</f>
        <v>11</v>
      </c>
      <c r="I14" s="167" cm="1">
        <f t="array" ref="I14">VLOOKUP(A14,'Standard Deviations'!A1:C672,3,FALSE)</f>
        <v>3.4088749988588063</v>
      </c>
      <c r="J14" s="167" cm="1">
        <f t="array" ref="J14">I14-VLOOKUP(B$2,H1:J66,2,FALSE)</f>
        <v>1.3706897397351314</v>
      </c>
    </row>
    <row r="15" spans="1:10" ht="21.25" customHeight="1" x14ac:dyDescent="0.15">
      <c r="A15" s="10" t="s">
        <v>216</v>
      </c>
      <c r="B15" s="140" t="str" cm="1">
        <f t="array" ref="B15">VLOOKUP(A15,'The List'!B1:D671,3,FALSE)</f>
        <v>G</v>
      </c>
      <c r="C15" s="174" cm="1">
        <f t="array" ref="C15">RANK(E15,E3:E66)</f>
        <v>15</v>
      </c>
      <c r="D15" s="18" t="str" cm="1">
        <f t="array" ref="D15">VLOOKUP(A15,'The List'!B1:F671,5,FALSE)</f>
        <v>UTA</v>
      </c>
      <c r="E15" s="55" cm="1">
        <f t="array" ref="E15">VLOOKUP(A15,'The List'!B1:I671,8,FALSE)</f>
        <v>2.6433168477645363</v>
      </c>
      <c r="F15" s="55" cm="1">
        <f t="array" ref="F15">IF(Settings!$E$15="POINTS",E15-VLOOKUP(B$2,C1:E66,3,FALSE),J15)</f>
        <v>0.60513158864086147</v>
      </c>
      <c r="G15" s="55"/>
      <c r="H15" s="166" cm="1">
        <f t="array" ref="H15">RANK(I15,I3:I66)</f>
        <v>15</v>
      </c>
      <c r="I15" s="167" cm="1">
        <f t="array" ref="I15">VLOOKUP(A15,'Standard Deviations'!A1:C672,3,FALSE)</f>
        <v>2.6433168477645363</v>
      </c>
      <c r="J15" s="167" cm="1">
        <f t="array" ref="J15">I15-VLOOKUP(B$2,H1:J66,2,FALSE)</f>
        <v>0.60513158864086147</v>
      </c>
    </row>
    <row r="16" spans="1:10" ht="21.25" customHeight="1" x14ac:dyDescent="0.15">
      <c r="A16" s="10" t="s">
        <v>222</v>
      </c>
      <c r="B16" s="140" t="str" cm="1">
        <f t="array" ref="B16">VLOOKUP(A16,'The List'!B1:D671,3,FALSE)</f>
        <v>G</v>
      </c>
      <c r="C16" s="174" cm="1">
        <f t="array" ref="C16">RANK(E16,E3:E66)</f>
        <v>33</v>
      </c>
      <c r="D16" s="18" t="str" cm="1">
        <f t="array" ref="D16">VLOOKUP(A16,'The List'!B1:F671,5,FALSE)</f>
        <v>ANA</v>
      </c>
      <c r="E16" s="55" cm="1">
        <f t="array" ref="E16">VLOOKUP(A16,'The List'!B1:I671,8,FALSE)</f>
        <v>-8.6926641361576129E-2</v>
      </c>
      <c r="F16" s="55" cm="1">
        <f t="array" ref="F16">IF(Settings!$E$15="POINTS",E16-VLOOKUP(B$2,C1:E66,3,FALSE),J16)</f>
        <v>-2.1251119004852512</v>
      </c>
      <c r="G16" s="55"/>
      <c r="H16" s="166" cm="1">
        <f t="array" ref="H16">RANK(I16,I3:I66)</f>
        <v>33</v>
      </c>
      <c r="I16" s="167" cm="1">
        <f t="array" ref="I16">VLOOKUP(A16,'Standard Deviations'!A1:C672,3,FALSE)</f>
        <v>-8.6926641361576129E-2</v>
      </c>
      <c r="J16" s="167" cm="1">
        <f t="array" ref="J16">I16-VLOOKUP(B$2,H1:J66,2,FALSE)</f>
        <v>-2.1251119004852512</v>
      </c>
    </row>
    <row r="17" spans="1:10" ht="21.25" customHeight="1" x14ac:dyDescent="0.15">
      <c r="A17" s="10" t="s">
        <v>233</v>
      </c>
      <c r="B17" s="140" t="str" cm="1">
        <f t="array" ref="B17">VLOOKUP(A17,'The List'!B1:D671,3,FALSE)</f>
        <v>G</v>
      </c>
      <c r="C17" s="174" cm="1">
        <f t="array" ref="C17">RANK(E17,E3:E66)</f>
        <v>12</v>
      </c>
      <c r="D17" s="18" t="str" cm="1">
        <f t="array" ref="D17">VLOOKUP(A17,'The List'!B1:F671,5,FALSE)</f>
        <v>MTL</v>
      </c>
      <c r="E17" s="55" cm="1">
        <f t="array" ref="E17">VLOOKUP(A17,'The List'!B1:I671,8,FALSE)</f>
        <v>3.0662169211422032</v>
      </c>
      <c r="F17" s="55" cm="1">
        <f t="array" ref="F17">IF(Settings!$E$15="POINTS",E17-VLOOKUP(B$2,C1:E66,3,FALSE),J17)</f>
        <v>1.0280316620185284</v>
      </c>
      <c r="G17" s="55"/>
      <c r="H17" s="166" cm="1">
        <f t="array" ref="H17">RANK(I17,I3:I66)</f>
        <v>12</v>
      </c>
      <c r="I17" s="167" cm="1">
        <f t="array" ref="I17">VLOOKUP(A17,'Standard Deviations'!A1:C672,3,FALSE)</f>
        <v>3.0662169211422032</v>
      </c>
      <c r="J17" s="167" cm="1">
        <f t="array" ref="J17">I17-VLOOKUP(B$2,H1:J66,2,FALSE)</f>
        <v>1.0280316620185284</v>
      </c>
    </row>
    <row r="18" spans="1:10" ht="21.25" customHeight="1" x14ac:dyDescent="0.15">
      <c r="A18" s="10" t="s">
        <v>234</v>
      </c>
      <c r="B18" s="140" t="str" cm="1">
        <f t="array" ref="B18">VLOOKUP(A18,'The List'!B1:D671,3,FALSE)</f>
        <v>G</v>
      </c>
      <c r="C18" s="174" cm="1">
        <f t="array" ref="C18">RANK(E18,E3:E66)</f>
        <v>7</v>
      </c>
      <c r="D18" s="18" t="str" cm="1">
        <f t="array" ref="D18">VLOOKUP(A18,'The List'!B1:F671,5,FALSE)</f>
        <v>COL</v>
      </c>
      <c r="E18" s="55" cm="1">
        <f t="array" ref="E18">VLOOKUP(A18,'The List'!B1:I671,8,FALSE)</f>
        <v>4.9694108017542602</v>
      </c>
      <c r="F18" s="55" cm="1">
        <f t="array" ref="F18">IF(Settings!$E$15="POINTS",E18-VLOOKUP(B$2,C1:E66,3,FALSE),J18)</f>
        <v>2.9312255426305853</v>
      </c>
      <c r="G18" s="55"/>
      <c r="H18" s="166" cm="1">
        <f t="array" ref="H18">RANK(I18,I3:I66)</f>
        <v>7</v>
      </c>
      <c r="I18" s="167" cm="1">
        <f t="array" ref="I18">VLOOKUP(A18,'Standard Deviations'!A1:C672,3,FALSE)</f>
        <v>4.9694108017542602</v>
      </c>
      <c r="J18" s="167" cm="1">
        <f t="array" ref="J18">I18-VLOOKUP(B$2,H1:J66,2,FALSE)</f>
        <v>2.9312255426305853</v>
      </c>
    </row>
    <row r="19" spans="1:10" ht="21.25" customHeight="1" x14ac:dyDescent="0.15">
      <c r="A19" s="10" t="s">
        <v>242</v>
      </c>
      <c r="B19" s="140" t="str" cm="1">
        <f t="array" ref="B19">VLOOKUP(A19,'The List'!B1:D671,3,FALSE)</f>
        <v>G</v>
      </c>
      <c r="C19" s="174" cm="1">
        <f t="array" ref="C19">RANK(E19,E3:E66)</f>
        <v>23</v>
      </c>
      <c r="D19" s="18" t="str" cm="1">
        <f t="array" ref="D19">VLOOKUP(A19,'The List'!B1:F671,5,FALSE)</f>
        <v>TOR</v>
      </c>
      <c r="E19" s="55" cm="1">
        <f t="array" ref="E19">VLOOKUP(A19,'The List'!B1:I671,8,FALSE)</f>
        <v>1.6609586641410141</v>
      </c>
      <c r="F19" s="55" cm="1">
        <f t="array" ref="F19">IF(Settings!$E$15="POINTS",E19-VLOOKUP(B$2,C1:E66,3,FALSE),J19)</f>
        <v>-0.37722659498266076</v>
      </c>
      <c r="G19" s="55"/>
      <c r="H19" s="166" cm="1">
        <f t="array" ref="H19">RANK(I19,I3:I66)</f>
        <v>23</v>
      </c>
      <c r="I19" s="167" cm="1">
        <f t="array" ref="I19">VLOOKUP(A19,'Standard Deviations'!A1:C672,3,FALSE)</f>
        <v>1.6609586641410141</v>
      </c>
      <c r="J19" s="167" cm="1">
        <f t="array" ref="J19">I19-VLOOKUP(B$2,H1:J66,2,FALSE)</f>
        <v>-0.37722659498266076</v>
      </c>
    </row>
    <row r="20" spans="1:10" ht="21.25" customHeight="1" x14ac:dyDescent="0.15">
      <c r="A20" s="10" t="s">
        <v>260</v>
      </c>
      <c r="B20" s="140" t="str" cm="1">
        <f t="array" ref="B20">VLOOKUP(A20,'The List'!B1:D671,3,FALSE)</f>
        <v>G</v>
      </c>
      <c r="C20" s="174" cm="1">
        <f t="array" ref="C20">RANK(E20,E3:E66)</f>
        <v>9</v>
      </c>
      <c r="D20" s="18" t="str" cm="1">
        <f t="array" ref="D20">VLOOKUP(A20,'The List'!B1:F671,5,FALSE)</f>
        <v>MIN</v>
      </c>
      <c r="E20" s="55" cm="1">
        <f t="array" ref="E20">VLOOKUP(A20,'The List'!B1:I671,8,FALSE)</f>
        <v>3.8485118976405497</v>
      </c>
      <c r="F20" s="55" cm="1">
        <f t="array" ref="F20">IF(Settings!$E$15="POINTS",E20-VLOOKUP(B$2,C1:E66,3,FALSE),J20)</f>
        <v>1.8103266385168748</v>
      </c>
      <c r="G20" s="55"/>
      <c r="H20" s="166" cm="1">
        <f t="array" ref="H20">RANK(I20,I3:I66)</f>
        <v>9</v>
      </c>
      <c r="I20" s="167" cm="1">
        <f t="array" ref="I20">VLOOKUP(A20,'Standard Deviations'!A1:C672,3,FALSE)</f>
        <v>3.8485118976405497</v>
      </c>
      <c r="J20" s="167" cm="1">
        <f t="array" ref="J20">I20-VLOOKUP(B$2,H1:J66,2,FALSE)</f>
        <v>1.8103266385168748</v>
      </c>
    </row>
    <row r="21" spans="1:10" ht="21.25" customHeight="1" x14ac:dyDescent="0.15">
      <c r="A21" s="10" t="s">
        <v>261</v>
      </c>
      <c r="B21" s="140" t="str" cm="1">
        <f t="array" ref="B21">VLOOKUP(A21,'The List'!B1:D671,3,FALSE)</f>
        <v>G</v>
      </c>
      <c r="C21" s="174" cm="1">
        <f t="array" ref="C21">RANK(E21,E3:E66)</f>
        <v>8</v>
      </c>
      <c r="D21" s="18" t="str" cm="1">
        <f t="array" ref="D21">VLOOKUP(A21,'The List'!B1:F671,5,FALSE)</f>
        <v>OTT</v>
      </c>
      <c r="E21" s="55" cm="1">
        <f t="array" ref="E21">VLOOKUP(A21,'The List'!B1:I671,8,FALSE)</f>
        <v>4.6379503309491881</v>
      </c>
      <c r="F21" s="55" cm="1">
        <f t="array" ref="F21">IF(Settings!$E$15="POINTS",E21-VLOOKUP(B$2,C1:E66,3,FALSE),J21)</f>
        <v>2.5997650718255132</v>
      </c>
      <c r="G21" s="55"/>
      <c r="H21" s="166" cm="1">
        <f t="array" ref="H21">RANK(I21,I3:I66)</f>
        <v>8</v>
      </c>
      <c r="I21" s="167" cm="1">
        <f t="array" ref="I21">VLOOKUP(A21,'Standard Deviations'!A1:C672,3,FALSE)</f>
        <v>4.6379503309491881</v>
      </c>
      <c r="J21" s="167" cm="1">
        <f t="array" ref="J21">I21-VLOOKUP(B$2,H1:J66,2,FALSE)</f>
        <v>2.5997650718255132</v>
      </c>
    </row>
    <row r="22" spans="1:10" ht="21.25" customHeight="1" x14ac:dyDescent="0.15">
      <c r="A22" s="10" t="s">
        <v>271</v>
      </c>
      <c r="B22" s="140" t="str" cm="1">
        <f t="array" ref="B22">VLOOKUP(A22,'The List'!B1:D671,3,FALSE)</f>
        <v>G</v>
      </c>
      <c r="C22" s="174" cm="1">
        <f t="array" ref="C22">RANK(E22,E3:E66)</f>
        <v>14</v>
      </c>
      <c r="D22" s="18" t="str" cm="1">
        <f t="array" ref="D22">VLOOKUP(A22,'The List'!B1:F671,5,FALSE)</f>
        <v>FLA</v>
      </c>
      <c r="E22" s="55" cm="1">
        <f t="array" ref="E22">VLOOKUP(A22,'The List'!B1:I671,8,FALSE)</f>
        <v>2.7838671640612334</v>
      </c>
      <c r="F22" s="55" cm="1">
        <f t="array" ref="F22">IF(Settings!$E$15="POINTS",E22-VLOOKUP(B$2,C1:E66,3,FALSE),J22)</f>
        <v>0.74568190493755848</v>
      </c>
      <c r="G22" s="55"/>
      <c r="H22" s="166" cm="1">
        <f t="array" ref="H22">RANK(I22,I3:I66)</f>
        <v>14</v>
      </c>
      <c r="I22" s="167" cm="1">
        <f t="array" ref="I22">VLOOKUP(A22,'Standard Deviations'!A1:C672,3,FALSE)</f>
        <v>2.7838671640612334</v>
      </c>
      <c r="J22" s="167" cm="1">
        <f t="array" ref="J22">I22-VLOOKUP(B$2,H1:J66,2,FALSE)</f>
        <v>0.74568190493755848</v>
      </c>
    </row>
    <row r="23" spans="1:10" ht="21.25" customHeight="1" x14ac:dyDescent="0.15">
      <c r="A23" s="10" t="s">
        <v>278</v>
      </c>
      <c r="B23" s="140" t="str" cm="1">
        <f t="array" ref="B23">VLOOKUP(A23,'The List'!B1:D671,3,FALSE)</f>
        <v>G</v>
      </c>
      <c r="C23" s="174" cm="1">
        <f t="array" ref="C23">RANK(E23,E3:E66)</f>
        <v>24</v>
      </c>
      <c r="D23" s="18" t="str" cm="1">
        <f t="array" ref="D23">VLOOKUP(A23,'The List'!B1:F671,5,FALSE)</f>
        <v>STL</v>
      </c>
      <c r="E23" s="55" cm="1">
        <f t="array" ref="E23">VLOOKUP(A23,'The List'!B1:I671,8,FALSE)</f>
        <v>1.2511300579301665</v>
      </c>
      <c r="F23" s="55" cm="1">
        <f t="array" ref="F23">IF(Settings!$E$15="POINTS",E23-VLOOKUP(B$2,C1:E66,3,FALSE),J23)</f>
        <v>-0.78705520119350836</v>
      </c>
      <c r="G23" s="55"/>
      <c r="H23" s="166" cm="1">
        <f t="array" ref="H23">RANK(I23,I3:I66)</f>
        <v>24</v>
      </c>
      <c r="I23" s="167" cm="1">
        <f t="array" ref="I23">VLOOKUP(A23,'Standard Deviations'!A1:C672,3,FALSE)</f>
        <v>1.2511300579301665</v>
      </c>
      <c r="J23" s="167" cm="1">
        <f t="array" ref="J23">I23-VLOOKUP(B$2,H1:J66,2,FALSE)</f>
        <v>-0.78705520119350836</v>
      </c>
    </row>
    <row r="24" spans="1:10" ht="21.25" customHeight="1" x14ac:dyDescent="0.15">
      <c r="A24" s="10" t="s">
        <v>295</v>
      </c>
      <c r="B24" s="140" t="str" cm="1">
        <f t="array" ref="B24">VLOOKUP(A24,'The List'!B1:D671,3,FALSE)</f>
        <v>G</v>
      </c>
      <c r="C24" s="174" cm="1">
        <f t="array" ref="C24">RANK(E24,E3:E66)</f>
        <v>19</v>
      </c>
      <c r="D24" s="18" t="str" cm="1">
        <f t="array" ref="D24">VLOOKUP(A24,'The List'!B1:F671,5,FALSE)</f>
        <v>L.A</v>
      </c>
      <c r="E24" s="55" cm="1">
        <f t="array" ref="E24">VLOOKUP(A24,'The List'!B1:I671,8,FALSE)</f>
        <v>2.191815033172023</v>
      </c>
      <c r="F24" s="55" cm="1">
        <f t="array" ref="F24">IF(Settings!$E$15="POINTS",E24-VLOOKUP(B$2,C1:E66,3,FALSE),J24)</f>
        <v>0.1536297740483481</v>
      </c>
      <c r="G24" s="55"/>
      <c r="H24" s="166" cm="1">
        <f t="array" ref="H24">RANK(I24,I3:I66)</f>
        <v>19</v>
      </c>
      <c r="I24" s="167" cm="1">
        <f t="array" ref="I24">VLOOKUP(A24,'Standard Deviations'!A1:C672,3,FALSE)</f>
        <v>2.191815033172023</v>
      </c>
      <c r="J24" s="167" cm="1">
        <f t="array" ref="J24">I24-VLOOKUP(B$2,H1:J66,2,FALSE)</f>
        <v>0.1536297740483481</v>
      </c>
    </row>
    <row r="25" spans="1:10" ht="21.25" customHeight="1" x14ac:dyDescent="0.15">
      <c r="A25" s="10" t="s">
        <v>305</v>
      </c>
      <c r="B25" s="140" t="str" cm="1">
        <f t="array" ref="B25">VLOOKUP(A25,'The List'!B1:D671,3,FALSE)</f>
        <v>G</v>
      </c>
      <c r="C25" s="174" cm="1">
        <f t="array" ref="C25">RANK(E25,E3:E66)</f>
        <v>18</v>
      </c>
      <c r="D25" s="18" t="str" cm="1">
        <f t="array" ref="D25">VLOOKUP(A25,'The List'!B1:F671,5,FALSE)</f>
        <v>N.J</v>
      </c>
      <c r="E25" s="55" cm="1">
        <f t="array" ref="E25">VLOOKUP(A25,'The List'!B1:I671,8,FALSE)</f>
        <v>2.2120462193651567</v>
      </c>
      <c r="F25" s="55" cm="1">
        <f t="array" ref="F25">IF(Settings!$E$15="POINTS",E25-VLOOKUP(B$2,C1:E66,3,FALSE),J25)</f>
        <v>0.17386096024148179</v>
      </c>
      <c r="G25" s="55"/>
      <c r="H25" s="166" cm="1">
        <f t="array" ref="H25">RANK(I25,I3:I66)</f>
        <v>18</v>
      </c>
      <c r="I25" s="167" cm="1">
        <f t="array" ref="I25">VLOOKUP(A25,'Standard Deviations'!A1:C672,3,FALSE)</f>
        <v>2.2120462193651567</v>
      </c>
      <c r="J25" s="167" cm="1">
        <f t="array" ref="J25">I25-VLOOKUP(B$2,H1:J66,2,FALSE)</f>
        <v>0.17386096024148179</v>
      </c>
    </row>
    <row r="26" spans="1:10" ht="21.25" customHeight="1" x14ac:dyDescent="0.15">
      <c r="A26" s="10" t="s">
        <v>308</v>
      </c>
      <c r="B26" s="140" t="str" cm="1">
        <f t="array" ref="B26">VLOOKUP(A26,'The List'!B1:D671,3,FALSE)</f>
        <v>G</v>
      </c>
      <c r="C26" s="174" cm="1">
        <f t="array" ref="C26">RANK(E26,E3:E66)</f>
        <v>40</v>
      </c>
      <c r="D26" s="18" t="str" cm="1">
        <f t="array" ref="D26">VLOOKUP(A26,'The List'!B1:F671,5,FALSE)</f>
        <v>SEA</v>
      </c>
      <c r="E26" s="55" cm="1">
        <f t="array" ref="E26">VLOOKUP(A26,'The List'!B1:I671,8,FALSE)</f>
        <v>-1.2312141468279973</v>
      </c>
      <c r="F26" s="55" cm="1">
        <f t="array" ref="F26">IF(Settings!$E$15="POINTS",E26-VLOOKUP(B$2,C1:E66,3,FALSE),J26)</f>
        <v>-3.2693994059516722</v>
      </c>
      <c r="G26" s="55"/>
      <c r="H26" s="166" cm="1">
        <f t="array" ref="H26">RANK(I26,I3:I66)</f>
        <v>40</v>
      </c>
      <c r="I26" s="167" cm="1">
        <f t="array" ref="I26">VLOOKUP(A26,'Standard Deviations'!A1:C672,3,FALSE)</f>
        <v>-1.2312141468279973</v>
      </c>
      <c r="J26" s="167" cm="1">
        <f t="array" ref="J26">I26-VLOOKUP(B$2,H1:J66,2,FALSE)</f>
        <v>-3.2693994059516722</v>
      </c>
    </row>
    <row r="27" spans="1:10" ht="21.25" customHeight="1" x14ac:dyDescent="0.15">
      <c r="A27" s="10" t="s">
        <v>315</v>
      </c>
      <c r="B27" s="140" t="str" cm="1">
        <f t="array" ref="B27">VLOOKUP(A27,'The List'!B1:D671,3,FALSE)</f>
        <v>G</v>
      </c>
      <c r="C27" s="174" cm="1">
        <f t="array" ref="C27">RANK(E27,E3:E66)</f>
        <v>16</v>
      </c>
      <c r="D27" s="18" t="str" cm="1">
        <f t="array" ref="D27">VLOOKUP(A27,'The List'!B1:F671,5,FALSE)</f>
        <v>PHI</v>
      </c>
      <c r="E27" s="55" cm="1">
        <f t="array" ref="E27">VLOOKUP(A27,'The List'!B1:I671,8,FALSE)</f>
        <v>2.636505756451502</v>
      </c>
      <c r="F27" s="55" cm="1">
        <f t="array" ref="F27">IF(Settings!$E$15="POINTS",E27-VLOOKUP(B$2,C1:E66,3,FALSE),J27)</f>
        <v>0.59832049732782711</v>
      </c>
      <c r="G27" s="55"/>
      <c r="H27" s="166" cm="1">
        <f t="array" ref="H27">RANK(I27,I3:I66)</f>
        <v>16</v>
      </c>
      <c r="I27" s="167" cm="1">
        <f t="array" ref="I27">VLOOKUP(A27,'Standard Deviations'!A1:C672,3,FALSE)</f>
        <v>2.636505756451502</v>
      </c>
      <c r="J27" s="167" cm="1">
        <f t="array" ref="J27">I27-VLOOKUP(B$2,H1:J66,2,FALSE)</f>
        <v>0.59832049732782711</v>
      </c>
    </row>
    <row r="28" spans="1:10" ht="21.25" customHeight="1" x14ac:dyDescent="0.15">
      <c r="A28" s="10" t="s">
        <v>324</v>
      </c>
      <c r="B28" s="140" t="str" cm="1">
        <f t="array" ref="B28">VLOOKUP(A28,'The List'!B1:D671,3,FALSE)</f>
        <v>G</v>
      </c>
      <c r="C28" s="174" cm="1">
        <f t="array" ref="C28">RANK(E28,E3:E66)</f>
        <v>51</v>
      </c>
      <c r="D28" s="18" t="str" cm="1">
        <f t="array" ref="D28">VLOOKUP(A28,'The List'!B1:F671,5,FALSE)</f>
        <v>VAN</v>
      </c>
      <c r="E28" s="55" cm="1">
        <f t="array" ref="E28">VLOOKUP(A28,'The List'!B1:I671,8,FALSE)</f>
        <v>-3.2219524322847137</v>
      </c>
      <c r="F28" s="55" cm="1">
        <f t="array" ref="F28">IF(Settings!$E$15="POINTS",E28-VLOOKUP(B$2,C1:E66,3,FALSE),J28)</f>
        <v>-5.2601376914083886</v>
      </c>
      <c r="G28" s="55"/>
      <c r="H28" s="166" cm="1">
        <f t="array" ref="H28">RANK(I28,I3:I66)</f>
        <v>51</v>
      </c>
      <c r="I28" s="167" cm="1">
        <f t="array" ref="I28">VLOOKUP(A28,'Standard Deviations'!A1:C672,3,FALSE)</f>
        <v>-3.2219524322847137</v>
      </c>
      <c r="J28" s="167" cm="1">
        <f t="array" ref="J28">I28-VLOOKUP(B$2,H1:J66,2,FALSE)</f>
        <v>-5.2601376914083886</v>
      </c>
    </row>
    <row r="29" spans="1:10" ht="21.25" customHeight="1" x14ac:dyDescent="0.15">
      <c r="A29" s="10" t="s">
        <v>337</v>
      </c>
      <c r="B29" s="140" t="str" cm="1">
        <f t="array" ref="B29">VLOOKUP(A29,'The List'!B1:D671,3,FALSE)</f>
        <v>G</v>
      </c>
      <c r="C29" s="174" cm="1">
        <f t="array" ref="C29">RANK(E29,E3:E66)</f>
        <v>30</v>
      </c>
      <c r="D29" s="18" t="str" cm="1">
        <f t="array" ref="D29">VLOOKUP(A29,'The List'!B1:F671,5,FALSE)</f>
        <v>BUF</v>
      </c>
      <c r="E29" s="55" cm="1">
        <f t="array" ref="E29">VLOOKUP(A29,'The List'!B1:I671,8,FALSE)</f>
        <v>0.44090306269764024</v>
      </c>
      <c r="F29" s="55" cm="1">
        <f t="array" ref="F29">IF(Settings!$E$15="POINTS",E29-VLOOKUP(B$2,C1:E66,3,FALSE),J29)</f>
        <v>-1.5972821964260346</v>
      </c>
      <c r="G29" s="55"/>
      <c r="H29" s="166" cm="1">
        <f t="array" ref="H29">RANK(I29,I3:I66)</f>
        <v>30</v>
      </c>
      <c r="I29" s="167" cm="1">
        <f t="array" ref="I29">VLOOKUP(A29,'Standard Deviations'!A1:C672,3,FALSE)</f>
        <v>0.44090306269764024</v>
      </c>
      <c r="J29" s="167" cm="1">
        <f t="array" ref="J29">I29-VLOOKUP(B$2,H1:J66,2,FALSE)</f>
        <v>-1.5972821964260346</v>
      </c>
    </row>
    <row r="30" spans="1:10" ht="21.25" customHeight="1" x14ac:dyDescent="0.15">
      <c r="A30" s="10" t="s">
        <v>339</v>
      </c>
      <c r="B30" s="140" t="str" cm="1">
        <f t="array" ref="B30">VLOOKUP(A30,'The List'!B1:D671,3,FALSE)</f>
        <v>G</v>
      </c>
      <c r="C30" s="174" cm="1">
        <f t="array" ref="C30">RANK(E30,E3:E66)</f>
        <v>10</v>
      </c>
      <c r="D30" s="18" t="str" cm="1">
        <f t="array" ref="D30">VLOOKUP(A30,'The List'!B1:F671,5,FALSE)</f>
        <v>VGK</v>
      </c>
      <c r="E30" s="55" cm="1">
        <f t="array" ref="E30">VLOOKUP(A30,'The List'!B1:I671,8,FALSE)</f>
        <v>3.5147572368911106</v>
      </c>
      <c r="F30" s="55" cm="1">
        <f t="array" ref="F30">IF(Settings!$E$15="POINTS",E30-VLOOKUP(B$2,C1:E66,3,FALSE),J30)</f>
        <v>1.4765719777674358</v>
      </c>
      <c r="G30" s="55"/>
      <c r="H30" s="166" cm="1">
        <f t="array" ref="H30">RANK(I30,I3:I66)</f>
        <v>10</v>
      </c>
      <c r="I30" s="167" cm="1">
        <f t="array" ref="I30">VLOOKUP(A30,'Standard Deviations'!A1:C672,3,FALSE)</f>
        <v>3.5147572368911106</v>
      </c>
      <c r="J30" s="167" cm="1">
        <f t="array" ref="J30">I30-VLOOKUP(B$2,H1:J66,2,FALSE)</f>
        <v>1.4765719777674358</v>
      </c>
    </row>
    <row r="31" spans="1:10" ht="21.25" customHeight="1" x14ac:dyDescent="0.15">
      <c r="A31" s="10" t="s">
        <v>385</v>
      </c>
      <c r="B31" s="140" t="str" cm="1">
        <f t="array" ref="B31">VLOOKUP(A31,'The List'!B1:D671,3,FALSE)</f>
        <v>G</v>
      </c>
      <c r="C31" s="174" cm="1">
        <f t="array" ref="C31">RANK(E31,E3:E66)</f>
        <v>49</v>
      </c>
      <c r="D31" s="18" t="str" cm="1">
        <f t="array" ref="D31">VLOOKUP(A31,'The List'!B1:F671,5,FALSE)</f>
        <v>S.J</v>
      </c>
      <c r="E31" s="55" cm="1">
        <f t="array" ref="E31">VLOOKUP(A31,'The List'!B1:I671,8,FALSE)</f>
        <v>-3.0401721035465812</v>
      </c>
      <c r="F31" s="55" cm="1">
        <f t="array" ref="F31">IF(Settings!$E$15="POINTS",E31-VLOOKUP(B$2,C1:E66,3,FALSE),J31)</f>
        <v>-5.0783573626702561</v>
      </c>
      <c r="G31" s="55"/>
      <c r="H31" s="166" cm="1">
        <f t="array" ref="H31">RANK(I31,I3:I66)</f>
        <v>49</v>
      </c>
      <c r="I31" s="167" cm="1">
        <f t="array" ref="I31">VLOOKUP(A31,'Standard Deviations'!A1:C672,3,FALSE)</f>
        <v>-3.0401721035465812</v>
      </c>
      <c r="J31" s="167" cm="1">
        <f t="array" ref="J31">I31-VLOOKUP(B$2,H1:J66,2,FALSE)</f>
        <v>-5.0783573626702561</v>
      </c>
    </row>
    <row r="32" spans="1:10" ht="21.25" customHeight="1" x14ac:dyDescent="0.15">
      <c r="A32" s="10" t="s">
        <v>390</v>
      </c>
      <c r="B32" s="140" t="str" cm="1">
        <f t="array" ref="B32">VLOOKUP(A32,'The List'!B1:D671,3,FALSE)</f>
        <v>G</v>
      </c>
      <c r="C32" s="174" cm="1">
        <f t="array" ref="C32">RANK(E32,E3:E66)</f>
        <v>44</v>
      </c>
      <c r="D32" s="18" t="str" cm="1">
        <f t="array" ref="D32">VLOOKUP(A32,'The List'!B1:F671,5,FALSE)</f>
        <v>PIT</v>
      </c>
      <c r="E32" s="55" cm="1">
        <f t="array" ref="E32">VLOOKUP(A32,'The List'!B1:I671,8,FALSE)</f>
        <v>-1.8964585946785224</v>
      </c>
      <c r="F32" s="55" cm="1">
        <f t="array" ref="F32">IF(Settings!$E$15="POINTS",E32-VLOOKUP(B$2,C1:E66,3,FALSE),J32)</f>
        <v>-3.9346438538021973</v>
      </c>
      <c r="G32" s="55"/>
      <c r="H32" s="166" cm="1">
        <f t="array" ref="H32">RANK(I32,I3:I66)</f>
        <v>44</v>
      </c>
      <c r="I32" s="167" cm="1">
        <f t="array" ref="I32">VLOOKUP(A32,'Standard Deviations'!A1:C672,3,FALSE)</f>
        <v>-1.8964585946785224</v>
      </c>
      <c r="J32" s="167" cm="1">
        <f t="array" ref="J32">I32-VLOOKUP(B$2,H1:J66,2,FALSE)</f>
        <v>-3.9346438538021973</v>
      </c>
    </row>
    <row r="33" spans="1:10" ht="21.25" customHeight="1" x14ac:dyDescent="0.15">
      <c r="A33" s="10" t="s">
        <v>396</v>
      </c>
      <c r="B33" s="140" t="str" cm="1">
        <f t="array" ref="B33">VLOOKUP(A33,'The List'!B1:D671,3,FALSE)</f>
        <v>G</v>
      </c>
      <c r="C33" s="174" cm="1">
        <f t="array" ref="C33">RANK(E33,E3:E66)</f>
        <v>21</v>
      </c>
      <c r="D33" s="18" t="str" cm="1">
        <f t="array" ref="D33">VLOOKUP(A33,'The List'!B1:F671,5,FALSE)</f>
        <v>CAR</v>
      </c>
      <c r="E33" s="55" cm="1">
        <f t="array" ref="E33">VLOOKUP(A33,'The List'!B1:I671,8,FALSE)</f>
        <v>2.0381852591236749</v>
      </c>
      <c r="F33" s="55" cm="1">
        <f t="array" ref="F33">IF(Settings!$E$15="POINTS",E33-VLOOKUP(B$2,C1:E66,3,FALSE),J33)</f>
        <v>0</v>
      </c>
      <c r="G33" s="55"/>
      <c r="H33" s="166" cm="1">
        <f t="array" ref="H33">RANK(I33,I3:I66)</f>
        <v>21</v>
      </c>
      <c r="I33" s="167" cm="1">
        <f t="array" ref="I33">VLOOKUP(A33,'Standard Deviations'!A1:C672,3,FALSE)</f>
        <v>2.0381852591236749</v>
      </c>
      <c r="J33" s="167" cm="1">
        <f t="array" ref="J33">I33-VLOOKUP(B$2,H1:J66,2,FALSE)</f>
        <v>0</v>
      </c>
    </row>
    <row r="34" spans="1:10" ht="21.25" customHeight="1" x14ac:dyDescent="0.15">
      <c r="A34" s="10" t="s">
        <v>414</v>
      </c>
      <c r="B34" s="140" t="str" cm="1">
        <f t="array" ref="B34">VLOOKUP(A34,'The List'!B1:D671,3,FALSE)</f>
        <v>G</v>
      </c>
      <c r="C34" s="174" cm="1">
        <f t="array" ref="C34">RANK(E34,E3:E66)</f>
        <v>20</v>
      </c>
      <c r="D34" s="18" t="str" cm="1">
        <f t="array" ref="D34">VLOOKUP(A34,'The List'!B1:F671,5,FALSE)</f>
        <v>COL</v>
      </c>
      <c r="E34" s="55" cm="1">
        <f t="array" ref="E34">VLOOKUP(A34,'The List'!B1:I671,8,FALSE)</f>
        <v>2.1650984189529154</v>
      </c>
      <c r="F34" s="55" cm="1">
        <f t="array" ref="F34">IF(Settings!$E$15="POINTS",E34-VLOOKUP(B$2,C1:E66,3,FALSE),J34)</f>
        <v>0.12691315982924056</v>
      </c>
      <c r="G34" s="55"/>
      <c r="H34" s="166" cm="1">
        <f t="array" ref="H34">RANK(I34,I3:I66)</f>
        <v>20</v>
      </c>
      <c r="I34" s="167" cm="1">
        <f t="array" ref="I34">VLOOKUP(A34,'Standard Deviations'!A1:C672,3,FALSE)</f>
        <v>2.1650984189529154</v>
      </c>
      <c r="J34" s="167" cm="1">
        <f t="array" ref="J34">I34-VLOOKUP(B$2,H1:J66,2,FALSE)</f>
        <v>0.12691315982924056</v>
      </c>
    </row>
    <row r="35" spans="1:10" ht="21.25" customHeight="1" x14ac:dyDescent="0.15">
      <c r="A35" s="10" t="s">
        <v>424</v>
      </c>
      <c r="B35" s="140" t="str" cm="1">
        <f t="array" ref="B35">VLOOKUP(A35,'The List'!B1:D671,3,FALSE)</f>
        <v>G</v>
      </c>
      <c r="C35" s="174" cm="1">
        <f t="array" ref="C35">RANK(E35,E3:E66)</f>
        <v>29</v>
      </c>
      <c r="D35" s="18" t="str" cm="1">
        <f t="array" ref="D35">VLOOKUP(A35,'The List'!B1:F671,5,FALSE)</f>
        <v>MIN</v>
      </c>
      <c r="E35" s="55" cm="1">
        <f t="array" ref="E35">VLOOKUP(A35,'The List'!B1:I671,8,FALSE)</f>
        <v>0.77374028434042252</v>
      </c>
      <c r="F35" s="55" cm="1">
        <f t="array" ref="F35">IF(Settings!$E$15="POINTS",E35-VLOOKUP(B$2,C1:E66,3,FALSE),J35)</f>
        <v>-1.2644449747832525</v>
      </c>
      <c r="G35" s="55"/>
      <c r="H35" s="166" cm="1">
        <f t="array" ref="H35">RANK(I35,I3:I66)</f>
        <v>29</v>
      </c>
      <c r="I35" s="167" cm="1">
        <f t="array" ref="I35">VLOOKUP(A35,'Standard Deviations'!A1:C672,3,FALSE)</f>
        <v>0.77374028434042252</v>
      </c>
      <c r="J35" s="167" cm="1">
        <f t="array" ref="J35">I35-VLOOKUP(B$2,H1:J66,2,FALSE)</f>
        <v>-1.2644449747832525</v>
      </c>
    </row>
    <row r="36" spans="1:10" ht="21.25" customHeight="1" x14ac:dyDescent="0.15">
      <c r="A36" s="10" t="s">
        <v>428</v>
      </c>
      <c r="B36" s="140" t="str" cm="1">
        <f t="array" ref="B36">VLOOKUP(A36,'The List'!B1:D671,3,FALSE)</f>
        <v>G</v>
      </c>
      <c r="C36" s="174" cm="1">
        <f t="array" ref="C36">RANK(E36,E3:E66)</f>
        <v>25</v>
      </c>
      <c r="D36" s="18" t="str" cm="1">
        <f t="array" ref="D36">VLOOKUP(A36,'The List'!B1:F671,5,FALSE)</f>
        <v>CAR</v>
      </c>
      <c r="E36" s="55" cm="1">
        <f t="array" ref="E36">VLOOKUP(A36,'The List'!B1:I671,8,FALSE)</f>
        <v>1.1994076799796594</v>
      </c>
      <c r="F36" s="55" cm="1">
        <f t="array" ref="F36">IF(Settings!$E$15="POINTS",E36-VLOOKUP(B$2,C1:E66,3,FALSE),J36)</f>
        <v>-0.83877757914401552</v>
      </c>
      <c r="G36" s="55"/>
      <c r="H36" s="166" cm="1">
        <f t="array" ref="H36">RANK(I36,I3:I66)</f>
        <v>25</v>
      </c>
      <c r="I36" s="167" cm="1">
        <f t="array" ref="I36">VLOOKUP(A36,'Standard Deviations'!A1:C672,3,FALSE)</f>
        <v>1.1994076799796594</v>
      </c>
      <c r="J36" s="167" cm="1">
        <f t="array" ref="J36">I36-VLOOKUP(B$2,H1:J66,2,FALSE)</f>
        <v>-0.83877757914401552</v>
      </c>
    </row>
    <row r="37" spans="1:10" ht="21.25" customHeight="1" x14ac:dyDescent="0.15">
      <c r="A37" s="10" t="s">
        <v>431</v>
      </c>
      <c r="B37" s="140" t="str" cm="1">
        <f t="array" ref="B37">VLOOKUP(A37,'The List'!B1:D671,3,FALSE)</f>
        <v>G</v>
      </c>
      <c r="C37" s="174" cm="1">
        <f t="array" ref="C37">RANK(E37,E3:E66)</f>
        <v>32</v>
      </c>
      <c r="D37" s="18" t="str" cm="1">
        <f t="array" ref="D37">VLOOKUP(A37,'The List'!B1:F671,5,FALSE)</f>
        <v>L.A</v>
      </c>
      <c r="E37" s="55" cm="1">
        <f t="array" ref="E37">VLOOKUP(A37,'The List'!B1:I671,8,FALSE)</f>
        <v>0.27440403092883425</v>
      </c>
      <c r="F37" s="55" cm="1">
        <f t="array" ref="F37">IF(Settings!$E$15="POINTS",E37-VLOOKUP(B$2,C1:E66,3,FALSE),J37)</f>
        <v>-1.7637812281948406</v>
      </c>
      <c r="G37" s="55"/>
      <c r="H37" s="166" cm="1">
        <f t="array" ref="H37">RANK(I37,I3:I66)</f>
        <v>32</v>
      </c>
      <c r="I37" s="167" cm="1">
        <f t="array" ref="I37">VLOOKUP(A37,'Standard Deviations'!A1:C672,3,FALSE)</f>
        <v>0.27440403092883425</v>
      </c>
      <c r="J37" s="167" cm="1">
        <f t="array" ref="J37">I37-VLOOKUP(B$2,H1:J66,2,FALSE)</f>
        <v>-1.7637812281948406</v>
      </c>
    </row>
    <row r="38" spans="1:10" ht="21.25" customHeight="1" x14ac:dyDescent="0.15">
      <c r="A38" s="10" t="s">
        <v>449</v>
      </c>
      <c r="B38" s="140" t="str" cm="1">
        <f t="array" ref="B38">VLOOKUP(A38,'The List'!B1:D671,3,FALSE)</f>
        <v>G</v>
      </c>
      <c r="C38" s="174" cm="1">
        <f t="array" ref="C38">RANK(E38,E3:E66)</f>
        <v>35</v>
      </c>
      <c r="D38" s="18" t="str" cm="1">
        <f t="array" ref="D38">VLOOKUP(A38,'The List'!B1:F671,5,FALSE)</f>
        <v>BUF</v>
      </c>
      <c r="E38" s="55" cm="1">
        <f t="array" ref="E38">VLOOKUP(A38,'The List'!B1:I671,8,FALSE)</f>
        <v>-0.75042631972709206</v>
      </c>
      <c r="F38" s="55" cm="1">
        <f t="array" ref="F38">IF(Settings!$E$15="POINTS",E38-VLOOKUP(B$2,C1:E66,3,FALSE),J38)</f>
        <v>-2.7886115788507668</v>
      </c>
      <c r="G38" s="55"/>
      <c r="H38" s="166" cm="1">
        <f t="array" ref="H38">RANK(I38,I3:I66)</f>
        <v>35</v>
      </c>
      <c r="I38" s="167" cm="1">
        <f t="array" ref="I38">VLOOKUP(A38,'Standard Deviations'!A1:C672,3,FALSE)</f>
        <v>-0.75042631972709206</v>
      </c>
      <c r="J38" s="167" cm="1">
        <f t="array" ref="J38">I38-VLOOKUP(B$2,H1:J66,2,FALSE)</f>
        <v>-2.7886115788507668</v>
      </c>
    </row>
    <row r="39" spans="1:10" ht="21.25" customHeight="1" x14ac:dyDescent="0.15">
      <c r="A39" s="10" t="s">
        <v>458</v>
      </c>
      <c r="B39" s="140" t="str" cm="1">
        <f t="array" ref="B39">VLOOKUP(A39,'The List'!B1:D671,3,FALSE)</f>
        <v>G</v>
      </c>
      <c r="C39" s="174" cm="1">
        <f t="array" ref="C39">RANK(E39,E3:E66)</f>
        <v>28</v>
      </c>
      <c r="D39" s="18" t="str" cm="1">
        <f t="array" ref="D39">VLOOKUP(A39,'The List'!B1:F671,5,FALSE)</f>
        <v>PHI</v>
      </c>
      <c r="E39" s="55" cm="1">
        <f t="array" ref="E39">VLOOKUP(A39,'The List'!B1:I671,8,FALSE)</f>
        <v>0.77459048986216872</v>
      </c>
      <c r="F39" s="55" cm="1">
        <f t="array" ref="F39">IF(Settings!$E$15="POINTS",E39-VLOOKUP(B$2,C1:E66,3,FALSE),J39)</f>
        <v>-1.2635947692615062</v>
      </c>
      <c r="G39" s="55"/>
      <c r="H39" s="166" cm="1">
        <f t="array" ref="H39">RANK(I39,I3:I66)</f>
        <v>28</v>
      </c>
      <c r="I39" s="167" cm="1">
        <f t="array" ref="I39">VLOOKUP(A39,'Standard Deviations'!A1:C672,3,FALSE)</f>
        <v>0.77459048986216872</v>
      </c>
      <c r="J39" s="167" cm="1">
        <f t="array" ref="J39">I39-VLOOKUP(B$2,H1:J66,2,FALSE)</f>
        <v>-1.2635947692615062</v>
      </c>
    </row>
    <row r="40" spans="1:10" ht="21.25" customHeight="1" x14ac:dyDescent="0.15">
      <c r="A40" s="10" t="s">
        <v>480</v>
      </c>
      <c r="B40" s="140" t="str" cm="1">
        <f t="array" ref="B40">VLOOKUP(A40,'The List'!B1:D671,3,FALSE)</f>
        <v>G</v>
      </c>
      <c r="C40" s="174" cm="1">
        <f t="array" ref="C40">RANK(E40,E3:E66)</f>
        <v>55</v>
      </c>
      <c r="D40" s="18" t="str" cm="1">
        <f t="array" ref="D40">VLOOKUP(A40,'The List'!B1:F671,5,FALSE)</f>
        <v>S.J</v>
      </c>
      <c r="E40" s="55" cm="1">
        <f t="array" ref="E40">VLOOKUP(A40,'The List'!B1:I671,8,FALSE)</f>
        <v>-3.5802196688777155</v>
      </c>
      <c r="F40" s="55" cm="1">
        <f t="array" ref="F40">IF(Settings!$E$15="POINTS",E40-VLOOKUP(B$2,C1:E66,3,FALSE),J40)</f>
        <v>-5.6184049280013904</v>
      </c>
      <c r="G40" s="55"/>
      <c r="H40" s="166" cm="1">
        <f t="array" ref="H40">RANK(I40,I3:I66)</f>
        <v>55</v>
      </c>
      <c r="I40" s="167" cm="1">
        <f t="array" ref="I40">VLOOKUP(A40,'Standard Deviations'!A1:C672,3,FALSE)</f>
        <v>-3.5802196688777155</v>
      </c>
      <c r="J40" s="167" cm="1">
        <f t="array" ref="J40">I40-VLOOKUP(B$2,H1:J66,2,FALSE)</f>
        <v>-5.6184049280013904</v>
      </c>
    </row>
    <row r="41" spans="1:10" ht="21.25" customHeight="1" x14ac:dyDescent="0.15">
      <c r="A41" s="10" t="s">
        <v>493</v>
      </c>
      <c r="B41" s="140" t="str" cm="1">
        <f t="array" ref="B41">VLOOKUP(A41,'The List'!B1:D671,3,FALSE)</f>
        <v>G</v>
      </c>
      <c r="C41" s="174" cm="1">
        <f t="array" ref="C41">RANK(E41,E3:E66)</f>
        <v>36</v>
      </c>
      <c r="D41" s="18" t="str" cm="1">
        <f t="array" ref="D41">VLOOKUP(A41,'The List'!B1:F671,5,FALSE)</f>
        <v>N.J</v>
      </c>
      <c r="E41" s="55" cm="1">
        <f t="array" ref="E41">VLOOKUP(A41,'The List'!B1:I671,8,FALSE)</f>
        <v>-0.8849475461662496</v>
      </c>
      <c r="F41" s="55" cm="1">
        <f t="array" ref="F41">IF(Settings!$E$15="POINTS",E41-VLOOKUP(B$2,C1:E66,3,FALSE),J41)</f>
        <v>-2.9231328052899244</v>
      </c>
      <c r="G41" s="55"/>
      <c r="H41" s="166" cm="1">
        <f t="array" ref="H41">RANK(I41,I3:I66)</f>
        <v>36</v>
      </c>
      <c r="I41" s="167" cm="1">
        <f t="array" ref="I41">VLOOKUP(A41,'Standard Deviations'!A1:C672,3,FALSE)</f>
        <v>-0.8849475461662496</v>
      </c>
      <c r="J41" s="167" cm="1">
        <f t="array" ref="J41">I41-VLOOKUP(B$2,H1:J66,2,FALSE)</f>
        <v>-2.9231328052899244</v>
      </c>
    </row>
    <row r="42" spans="1:10" ht="21.25" customHeight="1" x14ac:dyDescent="0.15">
      <c r="A42" s="10" t="s">
        <v>502</v>
      </c>
      <c r="B42" s="140" t="str" cm="1">
        <f t="array" ref="B42">VLOOKUP(A42,'The List'!B1:D671,3,FALSE)</f>
        <v>G</v>
      </c>
      <c r="C42" s="174" cm="1">
        <f t="array" ref="C42">RANK(E42,E3:E66)</f>
        <v>58</v>
      </c>
      <c r="D42" s="18" t="str" cm="1">
        <f t="array" ref="D42">VLOOKUP(A42,'The List'!B1:F671,5,FALSE)</f>
        <v>SEA</v>
      </c>
      <c r="E42" s="55" cm="1">
        <f t="array" ref="E42">VLOOKUP(A42,'The List'!B1:I671,8,FALSE)</f>
        <v>-4.0523464725260023</v>
      </c>
      <c r="F42" s="55" cm="1">
        <f t="array" ref="F42">IF(Settings!$E$15="POINTS",E42-VLOOKUP(B$2,C1:E66,3,FALSE),J42)</f>
        <v>-6.0905317316496772</v>
      </c>
      <c r="G42" s="55"/>
      <c r="H42" s="166" cm="1">
        <f t="array" ref="H42">RANK(I42,I3:I66)</f>
        <v>58</v>
      </c>
      <c r="I42" s="167" cm="1">
        <f t="array" ref="I42">VLOOKUP(A42,'Standard Deviations'!A1:C672,3,FALSE)</f>
        <v>-4.0523464725260023</v>
      </c>
      <c r="J42" s="167" cm="1">
        <f t="array" ref="J42">I42-VLOOKUP(B$2,H1:J66,2,FALSE)</f>
        <v>-6.0905317316496772</v>
      </c>
    </row>
    <row r="43" spans="1:10" ht="21.25" customHeight="1" x14ac:dyDescent="0.15">
      <c r="A43" s="10" t="s">
        <v>504</v>
      </c>
      <c r="B43" s="140" t="str" cm="1">
        <f t="array" ref="B43">VLOOKUP(A43,'The List'!B1:D671,3,FALSE)</f>
        <v>G</v>
      </c>
      <c r="C43" s="174" cm="1">
        <f t="array" ref="C43">RANK(E43,E3:E66)</f>
        <v>48</v>
      </c>
      <c r="D43" s="18" t="str" cm="1">
        <f t="array" ref="D43">VLOOKUP(A43,'The List'!B1:F671,5,FALSE)</f>
        <v>PIT</v>
      </c>
      <c r="E43" s="55" cm="1">
        <f t="array" ref="E43">VLOOKUP(A43,'The List'!B1:I671,8,FALSE)</f>
        <v>-2.6822223287954361</v>
      </c>
      <c r="F43" s="55" cm="1">
        <f t="array" ref="F43">IF(Settings!$E$15="POINTS",E43-VLOOKUP(B$2,C1:E66,3,FALSE),J43)</f>
        <v>-4.7204075879191105</v>
      </c>
      <c r="G43" s="55"/>
      <c r="H43" s="166" cm="1">
        <f t="array" ref="H43">RANK(I43,I3:I66)</f>
        <v>48</v>
      </c>
      <c r="I43" s="167" cm="1">
        <f t="array" ref="I43">VLOOKUP(A43,'Standard Deviations'!A1:C672,3,FALSE)</f>
        <v>-2.6822223287954361</v>
      </c>
      <c r="J43" s="167" cm="1">
        <f t="array" ref="J43">I43-VLOOKUP(B$2,H1:J66,2,FALSE)</f>
        <v>-4.7204075879191105</v>
      </c>
    </row>
    <row r="44" spans="1:10" ht="21.25" customHeight="1" x14ac:dyDescent="0.15">
      <c r="A44" s="10" t="s">
        <v>506</v>
      </c>
      <c r="B44" s="140" t="str" cm="1">
        <f t="array" ref="B44">VLOOKUP(A44,'The List'!B1:D671,3,FALSE)</f>
        <v>G</v>
      </c>
      <c r="C44" s="174" cm="1">
        <f t="array" ref="C44">RANK(E44,E3:E66)</f>
        <v>39</v>
      </c>
      <c r="D44" s="18" t="str" cm="1">
        <f t="array" ref="D44">VLOOKUP(A44,'The List'!B1:F671,5,FALSE)</f>
        <v>EDM</v>
      </c>
      <c r="E44" s="55" cm="1">
        <f t="array" ref="E44">VLOOKUP(A44,'The List'!B1:I671,8,FALSE)</f>
        <v>-1.0343114584657329</v>
      </c>
      <c r="F44" s="55" cm="1">
        <f t="array" ref="F44">IF(Settings!$E$15="POINTS",E44-VLOOKUP(B$2,C1:E66,3,FALSE),J44)</f>
        <v>-3.0724967175894076</v>
      </c>
      <c r="G44" s="55"/>
      <c r="H44" s="166" cm="1">
        <f t="array" ref="H44">RANK(I44,I3:I66)</f>
        <v>39</v>
      </c>
      <c r="I44" s="167" cm="1">
        <f t="array" ref="I44">VLOOKUP(A44,'Standard Deviations'!A1:C672,3,FALSE)</f>
        <v>-1.0343114584657329</v>
      </c>
      <c r="J44" s="167" cm="1">
        <f t="array" ref="J44">I44-VLOOKUP(B$2,H1:J66,2,FALSE)</f>
        <v>-3.0724967175894076</v>
      </c>
    </row>
    <row r="45" spans="1:10" ht="21.25" customHeight="1" x14ac:dyDescent="0.15">
      <c r="A45" s="10" t="s">
        <v>510</v>
      </c>
      <c r="B45" s="140" t="str" cm="1">
        <f t="array" ref="B45">VLOOKUP(A45,'The List'!B1:D671,3,FALSE)</f>
        <v>G</v>
      </c>
      <c r="C45" s="174" cm="1">
        <f t="array" ref="C45">RANK(E45,E3:E66)</f>
        <v>34</v>
      </c>
      <c r="D45" s="18" t="str" cm="1">
        <f t="array" ref="D45">VLOOKUP(A45,'The List'!B1:F671,5,FALSE)</f>
        <v>EDM</v>
      </c>
      <c r="E45" s="55" cm="1">
        <f t="array" ref="E45">VLOOKUP(A45,'The List'!B1:I671,8,FALSE)</f>
        <v>-0.3610573739256065</v>
      </c>
      <c r="F45" s="55" cm="1">
        <f t="array" ref="F45">IF(Settings!$E$15="POINTS",E45-VLOOKUP(B$2,C1:E66,3,FALSE),J45)</f>
        <v>-2.3992426330492815</v>
      </c>
      <c r="G45" s="55"/>
      <c r="H45" s="166" cm="1">
        <f t="array" ref="H45">RANK(I45,I3:I66)</f>
        <v>34</v>
      </c>
      <c r="I45" s="167" cm="1">
        <f t="array" ref="I45">VLOOKUP(A45,'Standard Deviations'!A1:C672,3,FALSE)</f>
        <v>-0.3610573739256065</v>
      </c>
      <c r="J45" s="167" cm="1">
        <f t="array" ref="J45">I45-VLOOKUP(B$2,H1:J66,2,FALSE)</f>
        <v>-2.3992426330492815</v>
      </c>
    </row>
    <row r="46" spans="1:10" ht="21.25" customHeight="1" x14ac:dyDescent="0.15">
      <c r="A46" s="10" t="s">
        <v>514</v>
      </c>
      <c r="B46" s="140" t="str" cm="1">
        <f t="array" ref="B46">VLOOKUP(A46,'The List'!B1:D671,3,FALSE)</f>
        <v>G</v>
      </c>
      <c r="C46" s="174" cm="1">
        <f t="array" ref="C46">RANK(E46,E3:E66)</f>
        <v>27</v>
      </c>
      <c r="D46" s="18" t="str" cm="1">
        <f t="array" ref="D46">VLOOKUP(A46,'The List'!B1:F671,5,FALSE)</f>
        <v>VGK</v>
      </c>
      <c r="E46" s="55" cm="1">
        <f t="array" ref="E46">VLOOKUP(A46,'The List'!B1:I671,8,FALSE)</f>
        <v>0.91876413759088926</v>
      </c>
      <c r="F46" s="55" cm="1">
        <f t="array" ref="F46">IF(Settings!$E$15="POINTS",E46-VLOOKUP(B$2,C1:E66,3,FALSE),J46)</f>
        <v>-1.1194211215327856</v>
      </c>
      <c r="G46" s="55"/>
      <c r="H46" s="166" cm="1">
        <f t="array" ref="H46">RANK(I46,I3:I66)</f>
        <v>27</v>
      </c>
      <c r="I46" s="167" cm="1">
        <f t="array" ref="I46">VLOOKUP(A46,'Standard Deviations'!A1:C672,3,FALSE)</f>
        <v>0.91876413759088926</v>
      </c>
      <c r="J46" s="167" cm="1">
        <f t="array" ref="J46">I46-VLOOKUP(B$2,H1:J66,2,FALSE)</f>
        <v>-1.1194211215327856</v>
      </c>
    </row>
    <row r="47" spans="1:10" ht="21.25" customHeight="1" x14ac:dyDescent="0.15">
      <c r="A47" s="10" t="s">
        <v>530</v>
      </c>
      <c r="B47" s="140" t="str" cm="1">
        <f t="array" ref="B47">VLOOKUP(A47,'The List'!B1:D671,3,FALSE)</f>
        <v>G</v>
      </c>
      <c r="C47" s="174" cm="1">
        <f t="array" ref="C47">RANK(E47,E3:E66)</f>
        <v>42</v>
      </c>
      <c r="D47" s="18" t="str" cm="1">
        <f t="array" ref="D47">VLOOKUP(A47,'The List'!B1:F671,5,FALSE)</f>
        <v>TOR</v>
      </c>
      <c r="E47" s="55" cm="1">
        <f t="array" ref="E47">VLOOKUP(A47,'The List'!B1:I671,8,FALSE)</f>
        <v>-1.4423896205256139</v>
      </c>
      <c r="F47" s="55" cm="1">
        <f t="array" ref="F47">IF(Settings!$E$15="POINTS",E47-VLOOKUP(B$2,C1:E66,3,FALSE),J47)</f>
        <v>-3.4805748796492888</v>
      </c>
      <c r="G47" s="55"/>
      <c r="H47" s="166" cm="1">
        <f t="array" ref="H47">RANK(I47,I3:I66)</f>
        <v>42</v>
      </c>
      <c r="I47" s="167" cm="1">
        <f t="array" ref="I47">VLOOKUP(A47,'Standard Deviations'!A1:C672,3,FALSE)</f>
        <v>-1.4423896205256139</v>
      </c>
      <c r="J47" s="167" cm="1">
        <f t="array" ref="J47">I47-VLOOKUP(B$2,H1:J66,2,FALSE)</f>
        <v>-3.4805748796492888</v>
      </c>
    </row>
    <row r="48" spans="1:10" ht="21.25" customHeight="1" x14ac:dyDescent="0.15">
      <c r="A48" s="10" t="s">
        <v>535</v>
      </c>
      <c r="B48" s="140" t="str" cm="1">
        <f t="array" ref="B48">VLOOKUP(A48,'The List'!B1:D671,3,FALSE)</f>
        <v>G</v>
      </c>
      <c r="C48" s="174" cm="1">
        <f t="array" ref="C48">RANK(E48,E3:E66)</f>
        <v>50</v>
      </c>
      <c r="D48" s="18" t="str" cm="1">
        <f t="array" ref="D48">VLOOKUP(A48,'The List'!B1:F671,5,FALSE)</f>
        <v>STL</v>
      </c>
      <c r="E48" s="55" cm="1">
        <f t="array" ref="E48">VLOOKUP(A48,'The List'!B1:I671,8,FALSE)</f>
        <v>-3.1744020572562119</v>
      </c>
      <c r="F48" s="55" cm="1">
        <f t="array" ref="F48">IF(Settings!$E$15="POINTS",E48-VLOOKUP(B$2,C1:E66,3,FALSE),J48)</f>
        <v>-5.2125873163798868</v>
      </c>
      <c r="G48" s="55"/>
      <c r="H48" s="166" cm="1">
        <f t="array" ref="H48">RANK(I48,I3:I66)</f>
        <v>50</v>
      </c>
      <c r="I48" s="167" cm="1">
        <f t="array" ref="I48">VLOOKUP(A48,'Standard Deviations'!A1:C672,3,FALSE)</f>
        <v>-3.1744020572562119</v>
      </c>
      <c r="J48" s="167" cm="1">
        <f t="array" ref="J48">I48-VLOOKUP(B$2,H1:J66,2,FALSE)</f>
        <v>-5.2125873163798868</v>
      </c>
    </row>
    <row r="49" spans="1:10" ht="21.25" customHeight="1" x14ac:dyDescent="0.15">
      <c r="A49" s="10" t="s">
        <v>552</v>
      </c>
      <c r="B49" s="140" t="str" cm="1">
        <f t="array" ref="B49">VLOOKUP(A49,'The List'!B1:D671,3,FALSE)</f>
        <v>G</v>
      </c>
      <c r="C49" s="174" cm="1">
        <f t="array" ref="C49">RANK(E49,E3:E66)</f>
        <v>62</v>
      </c>
      <c r="D49" s="18" t="str" cm="1">
        <f t="array" ref="D49">VLOOKUP(A49,'The List'!B1:F671,5,FALSE)</f>
        <v>VAN</v>
      </c>
      <c r="E49" s="55" cm="1">
        <f t="array" ref="E49">VLOOKUP(A49,'The List'!B1:I671,8,FALSE)</f>
        <v>-6.4083215240818596</v>
      </c>
      <c r="F49" s="55" cm="1">
        <f t="array" ref="F49">IF(Settings!$E$15="POINTS",E49-VLOOKUP(B$2,C1:E66,3,FALSE),J49)</f>
        <v>-8.4465067832055354</v>
      </c>
      <c r="G49" s="55"/>
      <c r="H49" s="166" cm="1">
        <f t="array" ref="H49">RANK(I49,I3:I66)</f>
        <v>62</v>
      </c>
      <c r="I49" s="167" cm="1">
        <f t="array" ref="I49">VLOOKUP(A49,'Standard Deviations'!A1:C672,3,FALSE)</f>
        <v>-6.4083215240818596</v>
      </c>
      <c r="J49" s="167" cm="1">
        <f t="array" ref="J49">I49-VLOOKUP(B$2,H1:J66,2,FALSE)</f>
        <v>-8.4465067832055354</v>
      </c>
    </row>
    <row r="50" spans="1:10" ht="21.25" customHeight="1" x14ac:dyDescent="0.15">
      <c r="A50" s="10" t="s">
        <v>558</v>
      </c>
      <c r="B50" s="140" t="str" cm="1">
        <f t="array" ref="B50">VLOOKUP(A50,'The List'!B1:D671,3,FALSE)</f>
        <v>G</v>
      </c>
      <c r="C50" s="174" cm="1">
        <f t="array" ref="C50">RANK(E50,E3:E66)</f>
        <v>46</v>
      </c>
      <c r="D50" s="18" t="str" cm="1">
        <f t="array" ref="D50">VLOOKUP(A50,'The List'!B1:F671,5,FALSE)</f>
        <v>MTL</v>
      </c>
      <c r="E50" s="55" cm="1">
        <f t="array" ref="E50">VLOOKUP(A50,'The List'!B1:I671,8,FALSE)</f>
        <v>-2.4386556938380717</v>
      </c>
      <c r="F50" s="55" cm="1">
        <f t="array" ref="F50">IF(Settings!$E$15="POINTS",E50-VLOOKUP(B$2,C1:E66,3,FALSE),J50)</f>
        <v>-4.4768409529617461</v>
      </c>
      <c r="G50" s="55"/>
      <c r="H50" s="166" cm="1">
        <f t="array" ref="H50">RANK(I50,I3:I66)</f>
        <v>46</v>
      </c>
      <c r="I50" s="167" cm="1">
        <f t="array" ref="I50">VLOOKUP(A50,'Standard Deviations'!A1:C672,3,FALSE)</f>
        <v>-2.4386556938380717</v>
      </c>
      <c r="J50" s="167" cm="1">
        <f t="array" ref="J50">I50-VLOOKUP(B$2,H1:J66,2,FALSE)</f>
        <v>-4.4768409529617461</v>
      </c>
    </row>
    <row r="51" spans="1:10" ht="21.25" customHeight="1" x14ac:dyDescent="0.15">
      <c r="A51" s="10" t="s">
        <v>604</v>
      </c>
      <c r="B51" s="140" t="str" cm="1">
        <f t="array" ref="B51">VLOOKUP(A51,'The List'!B1:D671,3,FALSE)</f>
        <v>G</v>
      </c>
      <c r="C51" s="174" cm="1">
        <f t="array" ref="C51">RANK(E51,E3:E66)</f>
        <v>45</v>
      </c>
      <c r="D51" s="18" t="str" cm="1">
        <f t="array" ref="D51">VLOOKUP(A51,'The List'!B1:F671,5,FALSE)</f>
        <v>UTA</v>
      </c>
      <c r="E51" s="55" cm="1">
        <f t="array" ref="E51">VLOOKUP(A51,'The List'!B1:I671,8,FALSE)</f>
        <v>-2.0953734431074631</v>
      </c>
      <c r="F51" s="55" cm="1">
        <f t="array" ref="F51">IF(Settings!$E$15="POINTS",E51-VLOOKUP(B$2,C1:E66,3,FALSE),J51)</f>
        <v>-4.133558702231138</v>
      </c>
      <c r="G51" s="55"/>
      <c r="H51" s="166" cm="1">
        <f t="array" ref="H51">RANK(I51,I3:I66)</f>
        <v>45</v>
      </c>
      <c r="I51" s="167" cm="1">
        <f t="array" ref="I51">VLOOKUP(A51,'Standard Deviations'!A1:C672,3,FALSE)</f>
        <v>-2.0953734431074631</v>
      </c>
      <c r="J51" s="167" cm="1">
        <f t="array" ref="J51">I51-VLOOKUP(B$2,H1:J66,2,FALSE)</f>
        <v>-4.133558702231138</v>
      </c>
    </row>
    <row r="52" spans="1:10" ht="21.25" customHeight="1" x14ac:dyDescent="0.15">
      <c r="A52" s="10" t="s">
        <v>610</v>
      </c>
      <c r="B52" s="140" t="str" cm="1">
        <f t="array" ref="B52">VLOOKUP(A52,'The List'!B1:D671,3,FALSE)</f>
        <v>G</v>
      </c>
      <c r="C52" s="174" cm="1">
        <f t="array" ref="C52">RANK(E52,E3:E66)</f>
        <v>38</v>
      </c>
      <c r="D52" s="18" t="str" cm="1">
        <f t="array" ref="D52">VLOOKUP(A52,'The List'!B1:F671,5,FALSE)</f>
        <v>DAL</v>
      </c>
      <c r="E52" s="55" cm="1">
        <f t="array" ref="E52">VLOOKUP(A52,'The List'!B1:I671,8,FALSE)</f>
        <v>-1.0001945427794134</v>
      </c>
      <c r="F52" s="55" cm="1">
        <f t="array" ref="F52">IF(Settings!$E$15="POINTS",E52-VLOOKUP(B$2,C1:E66,3,FALSE),J52)</f>
        <v>-3.0383798019030883</v>
      </c>
      <c r="G52" s="55"/>
      <c r="H52" s="166" cm="1">
        <f t="array" ref="H52">RANK(I52,I3:I66)</f>
        <v>38</v>
      </c>
      <c r="I52" s="167" cm="1">
        <f t="array" ref="I52">VLOOKUP(A52,'Standard Deviations'!A1:C672,3,FALSE)</f>
        <v>-1.0001945427794134</v>
      </c>
      <c r="J52" s="167" cm="1">
        <f t="array" ref="J52">I52-VLOOKUP(B$2,H1:J66,2,FALSE)</f>
        <v>-3.0383798019030883</v>
      </c>
    </row>
    <row r="53" spans="1:10" ht="21.25" customHeight="1" x14ac:dyDescent="0.15">
      <c r="A53" s="10" t="s">
        <v>614</v>
      </c>
      <c r="B53" s="140" t="str" cm="1">
        <f t="array" ref="B53">VLOOKUP(A53,'The List'!B1:D671,3,FALSE)</f>
        <v>G</v>
      </c>
      <c r="C53" s="174" cm="1">
        <f t="array" ref="C53">RANK(E53,E3:E66)</f>
        <v>43</v>
      </c>
      <c r="D53" s="18" t="str" cm="1">
        <f t="array" ref="D53">VLOOKUP(A53,'The List'!B1:F671,5,FALSE)</f>
        <v>FLA</v>
      </c>
      <c r="E53" s="55" cm="1">
        <f t="array" ref="E53">VLOOKUP(A53,'The List'!B1:I671,8,FALSE)</f>
        <v>-1.5088523495721187</v>
      </c>
      <c r="F53" s="55" cm="1">
        <f t="array" ref="F53">IF(Settings!$E$15="POINTS",E53-VLOOKUP(B$2,C1:E66,3,FALSE),J53)</f>
        <v>-3.5470376086957938</v>
      </c>
      <c r="G53" s="55"/>
      <c r="H53" s="166" cm="1">
        <f t="array" ref="H53">RANK(I53,I3:I66)</f>
        <v>43</v>
      </c>
      <c r="I53" s="167" cm="1">
        <f t="array" ref="I53">VLOOKUP(A53,'Standard Deviations'!A1:C672,3,FALSE)</f>
        <v>-1.5088523495721187</v>
      </c>
      <c r="J53" s="167" cm="1">
        <f t="array" ref="J53">I53-VLOOKUP(B$2,H1:J66,2,FALSE)</f>
        <v>-3.5470376086957938</v>
      </c>
    </row>
    <row r="54" spans="1:10" ht="21.25" customHeight="1" x14ac:dyDescent="0.15">
      <c r="A54" s="10" t="s">
        <v>615</v>
      </c>
      <c r="B54" s="140" t="str" cm="1">
        <f t="array" ref="B54">VLOOKUP(A54,'The List'!B1:D671,3,FALSE)</f>
        <v>G</v>
      </c>
      <c r="C54" s="174" cm="1">
        <f t="array" ref="C54">RANK(E54,E3:E66)</f>
        <v>52</v>
      </c>
      <c r="D54" s="18" t="str" cm="1">
        <f t="array" ref="D54">VLOOKUP(A54,'The List'!B1:F671,5,FALSE)</f>
        <v>BOS</v>
      </c>
      <c r="E54" s="55" cm="1">
        <f t="array" ref="E54">VLOOKUP(A54,'The List'!B1:I671,8,FALSE)</f>
        <v>-3.3420735066065905</v>
      </c>
      <c r="F54" s="55" cm="1">
        <f t="array" ref="F54">IF(Settings!$E$15="POINTS",E54-VLOOKUP(B$2,C1:E66,3,FALSE),J54)</f>
        <v>-5.3802587657302654</v>
      </c>
      <c r="G54" s="55"/>
      <c r="H54" s="166" cm="1">
        <f t="array" ref="H54">RANK(I54,I3:I66)</f>
        <v>52</v>
      </c>
      <c r="I54" s="167" cm="1">
        <f t="array" ref="I54">VLOOKUP(A54,'Standard Deviations'!A1:C672,3,FALSE)</f>
        <v>-3.3420735066065905</v>
      </c>
      <c r="J54" s="167" cm="1">
        <f t="array" ref="J54">I54-VLOOKUP(B$2,H1:J66,2,FALSE)</f>
        <v>-5.3802587657302654</v>
      </c>
    </row>
    <row r="55" spans="1:10" ht="21.25" customHeight="1" x14ac:dyDescent="0.15">
      <c r="A55" s="10" t="s">
        <v>632</v>
      </c>
      <c r="B55" s="140" t="str" cm="1">
        <f t="array" ref="B55">VLOOKUP(A55,'The List'!B1:D671,3,FALSE)</f>
        <v>G</v>
      </c>
      <c r="C55" s="174" cm="1">
        <f t="array" ref="C55">RANK(E55,E3:E66)</f>
        <v>41</v>
      </c>
      <c r="D55" s="18" t="str" cm="1">
        <f t="array" ref="D55">VLOOKUP(A55,'The List'!B1:F671,5,FALSE)</f>
        <v>T.B</v>
      </c>
      <c r="E55" s="55" cm="1">
        <f t="array" ref="E55">VLOOKUP(A55,'The List'!B1:I671,8,FALSE)</f>
        <v>-1.4375549394189435</v>
      </c>
      <c r="F55" s="55" cm="1">
        <f t="array" ref="F55">IF(Settings!$E$15="POINTS",E55-VLOOKUP(B$2,C1:E66,3,FALSE),J55)</f>
        <v>-3.4757401985426184</v>
      </c>
      <c r="G55" s="55"/>
      <c r="H55" s="166" cm="1">
        <f t="array" ref="H55">RANK(I55,I3:I66)</f>
        <v>41</v>
      </c>
      <c r="I55" s="167" cm="1">
        <f t="array" ref="I55">VLOOKUP(A55,'Standard Deviations'!A1:C672,3,FALSE)</f>
        <v>-1.4375549394189435</v>
      </c>
      <c r="J55" s="167" cm="1">
        <f t="array" ref="J55">I55-VLOOKUP(B$2,H1:J66,2,FALSE)</f>
        <v>-3.4757401985426184</v>
      </c>
    </row>
    <row r="56" spans="1:10" ht="21.25" customHeight="1" x14ac:dyDescent="0.15">
      <c r="A56" s="10" t="s">
        <v>635</v>
      </c>
      <c r="B56" s="140" t="str" cm="1">
        <f t="array" ref="B56">VLOOKUP(A56,'The List'!B1:D671,3,FALSE)</f>
        <v>G</v>
      </c>
      <c r="C56" s="174" cm="1">
        <f t="array" ref="C56">RANK(E56,E3:E66)</f>
        <v>59</v>
      </c>
      <c r="D56" s="18" t="str" cm="1">
        <f t="array" ref="D56">VLOOKUP(A56,'The List'!B1:F671,5,FALSE)</f>
        <v>CGY</v>
      </c>
      <c r="E56" s="55" cm="1">
        <f t="array" ref="E56">VLOOKUP(A56,'The List'!B1:I671,8,FALSE)</f>
        <v>-5.0525297096037898</v>
      </c>
      <c r="F56" s="55" cm="1">
        <f t="array" ref="F56">IF(Settings!$E$15="POINTS",E56-VLOOKUP(B$2,C1:E66,3,FALSE),J56)</f>
        <v>-7.0907149687274647</v>
      </c>
      <c r="G56" s="55"/>
      <c r="H56" s="166" cm="1">
        <f t="array" ref="H56">RANK(I56,I3:I66)</f>
        <v>59</v>
      </c>
      <c r="I56" s="167" cm="1">
        <f t="array" ref="I56">VLOOKUP(A56,'Standard Deviations'!A1:C672,3,FALSE)</f>
        <v>-5.0525297096037898</v>
      </c>
      <c r="J56" s="167" cm="1">
        <f t="array" ref="J56">I56-VLOOKUP(B$2,H1:J66,2,FALSE)</f>
        <v>-7.0907149687274647</v>
      </c>
    </row>
    <row r="57" spans="1:10" ht="21.25" customHeight="1" x14ac:dyDescent="0.15">
      <c r="A57" s="10" t="s">
        <v>648</v>
      </c>
      <c r="B57" s="140" t="str" cm="1">
        <f t="array" ref="B57">VLOOKUP(A57,'The List'!B1:D671,3,FALSE)</f>
        <v>G</v>
      </c>
      <c r="C57" s="174" cm="1">
        <f t="array" ref="C57">RANK(E57,E3:E66)</f>
        <v>53</v>
      </c>
      <c r="D57" s="18" t="str" cm="1">
        <f t="array" ref="D57">VLOOKUP(A57,'The List'!B1:F671,5,FALSE)</f>
        <v>NYR</v>
      </c>
      <c r="E57" s="55" cm="1">
        <f t="array" ref="E57">VLOOKUP(A57,'The List'!B1:I671,8,FALSE)</f>
        <v>-3.4451402699581228</v>
      </c>
      <c r="F57" s="55" cm="1">
        <f t="array" ref="F57">IF(Settings!$E$15="POINTS",E57-VLOOKUP(B$2,C1:E66,3,FALSE),J57)</f>
        <v>-5.4833255290817977</v>
      </c>
      <c r="G57" s="55"/>
      <c r="H57" s="166" cm="1">
        <f t="array" ref="H57">RANK(I57,I3:I66)</f>
        <v>53</v>
      </c>
      <c r="I57" s="167" cm="1">
        <f t="array" ref="I57">VLOOKUP(A57,'Standard Deviations'!A1:C672,3,FALSE)</f>
        <v>-3.4451402699581228</v>
      </c>
      <c r="J57" s="167" cm="1">
        <f t="array" ref="J57">I57-VLOOKUP(B$2,H1:J66,2,FALSE)</f>
        <v>-5.4833255290817977</v>
      </c>
    </row>
    <row r="58" spans="1:10" ht="21.25" customHeight="1" x14ac:dyDescent="0.15">
      <c r="A58" s="10" t="s">
        <v>650</v>
      </c>
      <c r="B58" s="140" t="str" cm="1">
        <f t="array" ref="B58">VLOOKUP(A58,'The List'!B1:D671,3,FALSE)</f>
        <v>G</v>
      </c>
      <c r="C58" s="174" cm="1">
        <f t="array" ref="C58">RANK(E58,E3:E66)</f>
        <v>54</v>
      </c>
      <c r="D58" s="18" t="str" cm="1">
        <f t="array" ref="D58">VLOOKUP(A58,'The List'!B1:F671,5,FALSE)</f>
        <v>WSH</v>
      </c>
      <c r="E58" s="55" cm="1">
        <f t="array" ref="E58">VLOOKUP(A58,'The List'!B1:I671,8,FALSE)</f>
        <v>-3.5439292219675491</v>
      </c>
      <c r="F58" s="55" cm="1">
        <f t="array" ref="F58">IF(Settings!$E$15="POINTS",E58-VLOOKUP(B$2,C1:E66,3,FALSE),J58)</f>
        <v>-5.5821144810912244</v>
      </c>
      <c r="G58" s="55"/>
      <c r="H58" s="166" cm="1">
        <f t="array" ref="H58">RANK(I58,I3:I66)</f>
        <v>54</v>
      </c>
      <c r="I58" s="167" cm="1">
        <f t="array" ref="I58">VLOOKUP(A58,'Standard Deviations'!A1:C672,3,FALSE)</f>
        <v>-3.5439292219675491</v>
      </c>
      <c r="J58" s="167" cm="1">
        <f t="array" ref="J58">I58-VLOOKUP(B$2,H1:J66,2,FALSE)</f>
        <v>-5.5821144810912244</v>
      </c>
    </row>
    <row r="59" spans="1:10" ht="21.25" customHeight="1" x14ac:dyDescent="0.15">
      <c r="A59" s="10" t="s">
        <v>651</v>
      </c>
      <c r="B59" s="140" t="str" cm="1">
        <f t="array" ref="B59">VLOOKUP(A59,'The List'!B1:D671,3,FALSE)</f>
        <v>G</v>
      </c>
      <c r="C59" s="174" cm="1">
        <f t="array" ref="C59">RANK(E59,E3:E66)</f>
        <v>47</v>
      </c>
      <c r="D59" s="18" t="str" cm="1">
        <f t="array" ref="D59">VLOOKUP(A59,'The List'!B1:F671,5,FALSE)</f>
        <v>OTT</v>
      </c>
      <c r="E59" s="55" cm="1">
        <f t="array" ref="E59">VLOOKUP(A59,'The List'!B1:I671,8,FALSE)</f>
        <v>-2.5491698416396789</v>
      </c>
      <c r="F59" s="55" cm="1">
        <f t="array" ref="F59">IF(Settings!$E$15="POINTS",E59-VLOOKUP(B$2,C1:E66,3,FALSE),J59)</f>
        <v>-4.5873551007633537</v>
      </c>
      <c r="G59" s="55"/>
      <c r="H59" s="166" cm="1">
        <f t="array" ref="H59">RANK(I59,I3:I66)</f>
        <v>47</v>
      </c>
      <c r="I59" s="167" cm="1">
        <f t="array" ref="I59">VLOOKUP(A59,'Standard Deviations'!A1:C672,3,FALSE)</f>
        <v>-2.5491698416396789</v>
      </c>
      <c r="J59" s="167" cm="1">
        <f t="array" ref="J59">I59-VLOOKUP(B$2,H1:J66,2,FALSE)</f>
        <v>-4.5873551007633537</v>
      </c>
    </row>
    <row r="60" spans="1:10" ht="21.25" customHeight="1" x14ac:dyDescent="0.15">
      <c r="A60" s="10" t="s">
        <v>652</v>
      </c>
      <c r="B60" s="140" t="str" cm="1">
        <f t="array" ref="B60">VLOOKUP(A60,'The List'!B1:D671,3,FALSE)</f>
        <v>G</v>
      </c>
      <c r="C60" s="174" cm="1">
        <f t="array" ref="C60">RANK(E60,E3:E66)</f>
        <v>63</v>
      </c>
      <c r="D60" s="18" t="str" cm="1">
        <f t="array" ref="D60">VLOOKUP(A60,'The List'!B1:F671,5,FALSE)</f>
        <v>ANA</v>
      </c>
      <c r="E60" s="55" cm="1">
        <f t="array" ref="E60">VLOOKUP(A60,'The List'!B1:I671,8,FALSE)</f>
        <v>-6.5388547929681877</v>
      </c>
      <c r="F60" s="55" cm="1">
        <f t="array" ref="F60">IF(Settings!$E$15="POINTS",E60-VLOOKUP(B$2,C1:E66,3,FALSE),J60)</f>
        <v>-8.5770400520918635</v>
      </c>
      <c r="G60" s="55"/>
      <c r="H60" s="166" cm="1">
        <f t="array" ref="H60">RANK(I60,I3:I66)</f>
        <v>63</v>
      </c>
      <c r="I60" s="167" cm="1">
        <f t="array" ref="I60">VLOOKUP(A60,'Standard Deviations'!A1:C672,3,FALSE)</f>
        <v>-6.5388547929681877</v>
      </c>
      <c r="J60" s="167" cm="1">
        <f t="array" ref="J60">I60-VLOOKUP(B$2,H1:J66,2,FALSE)</f>
        <v>-8.5770400520918635</v>
      </c>
    </row>
    <row r="61" spans="1:10" ht="21.25" customHeight="1" x14ac:dyDescent="0.15">
      <c r="A61" s="10" t="s">
        <v>655</v>
      </c>
      <c r="B61" s="140" t="str" cm="1">
        <f t="array" ref="B61">VLOOKUP(A61,'The List'!B1:D671,3,FALSE)</f>
        <v>G</v>
      </c>
      <c r="C61" s="174" cm="1">
        <f t="array" ref="C61">RANK(E61,E3:E66)</f>
        <v>56</v>
      </c>
      <c r="D61" s="18" t="str" cm="1">
        <f t="array" ref="D61">VLOOKUP(A61,'The List'!B1:F671,5,FALSE)</f>
        <v>DET</v>
      </c>
      <c r="E61" s="55" cm="1">
        <f t="array" ref="E61">VLOOKUP(A61,'The List'!B1:I671,8,FALSE)</f>
        <v>-3.8310264542219823</v>
      </c>
      <c r="F61" s="55" cm="1">
        <f t="array" ref="F61">IF(Settings!$E$15="POINTS",E61-VLOOKUP(B$2,C1:E66,3,FALSE),J61)</f>
        <v>-5.8692117133456572</v>
      </c>
      <c r="G61" s="55"/>
      <c r="H61" s="166" cm="1">
        <f t="array" ref="H61">RANK(I61,I3:I66)</f>
        <v>56</v>
      </c>
      <c r="I61" s="167" cm="1">
        <f t="array" ref="I61">VLOOKUP(A61,'Standard Deviations'!A1:C672,3,FALSE)</f>
        <v>-3.8310264542219823</v>
      </c>
      <c r="J61" s="167" cm="1">
        <f t="array" ref="J61">I61-VLOOKUP(B$2,H1:J66,2,FALSE)</f>
        <v>-5.8692117133456572</v>
      </c>
    </row>
    <row r="62" spans="1:10" ht="21.25" customHeight="1" x14ac:dyDescent="0.15">
      <c r="A62" s="10" t="s">
        <v>659</v>
      </c>
      <c r="B62" s="140" t="str" cm="1">
        <f t="array" ref="B62">VLOOKUP(A62,'The List'!B1:D671,3,FALSE)</f>
        <v>G</v>
      </c>
      <c r="C62" s="174" cm="1">
        <f t="array" ref="C62">RANK(E62,E3:E66)</f>
        <v>57</v>
      </c>
      <c r="D62" s="18" t="str" cm="1">
        <f t="array" ref="D62">VLOOKUP(A62,'The List'!B1:F671,5,FALSE)</f>
        <v>CBJ</v>
      </c>
      <c r="E62" s="55" cm="1">
        <f t="array" ref="E62">VLOOKUP(A62,'The List'!B1:I671,8,FALSE)</f>
        <v>-3.9292157303871766</v>
      </c>
      <c r="F62" s="55" cm="1">
        <f t="array" ref="F62">IF(Settings!$E$15="POINTS",E62-VLOOKUP(B$2,C1:E66,3,FALSE),J62)</f>
        <v>-5.9674009895108515</v>
      </c>
      <c r="G62" s="55"/>
      <c r="H62" s="166" cm="1">
        <f t="array" ref="H62">RANK(I62,I3:I66)</f>
        <v>57</v>
      </c>
      <c r="I62" s="167" cm="1">
        <f t="array" ref="I62">VLOOKUP(A62,'Standard Deviations'!A1:C672,3,FALSE)</f>
        <v>-3.9292157303871766</v>
      </c>
      <c r="J62" s="167" cm="1">
        <f t="array" ref="J62">I62-VLOOKUP(B$2,H1:J66,2,FALSE)</f>
        <v>-5.9674009895108515</v>
      </c>
    </row>
    <row r="63" spans="1:10" ht="21.25" customHeight="1" x14ac:dyDescent="0.15">
      <c r="A63" s="10" t="s">
        <v>660</v>
      </c>
      <c r="B63" s="140" t="str" cm="1">
        <f t="array" ref="B63">VLOOKUP(A63,'The List'!B1:D671,3,FALSE)</f>
        <v>G</v>
      </c>
      <c r="C63" s="174" cm="1">
        <f t="array" ref="C63">RANK(E63,E3:E66)</f>
        <v>61</v>
      </c>
      <c r="D63" s="18" t="str" cm="1">
        <f t="array" ref="D63">VLOOKUP(A63,'The List'!B1:F671,5,FALSE)</f>
        <v>NYI</v>
      </c>
      <c r="E63" s="55" cm="1">
        <f t="array" ref="E63">VLOOKUP(A63,'The List'!B1:I671,8,FALSE)</f>
        <v>-5.6170739300860859</v>
      </c>
      <c r="F63" s="55" cm="1">
        <f t="array" ref="F63">IF(Settings!$E$15="POINTS",E63-VLOOKUP(B$2,C1:E66,3,FALSE),J63)</f>
        <v>-7.6552591892097608</v>
      </c>
      <c r="G63" s="55"/>
      <c r="H63" s="166" cm="1">
        <f t="array" ref="H63">RANK(I63,I3:I66)</f>
        <v>61</v>
      </c>
      <c r="I63" s="167" cm="1">
        <f t="array" ref="I63">VLOOKUP(A63,'Standard Deviations'!A1:C672,3,FALSE)</f>
        <v>-5.6170739300860859</v>
      </c>
      <c r="J63" s="167" cm="1">
        <f t="array" ref="J63">I63-VLOOKUP(B$2,H1:J66,2,FALSE)</f>
        <v>-7.6552591892097608</v>
      </c>
    </row>
    <row r="64" spans="1:10" ht="21.25" customHeight="1" x14ac:dyDescent="0.15">
      <c r="A64" s="10" t="s">
        <v>662</v>
      </c>
      <c r="B64" s="140" t="str" cm="1">
        <f t="array" ref="B64">VLOOKUP(A64,'The List'!B1:D671,3,FALSE)</f>
        <v>G</v>
      </c>
      <c r="C64" s="174" cm="1">
        <f t="array" ref="C64">RANK(E64,E3:E66)</f>
        <v>64</v>
      </c>
      <c r="D64" s="18" t="str" cm="1">
        <f t="array" ref="D64">VLOOKUP(A64,'The List'!B1:F671,5,FALSE)</f>
        <v>CHI</v>
      </c>
      <c r="E64" s="55" cm="1">
        <f t="array" ref="E64">VLOOKUP(A64,'The List'!B1:I671,8,FALSE)</f>
        <v>-7.4320291691413827</v>
      </c>
      <c r="F64" s="55" cm="1">
        <f t="array" ref="F64">IF(Settings!$E$15="POINTS",E64-VLOOKUP(B$2,C1:E66,3,FALSE),J64)</f>
        <v>-9.4702144282650575</v>
      </c>
      <c r="G64" s="55"/>
      <c r="H64" s="166" cm="1">
        <f t="array" ref="H64">RANK(I64,I3:I66)</f>
        <v>64</v>
      </c>
      <c r="I64" s="167" cm="1">
        <f t="array" ref="I64">VLOOKUP(A64,'Standard Deviations'!A1:C672,3,FALSE)</f>
        <v>-7.4320291691413827</v>
      </c>
      <c r="J64" s="167" cm="1">
        <f t="array" ref="J64">I64-VLOOKUP(B$2,H1:J66,2,FALSE)</f>
        <v>-9.4702144282650575</v>
      </c>
    </row>
    <row r="65" spans="1:10" ht="21.25" customHeight="1" x14ac:dyDescent="0.15">
      <c r="A65" s="10" t="s">
        <v>701</v>
      </c>
      <c r="B65" s="140" t="str" cm="1">
        <f t="array" ref="B65">VLOOKUP(A65,'The List'!B1:D671,3,FALSE)</f>
        <v>G</v>
      </c>
      <c r="C65" s="174" cm="1">
        <f t="array" ref="C65">RANK(E65,E3:E66)</f>
        <v>60</v>
      </c>
      <c r="D65" s="18" t="str" cm="1">
        <f t="array" ref="D65">VLOOKUP(A65,'The List'!B1:F671,5,FALSE)</f>
        <v>NSH</v>
      </c>
      <c r="E65" s="55" cm="1">
        <f t="array" ref="E65">VLOOKUP(A65,'The List'!B1:I671,8,FALSE)</f>
        <v>-5.2424544900268097</v>
      </c>
      <c r="F65" s="55" cm="1">
        <f t="array" ref="F65">IF(Settings!$E$15="POINTS",E65-VLOOKUP(B$2,C1:E66,3,FALSE),J65)</f>
        <v>-7.2806397491504846</v>
      </c>
      <c r="G65" s="55"/>
      <c r="H65" s="166" cm="1">
        <f t="array" ref="H65">RANK(I65,I3:I66)</f>
        <v>60</v>
      </c>
      <c r="I65" s="167" cm="1">
        <f t="array" ref="I65">VLOOKUP(A65,'Standard Deviations'!A1:C672,3,FALSE)</f>
        <v>-5.2424544900268097</v>
      </c>
      <c r="J65" s="167" cm="1">
        <f t="array" ref="J65">I65-VLOOKUP(B$2,H1:J66,2,FALSE)</f>
        <v>-7.2806397491504846</v>
      </c>
    </row>
    <row r="66" spans="1:10" ht="21.25" customHeight="1" x14ac:dyDescent="0.15">
      <c r="A66" s="10" t="s">
        <v>705</v>
      </c>
      <c r="B66" s="140" t="str" cm="1">
        <f t="array" ref="B66">VLOOKUP(A66,'The List'!B1:D671,3,FALSE)</f>
        <v>G</v>
      </c>
      <c r="C66" s="174" cm="1">
        <f t="array" ref="C66">RANK(E66,E3:E66)</f>
        <v>26</v>
      </c>
      <c r="D66" s="18" t="str" cm="1">
        <f t="array" ref="D66">VLOOKUP(A66,'The List'!B1:F671,5,FALSE)</f>
        <v>WPG</v>
      </c>
      <c r="E66" s="55" cm="1">
        <f t="array" ref="E66">VLOOKUP(A66,'The List'!B1:I671,8,FALSE)</f>
        <v>0.92860769036590973</v>
      </c>
      <c r="F66" s="55" cm="1">
        <f t="array" ref="F66">IF(Settings!$E$15="POINTS",E66-VLOOKUP(B$2,C1:E66,3,FALSE),J66)</f>
        <v>-1.1095775687577651</v>
      </c>
      <c r="G66" s="55"/>
      <c r="H66" s="166" cm="1">
        <f t="array" ref="H66">RANK(I66,I3:I66)</f>
        <v>26</v>
      </c>
      <c r="I66" s="167" cm="1">
        <f t="array" ref="I66">VLOOKUP(A66,'Standard Deviations'!A1:C672,3,FALSE)</f>
        <v>0.92860769036590973</v>
      </c>
      <c r="J66" s="167" cm="1">
        <f t="array" ref="J66">I66-VLOOKUP(B$2,H1:J66,2,FALSE)</f>
        <v>-1.1095775687577651</v>
      </c>
    </row>
  </sheetData>
  <conditionalFormatting sqref="C3:C66 H3:H66">
    <cfRule type="containsText" dxfId="5" priority="1" stopIfTrue="1" operator="containsText" text="/">
      <formula>NOT(ISERROR(FIND(UPPER("/"),UPPER(C3))))</formula>
      <formula>"/"</formula>
    </cfRule>
    <cfRule type="containsText" dxfId="4" priority="2" stopIfTrue="1" operator="containsText" text="C">
      <formula>NOT(ISERROR(FIND(UPPER("C"),UPPER(C3))))</formula>
      <formula>"C"</formula>
    </cfRule>
    <cfRule type="containsText" dxfId="3" priority="3" stopIfTrue="1" operator="containsText" text="D">
      <formula>NOT(ISERROR(FIND(UPPER("D"),UPPER(C3))))</formula>
      <formula>"D"</formula>
    </cfRule>
    <cfRule type="containsText" dxfId="2" priority="4" stopIfTrue="1" operator="containsText" text="LW">
      <formula>NOT(ISERROR(FIND(UPPER("LW"),UPPER(C3))))</formula>
      <formula>"LW"</formula>
    </cfRule>
    <cfRule type="containsText" dxfId="1" priority="5" stopIfTrue="1" operator="containsText" text="RW">
      <formula>NOT(ISERROR(FIND(UPPER("RW"),UPPER(C3))))</formula>
      <formula>"RW"</formula>
    </cfRule>
    <cfRule type="containsText" dxfId="0" priority="6" stopIfTrue="1" operator="containsText" text="G">
      <formula>NOT(ISERROR(FIND(UPPER("G"),UPPER(C3))))</formula>
      <formula>"G"</formula>
    </cfRule>
  </conditionalFormatting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671"/>
  <sheetViews>
    <sheetView showGridLines="0" workbookViewId="0">
      <pane ySplit="1" topLeftCell="A2" activePane="bottomLeft" state="frozen"/>
      <selection pane="bottomLeft" activeCell="K12" sqref="K12"/>
    </sheetView>
  </sheetViews>
  <sheetFormatPr baseColWidth="10" defaultColWidth="8" defaultRowHeight="16.25" customHeight="1" x14ac:dyDescent="0.15"/>
  <cols>
    <col min="1" max="1" width="28.33203125" style="1" customWidth="1"/>
    <col min="2" max="5" width="9.5" style="1" customWidth="1"/>
    <col min="6" max="7" width="11.83203125" style="1" customWidth="1"/>
    <col min="8" max="8" width="8" style="1" customWidth="1"/>
    <col min="9" max="16384" width="8" style="1"/>
  </cols>
  <sheetData>
    <row r="1" spans="1:7" ht="42.5" customHeight="1" x14ac:dyDescent="0.15">
      <c r="A1" s="2" t="s">
        <v>90</v>
      </c>
      <c r="B1" s="175" t="s">
        <v>824</v>
      </c>
      <c r="C1" s="175" t="s">
        <v>825</v>
      </c>
      <c r="D1" s="175" t="s">
        <v>826</v>
      </c>
      <c r="E1" s="176"/>
      <c r="F1" s="175" t="s">
        <v>95</v>
      </c>
      <c r="G1" s="175" t="s">
        <v>827</v>
      </c>
    </row>
    <row r="2" spans="1:7" ht="21.25" customHeight="1" x14ac:dyDescent="0.15">
      <c r="A2" s="10" t="s">
        <v>127</v>
      </c>
      <c r="B2" s="177">
        <v>1.5</v>
      </c>
      <c r="C2" s="177">
        <v>1.7</v>
      </c>
      <c r="D2" s="177">
        <v>1.6</v>
      </c>
      <c r="E2" s="84"/>
      <c r="F2" s="178">
        <v>12500000</v>
      </c>
      <c r="G2" s="179"/>
    </row>
    <row r="3" spans="1:7" ht="21.25" customHeight="1" x14ac:dyDescent="0.15">
      <c r="A3" s="10" t="s">
        <v>126</v>
      </c>
      <c r="B3" s="177">
        <v>2</v>
      </c>
      <c r="C3" s="177">
        <v>1.5</v>
      </c>
      <c r="D3" s="177">
        <v>1.8</v>
      </c>
      <c r="E3" s="84"/>
      <c r="F3" s="178">
        <v>12600000</v>
      </c>
      <c r="G3" s="179"/>
    </row>
    <row r="4" spans="1:7" ht="21.25" customHeight="1" x14ac:dyDescent="0.15">
      <c r="A4" s="10" t="s">
        <v>128</v>
      </c>
      <c r="B4" s="177">
        <v>3.8</v>
      </c>
      <c r="C4" s="177">
        <v>3.6</v>
      </c>
      <c r="D4" s="177">
        <v>3.7</v>
      </c>
      <c r="E4" s="84"/>
      <c r="F4" s="178">
        <v>9500000</v>
      </c>
      <c r="G4" s="179"/>
    </row>
    <row r="5" spans="1:7" ht="21.25" customHeight="1" x14ac:dyDescent="0.15">
      <c r="A5" s="10" t="s">
        <v>132</v>
      </c>
      <c r="B5" s="177">
        <v>4.4000000000000004</v>
      </c>
      <c r="C5" s="177">
        <v>3.8</v>
      </c>
      <c r="D5" s="177">
        <v>4.0999999999999996</v>
      </c>
      <c r="E5" s="84"/>
      <c r="F5" s="178">
        <v>975000</v>
      </c>
      <c r="G5" s="179" t="s">
        <v>84</v>
      </c>
    </row>
    <row r="6" spans="1:7" ht="21.25" customHeight="1" x14ac:dyDescent="0.15">
      <c r="A6" s="10" t="s">
        <v>136</v>
      </c>
      <c r="B6" s="177">
        <v>5.7</v>
      </c>
      <c r="C6" s="177">
        <v>5.2</v>
      </c>
      <c r="D6" s="177">
        <v>5.5</v>
      </c>
      <c r="E6" s="84"/>
      <c r="F6" s="178">
        <v>14000000</v>
      </c>
      <c r="G6" s="179"/>
    </row>
    <row r="7" spans="1:7" ht="21.25" customHeight="1" x14ac:dyDescent="0.15">
      <c r="A7" s="10" t="s">
        <v>130</v>
      </c>
      <c r="B7" s="177">
        <v>6.7</v>
      </c>
      <c r="C7" s="177">
        <v>7.8</v>
      </c>
      <c r="D7" s="177">
        <v>7.3</v>
      </c>
      <c r="E7" s="84"/>
      <c r="F7" s="178">
        <v>9000000</v>
      </c>
      <c r="G7" s="179"/>
    </row>
    <row r="8" spans="1:7" ht="21.25" customHeight="1" x14ac:dyDescent="0.15">
      <c r="A8" s="10" t="s">
        <v>134</v>
      </c>
      <c r="B8" s="177">
        <v>8.1</v>
      </c>
      <c r="C8" s="177">
        <v>7.2</v>
      </c>
      <c r="D8" s="177">
        <v>7.7</v>
      </c>
      <c r="E8" s="84"/>
      <c r="F8" s="178">
        <v>11250000</v>
      </c>
      <c r="G8" s="179"/>
    </row>
    <row r="9" spans="1:7" ht="21.25" customHeight="1" x14ac:dyDescent="0.15">
      <c r="A9" s="10" t="s">
        <v>146</v>
      </c>
      <c r="B9" s="177">
        <v>9.4</v>
      </c>
      <c r="C9" s="177">
        <v>8.5</v>
      </c>
      <c r="D9" s="177">
        <v>9</v>
      </c>
      <c r="E9" s="84"/>
      <c r="F9" s="178">
        <v>17000000</v>
      </c>
      <c r="G9" s="179" t="s">
        <v>84</v>
      </c>
    </row>
    <row r="10" spans="1:7" ht="21.25" customHeight="1" x14ac:dyDescent="0.15">
      <c r="A10" s="10" t="s">
        <v>142</v>
      </c>
      <c r="B10" s="177">
        <v>9.8000000000000007</v>
      </c>
      <c r="C10" s="177">
        <v>12</v>
      </c>
      <c r="D10" s="177">
        <v>10.9</v>
      </c>
      <c r="E10" s="84"/>
      <c r="F10" s="178">
        <v>12000000</v>
      </c>
      <c r="G10" s="179"/>
    </row>
    <row r="11" spans="1:7" ht="21.25" customHeight="1" x14ac:dyDescent="0.15">
      <c r="A11" s="10" t="s">
        <v>131</v>
      </c>
      <c r="B11" s="177">
        <v>12</v>
      </c>
      <c r="C11" s="177">
        <v>15.2</v>
      </c>
      <c r="D11" s="177">
        <v>13.6</v>
      </c>
      <c r="E11" s="84"/>
      <c r="F11" s="178">
        <v>7850000</v>
      </c>
      <c r="G11" s="179"/>
    </row>
    <row r="12" spans="1:7" ht="21.25" customHeight="1" x14ac:dyDescent="0.15">
      <c r="A12" s="10" t="s">
        <v>138</v>
      </c>
      <c r="B12" s="177">
        <v>16.2</v>
      </c>
      <c r="C12" s="177">
        <v>12.4</v>
      </c>
      <c r="D12" s="177">
        <v>14.3</v>
      </c>
      <c r="E12" s="84"/>
      <c r="F12" s="178">
        <v>13250000</v>
      </c>
      <c r="G12" s="179" t="s">
        <v>84</v>
      </c>
    </row>
    <row r="13" spans="1:7" ht="21.25" customHeight="1" x14ac:dyDescent="0.15">
      <c r="A13" s="10" t="s">
        <v>129</v>
      </c>
      <c r="B13" s="177">
        <v>15</v>
      </c>
      <c r="C13" s="177">
        <v>14</v>
      </c>
      <c r="D13" s="177">
        <v>14.5</v>
      </c>
      <c r="E13" s="84"/>
      <c r="F13" s="178">
        <v>9583000</v>
      </c>
      <c r="G13" s="179"/>
    </row>
    <row r="14" spans="1:7" ht="21.25" customHeight="1" x14ac:dyDescent="0.15">
      <c r="A14" s="10" t="s">
        <v>133</v>
      </c>
      <c r="B14" s="177">
        <v>15.9</v>
      </c>
      <c r="C14" s="177">
        <v>14.9</v>
      </c>
      <c r="D14" s="177">
        <v>15.4</v>
      </c>
      <c r="E14" s="84"/>
      <c r="F14" s="178">
        <v>10500000</v>
      </c>
      <c r="G14" s="179"/>
    </row>
    <row r="15" spans="1:7" ht="21.25" customHeight="1" x14ac:dyDescent="0.15">
      <c r="A15" s="10" t="s">
        <v>147</v>
      </c>
      <c r="B15" s="177">
        <v>12.7</v>
      </c>
      <c r="C15" s="177">
        <v>19.600000000000001</v>
      </c>
      <c r="D15" s="177">
        <v>16.2</v>
      </c>
      <c r="E15" s="84"/>
      <c r="F15" s="178">
        <v>7875000</v>
      </c>
      <c r="G15" s="179"/>
    </row>
    <row r="16" spans="1:7" ht="21.25" customHeight="1" x14ac:dyDescent="0.15">
      <c r="A16" s="10" t="s">
        <v>140</v>
      </c>
      <c r="B16" s="177">
        <v>18.600000000000001</v>
      </c>
      <c r="C16" s="177">
        <v>14.4</v>
      </c>
      <c r="D16" s="177">
        <v>16.5</v>
      </c>
      <c r="E16" s="84"/>
      <c r="F16" s="178">
        <v>8000000</v>
      </c>
      <c r="G16" s="179" t="s">
        <v>84</v>
      </c>
    </row>
    <row r="17" spans="1:7" ht="21.25" customHeight="1" x14ac:dyDescent="0.15">
      <c r="A17" s="10" t="s">
        <v>152</v>
      </c>
      <c r="B17" s="177">
        <v>16.2</v>
      </c>
      <c r="C17" s="177">
        <v>17.8</v>
      </c>
      <c r="D17" s="177">
        <v>17</v>
      </c>
      <c r="E17" s="84"/>
      <c r="F17" s="178">
        <v>11500000</v>
      </c>
      <c r="G17" s="179"/>
    </row>
    <row r="18" spans="1:7" ht="21.25" customHeight="1" x14ac:dyDescent="0.15">
      <c r="A18" s="10" t="s">
        <v>137</v>
      </c>
      <c r="B18" s="177">
        <v>22.5</v>
      </c>
      <c r="C18" s="177">
        <v>16.899999999999999</v>
      </c>
      <c r="D18" s="177">
        <v>19.7</v>
      </c>
      <c r="E18" s="84"/>
      <c r="F18" s="178">
        <v>13500000</v>
      </c>
      <c r="G18" s="179"/>
    </row>
    <row r="19" spans="1:7" ht="21.25" customHeight="1" x14ac:dyDescent="0.15">
      <c r="A19" s="10" t="s">
        <v>141</v>
      </c>
      <c r="B19" s="177">
        <v>21.5</v>
      </c>
      <c r="C19" s="177">
        <v>18.2</v>
      </c>
      <c r="D19" s="177">
        <v>19.899999999999999</v>
      </c>
      <c r="E19" s="84"/>
      <c r="F19" s="178">
        <v>7000000</v>
      </c>
      <c r="G19" s="179" t="s">
        <v>84</v>
      </c>
    </row>
    <row r="20" spans="1:7" ht="21.25" customHeight="1" x14ac:dyDescent="0.15">
      <c r="A20" s="10" t="s">
        <v>177</v>
      </c>
      <c r="B20" s="177">
        <v>17.899999999999999</v>
      </c>
      <c r="C20" s="177">
        <v>25.4</v>
      </c>
      <c r="D20" s="177">
        <v>21.7</v>
      </c>
      <c r="E20" s="84"/>
      <c r="F20" s="178">
        <v>7850000</v>
      </c>
      <c r="G20" s="179"/>
    </row>
    <row r="21" spans="1:7" ht="21.25" customHeight="1" x14ac:dyDescent="0.15">
      <c r="A21" s="10" t="s">
        <v>162</v>
      </c>
      <c r="B21" s="177">
        <v>25.6</v>
      </c>
      <c r="C21" s="177">
        <v>22</v>
      </c>
      <c r="D21" s="177">
        <v>23.8</v>
      </c>
      <c r="E21" s="84"/>
      <c r="F21" s="178">
        <v>12000000</v>
      </c>
      <c r="G21" s="179"/>
    </row>
    <row r="22" spans="1:7" ht="21.25" customHeight="1" x14ac:dyDescent="0.15">
      <c r="A22" s="10" t="s">
        <v>154</v>
      </c>
      <c r="B22" s="177">
        <v>19.8</v>
      </c>
      <c r="C22" s="177">
        <v>28.6</v>
      </c>
      <c r="D22" s="177">
        <v>24.2</v>
      </c>
      <c r="E22" s="84"/>
      <c r="F22" s="178">
        <v>8400000</v>
      </c>
      <c r="G22" s="179"/>
    </row>
    <row r="23" spans="1:7" ht="21.25" customHeight="1" x14ac:dyDescent="0.15">
      <c r="A23" s="10" t="s">
        <v>143</v>
      </c>
      <c r="B23" s="177">
        <v>20.5</v>
      </c>
      <c r="C23" s="177">
        <v>27.9</v>
      </c>
      <c r="D23" s="177">
        <v>24.2</v>
      </c>
      <c r="E23" s="84"/>
      <c r="F23" s="178">
        <v>8850000</v>
      </c>
      <c r="G23" s="179"/>
    </row>
    <row r="24" spans="1:7" ht="21.25" customHeight="1" x14ac:dyDescent="0.15">
      <c r="A24" s="10" t="s">
        <v>226</v>
      </c>
      <c r="B24" s="177">
        <v>25</v>
      </c>
      <c r="C24" s="177">
        <v>24.6</v>
      </c>
      <c r="D24" s="177">
        <v>24.8</v>
      </c>
      <c r="E24" s="84"/>
      <c r="F24" s="178">
        <v>8205000</v>
      </c>
      <c r="G24" s="179"/>
    </row>
    <row r="25" spans="1:7" ht="21.25" customHeight="1" x14ac:dyDescent="0.15">
      <c r="A25" s="10" t="s">
        <v>139</v>
      </c>
      <c r="B25" s="177">
        <v>31.4</v>
      </c>
      <c r="C25" s="177">
        <v>23.4</v>
      </c>
      <c r="D25" s="177">
        <v>27.4</v>
      </c>
      <c r="E25" s="84"/>
      <c r="F25" s="178">
        <v>975000</v>
      </c>
      <c r="G25" s="179" t="s">
        <v>84</v>
      </c>
    </row>
    <row r="26" spans="1:7" ht="21.25" customHeight="1" x14ac:dyDescent="0.15">
      <c r="A26" s="10" t="s">
        <v>169</v>
      </c>
      <c r="B26" s="177">
        <v>29.6</v>
      </c>
      <c r="C26" s="177">
        <v>25.5</v>
      </c>
      <c r="D26" s="177">
        <v>27.6</v>
      </c>
      <c r="E26" s="84"/>
      <c r="F26" s="178">
        <v>7142000</v>
      </c>
      <c r="G26" s="179"/>
    </row>
    <row r="27" spans="1:7" ht="21.25" customHeight="1" x14ac:dyDescent="0.15">
      <c r="A27" s="10" t="s">
        <v>135</v>
      </c>
      <c r="B27" s="177">
        <v>34.6</v>
      </c>
      <c r="C27" s="177">
        <v>21.5</v>
      </c>
      <c r="D27" s="177">
        <v>28.1</v>
      </c>
      <c r="E27" s="84"/>
      <c r="F27" s="178">
        <v>11000000</v>
      </c>
      <c r="G27" s="179" t="s">
        <v>83</v>
      </c>
    </row>
    <row r="28" spans="1:7" ht="21.25" customHeight="1" x14ac:dyDescent="0.15">
      <c r="A28" s="10" t="s">
        <v>153</v>
      </c>
      <c r="B28" s="177">
        <v>30.4</v>
      </c>
      <c r="C28" s="177">
        <v>29.5</v>
      </c>
      <c r="D28" s="177">
        <v>30</v>
      </c>
      <c r="E28" s="84"/>
      <c r="F28" s="178">
        <v>12000000</v>
      </c>
      <c r="G28" s="179"/>
    </row>
    <row r="29" spans="1:7" ht="21.25" customHeight="1" x14ac:dyDescent="0.15">
      <c r="A29" s="10" t="s">
        <v>151</v>
      </c>
      <c r="B29" s="177">
        <v>11.1</v>
      </c>
      <c r="C29" s="177">
        <v>50.4</v>
      </c>
      <c r="D29" s="177">
        <v>30.8</v>
      </c>
      <c r="E29" s="84"/>
      <c r="F29" s="178">
        <v>9500000</v>
      </c>
      <c r="G29" s="179"/>
    </row>
    <row r="30" spans="1:7" ht="21.25" customHeight="1" x14ac:dyDescent="0.15">
      <c r="A30" s="10" t="s">
        <v>182</v>
      </c>
      <c r="B30" s="177">
        <v>33.700000000000003</v>
      </c>
      <c r="C30" s="177">
        <v>28.5</v>
      </c>
      <c r="D30" s="177">
        <v>31.1</v>
      </c>
      <c r="E30" s="84"/>
      <c r="F30" s="178">
        <v>9500000</v>
      </c>
      <c r="G30" s="179"/>
    </row>
    <row r="31" spans="1:7" ht="21.25" customHeight="1" x14ac:dyDescent="0.15">
      <c r="A31" s="10" t="s">
        <v>189</v>
      </c>
      <c r="B31" s="177">
        <v>32.700000000000003</v>
      </c>
      <c r="C31" s="177">
        <v>33.299999999999997</v>
      </c>
      <c r="D31" s="177">
        <v>33</v>
      </c>
      <c r="E31" s="84"/>
      <c r="F31" s="178">
        <v>9000000</v>
      </c>
      <c r="G31" s="179"/>
    </row>
    <row r="32" spans="1:7" ht="21.25" customHeight="1" x14ac:dyDescent="0.15">
      <c r="A32" s="10" t="s">
        <v>157</v>
      </c>
      <c r="B32" s="177">
        <v>42.2</v>
      </c>
      <c r="C32" s="177">
        <v>30.9</v>
      </c>
      <c r="D32" s="177">
        <v>36.6</v>
      </c>
      <c r="E32" s="84"/>
      <c r="F32" s="178">
        <v>11500000</v>
      </c>
      <c r="G32" s="179"/>
    </row>
    <row r="33" spans="1:7" ht="21.25" customHeight="1" x14ac:dyDescent="0.15">
      <c r="A33" s="10" t="s">
        <v>160</v>
      </c>
      <c r="B33" s="177">
        <v>33.5</v>
      </c>
      <c r="C33" s="177">
        <v>40.5</v>
      </c>
      <c r="D33" s="177">
        <v>37</v>
      </c>
      <c r="E33" s="84"/>
      <c r="F33" s="178"/>
      <c r="G33" s="179"/>
    </row>
    <row r="34" spans="1:7" ht="21.25" customHeight="1" x14ac:dyDescent="0.15">
      <c r="A34" s="10" t="s">
        <v>185</v>
      </c>
      <c r="B34" s="177">
        <v>41.4</v>
      </c>
      <c r="C34" s="177">
        <v>33.700000000000003</v>
      </c>
      <c r="D34" s="177">
        <v>37.6</v>
      </c>
      <c r="E34" s="84"/>
      <c r="F34" s="178">
        <v>12000000</v>
      </c>
      <c r="G34" s="179"/>
    </row>
    <row r="35" spans="1:7" ht="21.25" customHeight="1" x14ac:dyDescent="0.15">
      <c r="A35" s="10" t="s">
        <v>179</v>
      </c>
      <c r="B35" s="177">
        <v>36.6</v>
      </c>
      <c r="C35" s="177">
        <v>41.3</v>
      </c>
      <c r="D35" s="177">
        <v>39</v>
      </c>
      <c r="E35" s="84"/>
      <c r="F35" s="178">
        <v>8500000</v>
      </c>
      <c r="G35" s="179" t="s">
        <v>86</v>
      </c>
    </row>
    <row r="36" spans="1:7" ht="21.25" customHeight="1" x14ac:dyDescent="0.15">
      <c r="A36" s="10" t="s">
        <v>192</v>
      </c>
      <c r="B36" s="177">
        <v>37.700000000000003</v>
      </c>
      <c r="C36" s="177">
        <v>46</v>
      </c>
      <c r="D36" s="177">
        <v>41.9</v>
      </c>
      <c r="E36" s="84"/>
      <c r="F36" s="178">
        <v>6500000</v>
      </c>
      <c r="G36" s="179"/>
    </row>
    <row r="37" spans="1:7" ht="21.25" customHeight="1" x14ac:dyDescent="0.15">
      <c r="A37" s="10" t="s">
        <v>208</v>
      </c>
      <c r="B37" s="177">
        <v>48</v>
      </c>
      <c r="C37" s="177">
        <v>38.1</v>
      </c>
      <c r="D37" s="177">
        <v>43.1</v>
      </c>
      <c r="E37" s="84"/>
      <c r="F37" s="178">
        <v>8350000</v>
      </c>
      <c r="G37" s="179"/>
    </row>
    <row r="38" spans="1:7" ht="21.25" customHeight="1" x14ac:dyDescent="0.15">
      <c r="A38" s="10" t="s">
        <v>167</v>
      </c>
      <c r="B38" s="177">
        <v>44</v>
      </c>
      <c r="C38" s="177">
        <v>44.3</v>
      </c>
      <c r="D38" s="177">
        <v>44.2</v>
      </c>
      <c r="E38" s="84"/>
      <c r="F38" s="178">
        <v>7150000</v>
      </c>
      <c r="G38" s="179"/>
    </row>
    <row r="39" spans="1:7" ht="21.25" customHeight="1" x14ac:dyDescent="0.15">
      <c r="A39" s="10" t="s">
        <v>144</v>
      </c>
      <c r="B39" s="177">
        <v>53.8</v>
      </c>
      <c r="C39" s="177">
        <v>35.700000000000003</v>
      </c>
      <c r="D39" s="177">
        <v>44.8</v>
      </c>
      <c r="E39" s="84"/>
      <c r="F39" s="178">
        <v>8550000</v>
      </c>
      <c r="G39" s="179"/>
    </row>
    <row r="40" spans="1:7" ht="21.25" customHeight="1" x14ac:dyDescent="0.15">
      <c r="A40" s="10" t="s">
        <v>166</v>
      </c>
      <c r="B40" s="177">
        <v>41.6</v>
      </c>
      <c r="C40" s="177">
        <v>48.9</v>
      </c>
      <c r="D40" s="177">
        <v>45.3</v>
      </c>
      <c r="E40" s="84"/>
      <c r="F40" s="178">
        <v>7142000</v>
      </c>
      <c r="G40" s="179" t="s">
        <v>83</v>
      </c>
    </row>
    <row r="41" spans="1:7" ht="21.25" customHeight="1" x14ac:dyDescent="0.15">
      <c r="A41" s="10" t="s">
        <v>198</v>
      </c>
      <c r="B41" s="177">
        <v>47.1</v>
      </c>
      <c r="C41" s="177">
        <v>45</v>
      </c>
      <c r="D41" s="177">
        <v>46.1</v>
      </c>
      <c r="E41" s="84"/>
      <c r="F41" s="178">
        <v>8625000</v>
      </c>
      <c r="G41" s="179"/>
    </row>
    <row r="42" spans="1:7" ht="21.25" customHeight="1" x14ac:dyDescent="0.15">
      <c r="A42" s="10" t="s">
        <v>174</v>
      </c>
      <c r="B42" s="177">
        <v>41</v>
      </c>
      <c r="C42" s="177">
        <v>51.7</v>
      </c>
      <c r="D42" s="177">
        <v>46.4</v>
      </c>
      <c r="E42" s="84"/>
      <c r="F42" s="178">
        <v>7875000</v>
      </c>
      <c r="G42" s="179"/>
    </row>
    <row r="43" spans="1:7" ht="21.25" customHeight="1" x14ac:dyDescent="0.15">
      <c r="A43" s="10" t="s">
        <v>180</v>
      </c>
      <c r="B43" s="177">
        <v>50.9</v>
      </c>
      <c r="C43" s="177">
        <v>43.3</v>
      </c>
      <c r="D43" s="177">
        <v>47.1</v>
      </c>
      <c r="E43" s="84"/>
      <c r="F43" s="178">
        <v>11000000</v>
      </c>
      <c r="G43" s="179" t="s">
        <v>87</v>
      </c>
    </row>
    <row r="44" spans="1:7" ht="21.25" customHeight="1" x14ac:dyDescent="0.15">
      <c r="A44" s="10" t="s">
        <v>148</v>
      </c>
      <c r="B44" s="177">
        <v>56.1</v>
      </c>
      <c r="C44" s="177">
        <v>39.4</v>
      </c>
      <c r="D44" s="177">
        <v>47.8</v>
      </c>
      <c r="E44" s="84"/>
      <c r="F44" s="178">
        <v>9500000</v>
      </c>
      <c r="G44" s="179"/>
    </row>
    <row r="45" spans="1:7" ht="21.25" customHeight="1" x14ac:dyDescent="0.15">
      <c r="A45" s="10" t="s">
        <v>187</v>
      </c>
      <c r="B45" s="177">
        <v>56.3</v>
      </c>
      <c r="C45" s="177">
        <v>40.6</v>
      </c>
      <c r="D45" s="177">
        <v>48.5</v>
      </c>
      <c r="E45" s="84"/>
      <c r="F45" s="178">
        <v>8500000</v>
      </c>
      <c r="G45" s="179"/>
    </row>
    <row r="46" spans="1:7" ht="21.25" customHeight="1" x14ac:dyDescent="0.15">
      <c r="A46" s="10" t="s">
        <v>163</v>
      </c>
      <c r="B46" s="177">
        <v>45.5</v>
      </c>
      <c r="C46" s="177">
        <v>51.6</v>
      </c>
      <c r="D46" s="177">
        <v>48.6</v>
      </c>
      <c r="E46" s="84"/>
      <c r="F46" s="178">
        <v>18000000</v>
      </c>
      <c r="G46" s="179" t="s">
        <v>83</v>
      </c>
    </row>
    <row r="47" spans="1:7" ht="21.25" customHeight="1" x14ac:dyDescent="0.15">
      <c r="A47" s="10" t="s">
        <v>158</v>
      </c>
      <c r="B47" s="177">
        <v>51.3</v>
      </c>
      <c r="C47" s="177">
        <v>45.8</v>
      </c>
      <c r="D47" s="177">
        <v>48.6</v>
      </c>
      <c r="E47" s="84"/>
      <c r="F47" s="178">
        <v>9000000</v>
      </c>
      <c r="G47" s="179"/>
    </row>
    <row r="48" spans="1:7" ht="21.25" customHeight="1" x14ac:dyDescent="0.15">
      <c r="A48" s="10" t="s">
        <v>191</v>
      </c>
      <c r="B48" s="177">
        <v>25.8</v>
      </c>
      <c r="C48" s="177">
        <v>76.3</v>
      </c>
      <c r="D48" s="177">
        <v>51.1</v>
      </c>
      <c r="E48" s="84"/>
      <c r="F48" s="178">
        <v>8250000</v>
      </c>
      <c r="G48" s="179"/>
    </row>
    <row r="49" spans="1:7" ht="21.25" customHeight="1" x14ac:dyDescent="0.15">
      <c r="A49" s="10" t="s">
        <v>156</v>
      </c>
      <c r="B49" s="177">
        <v>51.5</v>
      </c>
      <c r="C49" s="177">
        <v>51.8</v>
      </c>
      <c r="D49" s="177">
        <v>51.7</v>
      </c>
      <c r="E49" s="84"/>
      <c r="F49" s="178">
        <v>8500000</v>
      </c>
      <c r="G49" s="179"/>
    </row>
    <row r="50" spans="1:7" ht="21.25" customHeight="1" x14ac:dyDescent="0.15">
      <c r="A50" s="10" t="s">
        <v>164</v>
      </c>
      <c r="B50" s="177">
        <v>30.2</v>
      </c>
      <c r="C50" s="177">
        <v>73.8</v>
      </c>
      <c r="D50" s="177">
        <v>52</v>
      </c>
      <c r="E50" s="84"/>
      <c r="F50" s="178">
        <v>5850000</v>
      </c>
      <c r="G50" s="179"/>
    </row>
    <row r="51" spans="1:7" ht="21.25" customHeight="1" x14ac:dyDescent="0.15">
      <c r="A51" s="10" t="s">
        <v>173</v>
      </c>
      <c r="B51" s="177">
        <v>52.7</v>
      </c>
      <c r="C51" s="177">
        <v>52.1</v>
      </c>
      <c r="D51" s="177">
        <v>52.4</v>
      </c>
      <c r="E51" s="84"/>
      <c r="F51" s="178">
        <v>8700000</v>
      </c>
      <c r="G51" s="179"/>
    </row>
    <row r="52" spans="1:7" ht="21.25" customHeight="1" x14ac:dyDescent="0.15">
      <c r="A52" s="10" t="s">
        <v>228</v>
      </c>
      <c r="B52" s="177">
        <v>52.7</v>
      </c>
      <c r="C52" s="177">
        <v>56.6</v>
      </c>
      <c r="D52" s="177">
        <v>54.7</v>
      </c>
      <c r="E52" s="84"/>
      <c r="F52" s="178">
        <v>7600000</v>
      </c>
      <c r="G52" s="179"/>
    </row>
    <row r="53" spans="1:7" ht="21.25" customHeight="1" x14ac:dyDescent="0.15">
      <c r="A53" s="10" t="s">
        <v>171</v>
      </c>
      <c r="B53" s="177">
        <v>56.9</v>
      </c>
      <c r="C53" s="177">
        <v>54.2</v>
      </c>
      <c r="D53" s="177">
        <v>55.6</v>
      </c>
      <c r="E53" s="84"/>
      <c r="F53" s="178">
        <v>10000000</v>
      </c>
      <c r="G53" s="179"/>
    </row>
    <row r="54" spans="1:7" ht="21.25" customHeight="1" x14ac:dyDescent="0.15">
      <c r="A54" s="10" t="s">
        <v>149</v>
      </c>
      <c r="B54" s="177">
        <v>29.7</v>
      </c>
      <c r="C54" s="177">
        <v>82.4</v>
      </c>
      <c r="D54" s="177">
        <v>56.1</v>
      </c>
      <c r="E54" s="84"/>
      <c r="F54" s="178">
        <v>8500000</v>
      </c>
      <c r="G54" s="179"/>
    </row>
    <row r="55" spans="1:7" ht="21.25" customHeight="1" x14ac:dyDescent="0.15">
      <c r="A55" s="10" t="s">
        <v>150</v>
      </c>
      <c r="B55" s="177">
        <v>62.2</v>
      </c>
      <c r="C55" s="177">
        <v>50.5</v>
      </c>
      <c r="D55" s="177">
        <v>56.4</v>
      </c>
      <c r="E55" s="84"/>
      <c r="F55" s="178">
        <v>8050000</v>
      </c>
      <c r="G55" s="179"/>
    </row>
    <row r="56" spans="1:7" ht="21.25" customHeight="1" x14ac:dyDescent="0.15">
      <c r="A56" s="10" t="s">
        <v>210</v>
      </c>
      <c r="B56" s="177">
        <v>55.3</v>
      </c>
      <c r="C56" s="177">
        <v>58.5</v>
      </c>
      <c r="D56" s="177">
        <v>56.9</v>
      </c>
      <c r="E56" s="84"/>
      <c r="F56" s="178">
        <v>10625000</v>
      </c>
      <c r="G56" s="179"/>
    </row>
    <row r="57" spans="1:7" ht="21.25" customHeight="1" x14ac:dyDescent="0.15">
      <c r="A57" s="10" t="s">
        <v>172</v>
      </c>
      <c r="B57" s="177">
        <v>36.1</v>
      </c>
      <c r="C57" s="177">
        <v>83.1</v>
      </c>
      <c r="D57" s="177">
        <v>59.6</v>
      </c>
      <c r="E57" s="84"/>
      <c r="F57" s="178">
        <v>8250000</v>
      </c>
      <c r="G57" s="179"/>
    </row>
    <row r="58" spans="1:7" ht="21.25" customHeight="1" x14ac:dyDescent="0.15">
      <c r="A58" s="10" t="s">
        <v>212</v>
      </c>
      <c r="B58" s="177">
        <v>69.3</v>
      </c>
      <c r="C58" s="177">
        <v>52.1</v>
      </c>
      <c r="D58" s="177">
        <v>60.7</v>
      </c>
      <c r="E58" s="84"/>
      <c r="F58" s="178">
        <v>15000000</v>
      </c>
      <c r="G58" s="179" t="s">
        <v>83</v>
      </c>
    </row>
    <row r="59" spans="1:7" ht="21.25" customHeight="1" x14ac:dyDescent="0.15">
      <c r="A59" s="10" t="s">
        <v>176</v>
      </c>
      <c r="B59" s="177">
        <v>69.8</v>
      </c>
      <c r="C59" s="177">
        <v>57.4</v>
      </c>
      <c r="D59" s="177">
        <v>63.6</v>
      </c>
      <c r="E59" s="84"/>
      <c r="F59" s="178">
        <v>8450000</v>
      </c>
      <c r="G59" s="179"/>
    </row>
    <row r="60" spans="1:7" ht="21.25" customHeight="1" x14ac:dyDescent="0.15">
      <c r="A60" s="10" t="s">
        <v>194</v>
      </c>
      <c r="B60" s="177">
        <v>75.3</v>
      </c>
      <c r="C60" s="177">
        <v>58.4</v>
      </c>
      <c r="D60" s="177">
        <v>66.900000000000006</v>
      </c>
      <c r="E60" s="84"/>
      <c r="F60" s="178">
        <v>9750000</v>
      </c>
      <c r="G60" s="179"/>
    </row>
    <row r="61" spans="1:7" ht="21.25" customHeight="1" x14ac:dyDescent="0.15">
      <c r="A61" s="10" t="s">
        <v>155</v>
      </c>
      <c r="B61" s="177">
        <v>78.400000000000006</v>
      </c>
      <c r="C61" s="177">
        <v>56.8</v>
      </c>
      <c r="D61" s="177">
        <v>67.599999999999994</v>
      </c>
      <c r="E61" s="84"/>
      <c r="F61" s="178">
        <v>9059000</v>
      </c>
      <c r="G61" s="179"/>
    </row>
    <row r="62" spans="1:7" ht="21.25" customHeight="1" x14ac:dyDescent="0.15">
      <c r="A62" s="10" t="s">
        <v>175</v>
      </c>
      <c r="B62" s="177">
        <v>42.1</v>
      </c>
      <c r="C62" s="177">
        <v>93.2</v>
      </c>
      <c r="D62" s="177">
        <v>67.7</v>
      </c>
      <c r="E62" s="84"/>
      <c r="F62" s="178">
        <v>11503000</v>
      </c>
      <c r="G62" s="179"/>
    </row>
    <row r="63" spans="1:7" ht="21.25" customHeight="1" x14ac:dyDescent="0.15">
      <c r="A63" s="10" t="s">
        <v>159</v>
      </c>
      <c r="B63" s="177">
        <v>79.099999999999994</v>
      </c>
      <c r="C63" s="177">
        <v>62.6</v>
      </c>
      <c r="D63" s="177">
        <v>70.900000000000006</v>
      </c>
      <c r="E63" s="84"/>
      <c r="F63" s="178">
        <v>9000000</v>
      </c>
      <c r="G63" s="179" t="s">
        <v>84</v>
      </c>
    </row>
    <row r="64" spans="1:7" ht="21.25" customHeight="1" x14ac:dyDescent="0.15">
      <c r="A64" s="10" t="s">
        <v>204</v>
      </c>
      <c r="B64" s="177">
        <v>63.9</v>
      </c>
      <c r="C64" s="177">
        <v>79.099999999999994</v>
      </c>
      <c r="D64" s="177">
        <v>71.5</v>
      </c>
      <c r="E64" s="84"/>
      <c r="F64" s="178">
        <v>3850000</v>
      </c>
      <c r="G64" s="179"/>
    </row>
    <row r="65" spans="1:7" ht="21.25" customHeight="1" x14ac:dyDescent="0.15">
      <c r="A65" s="10" t="s">
        <v>292</v>
      </c>
      <c r="B65" s="177">
        <v>68.3</v>
      </c>
      <c r="C65" s="177">
        <v>77.2</v>
      </c>
      <c r="D65" s="177">
        <v>72.8</v>
      </c>
      <c r="E65" s="84"/>
      <c r="F65" s="178">
        <v>966667</v>
      </c>
      <c r="G65" s="179" t="s">
        <v>87</v>
      </c>
    </row>
    <row r="66" spans="1:7" ht="21.25" customHeight="1" x14ac:dyDescent="0.15">
      <c r="A66" s="10" t="s">
        <v>207</v>
      </c>
      <c r="B66" s="177">
        <v>76.8</v>
      </c>
      <c r="C66" s="177">
        <v>71.7</v>
      </c>
      <c r="D66" s="177">
        <v>74.3</v>
      </c>
      <c r="E66" s="84"/>
      <c r="F66" s="178">
        <v>7875000</v>
      </c>
      <c r="G66" s="179"/>
    </row>
    <row r="67" spans="1:7" ht="21.25" customHeight="1" x14ac:dyDescent="0.15">
      <c r="A67" s="10" t="s">
        <v>181</v>
      </c>
      <c r="B67" s="177">
        <v>83.8</v>
      </c>
      <c r="C67" s="177">
        <v>65.5</v>
      </c>
      <c r="D67" s="177">
        <v>74.7</v>
      </c>
      <c r="E67" s="84"/>
      <c r="F67" s="178">
        <v>8500000</v>
      </c>
      <c r="G67" s="179" t="s">
        <v>84</v>
      </c>
    </row>
    <row r="68" spans="1:7" ht="21.25" customHeight="1" x14ac:dyDescent="0.15">
      <c r="A68" s="10" t="s">
        <v>161</v>
      </c>
      <c r="B68" s="177">
        <v>83.4</v>
      </c>
      <c r="C68" s="177">
        <v>66.400000000000006</v>
      </c>
      <c r="D68" s="177">
        <v>74.900000000000006</v>
      </c>
      <c r="E68" s="84"/>
      <c r="F68" s="178">
        <v>6250000</v>
      </c>
      <c r="G68" s="179"/>
    </row>
    <row r="69" spans="1:7" ht="21.25" customHeight="1" x14ac:dyDescent="0.15">
      <c r="A69" s="10" t="s">
        <v>195</v>
      </c>
      <c r="B69" s="177">
        <v>85.1</v>
      </c>
      <c r="C69" s="177">
        <v>65.900000000000006</v>
      </c>
      <c r="D69" s="177">
        <v>75.5</v>
      </c>
      <c r="E69" s="84"/>
      <c r="F69" s="178">
        <v>8500000</v>
      </c>
      <c r="G69" s="179"/>
    </row>
    <row r="70" spans="1:7" ht="21.25" customHeight="1" x14ac:dyDescent="0.15">
      <c r="A70" s="10" t="s">
        <v>186</v>
      </c>
      <c r="B70" s="177">
        <v>73.8</v>
      </c>
      <c r="C70" s="177">
        <v>77.7</v>
      </c>
      <c r="D70" s="177">
        <v>75.8</v>
      </c>
      <c r="E70" s="84"/>
      <c r="F70" s="178">
        <v>10000000</v>
      </c>
      <c r="G70" s="179"/>
    </row>
    <row r="71" spans="1:7" ht="21.25" customHeight="1" x14ac:dyDescent="0.15">
      <c r="A71" s="10" t="s">
        <v>190</v>
      </c>
      <c r="B71" s="177">
        <v>74.900000000000006</v>
      </c>
      <c r="C71" s="177">
        <v>81.400000000000006</v>
      </c>
      <c r="D71" s="177">
        <v>78.2</v>
      </c>
      <c r="E71" s="84"/>
      <c r="F71" s="178">
        <v>8075000</v>
      </c>
      <c r="G71" s="179" t="s">
        <v>84</v>
      </c>
    </row>
    <row r="72" spans="1:7" ht="21.25" customHeight="1" x14ac:dyDescent="0.15">
      <c r="A72" s="10" t="s">
        <v>225</v>
      </c>
      <c r="B72" s="177">
        <v>83.8</v>
      </c>
      <c r="C72" s="177">
        <v>74.5</v>
      </c>
      <c r="D72" s="177">
        <v>79.2</v>
      </c>
      <c r="E72" s="84"/>
      <c r="F72" s="178">
        <v>9500000</v>
      </c>
      <c r="G72" s="179" t="s">
        <v>84</v>
      </c>
    </row>
    <row r="73" spans="1:7" ht="21.25" customHeight="1" x14ac:dyDescent="0.15">
      <c r="A73" s="10" t="s">
        <v>205</v>
      </c>
      <c r="B73" s="177">
        <v>61.2</v>
      </c>
      <c r="C73" s="177">
        <v>99.3</v>
      </c>
      <c r="D73" s="177">
        <v>80.3</v>
      </c>
      <c r="E73" s="84"/>
      <c r="F73" s="178">
        <v>8250000</v>
      </c>
      <c r="G73" s="179"/>
    </row>
    <row r="74" spans="1:7" ht="21.25" customHeight="1" x14ac:dyDescent="0.15">
      <c r="A74" s="10" t="s">
        <v>221</v>
      </c>
      <c r="B74" s="177">
        <v>64.3</v>
      </c>
      <c r="C74" s="177">
        <v>97.4</v>
      </c>
      <c r="D74" s="177">
        <v>80.900000000000006</v>
      </c>
      <c r="E74" s="84"/>
      <c r="F74" s="178">
        <v>950000</v>
      </c>
      <c r="G74" s="179" t="s">
        <v>83</v>
      </c>
    </row>
    <row r="75" spans="1:7" ht="21.25" customHeight="1" x14ac:dyDescent="0.15">
      <c r="A75" s="10" t="s">
        <v>184</v>
      </c>
      <c r="B75" s="177">
        <v>91.6</v>
      </c>
      <c r="C75" s="177">
        <v>70.599999999999994</v>
      </c>
      <c r="D75" s="177">
        <v>81.099999999999994</v>
      </c>
      <c r="E75" s="84"/>
      <c r="F75" s="178">
        <v>8500000</v>
      </c>
      <c r="G75" s="179"/>
    </row>
    <row r="76" spans="1:7" ht="21.25" customHeight="1" x14ac:dyDescent="0.15">
      <c r="A76" s="10" t="s">
        <v>219</v>
      </c>
      <c r="B76" s="177">
        <v>76.7</v>
      </c>
      <c r="C76" s="177">
        <v>89.6</v>
      </c>
      <c r="D76" s="177">
        <v>83.2</v>
      </c>
      <c r="E76" s="84"/>
      <c r="F76" s="178">
        <v>8125000</v>
      </c>
      <c r="G76" s="179"/>
    </row>
    <row r="77" spans="1:7" ht="21.25" customHeight="1" x14ac:dyDescent="0.15">
      <c r="A77" s="10" t="s">
        <v>279</v>
      </c>
      <c r="B77" s="177">
        <v>83.8</v>
      </c>
      <c r="C77" s="177">
        <v>83.8</v>
      </c>
      <c r="D77" s="177">
        <v>83.8</v>
      </c>
      <c r="E77" s="84"/>
      <c r="F77" s="178">
        <v>4975000</v>
      </c>
      <c r="G77" s="179"/>
    </row>
    <row r="78" spans="1:7" ht="21.25" customHeight="1" x14ac:dyDescent="0.15">
      <c r="A78" s="10" t="s">
        <v>183</v>
      </c>
      <c r="B78" s="177">
        <v>98.8</v>
      </c>
      <c r="C78" s="177">
        <v>69.2</v>
      </c>
      <c r="D78" s="177">
        <v>84</v>
      </c>
      <c r="E78" s="84"/>
      <c r="F78" s="178">
        <v>9500000</v>
      </c>
      <c r="G78" s="179"/>
    </row>
    <row r="79" spans="1:7" ht="21.25" customHeight="1" x14ac:dyDescent="0.15">
      <c r="A79" s="10" t="s">
        <v>237</v>
      </c>
      <c r="B79" s="177">
        <v>72.2</v>
      </c>
      <c r="C79" s="177">
        <v>99.1</v>
      </c>
      <c r="D79" s="177">
        <v>85.7</v>
      </c>
      <c r="E79" s="84"/>
      <c r="F79" s="178">
        <v>11000000</v>
      </c>
      <c r="G79" s="179"/>
    </row>
    <row r="80" spans="1:7" ht="21.25" customHeight="1" x14ac:dyDescent="0.15">
      <c r="A80" s="10" t="s">
        <v>216</v>
      </c>
      <c r="B80" s="177">
        <v>69</v>
      </c>
      <c r="C80" s="177">
        <v>103.9</v>
      </c>
      <c r="D80" s="177">
        <v>86.5</v>
      </c>
      <c r="E80" s="84"/>
      <c r="F80" s="178">
        <v>4750000</v>
      </c>
      <c r="G80" s="179"/>
    </row>
    <row r="81" spans="1:7" ht="21.25" customHeight="1" x14ac:dyDescent="0.15">
      <c r="A81" s="10" t="s">
        <v>240</v>
      </c>
      <c r="B81" s="177">
        <v>106.7</v>
      </c>
      <c r="C81" s="177">
        <v>70.900000000000006</v>
      </c>
      <c r="D81" s="177">
        <v>88.8</v>
      </c>
      <c r="E81" s="84"/>
      <c r="F81" s="178">
        <v>7750000</v>
      </c>
      <c r="G81" s="179"/>
    </row>
    <row r="82" spans="1:7" ht="21.25" customHeight="1" x14ac:dyDescent="0.15">
      <c r="A82" s="10" t="s">
        <v>254</v>
      </c>
      <c r="B82" s="177">
        <v>85</v>
      </c>
      <c r="C82" s="177">
        <v>92.7</v>
      </c>
      <c r="D82" s="177">
        <v>88.9</v>
      </c>
      <c r="E82" s="84"/>
      <c r="F82" s="178">
        <v>940833</v>
      </c>
      <c r="G82" s="179" t="s">
        <v>84</v>
      </c>
    </row>
    <row r="83" spans="1:7" ht="21.25" customHeight="1" x14ac:dyDescent="0.15">
      <c r="A83" s="10" t="s">
        <v>249</v>
      </c>
      <c r="B83" s="177">
        <v>89.9</v>
      </c>
      <c r="C83" s="177">
        <v>88.9</v>
      </c>
      <c r="D83" s="177">
        <v>89.4</v>
      </c>
      <c r="E83" s="84"/>
      <c r="F83" s="178">
        <v>10500000</v>
      </c>
      <c r="G83" s="179"/>
    </row>
    <row r="84" spans="1:7" ht="21.25" customHeight="1" x14ac:dyDescent="0.15">
      <c r="A84" s="10" t="s">
        <v>203</v>
      </c>
      <c r="B84" s="177">
        <v>81.3</v>
      </c>
      <c r="C84" s="177">
        <v>98.5</v>
      </c>
      <c r="D84" s="177">
        <v>89.9</v>
      </c>
      <c r="E84" s="84"/>
      <c r="F84" s="178">
        <v>8500000</v>
      </c>
      <c r="G84" s="179"/>
    </row>
    <row r="85" spans="1:7" ht="21.25" customHeight="1" x14ac:dyDescent="0.15">
      <c r="A85" s="10" t="s">
        <v>260</v>
      </c>
      <c r="B85" s="177">
        <v>59.3</v>
      </c>
      <c r="C85" s="177">
        <v>126.2</v>
      </c>
      <c r="D85" s="177">
        <v>92.8</v>
      </c>
      <c r="E85" s="84"/>
      <c r="F85" s="178">
        <v>2200000</v>
      </c>
      <c r="G85" s="179" t="s">
        <v>84</v>
      </c>
    </row>
    <row r="86" spans="1:7" ht="21.25" customHeight="1" x14ac:dyDescent="0.15">
      <c r="A86" s="10" t="s">
        <v>178</v>
      </c>
      <c r="B86" s="177">
        <v>94.2</v>
      </c>
      <c r="C86" s="177">
        <v>91.8</v>
      </c>
      <c r="D86" s="177">
        <v>93</v>
      </c>
      <c r="E86" s="84"/>
      <c r="F86" s="178">
        <v>9500000</v>
      </c>
      <c r="G86" s="179"/>
    </row>
    <row r="87" spans="1:7" ht="21.25" customHeight="1" x14ac:dyDescent="0.15">
      <c r="A87" s="10" t="s">
        <v>214</v>
      </c>
      <c r="B87" s="177">
        <v>98.7</v>
      </c>
      <c r="C87" s="177">
        <v>88.8</v>
      </c>
      <c r="D87" s="177">
        <v>93.8</v>
      </c>
      <c r="E87" s="84"/>
      <c r="F87" s="178">
        <v>3200000</v>
      </c>
      <c r="G87" s="179"/>
    </row>
    <row r="88" spans="1:7" ht="21.25" customHeight="1" x14ac:dyDescent="0.15">
      <c r="A88" s="10" t="s">
        <v>165</v>
      </c>
      <c r="B88" s="177">
        <v>105.5</v>
      </c>
      <c r="C88" s="177">
        <v>82.5</v>
      </c>
      <c r="D88" s="177">
        <v>94</v>
      </c>
      <c r="E88" s="84"/>
      <c r="F88" s="178">
        <v>7400000</v>
      </c>
      <c r="G88" s="179" t="s">
        <v>84</v>
      </c>
    </row>
    <row r="89" spans="1:7" ht="21.25" customHeight="1" x14ac:dyDescent="0.15">
      <c r="A89" s="10" t="s">
        <v>200</v>
      </c>
      <c r="B89" s="177">
        <v>99.9</v>
      </c>
      <c r="C89" s="177">
        <v>89.7</v>
      </c>
      <c r="D89" s="177">
        <v>94.8</v>
      </c>
      <c r="E89" s="84"/>
      <c r="F89" s="178">
        <v>8700000</v>
      </c>
      <c r="G89" s="179"/>
    </row>
    <row r="90" spans="1:7" ht="21.25" customHeight="1" x14ac:dyDescent="0.15">
      <c r="A90" s="10" t="s">
        <v>268</v>
      </c>
      <c r="B90" s="177">
        <v>100.2</v>
      </c>
      <c r="C90" s="177">
        <v>90</v>
      </c>
      <c r="D90" s="177">
        <v>95.1</v>
      </c>
      <c r="E90" s="84"/>
      <c r="F90" s="178">
        <v>5500000</v>
      </c>
      <c r="G90" s="179"/>
    </row>
    <row r="91" spans="1:7" ht="21.25" customHeight="1" x14ac:dyDescent="0.15">
      <c r="A91" s="10" t="s">
        <v>258</v>
      </c>
      <c r="B91" s="177">
        <v>117.5</v>
      </c>
      <c r="C91" s="177">
        <v>73.8</v>
      </c>
      <c r="D91" s="177">
        <v>95.7</v>
      </c>
      <c r="E91" s="84"/>
      <c r="F91" s="178">
        <v>7750000</v>
      </c>
      <c r="G91" s="179"/>
    </row>
    <row r="92" spans="1:7" ht="21.25" customHeight="1" x14ac:dyDescent="0.15">
      <c r="A92" s="10" t="s">
        <v>233</v>
      </c>
      <c r="B92" s="177">
        <v>82.1</v>
      </c>
      <c r="C92" s="177">
        <v>111.6</v>
      </c>
      <c r="D92" s="177">
        <v>96.9</v>
      </c>
      <c r="E92" s="84"/>
      <c r="F92" s="178">
        <v>950000</v>
      </c>
      <c r="G92" s="179"/>
    </row>
    <row r="93" spans="1:7" ht="21.25" customHeight="1" x14ac:dyDescent="0.15">
      <c r="A93" s="10" t="s">
        <v>356</v>
      </c>
      <c r="B93" s="177">
        <v>94.8</v>
      </c>
      <c r="C93" s="177">
        <v>99.7</v>
      </c>
      <c r="D93" s="177">
        <v>97.3</v>
      </c>
      <c r="E93" s="84"/>
      <c r="F93" s="178">
        <v>4250000</v>
      </c>
      <c r="G93" s="179"/>
    </row>
    <row r="94" spans="1:7" ht="21.25" customHeight="1" x14ac:dyDescent="0.15">
      <c r="A94" s="10" t="s">
        <v>269</v>
      </c>
      <c r="B94" s="177">
        <v>91</v>
      </c>
      <c r="C94" s="177">
        <v>106.9</v>
      </c>
      <c r="D94" s="177">
        <v>99</v>
      </c>
      <c r="E94" s="84"/>
      <c r="F94" s="178">
        <v>8000000</v>
      </c>
      <c r="G94" s="179"/>
    </row>
    <row r="95" spans="1:7" ht="21.25" customHeight="1" x14ac:dyDescent="0.15">
      <c r="A95" s="10" t="s">
        <v>168</v>
      </c>
      <c r="B95" s="177">
        <v>100.8</v>
      </c>
      <c r="C95" s="177">
        <v>98.2</v>
      </c>
      <c r="D95" s="177">
        <v>99.5</v>
      </c>
      <c r="E95" s="84"/>
      <c r="F95" s="178">
        <v>7425000</v>
      </c>
      <c r="G95" s="179"/>
    </row>
    <row r="96" spans="1:7" ht="21.25" customHeight="1" x14ac:dyDescent="0.15">
      <c r="A96" s="10" t="s">
        <v>255</v>
      </c>
      <c r="B96" s="177">
        <v>114.2</v>
      </c>
      <c r="C96" s="177">
        <v>86.7</v>
      </c>
      <c r="D96" s="177">
        <v>100.5</v>
      </c>
      <c r="E96" s="84"/>
      <c r="F96" s="178">
        <v>8000000</v>
      </c>
      <c r="G96" s="179"/>
    </row>
    <row r="97" spans="1:7" ht="21.25" customHeight="1" x14ac:dyDescent="0.15">
      <c r="A97" s="10" t="s">
        <v>234</v>
      </c>
      <c r="B97" s="177">
        <v>53.5</v>
      </c>
      <c r="C97" s="177">
        <v>148</v>
      </c>
      <c r="D97" s="177">
        <v>100.8</v>
      </c>
      <c r="E97" s="84"/>
      <c r="F97" s="178">
        <v>2500000</v>
      </c>
      <c r="G97" s="179"/>
    </row>
    <row r="98" spans="1:7" ht="21.25" customHeight="1" x14ac:dyDescent="0.15">
      <c r="A98" s="10" t="s">
        <v>239</v>
      </c>
      <c r="B98" s="177">
        <v>92.1</v>
      </c>
      <c r="C98" s="177">
        <v>112</v>
      </c>
      <c r="D98" s="177">
        <v>102.1</v>
      </c>
      <c r="E98" s="84"/>
      <c r="F98" s="178">
        <v>940833</v>
      </c>
      <c r="G98" s="179"/>
    </row>
    <row r="99" spans="1:7" ht="21.25" customHeight="1" x14ac:dyDescent="0.15">
      <c r="A99" s="10" t="s">
        <v>297</v>
      </c>
      <c r="B99" s="177">
        <v>93.7</v>
      </c>
      <c r="C99" s="177">
        <v>111.1</v>
      </c>
      <c r="D99" s="177">
        <v>102.4</v>
      </c>
      <c r="E99" s="84"/>
      <c r="F99" s="178">
        <v>1075000</v>
      </c>
      <c r="G99" s="179" t="s">
        <v>87</v>
      </c>
    </row>
    <row r="100" spans="1:7" ht="21.25" customHeight="1" x14ac:dyDescent="0.15">
      <c r="A100" s="10" t="s">
        <v>257</v>
      </c>
      <c r="B100" s="177">
        <v>107.4</v>
      </c>
      <c r="C100" s="177">
        <v>98.5</v>
      </c>
      <c r="D100" s="177">
        <v>103</v>
      </c>
      <c r="E100" s="84"/>
      <c r="F100" s="178">
        <v>9500000</v>
      </c>
      <c r="G100" s="179"/>
    </row>
    <row r="101" spans="1:7" ht="21.25" customHeight="1" x14ac:dyDescent="0.15">
      <c r="A101" s="10" t="s">
        <v>243</v>
      </c>
      <c r="B101" s="177">
        <v>94</v>
      </c>
      <c r="C101" s="177">
        <v>113.7</v>
      </c>
      <c r="D101" s="177">
        <v>103.9</v>
      </c>
      <c r="E101" s="84"/>
      <c r="F101" s="178">
        <v>8000000</v>
      </c>
      <c r="G101" s="179" t="s">
        <v>84</v>
      </c>
    </row>
    <row r="102" spans="1:7" ht="21.25" customHeight="1" x14ac:dyDescent="0.15">
      <c r="A102" s="10" t="s">
        <v>220</v>
      </c>
      <c r="B102" s="177">
        <v>116.4</v>
      </c>
      <c r="C102" s="177">
        <v>92.2</v>
      </c>
      <c r="D102" s="177">
        <v>104.3</v>
      </c>
      <c r="E102" s="84"/>
      <c r="F102" s="178">
        <v>8500000</v>
      </c>
      <c r="G102" s="179"/>
    </row>
    <row r="103" spans="1:7" ht="21.25" customHeight="1" x14ac:dyDescent="0.15">
      <c r="A103" s="10" t="s">
        <v>271</v>
      </c>
      <c r="B103" s="177">
        <v>76.400000000000006</v>
      </c>
      <c r="C103" s="177">
        <v>133.69999999999999</v>
      </c>
      <c r="D103" s="177">
        <v>105.1</v>
      </c>
      <c r="E103" s="84"/>
      <c r="F103" s="178">
        <v>6000000</v>
      </c>
      <c r="G103" s="179"/>
    </row>
    <row r="104" spans="1:7" ht="21.25" customHeight="1" x14ac:dyDescent="0.15">
      <c r="A104" s="10" t="s">
        <v>213</v>
      </c>
      <c r="B104" s="177">
        <v>103.6</v>
      </c>
      <c r="C104" s="177">
        <v>110.5</v>
      </c>
      <c r="D104" s="177">
        <v>107.1</v>
      </c>
      <c r="E104" s="84"/>
      <c r="F104" s="178"/>
      <c r="G104" s="179" t="s">
        <v>84</v>
      </c>
    </row>
    <row r="105" spans="1:7" ht="21.25" customHeight="1" x14ac:dyDescent="0.15">
      <c r="A105" s="10" t="s">
        <v>199</v>
      </c>
      <c r="B105" s="177">
        <v>115.7</v>
      </c>
      <c r="C105" s="177">
        <v>99.3</v>
      </c>
      <c r="D105" s="177">
        <v>107.5</v>
      </c>
      <c r="E105" s="84"/>
      <c r="F105" s="178">
        <v>6250000</v>
      </c>
      <c r="G105" s="179" t="s">
        <v>84</v>
      </c>
    </row>
    <row r="106" spans="1:7" ht="21.25" customHeight="1" x14ac:dyDescent="0.15">
      <c r="A106" s="10" t="s">
        <v>236</v>
      </c>
      <c r="B106" s="177">
        <v>104.2</v>
      </c>
      <c r="C106" s="177">
        <v>112.9</v>
      </c>
      <c r="D106" s="177">
        <v>108.6</v>
      </c>
      <c r="E106" s="84"/>
      <c r="F106" s="178">
        <v>953750</v>
      </c>
      <c r="G106" s="179" t="s">
        <v>84</v>
      </c>
    </row>
    <row r="107" spans="1:7" ht="21.25" customHeight="1" x14ac:dyDescent="0.15">
      <c r="A107" s="10" t="s">
        <v>193</v>
      </c>
      <c r="B107" s="177">
        <v>129</v>
      </c>
      <c r="C107" s="177">
        <v>89</v>
      </c>
      <c r="D107" s="177">
        <v>109</v>
      </c>
      <c r="E107" s="84"/>
      <c r="F107" s="178">
        <v>7250000</v>
      </c>
      <c r="G107" s="179"/>
    </row>
    <row r="108" spans="1:7" ht="21.25" customHeight="1" x14ac:dyDescent="0.15">
      <c r="A108" s="10" t="s">
        <v>277</v>
      </c>
      <c r="B108" s="177">
        <v>117.7</v>
      </c>
      <c r="C108" s="177">
        <v>101</v>
      </c>
      <c r="D108" s="177">
        <v>109.4</v>
      </c>
      <c r="E108" s="84"/>
      <c r="F108" s="178">
        <v>7750000</v>
      </c>
      <c r="G108" s="179"/>
    </row>
    <row r="109" spans="1:7" ht="21.25" customHeight="1" x14ac:dyDescent="0.15">
      <c r="A109" s="10" t="s">
        <v>428</v>
      </c>
      <c r="B109" s="177">
        <v>77.599999999999994</v>
      </c>
      <c r="C109" s="177">
        <v>141.19999999999999</v>
      </c>
      <c r="D109" s="177">
        <v>109.4</v>
      </c>
      <c r="E109" s="84"/>
      <c r="F109" s="178">
        <v>1900000</v>
      </c>
      <c r="G109" s="179"/>
    </row>
    <row r="110" spans="1:7" ht="21.25" customHeight="1" x14ac:dyDescent="0.15">
      <c r="A110" s="10" t="s">
        <v>275</v>
      </c>
      <c r="B110" s="177">
        <v>110.4</v>
      </c>
      <c r="C110" s="177">
        <v>108.5</v>
      </c>
      <c r="D110" s="177">
        <v>109.5</v>
      </c>
      <c r="E110" s="84"/>
      <c r="F110" s="178">
        <v>5500000</v>
      </c>
      <c r="G110" s="179"/>
    </row>
    <row r="111" spans="1:7" ht="21.25" customHeight="1" x14ac:dyDescent="0.15">
      <c r="A111" s="10" t="s">
        <v>209</v>
      </c>
      <c r="B111" s="177">
        <v>118.3</v>
      </c>
      <c r="C111" s="177">
        <v>102</v>
      </c>
      <c r="D111" s="177">
        <v>110.2</v>
      </c>
      <c r="E111" s="84"/>
      <c r="F111" s="178">
        <v>10000000</v>
      </c>
      <c r="G111" s="179" t="s">
        <v>83</v>
      </c>
    </row>
    <row r="112" spans="1:7" ht="21.25" customHeight="1" x14ac:dyDescent="0.15">
      <c r="A112" s="10" t="s">
        <v>274</v>
      </c>
      <c r="B112" s="177">
        <v>103</v>
      </c>
      <c r="C112" s="177">
        <v>117.9</v>
      </c>
      <c r="D112" s="177">
        <v>110.5</v>
      </c>
      <c r="E112" s="84"/>
      <c r="F112" s="178">
        <v>8800000</v>
      </c>
      <c r="G112" s="179"/>
    </row>
    <row r="113" spans="1:7" ht="21.25" customHeight="1" x14ac:dyDescent="0.15">
      <c r="A113" s="10" t="s">
        <v>291</v>
      </c>
      <c r="B113" s="177">
        <v>129.69999999999999</v>
      </c>
      <c r="C113" s="177">
        <v>91.3</v>
      </c>
      <c r="D113" s="177">
        <v>110.5</v>
      </c>
      <c r="E113" s="84"/>
      <c r="F113" s="178">
        <v>6500000</v>
      </c>
      <c r="G113" s="179"/>
    </row>
    <row r="114" spans="1:7" ht="21.25" customHeight="1" x14ac:dyDescent="0.15">
      <c r="A114" s="10" t="s">
        <v>224</v>
      </c>
      <c r="B114" s="177">
        <v>113.2</v>
      </c>
      <c r="C114" s="177">
        <v>113.8</v>
      </c>
      <c r="D114" s="177">
        <v>113.5</v>
      </c>
      <c r="E114" s="84"/>
      <c r="F114" s="178">
        <v>6250000</v>
      </c>
      <c r="G114" s="179"/>
    </row>
    <row r="115" spans="1:7" ht="21.25" customHeight="1" x14ac:dyDescent="0.15">
      <c r="A115" s="10" t="s">
        <v>316</v>
      </c>
      <c r="B115" s="177">
        <v>122.9</v>
      </c>
      <c r="C115" s="177">
        <v>104.3</v>
      </c>
      <c r="D115" s="177">
        <v>113.6</v>
      </c>
      <c r="E115" s="84"/>
      <c r="F115" s="178">
        <v>7420000</v>
      </c>
      <c r="G115" s="179" t="s">
        <v>84</v>
      </c>
    </row>
    <row r="116" spans="1:7" ht="21.25" customHeight="1" x14ac:dyDescent="0.15">
      <c r="A116" s="10" t="s">
        <v>188</v>
      </c>
      <c r="B116" s="177">
        <v>104.7</v>
      </c>
      <c r="C116" s="177">
        <v>124.8</v>
      </c>
      <c r="D116" s="177">
        <v>114.8</v>
      </c>
      <c r="E116" s="84"/>
      <c r="F116" s="178">
        <v>7740000</v>
      </c>
      <c r="G116" s="179"/>
    </row>
    <row r="117" spans="1:7" ht="21.25" customHeight="1" x14ac:dyDescent="0.15">
      <c r="A117" s="10" t="s">
        <v>218</v>
      </c>
      <c r="B117" s="177">
        <v>111.2</v>
      </c>
      <c r="C117" s="177">
        <v>120.7</v>
      </c>
      <c r="D117" s="177">
        <v>116</v>
      </c>
      <c r="E117" s="84"/>
      <c r="F117" s="178">
        <v>9000000</v>
      </c>
      <c r="G117" s="179"/>
    </row>
    <row r="118" spans="1:7" ht="21.25" customHeight="1" x14ac:dyDescent="0.15">
      <c r="A118" s="10" t="s">
        <v>262</v>
      </c>
      <c r="B118" s="177">
        <v>129.80000000000001</v>
      </c>
      <c r="C118" s="177">
        <v>102.1</v>
      </c>
      <c r="D118" s="177">
        <v>116</v>
      </c>
      <c r="E118" s="84"/>
      <c r="F118" s="178">
        <v>8750000</v>
      </c>
      <c r="G118" s="179"/>
    </row>
    <row r="119" spans="1:7" ht="21.25" customHeight="1" x14ac:dyDescent="0.15">
      <c r="A119" s="10" t="s">
        <v>230</v>
      </c>
      <c r="B119" s="177">
        <v>126</v>
      </c>
      <c r="C119" s="177">
        <v>106.8</v>
      </c>
      <c r="D119" s="177">
        <v>116.4</v>
      </c>
      <c r="E119" s="84"/>
      <c r="F119" s="178">
        <v>7000000</v>
      </c>
      <c r="G119" s="179"/>
    </row>
    <row r="120" spans="1:7" ht="21.25" customHeight="1" x14ac:dyDescent="0.15">
      <c r="A120" s="10" t="s">
        <v>263</v>
      </c>
      <c r="B120" s="177">
        <v>123.1</v>
      </c>
      <c r="C120" s="177">
        <v>111.3</v>
      </c>
      <c r="D120" s="177">
        <v>117.2</v>
      </c>
      <c r="E120" s="84"/>
      <c r="F120" s="178">
        <v>8000000</v>
      </c>
      <c r="G120" s="179"/>
    </row>
    <row r="121" spans="1:7" ht="21.25" customHeight="1" x14ac:dyDescent="0.15">
      <c r="A121" s="10" t="s">
        <v>242</v>
      </c>
      <c r="B121" s="177">
        <v>93.3</v>
      </c>
      <c r="C121" s="177">
        <v>142.1</v>
      </c>
      <c r="D121" s="177">
        <v>117.7</v>
      </c>
      <c r="E121" s="84"/>
      <c r="F121" s="178">
        <v>7000000</v>
      </c>
      <c r="G121" s="179" t="s">
        <v>84</v>
      </c>
    </row>
    <row r="122" spans="1:7" ht="21.25" customHeight="1" x14ac:dyDescent="0.15">
      <c r="A122" s="10" t="s">
        <v>244</v>
      </c>
      <c r="B122" s="177">
        <v>108.8</v>
      </c>
      <c r="C122" s="177">
        <v>128.9</v>
      </c>
      <c r="D122" s="177">
        <v>118.9</v>
      </c>
      <c r="E122" s="84"/>
      <c r="F122" s="178">
        <v>8500000</v>
      </c>
      <c r="G122" s="179"/>
    </row>
    <row r="123" spans="1:7" ht="21.25" customHeight="1" x14ac:dyDescent="0.15">
      <c r="A123" s="10" t="s">
        <v>197</v>
      </c>
      <c r="B123" s="177">
        <v>116.7</v>
      </c>
      <c r="C123" s="177">
        <v>121.8</v>
      </c>
      <c r="D123" s="177">
        <v>119.3</v>
      </c>
      <c r="E123" s="84"/>
      <c r="F123" s="178">
        <v>10857000</v>
      </c>
      <c r="G123" s="179" t="s">
        <v>84</v>
      </c>
    </row>
    <row r="124" spans="1:7" ht="21.25" customHeight="1" x14ac:dyDescent="0.15">
      <c r="A124" s="10" t="s">
        <v>201</v>
      </c>
      <c r="B124" s="177">
        <v>126.7</v>
      </c>
      <c r="C124" s="177">
        <v>113.2</v>
      </c>
      <c r="D124" s="177">
        <v>120</v>
      </c>
      <c r="E124" s="84"/>
      <c r="F124" s="178">
        <v>8500000</v>
      </c>
      <c r="G124" s="179"/>
    </row>
    <row r="125" spans="1:7" ht="21.25" customHeight="1" x14ac:dyDescent="0.15">
      <c r="A125" s="10" t="s">
        <v>266</v>
      </c>
      <c r="B125" s="177">
        <v>127.2</v>
      </c>
      <c r="C125" s="177">
        <v>114</v>
      </c>
      <c r="D125" s="177">
        <v>120.6</v>
      </c>
      <c r="E125" s="84"/>
      <c r="F125" s="178">
        <v>4380000</v>
      </c>
      <c r="G125" s="179"/>
    </row>
    <row r="126" spans="1:7" ht="21.25" customHeight="1" x14ac:dyDescent="0.15">
      <c r="A126" s="10" t="s">
        <v>414</v>
      </c>
      <c r="B126" s="177">
        <v>97.3</v>
      </c>
      <c r="C126" s="177">
        <v>148.5</v>
      </c>
      <c r="D126" s="177">
        <v>122.9</v>
      </c>
      <c r="E126" s="84"/>
      <c r="F126" s="178">
        <v>5250000</v>
      </c>
      <c r="G126" s="179"/>
    </row>
    <row r="127" spans="1:7" ht="21.25" customHeight="1" x14ac:dyDescent="0.15">
      <c r="A127" s="10" t="s">
        <v>227</v>
      </c>
      <c r="B127" s="177">
        <v>115.2</v>
      </c>
      <c r="C127" s="177">
        <v>138.5</v>
      </c>
      <c r="D127" s="177">
        <v>126.9</v>
      </c>
      <c r="E127" s="84"/>
      <c r="F127" s="178">
        <v>8450000</v>
      </c>
      <c r="G127" s="179"/>
    </row>
    <row r="128" spans="1:7" ht="21.25" customHeight="1" x14ac:dyDescent="0.15">
      <c r="A128" s="10" t="s">
        <v>223</v>
      </c>
      <c r="B128" s="177">
        <v>127.4</v>
      </c>
      <c r="C128" s="177">
        <v>126.6</v>
      </c>
      <c r="D128" s="177">
        <v>127</v>
      </c>
      <c r="E128" s="84"/>
      <c r="F128" s="178">
        <v>5125000</v>
      </c>
      <c r="G128" s="179"/>
    </row>
    <row r="129" spans="1:7" ht="21.25" customHeight="1" x14ac:dyDescent="0.15">
      <c r="A129" s="10" t="s">
        <v>170</v>
      </c>
      <c r="B129" s="177">
        <v>121.4</v>
      </c>
      <c r="C129" s="179" t="s">
        <v>887</v>
      </c>
      <c r="D129" s="177">
        <v>127.1</v>
      </c>
      <c r="E129" s="84"/>
      <c r="F129" s="178">
        <v>5000000</v>
      </c>
      <c r="G129" s="179"/>
    </row>
    <row r="130" spans="1:7" ht="21.25" customHeight="1" x14ac:dyDescent="0.15">
      <c r="A130" s="10" t="s">
        <v>241</v>
      </c>
      <c r="B130" s="177">
        <v>119.6</v>
      </c>
      <c r="C130" s="177">
        <v>135.1</v>
      </c>
      <c r="D130" s="177">
        <v>127.4</v>
      </c>
      <c r="E130" s="84"/>
      <c r="F130" s="178">
        <v>7142000</v>
      </c>
      <c r="G130" s="179"/>
    </row>
    <row r="131" spans="1:7" ht="21.25" customHeight="1" x14ac:dyDescent="0.15">
      <c r="A131" s="10" t="s">
        <v>327</v>
      </c>
      <c r="B131" s="177">
        <v>130.9</v>
      </c>
      <c r="C131" s="177">
        <v>130.9</v>
      </c>
      <c r="D131" s="177">
        <v>130.9</v>
      </c>
      <c r="E131" s="84"/>
      <c r="F131" s="178">
        <v>9125000</v>
      </c>
      <c r="G131" s="179" t="s">
        <v>84</v>
      </c>
    </row>
    <row r="132" spans="1:7" ht="21.25" customHeight="1" x14ac:dyDescent="0.15">
      <c r="A132" s="10" t="s">
        <v>250</v>
      </c>
      <c r="B132" s="177">
        <v>139.30000000000001</v>
      </c>
      <c r="C132" s="177">
        <v>122.6</v>
      </c>
      <c r="D132" s="177">
        <v>131</v>
      </c>
      <c r="E132" s="84"/>
      <c r="F132" s="178">
        <v>9150000</v>
      </c>
      <c r="G132" s="179"/>
    </row>
    <row r="133" spans="1:7" ht="21.25" customHeight="1" x14ac:dyDescent="0.15">
      <c r="A133" s="10" t="s">
        <v>215</v>
      </c>
      <c r="B133" s="177">
        <v>128.30000000000001</v>
      </c>
      <c r="C133" s="177">
        <v>135.80000000000001</v>
      </c>
      <c r="D133" s="177">
        <v>132.1</v>
      </c>
      <c r="E133" s="84"/>
      <c r="F133" s="178">
        <v>7350000</v>
      </c>
      <c r="G133" s="179"/>
    </row>
    <row r="134" spans="1:7" ht="21.25" customHeight="1" x14ac:dyDescent="0.15">
      <c r="A134" s="10" t="s">
        <v>290</v>
      </c>
      <c r="B134" s="177">
        <v>141.30000000000001</v>
      </c>
      <c r="C134" s="177">
        <v>123.1</v>
      </c>
      <c r="D134" s="177">
        <v>132.19999999999999</v>
      </c>
      <c r="E134" s="84"/>
      <c r="F134" s="178">
        <v>7100000</v>
      </c>
      <c r="G134" s="179"/>
    </row>
    <row r="135" spans="1:7" ht="21.25" customHeight="1" x14ac:dyDescent="0.15">
      <c r="A135" s="10" t="s">
        <v>272</v>
      </c>
      <c r="B135" s="177">
        <v>136.4</v>
      </c>
      <c r="C135" s="177">
        <v>128.80000000000001</v>
      </c>
      <c r="D135" s="177">
        <v>132.6</v>
      </c>
      <c r="E135" s="84"/>
      <c r="F135" s="178">
        <v>950000</v>
      </c>
      <c r="G135" s="179"/>
    </row>
    <row r="136" spans="1:7" ht="21.25" customHeight="1" x14ac:dyDescent="0.15">
      <c r="A136" s="10" t="s">
        <v>386</v>
      </c>
      <c r="B136" s="177">
        <v>132.9</v>
      </c>
      <c r="C136" s="177">
        <v>133</v>
      </c>
      <c r="D136" s="177">
        <v>133</v>
      </c>
      <c r="E136" s="84"/>
      <c r="F136" s="178">
        <v>5625000</v>
      </c>
      <c r="G136" s="179"/>
    </row>
    <row r="137" spans="1:7" ht="21.25" customHeight="1" x14ac:dyDescent="0.15">
      <c r="A137" s="10" t="s">
        <v>211</v>
      </c>
      <c r="B137" s="177">
        <v>133.5</v>
      </c>
      <c r="C137" s="177">
        <v>132.80000000000001</v>
      </c>
      <c r="D137" s="177">
        <v>133.19999999999999</v>
      </c>
      <c r="E137" s="84"/>
      <c r="F137" s="178">
        <v>9000000</v>
      </c>
      <c r="G137" s="179" t="s">
        <v>83</v>
      </c>
    </row>
    <row r="138" spans="1:7" ht="21.25" customHeight="1" x14ac:dyDescent="0.15">
      <c r="A138" s="10" t="s">
        <v>264</v>
      </c>
      <c r="B138" s="177">
        <v>133</v>
      </c>
      <c r="C138" s="177">
        <v>135.5</v>
      </c>
      <c r="D138" s="177">
        <v>134.30000000000001</v>
      </c>
      <c r="E138" s="84"/>
      <c r="F138" s="178">
        <v>5000000</v>
      </c>
      <c r="G138" s="179"/>
    </row>
    <row r="139" spans="1:7" ht="21.25" customHeight="1" x14ac:dyDescent="0.15">
      <c r="A139" s="10" t="s">
        <v>222</v>
      </c>
      <c r="B139" s="177">
        <v>134.6</v>
      </c>
      <c r="C139" s="177">
        <v>136.69999999999999</v>
      </c>
      <c r="D139" s="177">
        <v>135.69999999999999</v>
      </c>
      <c r="E139" s="84"/>
      <c r="F139" s="178">
        <v>6500000</v>
      </c>
      <c r="G139" s="179"/>
    </row>
    <row r="140" spans="1:7" ht="21.25" customHeight="1" x14ac:dyDescent="0.15">
      <c r="A140" s="10" t="s">
        <v>232</v>
      </c>
      <c r="B140" s="177">
        <v>137.80000000000001</v>
      </c>
      <c r="C140" s="177">
        <v>138.9</v>
      </c>
      <c r="D140" s="177">
        <v>138.4</v>
      </c>
      <c r="E140" s="84"/>
      <c r="F140" s="178">
        <v>11600000</v>
      </c>
      <c r="G140" s="179" t="s">
        <v>86</v>
      </c>
    </row>
    <row r="141" spans="1:7" ht="21.25" customHeight="1" x14ac:dyDescent="0.15">
      <c r="A141" s="10" t="s">
        <v>217</v>
      </c>
      <c r="B141" s="179" t="s">
        <v>888</v>
      </c>
      <c r="C141" s="177">
        <v>137.6</v>
      </c>
      <c r="D141" s="177">
        <v>139.1</v>
      </c>
      <c r="E141" s="84"/>
      <c r="F141" s="178">
        <v>7250000</v>
      </c>
      <c r="G141" s="179"/>
    </row>
    <row r="142" spans="1:7" ht="21.25" customHeight="1" x14ac:dyDescent="0.15">
      <c r="A142" s="10" t="s">
        <v>259</v>
      </c>
      <c r="B142" s="177">
        <v>136.6</v>
      </c>
      <c r="C142" s="177">
        <v>142.30000000000001</v>
      </c>
      <c r="D142" s="177">
        <v>139.5</v>
      </c>
      <c r="E142" s="84"/>
      <c r="F142" s="178">
        <v>6250000</v>
      </c>
      <c r="G142" s="179"/>
    </row>
    <row r="143" spans="1:7" ht="21.25" customHeight="1" x14ac:dyDescent="0.15">
      <c r="A143" s="10" t="s">
        <v>283</v>
      </c>
      <c r="B143" s="177">
        <v>133.19999999999999</v>
      </c>
      <c r="C143" s="177">
        <v>146.4</v>
      </c>
      <c r="D143" s="177">
        <v>139.80000000000001</v>
      </c>
      <c r="E143" s="84"/>
      <c r="F143" s="178">
        <v>7500000</v>
      </c>
      <c r="G143" s="179"/>
    </row>
    <row r="144" spans="1:7" ht="21.25" customHeight="1" x14ac:dyDescent="0.15">
      <c r="A144" s="10" t="s">
        <v>273</v>
      </c>
      <c r="B144" s="177">
        <v>139.9</v>
      </c>
      <c r="C144" s="177">
        <v>140.9</v>
      </c>
      <c r="D144" s="177">
        <v>140.4</v>
      </c>
      <c r="E144" s="84"/>
      <c r="F144" s="178">
        <v>8125000</v>
      </c>
      <c r="G144" s="179" t="s">
        <v>83</v>
      </c>
    </row>
    <row r="145" spans="1:7" ht="21.25" customHeight="1" x14ac:dyDescent="0.15">
      <c r="A145" s="10" t="s">
        <v>280</v>
      </c>
      <c r="B145" s="177">
        <v>144.80000000000001</v>
      </c>
      <c r="C145" s="177">
        <v>137.19999999999999</v>
      </c>
      <c r="D145" s="177">
        <v>141</v>
      </c>
      <c r="E145" s="84"/>
      <c r="F145" s="178">
        <v>6750000</v>
      </c>
      <c r="G145" s="179"/>
    </row>
    <row r="146" spans="1:7" ht="21.25" customHeight="1" x14ac:dyDescent="0.15">
      <c r="A146" s="10" t="s">
        <v>245</v>
      </c>
      <c r="B146" s="177">
        <v>139.6</v>
      </c>
      <c r="C146" s="177">
        <v>144.4</v>
      </c>
      <c r="D146" s="177">
        <v>142</v>
      </c>
      <c r="E146" s="84"/>
      <c r="F146" s="178">
        <v>5250000</v>
      </c>
      <c r="G146" s="179" t="s">
        <v>84</v>
      </c>
    </row>
    <row r="147" spans="1:7" ht="21.25" customHeight="1" x14ac:dyDescent="0.15">
      <c r="A147" s="10" t="s">
        <v>299</v>
      </c>
      <c r="B147" s="177">
        <v>139.19999999999999</v>
      </c>
      <c r="C147" s="177">
        <v>148.19999999999999</v>
      </c>
      <c r="D147" s="177">
        <v>143.69999999999999</v>
      </c>
      <c r="E147" s="84"/>
      <c r="F147" s="178">
        <v>8250000</v>
      </c>
      <c r="G147" s="179"/>
    </row>
    <row r="148" spans="1:7" ht="21.25" customHeight="1" x14ac:dyDescent="0.15">
      <c r="A148" s="10" t="s">
        <v>293</v>
      </c>
      <c r="B148" s="177">
        <v>138.9</v>
      </c>
      <c r="C148" s="177">
        <v>149.1</v>
      </c>
      <c r="D148" s="177">
        <v>144</v>
      </c>
      <c r="E148" s="84"/>
      <c r="F148" s="178">
        <v>5600000</v>
      </c>
      <c r="G148" s="179" t="s">
        <v>84</v>
      </c>
    </row>
    <row r="149" spans="1:7" ht="21.25" customHeight="1" x14ac:dyDescent="0.15">
      <c r="A149" s="10" t="s">
        <v>246</v>
      </c>
      <c r="B149" s="177">
        <v>142.1</v>
      </c>
      <c r="C149" s="177">
        <v>145.9</v>
      </c>
      <c r="D149" s="177">
        <v>144</v>
      </c>
      <c r="E149" s="84"/>
      <c r="F149" s="178">
        <v>7450000</v>
      </c>
      <c r="G149" s="179" t="s">
        <v>84</v>
      </c>
    </row>
    <row r="150" spans="1:7" ht="21.25" customHeight="1" x14ac:dyDescent="0.15">
      <c r="A150" s="10" t="s">
        <v>261</v>
      </c>
      <c r="B150" s="177">
        <v>132.6</v>
      </c>
      <c r="C150" s="177">
        <v>156.9</v>
      </c>
      <c r="D150" s="177">
        <v>144.80000000000001</v>
      </c>
      <c r="E150" s="84"/>
      <c r="F150" s="178">
        <v>8250000</v>
      </c>
      <c r="G150" s="179"/>
    </row>
    <row r="151" spans="1:7" ht="21.25" customHeight="1" x14ac:dyDescent="0.15">
      <c r="A151" s="10" t="s">
        <v>278</v>
      </c>
      <c r="B151" s="177">
        <v>128.80000000000001</v>
      </c>
      <c r="C151" s="177">
        <v>161.19999999999999</v>
      </c>
      <c r="D151" s="177">
        <v>145</v>
      </c>
      <c r="E151" s="84"/>
      <c r="F151" s="178">
        <v>3400000</v>
      </c>
      <c r="G151" s="179"/>
    </row>
    <row r="152" spans="1:7" ht="21.25" customHeight="1" x14ac:dyDescent="0.15">
      <c r="A152" s="10" t="s">
        <v>276</v>
      </c>
      <c r="B152" s="177">
        <v>141</v>
      </c>
      <c r="C152" s="177">
        <v>149.19999999999999</v>
      </c>
      <c r="D152" s="177">
        <v>145.1</v>
      </c>
      <c r="E152" s="84"/>
      <c r="F152" s="178">
        <v>5500000</v>
      </c>
      <c r="G152" s="179"/>
    </row>
    <row r="153" spans="1:7" ht="21.25" customHeight="1" x14ac:dyDescent="0.15">
      <c r="A153" s="10" t="s">
        <v>385</v>
      </c>
      <c r="B153" s="177">
        <v>127.5</v>
      </c>
      <c r="C153" s="177">
        <v>162.9</v>
      </c>
      <c r="D153" s="177">
        <v>145.19999999999999</v>
      </c>
      <c r="E153" s="84"/>
      <c r="F153" s="178">
        <v>2000000</v>
      </c>
      <c r="G153" s="179"/>
    </row>
    <row r="154" spans="1:7" ht="21.25" customHeight="1" x14ac:dyDescent="0.15">
      <c r="A154" s="10" t="s">
        <v>333</v>
      </c>
      <c r="B154" s="177">
        <v>138.9</v>
      </c>
      <c r="C154" s="177">
        <v>151.6</v>
      </c>
      <c r="D154" s="177">
        <v>145.30000000000001</v>
      </c>
      <c r="E154" s="84"/>
      <c r="F154" s="178">
        <v>950000</v>
      </c>
      <c r="G154" s="179"/>
    </row>
    <row r="155" spans="1:7" ht="21.25" customHeight="1" x14ac:dyDescent="0.15">
      <c r="A155" s="10" t="s">
        <v>196</v>
      </c>
      <c r="B155" s="177">
        <v>132</v>
      </c>
      <c r="C155" s="177">
        <v>159.4</v>
      </c>
      <c r="D155" s="177">
        <v>145.69999999999999</v>
      </c>
      <c r="E155" s="84"/>
      <c r="F155" s="178">
        <v>5833000</v>
      </c>
      <c r="G155" s="179"/>
    </row>
    <row r="156" spans="1:7" ht="21.25" customHeight="1" x14ac:dyDescent="0.15">
      <c r="A156" s="10" t="s">
        <v>344</v>
      </c>
      <c r="B156" s="177">
        <v>137.6</v>
      </c>
      <c r="C156" s="177">
        <v>154.19999999999999</v>
      </c>
      <c r="D156" s="177">
        <v>145.9</v>
      </c>
      <c r="E156" s="84"/>
      <c r="F156" s="178">
        <v>6200000</v>
      </c>
      <c r="G156" s="179"/>
    </row>
    <row r="157" spans="1:7" ht="21.25" customHeight="1" x14ac:dyDescent="0.15">
      <c r="A157" s="10" t="s">
        <v>309</v>
      </c>
      <c r="B157" s="177">
        <v>130.19999999999999</v>
      </c>
      <c r="C157" s="177">
        <v>161.69999999999999</v>
      </c>
      <c r="D157" s="177">
        <v>146</v>
      </c>
      <c r="E157" s="84"/>
      <c r="F157" s="178">
        <v>4285000</v>
      </c>
      <c r="G157" s="179"/>
    </row>
    <row r="158" spans="1:7" ht="21.25" customHeight="1" x14ac:dyDescent="0.15">
      <c r="A158" s="10" t="s">
        <v>342</v>
      </c>
      <c r="B158" s="177">
        <v>134.9</v>
      </c>
      <c r="C158" s="177">
        <v>158.6</v>
      </c>
      <c r="D158" s="177">
        <v>146.80000000000001</v>
      </c>
      <c r="E158" s="84"/>
      <c r="F158" s="178">
        <v>8000000</v>
      </c>
      <c r="G158" s="179"/>
    </row>
    <row r="159" spans="1:7" ht="21.25" customHeight="1" x14ac:dyDescent="0.15">
      <c r="A159" s="10" t="s">
        <v>238</v>
      </c>
      <c r="B159" s="177">
        <v>135.9</v>
      </c>
      <c r="C159" s="177">
        <v>159.69999999999999</v>
      </c>
      <c r="D159" s="177">
        <v>147.80000000000001</v>
      </c>
      <c r="E159" s="84"/>
      <c r="F159" s="178">
        <v>8000000</v>
      </c>
      <c r="G159" s="179"/>
    </row>
    <row r="160" spans="1:7" ht="21.25" customHeight="1" x14ac:dyDescent="0.15">
      <c r="A160" s="10" t="s">
        <v>301</v>
      </c>
      <c r="B160" s="177">
        <v>144.19999999999999</v>
      </c>
      <c r="C160" s="177">
        <v>151.6</v>
      </c>
      <c r="D160" s="177">
        <v>147.9</v>
      </c>
      <c r="E160" s="84"/>
      <c r="F160" s="178">
        <v>7500000</v>
      </c>
      <c r="G160" s="179" t="s">
        <v>86</v>
      </c>
    </row>
    <row r="161" spans="1:7" ht="21.25" customHeight="1" x14ac:dyDescent="0.15">
      <c r="A161" s="10" t="s">
        <v>231</v>
      </c>
      <c r="B161" s="177">
        <v>142.19999999999999</v>
      </c>
      <c r="C161" s="177">
        <v>153.9</v>
      </c>
      <c r="D161" s="177">
        <v>148.1</v>
      </c>
      <c r="E161" s="84"/>
      <c r="F161" s="178">
        <v>8000000</v>
      </c>
      <c r="G161" s="179"/>
    </row>
    <row r="162" spans="1:7" ht="21.25" customHeight="1" x14ac:dyDescent="0.15">
      <c r="A162" s="10" t="s">
        <v>296</v>
      </c>
      <c r="B162" s="179" t="s">
        <v>889</v>
      </c>
      <c r="C162" s="177">
        <v>157</v>
      </c>
      <c r="D162" s="177">
        <v>148.69999999999999</v>
      </c>
      <c r="E162" s="84"/>
      <c r="F162" s="178">
        <v>7700000</v>
      </c>
      <c r="G162" s="179" t="s">
        <v>84</v>
      </c>
    </row>
    <row r="163" spans="1:7" ht="21.25" customHeight="1" x14ac:dyDescent="0.15">
      <c r="A163" s="10" t="s">
        <v>338</v>
      </c>
      <c r="B163" s="177">
        <v>138.9</v>
      </c>
      <c r="C163" s="177">
        <v>159.80000000000001</v>
      </c>
      <c r="D163" s="177">
        <v>149.4</v>
      </c>
      <c r="E163" s="84"/>
      <c r="F163" s="178">
        <v>5125000</v>
      </c>
      <c r="G163" s="179"/>
    </row>
    <row r="164" spans="1:7" ht="21.25" customHeight="1" x14ac:dyDescent="0.15">
      <c r="A164" s="10" t="s">
        <v>418</v>
      </c>
      <c r="B164" s="177">
        <v>134.6</v>
      </c>
      <c r="C164" s="177">
        <v>167.7</v>
      </c>
      <c r="D164" s="177">
        <v>151.19999999999999</v>
      </c>
      <c r="E164" s="84"/>
      <c r="F164" s="178">
        <v>1075000</v>
      </c>
      <c r="G164" s="179" t="s">
        <v>84</v>
      </c>
    </row>
    <row r="165" spans="1:7" ht="21.25" customHeight="1" x14ac:dyDescent="0.15">
      <c r="A165" s="10" t="s">
        <v>248</v>
      </c>
      <c r="B165" s="177">
        <v>142</v>
      </c>
      <c r="C165" s="177">
        <v>160.5</v>
      </c>
      <c r="D165" s="177">
        <v>151.30000000000001</v>
      </c>
      <c r="E165" s="84"/>
      <c r="F165" s="178">
        <v>5000000</v>
      </c>
      <c r="G165" s="179"/>
    </row>
    <row r="166" spans="1:7" ht="21.25" customHeight="1" x14ac:dyDescent="0.15">
      <c r="A166" s="10" t="s">
        <v>251</v>
      </c>
      <c r="B166" s="177">
        <v>144.1</v>
      </c>
      <c r="C166" s="177">
        <v>158.6</v>
      </c>
      <c r="D166" s="177">
        <v>151.4</v>
      </c>
      <c r="E166" s="84"/>
      <c r="F166" s="178">
        <v>4500000</v>
      </c>
      <c r="G166" s="179"/>
    </row>
    <row r="167" spans="1:7" ht="21.25" customHeight="1" x14ac:dyDescent="0.15">
      <c r="A167" s="10" t="s">
        <v>265</v>
      </c>
      <c r="B167" s="177">
        <v>138.1</v>
      </c>
      <c r="C167" s="177">
        <v>167.8</v>
      </c>
      <c r="D167" s="177">
        <v>153</v>
      </c>
      <c r="E167" s="84"/>
      <c r="F167" s="178">
        <v>966500</v>
      </c>
      <c r="G167" s="179"/>
    </row>
    <row r="168" spans="1:7" ht="21.25" customHeight="1" x14ac:dyDescent="0.15">
      <c r="A168" s="10" t="s">
        <v>315</v>
      </c>
      <c r="B168" s="177">
        <v>136.80000000000001</v>
      </c>
      <c r="C168" s="177">
        <v>170.6</v>
      </c>
      <c r="D168" s="177">
        <v>153.69999999999999</v>
      </c>
      <c r="E168" s="84"/>
      <c r="F168" s="178">
        <v>3350000</v>
      </c>
      <c r="G168" s="179"/>
    </row>
    <row r="169" spans="1:7" ht="21.25" customHeight="1" x14ac:dyDescent="0.15">
      <c r="A169" s="10" t="s">
        <v>253</v>
      </c>
      <c r="B169" s="177">
        <v>142.4</v>
      </c>
      <c r="C169" s="177">
        <v>165.9</v>
      </c>
      <c r="D169" s="177">
        <v>154.19999999999999</v>
      </c>
      <c r="E169" s="84"/>
      <c r="F169" s="178">
        <v>7250000</v>
      </c>
      <c r="G169" s="179" t="s">
        <v>84</v>
      </c>
    </row>
    <row r="170" spans="1:7" ht="21.25" customHeight="1" x14ac:dyDescent="0.15">
      <c r="A170" s="10" t="s">
        <v>330</v>
      </c>
      <c r="B170" s="177">
        <v>132.1</v>
      </c>
      <c r="C170" s="177">
        <v>181.7</v>
      </c>
      <c r="D170" s="177">
        <v>156.9</v>
      </c>
      <c r="E170" s="84"/>
      <c r="F170" s="178">
        <v>8000000</v>
      </c>
      <c r="G170" s="179"/>
    </row>
    <row r="171" spans="1:7" ht="21.25" customHeight="1" x14ac:dyDescent="0.15">
      <c r="A171" s="10" t="s">
        <v>256</v>
      </c>
      <c r="B171" s="177">
        <v>136.69999999999999</v>
      </c>
      <c r="C171" s="177">
        <v>180.5</v>
      </c>
      <c r="D171" s="177">
        <v>158.6</v>
      </c>
      <c r="E171" s="84"/>
      <c r="F171" s="178">
        <v>9250000</v>
      </c>
      <c r="G171" s="179"/>
    </row>
    <row r="172" spans="1:7" ht="21.25" customHeight="1" x14ac:dyDescent="0.15">
      <c r="A172" s="10" t="s">
        <v>312</v>
      </c>
      <c r="B172" s="177">
        <v>149.1</v>
      </c>
      <c r="C172" s="177">
        <v>168.2</v>
      </c>
      <c r="D172" s="177">
        <v>158.69999999999999</v>
      </c>
      <c r="E172" s="84"/>
      <c r="F172" s="178">
        <v>7875000</v>
      </c>
      <c r="G172" s="179" t="s">
        <v>84</v>
      </c>
    </row>
    <row r="173" spans="1:7" ht="21.25" customHeight="1" x14ac:dyDescent="0.15">
      <c r="A173" s="10" t="s">
        <v>339</v>
      </c>
      <c r="B173" s="177">
        <v>127.7</v>
      </c>
      <c r="C173" s="177">
        <v>191.3</v>
      </c>
      <c r="D173" s="177">
        <v>159.5</v>
      </c>
      <c r="E173" s="84"/>
      <c r="F173" s="178">
        <v>2000000</v>
      </c>
      <c r="G173" s="179"/>
    </row>
    <row r="174" spans="1:7" ht="21.25" customHeight="1" x14ac:dyDescent="0.15">
      <c r="A174" s="10" t="s">
        <v>337</v>
      </c>
      <c r="B174" s="177">
        <v>118.3</v>
      </c>
      <c r="C174" s="177">
        <v>203</v>
      </c>
      <c r="D174" s="177">
        <v>160.69999999999999</v>
      </c>
      <c r="E174" s="84"/>
      <c r="F174" s="178">
        <v>4750000</v>
      </c>
      <c r="G174" s="179"/>
    </row>
    <row r="175" spans="1:7" ht="21.25" customHeight="1" x14ac:dyDescent="0.15">
      <c r="A175" s="10" t="s">
        <v>314</v>
      </c>
      <c r="B175" s="177">
        <v>136.19999999999999</v>
      </c>
      <c r="C175" s="177">
        <v>185.9</v>
      </c>
      <c r="D175" s="177">
        <v>161.1</v>
      </c>
      <c r="E175" s="84"/>
      <c r="F175" s="178">
        <v>6000000</v>
      </c>
      <c r="G175" s="179"/>
    </row>
    <row r="176" spans="1:7" ht="21.25" customHeight="1" x14ac:dyDescent="0.15">
      <c r="A176" s="10" t="s">
        <v>472</v>
      </c>
      <c r="B176" s="177">
        <v>133.19999999999999</v>
      </c>
      <c r="C176" s="177">
        <v>190.7</v>
      </c>
      <c r="D176" s="177">
        <v>162</v>
      </c>
      <c r="E176" s="84"/>
      <c r="F176" s="178">
        <v>5750000</v>
      </c>
      <c r="G176" s="179"/>
    </row>
    <row r="177" spans="1:7" ht="21.25" customHeight="1" x14ac:dyDescent="0.15">
      <c r="A177" s="10" t="s">
        <v>235</v>
      </c>
      <c r="B177" s="177">
        <v>137.5</v>
      </c>
      <c r="C177" s="177">
        <v>186.7</v>
      </c>
      <c r="D177" s="177">
        <v>162.1</v>
      </c>
      <c r="E177" s="84"/>
      <c r="F177" s="178">
        <v>975000</v>
      </c>
      <c r="G177" s="179" t="s">
        <v>86</v>
      </c>
    </row>
    <row r="178" spans="1:7" ht="21.25" customHeight="1" x14ac:dyDescent="0.15">
      <c r="A178" s="10" t="s">
        <v>332</v>
      </c>
      <c r="B178" s="177">
        <v>144.69999999999999</v>
      </c>
      <c r="C178" s="177">
        <v>184.2</v>
      </c>
      <c r="D178" s="177">
        <v>164.5</v>
      </c>
      <c r="E178" s="84"/>
      <c r="F178" s="178">
        <v>5250000</v>
      </c>
      <c r="G178" s="179"/>
    </row>
    <row r="179" spans="1:7" ht="21.25" customHeight="1" x14ac:dyDescent="0.15">
      <c r="A179" s="10" t="s">
        <v>366</v>
      </c>
      <c r="B179" s="177">
        <v>143.9</v>
      </c>
      <c r="C179" s="177">
        <v>185.1</v>
      </c>
      <c r="D179" s="177">
        <v>164.5</v>
      </c>
      <c r="E179" s="84"/>
      <c r="F179" s="178">
        <v>4750000</v>
      </c>
      <c r="G179" s="179"/>
    </row>
    <row r="180" spans="1:7" ht="21.25" customHeight="1" x14ac:dyDescent="0.15">
      <c r="A180" s="10" t="s">
        <v>202</v>
      </c>
      <c r="B180" s="177">
        <v>138.9</v>
      </c>
      <c r="C180" s="177">
        <v>190.4</v>
      </c>
      <c r="D180" s="177">
        <v>164.7</v>
      </c>
      <c r="E180" s="84"/>
      <c r="F180" s="178">
        <v>7500000</v>
      </c>
      <c r="G180" s="179"/>
    </row>
    <row r="181" spans="1:7" ht="21.25" customHeight="1" x14ac:dyDescent="0.15">
      <c r="A181" s="10" t="s">
        <v>318</v>
      </c>
      <c r="B181" s="177">
        <v>144.5</v>
      </c>
      <c r="C181" s="177">
        <v>187.5</v>
      </c>
      <c r="D181" s="177">
        <v>166</v>
      </c>
      <c r="E181" s="84"/>
      <c r="F181" s="178">
        <v>5000000</v>
      </c>
      <c r="G181" s="179"/>
    </row>
    <row r="182" spans="1:7" ht="21.25" customHeight="1" x14ac:dyDescent="0.15">
      <c r="A182" s="10" t="s">
        <v>412</v>
      </c>
      <c r="B182" s="177">
        <v>145.30000000000001</v>
      </c>
      <c r="C182" s="177">
        <v>187.3</v>
      </c>
      <c r="D182" s="177">
        <v>166.3</v>
      </c>
      <c r="E182" s="84"/>
      <c r="F182" s="178">
        <v>4100000</v>
      </c>
      <c r="G182" s="179"/>
    </row>
    <row r="183" spans="1:7" ht="21.25" customHeight="1" x14ac:dyDescent="0.15">
      <c r="A183" s="10" t="s">
        <v>282</v>
      </c>
      <c r="B183" s="177">
        <v>128.19999999999999</v>
      </c>
      <c r="C183" s="177">
        <v>206.1</v>
      </c>
      <c r="D183" s="177">
        <v>167.2</v>
      </c>
      <c r="E183" s="84"/>
      <c r="F183" s="178">
        <v>4000000</v>
      </c>
      <c r="G183" s="179" t="s">
        <v>86</v>
      </c>
    </row>
    <row r="184" spans="1:7" ht="21.25" customHeight="1" x14ac:dyDescent="0.15">
      <c r="A184" s="10" t="s">
        <v>370</v>
      </c>
      <c r="B184" s="177">
        <v>135</v>
      </c>
      <c r="C184" s="177">
        <v>202.8</v>
      </c>
      <c r="D184" s="177">
        <v>168.9</v>
      </c>
      <c r="E184" s="84"/>
      <c r="F184" s="178">
        <v>6950000</v>
      </c>
      <c r="G184" s="179" t="s">
        <v>84</v>
      </c>
    </row>
    <row r="185" spans="1:7" ht="21.25" customHeight="1" x14ac:dyDescent="0.15">
      <c r="A185" s="10" t="s">
        <v>329</v>
      </c>
      <c r="B185" s="177">
        <v>141.4</v>
      </c>
      <c r="C185" s="177">
        <v>199.2</v>
      </c>
      <c r="D185" s="177">
        <v>170.3</v>
      </c>
      <c r="E185" s="84"/>
      <c r="F185" s="178">
        <v>5100000</v>
      </c>
      <c r="G185" s="179" t="s">
        <v>83</v>
      </c>
    </row>
    <row r="186" spans="1:7" ht="21.25" customHeight="1" x14ac:dyDescent="0.15">
      <c r="A186" s="10" t="s">
        <v>298</v>
      </c>
      <c r="B186" s="177">
        <v>145.6</v>
      </c>
      <c r="C186" s="177">
        <v>196.2</v>
      </c>
      <c r="D186" s="177">
        <v>170.9</v>
      </c>
      <c r="E186" s="84"/>
      <c r="F186" s="178">
        <v>5600000</v>
      </c>
      <c r="G186" s="179"/>
    </row>
    <row r="187" spans="1:7" ht="21.25" customHeight="1" x14ac:dyDescent="0.15">
      <c r="A187" s="10" t="s">
        <v>383</v>
      </c>
      <c r="B187" s="177">
        <v>138.5</v>
      </c>
      <c r="C187" s="177">
        <v>204.3</v>
      </c>
      <c r="D187" s="177">
        <v>171.4</v>
      </c>
      <c r="E187" s="84"/>
      <c r="F187" s="178">
        <v>7000000</v>
      </c>
      <c r="G187" s="179"/>
    </row>
    <row r="188" spans="1:7" ht="21.25" customHeight="1" x14ac:dyDescent="0.15">
      <c r="A188" s="10" t="s">
        <v>363</v>
      </c>
      <c r="B188" s="177">
        <v>141.1</v>
      </c>
      <c r="C188" s="177">
        <v>201.8</v>
      </c>
      <c r="D188" s="177">
        <v>171.5</v>
      </c>
      <c r="E188" s="84"/>
      <c r="F188" s="178">
        <v>6125000</v>
      </c>
      <c r="G188" s="179"/>
    </row>
    <row r="189" spans="1:7" ht="21.25" customHeight="1" x14ac:dyDescent="0.15">
      <c r="A189" s="10" t="s">
        <v>596</v>
      </c>
      <c r="B189" s="177">
        <v>135.4</v>
      </c>
      <c r="C189" s="177">
        <v>208</v>
      </c>
      <c r="D189" s="177">
        <v>171.7</v>
      </c>
      <c r="E189" s="84"/>
      <c r="F189" s="178">
        <v>7000000</v>
      </c>
      <c r="G189" s="179"/>
    </row>
    <row r="190" spans="1:7" ht="21.25" customHeight="1" x14ac:dyDescent="0.15">
      <c r="A190" s="10" t="s">
        <v>421</v>
      </c>
      <c r="B190" s="177">
        <v>138.30000000000001</v>
      </c>
      <c r="C190" s="177">
        <v>205.9</v>
      </c>
      <c r="D190" s="177">
        <v>172.1</v>
      </c>
      <c r="E190" s="84"/>
      <c r="F190" s="178">
        <v>953750</v>
      </c>
      <c r="G190" s="179"/>
    </row>
    <row r="191" spans="1:7" ht="21.25" customHeight="1" x14ac:dyDescent="0.15">
      <c r="A191" s="10" t="s">
        <v>206</v>
      </c>
      <c r="B191" s="177">
        <v>138.6</v>
      </c>
      <c r="C191" s="177">
        <v>206.6</v>
      </c>
      <c r="D191" s="177">
        <v>172.6</v>
      </c>
      <c r="E191" s="84"/>
      <c r="F191" s="178">
        <v>6400000</v>
      </c>
      <c r="G191" s="179"/>
    </row>
    <row r="192" spans="1:7" ht="21.25" customHeight="1" x14ac:dyDescent="0.15">
      <c r="A192" s="10" t="s">
        <v>388</v>
      </c>
      <c r="B192" s="179" t="s">
        <v>890</v>
      </c>
      <c r="C192" s="177">
        <v>218.9</v>
      </c>
      <c r="D192" s="177">
        <v>176.6</v>
      </c>
      <c r="E192" s="84"/>
      <c r="F192" s="178">
        <v>950000</v>
      </c>
      <c r="G192" s="179" t="s">
        <v>84</v>
      </c>
    </row>
    <row r="193" spans="1:7" ht="21.25" customHeight="1" x14ac:dyDescent="0.15">
      <c r="A193" s="10" t="s">
        <v>353</v>
      </c>
      <c r="B193" s="177">
        <v>137.19999999999999</v>
      </c>
      <c r="C193" s="177">
        <v>216.1</v>
      </c>
      <c r="D193" s="177">
        <v>176.7</v>
      </c>
      <c r="E193" s="84"/>
      <c r="F193" s="178">
        <v>6000000</v>
      </c>
      <c r="G193" s="179" t="s">
        <v>84</v>
      </c>
    </row>
    <row r="194" spans="1:7" ht="21.25" customHeight="1" x14ac:dyDescent="0.15">
      <c r="A194" s="10" t="s">
        <v>369</v>
      </c>
      <c r="B194" s="177">
        <v>140.5</v>
      </c>
      <c r="C194" s="177">
        <v>213.2</v>
      </c>
      <c r="D194" s="177">
        <v>176.9</v>
      </c>
      <c r="E194" s="84"/>
      <c r="F194" s="178">
        <v>3375000</v>
      </c>
      <c r="G194" s="179" t="s">
        <v>84</v>
      </c>
    </row>
    <row r="195" spans="1:7" ht="21.25" customHeight="1" x14ac:dyDescent="0.15">
      <c r="A195" s="10" t="s">
        <v>448</v>
      </c>
      <c r="B195" s="177">
        <v>138.6</v>
      </c>
      <c r="C195" s="177">
        <v>217.1</v>
      </c>
      <c r="D195" s="177">
        <v>177.9</v>
      </c>
      <c r="E195" s="84"/>
      <c r="F195" s="178">
        <v>4500000</v>
      </c>
      <c r="G195" s="179"/>
    </row>
    <row r="196" spans="1:7" ht="21.25" customHeight="1" x14ac:dyDescent="0.15">
      <c r="A196" s="10" t="s">
        <v>424</v>
      </c>
      <c r="B196" s="177">
        <v>133.80000000000001</v>
      </c>
      <c r="C196" s="177">
        <v>226</v>
      </c>
      <c r="D196" s="177">
        <v>179.9</v>
      </c>
      <c r="E196" s="84"/>
      <c r="F196" s="178">
        <v>6800000</v>
      </c>
      <c r="G196" s="179" t="s">
        <v>86</v>
      </c>
    </row>
    <row r="197" spans="1:7" ht="21.25" customHeight="1" x14ac:dyDescent="0.15">
      <c r="A197" s="10" t="s">
        <v>345</v>
      </c>
      <c r="B197" s="177">
        <v>141.1</v>
      </c>
      <c r="C197" s="177">
        <v>220.2</v>
      </c>
      <c r="D197" s="177">
        <v>180.7</v>
      </c>
      <c r="E197" s="84"/>
      <c r="F197" s="178">
        <v>4750000</v>
      </c>
      <c r="G197" s="179"/>
    </row>
    <row r="198" spans="1:7" ht="21.25" customHeight="1" x14ac:dyDescent="0.15">
      <c r="A198" s="10" t="s">
        <v>281</v>
      </c>
      <c r="B198" s="177">
        <v>146.4</v>
      </c>
      <c r="C198" s="177">
        <v>215.2</v>
      </c>
      <c r="D198" s="177">
        <v>180.8</v>
      </c>
      <c r="E198" s="84"/>
      <c r="F198" s="178">
        <v>7500000</v>
      </c>
      <c r="G198" s="179" t="s">
        <v>80</v>
      </c>
    </row>
    <row r="199" spans="1:7" ht="21.25" customHeight="1" x14ac:dyDescent="0.15">
      <c r="A199" s="10" t="s">
        <v>294</v>
      </c>
      <c r="B199" s="177">
        <v>137</v>
      </c>
      <c r="C199" s="177">
        <v>224.7</v>
      </c>
      <c r="D199" s="177">
        <v>180.9</v>
      </c>
      <c r="E199" s="84"/>
      <c r="F199" s="178">
        <v>7500000</v>
      </c>
      <c r="G199" s="179"/>
    </row>
    <row r="200" spans="1:7" ht="21.25" customHeight="1" x14ac:dyDescent="0.15">
      <c r="A200" s="10" t="s">
        <v>415</v>
      </c>
      <c r="B200" s="177">
        <v>129.9</v>
      </c>
      <c r="C200" s="177">
        <v>233.4</v>
      </c>
      <c r="D200" s="177">
        <v>181.7</v>
      </c>
      <c r="E200" s="84"/>
      <c r="F200" s="178">
        <v>1000000</v>
      </c>
      <c r="G200" s="179"/>
    </row>
    <row r="201" spans="1:7" ht="21.25" customHeight="1" x14ac:dyDescent="0.15">
      <c r="A201" s="10" t="s">
        <v>354</v>
      </c>
      <c r="B201" s="177">
        <v>135.5</v>
      </c>
      <c r="C201" s="177">
        <v>230.4</v>
      </c>
      <c r="D201" s="177">
        <v>183</v>
      </c>
      <c r="E201" s="84"/>
      <c r="F201" s="178">
        <v>5500000</v>
      </c>
      <c r="G201" s="179"/>
    </row>
    <row r="202" spans="1:7" ht="21.25" customHeight="1" x14ac:dyDescent="0.15">
      <c r="A202" s="10" t="s">
        <v>302</v>
      </c>
      <c r="B202" s="177">
        <v>138.30000000000001</v>
      </c>
      <c r="C202" s="177">
        <v>230.1</v>
      </c>
      <c r="D202" s="177">
        <v>184.2</v>
      </c>
      <c r="E202" s="84"/>
      <c r="F202" s="178">
        <v>7500000</v>
      </c>
      <c r="G202" s="179"/>
    </row>
    <row r="203" spans="1:7" ht="21.25" customHeight="1" x14ac:dyDescent="0.15">
      <c r="A203" s="10" t="s">
        <v>313</v>
      </c>
      <c r="B203" s="177">
        <v>135.9</v>
      </c>
      <c r="C203" s="177">
        <v>233.4</v>
      </c>
      <c r="D203" s="177">
        <v>184.7</v>
      </c>
      <c r="E203" s="84"/>
      <c r="F203" s="178">
        <v>7250000</v>
      </c>
      <c r="G203" s="179"/>
    </row>
    <row r="204" spans="1:7" ht="21.25" customHeight="1" x14ac:dyDescent="0.15">
      <c r="A204" s="10" t="s">
        <v>431</v>
      </c>
      <c r="B204" s="177">
        <v>146.30000000000001</v>
      </c>
      <c r="C204" s="177">
        <v>224.3</v>
      </c>
      <c r="D204" s="177">
        <v>185.3</v>
      </c>
      <c r="E204" s="84"/>
      <c r="F204" s="178">
        <v>5250000</v>
      </c>
      <c r="G204" s="179"/>
    </row>
    <row r="205" spans="1:7" ht="21.25" customHeight="1" x14ac:dyDescent="0.15">
      <c r="A205" s="10" t="s">
        <v>325</v>
      </c>
      <c r="B205" s="177">
        <v>145.30000000000001</v>
      </c>
      <c r="C205" s="177">
        <v>225.5</v>
      </c>
      <c r="D205" s="177">
        <v>185.4</v>
      </c>
      <c r="E205" s="84"/>
      <c r="F205" s="178">
        <v>3000000</v>
      </c>
      <c r="G205" s="179"/>
    </row>
    <row r="206" spans="1:7" ht="21.25" customHeight="1" x14ac:dyDescent="0.15">
      <c r="A206" s="10" t="s">
        <v>305</v>
      </c>
      <c r="B206" s="177">
        <v>136</v>
      </c>
      <c r="C206" s="177">
        <v>235.2</v>
      </c>
      <c r="D206" s="177">
        <v>185.6</v>
      </c>
      <c r="E206" s="84"/>
      <c r="F206" s="178">
        <v>1800000</v>
      </c>
      <c r="G206" s="179"/>
    </row>
    <row r="207" spans="1:7" ht="21.25" customHeight="1" x14ac:dyDescent="0.15">
      <c r="A207" s="10" t="s">
        <v>307</v>
      </c>
      <c r="B207" s="177">
        <v>134.19999999999999</v>
      </c>
      <c r="C207" s="177">
        <v>237.4</v>
      </c>
      <c r="D207" s="177">
        <v>185.8</v>
      </c>
      <c r="E207" s="84"/>
      <c r="F207" s="178">
        <v>7250000</v>
      </c>
      <c r="G207" s="179"/>
    </row>
    <row r="208" spans="1:7" ht="21.25" customHeight="1" x14ac:dyDescent="0.15">
      <c r="A208" s="10" t="s">
        <v>438</v>
      </c>
      <c r="B208" s="177">
        <v>135.80000000000001</v>
      </c>
      <c r="C208" s="177">
        <v>236.2</v>
      </c>
      <c r="D208" s="177">
        <v>186</v>
      </c>
      <c r="E208" s="84"/>
      <c r="F208" s="178">
        <v>6500000</v>
      </c>
      <c r="G208" s="179"/>
    </row>
    <row r="209" spans="1:7" ht="21.25" customHeight="1" x14ac:dyDescent="0.15">
      <c r="A209" s="10" t="s">
        <v>285</v>
      </c>
      <c r="B209" s="177">
        <v>130.9</v>
      </c>
      <c r="C209" s="177">
        <v>241.5</v>
      </c>
      <c r="D209" s="177">
        <v>186.2</v>
      </c>
      <c r="E209" s="84"/>
      <c r="F209" s="178">
        <v>975000</v>
      </c>
      <c r="G209" s="179" t="s">
        <v>83</v>
      </c>
    </row>
    <row r="210" spans="1:7" ht="21.25" customHeight="1" x14ac:dyDescent="0.15">
      <c r="A210" s="10" t="s">
        <v>286</v>
      </c>
      <c r="B210" s="177">
        <v>140.80000000000001</v>
      </c>
      <c r="C210" s="177">
        <v>231.6</v>
      </c>
      <c r="D210" s="177">
        <v>186.2</v>
      </c>
      <c r="E210" s="84"/>
      <c r="F210" s="178">
        <v>6250000</v>
      </c>
      <c r="G210" s="179"/>
    </row>
    <row r="211" spans="1:7" ht="21.25" customHeight="1" x14ac:dyDescent="0.15">
      <c r="A211" s="10" t="s">
        <v>462</v>
      </c>
      <c r="B211" s="177">
        <v>139.80000000000001</v>
      </c>
      <c r="C211" s="177">
        <v>232.9</v>
      </c>
      <c r="D211" s="177">
        <v>186.4</v>
      </c>
      <c r="E211" s="84"/>
      <c r="F211" s="178">
        <v>4500000</v>
      </c>
      <c r="G211" s="179"/>
    </row>
    <row r="212" spans="1:7" ht="21.25" customHeight="1" x14ac:dyDescent="0.15">
      <c r="A212" s="10" t="s">
        <v>331</v>
      </c>
      <c r="B212" s="179" t="s">
        <v>891</v>
      </c>
      <c r="C212" s="177">
        <v>244.2</v>
      </c>
      <c r="D212" s="177">
        <v>187.5</v>
      </c>
      <c r="E212" s="84"/>
      <c r="F212" s="178">
        <v>7000000</v>
      </c>
      <c r="G212" s="179"/>
    </row>
    <row r="213" spans="1:7" ht="21.25" customHeight="1" x14ac:dyDescent="0.15">
      <c r="A213" s="10" t="s">
        <v>443</v>
      </c>
      <c r="B213" s="177">
        <v>135.1</v>
      </c>
      <c r="C213" s="177">
        <v>240.7</v>
      </c>
      <c r="D213" s="177">
        <v>187.9</v>
      </c>
      <c r="E213" s="84"/>
      <c r="F213" s="178">
        <v>3750000</v>
      </c>
      <c r="G213" s="179" t="s">
        <v>84</v>
      </c>
    </row>
    <row r="214" spans="1:7" ht="21.25" customHeight="1" x14ac:dyDescent="0.15">
      <c r="A214" s="10" t="s">
        <v>308</v>
      </c>
      <c r="B214" s="177">
        <v>139</v>
      </c>
      <c r="C214" s="177">
        <v>237.7</v>
      </c>
      <c r="D214" s="177">
        <v>188.4</v>
      </c>
      <c r="E214" s="84"/>
      <c r="F214" s="178">
        <v>5000000</v>
      </c>
      <c r="G214" s="179"/>
    </row>
    <row r="215" spans="1:7" ht="21.25" customHeight="1" x14ac:dyDescent="0.15">
      <c r="A215" s="10" t="s">
        <v>519</v>
      </c>
      <c r="B215" s="177">
        <v>141.80000000000001</v>
      </c>
      <c r="C215" s="177">
        <v>236.7</v>
      </c>
      <c r="D215" s="177">
        <v>189.3</v>
      </c>
      <c r="E215" s="84"/>
      <c r="F215" s="178">
        <v>4750000</v>
      </c>
      <c r="G215" s="179"/>
    </row>
    <row r="216" spans="1:7" ht="21.25" customHeight="1" x14ac:dyDescent="0.15">
      <c r="A216" s="10" t="s">
        <v>451</v>
      </c>
      <c r="B216" s="179" t="s">
        <v>892</v>
      </c>
      <c r="C216" s="177">
        <v>246.3</v>
      </c>
      <c r="D216" s="177">
        <v>189.7</v>
      </c>
      <c r="E216" s="84"/>
      <c r="F216" s="178">
        <v>6750000</v>
      </c>
      <c r="G216" s="179"/>
    </row>
    <row r="217" spans="1:7" ht="21.25" customHeight="1" x14ac:dyDescent="0.15">
      <c r="A217" s="10" t="s">
        <v>435</v>
      </c>
      <c r="B217" s="179" t="s">
        <v>893</v>
      </c>
      <c r="C217" s="177">
        <v>243</v>
      </c>
      <c r="D217" s="177">
        <v>190.6</v>
      </c>
      <c r="E217" s="84"/>
      <c r="F217" s="178">
        <v>5750000</v>
      </c>
      <c r="G217" s="179"/>
    </row>
    <row r="218" spans="1:7" ht="21.25" customHeight="1" x14ac:dyDescent="0.15">
      <c r="A218" s="10" t="s">
        <v>326</v>
      </c>
      <c r="B218" s="177">
        <v>143.5</v>
      </c>
      <c r="C218" s="177">
        <v>238.7</v>
      </c>
      <c r="D218" s="177">
        <v>191.1</v>
      </c>
      <c r="E218" s="84"/>
      <c r="F218" s="178">
        <v>3615000</v>
      </c>
      <c r="G218" s="179"/>
    </row>
    <row r="219" spans="1:7" ht="21.25" customHeight="1" x14ac:dyDescent="0.15">
      <c r="A219" s="10" t="s">
        <v>499</v>
      </c>
      <c r="B219" s="179" t="s">
        <v>894</v>
      </c>
      <c r="C219" s="177">
        <v>248.4</v>
      </c>
      <c r="D219" s="177">
        <v>192.8</v>
      </c>
      <c r="E219" s="84"/>
      <c r="F219" s="178">
        <v>945417</v>
      </c>
      <c r="G219" s="179"/>
    </row>
    <row r="220" spans="1:7" ht="21.25" customHeight="1" x14ac:dyDescent="0.15">
      <c r="A220" s="10" t="s">
        <v>508</v>
      </c>
      <c r="B220" s="177">
        <v>130.6</v>
      </c>
      <c r="C220" s="177">
        <v>256</v>
      </c>
      <c r="D220" s="177">
        <v>193.3</v>
      </c>
      <c r="E220" s="84"/>
      <c r="F220" s="178">
        <v>941667</v>
      </c>
      <c r="G220" s="179"/>
    </row>
    <row r="221" spans="1:7" ht="21.25" customHeight="1" x14ac:dyDescent="0.15">
      <c r="A221" s="10" t="s">
        <v>352</v>
      </c>
      <c r="B221" s="177">
        <v>132.5</v>
      </c>
      <c r="C221" s="177">
        <v>258.60000000000002</v>
      </c>
      <c r="D221" s="177">
        <v>195.6</v>
      </c>
      <c r="E221" s="84"/>
      <c r="F221" s="178">
        <v>6100000</v>
      </c>
      <c r="G221" s="179"/>
    </row>
    <row r="222" spans="1:7" ht="21.25" customHeight="1" x14ac:dyDescent="0.15">
      <c r="A222" s="10" t="s">
        <v>321</v>
      </c>
      <c r="B222" s="177">
        <v>135.30000000000001</v>
      </c>
      <c r="C222" s="177">
        <v>256.10000000000002</v>
      </c>
      <c r="D222" s="177">
        <v>195.7</v>
      </c>
      <c r="E222" s="84"/>
      <c r="F222" s="178">
        <v>7000000</v>
      </c>
      <c r="G222" s="179"/>
    </row>
    <row r="223" spans="1:7" ht="21.25" customHeight="1" x14ac:dyDescent="0.15">
      <c r="A223" s="10" t="s">
        <v>413</v>
      </c>
      <c r="B223" s="179" t="s">
        <v>895</v>
      </c>
      <c r="C223" s="177">
        <v>263.8</v>
      </c>
      <c r="D223" s="177">
        <v>196.6</v>
      </c>
      <c r="E223" s="84"/>
      <c r="F223" s="178">
        <v>5000000</v>
      </c>
      <c r="G223" s="179"/>
    </row>
    <row r="224" spans="1:7" ht="21.25" customHeight="1" x14ac:dyDescent="0.15">
      <c r="A224" s="10" t="s">
        <v>504</v>
      </c>
      <c r="B224" s="177">
        <v>135.5</v>
      </c>
      <c r="C224" s="177">
        <v>258</v>
      </c>
      <c r="D224" s="177">
        <v>196.8</v>
      </c>
      <c r="E224" s="84"/>
      <c r="F224" s="178">
        <v>886110</v>
      </c>
      <c r="G224" s="179"/>
    </row>
    <row r="225" spans="1:7" ht="21.25" customHeight="1" x14ac:dyDescent="0.15">
      <c r="A225" s="10" t="s">
        <v>364</v>
      </c>
      <c r="B225" s="179" t="s">
        <v>894</v>
      </c>
      <c r="C225" s="177">
        <v>258</v>
      </c>
      <c r="D225" s="177">
        <v>197.6</v>
      </c>
      <c r="E225" s="84"/>
      <c r="F225" s="178">
        <v>6250000</v>
      </c>
      <c r="G225" s="179"/>
    </row>
    <row r="226" spans="1:7" ht="21.25" customHeight="1" x14ac:dyDescent="0.15">
      <c r="A226" s="10" t="s">
        <v>229</v>
      </c>
      <c r="B226" s="179" t="s">
        <v>896</v>
      </c>
      <c r="C226" s="177">
        <v>260.5</v>
      </c>
      <c r="D226" s="177">
        <v>198.2</v>
      </c>
      <c r="E226" s="84"/>
      <c r="F226" s="178">
        <v>8350000</v>
      </c>
      <c r="G226" s="179" t="s">
        <v>84</v>
      </c>
    </row>
    <row r="227" spans="1:7" ht="21.25" customHeight="1" x14ac:dyDescent="0.15">
      <c r="A227" s="10" t="s">
        <v>267</v>
      </c>
      <c r="B227" s="177">
        <v>142.19999999999999</v>
      </c>
      <c r="C227" s="177">
        <v>258</v>
      </c>
      <c r="D227" s="177">
        <v>200.1</v>
      </c>
      <c r="E227" s="84"/>
      <c r="F227" s="178">
        <v>6500000</v>
      </c>
      <c r="G227" s="179"/>
    </row>
    <row r="228" spans="1:7" ht="21.25" customHeight="1" x14ac:dyDescent="0.15">
      <c r="A228" s="10" t="s">
        <v>510</v>
      </c>
      <c r="B228" s="177">
        <v>135.5</v>
      </c>
      <c r="C228" s="177">
        <v>265.10000000000002</v>
      </c>
      <c r="D228" s="177">
        <v>200.3</v>
      </c>
      <c r="E228" s="84"/>
      <c r="F228" s="178">
        <v>1000000</v>
      </c>
      <c r="G228" s="179"/>
    </row>
    <row r="229" spans="1:7" ht="21.25" customHeight="1" x14ac:dyDescent="0.15">
      <c r="A229" s="10" t="s">
        <v>552</v>
      </c>
      <c r="B229" s="177">
        <v>125.4</v>
      </c>
      <c r="C229" s="177">
        <v>276.10000000000002</v>
      </c>
      <c r="D229" s="177">
        <v>200.8</v>
      </c>
      <c r="E229" s="84"/>
      <c r="F229" s="178">
        <v>4500000</v>
      </c>
      <c r="G229" s="179"/>
    </row>
    <row r="230" spans="1:7" ht="21.25" customHeight="1" x14ac:dyDescent="0.15">
      <c r="A230" s="10" t="s">
        <v>535</v>
      </c>
      <c r="B230" s="177">
        <v>129.69999999999999</v>
      </c>
      <c r="C230" s="177">
        <v>272.39999999999998</v>
      </c>
      <c r="D230" s="177">
        <v>201.1</v>
      </c>
      <c r="E230" s="84"/>
      <c r="F230" s="178">
        <v>6000000</v>
      </c>
      <c r="G230" s="179"/>
    </row>
    <row r="231" spans="1:7" ht="21.25" customHeight="1" x14ac:dyDescent="0.15">
      <c r="A231" s="10" t="s">
        <v>396</v>
      </c>
      <c r="B231" s="177">
        <v>137.30000000000001</v>
      </c>
      <c r="C231" s="177">
        <v>265.5</v>
      </c>
      <c r="D231" s="177">
        <v>201.4</v>
      </c>
      <c r="E231" s="84"/>
      <c r="F231" s="178">
        <v>2000000</v>
      </c>
      <c r="G231" s="179"/>
    </row>
    <row r="232" spans="1:7" ht="21.25" customHeight="1" x14ac:dyDescent="0.15">
      <c r="A232" s="10" t="s">
        <v>378</v>
      </c>
      <c r="B232" s="177">
        <v>135.1</v>
      </c>
      <c r="C232" s="177">
        <v>268.8</v>
      </c>
      <c r="D232" s="177">
        <v>202</v>
      </c>
      <c r="E232" s="84"/>
      <c r="F232" s="178">
        <v>3500000</v>
      </c>
      <c r="G232" s="179"/>
    </row>
    <row r="233" spans="1:7" ht="21.25" customHeight="1" x14ac:dyDescent="0.15">
      <c r="A233" s="10" t="s">
        <v>496</v>
      </c>
      <c r="B233" s="179" t="s">
        <v>897</v>
      </c>
      <c r="C233" s="177">
        <v>271.10000000000002</v>
      </c>
      <c r="D233" s="177">
        <v>202</v>
      </c>
      <c r="E233" s="84"/>
      <c r="F233" s="178">
        <v>6000000</v>
      </c>
      <c r="G233" s="179"/>
    </row>
    <row r="234" spans="1:7" ht="21.25" customHeight="1" x14ac:dyDescent="0.15">
      <c r="A234" s="10" t="s">
        <v>247</v>
      </c>
      <c r="B234" s="177">
        <v>138.9</v>
      </c>
      <c r="C234" s="177">
        <v>265.2</v>
      </c>
      <c r="D234" s="177">
        <v>202.1</v>
      </c>
      <c r="E234" s="84"/>
      <c r="F234" s="178">
        <v>6500000</v>
      </c>
      <c r="G234" s="179"/>
    </row>
    <row r="235" spans="1:7" ht="21.25" customHeight="1" x14ac:dyDescent="0.15">
      <c r="A235" s="10" t="s">
        <v>705</v>
      </c>
      <c r="B235" s="179" t="s">
        <v>898</v>
      </c>
      <c r="C235" s="177">
        <v>274</v>
      </c>
      <c r="D235" s="177">
        <v>202.3</v>
      </c>
      <c r="E235" s="84"/>
      <c r="F235" s="178">
        <v>3750000</v>
      </c>
      <c r="G235" s="179"/>
    </row>
    <row r="236" spans="1:7" ht="21.25" customHeight="1" x14ac:dyDescent="0.15">
      <c r="A236" s="10" t="s">
        <v>405</v>
      </c>
      <c r="B236" s="177">
        <v>139</v>
      </c>
      <c r="C236" s="177">
        <v>266.7</v>
      </c>
      <c r="D236" s="177">
        <v>202.9</v>
      </c>
      <c r="E236" s="84"/>
      <c r="F236" s="178">
        <v>8000000</v>
      </c>
      <c r="G236" s="179"/>
    </row>
    <row r="237" spans="1:7" ht="21.25" customHeight="1" x14ac:dyDescent="0.15">
      <c r="A237" s="10" t="s">
        <v>390</v>
      </c>
      <c r="B237" s="177">
        <v>130.9</v>
      </c>
      <c r="C237" s="177">
        <v>277.10000000000002</v>
      </c>
      <c r="D237" s="177">
        <v>204</v>
      </c>
      <c r="E237" s="84"/>
      <c r="F237" s="178">
        <v>2800000</v>
      </c>
      <c r="G237" s="179"/>
    </row>
    <row r="238" spans="1:7" ht="21.25" customHeight="1" x14ac:dyDescent="0.15">
      <c r="A238" s="10" t="s">
        <v>426</v>
      </c>
      <c r="B238" s="177">
        <v>131.80000000000001</v>
      </c>
      <c r="C238" s="177">
        <v>276.5</v>
      </c>
      <c r="D238" s="177">
        <v>204.2</v>
      </c>
      <c r="E238" s="84"/>
      <c r="F238" s="178">
        <v>975000</v>
      </c>
      <c r="G238" s="179"/>
    </row>
    <row r="239" spans="1:7" ht="21.25" customHeight="1" x14ac:dyDescent="0.15">
      <c r="A239" s="10" t="s">
        <v>287</v>
      </c>
      <c r="B239" s="177">
        <v>136.5</v>
      </c>
      <c r="C239" s="177">
        <v>271.89999999999998</v>
      </c>
      <c r="D239" s="177">
        <v>204.2</v>
      </c>
      <c r="E239" s="84"/>
      <c r="F239" s="178"/>
      <c r="G239" s="179"/>
    </row>
    <row r="240" spans="1:7" ht="21.25" customHeight="1" x14ac:dyDescent="0.15">
      <c r="A240" s="10" t="s">
        <v>311</v>
      </c>
      <c r="B240" s="177">
        <v>131.80000000000001</v>
      </c>
      <c r="C240" s="177">
        <v>277.2</v>
      </c>
      <c r="D240" s="177">
        <v>204.5</v>
      </c>
      <c r="E240" s="84"/>
      <c r="F240" s="178">
        <v>6100000</v>
      </c>
      <c r="G240" s="179" t="s">
        <v>86</v>
      </c>
    </row>
    <row r="241" spans="1:7" ht="21.25" customHeight="1" x14ac:dyDescent="0.15">
      <c r="A241" s="10" t="s">
        <v>355</v>
      </c>
      <c r="B241" s="177">
        <v>137.9</v>
      </c>
      <c r="C241" s="177">
        <v>271.60000000000002</v>
      </c>
      <c r="D241" s="177">
        <v>204.8</v>
      </c>
      <c r="E241" s="84"/>
      <c r="F241" s="178">
        <v>850000</v>
      </c>
      <c r="G241" s="179"/>
    </row>
    <row r="242" spans="1:7" ht="21.25" customHeight="1" x14ac:dyDescent="0.15">
      <c r="A242" s="10" t="s">
        <v>341</v>
      </c>
      <c r="B242" s="177">
        <v>138</v>
      </c>
      <c r="C242" s="177">
        <v>272.3</v>
      </c>
      <c r="D242" s="177">
        <v>205.2</v>
      </c>
      <c r="E242" s="84"/>
      <c r="F242" s="178">
        <v>7000000</v>
      </c>
      <c r="G242" s="179"/>
    </row>
    <row r="243" spans="1:7" ht="21.25" customHeight="1" x14ac:dyDescent="0.15">
      <c r="A243" s="10" t="s">
        <v>252</v>
      </c>
      <c r="B243" s="177">
        <v>139.30000000000001</v>
      </c>
      <c r="C243" s="177">
        <v>272.2</v>
      </c>
      <c r="D243" s="177">
        <v>205.8</v>
      </c>
      <c r="E243" s="84"/>
      <c r="F243" s="178">
        <v>7350000</v>
      </c>
      <c r="G243" s="179"/>
    </row>
    <row r="244" spans="1:7" ht="21.25" customHeight="1" x14ac:dyDescent="0.15">
      <c r="A244" s="10" t="s">
        <v>288</v>
      </c>
      <c r="B244" s="179" t="s">
        <v>86</v>
      </c>
      <c r="C244" s="177">
        <v>205.8</v>
      </c>
      <c r="D244" s="177">
        <v>205.8</v>
      </c>
      <c r="E244" s="84"/>
      <c r="F244" s="178"/>
      <c r="G244" s="179"/>
    </row>
    <row r="245" spans="1:7" ht="21.25" customHeight="1" x14ac:dyDescent="0.15">
      <c r="A245" s="10" t="s">
        <v>348</v>
      </c>
      <c r="B245" s="177">
        <v>133.19999999999999</v>
      </c>
      <c r="C245" s="177">
        <v>278.60000000000002</v>
      </c>
      <c r="D245" s="177">
        <v>205.9</v>
      </c>
      <c r="E245" s="84"/>
      <c r="F245" s="178">
        <v>4491000</v>
      </c>
      <c r="G245" s="179"/>
    </row>
    <row r="246" spans="1:7" ht="21.25" customHeight="1" x14ac:dyDescent="0.15">
      <c r="A246" s="10" t="s">
        <v>551</v>
      </c>
      <c r="B246" s="177">
        <v>132.9</v>
      </c>
      <c r="C246" s="177">
        <v>281.8</v>
      </c>
      <c r="D246" s="177">
        <v>207.4</v>
      </c>
      <c r="E246" s="84"/>
      <c r="F246" s="178">
        <v>4000000</v>
      </c>
      <c r="G246" s="179"/>
    </row>
    <row r="247" spans="1:7" ht="21.25" customHeight="1" x14ac:dyDescent="0.15">
      <c r="A247" s="10" t="s">
        <v>514</v>
      </c>
      <c r="B247" s="177">
        <v>131.1</v>
      </c>
      <c r="C247" s="177">
        <v>284.2</v>
      </c>
      <c r="D247" s="177">
        <v>207.7</v>
      </c>
      <c r="E247" s="84"/>
      <c r="F247" s="178">
        <v>6250000</v>
      </c>
      <c r="G247" s="179"/>
    </row>
    <row r="248" spans="1:7" ht="21.25" customHeight="1" x14ac:dyDescent="0.15">
      <c r="A248" s="10" t="s">
        <v>365</v>
      </c>
      <c r="B248" s="179" t="s">
        <v>899</v>
      </c>
      <c r="C248" s="177">
        <v>281.8</v>
      </c>
      <c r="D248" s="177">
        <v>207.9</v>
      </c>
      <c r="E248" s="84"/>
      <c r="F248" s="178">
        <v>3650000</v>
      </c>
      <c r="G248" s="179"/>
    </row>
    <row r="249" spans="1:7" ht="21.25" customHeight="1" x14ac:dyDescent="0.15">
      <c r="A249" s="10" t="s">
        <v>506</v>
      </c>
      <c r="B249" s="177">
        <v>137.1</v>
      </c>
      <c r="C249" s="177">
        <v>278.89999999999998</v>
      </c>
      <c r="D249" s="177">
        <v>208</v>
      </c>
      <c r="E249" s="84"/>
      <c r="F249" s="178">
        <v>5375000</v>
      </c>
      <c r="G249" s="179"/>
    </row>
    <row r="250" spans="1:7" ht="21.25" customHeight="1" x14ac:dyDescent="0.15">
      <c r="A250" s="10" t="s">
        <v>530</v>
      </c>
      <c r="B250" s="179" t="s">
        <v>900</v>
      </c>
      <c r="C250" s="177">
        <v>282.8</v>
      </c>
      <c r="D250" s="177">
        <v>208.2</v>
      </c>
      <c r="E250" s="84"/>
      <c r="F250" s="178">
        <v>3750000</v>
      </c>
      <c r="G250" s="179"/>
    </row>
    <row r="251" spans="1:7" ht="21.25" customHeight="1" x14ac:dyDescent="0.15">
      <c r="A251" s="10" t="s">
        <v>320</v>
      </c>
      <c r="B251" s="177">
        <v>136.4</v>
      </c>
      <c r="C251" s="177">
        <v>280.3</v>
      </c>
      <c r="D251" s="177">
        <v>208.4</v>
      </c>
      <c r="E251" s="84"/>
      <c r="F251" s="178">
        <v>6500000</v>
      </c>
      <c r="G251" s="179"/>
    </row>
    <row r="252" spans="1:7" ht="21.25" customHeight="1" x14ac:dyDescent="0.15">
      <c r="A252" s="10" t="s">
        <v>403</v>
      </c>
      <c r="B252" s="177" t="s">
        <v>86</v>
      </c>
      <c r="C252" s="177">
        <v>208.5</v>
      </c>
      <c r="D252" s="177">
        <v>208.5</v>
      </c>
      <c r="E252" s="84"/>
      <c r="F252" s="178">
        <v>3900000</v>
      </c>
      <c r="G252" s="179"/>
    </row>
    <row r="253" spans="1:7" ht="21.25" customHeight="1" x14ac:dyDescent="0.15">
      <c r="A253" s="10" t="s">
        <v>458</v>
      </c>
      <c r="B253" s="177">
        <v>131</v>
      </c>
      <c r="C253" s="177">
        <v>287.39999999999998</v>
      </c>
      <c r="D253" s="177">
        <v>209.2</v>
      </c>
      <c r="E253" s="84"/>
      <c r="F253" s="178">
        <v>3666000</v>
      </c>
      <c r="G253" s="179"/>
    </row>
    <row r="254" spans="1:7" ht="21.25" customHeight="1" x14ac:dyDescent="0.15">
      <c r="A254" s="10" t="s">
        <v>380</v>
      </c>
      <c r="B254" s="177">
        <v>132.9</v>
      </c>
      <c r="C254" s="177">
        <v>287.8</v>
      </c>
      <c r="D254" s="177">
        <v>210.4</v>
      </c>
      <c r="E254" s="84"/>
      <c r="F254" s="178">
        <v>11000000</v>
      </c>
      <c r="G254" s="179"/>
    </row>
    <row r="255" spans="1:7" ht="21.25" customHeight="1" x14ac:dyDescent="0.15">
      <c r="A255" s="10" t="s">
        <v>528</v>
      </c>
      <c r="B255" s="177">
        <v>135.80000000000001</v>
      </c>
      <c r="C255" s="177">
        <v>285.3</v>
      </c>
      <c r="D255" s="177">
        <v>210.6</v>
      </c>
      <c r="E255" s="84"/>
      <c r="F255" s="178">
        <v>3750000</v>
      </c>
      <c r="G255" s="179"/>
    </row>
    <row r="256" spans="1:7" ht="21.25" customHeight="1" x14ac:dyDescent="0.15">
      <c r="A256" s="10" t="s">
        <v>455</v>
      </c>
      <c r="B256" s="177" t="s">
        <v>86</v>
      </c>
      <c r="C256" s="177">
        <v>210.6</v>
      </c>
      <c r="D256" s="177">
        <v>210.6</v>
      </c>
      <c r="E256" s="84"/>
      <c r="F256" s="178">
        <v>5000000</v>
      </c>
      <c r="G256" s="179"/>
    </row>
    <row r="257" spans="1:7" ht="21.25" customHeight="1" x14ac:dyDescent="0.15">
      <c r="A257" s="10" t="s">
        <v>322</v>
      </c>
      <c r="B257" s="177">
        <v>135.9</v>
      </c>
      <c r="C257" s="177">
        <v>285.39999999999998</v>
      </c>
      <c r="D257" s="177">
        <v>210.7</v>
      </c>
      <c r="E257" s="84"/>
      <c r="F257" s="178">
        <v>886667</v>
      </c>
      <c r="G257" s="179" t="s">
        <v>84</v>
      </c>
    </row>
    <row r="258" spans="1:7" ht="21.25" customHeight="1" x14ac:dyDescent="0.15">
      <c r="A258" s="10" t="s">
        <v>289</v>
      </c>
      <c r="B258" s="177">
        <v>142.9</v>
      </c>
      <c r="C258" s="177">
        <v>279</v>
      </c>
      <c r="D258" s="177">
        <v>211</v>
      </c>
      <c r="E258" s="84"/>
      <c r="F258" s="178">
        <v>8500000</v>
      </c>
      <c r="G258" s="179"/>
    </row>
    <row r="259" spans="1:7" ht="21.25" customHeight="1" x14ac:dyDescent="0.15">
      <c r="A259" s="10" t="s">
        <v>349</v>
      </c>
      <c r="B259" s="177">
        <v>134</v>
      </c>
      <c r="C259" s="177">
        <v>288.10000000000002</v>
      </c>
      <c r="D259" s="177">
        <v>211.1</v>
      </c>
      <c r="E259" s="84"/>
      <c r="F259" s="178">
        <v>3100000</v>
      </c>
      <c r="G259" s="179"/>
    </row>
    <row r="260" spans="1:7" ht="21.25" customHeight="1" x14ac:dyDescent="0.15">
      <c r="A260" s="10" t="s">
        <v>558</v>
      </c>
      <c r="B260" s="177">
        <v>150.69999999999999</v>
      </c>
      <c r="C260" s="177">
        <v>271.8</v>
      </c>
      <c r="D260" s="177">
        <v>211.3</v>
      </c>
      <c r="E260" s="84"/>
      <c r="F260" s="178">
        <v>945833</v>
      </c>
      <c r="G260" s="179"/>
    </row>
    <row r="261" spans="1:7" ht="21.25" customHeight="1" x14ac:dyDescent="0.15">
      <c r="A261" s="10" t="s">
        <v>328</v>
      </c>
      <c r="B261" s="179" t="s">
        <v>901</v>
      </c>
      <c r="C261" s="177">
        <v>281.5</v>
      </c>
      <c r="D261" s="177">
        <v>211.8</v>
      </c>
      <c r="E261" s="84"/>
      <c r="F261" s="178">
        <v>5250000</v>
      </c>
      <c r="G261" s="179"/>
    </row>
    <row r="262" spans="1:7" ht="21.25" customHeight="1" x14ac:dyDescent="0.15">
      <c r="A262" s="10" t="s">
        <v>422</v>
      </c>
      <c r="B262" s="177">
        <v>135.69999999999999</v>
      </c>
      <c r="C262" s="177">
        <v>290.8</v>
      </c>
      <c r="D262" s="177">
        <v>213.3</v>
      </c>
      <c r="E262" s="84"/>
      <c r="F262" s="178">
        <v>4400000</v>
      </c>
      <c r="G262" s="179"/>
    </row>
    <row r="263" spans="1:7" ht="21.25" customHeight="1" x14ac:dyDescent="0.15">
      <c r="A263" s="10" t="s">
        <v>397</v>
      </c>
      <c r="B263" s="177">
        <v>135.4</v>
      </c>
      <c r="C263" s="177">
        <v>291.8</v>
      </c>
      <c r="D263" s="177">
        <v>213.6</v>
      </c>
      <c r="E263" s="84"/>
      <c r="F263" s="178">
        <v>941667</v>
      </c>
      <c r="G263" s="179"/>
    </row>
    <row r="264" spans="1:7" ht="21.25" customHeight="1" x14ac:dyDescent="0.15">
      <c r="A264" s="10" t="s">
        <v>449</v>
      </c>
      <c r="B264" s="177">
        <v>151.19999999999999</v>
      </c>
      <c r="C264" s="177">
        <v>278.89999999999998</v>
      </c>
      <c r="D264" s="177">
        <v>215.1</v>
      </c>
      <c r="E264" s="84"/>
      <c r="F264" s="178">
        <v>1500000</v>
      </c>
      <c r="G264" s="179"/>
    </row>
    <row r="265" spans="1:7" ht="21.25" customHeight="1" x14ac:dyDescent="0.15">
      <c r="A265" s="10" t="s">
        <v>497</v>
      </c>
      <c r="B265" s="177" t="s">
        <v>86</v>
      </c>
      <c r="C265" s="177">
        <v>221.1</v>
      </c>
      <c r="D265" s="177">
        <v>221.1</v>
      </c>
      <c r="E265" s="84"/>
      <c r="F265" s="178">
        <v>6250000</v>
      </c>
      <c r="G265" s="179"/>
    </row>
    <row r="266" spans="1:7" ht="21.25" customHeight="1" x14ac:dyDescent="0.15">
      <c r="A266" s="10" t="s">
        <v>284</v>
      </c>
      <c r="B266" s="177" t="s">
        <v>86</v>
      </c>
      <c r="C266" s="177">
        <v>223.6</v>
      </c>
      <c r="D266" s="177">
        <v>223.6</v>
      </c>
      <c r="E266" s="84"/>
      <c r="F266" s="178">
        <v>6500000</v>
      </c>
      <c r="G266" s="179" t="s">
        <v>83</v>
      </c>
    </row>
    <row r="267" spans="1:7" ht="21.25" customHeight="1" x14ac:dyDescent="0.15">
      <c r="A267" s="10" t="s">
        <v>533</v>
      </c>
      <c r="B267" s="179" t="s">
        <v>86</v>
      </c>
      <c r="C267" s="177">
        <v>230.6</v>
      </c>
      <c r="D267" s="177">
        <v>230.6</v>
      </c>
      <c r="E267" s="84"/>
      <c r="F267" s="178">
        <v>7000000</v>
      </c>
      <c r="G267" s="179"/>
    </row>
    <row r="268" spans="1:7" ht="21.25" customHeight="1" x14ac:dyDescent="0.15">
      <c r="A268" s="10" t="s">
        <v>392</v>
      </c>
      <c r="B268" s="179" t="s">
        <v>86</v>
      </c>
      <c r="C268" s="177">
        <v>232</v>
      </c>
      <c r="D268" s="177">
        <v>232</v>
      </c>
      <c r="E268" s="84"/>
      <c r="F268" s="178">
        <v>6599000</v>
      </c>
      <c r="G268" s="179"/>
    </row>
    <row r="269" spans="1:7" ht="21.25" customHeight="1" x14ac:dyDescent="0.15">
      <c r="A269" s="10" t="s">
        <v>372</v>
      </c>
      <c r="B269" s="179" t="s">
        <v>86</v>
      </c>
      <c r="C269" s="177">
        <v>233.4</v>
      </c>
      <c r="D269" s="177">
        <v>233.4</v>
      </c>
      <c r="E269" s="84"/>
      <c r="F269" s="178">
        <v>7000000</v>
      </c>
      <c r="G269" s="179"/>
    </row>
    <row r="270" spans="1:7" ht="21.25" customHeight="1" x14ac:dyDescent="0.15">
      <c r="A270" s="10" t="s">
        <v>516</v>
      </c>
      <c r="B270" s="179" t="s">
        <v>86</v>
      </c>
      <c r="C270" s="177">
        <v>238.2</v>
      </c>
      <c r="D270" s="177">
        <v>238.2</v>
      </c>
      <c r="E270" s="84"/>
      <c r="F270" s="178">
        <v>7950000</v>
      </c>
      <c r="G270" s="179"/>
    </row>
    <row r="271" spans="1:7" ht="21.25" customHeight="1" x14ac:dyDescent="0.15">
      <c r="A271" s="10" t="s">
        <v>306</v>
      </c>
      <c r="B271" s="179" t="s">
        <v>86</v>
      </c>
      <c r="C271" s="177">
        <v>239.9</v>
      </c>
      <c r="D271" s="177">
        <v>239.9</v>
      </c>
      <c r="E271" s="84"/>
      <c r="F271" s="178">
        <v>4000000</v>
      </c>
      <c r="G271" s="179"/>
    </row>
    <row r="272" spans="1:7" ht="21.25" customHeight="1" x14ac:dyDescent="0.15">
      <c r="A272" s="10" t="s">
        <v>335</v>
      </c>
      <c r="B272" s="179" t="s">
        <v>86</v>
      </c>
      <c r="C272" s="177">
        <v>246.4</v>
      </c>
      <c r="D272" s="177">
        <v>246.4</v>
      </c>
      <c r="E272" s="84"/>
      <c r="F272" s="178">
        <v>6500000</v>
      </c>
      <c r="G272" s="179"/>
    </row>
    <row r="273" spans="1:7" ht="21.25" customHeight="1" x14ac:dyDescent="0.15">
      <c r="A273" s="10" t="s">
        <v>442</v>
      </c>
      <c r="B273" s="179" t="s">
        <v>86</v>
      </c>
      <c r="C273" s="177">
        <v>246.4</v>
      </c>
      <c r="D273" s="177">
        <v>246.4</v>
      </c>
      <c r="E273" s="84"/>
      <c r="F273" s="178">
        <v>6000000</v>
      </c>
      <c r="G273" s="179"/>
    </row>
    <row r="274" spans="1:7" ht="21.25" customHeight="1" x14ac:dyDescent="0.15">
      <c r="A274" s="10" t="s">
        <v>377</v>
      </c>
      <c r="B274" s="179" t="s">
        <v>86</v>
      </c>
      <c r="C274" s="177">
        <v>247.7</v>
      </c>
      <c r="D274" s="177">
        <v>247.7</v>
      </c>
      <c r="E274" s="84"/>
      <c r="F274" s="178">
        <v>5000000</v>
      </c>
      <c r="G274" s="179"/>
    </row>
    <row r="275" spans="1:7" ht="21.25" customHeight="1" x14ac:dyDescent="0.15">
      <c r="A275" s="10" t="s">
        <v>319</v>
      </c>
      <c r="B275" s="179" t="s">
        <v>86</v>
      </c>
      <c r="C275" s="177">
        <v>256.8</v>
      </c>
      <c r="D275" s="177">
        <v>256.8</v>
      </c>
      <c r="E275" s="84"/>
      <c r="F275" s="178">
        <v>5500000</v>
      </c>
      <c r="G275" s="179"/>
    </row>
    <row r="276" spans="1:7" ht="21.25" customHeight="1" x14ac:dyDescent="0.15">
      <c r="A276" s="10" t="s">
        <v>401</v>
      </c>
      <c r="B276" s="179" t="s">
        <v>86</v>
      </c>
      <c r="C276" s="177">
        <v>262.7</v>
      </c>
      <c r="D276" s="177">
        <v>262.7</v>
      </c>
      <c r="E276" s="84"/>
      <c r="F276" s="178">
        <v>3375000</v>
      </c>
      <c r="G276" s="179"/>
    </row>
    <row r="277" spans="1:7" ht="21.25" customHeight="1" x14ac:dyDescent="0.15">
      <c r="A277" s="10" t="s">
        <v>450</v>
      </c>
      <c r="B277" s="179" t="s">
        <v>86</v>
      </c>
      <c r="C277" s="177">
        <v>263.5</v>
      </c>
      <c r="D277" s="177">
        <v>263.5</v>
      </c>
      <c r="E277" s="84"/>
      <c r="F277" s="178">
        <v>8500000</v>
      </c>
      <c r="G277" s="179"/>
    </row>
    <row r="278" spans="1:7" ht="21.25" customHeight="1" x14ac:dyDescent="0.15">
      <c r="A278" s="10" t="s">
        <v>425</v>
      </c>
      <c r="B278" s="179" t="s">
        <v>86</v>
      </c>
      <c r="C278" s="177">
        <v>264.7</v>
      </c>
      <c r="D278" s="177">
        <v>264.7</v>
      </c>
      <c r="E278" s="84"/>
      <c r="F278" s="178">
        <v>7750000</v>
      </c>
      <c r="G278" s="179"/>
    </row>
    <row r="279" spans="1:7" ht="21.25" customHeight="1" x14ac:dyDescent="0.15">
      <c r="A279" s="10" t="s">
        <v>346</v>
      </c>
      <c r="B279" s="179" t="s">
        <v>86</v>
      </c>
      <c r="C279" s="177">
        <v>265</v>
      </c>
      <c r="D279" s="177">
        <v>265</v>
      </c>
      <c r="E279" s="84"/>
      <c r="F279" s="178">
        <v>7000000</v>
      </c>
      <c r="G279" s="179"/>
    </row>
    <row r="280" spans="1:7" ht="21.25" customHeight="1" x14ac:dyDescent="0.15">
      <c r="A280" s="10" t="s">
        <v>362</v>
      </c>
      <c r="B280" s="179" t="s">
        <v>86</v>
      </c>
      <c r="C280" s="177">
        <v>265.2</v>
      </c>
      <c r="D280" s="177">
        <v>265.2</v>
      </c>
      <c r="E280" s="84"/>
      <c r="F280" s="178">
        <v>6000000</v>
      </c>
      <c r="G280" s="179"/>
    </row>
    <row r="281" spans="1:7" ht="21.25" customHeight="1" x14ac:dyDescent="0.15">
      <c r="A281" s="10" t="s">
        <v>310</v>
      </c>
      <c r="B281" s="179" t="s">
        <v>86</v>
      </c>
      <c r="C281" s="177">
        <v>265.39999999999998</v>
      </c>
      <c r="D281" s="177">
        <v>265.39999999999998</v>
      </c>
      <c r="E281" s="84"/>
      <c r="F281" s="178">
        <v>5000000</v>
      </c>
      <c r="G281" s="179"/>
    </row>
    <row r="282" spans="1:7" ht="21.25" customHeight="1" x14ac:dyDescent="0.15">
      <c r="A282" s="10" t="s">
        <v>578</v>
      </c>
      <c r="B282" s="179" t="s">
        <v>86</v>
      </c>
      <c r="C282" s="177">
        <v>266</v>
      </c>
      <c r="D282" s="177">
        <v>266</v>
      </c>
      <c r="E282" s="84"/>
      <c r="F282" s="178">
        <v>2950000</v>
      </c>
      <c r="G282" s="179"/>
    </row>
    <row r="283" spans="1:7" ht="21.25" customHeight="1" x14ac:dyDescent="0.15">
      <c r="A283" s="10" t="s">
        <v>524</v>
      </c>
      <c r="B283" s="179" t="s">
        <v>86</v>
      </c>
      <c r="C283" s="177">
        <v>267.60000000000002</v>
      </c>
      <c r="D283" s="177">
        <v>267.60000000000002</v>
      </c>
      <c r="E283" s="84"/>
      <c r="F283" s="178">
        <v>4300000</v>
      </c>
      <c r="G283" s="179"/>
    </row>
    <row r="284" spans="1:7" ht="21.25" customHeight="1" x14ac:dyDescent="0.15">
      <c r="A284" s="10" t="s">
        <v>531</v>
      </c>
      <c r="B284" s="179" t="s">
        <v>86</v>
      </c>
      <c r="C284" s="177">
        <v>270</v>
      </c>
      <c r="D284" s="177">
        <v>270</v>
      </c>
      <c r="E284" s="84"/>
      <c r="F284" s="178">
        <v>1075000</v>
      </c>
      <c r="G284" s="179"/>
    </row>
    <row r="285" spans="1:7" ht="21.25" customHeight="1" x14ac:dyDescent="0.15">
      <c r="A285" s="10" t="s">
        <v>482</v>
      </c>
      <c r="B285" s="179" t="s">
        <v>86</v>
      </c>
      <c r="C285" s="177">
        <v>270.2</v>
      </c>
      <c r="D285" s="177">
        <v>270.2</v>
      </c>
      <c r="E285" s="84"/>
      <c r="F285" s="178">
        <v>5500000</v>
      </c>
      <c r="G285" s="179"/>
    </row>
    <row r="286" spans="1:7" ht="21.25" customHeight="1" x14ac:dyDescent="0.15">
      <c r="A286" s="10" t="s">
        <v>446</v>
      </c>
      <c r="B286" s="179" t="s">
        <v>86</v>
      </c>
      <c r="C286" s="177">
        <v>271.39999999999998</v>
      </c>
      <c r="D286" s="177">
        <v>271.39999999999998</v>
      </c>
      <c r="E286" s="84"/>
      <c r="F286" s="178">
        <v>4900000</v>
      </c>
      <c r="G286" s="179"/>
    </row>
    <row r="287" spans="1:7" ht="21.25" customHeight="1" x14ac:dyDescent="0.15">
      <c r="A287" s="10" t="s">
        <v>340</v>
      </c>
      <c r="B287" s="179" t="s">
        <v>86</v>
      </c>
      <c r="C287" s="177">
        <v>272.39999999999998</v>
      </c>
      <c r="D287" s="177">
        <v>272.39999999999998</v>
      </c>
      <c r="E287" s="84"/>
      <c r="F287" s="178">
        <v>953750</v>
      </c>
      <c r="G287" s="179" t="s">
        <v>83</v>
      </c>
    </row>
    <row r="288" spans="1:7" ht="21.25" customHeight="1" x14ac:dyDescent="0.15">
      <c r="A288" s="10" t="s">
        <v>317</v>
      </c>
      <c r="B288" s="179" t="s">
        <v>86</v>
      </c>
      <c r="C288" s="177">
        <v>272.7</v>
      </c>
      <c r="D288" s="177">
        <v>272.7</v>
      </c>
      <c r="E288" s="84"/>
      <c r="F288" s="178">
        <v>7142000</v>
      </c>
      <c r="G288" s="179"/>
    </row>
    <row r="289" spans="1:7" ht="21.25" customHeight="1" x14ac:dyDescent="0.15">
      <c r="A289" s="10" t="s">
        <v>371</v>
      </c>
      <c r="B289" s="179" t="s">
        <v>86</v>
      </c>
      <c r="C289" s="177">
        <v>274.39999999999998</v>
      </c>
      <c r="D289" s="177">
        <v>274.39999999999998</v>
      </c>
      <c r="E289" s="84"/>
      <c r="F289" s="178">
        <v>7500000</v>
      </c>
      <c r="G289" s="179"/>
    </row>
    <row r="290" spans="1:7" ht="21.25" customHeight="1" x14ac:dyDescent="0.15">
      <c r="A290" s="10" t="s">
        <v>576</v>
      </c>
      <c r="B290" s="179" t="s">
        <v>86</v>
      </c>
      <c r="C290" s="177">
        <v>276.3</v>
      </c>
      <c r="D290" s="177">
        <v>276.3</v>
      </c>
      <c r="E290" s="84"/>
      <c r="F290" s="178">
        <v>4750000</v>
      </c>
      <c r="G290" s="179"/>
    </row>
    <row r="291" spans="1:7" ht="21.25" customHeight="1" x14ac:dyDescent="0.15">
      <c r="A291" s="10" t="s">
        <v>359</v>
      </c>
      <c r="B291" s="179" t="s">
        <v>86</v>
      </c>
      <c r="C291" s="177">
        <v>277</v>
      </c>
      <c r="D291" s="177">
        <v>277</v>
      </c>
      <c r="E291" s="84"/>
      <c r="F291" s="178">
        <v>3950000</v>
      </c>
      <c r="G291" s="179"/>
    </row>
    <row r="292" spans="1:7" ht="21.25" customHeight="1" x14ac:dyDescent="0.15">
      <c r="A292" s="10" t="s">
        <v>360</v>
      </c>
      <c r="B292" s="179" t="s">
        <v>86</v>
      </c>
      <c r="C292" s="177">
        <v>278.10000000000002</v>
      </c>
      <c r="D292" s="177">
        <v>278.10000000000002</v>
      </c>
      <c r="E292" s="84"/>
      <c r="F292" s="178">
        <v>5000000</v>
      </c>
      <c r="G292" s="179"/>
    </row>
    <row r="293" spans="1:7" ht="21.25" customHeight="1" x14ac:dyDescent="0.15">
      <c r="A293" s="10" t="s">
        <v>567</v>
      </c>
      <c r="B293" s="179" t="s">
        <v>86</v>
      </c>
      <c r="C293" s="177">
        <v>278.10000000000002</v>
      </c>
      <c r="D293" s="177">
        <v>278.10000000000002</v>
      </c>
      <c r="E293" s="84"/>
      <c r="F293" s="178">
        <v>1100000</v>
      </c>
      <c r="G293" s="179"/>
    </row>
    <row r="294" spans="1:7" ht="21.25" customHeight="1" x14ac:dyDescent="0.15">
      <c r="A294" s="10" t="s">
        <v>334</v>
      </c>
      <c r="B294" s="179" t="s">
        <v>86</v>
      </c>
      <c r="C294" s="177">
        <v>279.7</v>
      </c>
      <c r="D294" s="177">
        <v>279.7</v>
      </c>
      <c r="E294" s="84"/>
      <c r="F294" s="178">
        <v>903333</v>
      </c>
      <c r="G294" s="179" t="s">
        <v>83</v>
      </c>
    </row>
    <row r="295" spans="1:7" ht="21.25" customHeight="1" x14ac:dyDescent="0.15">
      <c r="A295" s="10" t="s">
        <v>347</v>
      </c>
      <c r="B295" s="179" t="s">
        <v>86</v>
      </c>
      <c r="C295" s="177">
        <v>279.8</v>
      </c>
      <c r="D295" s="177">
        <v>279.8</v>
      </c>
      <c r="E295" s="84"/>
      <c r="F295" s="178">
        <v>953750</v>
      </c>
      <c r="G295" s="179"/>
    </row>
    <row r="296" spans="1:7" ht="21.25" customHeight="1" x14ac:dyDescent="0.15">
      <c r="A296" s="10" t="s">
        <v>543</v>
      </c>
      <c r="B296" s="179" t="s">
        <v>86</v>
      </c>
      <c r="C296" s="177">
        <v>280</v>
      </c>
      <c r="D296" s="177">
        <v>280</v>
      </c>
      <c r="E296" s="84"/>
      <c r="F296" s="178">
        <v>4000000</v>
      </c>
      <c r="G296" s="179"/>
    </row>
    <row r="297" spans="1:7" ht="21.25" customHeight="1" x14ac:dyDescent="0.15">
      <c r="A297" s="10" t="s">
        <v>709</v>
      </c>
      <c r="B297" s="179" t="s">
        <v>86</v>
      </c>
      <c r="C297" s="177">
        <v>280.3</v>
      </c>
      <c r="D297" s="177">
        <v>280.3</v>
      </c>
      <c r="E297" s="84"/>
      <c r="F297" s="178">
        <v>3500000</v>
      </c>
      <c r="G297" s="179"/>
    </row>
    <row r="298" spans="1:7" ht="21.25" customHeight="1" x14ac:dyDescent="0.15">
      <c r="A298" s="10" t="s">
        <v>566</v>
      </c>
      <c r="B298" s="179" t="s">
        <v>86</v>
      </c>
      <c r="C298" s="177">
        <v>280.39999999999998</v>
      </c>
      <c r="D298" s="177">
        <v>280.39999999999998</v>
      </c>
      <c r="E298" s="84"/>
      <c r="F298" s="178">
        <v>6500000</v>
      </c>
      <c r="G298" s="179"/>
    </row>
    <row r="299" spans="1:7" ht="21.25" customHeight="1" x14ac:dyDescent="0.15">
      <c r="A299" s="10" t="s">
        <v>441</v>
      </c>
      <c r="B299" s="179" t="s">
        <v>86</v>
      </c>
      <c r="C299" s="177">
        <v>280.8</v>
      </c>
      <c r="D299" s="177">
        <v>280.8</v>
      </c>
      <c r="E299" s="84"/>
      <c r="F299" s="178">
        <v>6800000</v>
      </c>
      <c r="G299" s="179"/>
    </row>
    <row r="300" spans="1:7" ht="21.25" customHeight="1" x14ac:dyDescent="0.15">
      <c r="A300" s="10" t="s">
        <v>323</v>
      </c>
      <c r="B300" s="179" t="s">
        <v>86</v>
      </c>
      <c r="C300" s="177">
        <v>280.89999999999998</v>
      </c>
      <c r="D300" s="177">
        <v>280.89999999999998</v>
      </c>
      <c r="E300" s="84"/>
      <c r="F300" s="178">
        <v>975000</v>
      </c>
      <c r="G300" s="179"/>
    </row>
    <row r="301" spans="1:7" ht="21.25" customHeight="1" x14ac:dyDescent="0.15">
      <c r="A301" s="10" t="s">
        <v>300</v>
      </c>
      <c r="B301" s="179" t="s">
        <v>86</v>
      </c>
      <c r="C301" s="177">
        <v>282.5</v>
      </c>
      <c r="D301" s="177">
        <v>282.5</v>
      </c>
      <c r="E301" s="84"/>
      <c r="F301" s="178">
        <v>5750000</v>
      </c>
      <c r="G301" s="179"/>
    </row>
    <row r="302" spans="1:7" ht="21.25" customHeight="1" x14ac:dyDescent="0.15">
      <c r="A302" s="10" t="s">
        <v>343</v>
      </c>
      <c r="B302" s="179" t="s">
        <v>86</v>
      </c>
      <c r="C302" s="177">
        <v>282.8</v>
      </c>
      <c r="D302" s="177">
        <v>282.8</v>
      </c>
      <c r="E302" s="84"/>
      <c r="F302" s="178">
        <v>6000000</v>
      </c>
      <c r="G302" s="179"/>
    </row>
    <row r="303" spans="1:7" ht="21.25" customHeight="1" x14ac:dyDescent="0.15">
      <c r="A303" s="10" t="s">
        <v>612</v>
      </c>
      <c r="B303" s="179" t="s">
        <v>86</v>
      </c>
      <c r="C303" s="177">
        <v>282.89999999999998</v>
      </c>
      <c r="D303" s="177">
        <v>282.89999999999998</v>
      </c>
      <c r="E303" s="84"/>
      <c r="F303" s="178">
        <v>5750000</v>
      </c>
      <c r="G303" s="179"/>
    </row>
    <row r="304" spans="1:7" ht="21.25" customHeight="1" x14ac:dyDescent="0.15">
      <c r="A304" s="10" t="s">
        <v>295</v>
      </c>
      <c r="B304" s="179" t="s">
        <v>86</v>
      </c>
      <c r="C304" s="177">
        <v>283</v>
      </c>
      <c r="D304" s="177">
        <v>283</v>
      </c>
      <c r="E304" s="84"/>
      <c r="F304" s="178">
        <v>2250000</v>
      </c>
      <c r="G304" s="179"/>
    </row>
    <row r="305" spans="1:7" ht="21.25" customHeight="1" x14ac:dyDescent="0.15">
      <c r="A305" s="10" t="s">
        <v>485</v>
      </c>
      <c r="B305" s="179" t="s">
        <v>86</v>
      </c>
      <c r="C305" s="177">
        <v>283.3</v>
      </c>
      <c r="D305" s="177">
        <v>283.3</v>
      </c>
      <c r="E305" s="84"/>
      <c r="F305" s="178">
        <v>5400000</v>
      </c>
      <c r="G305" s="179"/>
    </row>
    <row r="306" spans="1:7" ht="21.25" customHeight="1" x14ac:dyDescent="0.15">
      <c r="A306" s="10" t="s">
        <v>398</v>
      </c>
      <c r="B306" s="179" t="s">
        <v>86</v>
      </c>
      <c r="C306" s="177">
        <v>283.7</v>
      </c>
      <c r="D306" s="177">
        <v>283.7</v>
      </c>
      <c r="E306" s="84"/>
      <c r="F306" s="178">
        <v>5500000</v>
      </c>
      <c r="G306" s="179"/>
    </row>
    <row r="307" spans="1:7" ht="21.25" customHeight="1" x14ac:dyDescent="0.15">
      <c r="A307" s="10" t="s">
        <v>608</v>
      </c>
      <c r="B307" s="179" t="s">
        <v>86</v>
      </c>
      <c r="C307" s="177">
        <v>284.8</v>
      </c>
      <c r="D307" s="177">
        <v>284.8</v>
      </c>
      <c r="E307" s="84"/>
      <c r="F307" s="178">
        <v>932500</v>
      </c>
      <c r="G307" s="179"/>
    </row>
    <row r="308" spans="1:7" ht="21.25" customHeight="1" x14ac:dyDescent="0.15">
      <c r="A308" s="10" t="s">
        <v>547</v>
      </c>
      <c r="B308" s="179" t="s">
        <v>86</v>
      </c>
      <c r="C308" s="177">
        <v>284.89999999999998</v>
      </c>
      <c r="D308" s="177">
        <v>284.89999999999998</v>
      </c>
      <c r="E308" s="84"/>
      <c r="F308" s="178">
        <v>3250000</v>
      </c>
      <c r="G308" s="179" t="s">
        <v>84</v>
      </c>
    </row>
    <row r="309" spans="1:7" ht="21.25" customHeight="1" x14ac:dyDescent="0.15">
      <c r="A309" s="10" t="s">
        <v>594</v>
      </c>
      <c r="B309" s="179" t="s">
        <v>86</v>
      </c>
      <c r="C309" s="177">
        <v>285.2</v>
      </c>
      <c r="D309" s="177">
        <v>285.2</v>
      </c>
      <c r="E309" s="84"/>
      <c r="F309" s="178">
        <v>879167</v>
      </c>
      <c r="G309" s="179"/>
    </row>
    <row r="310" spans="1:7" ht="21.25" customHeight="1" x14ac:dyDescent="0.15">
      <c r="A310" s="10" t="s">
        <v>351</v>
      </c>
      <c r="B310" s="179" t="s">
        <v>86</v>
      </c>
      <c r="C310" s="177">
        <v>285.39999999999998</v>
      </c>
      <c r="D310" s="177">
        <v>285.39999999999998</v>
      </c>
      <c r="E310" s="84"/>
      <c r="F310" s="178">
        <v>6000000</v>
      </c>
      <c r="G310" s="179"/>
    </row>
    <row r="311" spans="1:7" ht="21.25" customHeight="1" x14ac:dyDescent="0.15">
      <c r="A311" s="10" t="s">
        <v>420</v>
      </c>
      <c r="B311" s="179" t="s">
        <v>86</v>
      </c>
      <c r="C311" s="177">
        <v>285.60000000000002</v>
      </c>
      <c r="D311" s="177">
        <v>285.60000000000002</v>
      </c>
      <c r="E311" s="84"/>
      <c r="F311" s="178">
        <v>975000</v>
      </c>
      <c r="G311" s="179"/>
    </row>
    <row r="312" spans="1:7" ht="21.25" customHeight="1" x14ac:dyDescent="0.15">
      <c r="A312" s="10" t="s">
        <v>593</v>
      </c>
      <c r="B312" s="179" t="s">
        <v>86</v>
      </c>
      <c r="C312" s="177">
        <v>285.7</v>
      </c>
      <c r="D312" s="177">
        <v>285.7</v>
      </c>
      <c r="E312" s="84"/>
      <c r="F312" s="178">
        <v>9850000</v>
      </c>
      <c r="G312" s="179"/>
    </row>
    <row r="313" spans="1:7" ht="21.25" customHeight="1" x14ac:dyDescent="0.15">
      <c r="A313" s="10" t="s">
        <v>492</v>
      </c>
      <c r="B313" s="179" t="s">
        <v>86</v>
      </c>
      <c r="C313" s="177">
        <v>285.7</v>
      </c>
      <c r="D313" s="177">
        <v>285.7</v>
      </c>
      <c r="E313" s="84"/>
      <c r="F313" s="178">
        <v>1500000</v>
      </c>
      <c r="G313" s="179"/>
    </row>
    <row r="314" spans="1:7" ht="21.25" customHeight="1" x14ac:dyDescent="0.15">
      <c r="A314" s="10" t="s">
        <v>540</v>
      </c>
      <c r="B314" s="179" t="s">
        <v>86</v>
      </c>
      <c r="C314" s="177">
        <v>285.8</v>
      </c>
      <c r="D314" s="177">
        <v>285.8</v>
      </c>
      <c r="E314" s="84"/>
      <c r="F314" s="178">
        <v>900000</v>
      </c>
      <c r="G314" s="179"/>
    </row>
    <row r="315" spans="1:7" ht="21.25" customHeight="1" x14ac:dyDescent="0.15">
      <c r="A315" s="10" t="s">
        <v>480</v>
      </c>
      <c r="B315" s="179" t="s">
        <v>86</v>
      </c>
      <c r="C315" s="177">
        <v>286.2</v>
      </c>
      <c r="D315" s="177">
        <v>286.2</v>
      </c>
      <c r="E315" s="84"/>
      <c r="F315" s="178">
        <v>3000000</v>
      </c>
      <c r="G315" s="179"/>
    </row>
    <row r="316" spans="1:7" ht="21.25" customHeight="1" x14ac:dyDescent="0.15">
      <c r="A316" s="10" t="s">
        <v>681</v>
      </c>
      <c r="B316" s="179" t="s">
        <v>86</v>
      </c>
      <c r="C316" s="177">
        <v>286.60000000000002</v>
      </c>
      <c r="D316" s="177">
        <v>286.60000000000002</v>
      </c>
      <c r="E316" s="84"/>
      <c r="F316" s="178">
        <v>4250000</v>
      </c>
      <c r="G316" s="179"/>
    </row>
    <row r="317" spans="1:7" ht="21.25" customHeight="1" x14ac:dyDescent="0.15">
      <c r="A317" s="10" t="s">
        <v>409</v>
      </c>
      <c r="B317" s="179" t="s">
        <v>86</v>
      </c>
      <c r="C317" s="177">
        <v>286.7</v>
      </c>
      <c r="D317" s="177">
        <v>286.7</v>
      </c>
      <c r="E317" s="84"/>
      <c r="F317" s="178">
        <v>4750000</v>
      </c>
      <c r="G317" s="179"/>
    </row>
    <row r="318" spans="1:7" ht="21.25" customHeight="1" x14ac:dyDescent="0.15">
      <c r="A318" s="10" t="s">
        <v>440</v>
      </c>
      <c r="B318" s="179" t="s">
        <v>86</v>
      </c>
      <c r="C318" s="177">
        <v>286.89999999999998</v>
      </c>
      <c r="D318" s="177">
        <v>286.89999999999998</v>
      </c>
      <c r="E318" s="84"/>
      <c r="F318" s="178">
        <v>5000000</v>
      </c>
      <c r="G318" s="179"/>
    </row>
    <row r="319" spans="1:7" ht="21.25" customHeight="1" x14ac:dyDescent="0.15">
      <c r="A319" s="10" t="s">
        <v>511</v>
      </c>
      <c r="B319" s="179" t="s">
        <v>86</v>
      </c>
      <c r="C319" s="177">
        <v>286.89999999999998</v>
      </c>
      <c r="D319" s="177">
        <v>286.89999999999998</v>
      </c>
      <c r="E319" s="84"/>
      <c r="F319" s="178">
        <v>3166000</v>
      </c>
      <c r="G319" s="179"/>
    </row>
    <row r="320" spans="1:7" ht="21.25" customHeight="1" x14ac:dyDescent="0.15">
      <c r="A320" s="10" t="s">
        <v>614</v>
      </c>
      <c r="B320" s="179" t="s">
        <v>86</v>
      </c>
      <c r="C320" s="177">
        <v>286.89999999999998</v>
      </c>
      <c r="D320" s="177">
        <v>286.89999999999998</v>
      </c>
      <c r="E320" s="84"/>
      <c r="F320" s="178">
        <v>2000000</v>
      </c>
      <c r="G320" s="179"/>
    </row>
    <row r="321" spans="1:7" ht="21.25" customHeight="1" x14ac:dyDescent="0.15">
      <c r="A321" s="10" t="s">
        <v>643</v>
      </c>
      <c r="B321" s="179" t="s">
        <v>86</v>
      </c>
      <c r="C321" s="177">
        <v>287.10000000000002</v>
      </c>
      <c r="D321" s="177">
        <v>287.10000000000002</v>
      </c>
      <c r="E321" s="84"/>
      <c r="F321" s="178">
        <v>3000000</v>
      </c>
      <c r="G321" s="179"/>
    </row>
    <row r="322" spans="1:7" ht="21.25" customHeight="1" x14ac:dyDescent="0.15">
      <c r="A322" s="10" t="s">
        <v>502</v>
      </c>
      <c r="B322" s="179" t="s">
        <v>86</v>
      </c>
      <c r="C322" s="177">
        <v>287.2</v>
      </c>
      <c r="D322" s="177">
        <v>287.2</v>
      </c>
      <c r="E322" s="84"/>
      <c r="F322" s="178">
        <v>5900000</v>
      </c>
      <c r="G322" s="179"/>
    </row>
    <row r="323" spans="1:7" ht="21.25" customHeight="1" x14ac:dyDescent="0.15">
      <c r="A323" s="10" t="s">
        <v>324</v>
      </c>
      <c r="B323" s="179" t="s">
        <v>86</v>
      </c>
      <c r="C323" s="177">
        <v>287.39999999999998</v>
      </c>
      <c r="D323" s="177">
        <v>287.39999999999998</v>
      </c>
      <c r="E323" s="84"/>
      <c r="F323" s="178">
        <v>8500000</v>
      </c>
      <c r="G323" s="179"/>
    </row>
    <row r="324" spans="1:7" ht="21.25" customHeight="1" x14ac:dyDescent="0.15">
      <c r="A324" s="10" t="s">
        <v>419</v>
      </c>
      <c r="B324" s="179" t="s">
        <v>86</v>
      </c>
      <c r="C324" s="177">
        <v>287.5</v>
      </c>
      <c r="D324" s="177">
        <v>287.5</v>
      </c>
      <c r="E324" s="84"/>
      <c r="F324" s="178">
        <v>6000000</v>
      </c>
      <c r="G324" s="179"/>
    </row>
    <row r="325" spans="1:7" ht="21.25" customHeight="1" x14ac:dyDescent="0.15">
      <c r="A325" s="10" t="s">
        <v>518</v>
      </c>
      <c r="B325" s="179" t="s">
        <v>86</v>
      </c>
      <c r="C325" s="177">
        <v>287.60000000000002</v>
      </c>
      <c r="D325" s="177">
        <v>287.60000000000002</v>
      </c>
      <c r="E325" s="84"/>
      <c r="F325" s="178">
        <v>2000000</v>
      </c>
      <c r="G325" s="179"/>
    </row>
    <row r="326" spans="1:7" ht="21.25" customHeight="1" x14ac:dyDescent="0.15">
      <c r="A326" s="10" t="s">
        <v>336</v>
      </c>
      <c r="B326" s="179" t="s">
        <v>86</v>
      </c>
      <c r="C326" s="177">
        <v>288.10000000000002</v>
      </c>
      <c r="D326" s="177">
        <v>288.10000000000002</v>
      </c>
      <c r="E326" s="84"/>
      <c r="F326" s="178">
        <v>6935000</v>
      </c>
      <c r="G326" s="179"/>
    </row>
    <row r="327" spans="1:7" ht="21.25" customHeight="1" x14ac:dyDescent="0.15">
      <c r="A327" s="10" t="s">
        <v>574</v>
      </c>
      <c r="B327" s="179" t="s">
        <v>86</v>
      </c>
      <c r="C327" s="177">
        <v>288.2</v>
      </c>
      <c r="D327" s="177">
        <v>288.2</v>
      </c>
      <c r="E327" s="84"/>
      <c r="F327" s="178">
        <v>5900000</v>
      </c>
      <c r="G327" s="179"/>
    </row>
    <row r="328" spans="1:7" ht="21.25" customHeight="1" x14ac:dyDescent="0.15">
      <c r="A328" s="10" t="s">
        <v>568</v>
      </c>
      <c r="B328" s="179" t="s">
        <v>86</v>
      </c>
      <c r="C328" s="177">
        <v>288.3</v>
      </c>
      <c r="D328" s="177">
        <v>288.3</v>
      </c>
      <c r="E328" s="84"/>
      <c r="F328" s="178">
        <v>4500000</v>
      </c>
      <c r="G328" s="179"/>
    </row>
    <row r="329" spans="1:7" ht="21.25" customHeight="1" x14ac:dyDescent="0.15">
      <c r="A329" s="10" t="s">
        <v>490</v>
      </c>
      <c r="B329" s="179" t="s">
        <v>86</v>
      </c>
      <c r="C329" s="177">
        <v>288.39999999999998</v>
      </c>
      <c r="D329" s="177">
        <v>288.39999999999998</v>
      </c>
      <c r="E329" s="84"/>
      <c r="F329" s="178">
        <v>886667</v>
      </c>
      <c r="G329" s="179" t="s">
        <v>84</v>
      </c>
    </row>
    <row r="330" spans="1:7" ht="21.25" customHeight="1" x14ac:dyDescent="0.15">
      <c r="A330" s="10" t="s">
        <v>270</v>
      </c>
      <c r="B330" s="179" t="s">
        <v>86</v>
      </c>
      <c r="C330" s="177">
        <v>288.5</v>
      </c>
      <c r="D330" s="177">
        <v>288.5</v>
      </c>
      <c r="E330" s="84"/>
      <c r="F330" s="178">
        <v>7200000</v>
      </c>
      <c r="G330" s="179" t="s">
        <v>84</v>
      </c>
    </row>
    <row r="331" spans="1:7" ht="21.25" customHeight="1" x14ac:dyDescent="0.15">
      <c r="A331" s="10" t="s">
        <v>640</v>
      </c>
      <c r="B331" s="179" t="s">
        <v>86</v>
      </c>
      <c r="C331" s="177">
        <v>288.89999999999998</v>
      </c>
      <c r="D331" s="177">
        <v>288.89999999999998</v>
      </c>
      <c r="E331" s="84"/>
      <c r="F331" s="178">
        <v>2900000</v>
      </c>
      <c r="G331" s="179"/>
    </row>
    <row r="332" spans="1:7" ht="21.25" customHeight="1" x14ac:dyDescent="0.15">
      <c r="A332" s="10" t="s">
        <v>539</v>
      </c>
      <c r="B332" s="179" t="s">
        <v>86</v>
      </c>
      <c r="C332" s="177">
        <v>289</v>
      </c>
      <c r="D332" s="177">
        <v>289</v>
      </c>
      <c r="E332" s="84"/>
      <c r="F332" s="178">
        <v>886667</v>
      </c>
      <c r="G332" s="179"/>
    </row>
    <row r="333" spans="1:7" ht="21.25" customHeight="1" x14ac:dyDescent="0.15">
      <c r="A333" s="10" t="s">
        <v>444</v>
      </c>
      <c r="B333" s="179" t="s">
        <v>86</v>
      </c>
      <c r="C333" s="177">
        <v>289.10000000000002</v>
      </c>
      <c r="D333" s="177">
        <v>289.10000000000002</v>
      </c>
      <c r="E333" s="84"/>
      <c r="F333" s="178">
        <v>3850000</v>
      </c>
      <c r="G333" s="179"/>
    </row>
    <row r="334" spans="1:7" ht="21.25" customHeight="1" x14ac:dyDescent="0.15">
      <c r="A334" s="10" t="s">
        <v>368</v>
      </c>
      <c r="B334" s="179" t="s">
        <v>86</v>
      </c>
      <c r="C334" s="177">
        <v>289.2</v>
      </c>
      <c r="D334" s="177">
        <v>289.2</v>
      </c>
      <c r="E334" s="84"/>
      <c r="F334" s="178">
        <v>6750000</v>
      </c>
      <c r="G334" s="179"/>
    </row>
    <row r="335" spans="1:7" ht="21.25" customHeight="1" x14ac:dyDescent="0.15">
      <c r="A335" s="10" t="s">
        <v>494</v>
      </c>
      <c r="B335" s="179" t="s">
        <v>86</v>
      </c>
      <c r="C335" s="177">
        <v>289.2</v>
      </c>
      <c r="D335" s="177">
        <v>289.2</v>
      </c>
      <c r="E335" s="84"/>
      <c r="F335" s="178">
        <v>5500000</v>
      </c>
      <c r="G335" s="179"/>
    </row>
    <row r="336" spans="1:7" ht="21.25" customHeight="1" x14ac:dyDescent="0.15">
      <c r="A336" s="10" t="s">
        <v>563</v>
      </c>
      <c r="B336" s="179" t="s">
        <v>86</v>
      </c>
      <c r="C336" s="177">
        <v>289.3</v>
      </c>
      <c r="D336" s="177">
        <v>289.3</v>
      </c>
      <c r="E336" s="84"/>
      <c r="F336" s="178">
        <v>2918000</v>
      </c>
      <c r="G336" s="179"/>
    </row>
    <row r="337" spans="1:7" ht="21.25" customHeight="1" x14ac:dyDescent="0.15">
      <c r="A337" s="10" t="s">
        <v>373</v>
      </c>
      <c r="B337" s="179" t="s">
        <v>86</v>
      </c>
      <c r="C337" s="177">
        <v>289.60000000000002</v>
      </c>
      <c r="D337" s="177">
        <v>289.60000000000002</v>
      </c>
      <c r="E337" s="84"/>
      <c r="F337" s="178">
        <v>5250000</v>
      </c>
      <c r="G337" s="179"/>
    </row>
    <row r="338" spans="1:7" ht="21.25" customHeight="1" x14ac:dyDescent="0.15">
      <c r="A338" s="10" t="s">
        <v>588</v>
      </c>
      <c r="B338" s="179" t="s">
        <v>86</v>
      </c>
      <c r="C338" s="177">
        <v>289.89999999999998</v>
      </c>
      <c r="D338" s="177">
        <v>289.89999999999998</v>
      </c>
      <c r="E338" s="84"/>
      <c r="F338" s="178">
        <v>953750</v>
      </c>
      <c r="G338" s="179" t="s">
        <v>84</v>
      </c>
    </row>
    <row r="339" spans="1:7" ht="21.25" customHeight="1" x14ac:dyDescent="0.15">
      <c r="A339" s="10" t="s">
        <v>529</v>
      </c>
      <c r="B339" s="179" t="s">
        <v>86</v>
      </c>
      <c r="C339" s="177">
        <v>289.89999999999998</v>
      </c>
      <c r="D339" s="177">
        <v>289.89999999999998</v>
      </c>
      <c r="E339" s="84"/>
      <c r="F339" s="178">
        <v>3850000</v>
      </c>
      <c r="G339" s="179"/>
    </row>
    <row r="340" spans="1:7" ht="21.25" customHeight="1" x14ac:dyDescent="0.15">
      <c r="A340" s="10" t="s">
        <v>559</v>
      </c>
      <c r="B340" s="179" t="s">
        <v>86</v>
      </c>
      <c r="C340" s="177">
        <v>290.2</v>
      </c>
      <c r="D340" s="177">
        <v>290.2</v>
      </c>
      <c r="E340" s="84"/>
      <c r="F340" s="178">
        <v>942500</v>
      </c>
      <c r="G340" s="179"/>
    </row>
    <row r="341" spans="1:7" ht="21.25" customHeight="1" x14ac:dyDescent="0.15">
      <c r="A341" s="10" t="s">
        <v>389</v>
      </c>
      <c r="B341" s="179" t="s">
        <v>86</v>
      </c>
      <c r="C341" s="177">
        <v>290.39999999999998</v>
      </c>
      <c r="D341" s="177">
        <v>290.39999999999998</v>
      </c>
      <c r="E341" s="84"/>
      <c r="F341" s="178">
        <v>6250000</v>
      </c>
      <c r="G341" s="179"/>
    </row>
    <row r="342" spans="1:7" ht="21.25" customHeight="1" x14ac:dyDescent="0.15">
      <c r="A342" s="10" t="s">
        <v>626</v>
      </c>
      <c r="B342" s="179" t="s">
        <v>86</v>
      </c>
      <c r="C342" s="177">
        <v>290.5</v>
      </c>
      <c r="D342" s="177">
        <v>290.5</v>
      </c>
      <c r="E342" s="84"/>
      <c r="F342" s="178">
        <v>2500000</v>
      </c>
      <c r="G342" s="179"/>
    </row>
    <row r="343" spans="1:7" ht="21.25" customHeight="1" x14ac:dyDescent="0.15">
      <c r="A343" s="10" t="s">
        <v>534</v>
      </c>
      <c r="B343" s="179" t="s">
        <v>86</v>
      </c>
      <c r="C343" s="177">
        <v>290.5</v>
      </c>
      <c r="D343" s="177">
        <v>290.5</v>
      </c>
      <c r="E343" s="84"/>
      <c r="F343" s="178">
        <v>1000000</v>
      </c>
      <c r="G343" s="179"/>
    </row>
    <row r="344" spans="1:7" ht="21.25" customHeight="1" x14ac:dyDescent="0.15">
      <c r="A344" s="10" t="s">
        <v>410</v>
      </c>
      <c r="B344" s="179" t="s">
        <v>86</v>
      </c>
      <c r="C344" s="177">
        <v>290.7</v>
      </c>
      <c r="D344" s="177">
        <v>290.7</v>
      </c>
      <c r="E344" s="84"/>
      <c r="F344" s="178">
        <v>6250000</v>
      </c>
      <c r="G344" s="179"/>
    </row>
    <row r="345" spans="1:7" ht="21.25" customHeight="1" x14ac:dyDescent="0.15">
      <c r="A345" s="10" t="s">
        <v>600</v>
      </c>
      <c r="B345" s="179" t="s">
        <v>86</v>
      </c>
      <c r="C345" s="177">
        <v>290.7</v>
      </c>
      <c r="D345" s="177">
        <v>290.7</v>
      </c>
      <c r="E345" s="84"/>
      <c r="F345" s="178">
        <v>4250000</v>
      </c>
      <c r="G345" s="179"/>
    </row>
    <row r="346" spans="1:7" ht="21.25" customHeight="1" x14ac:dyDescent="0.15">
      <c r="A346" s="10" t="s">
        <v>473</v>
      </c>
      <c r="B346" s="179" t="s">
        <v>86</v>
      </c>
      <c r="C346" s="177">
        <v>290.8</v>
      </c>
      <c r="D346" s="177">
        <v>290.8</v>
      </c>
      <c r="E346" s="84"/>
      <c r="F346" s="178">
        <v>5150000</v>
      </c>
      <c r="G346" s="179"/>
    </row>
    <row r="347" spans="1:7" ht="21.25" customHeight="1" x14ac:dyDescent="0.15">
      <c r="A347" s="10" t="s">
        <v>395</v>
      </c>
      <c r="B347" s="179" t="s">
        <v>86</v>
      </c>
      <c r="C347" s="177">
        <v>290.89999999999998</v>
      </c>
      <c r="D347" s="177">
        <v>290.89999999999998</v>
      </c>
      <c r="E347" s="84"/>
      <c r="F347" s="178">
        <v>4500000</v>
      </c>
      <c r="G347" s="179"/>
    </row>
    <row r="348" spans="1:7" ht="21.25" customHeight="1" x14ac:dyDescent="0.15">
      <c r="A348" s="10" t="s">
        <v>427</v>
      </c>
      <c r="B348" s="179" t="s">
        <v>86</v>
      </c>
      <c r="C348" s="177">
        <v>290.89999999999998</v>
      </c>
      <c r="D348" s="177">
        <v>290.89999999999998</v>
      </c>
      <c r="E348" s="84"/>
      <c r="F348" s="178">
        <v>5500000</v>
      </c>
      <c r="G348" s="179"/>
    </row>
    <row r="349" spans="1:7" ht="21.25" customHeight="1" x14ac:dyDescent="0.15">
      <c r="A349" s="10" t="s">
        <v>595</v>
      </c>
      <c r="B349" s="179" t="s">
        <v>86</v>
      </c>
      <c r="C349" s="177">
        <v>291</v>
      </c>
      <c r="D349" s="177">
        <v>291</v>
      </c>
      <c r="E349" s="84"/>
      <c r="F349" s="178">
        <v>4850000</v>
      </c>
      <c r="G349" s="179"/>
    </row>
    <row r="350" spans="1:7" ht="21.25" customHeight="1" x14ac:dyDescent="0.15">
      <c r="A350" s="10" t="s">
        <v>554</v>
      </c>
      <c r="B350" s="179" t="s">
        <v>86</v>
      </c>
      <c r="C350" s="177">
        <v>291</v>
      </c>
      <c r="D350" s="177">
        <v>291</v>
      </c>
      <c r="E350" s="84"/>
      <c r="F350" s="178">
        <v>850000</v>
      </c>
      <c r="G350" s="179"/>
    </row>
    <row r="351" spans="1:7" ht="21.25" customHeight="1" x14ac:dyDescent="0.15">
      <c r="A351" s="10" t="s">
        <v>400</v>
      </c>
      <c r="B351" s="179" t="s">
        <v>86</v>
      </c>
      <c r="C351" s="177">
        <v>291</v>
      </c>
      <c r="D351" s="177">
        <v>291</v>
      </c>
      <c r="E351" s="84"/>
      <c r="F351" s="178">
        <v>875000</v>
      </c>
      <c r="G351" s="179"/>
    </row>
    <row r="352" spans="1:7" ht="21.25" customHeight="1" x14ac:dyDescent="0.15">
      <c r="A352" s="10" t="s">
        <v>469</v>
      </c>
      <c r="B352" s="179" t="s">
        <v>86</v>
      </c>
      <c r="C352" s="177">
        <v>291.10000000000002</v>
      </c>
      <c r="D352" s="177">
        <v>291.10000000000002</v>
      </c>
      <c r="E352" s="84"/>
      <c r="F352" s="178">
        <v>4000000</v>
      </c>
      <c r="G352" s="179"/>
    </row>
    <row r="353" spans="1:7" ht="21.25" customHeight="1" x14ac:dyDescent="0.15">
      <c r="A353" s="10" t="s">
        <v>430</v>
      </c>
      <c r="B353" s="179" t="s">
        <v>86</v>
      </c>
      <c r="C353" s="177">
        <v>291.2</v>
      </c>
      <c r="D353" s="177">
        <v>291.2</v>
      </c>
      <c r="E353" s="84"/>
      <c r="F353" s="178">
        <v>10500000</v>
      </c>
      <c r="G353" s="179"/>
    </row>
    <row r="354" spans="1:7" ht="21.25" customHeight="1" x14ac:dyDescent="0.15">
      <c r="A354" s="10" t="s">
        <v>416</v>
      </c>
      <c r="B354" s="179" t="s">
        <v>86</v>
      </c>
      <c r="C354" s="177">
        <v>291.2</v>
      </c>
      <c r="D354" s="177">
        <v>291.2</v>
      </c>
      <c r="E354" s="84"/>
      <c r="F354" s="178">
        <v>4375000</v>
      </c>
      <c r="G354" s="179"/>
    </row>
    <row r="355" spans="1:7" ht="21.25" customHeight="1" x14ac:dyDescent="0.15">
      <c r="A355" s="10" t="s">
        <v>579</v>
      </c>
      <c r="B355" s="179" t="s">
        <v>86</v>
      </c>
      <c r="C355" s="177">
        <v>291.2</v>
      </c>
      <c r="D355" s="177">
        <v>291.2</v>
      </c>
      <c r="E355" s="84"/>
      <c r="F355" s="178">
        <v>921667</v>
      </c>
      <c r="G355" s="179"/>
    </row>
    <row r="356" spans="1:7" ht="21.25" customHeight="1" x14ac:dyDescent="0.15">
      <c r="A356" s="10" t="s">
        <v>609</v>
      </c>
      <c r="B356" s="179" t="s">
        <v>86</v>
      </c>
      <c r="C356" s="177">
        <v>291.2</v>
      </c>
      <c r="D356" s="177">
        <v>291.2</v>
      </c>
      <c r="E356" s="84"/>
      <c r="F356" s="178">
        <v>1800000</v>
      </c>
      <c r="G356" s="179"/>
    </row>
    <row r="357" spans="1:7" ht="21.25" customHeight="1" x14ac:dyDescent="0.15">
      <c r="A357" s="10" t="s">
        <v>493</v>
      </c>
      <c r="B357" s="179" t="s">
        <v>86</v>
      </c>
      <c r="C357" s="177">
        <v>291.3</v>
      </c>
      <c r="D357" s="177">
        <v>291.3</v>
      </c>
      <c r="E357" s="84"/>
      <c r="F357" s="178">
        <v>1100000</v>
      </c>
      <c r="G357" s="179"/>
    </row>
    <row r="358" spans="1:7" ht="21.25" customHeight="1" x14ac:dyDescent="0.15">
      <c r="A358" s="10" t="s">
        <v>690</v>
      </c>
      <c r="B358" s="179" t="s">
        <v>86</v>
      </c>
      <c r="C358" s="177">
        <v>291.39999999999998</v>
      </c>
      <c r="D358" s="177">
        <v>291.39999999999998</v>
      </c>
      <c r="E358" s="84"/>
      <c r="F358" s="178">
        <v>1566000</v>
      </c>
      <c r="G358" s="179"/>
    </row>
    <row r="359" spans="1:7" ht="21.25" customHeight="1" x14ac:dyDescent="0.15">
      <c r="A359" s="10" t="s">
        <v>581</v>
      </c>
      <c r="B359" s="179" t="s">
        <v>86</v>
      </c>
      <c r="C359" s="177">
        <v>291.39999999999998</v>
      </c>
      <c r="D359" s="177">
        <v>291.39999999999998</v>
      </c>
      <c r="E359" s="84"/>
      <c r="F359" s="178">
        <v>918333</v>
      </c>
      <c r="G359" s="179"/>
    </row>
    <row r="360" spans="1:7" ht="21.25" customHeight="1" x14ac:dyDescent="0.15">
      <c r="A360" s="10" t="s">
        <v>475</v>
      </c>
      <c r="B360" s="179" t="s">
        <v>86</v>
      </c>
      <c r="C360" s="177">
        <v>291.39999999999998</v>
      </c>
      <c r="D360" s="177">
        <v>291.39999999999998</v>
      </c>
      <c r="E360" s="84"/>
      <c r="F360" s="178">
        <v>3250000</v>
      </c>
      <c r="G360" s="179"/>
    </row>
    <row r="361" spans="1:7" ht="21.25" customHeight="1" x14ac:dyDescent="0.15">
      <c r="A361" s="10" t="s">
        <v>650</v>
      </c>
      <c r="B361" s="179" t="s">
        <v>86</v>
      </c>
      <c r="C361" s="177">
        <v>291.5</v>
      </c>
      <c r="D361" s="177">
        <v>291.5</v>
      </c>
      <c r="E361" s="84"/>
      <c r="F361" s="178">
        <v>3000000</v>
      </c>
      <c r="G361" s="179"/>
    </row>
    <row r="362" spans="1:7" ht="21.25" customHeight="1" x14ac:dyDescent="0.15">
      <c r="A362" s="10" t="s">
        <v>391</v>
      </c>
      <c r="B362" s="179" t="s">
        <v>86</v>
      </c>
      <c r="C362" s="177">
        <v>291.5</v>
      </c>
      <c r="D362" s="177">
        <v>291.5</v>
      </c>
      <c r="E362" s="84"/>
      <c r="F362" s="178">
        <v>5500000</v>
      </c>
      <c r="G362" s="179"/>
    </row>
    <row r="363" spans="1:7" ht="21.25" customHeight="1" x14ac:dyDescent="0.15">
      <c r="A363" s="10" t="s">
        <v>582</v>
      </c>
      <c r="B363" s="179" t="s">
        <v>86</v>
      </c>
      <c r="C363" s="177">
        <v>291.60000000000002</v>
      </c>
      <c r="D363" s="177">
        <v>291.60000000000002</v>
      </c>
      <c r="E363" s="84"/>
      <c r="F363" s="178">
        <v>875000</v>
      </c>
      <c r="G363" s="179"/>
    </row>
    <row r="364" spans="1:7" ht="21.25" customHeight="1" x14ac:dyDescent="0.15">
      <c r="A364" s="10" t="s">
        <v>520</v>
      </c>
      <c r="B364" s="179" t="s">
        <v>86</v>
      </c>
      <c r="C364" s="177">
        <v>291.60000000000002</v>
      </c>
      <c r="D364" s="177">
        <v>291.60000000000002</v>
      </c>
      <c r="E364" s="84"/>
      <c r="F364" s="178">
        <v>4500000</v>
      </c>
      <c r="G364" s="179"/>
    </row>
    <row r="365" spans="1:7" ht="21.25" customHeight="1" x14ac:dyDescent="0.15">
      <c r="A365" s="10" t="s">
        <v>652</v>
      </c>
      <c r="B365" s="179" t="s">
        <v>86</v>
      </c>
      <c r="C365" s="177">
        <v>291.60000000000002</v>
      </c>
      <c r="D365" s="177">
        <v>291.60000000000002</v>
      </c>
      <c r="E365" s="84"/>
      <c r="F365" s="178">
        <v>2200000</v>
      </c>
      <c r="G365" s="179"/>
    </row>
    <row r="366" spans="1:7" ht="21.25" customHeight="1" x14ac:dyDescent="0.15">
      <c r="A366" s="10" t="s">
        <v>597</v>
      </c>
      <c r="B366" s="179" t="s">
        <v>86</v>
      </c>
      <c r="C366" s="177">
        <v>291.7</v>
      </c>
      <c r="D366" s="177">
        <v>291.7</v>
      </c>
      <c r="E366" s="84"/>
      <c r="F366" s="178">
        <v>3000000</v>
      </c>
      <c r="G366" s="179"/>
    </row>
    <row r="367" spans="1:7" ht="21.25" customHeight="1" x14ac:dyDescent="0.15">
      <c r="A367" s="10" t="s">
        <v>620</v>
      </c>
      <c r="B367" s="179" t="s">
        <v>86</v>
      </c>
      <c r="C367" s="177">
        <v>291.7</v>
      </c>
      <c r="D367" s="177">
        <v>291.7</v>
      </c>
      <c r="E367" s="84"/>
      <c r="F367" s="178">
        <v>875000</v>
      </c>
      <c r="G367" s="179"/>
    </row>
    <row r="368" spans="1:7" ht="21.25" customHeight="1" x14ac:dyDescent="0.15">
      <c r="A368" s="10" t="s">
        <v>791</v>
      </c>
      <c r="B368" s="179" t="s">
        <v>86</v>
      </c>
      <c r="C368" s="177">
        <v>291.7</v>
      </c>
      <c r="D368" s="177">
        <v>291.7</v>
      </c>
      <c r="E368" s="84"/>
      <c r="F368" s="178">
        <v>850000</v>
      </c>
      <c r="G368" s="179"/>
    </row>
    <row r="369" spans="1:7" ht="21.25" customHeight="1" x14ac:dyDescent="0.15">
      <c r="A369" s="10" t="s">
        <v>635</v>
      </c>
      <c r="B369" s="179" t="s">
        <v>86</v>
      </c>
      <c r="C369" s="177">
        <v>291.8</v>
      </c>
      <c r="D369" s="177">
        <v>291.8</v>
      </c>
      <c r="E369" s="84"/>
      <c r="F369" s="178">
        <v>1350000</v>
      </c>
      <c r="G369" s="179"/>
    </row>
    <row r="370" spans="1:7" ht="21.25" customHeight="1" x14ac:dyDescent="0.15">
      <c r="A370" s="10" t="s">
        <v>610</v>
      </c>
      <c r="B370" s="179" t="s">
        <v>86</v>
      </c>
      <c r="C370" s="177">
        <v>291.89999999999998</v>
      </c>
      <c r="D370" s="177">
        <v>291.89999999999998</v>
      </c>
      <c r="E370" s="84"/>
      <c r="F370" s="178">
        <v>1016000</v>
      </c>
      <c r="G370" s="179"/>
    </row>
    <row r="371" spans="1:7" ht="21.25" customHeight="1" x14ac:dyDescent="0.15">
      <c r="A371" s="10" t="s">
        <v>571</v>
      </c>
      <c r="B371" s="179" t="s">
        <v>86</v>
      </c>
      <c r="C371" s="177">
        <v>291.89999999999998</v>
      </c>
      <c r="D371" s="177">
        <v>291.89999999999998</v>
      </c>
      <c r="E371" s="84"/>
      <c r="F371" s="178">
        <v>863333</v>
      </c>
      <c r="G371" s="179"/>
    </row>
    <row r="372" spans="1:7" ht="21.25" customHeight="1" x14ac:dyDescent="0.15">
      <c r="A372" s="10" t="s">
        <v>445</v>
      </c>
      <c r="B372" s="179" t="s">
        <v>86</v>
      </c>
      <c r="C372" s="177">
        <v>292</v>
      </c>
      <c r="D372" s="177">
        <v>292</v>
      </c>
      <c r="E372" s="84"/>
      <c r="F372" s="178">
        <v>4000000</v>
      </c>
      <c r="G372" s="179"/>
    </row>
    <row r="373" spans="1:7" ht="21.25" customHeight="1" x14ac:dyDescent="0.15">
      <c r="A373" s="10" t="s">
        <v>795</v>
      </c>
      <c r="B373" s="179" t="s">
        <v>86</v>
      </c>
      <c r="C373" s="177">
        <v>292</v>
      </c>
      <c r="D373" s="177">
        <v>292</v>
      </c>
      <c r="E373" s="84"/>
      <c r="F373" s="178">
        <v>975000</v>
      </c>
      <c r="G373" s="179"/>
    </row>
    <row r="374" spans="1:7" ht="21.25" customHeight="1" x14ac:dyDescent="0.15">
      <c r="A374" s="10" t="s">
        <v>591</v>
      </c>
      <c r="B374" s="179" t="s">
        <v>86</v>
      </c>
      <c r="C374" s="177">
        <v>292.10000000000002</v>
      </c>
      <c r="D374" s="177">
        <v>292.10000000000002</v>
      </c>
      <c r="E374" s="84"/>
      <c r="F374" s="178">
        <v>3600000</v>
      </c>
      <c r="G374" s="179"/>
    </row>
    <row r="375" spans="1:7" ht="21.25" customHeight="1" x14ac:dyDescent="0.15">
      <c r="A375" s="10" t="s">
        <v>503</v>
      </c>
      <c r="B375" s="179" t="s">
        <v>86</v>
      </c>
      <c r="C375" s="177">
        <v>292.10000000000002</v>
      </c>
      <c r="D375" s="177">
        <v>292.10000000000002</v>
      </c>
      <c r="E375" s="84"/>
      <c r="F375" s="178">
        <v>5500000</v>
      </c>
      <c r="G375" s="179"/>
    </row>
    <row r="376" spans="1:7" ht="21.25" customHeight="1" x14ac:dyDescent="0.15">
      <c r="A376" s="10" t="s">
        <v>784</v>
      </c>
      <c r="B376" s="179" t="s">
        <v>86</v>
      </c>
      <c r="C376" s="177">
        <v>292.10000000000002</v>
      </c>
      <c r="D376" s="177">
        <v>292.10000000000002</v>
      </c>
      <c r="E376" s="84"/>
      <c r="F376" s="178">
        <v>2400000</v>
      </c>
      <c r="G376" s="179"/>
    </row>
    <row r="377" spans="1:7" ht="21.25" customHeight="1" x14ac:dyDescent="0.15">
      <c r="A377" s="10" t="s">
        <v>468</v>
      </c>
      <c r="B377" s="179" t="s">
        <v>86</v>
      </c>
      <c r="C377" s="177">
        <v>292.3</v>
      </c>
      <c r="D377" s="177">
        <v>292.3</v>
      </c>
      <c r="E377" s="84"/>
      <c r="F377" s="178">
        <v>4175000</v>
      </c>
      <c r="G377" s="179"/>
    </row>
    <row r="378" spans="1:7" ht="21.25" customHeight="1" x14ac:dyDescent="0.15">
      <c r="A378" s="10" t="s">
        <v>550</v>
      </c>
      <c r="B378" s="179" t="s">
        <v>86</v>
      </c>
      <c r="C378" s="177">
        <v>292.3</v>
      </c>
      <c r="D378" s="177">
        <v>292.3</v>
      </c>
      <c r="E378" s="84"/>
      <c r="F378" s="178">
        <v>3000000</v>
      </c>
      <c r="G378" s="179"/>
    </row>
    <row r="379" spans="1:7" ht="21.25" customHeight="1" x14ac:dyDescent="0.15">
      <c r="A379" s="10" t="s">
        <v>432</v>
      </c>
      <c r="B379" s="179" t="s">
        <v>86</v>
      </c>
      <c r="C379" s="177">
        <v>292.39999999999998</v>
      </c>
      <c r="D379" s="177">
        <v>292.39999999999998</v>
      </c>
      <c r="E379" s="84"/>
      <c r="F379" s="178">
        <v>7575000</v>
      </c>
      <c r="G379" s="179"/>
    </row>
    <row r="380" spans="1:7" ht="21.25" customHeight="1" x14ac:dyDescent="0.15">
      <c r="A380" s="10" t="s">
        <v>682</v>
      </c>
      <c r="B380" s="179" t="s">
        <v>86</v>
      </c>
      <c r="C380" s="177">
        <v>292.39999999999998</v>
      </c>
      <c r="D380" s="177">
        <v>292.39999999999998</v>
      </c>
      <c r="E380" s="84"/>
      <c r="F380" s="178">
        <v>4500000</v>
      </c>
      <c r="G380" s="179"/>
    </row>
    <row r="381" spans="1:7" ht="21.25" customHeight="1" x14ac:dyDescent="0.15">
      <c r="A381" s="10" t="s">
        <v>358</v>
      </c>
      <c r="B381" s="179" t="s">
        <v>86</v>
      </c>
      <c r="C381" s="177">
        <v>292.39999999999998</v>
      </c>
      <c r="D381" s="177">
        <v>292.39999999999998</v>
      </c>
      <c r="E381" s="84"/>
      <c r="F381" s="178">
        <v>5000000</v>
      </c>
      <c r="G381" s="179"/>
    </row>
    <row r="382" spans="1:7" ht="21.25" customHeight="1" x14ac:dyDescent="0.15">
      <c r="A382" s="10" t="s">
        <v>720</v>
      </c>
      <c r="B382" s="179" t="s">
        <v>86</v>
      </c>
      <c r="C382" s="177">
        <v>292.39999999999998</v>
      </c>
      <c r="D382" s="177">
        <v>292.39999999999998</v>
      </c>
      <c r="E382" s="84"/>
      <c r="F382" s="178">
        <v>3000000</v>
      </c>
      <c r="G382" s="179"/>
    </row>
    <row r="383" spans="1:7" ht="21.25" customHeight="1" x14ac:dyDescent="0.15">
      <c r="A383" s="10" t="s">
        <v>662</v>
      </c>
      <c r="B383" s="179" t="s">
        <v>86</v>
      </c>
      <c r="C383" s="177">
        <v>292.39999999999998</v>
      </c>
      <c r="D383" s="177">
        <v>292.39999999999998</v>
      </c>
      <c r="E383" s="84"/>
      <c r="F383" s="178">
        <v>2750000</v>
      </c>
      <c r="G383" s="179"/>
    </row>
    <row r="384" spans="1:7" ht="21.25" customHeight="1" x14ac:dyDescent="0.15">
      <c r="A384" s="10" t="s">
        <v>527</v>
      </c>
      <c r="B384" s="179" t="s">
        <v>86</v>
      </c>
      <c r="C384" s="177">
        <v>292.5</v>
      </c>
      <c r="D384" s="177">
        <v>292.5</v>
      </c>
      <c r="E384" s="84"/>
      <c r="F384" s="178">
        <v>4525000</v>
      </c>
      <c r="G384" s="179"/>
    </row>
    <row r="385" spans="1:7" ht="21.25" customHeight="1" x14ac:dyDescent="0.15">
      <c r="A385" s="10" t="s">
        <v>716</v>
      </c>
      <c r="B385" s="179" t="s">
        <v>86</v>
      </c>
      <c r="C385" s="177">
        <v>292.5</v>
      </c>
      <c r="D385" s="177">
        <v>292.5</v>
      </c>
      <c r="E385" s="84"/>
      <c r="F385" s="178">
        <v>4250000</v>
      </c>
      <c r="G385" s="179"/>
    </row>
    <row r="386" spans="1:7" ht="21.25" customHeight="1" x14ac:dyDescent="0.15">
      <c r="A386" s="10" t="s">
        <v>665</v>
      </c>
      <c r="B386" s="179" t="s">
        <v>86</v>
      </c>
      <c r="C386" s="177">
        <v>292.5</v>
      </c>
      <c r="D386" s="177">
        <v>292.5</v>
      </c>
      <c r="E386" s="84"/>
      <c r="F386" s="178">
        <v>1200000</v>
      </c>
      <c r="G386" s="179"/>
    </row>
    <row r="387" spans="1:7" ht="21.25" customHeight="1" x14ac:dyDescent="0.15">
      <c r="A387" s="10" t="s">
        <v>553</v>
      </c>
      <c r="B387" s="179" t="s">
        <v>86</v>
      </c>
      <c r="C387" s="177">
        <v>292.60000000000002</v>
      </c>
      <c r="D387" s="177">
        <v>292.60000000000002</v>
      </c>
      <c r="E387" s="84"/>
      <c r="F387" s="178">
        <v>3250000</v>
      </c>
      <c r="G387" s="179"/>
    </row>
    <row r="388" spans="1:7" ht="21.25" customHeight="1" x14ac:dyDescent="0.15">
      <c r="A388" s="10" t="s">
        <v>613</v>
      </c>
      <c r="B388" s="179" t="s">
        <v>86</v>
      </c>
      <c r="C388" s="177">
        <v>292.60000000000002</v>
      </c>
      <c r="D388" s="177">
        <v>292.60000000000002</v>
      </c>
      <c r="E388" s="84"/>
      <c r="F388" s="178">
        <v>7750000</v>
      </c>
      <c r="G388" s="179"/>
    </row>
    <row r="389" spans="1:7" ht="21.25" customHeight="1" x14ac:dyDescent="0.15">
      <c r="A389" s="10" t="s">
        <v>639</v>
      </c>
      <c r="B389" s="179" t="s">
        <v>86</v>
      </c>
      <c r="C389" s="177">
        <v>292.60000000000002</v>
      </c>
      <c r="D389" s="177">
        <v>292.60000000000002</v>
      </c>
      <c r="E389" s="84"/>
      <c r="F389" s="178">
        <v>5100000</v>
      </c>
      <c r="G389" s="179"/>
    </row>
    <row r="390" spans="1:7" ht="21.25" customHeight="1" x14ac:dyDescent="0.15">
      <c r="A390" s="10" t="s">
        <v>638</v>
      </c>
      <c r="B390" s="179" t="s">
        <v>86</v>
      </c>
      <c r="C390" s="177">
        <v>292.60000000000002</v>
      </c>
      <c r="D390" s="177">
        <v>292.60000000000002</v>
      </c>
      <c r="E390" s="84"/>
      <c r="F390" s="178">
        <v>5000000</v>
      </c>
      <c r="G390" s="179"/>
    </row>
    <row r="391" spans="1:7" ht="21.25" customHeight="1" x14ac:dyDescent="0.15">
      <c r="A391" s="10" t="s">
        <v>637</v>
      </c>
      <c r="B391" s="179" t="s">
        <v>86</v>
      </c>
      <c r="C391" s="177">
        <v>292.60000000000002</v>
      </c>
      <c r="D391" s="177">
        <v>292.60000000000002</v>
      </c>
      <c r="E391" s="84"/>
      <c r="F391" s="178">
        <v>4125000</v>
      </c>
      <c r="G391" s="179"/>
    </row>
    <row r="392" spans="1:7" ht="21.25" customHeight="1" x14ac:dyDescent="0.15">
      <c r="A392" s="10" t="s">
        <v>712</v>
      </c>
      <c r="B392" s="179" t="s">
        <v>86</v>
      </c>
      <c r="C392" s="177">
        <v>292.60000000000002</v>
      </c>
      <c r="D392" s="177">
        <v>292.60000000000002</v>
      </c>
      <c r="E392" s="84"/>
      <c r="F392" s="178">
        <v>2500000</v>
      </c>
      <c r="G392" s="179"/>
    </row>
    <row r="393" spans="1:7" ht="21.25" customHeight="1" x14ac:dyDescent="0.15">
      <c r="A393" s="10" t="s">
        <v>560</v>
      </c>
      <c r="B393" s="179" t="s">
        <v>86</v>
      </c>
      <c r="C393" s="177">
        <v>292.60000000000002</v>
      </c>
      <c r="D393" s="177">
        <v>292.60000000000002</v>
      </c>
      <c r="E393" s="84"/>
      <c r="F393" s="178">
        <v>1750000</v>
      </c>
      <c r="G393" s="179"/>
    </row>
    <row r="394" spans="1:7" ht="21.25" customHeight="1" x14ac:dyDescent="0.15">
      <c r="A394" s="10" t="s">
        <v>777</v>
      </c>
      <c r="B394" s="179" t="s">
        <v>86</v>
      </c>
      <c r="C394" s="177">
        <v>292.60000000000002</v>
      </c>
      <c r="D394" s="177">
        <v>292.60000000000002</v>
      </c>
      <c r="E394" s="84"/>
      <c r="F394" s="178">
        <v>1100000</v>
      </c>
      <c r="G394" s="179"/>
    </row>
    <row r="395" spans="1:7" ht="21.25" customHeight="1" x14ac:dyDescent="0.15">
      <c r="A395" s="10" t="s">
        <v>660</v>
      </c>
      <c r="B395" s="179" t="s">
        <v>86</v>
      </c>
      <c r="C395" s="177">
        <v>292.60000000000002</v>
      </c>
      <c r="D395" s="177">
        <v>292.60000000000002</v>
      </c>
      <c r="E395" s="84"/>
      <c r="F395" s="178">
        <v>1000000</v>
      </c>
      <c r="G395" s="179"/>
    </row>
    <row r="396" spans="1:7" ht="21.25" customHeight="1" x14ac:dyDescent="0.15">
      <c r="A396" s="10" t="s">
        <v>761</v>
      </c>
      <c r="B396" s="179" t="s">
        <v>86</v>
      </c>
      <c r="C396" s="177">
        <v>292.60000000000002</v>
      </c>
      <c r="D396" s="177">
        <v>292.60000000000002</v>
      </c>
      <c r="E396" s="84"/>
      <c r="F396" s="178">
        <v>837500</v>
      </c>
      <c r="G396" s="179"/>
    </row>
    <row r="397" spans="1:7" ht="21.25" customHeight="1" x14ac:dyDescent="0.15">
      <c r="A397" s="10" t="s">
        <v>624</v>
      </c>
      <c r="B397" s="179" t="s">
        <v>86</v>
      </c>
      <c r="C397" s="177">
        <v>292.7</v>
      </c>
      <c r="D397" s="177">
        <v>292.7</v>
      </c>
      <c r="E397" s="84"/>
      <c r="F397" s="178">
        <v>909167</v>
      </c>
      <c r="G397" s="179"/>
    </row>
    <row r="398" spans="1:7" ht="21.25" customHeight="1" x14ac:dyDescent="0.15">
      <c r="A398" s="10" t="s">
        <v>460</v>
      </c>
      <c r="B398" s="179" t="s">
        <v>86</v>
      </c>
      <c r="C398" s="177">
        <v>292.7</v>
      </c>
      <c r="D398" s="177">
        <v>292.7</v>
      </c>
      <c r="E398" s="84"/>
      <c r="F398" s="178">
        <v>3625000</v>
      </c>
      <c r="G398" s="179"/>
    </row>
    <row r="399" spans="1:7" ht="21.25" customHeight="1" x14ac:dyDescent="0.15">
      <c r="A399" s="10" t="s">
        <v>658</v>
      </c>
      <c r="B399" s="179" t="s">
        <v>86</v>
      </c>
      <c r="C399" s="177">
        <v>292.7</v>
      </c>
      <c r="D399" s="177">
        <v>292.7</v>
      </c>
      <c r="E399" s="84"/>
      <c r="F399" s="178">
        <v>5000000</v>
      </c>
      <c r="G399" s="179"/>
    </row>
    <row r="400" spans="1:7" ht="21.25" customHeight="1" x14ac:dyDescent="0.15">
      <c r="A400" s="10" t="s">
        <v>456</v>
      </c>
      <c r="B400" s="179" t="s">
        <v>86</v>
      </c>
      <c r="C400" s="177">
        <v>292.7</v>
      </c>
      <c r="D400" s="177">
        <v>292.7</v>
      </c>
      <c r="E400" s="84"/>
      <c r="F400" s="178">
        <v>4500000</v>
      </c>
      <c r="G400" s="179"/>
    </row>
    <row r="401" spans="1:7" ht="21.25" customHeight="1" x14ac:dyDescent="0.15">
      <c r="A401" s="10" t="s">
        <v>670</v>
      </c>
      <c r="B401" s="179" t="s">
        <v>86</v>
      </c>
      <c r="C401" s="177">
        <v>292.7</v>
      </c>
      <c r="D401" s="177">
        <v>292.7</v>
      </c>
      <c r="E401" s="84"/>
      <c r="F401" s="178">
        <v>3750000</v>
      </c>
      <c r="G401" s="179"/>
    </row>
    <row r="402" spans="1:7" ht="21.25" customHeight="1" x14ac:dyDescent="0.15">
      <c r="A402" s="10" t="s">
        <v>710</v>
      </c>
      <c r="B402" s="179" t="s">
        <v>86</v>
      </c>
      <c r="C402" s="177">
        <v>292.7</v>
      </c>
      <c r="D402" s="177">
        <v>292.7</v>
      </c>
      <c r="E402" s="84"/>
      <c r="F402" s="178">
        <v>1850000</v>
      </c>
      <c r="G402" s="179"/>
    </row>
    <row r="403" spans="1:7" ht="21.25" customHeight="1" x14ac:dyDescent="0.15">
      <c r="A403" s="10" t="s">
        <v>561</v>
      </c>
      <c r="B403" s="179" t="s">
        <v>86</v>
      </c>
      <c r="C403" s="177">
        <v>292.7</v>
      </c>
      <c r="D403" s="177">
        <v>292.7</v>
      </c>
      <c r="E403" s="84"/>
      <c r="F403" s="178">
        <v>1550000</v>
      </c>
      <c r="G403" s="179"/>
    </row>
    <row r="404" spans="1:7" ht="21.25" customHeight="1" x14ac:dyDescent="0.15">
      <c r="A404" s="10" t="s">
        <v>556</v>
      </c>
      <c r="B404" s="179" t="s">
        <v>86</v>
      </c>
      <c r="C404" s="177">
        <v>292.7</v>
      </c>
      <c r="D404" s="177">
        <v>292.7</v>
      </c>
      <c r="E404" s="84"/>
      <c r="F404" s="178">
        <v>1125000</v>
      </c>
      <c r="G404" s="179"/>
    </row>
    <row r="405" spans="1:7" ht="21.25" customHeight="1" x14ac:dyDescent="0.15">
      <c r="A405" s="10" t="s">
        <v>679</v>
      </c>
      <c r="B405" s="179" t="s">
        <v>86</v>
      </c>
      <c r="C405" s="177">
        <v>292.7</v>
      </c>
      <c r="D405" s="177">
        <v>292.7</v>
      </c>
      <c r="E405" s="84"/>
      <c r="F405" s="178"/>
      <c r="G405" s="179"/>
    </row>
    <row r="406" spans="1:7" ht="21.25" customHeight="1" x14ac:dyDescent="0.15">
      <c r="A406" s="10" t="s">
        <v>642</v>
      </c>
      <c r="B406" s="179" t="s">
        <v>86</v>
      </c>
      <c r="C406" s="177">
        <v>292.8</v>
      </c>
      <c r="D406" s="177">
        <v>292.8</v>
      </c>
      <c r="E406" s="84"/>
      <c r="F406" s="178">
        <v>950000</v>
      </c>
      <c r="G406" s="179"/>
    </row>
    <row r="407" spans="1:7" ht="21.25" customHeight="1" x14ac:dyDescent="0.15">
      <c r="A407" s="10" t="s">
        <v>651</v>
      </c>
      <c r="B407" s="179" t="s">
        <v>86</v>
      </c>
      <c r="C407" s="177">
        <v>292.8</v>
      </c>
      <c r="D407" s="177">
        <v>292.8</v>
      </c>
      <c r="E407" s="84"/>
      <c r="F407" s="178">
        <v>2200000</v>
      </c>
      <c r="G407" s="179"/>
    </row>
    <row r="408" spans="1:7" ht="21.25" customHeight="1" x14ac:dyDescent="0.15">
      <c r="A408" s="10" t="s">
        <v>587</v>
      </c>
      <c r="B408" s="179" t="s">
        <v>86</v>
      </c>
      <c r="C408" s="177">
        <v>292.8</v>
      </c>
      <c r="D408" s="177">
        <v>292.8</v>
      </c>
      <c r="E408" s="84"/>
      <c r="F408" s="178">
        <v>950000</v>
      </c>
      <c r="G408" s="179"/>
    </row>
    <row r="409" spans="1:7" ht="21.25" customHeight="1" x14ac:dyDescent="0.15">
      <c r="A409" s="10" t="s">
        <v>752</v>
      </c>
      <c r="B409" s="179" t="s">
        <v>86</v>
      </c>
      <c r="C409" s="177">
        <v>292.8</v>
      </c>
      <c r="D409" s="177">
        <v>292.8</v>
      </c>
      <c r="E409" s="84"/>
      <c r="F409" s="178">
        <v>3850000</v>
      </c>
      <c r="G409" s="179"/>
    </row>
    <row r="410" spans="1:7" ht="21.25" customHeight="1" x14ac:dyDescent="0.15">
      <c r="A410" s="10" t="s">
        <v>687</v>
      </c>
      <c r="B410" s="179" t="s">
        <v>86</v>
      </c>
      <c r="C410" s="177">
        <v>292.8</v>
      </c>
      <c r="D410" s="177">
        <v>292.8</v>
      </c>
      <c r="E410" s="84"/>
      <c r="F410" s="178">
        <v>2800000</v>
      </c>
      <c r="G410" s="179"/>
    </row>
    <row r="411" spans="1:7" ht="21.25" customHeight="1" x14ac:dyDescent="0.15">
      <c r="A411" s="10" t="s">
        <v>501</v>
      </c>
      <c r="B411" s="179" t="s">
        <v>86</v>
      </c>
      <c r="C411" s="177">
        <v>292.8</v>
      </c>
      <c r="D411" s="177">
        <v>292.8</v>
      </c>
      <c r="E411" s="84"/>
      <c r="F411" s="178">
        <v>2200000</v>
      </c>
      <c r="G411" s="179"/>
    </row>
    <row r="412" spans="1:7" ht="21.25" customHeight="1" x14ac:dyDescent="0.15">
      <c r="A412" s="10" t="s">
        <v>545</v>
      </c>
      <c r="B412" s="179" t="s">
        <v>86</v>
      </c>
      <c r="C412" s="177">
        <v>292.8</v>
      </c>
      <c r="D412" s="177">
        <v>292.8</v>
      </c>
      <c r="E412" s="84"/>
      <c r="F412" s="178">
        <v>886667</v>
      </c>
      <c r="G412" s="179"/>
    </row>
    <row r="413" spans="1:7" ht="21.25" customHeight="1" x14ac:dyDescent="0.15">
      <c r="A413" s="10" t="s">
        <v>704</v>
      </c>
      <c r="B413" s="179" t="s">
        <v>86</v>
      </c>
      <c r="C413" s="177">
        <v>292.8</v>
      </c>
      <c r="D413" s="177">
        <v>292.8</v>
      </c>
      <c r="E413" s="84"/>
      <c r="F413" s="178">
        <v>886667</v>
      </c>
      <c r="G413" s="179"/>
    </row>
    <row r="414" spans="1:7" ht="21.25" customHeight="1" x14ac:dyDescent="0.15">
      <c r="A414" s="10" t="s">
        <v>708</v>
      </c>
      <c r="B414" s="179" t="s">
        <v>86</v>
      </c>
      <c r="C414" s="177">
        <v>292.8</v>
      </c>
      <c r="D414" s="177">
        <v>292.8</v>
      </c>
      <c r="E414" s="84"/>
      <c r="F414" s="178">
        <v>875000</v>
      </c>
      <c r="G414" s="179"/>
    </row>
    <row r="415" spans="1:7" ht="21.25" customHeight="1" x14ac:dyDescent="0.15">
      <c r="A415" s="10" t="s">
        <v>452</v>
      </c>
      <c r="B415" s="179" t="s">
        <v>86</v>
      </c>
      <c r="C415" s="177">
        <v>292.89999999999998</v>
      </c>
      <c r="D415" s="177">
        <v>292.89999999999998</v>
      </c>
      <c r="E415" s="84"/>
      <c r="F415" s="178">
        <v>940833</v>
      </c>
      <c r="G415" s="179"/>
    </row>
    <row r="416" spans="1:7" ht="21.25" customHeight="1" x14ac:dyDescent="0.15">
      <c r="A416" s="10" t="s">
        <v>654</v>
      </c>
      <c r="B416" s="179" t="s">
        <v>86</v>
      </c>
      <c r="C416" s="177">
        <v>292.89999999999998</v>
      </c>
      <c r="D416" s="177">
        <v>292.89999999999998</v>
      </c>
      <c r="E416" s="84"/>
      <c r="F416" s="178">
        <v>1500000</v>
      </c>
      <c r="G416" s="179"/>
    </row>
    <row r="417" spans="1:7" ht="21.25" customHeight="1" x14ac:dyDescent="0.15">
      <c r="A417" s="10" t="s">
        <v>646</v>
      </c>
      <c r="B417" s="179" t="s">
        <v>86</v>
      </c>
      <c r="C417" s="177">
        <v>292.89999999999998</v>
      </c>
      <c r="D417" s="177">
        <v>292.89999999999998</v>
      </c>
      <c r="E417" s="84"/>
      <c r="F417" s="178">
        <v>1700000</v>
      </c>
      <c r="G417" s="179"/>
    </row>
    <row r="418" spans="1:7" ht="21.25" customHeight="1" x14ac:dyDescent="0.15">
      <c r="A418" s="10" t="s">
        <v>659</v>
      </c>
      <c r="B418" s="179" t="s">
        <v>86</v>
      </c>
      <c r="C418" s="177">
        <v>292.89999999999998</v>
      </c>
      <c r="D418" s="177">
        <v>292.89999999999998</v>
      </c>
      <c r="E418" s="84"/>
      <c r="F418" s="178">
        <v>5400000</v>
      </c>
      <c r="G418" s="179"/>
    </row>
    <row r="419" spans="1:7" ht="21.25" customHeight="1" x14ac:dyDescent="0.15">
      <c r="A419" s="10" t="s">
        <v>375</v>
      </c>
      <c r="B419" s="179" t="s">
        <v>86</v>
      </c>
      <c r="C419" s="177">
        <v>292.89999999999998</v>
      </c>
      <c r="D419" s="177">
        <v>292.89999999999998</v>
      </c>
      <c r="E419" s="84"/>
      <c r="F419" s="178">
        <v>6100000</v>
      </c>
      <c r="G419" s="179"/>
    </row>
    <row r="420" spans="1:7" ht="21.25" customHeight="1" x14ac:dyDescent="0.15">
      <c r="A420" s="10" t="s">
        <v>735</v>
      </c>
      <c r="B420" s="179" t="s">
        <v>86</v>
      </c>
      <c r="C420" s="177">
        <v>292.89999999999998</v>
      </c>
      <c r="D420" s="177">
        <v>292.89999999999998</v>
      </c>
      <c r="E420" s="84"/>
      <c r="F420" s="178">
        <v>6000000</v>
      </c>
      <c r="G420" s="179"/>
    </row>
    <row r="421" spans="1:7" ht="21.25" customHeight="1" x14ac:dyDescent="0.15">
      <c r="A421" s="10" t="s">
        <v>661</v>
      </c>
      <c r="B421" s="179" t="s">
        <v>86</v>
      </c>
      <c r="C421" s="177">
        <v>292.89999999999998</v>
      </c>
      <c r="D421" s="177">
        <v>292.89999999999998</v>
      </c>
      <c r="E421" s="84"/>
      <c r="F421" s="178">
        <v>5500000</v>
      </c>
      <c r="G421" s="179"/>
    </row>
    <row r="422" spans="1:7" ht="21.25" customHeight="1" x14ac:dyDescent="0.15">
      <c r="A422" s="10" t="s">
        <v>477</v>
      </c>
      <c r="B422" s="179" t="s">
        <v>86</v>
      </c>
      <c r="C422" s="177">
        <v>292.89999999999998</v>
      </c>
      <c r="D422" s="177">
        <v>292.89999999999998</v>
      </c>
      <c r="E422" s="84"/>
      <c r="F422" s="178">
        <v>5000000</v>
      </c>
      <c r="G422" s="179"/>
    </row>
    <row r="423" spans="1:7" ht="21.25" customHeight="1" x14ac:dyDescent="0.15">
      <c r="A423" s="10" t="s">
        <v>625</v>
      </c>
      <c r="B423" s="179" t="s">
        <v>86</v>
      </c>
      <c r="C423" s="177">
        <v>292.89999999999998</v>
      </c>
      <c r="D423" s="177">
        <v>292.89999999999998</v>
      </c>
      <c r="E423" s="84"/>
      <c r="F423" s="178">
        <v>4437500</v>
      </c>
      <c r="G423" s="179"/>
    </row>
    <row r="424" spans="1:7" ht="21.25" customHeight="1" x14ac:dyDescent="0.15">
      <c r="A424" s="10" t="s">
        <v>726</v>
      </c>
      <c r="B424" s="179" t="s">
        <v>86</v>
      </c>
      <c r="C424" s="177">
        <v>292.89999999999998</v>
      </c>
      <c r="D424" s="177">
        <v>292.89999999999998</v>
      </c>
      <c r="E424" s="84"/>
      <c r="F424" s="178">
        <v>3600000</v>
      </c>
      <c r="G424" s="179"/>
    </row>
    <row r="425" spans="1:7" ht="21.25" customHeight="1" x14ac:dyDescent="0.15">
      <c r="A425" s="10" t="s">
        <v>544</v>
      </c>
      <c r="B425" s="179" t="s">
        <v>86</v>
      </c>
      <c r="C425" s="177">
        <v>292.89999999999998</v>
      </c>
      <c r="D425" s="177">
        <v>292.89999999999998</v>
      </c>
      <c r="E425" s="84"/>
      <c r="F425" s="178">
        <v>3500000</v>
      </c>
      <c r="G425" s="179"/>
    </row>
    <row r="426" spans="1:7" ht="21.25" customHeight="1" x14ac:dyDescent="0.15">
      <c r="A426" s="10" t="s">
        <v>749</v>
      </c>
      <c r="B426" s="179" t="s">
        <v>86</v>
      </c>
      <c r="C426" s="177">
        <v>292.89999999999998</v>
      </c>
      <c r="D426" s="177">
        <v>292.89999999999998</v>
      </c>
      <c r="E426" s="84"/>
      <c r="F426" s="178">
        <v>3250000</v>
      </c>
      <c r="G426" s="179"/>
    </row>
    <row r="427" spans="1:7" ht="21.25" customHeight="1" x14ac:dyDescent="0.15">
      <c r="A427" s="10" t="s">
        <v>463</v>
      </c>
      <c r="B427" s="179" t="s">
        <v>86</v>
      </c>
      <c r="C427" s="177">
        <v>292.89999999999998</v>
      </c>
      <c r="D427" s="177">
        <v>292.89999999999998</v>
      </c>
      <c r="E427" s="84"/>
      <c r="F427" s="178">
        <v>3025000</v>
      </c>
      <c r="G427" s="179"/>
    </row>
    <row r="428" spans="1:7" ht="21.25" customHeight="1" x14ac:dyDescent="0.15">
      <c r="A428" s="10" t="s">
        <v>706</v>
      </c>
      <c r="B428" s="179" t="s">
        <v>86</v>
      </c>
      <c r="C428" s="177">
        <v>292.89999999999998</v>
      </c>
      <c r="D428" s="177">
        <v>292.89999999999998</v>
      </c>
      <c r="E428" s="84"/>
      <c r="F428" s="178">
        <v>3000000</v>
      </c>
      <c r="G428" s="179"/>
    </row>
    <row r="429" spans="1:7" ht="21.25" customHeight="1" x14ac:dyDescent="0.15">
      <c r="A429" s="10" t="s">
        <v>695</v>
      </c>
      <c r="B429" s="179" t="s">
        <v>86</v>
      </c>
      <c r="C429" s="179" t="s">
        <v>868</v>
      </c>
      <c r="D429" s="84">
        <v>292.89999999999998</v>
      </c>
      <c r="E429" s="84"/>
      <c r="F429" s="178">
        <v>3000000</v>
      </c>
      <c r="G429" s="179"/>
    </row>
    <row r="430" spans="1:7" ht="21.25" customHeight="1" x14ac:dyDescent="0.15">
      <c r="A430" s="10" t="s">
        <v>755</v>
      </c>
      <c r="B430" s="179" t="s">
        <v>86</v>
      </c>
      <c r="C430" s="179" t="s">
        <v>868</v>
      </c>
      <c r="D430" s="84">
        <v>292.89999999999998</v>
      </c>
      <c r="E430" s="84"/>
      <c r="F430" s="178">
        <v>2500000</v>
      </c>
      <c r="G430" s="179"/>
    </row>
    <row r="431" spans="1:7" ht="21.25" customHeight="1" x14ac:dyDescent="0.15">
      <c r="A431" s="10" t="s">
        <v>677</v>
      </c>
      <c r="B431" s="179" t="s">
        <v>86</v>
      </c>
      <c r="C431" s="179" t="s">
        <v>868</v>
      </c>
      <c r="D431" s="84">
        <v>292.89999999999998</v>
      </c>
      <c r="E431" s="84"/>
      <c r="F431" s="178">
        <v>2250000</v>
      </c>
      <c r="G431" s="179"/>
    </row>
    <row r="432" spans="1:7" ht="21.25" customHeight="1" x14ac:dyDescent="0.15">
      <c r="A432" s="10" t="s">
        <v>732</v>
      </c>
      <c r="B432" s="179" t="s">
        <v>86</v>
      </c>
      <c r="C432" s="179" t="s">
        <v>868</v>
      </c>
      <c r="D432" s="84">
        <v>292.89999999999998</v>
      </c>
      <c r="E432" s="84"/>
      <c r="F432" s="178">
        <v>2000000</v>
      </c>
      <c r="G432" s="179"/>
    </row>
    <row r="433" spans="1:7" ht="21.25" customHeight="1" x14ac:dyDescent="0.15">
      <c r="A433" s="10" t="s">
        <v>724</v>
      </c>
      <c r="B433" s="179" t="s">
        <v>86</v>
      </c>
      <c r="C433" s="179" t="s">
        <v>868</v>
      </c>
      <c r="D433" s="84">
        <v>292.89999999999998</v>
      </c>
      <c r="E433" s="84"/>
      <c r="F433" s="178">
        <v>1850000</v>
      </c>
      <c r="G433" s="179"/>
    </row>
    <row r="434" spans="1:7" ht="21.25" customHeight="1" x14ac:dyDescent="0.15">
      <c r="A434" s="10" t="s">
        <v>766</v>
      </c>
      <c r="B434" s="179" t="s">
        <v>86</v>
      </c>
      <c r="C434" s="179" t="s">
        <v>868</v>
      </c>
      <c r="D434" s="84">
        <v>292.89999999999998</v>
      </c>
      <c r="E434" s="84"/>
      <c r="F434" s="178">
        <v>1625000</v>
      </c>
      <c r="G434" s="179"/>
    </row>
    <row r="435" spans="1:7" ht="21.25" customHeight="1" x14ac:dyDescent="0.15">
      <c r="A435" s="10" t="s">
        <v>751</v>
      </c>
      <c r="B435" s="179" t="s">
        <v>86</v>
      </c>
      <c r="C435" s="179" t="s">
        <v>868</v>
      </c>
      <c r="D435" s="84">
        <v>292.89999999999998</v>
      </c>
      <c r="E435" s="84"/>
      <c r="F435" s="178">
        <v>1587500</v>
      </c>
      <c r="G435" s="179"/>
    </row>
    <row r="436" spans="1:7" ht="21.25" customHeight="1" x14ac:dyDescent="0.15">
      <c r="A436" s="10" t="s">
        <v>725</v>
      </c>
      <c r="B436" s="179" t="s">
        <v>86</v>
      </c>
      <c r="C436" s="179" t="s">
        <v>868</v>
      </c>
      <c r="D436" s="84">
        <v>292.89999999999998</v>
      </c>
      <c r="E436" s="84"/>
      <c r="F436" s="178">
        <v>1000000</v>
      </c>
      <c r="G436" s="179"/>
    </row>
    <row r="437" spans="1:7" ht="21.25" customHeight="1" x14ac:dyDescent="0.15">
      <c r="A437" s="10" t="s">
        <v>647</v>
      </c>
      <c r="B437" s="179" t="s">
        <v>86</v>
      </c>
      <c r="C437" s="179" t="s">
        <v>868</v>
      </c>
      <c r="D437" s="84">
        <v>292.89999999999998</v>
      </c>
      <c r="E437" s="84"/>
      <c r="F437" s="178">
        <v>953750</v>
      </c>
      <c r="G437" s="179"/>
    </row>
    <row r="438" spans="1:7" ht="21.25" customHeight="1" x14ac:dyDescent="0.15">
      <c r="A438" s="10" t="s">
        <v>702</v>
      </c>
      <c r="B438" s="179" t="s">
        <v>86</v>
      </c>
      <c r="C438" s="179" t="s">
        <v>868</v>
      </c>
      <c r="D438" s="84">
        <v>292.89999999999998</v>
      </c>
      <c r="E438" s="84"/>
      <c r="F438" s="178">
        <v>916667</v>
      </c>
      <c r="G438" s="179"/>
    </row>
    <row r="439" spans="1:7" ht="21.25" customHeight="1" x14ac:dyDescent="0.15">
      <c r="A439" s="10" t="s">
        <v>656</v>
      </c>
      <c r="B439" s="179" t="s">
        <v>86</v>
      </c>
      <c r="C439" s="179" t="s">
        <v>868</v>
      </c>
      <c r="D439" s="84">
        <v>292.89999999999998</v>
      </c>
      <c r="E439" s="84"/>
      <c r="F439" s="178">
        <v>909167</v>
      </c>
      <c r="G439" s="179"/>
    </row>
    <row r="440" spans="1:7" ht="21.25" customHeight="1" x14ac:dyDescent="0.15">
      <c r="A440" s="10" t="s">
        <v>481</v>
      </c>
      <c r="B440" s="179" t="s">
        <v>86</v>
      </c>
      <c r="C440" s="179" t="s">
        <v>868</v>
      </c>
      <c r="D440" s="84">
        <v>292.89999999999998</v>
      </c>
      <c r="E440" s="84"/>
      <c r="F440" s="178">
        <v>865000</v>
      </c>
      <c r="G440" s="179"/>
    </row>
    <row r="441" spans="1:7" ht="21.25" customHeight="1" x14ac:dyDescent="0.15">
      <c r="A441" s="10" t="s">
        <v>615</v>
      </c>
      <c r="B441" s="179" t="s">
        <v>86</v>
      </c>
      <c r="C441" s="179" t="s">
        <v>868</v>
      </c>
      <c r="D441" s="84">
        <v>292.89999999999998</v>
      </c>
      <c r="E441" s="84"/>
      <c r="F441" s="178">
        <v>812500</v>
      </c>
      <c r="G441" s="179"/>
    </row>
    <row r="442" spans="1:7" ht="21.25" customHeight="1" x14ac:dyDescent="0.15">
      <c r="A442" s="10" t="s">
        <v>671</v>
      </c>
      <c r="B442" s="179" t="s">
        <v>86</v>
      </c>
      <c r="C442" s="179" t="s">
        <v>868</v>
      </c>
      <c r="D442" s="84">
        <v>292.89999999999998</v>
      </c>
      <c r="E442" s="84"/>
      <c r="F442" s="178">
        <v>2500000</v>
      </c>
      <c r="G442" s="179"/>
    </row>
    <row r="443" spans="1:7" ht="21.25" customHeight="1" x14ac:dyDescent="0.15">
      <c r="A443" s="10" t="s">
        <v>557</v>
      </c>
      <c r="B443" s="179" t="s">
        <v>86</v>
      </c>
      <c r="C443" s="179" t="s">
        <v>868</v>
      </c>
      <c r="D443" s="84">
        <v>292.89999999999998</v>
      </c>
      <c r="E443" s="84"/>
      <c r="F443" s="178">
        <v>825000</v>
      </c>
      <c r="G443" s="179"/>
    </row>
    <row r="444" spans="1:7" ht="21.25" customHeight="1" x14ac:dyDescent="0.15">
      <c r="A444" s="10" t="s">
        <v>575</v>
      </c>
      <c r="B444" s="179" t="s">
        <v>86</v>
      </c>
      <c r="C444" s="179" t="s">
        <v>869</v>
      </c>
      <c r="D444" s="84">
        <v>293</v>
      </c>
      <c r="E444" s="84"/>
      <c r="F444" s="178">
        <v>2750000</v>
      </c>
      <c r="G444" s="179"/>
    </row>
    <row r="445" spans="1:7" ht="21.25" customHeight="1" x14ac:dyDescent="0.15">
      <c r="A445" s="10" t="s">
        <v>645</v>
      </c>
      <c r="B445" s="179" t="s">
        <v>86</v>
      </c>
      <c r="C445" s="179" t="s">
        <v>869</v>
      </c>
      <c r="D445" s="84">
        <v>293</v>
      </c>
      <c r="E445" s="84"/>
      <c r="F445" s="178">
        <v>1638000</v>
      </c>
      <c r="G445" s="179"/>
    </row>
    <row r="446" spans="1:7" ht="21.25" customHeight="1" x14ac:dyDescent="0.15">
      <c r="A446" s="10" t="s">
        <v>688</v>
      </c>
      <c r="B446" s="179" t="s">
        <v>86</v>
      </c>
      <c r="C446" s="179" t="s">
        <v>869</v>
      </c>
      <c r="D446" s="84">
        <v>293</v>
      </c>
      <c r="E446" s="84"/>
      <c r="F446" s="178">
        <v>4000000</v>
      </c>
      <c r="G446" s="179"/>
    </row>
    <row r="447" spans="1:7" ht="21.25" customHeight="1" x14ac:dyDescent="0.15">
      <c r="A447" s="10" t="s">
        <v>515</v>
      </c>
      <c r="B447" s="179" t="s">
        <v>86</v>
      </c>
      <c r="C447" s="179" t="s">
        <v>869</v>
      </c>
      <c r="D447" s="84">
        <v>293</v>
      </c>
      <c r="E447" s="84"/>
      <c r="F447" s="178">
        <v>4000000</v>
      </c>
      <c r="G447" s="179"/>
    </row>
    <row r="448" spans="1:7" ht="21.25" customHeight="1" x14ac:dyDescent="0.15">
      <c r="A448" s="10" t="s">
        <v>741</v>
      </c>
      <c r="B448" s="179" t="s">
        <v>86</v>
      </c>
      <c r="C448" s="179" t="s">
        <v>869</v>
      </c>
      <c r="D448" s="84">
        <v>293</v>
      </c>
      <c r="E448" s="84"/>
      <c r="F448" s="178">
        <v>3500000</v>
      </c>
      <c r="G448" s="179"/>
    </row>
    <row r="449" spans="1:7" ht="21.25" customHeight="1" x14ac:dyDescent="0.15">
      <c r="A449" s="10" t="s">
        <v>590</v>
      </c>
      <c r="B449" s="179" t="s">
        <v>86</v>
      </c>
      <c r="C449" s="179" t="s">
        <v>869</v>
      </c>
      <c r="D449" s="84">
        <v>293</v>
      </c>
      <c r="E449" s="84"/>
      <c r="F449" s="178">
        <v>3500000</v>
      </c>
      <c r="G449" s="179"/>
    </row>
    <row r="450" spans="1:7" ht="21.25" customHeight="1" x14ac:dyDescent="0.15">
      <c r="A450" s="10" t="s">
        <v>697</v>
      </c>
      <c r="B450" s="179" t="s">
        <v>86</v>
      </c>
      <c r="C450" s="179" t="s">
        <v>869</v>
      </c>
      <c r="D450" s="84">
        <v>293</v>
      </c>
      <c r="E450" s="84"/>
      <c r="F450" s="178">
        <v>3200000</v>
      </c>
      <c r="G450" s="179"/>
    </row>
    <row r="451" spans="1:7" ht="21.25" customHeight="1" x14ac:dyDescent="0.15">
      <c r="A451" s="10" t="s">
        <v>644</v>
      </c>
      <c r="B451" s="179" t="s">
        <v>86</v>
      </c>
      <c r="C451" s="179" t="s">
        <v>869</v>
      </c>
      <c r="D451" s="84">
        <v>293</v>
      </c>
      <c r="E451" s="84"/>
      <c r="F451" s="178">
        <v>3150000</v>
      </c>
      <c r="G451" s="179"/>
    </row>
    <row r="452" spans="1:7" ht="21.25" customHeight="1" x14ac:dyDescent="0.15">
      <c r="A452" s="10" t="s">
        <v>772</v>
      </c>
      <c r="B452" s="179" t="s">
        <v>86</v>
      </c>
      <c r="C452" s="179" t="s">
        <v>869</v>
      </c>
      <c r="D452" s="84">
        <v>293</v>
      </c>
      <c r="E452" s="84"/>
      <c r="F452" s="178">
        <v>2500000</v>
      </c>
      <c r="G452" s="179"/>
    </row>
    <row r="453" spans="1:7" ht="21.25" customHeight="1" x14ac:dyDescent="0.15">
      <c r="A453" s="10" t="s">
        <v>678</v>
      </c>
      <c r="B453" s="179" t="s">
        <v>86</v>
      </c>
      <c r="C453" s="179" t="s">
        <v>869</v>
      </c>
      <c r="D453" s="84">
        <v>293</v>
      </c>
      <c r="E453" s="84"/>
      <c r="F453" s="178">
        <v>2100000</v>
      </c>
      <c r="G453" s="179"/>
    </row>
    <row r="454" spans="1:7" ht="21.25" customHeight="1" x14ac:dyDescent="0.15">
      <c r="A454" s="10" t="s">
        <v>767</v>
      </c>
      <c r="B454" s="179" t="s">
        <v>86</v>
      </c>
      <c r="C454" s="179" t="s">
        <v>869</v>
      </c>
      <c r="D454" s="84">
        <v>293</v>
      </c>
      <c r="E454" s="84"/>
      <c r="F454" s="178">
        <v>2050000</v>
      </c>
      <c r="G454" s="179"/>
    </row>
    <row r="455" spans="1:7" ht="21.25" customHeight="1" x14ac:dyDescent="0.15">
      <c r="A455" s="10" t="s">
        <v>719</v>
      </c>
      <c r="B455" s="179" t="s">
        <v>86</v>
      </c>
      <c r="C455" s="179" t="s">
        <v>869</v>
      </c>
      <c r="D455" s="84">
        <v>293</v>
      </c>
      <c r="E455" s="84"/>
      <c r="F455" s="178">
        <v>2000000</v>
      </c>
      <c r="G455" s="179"/>
    </row>
    <row r="456" spans="1:7" ht="21.25" customHeight="1" x14ac:dyDescent="0.15">
      <c r="A456" s="10" t="s">
        <v>792</v>
      </c>
      <c r="B456" s="179" t="s">
        <v>86</v>
      </c>
      <c r="C456" s="179" t="s">
        <v>869</v>
      </c>
      <c r="D456" s="84">
        <v>293</v>
      </c>
      <c r="E456" s="84"/>
      <c r="F456" s="178">
        <v>1850000</v>
      </c>
      <c r="G456" s="179"/>
    </row>
    <row r="457" spans="1:7" ht="21.25" customHeight="1" x14ac:dyDescent="0.15">
      <c r="A457" s="10" t="s">
        <v>721</v>
      </c>
      <c r="B457" s="179" t="s">
        <v>86</v>
      </c>
      <c r="C457" s="179" t="s">
        <v>869</v>
      </c>
      <c r="D457" s="84">
        <v>293</v>
      </c>
      <c r="E457" s="84"/>
      <c r="F457" s="178">
        <v>1750000</v>
      </c>
      <c r="G457" s="179"/>
    </row>
    <row r="458" spans="1:7" ht="21.25" customHeight="1" x14ac:dyDescent="0.15">
      <c r="A458" s="10" t="s">
        <v>737</v>
      </c>
      <c r="B458" s="179" t="s">
        <v>86</v>
      </c>
      <c r="C458" s="179" t="s">
        <v>869</v>
      </c>
      <c r="D458" s="84">
        <v>293</v>
      </c>
      <c r="E458" s="84"/>
      <c r="F458" s="178">
        <v>1250000</v>
      </c>
      <c r="G458" s="179"/>
    </row>
    <row r="459" spans="1:7" ht="21.25" customHeight="1" x14ac:dyDescent="0.15">
      <c r="A459" s="10" t="s">
        <v>465</v>
      </c>
      <c r="B459" s="179" t="s">
        <v>86</v>
      </c>
      <c r="C459" s="179" t="s">
        <v>869</v>
      </c>
      <c r="D459" s="84">
        <v>293</v>
      </c>
      <c r="E459" s="84"/>
      <c r="F459" s="178">
        <v>1150000</v>
      </c>
      <c r="G459" s="179"/>
    </row>
    <row r="460" spans="1:7" ht="21.25" customHeight="1" x14ac:dyDescent="0.15">
      <c r="A460" s="10" t="s">
        <v>663</v>
      </c>
      <c r="B460" s="179" t="s">
        <v>86</v>
      </c>
      <c r="C460" s="179" t="s">
        <v>869</v>
      </c>
      <c r="D460" s="84">
        <v>293</v>
      </c>
      <c r="E460" s="84"/>
      <c r="F460" s="178">
        <v>950000</v>
      </c>
      <c r="G460" s="179"/>
    </row>
    <row r="461" spans="1:7" ht="21.25" customHeight="1" x14ac:dyDescent="0.15">
      <c r="A461" s="10" t="s">
        <v>583</v>
      </c>
      <c r="B461" s="179" t="s">
        <v>86</v>
      </c>
      <c r="C461" s="179" t="s">
        <v>869</v>
      </c>
      <c r="D461" s="84">
        <v>293</v>
      </c>
      <c r="E461" s="84"/>
      <c r="F461" s="178">
        <v>925000</v>
      </c>
      <c r="G461" s="179"/>
    </row>
    <row r="462" spans="1:7" ht="21.25" customHeight="1" x14ac:dyDescent="0.15">
      <c r="A462" s="10" t="s">
        <v>699</v>
      </c>
      <c r="B462" s="179" t="s">
        <v>86</v>
      </c>
      <c r="C462" s="179" t="s">
        <v>869</v>
      </c>
      <c r="D462" s="84">
        <v>293</v>
      </c>
      <c r="E462" s="84"/>
      <c r="F462" s="178">
        <v>910000</v>
      </c>
      <c r="G462" s="179"/>
    </row>
    <row r="463" spans="1:7" ht="21.25" customHeight="1" x14ac:dyDescent="0.15">
      <c r="A463" s="10" t="s">
        <v>692</v>
      </c>
      <c r="B463" s="179" t="s">
        <v>86</v>
      </c>
      <c r="C463" s="179" t="s">
        <v>870</v>
      </c>
      <c r="D463" s="84">
        <v>293.10000000000002</v>
      </c>
      <c r="E463" s="84"/>
      <c r="F463" s="178">
        <v>1600000</v>
      </c>
      <c r="G463" s="179"/>
    </row>
    <row r="464" spans="1:7" ht="21.25" customHeight="1" x14ac:dyDescent="0.15">
      <c r="A464" s="10" t="s">
        <v>676</v>
      </c>
      <c r="B464" s="179" t="s">
        <v>86</v>
      </c>
      <c r="C464" s="179" t="s">
        <v>870</v>
      </c>
      <c r="D464" s="84">
        <v>293.10000000000002</v>
      </c>
      <c r="E464" s="84"/>
      <c r="F464" s="178">
        <v>925000</v>
      </c>
      <c r="G464" s="179"/>
    </row>
    <row r="465" spans="1:7" ht="21.25" customHeight="1" x14ac:dyDescent="0.15">
      <c r="A465" s="10" t="s">
        <v>569</v>
      </c>
      <c r="B465" s="179" t="s">
        <v>86</v>
      </c>
      <c r="C465" s="179" t="s">
        <v>870</v>
      </c>
      <c r="D465" s="84">
        <v>293.10000000000002</v>
      </c>
      <c r="E465" s="84"/>
      <c r="F465" s="178">
        <v>3660000</v>
      </c>
      <c r="G465" s="179"/>
    </row>
    <row r="466" spans="1:7" ht="21.25" customHeight="1" x14ac:dyDescent="0.15">
      <c r="A466" s="10" t="s">
        <v>498</v>
      </c>
      <c r="B466" s="179" t="s">
        <v>86</v>
      </c>
      <c r="C466" s="179" t="s">
        <v>870</v>
      </c>
      <c r="D466" s="84">
        <v>293.10000000000002</v>
      </c>
      <c r="E466" s="84"/>
      <c r="F466" s="178">
        <v>5625000</v>
      </c>
      <c r="G466" s="179"/>
    </row>
    <row r="467" spans="1:7" ht="21.25" customHeight="1" x14ac:dyDescent="0.15">
      <c r="A467" s="10" t="s">
        <v>718</v>
      </c>
      <c r="B467" s="179" t="s">
        <v>86</v>
      </c>
      <c r="C467" s="179" t="s">
        <v>870</v>
      </c>
      <c r="D467" s="84">
        <v>293.10000000000002</v>
      </c>
      <c r="E467" s="84"/>
      <c r="F467" s="178">
        <v>5500000</v>
      </c>
      <c r="G467" s="179"/>
    </row>
    <row r="468" spans="1:7" ht="21.25" customHeight="1" x14ac:dyDescent="0.15">
      <c r="A468" s="10" t="s">
        <v>507</v>
      </c>
      <c r="B468" s="179" t="s">
        <v>86</v>
      </c>
      <c r="C468" s="179" t="s">
        <v>870</v>
      </c>
      <c r="D468" s="84">
        <v>293.10000000000002</v>
      </c>
      <c r="E468" s="84"/>
      <c r="F468" s="178">
        <v>4000000</v>
      </c>
      <c r="G468" s="179"/>
    </row>
    <row r="469" spans="1:7" ht="21.25" customHeight="1" x14ac:dyDescent="0.15">
      <c r="A469" s="10" t="s">
        <v>526</v>
      </c>
      <c r="B469" s="179" t="s">
        <v>86</v>
      </c>
      <c r="C469" s="179" t="s">
        <v>870</v>
      </c>
      <c r="D469" s="84">
        <v>293.10000000000002</v>
      </c>
      <c r="E469" s="84"/>
      <c r="F469" s="178">
        <v>4000000</v>
      </c>
      <c r="G469" s="179"/>
    </row>
    <row r="470" spans="1:7" ht="21.25" customHeight="1" x14ac:dyDescent="0.15">
      <c r="A470" s="10" t="s">
        <v>664</v>
      </c>
      <c r="B470" s="179" t="s">
        <v>86</v>
      </c>
      <c r="C470" s="179" t="s">
        <v>870</v>
      </c>
      <c r="D470" s="84">
        <v>293.10000000000002</v>
      </c>
      <c r="E470" s="84"/>
      <c r="F470" s="178">
        <v>3000000</v>
      </c>
      <c r="G470" s="179"/>
    </row>
    <row r="471" spans="1:7" ht="21.25" customHeight="1" x14ac:dyDescent="0.15">
      <c r="A471" s="10" t="s">
        <v>700</v>
      </c>
      <c r="B471" s="179" t="s">
        <v>86</v>
      </c>
      <c r="C471" s="179" t="s">
        <v>870</v>
      </c>
      <c r="D471" s="84">
        <v>293.10000000000002</v>
      </c>
      <c r="E471" s="84"/>
      <c r="F471" s="178">
        <v>2750000</v>
      </c>
      <c r="G471" s="179"/>
    </row>
    <row r="472" spans="1:7" ht="21.25" customHeight="1" x14ac:dyDescent="0.15">
      <c r="A472" s="10" t="s">
        <v>745</v>
      </c>
      <c r="B472" s="179" t="s">
        <v>86</v>
      </c>
      <c r="C472" s="179" t="s">
        <v>870</v>
      </c>
      <c r="D472" s="84">
        <v>293.10000000000002</v>
      </c>
      <c r="E472" s="84"/>
      <c r="F472" s="178">
        <v>2750000</v>
      </c>
      <c r="G472" s="179"/>
    </row>
    <row r="473" spans="1:7" ht="21.25" customHeight="1" x14ac:dyDescent="0.15">
      <c r="A473" s="10" t="s">
        <v>762</v>
      </c>
      <c r="B473" s="179" t="s">
        <v>86</v>
      </c>
      <c r="C473" s="179" t="s">
        <v>870</v>
      </c>
      <c r="D473" s="84">
        <v>293.10000000000002</v>
      </c>
      <c r="E473" s="84"/>
      <c r="F473" s="178">
        <v>2600000</v>
      </c>
      <c r="G473" s="179"/>
    </row>
    <row r="474" spans="1:7" ht="21.25" customHeight="1" x14ac:dyDescent="0.15">
      <c r="A474" s="10" t="s">
        <v>666</v>
      </c>
      <c r="B474" s="179" t="s">
        <v>86</v>
      </c>
      <c r="C474" s="179" t="s">
        <v>870</v>
      </c>
      <c r="D474" s="84">
        <v>293.10000000000002</v>
      </c>
      <c r="E474" s="84"/>
      <c r="F474" s="178">
        <v>2500000</v>
      </c>
      <c r="G474" s="179"/>
    </row>
    <row r="475" spans="1:7" ht="21.25" customHeight="1" x14ac:dyDescent="0.15">
      <c r="A475" s="10" t="s">
        <v>711</v>
      </c>
      <c r="B475" s="179" t="s">
        <v>86</v>
      </c>
      <c r="C475" s="179" t="s">
        <v>870</v>
      </c>
      <c r="D475" s="84">
        <v>293.10000000000002</v>
      </c>
      <c r="E475" s="84"/>
      <c r="F475" s="178">
        <v>2500000</v>
      </c>
      <c r="G475" s="179"/>
    </row>
    <row r="476" spans="1:7" ht="21.25" customHeight="1" x14ac:dyDescent="0.15">
      <c r="A476" s="10" t="s">
        <v>717</v>
      </c>
      <c r="B476" s="179" t="s">
        <v>86</v>
      </c>
      <c r="C476" s="179" t="s">
        <v>870</v>
      </c>
      <c r="D476" s="84">
        <v>293.10000000000002</v>
      </c>
      <c r="E476" s="84"/>
      <c r="F476" s="178">
        <v>2500000</v>
      </c>
      <c r="G476" s="179"/>
    </row>
    <row r="477" spans="1:7" ht="21.25" customHeight="1" x14ac:dyDescent="0.15">
      <c r="A477" s="10" t="s">
        <v>788</v>
      </c>
      <c r="B477" s="179" t="s">
        <v>86</v>
      </c>
      <c r="C477" s="179" t="s">
        <v>870</v>
      </c>
      <c r="D477" s="84">
        <v>293.10000000000002</v>
      </c>
      <c r="E477" s="84"/>
      <c r="F477" s="178">
        <v>2350000</v>
      </c>
      <c r="G477" s="179"/>
    </row>
    <row r="478" spans="1:7" ht="21.25" customHeight="1" x14ac:dyDescent="0.15">
      <c r="A478" s="10" t="s">
        <v>694</v>
      </c>
      <c r="B478" s="179" t="s">
        <v>86</v>
      </c>
      <c r="C478" s="179" t="s">
        <v>870</v>
      </c>
      <c r="D478" s="84">
        <v>293.10000000000002</v>
      </c>
      <c r="E478" s="84"/>
      <c r="F478" s="178">
        <v>2250000</v>
      </c>
      <c r="G478" s="179"/>
    </row>
    <row r="479" spans="1:7" ht="21.25" customHeight="1" x14ac:dyDescent="0.15">
      <c r="A479" s="10" t="s">
        <v>512</v>
      </c>
      <c r="B479" s="179" t="s">
        <v>86</v>
      </c>
      <c r="C479" s="179" t="s">
        <v>870</v>
      </c>
      <c r="D479" s="84">
        <v>293.10000000000002</v>
      </c>
      <c r="E479" s="84"/>
      <c r="F479" s="178">
        <v>2250000</v>
      </c>
      <c r="G479" s="179"/>
    </row>
    <row r="480" spans="1:7" ht="21.25" customHeight="1" x14ac:dyDescent="0.15">
      <c r="A480" s="10" t="s">
        <v>669</v>
      </c>
      <c r="B480" s="179" t="s">
        <v>86</v>
      </c>
      <c r="C480" s="179" t="s">
        <v>870</v>
      </c>
      <c r="D480" s="84">
        <v>293.10000000000002</v>
      </c>
      <c r="E480" s="84"/>
      <c r="F480" s="178">
        <v>1850000</v>
      </c>
      <c r="G480" s="179"/>
    </row>
    <row r="481" spans="1:7" ht="21.25" customHeight="1" x14ac:dyDescent="0.15">
      <c r="A481" s="10" t="s">
        <v>478</v>
      </c>
      <c r="B481" s="179" t="s">
        <v>86</v>
      </c>
      <c r="C481" s="179" t="s">
        <v>870</v>
      </c>
      <c r="D481" s="84">
        <v>293.10000000000002</v>
      </c>
      <c r="E481" s="84"/>
      <c r="F481" s="178">
        <v>1700000</v>
      </c>
      <c r="G481" s="179"/>
    </row>
    <row r="482" spans="1:7" ht="21.25" customHeight="1" x14ac:dyDescent="0.15">
      <c r="A482" s="10" t="s">
        <v>696</v>
      </c>
      <c r="B482" s="179" t="s">
        <v>86</v>
      </c>
      <c r="C482" s="179" t="s">
        <v>870</v>
      </c>
      <c r="D482" s="84">
        <v>293.10000000000002</v>
      </c>
      <c r="E482" s="84"/>
      <c r="F482" s="178">
        <v>1550000</v>
      </c>
      <c r="G482" s="179"/>
    </row>
    <row r="483" spans="1:7" ht="21.25" customHeight="1" x14ac:dyDescent="0.15">
      <c r="A483" s="10" t="s">
        <v>729</v>
      </c>
      <c r="B483" s="179" t="s">
        <v>86</v>
      </c>
      <c r="C483" s="179" t="s">
        <v>870</v>
      </c>
      <c r="D483" s="84">
        <v>293.10000000000002</v>
      </c>
      <c r="E483" s="84"/>
      <c r="F483" s="178">
        <v>1500000</v>
      </c>
      <c r="G483" s="179"/>
    </row>
    <row r="484" spans="1:7" ht="21.25" customHeight="1" x14ac:dyDescent="0.15">
      <c r="A484" s="10" t="s">
        <v>723</v>
      </c>
      <c r="B484" s="179" t="s">
        <v>86</v>
      </c>
      <c r="C484" s="179" t="s">
        <v>870</v>
      </c>
      <c r="D484" s="84">
        <v>293.10000000000002</v>
      </c>
      <c r="E484" s="84"/>
      <c r="F484" s="178">
        <v>1350000</v>
      </c>
      <c r="G484" s="179"/>
    </row>
    <row r="485" spans="1:7" ht="21.25" customHeight="1" x14ac:dyDescent="0.15">
      <c r="A485" s="10" t="s">
        <v>565</v>
      </c>
      <c r="B485" s="179" t="s">
        <v>86</v>
      </c>
      <c r="C485" s="179" t="s">
        <v>870</v>
      </c>
      <c r="D485" s="84">
        <v>293.10000000000002</v>
      </c>
      <c r="E485" s="84"/>
      <c r="F485" s="178">
        <v>1350000</v>
      </c>
      <c r="G485" s="179"/>
    </row>
    <row r="486" spans="1:7" ht="21.25" customHeight="1" x14ac:dyDescent="0.15">
      <c r="A486" s="10" t="s">
        <v>466</v>
      </c>
      <c r="B486" s="179" t="s">
        <v>86</v>
      </c>
      <c r="C486" s="179" t="s">
        <v>870</v>
      </c>
      <c r="D486" s="84">
        <v>293.10000000000002</v>
      </c>
      <c r="E486" s="84"/>
      <c r="F486" s="178">
        <v>1300000</v>
      </c>
      <c r="G486" s="179"/>
    </row>
    <row r="487" spans="1:7" ht="21.25" customHeight="1" x14ac:dyDescent="0.15">
      <c r="A487" s="10" t="s">
        <v>619</v>
      </c>
      <c r="B487" s="179" t="s">
        <v>86</v>
      </c>
      <c r="C487" s="179" t="s">
        <v>870</v>
      </c>
      <c r="D487" s="84">
        <v>293.10000000000002</v>
      </c>
      <c r="E487" s="84"/>
      <c r="F487" s="178">
        <v>1250000</v>
      </c>
      <c r="G487" s="179"/>
    </row>
    <row r="488" spans="1:7" ht="21.25" customHeight="1" x14ac:dyDescent="0.15">
      <c r="A488" s="10" t="s">
        <v>548</v>
      </c>
      <c r="B488" s="179" t="s">
        <v>86</v>
      </c>
      <c r="C488" s="179" t="s">
        <v>870</v>
      </c>
      <c r="D488" s="84">
        <v>293.10000000000002</v>
      </c>
      <c r="E488" s="84"/>
      <c r="F488" s="178">
        <v>950000</v>
      </c>
      <c r="G488" s="179"/>
    </row>
    <row r="489" spans="1:7" ht="21.25" customHeight="1" x14ac:dyDescent="0.15">
      <c r="A489" s="10" t="s">
        <v>730</v>
      </c>
      <c r="B489" s="179" t="s">
        <v>86</v>
      </c>
      <c r="C489" s="179" t="s">
        <v>870</v>
      </c>
      <c r="D489" s="84">
        <v>293.10000000000002</v>
      </c>
      <c r="E489" s="84"/>
      <c r="F489" s="178">
        <v>950000</v>
      </c>
      <c r="G489" s="179"/>
    </row>
    <row r="490" spans="1:7" ht="21.25" customHeight="1" x14ac:dyDescent="0.15">
      <c r="A490" s="10" t="s">
        <v>715</v>
      </c>
      <c r="B490" s="179" t="s">
        <v>86</v>
      </c>
      <c r="C490" s="179" t="s">
        <v>870</v>
      </c>
      <c r="D490" s="84">
        <v>293.10000000000002</v>
      </c>
      <c r="E490" s="84"/>
      <c r="F490" s="178">
        <v>925000</v>
      </c>
      <c r="G490" s="179"/>
    </row>
    <row r="491" spans="1:7" ht="21.25" customHeight="1" x14ac:dyDescent="0.15">
      <c r="A491" s="10" t="s">
        <v>631</v>
      </c>
      <c r="B491" s="179" t="s">
        <v>86</v>
      </c>
      <c r="C491" s="179" t="s">
        <v>870</v>
      </c>
      <c r="D491" s="84">
        <v>293.10000000000002</v>
      </c>
      <c r="E491" s="84"/>
      <c r="F491" s="178">
        <v>907500</v>
      </c>
      <c r="G491" s="179"/>
    </row>
    <row r="492" spans="1:7" ht="21.25" customHeight="1" x14ac:dyDescent="0.15">
      <c r="A492" s="10" t="s">
        <v>734</v>
      </c>
      <c r="B492" s="179" t="s">
        <v>86</v>
      </c>
      <c r="C492" s="179" t="s">
        <v>870</v>
      </c>
      <c r="D492" s="84">
        <v>293.10000000000002</v>
      </c>
      <c r="E492" s="84"/>
      <c r="F492" s="178">
        <v>875000</v>
      </c>
      <c r="G492" s="179"/>
    </row>
    <row r="493" spans="1:7" ht="21.25" customHeight="1" x14ac:dyDescent="0.15">
      <c r="A493" s="10" t="s">
        <v>461</v>
      </c>
      <c r="B493" s="179" t="s">
        <v>86</v>
      </c>
      <c r="C493" s="179" t="s">
        <v>870</v>
      </c>
      <c r="D493" s="84">
        <v>293.10000000000002</v>
      </c>
      <c r="E493" s="84"/>
      <c r="F493" s="178">
        <v>812500</v>
      </c>
      <c r="G493" s="179"/>
    </row>
    <row r="494" spans="1:7" ht="21.25" customHeight="1" x14ac:dyDescent="0.15">
      <c r="A494" s="10" t="s">
        <v>500</v>
      </c>
      <c r="B494" s="179" t="s">
        <v>86</v>
      </c>
      <c r="C494" s="179" t="s">
        <v>870</v>
      </c>
      <c r="D494" s="84">
        <v>293.10000000000002</v>
      </c>
      <c r="E494" s="84"/>
      <c r="F494" s="178">
        <v>812000</v>
      </c>
      <c r="G494" s="179"/>
    </row>
    <row r="495" spans="1:7" ht="21.25" customHeight="1" x14ac:dyDescent="0.15">
      <c r="A495" s="10" t="s">
        <v>668</v>
      </c>
      <c r="B495" s="179" t="s">
        <v>86</v>
      </c>
      <c r="C495" s="179" t="s">
        <v>870</v>
      </c>
      <c r="D495" s="84">
        <v>293.10000000000002</v>
      </c>
      <c r="E495" s="84"/>
      <c r="F495" s="178">
        <v>1450000</v>
      </c>
      <c r="G495" s="179"/>
    </row>
    <row r="496" spans="1:7" ht="21.25" customHeight="1" x14ac:dyDescent="0.15">
      <c r="A496" s="10" t="s">
        <v>641</v>
      </c>
      <c r="B496" s="179" t="s">
        <v>86</v>
      </c>
      <c r="C496" s="179" t="s">
        <v>871</v>
      </c>
      <c r="D496" s="84">
        <v>293.2</v>
      </c>
      <c r="E496" s="84"/>
      <c r="F496" s="178">
        <v>3250000</v>
      </c>
      <c r="G496" s="179"/>
    </row>
    <row r="497" spans="1:7" ht="21.25" customHeight="1" x14ac:dyDescent="0.15">
      <c r="A497" s="10" t="s">
        <v>570</v>
      </c>
      <c r="B497" s="179" t="s">
        <v>86</v>
      </c>
      <c r="C497" s="179" t="s">
        <v>871</v>
      </c>
      <c r="D497" s="84">
        <v>293.2</v>
      </c>
      <c r="E497" s="84"/>
      <c r="F497" s="178">
        <v>5750000</v>
      </c>
      <c r="G497" s="179"/>
    </row>
    <row r="498" spans="1:7" ht="21.25" customHeight="1" x14ac:dyDescent="0.15">
      <c r="A498" s="10" t="s">
        <v>636</v>
      </c>
      <c r="B498" s="179" t="s">
        <v>86</v>
      </c>
      <c r="C498" s="179" t="s">
        <v>871</v>
      </c>
      <c r="D498" s="84">
        <v>293.2</v>
      </c>
      <c r="E498" s="84"/>
      <c r="F498" s="178">
        <v>3000000</v>
      </c>
      <c r="G498" s="179"/>
    </row>
    <row r="499" spans="1:7" ht="21.25" customHeight="1" x14ac:dyDescent="0.15">
      <c r="A499" s="10" t="s">
        <v>523</v>
      </c>
      <c r="B499" s="179" t="s">
        <v>86</v>
      </c>
      <c r="C499" s="179" t="s">
        <v>871</v>
      </c>
      <c r="D499" s="84">
        <v>293.2</v>
      </c>
      <c r="E499" s="84"/>
      <c r="F499" s="178">
        <v>4000000</v>
      </c>
      <c r="G499" s="179"/>
    </row>
    <row r="500" spans="1:7" ht="21.25" customHeight="1" x14ac:dyDescent="0.15">
      <c r="A500" s="10" t="s">
        <v>603</v>
      </c>
      <c r="B500" s="179" t="s">
        <v>86</v>
      </c>
      <c r="C500" s="179" t="s">
        <v>871</v>
      </c>
      <c r="D500" s="84">
        <v>293.2</v>
      </c>
      <c r="E500" s="84"/>
      <c r="F500" s="178">
        <v>4275000</v>
      </c>
      <c r="G500" s="179"/>
    </row>
    <row r="501" spans="1:7" ht="21.25" customHeight="1" x14ac:dyDescent="0.15">
      <c r="A501" s="10" t="s">
        <v>404</v>
      </c>
      <c r="B501" s="179" t="s">
        <v>86</v>
      </c>
      <c r="C501" s="179" t="s">
        <v>871</v>
      </c>
      <c r="D501" s="84">
        <v>293.2</v>
      </c>
      <c r="E501" s="84"/>
      <c r="F501" s="178">
        <v>3200000</v>
      </c>
      <c r="G501" s="179"/>
    </row>
    <row r="502" spans="1:7" ht="21.25" customHeight="1" x14ac:dyDescent="0.15">
      <c r="A502" s="10" t="s">
        <v>423</v>
      </c>
      <c r="B502" s="179" t="s">
        <v>86</v>
      </c>
      <c r="C502" s="179" t="s">
        <v>871</v>
      </c>
      <c r="D502" s="84">
        <v>293.2</v>
      </c>
      <c r="E502" s="84"/>
      <c r="F502" s="178">
        <v>5500000</v>
      </c>
      <c r="G502" s="179"/>
    </row>
    <row r="503" spans="1:7" ht="21.25" customHeight="1" x14ac:dyDescent="0.15">
      <c r="A503" s="10" t="s">
        <v>657</v>
      </c>
      <c r="B503" s="179" t="s">
        <v>86</v>
      </c>
      <c r="C503" s="179" t="s">
        <v>871</v>
      </c>
      <c r="D503" s="84">
        <v>293.2</v>
      </c>
      <c r="E503" s="84"/>
      <c r="F503" s="178">
        <v>3500000</v>
      </c>
      <c r="G503" s="179"/>
    </row>
    <row r="504" spans="1:7" ht="21.25" customHeight="1" x14ac:dyDescent="0.15">
      <c r="A504" s="10" t="s">
        <v>673</v>
      </c>
      <c r="B504" s="179" t="s">
        <v>86</v>
      </c>
      <c r="C504" s="179" t="s">
        <v>871</v>
      </c>
      <c r="D504" s="84">
        <v>293.2</v>
      </c>
      <c r="E504" s="84"/>
      <c r="F504" s="178">
        <v>3333000</v>
      </c>
      <c r="G504" s="179"/>
    </row>
    <row r="505" spans="1:7" ht="21.25" customHeight="1" x14ac:dyDescent="0.15">
      <c r="A505" s="10" t="s">
        <v>436</v>
      </c>
      <c r="B505" s="179" t="s">
        <v>86</v>
      </c>
      <c r="C505" s="179" t="s">
        <v>871</v>
      </c>
      <c r="D505" s="84">
        <v>293.2</v>
      </c>
      <c r="E505" s="84"/>
      <c r="F505" s="178">
        <v>2700000</v>
      </c>
      <c r="G505" s="179"/>
    </row>
    <row r="506" spans="1:7" ht="21.25" customHeight="1" x14ac:dyDescent="0.15">
      <c r="A506" s="10" t="s">
        <v>598</v>
      </c>
      <c r="B506" s="179" t="s">
        <v>86</v>
      </c>
      <c r="C506" s="179" t="s">
        <v>871</v>
      </c>
      <c r="D506" s="84">
        <v>293.2</v>
      </c>
      <c r="E506" s="84"/>
      <c r="F506" s="178">
        <v>2500000</v>
      </c>
      <c r="G506" s="179"/>
    </row>
    <row r="507" spans="1:7" ht="21.25" customHeight="1" x14ac:dyDescent="0.15">
      <c r="A507" s="10" t="s">
        <v>589</v>
      </c>
      <c r="B507" s="179" t="s">
        <v>86</v>
      </c>
      <c r="C507" s="179" t="s">
        <v>871</v>
      </c>
      <c r="D507" s="84">
        <v>293.2</v>
      </c>
      <c r="E507" s="84"/>
      <c r="F507" s="178">
        <v>2250000</v>
      </c>
      <c r="G507" s="179"/>
    </row>
    <row r="508" spans="1:7" ht="21.25" customHeight="1" x14ac:dyDescent="0.15">
      <c r="A508" s="10" t="s">
        <v>525</v>
      </c>
      <c r="B508" s="179" t="s">
        <v>86</v>
      </c>
      <c r="C508" s="179" t="s">
        <v>871</v>
      </c>
      <c r="D508" s="84">
        <v>293.2</v>
      </c>
      <c r="E508" s="84"/>
      <c r="F508" s="178">
        <v>1750000</v>
      </c>
      <c r="G508" s="179"/>
    </row>
    <row r="509" spans="1:7" ht="21.25" customHeight="1" x14ac:dyDescent="0.15">
      <c r="A509" s="10" t="s">
        <v>743</v>
      </c>
      <c r="B509" s="179" t="s">
        <v>86</v>
      </c>
      <c r="C509" s="179" t="s">
        <v>871</v>
      </c>
      <c r="D509" s="84">
        <v>293.2</v>
      </c>
      <c r="E509" s="84"/>
      <c r="F509" s="178">
        <v>1450000</v>
      </c>
      <c r="G509" s="179"/>
    </row>
    <row r="510" spans="1:7" ht="21.25" customHeight="1" x14ac:dyDescent="0.15">
      <c r="A510" s="10" t="s">
        <v>739</v>
      </c>
      <c r="B510" s="179" t="s">
        <v>86</v>
      </c>
      <c r="C510" s="179" t="s">
        <v>871</v>
      </c>
      <c r="D510" s="84">
        <v>293.2</v>
      </c>
      <c r="E510" s="84"/>
      <c r="F510" s="178">
        <v>1300000</v>
      </c>
      <c r="G510" s="179"/>
    </row>
    <row r="511" spans="1:7" ht="21.25" customHeight="1" x14ac:dyDescent="0.15">
      <c r="A511" s="10" t="s">
        <v>759</v>
      </c>
      <c r="B511" s="179" t="s">
        <v>86</v>
      </c>
      <c r="C511" s="179" t="s">
        <v>871</v>
      </c>
      <c r="D511" s="84">
        <v>293.2</v>
      </c>
      <c r="E511" s="84"/>
      <c r="F511" s="178">
        <v>1125000</v>
      </c>
      <c r="G511" s="179"/>
    </row>
    <row r="512" spans="1:7" ht="21.25" customHeight="1" x14ac:dyDescent="0.15">
      <c r="A512" s="10" t="s">
        <v>703</v>
      </c>
      <c r="B512" s="179" t="s">
        <v>86</v>
      </c>
      <c r="C512" s="179" t="s">
        <v>871</v>
      </c>
      <c r="D512" s="84">
        <v>293.2</v>
      </c>
      <c r="E512" s="84"/>
      <c r="F512" s="178">
        <v>941667</v>
      </c>
      <c r="G512" s="179"/>
    </row>
    <row r="513" spans="1:7" ht="21.25" customHeight="1" x14ac:dyDescent="0.15">
      <c r="A513" s="10" t="s">
        <v>522</v>
      </c>
      <c r="B513" s="179" t="s">
        <v>86</v>
      </c>
      <c r="C513" s="179" t="s">
        <v>871</v>
      </c>
      <c r="D513" s="84">
        <v>293.2</v>
      </c>
      <c r="E513" s="84"/>
      <c r="F513" s="178">
        <v>887500</v>
      </c>
      <c r="G513" s="179"/>
    </row>
    <row r="514" spans="1:7" ht="21.25" customHeight="1" x14ac:dyDescent="0.15">
      <c r="A514" s="10" t="s">
        <v>546</v>
      </c>
      <c r="B514" s="179" t="s">
        <v>86</v>
      </c>
      <c r="C514" s="179" t="s">
        <v>871</v>
      </c>
      <c r="D514" s="84">
        <v>293.2</v>
      </c>
      <c r="E514" s="84"/>
      <c r="F514" s="178">
        <v>865000</v>
      </c>
      <c r="G514" s="179"/>
    </row>
    <row r="515" spans="1:7" ht="21.25" customHeight="1" x14ac:dyDescent="0.15">
      <c r="A515" s="10" t="s">
        <v>760</v>
      </c>
      <c r="B515" s="179" t="s">
        <v>86</v>
      </c>
      <c r="C515" s="179" t="s">
        <v>871</v>
      </c>
      <c r="D515" s="84">
        <v>293.2</v>
      </c>
      <c r="E515" s="84"/>
      <c r="F515" s="178">
        <v>850000</v>
      </c>
      <c r="G515" s="179"/>
    </row>
    <row r="516" spans="1:7" ht="21.25" customHeight="1" x14ac:dyDescent="0.15">
      <c r="A516" s="10" t="s">
        <v>747</v>
      </c>
      <c r="B516" s="179" t="s">
        <v>86</v>
      </c>
      <c r="C516" s="179" t="s">
        <v>871</v>
      </c>
      <c r="D516" s="84">
        <v>293.2</v>
      </c>
      <c r="E516" s="84"/>
      <c r="F516" s="178">
        <v>812500</v>
      </c>
      <c r="G516" s="179"/>
    </row>
    <row r="517" spans="1:7" ht="21.25" customHeight="1" x14ac:dyDescent="0.15">
      <c r="A517" s="10" t="s">
        <v>769</v>
      </c>
      <c r="B517" s="179" t="s">
        <v>86</v>
      </c>
      <c r="C517" s="179" t="s">
        <v>871</v>
      </c>
      <c r="D517" s="84">
        <v>293.2</v>
      </c>
      <c r="E517" s="84"/>
      <c r="F517" s="178">
        <v>812000</v>
      </c>
      <c r="G517" s="179"/>
    </row>
    <row r="518" spans="1:7" ht="21.25" customHeight="1" x14ac:dyDescent="0.15">
      <c r="A518" s="10" t="s">
        <v>744</v>
      </c>
      <c r="B518" s="179" t="s">
        <v>86</v>
      </c>
      <c r="C518" s="179" t="s">
        <v>871</v>
      </c>
      <c r="D518" s="84">
        <v>293.2</v>
      </c>
      <c r="E518" s="84"/>
      <c r="F518" s="178">
        <v>800000</v>
      </c>
      <c r="G518" s="179"/>
    </row>
    <row r="519" spans="1:7" ht="21.25" customHeight="1" x14ac:dyDescent="0.15">
      <c r="A519" s="10" t="s">
        <v>491</v>
      </c>
      <c r="B519" s="179" t="s">
        <v>86</v>
      </c>
      <c r="C519" s="179" t="s">
        <v>872</v>
      </c>
      <c r="D519" s="84">
        <v>293.3</v>
      </c>
      <c r="E519" s="84"/>
      <c r="F519" s="178">
        <v>5500000</v>
      </c>
      <c r="G519" s="179"/>
    </row>
    <row r="520" spans="1:7" ht="21.25" customHeight="1" x14ac:dyDescent="0.15">
      <c r="A520" s="10" t="s">
        <v>538</v>
      </c>
      <c r="B520" s="179" t="s">
        <v>86</v>
      </c>
      <c r="C520" s="179" t="s">
        <v>872</v>
      </c>
      <c r="D520" s="84">
        <v>293.3</v>
      </c>
      <c r="E520" s="84"/>
      <c r="F520" s="178">
        <v>4000000</v>
      </c>
      <c r="G520" s="179"/>
    </row>
    <row r="521" spans="1:7" ht="21.25" customHeight="1" x14ac:dyDescent="0.15">
      <c r="A521" s="10" t="s">
        <v>778</v>
      </c>
      <c r="B521" s="179" t="s">
        <v>86</v>
      </c>
      <c r="C521" s="179" t="s">
        <v>872</v>
      </c>
      <c r="D521" s="84">
        <v>293.3</v>
      </c>
      <c r="E521" s="84"/>
      <c r="F521" s="178">
        <v>812500</v>
      </c>
      <c r="G521" s="179"/>
    </row>
    <row r="522" spans="1:7" ht="21.25" customHeight="1" x14ac:dyDescent="0.15">
      <c r="A522" s="10" t="s">
        <v>701</v>
      </c>
      <c r="B522" s="179" t="s">
        <v>86</v>
      </c>
      <c r="C522" s="179" t="s">
        <v>872</v>
      </c>
      <c r="D522" s="84">
        <v>293.3</v>
      </c>
      <c r="E522" s="84"/>
      <c r="F522" s="178">
        <v>1250000</v>
      </c>
      <c r="G522" s="179"/>
    </row>
    <row r="523" spans="1:7" ht="21.25" customHeight="1" x14ac:dyDescent="0.15">
      <c r="A523" s="10" t="s">
        <v>487</v>
      </c>
      <c r="B523" s="179" t="s">
        <v>86</v>
      </c>
      <c r="C523" s="179" t="s">
        <v>872</v>
      </c>
      <c r="D523" s="84">
        <v>293.3</v>
      </c>
      <c r="E523" s="84"/>
      <c r="F523" s="178">
        <v>4500000</v>
      </c>
      <c r="G523" s="179"/>
    </row>
    <row r="524" spans="1:7" ht="21.25" customHeight="1" x14ac:dyDescent="0.15">
      <c r="A524" s="10" t="s">
        <v>606</v>
      </c>
      <c r="B524" s="179" t="s">
        <v>86</v>
      </c>
      <c r="C524" s="179" t="s">
        <v>872</v>
      </c>
      <c r="D524" s="84">
        <v>293.3</v>
      </c>
      <c r="E524" s="84"/>
      <c r="F524" s="178">
        <v>3775000</v>
      </c>
      <c r="G524" s="179"/>
    </row>
    <row r="525" spans="1:7" ht="21.25" customHeight="1" x14ac:dyDescent="0.15">
      <c r="A525" s="10" t="s">
        <v>433</v>
      </c>
      <c r="B525" s="179" t="s">
        <v>86</v>
      </c>
      <c r="C525" s="179" t="s">
        <v>872</v>
      </c>
      <c r="D525" s="84">
        <v>293.3</v>
      </c>
      <c r="E525" s="84"/>
      <c r="F525" s="178">
        <v>2750000</v>
      </c>
      <c r="G525" s="179"/>
    </row>
    <row r="526" spans="1:7" ht="21.25" customHeight="1" x14ac:dyDescent="0.15">
      <c r="A526" s="10" t="s">
        <v>748</v>
      </c>
      <c r="B526" s="179" t="s">
        <v>86</v>
      </c>
      <c r="C526" s="179" t="s">
        <v>872</v>
      </c>
      <c r="D526" s="84">
        <v>293.3</v>
      </c>
      <c r="E526" s="84"/>
      <c r="F526" s="178">
        <v>2500000</v>
      </c>
      <c r="G526" s="179"/>
    </row>
    <row r="527" spans="1:7" ht="21.25" customHeight="1" x14ac:dyDescent="0.15">
      <c r="A527" s="10" t="s">
        <v>633</v>
      </c>
      <c r="B527" s="179" t="s">
        <v>86</v>
      </c>
      <c r="C527" s="179" t="s">
        <v>872</v>
      </c>
      <c r="D527" s="84">
        <v>293.3</v>
      </c>
      <c r="E527" s="84"/>
      <c r="F527" s="178">
        <v>2330000</v>
      </c>
      <c r="G527" s="179"/>
    </row>
    <row r="528" spans="1:7" ht="21.25" customHeight="1" x14ac:dyDescent="0.15">
      <c r="A528" s="10" t="s">
        <v>683</v>
      </c>
      <c r="B528" s="179" t="s">
        <v>86</v>
      </c>
      <c r="C528" s="179" t="s">
        <v>872</v>
      </c>
      <c r="D528" s="84">
        <v>293.3</v>
      </c>
      <c r="E528" s="84"/>
      <c r="F528" s="178">
        <v>2100000</v>
      </c>
      <c r="G528" s="179"/>
    </row>
    <row r="529" spans="1:7" ht="21.25" customHeight="1" x14ac:dyDescent="0.15">
      <c r="A529" s="10" t="s">
        <v>753</v>
      </c>
      <c r="B529" s="179" t="s">
        <v>86</v>
      </c>
      <c r="C529" s="179" t="s">
        <v>872</v>
      </c>
      <c r="D529" s="84">
        <v>293.3</v>
      </c>
      <c r="E529" s="84"/>
      <c r="F529" s="178">
        <v>2000000</v>
      </c>
      <c r="G529" s="179"/>
    </row>
    <row r="530" spans="1:7" ht="21.25" customHeight="1" x14ac:dyDescent="0.15">
      <c r="A530" s="10" t="s">
        <v>684</v>
      </c>
      <c r="B530" s="179" t="s">
        <v>86</v>
      </c>
      <c r="C530" s="179" t="s">
        <v>872</v>
      </c>
      <c r="D530" s="84">
        <v>293.3</v>
      </c>
      <c r="E530" s="84"/>
      <c r="F530" s="178">
        <v>2000000</v>
      </c>
      <c r="G530" s="179"/>
    </row>
    <row r="531" spans="1:7" ht="21.25" customHeight="1" x14ac:dyDescent="0.15">
      <c r="A531" s="10" t="s">
        <v>771</v>
      </c>
      <c r="B531" s="179" t="s">
        <v>86</v>
      </c>
      <c r="C531" s="179" t="s">
        <v>872</v>
      </c>
      <c r="D531" s="84">
        <v>293.3</v>
      </c>
      <c r="E531" s="84"/>
      <c r="F531" s="178">
        <v>2000000</v>
      </c>
      <c r="G531" s="179"/>
    </row>
    <row r="532" spans="1:7" ht="21.25" customHeight="1" x14ac:dyDescent="0.15">
      <c r="A532" s="10" t="s">
        <v>586</v>
      </c>
      <c r="B532" s="179" t="s">
        <v>86</v>
      </c>
      <c r="C532" s="179" t="s">
        <v>872</v>
      </c>
      <c r="D532" s="84">
        <v>293.3</v>
      </c>
      <c r="E532" s="84"/>
      <c r="F532" s="178">
        <v>1600000</v>
      </c>
      <c r="G532" s="179"/>
    </row>
    <row r="533" spans="1:7" ht="21.25" customHeight="1" x14ac:dyDescent="0.15">
      <c r="A533" s="10" t="s">
        <v>785</v>
      </c>
      <c r="B533" s="179" t="s">
        <v>86</v>
      </c>
      <c r="C533" s="179" t="s">
        <v>872</v>
      </c>
      <c r="D533" s="84">
        <v>293.3</v>
      </c>
      <c r="E533" s="84"/>
      <c r="F533" s="178">
        <v>1500000</v>
      </c>
      <c r="G533" s="179"/>
    </row>
    <row r="534" spans="1:7" ht="21.25" customHeight="1" x14ac:dyDescent="0.15">
      <c r="A534" s="10" t="s">
        <v>434</v>
      </c>
      <c r="B534" s="179" t="s">
        <v>86</v>
      </c>
      <c r="C534" s="179" t="s">
        <v>872</v>
      </c>
      <c r="D534" s="84">
        <v>293.3</v>
      </c>
      <c r="E534" s="84"/>
      <c r="F534" s="178">
        <v>1100000</v>
      </c>
      <c r="G534" s="179"/>
    </row>
    <row r="535" spans="1:7" ht="21.25" customHeight="1" x14ac:dyDescent="0.15">
      <c r="A535" s="10" t="s">
        <v>489</v>
      </c>
      <c r="B535" s="179" t="s">
        <v>86</v>
      </c>
      <c r="C535" s="179" t="s">
        <v>872</v>
      </c>
      <c r="D535" s="84">
        <v>293.3</v>
      </c>
      <c r="E535" s="84"/>
      <c r="F535" s="178">
        <v>886667</v>
      </c>
      <c r="G535" s="179"/>
    </row>
    <row r="536" spans="1:7" ht="21.25" customHeight="1" x14ac:dyDescent="0.15">
      <c r="A536" s="10" t="s">
        <v>577</v>
      </c>
      <c r="B536" s="179" t="s">
        <v>86</v>
      </c>
      <c r="C536" s="179" t="s">
        <v>872</v>
      </c>
      <c r="D536" s="84">
        <v>293.3</v>
      </c>
      <c r="E536" s="84"/>
      <c r="F536" s="178">
        <v>875000</v>
      </c>
      <c r="G536" s="179"/>
    </row>
    <row r="537" spans="1:7" ht="21.25" customHeight="1" x14ac:dyDescent="0.15">
      <c r="A537" s="10" t="s">
        <v>693</v>
      </c>
      <c r="B537" s="179" t="s">
        <v>86</v>
      </c>
      <c r="C537" s="179" t="s">
        <v>872</v>
      </c>
      <c r="D537" s="84">
        <v>293.3</v>
      </c>
      <c r="E537" s="84"/>
      <c r="F537" s="178">
        <v>3500000</v>
      </c>
      <c r="G537" s="179"/>
    </row>
    <row r="538" spans="1:7" ht="21.25" customHeight="1" x14ac:dyDescent="0.15">
      <c r="A538" s="10" t="s">
        <v>537</v>
      </c>
      <c r="B538" s="179" t="s">
        <v>86</v>
      </c>
      <c r="C538" s="179" t="s">
        <v>873</v>
      </c>
      <c r="D538" s="84">
        <v>293.39999999999998</v>
      </c>
      <c r="E538" s="84"/>
      <c r="F538" s="178">
        <v>4000000</v>
      </c>
      <c r="G538" s="179"/>
    </row>
    <row r="539" spans="1:7" ht="21.25" customHeight="1" x14ac:dyDescent="0.15">
      <c r="A539" s="10" t="s">
        <v>713</v>
      </c>
      <c r="B539" s="179" t="s">
        <v>86</v>
      </c>
      <c r="C539" s="179" t="s">
        <v>873</v>
      </c>
      <c r="D539" s="84">
        <v>293.39999999999998</v>
      </c>
      <c r="E539" s="84"/>
      <c r="F539" s="178">
        <v>1250000</v>
      </c>
      <c r="G539" s="179"/>
    </row>
    <row r="540" spans="1:7" ht="21.25" customHeight="1" x14ac:dyDescent="0.15">
      <c r="A540" s="10" t="s">
        <v>393</v>
      </c>
      <c r="B540" s="179" t="s">
        <v>86</v>
      </c>
      <c r="C540" s="179" t="s">
        <v>873</v>
      </c>
      <c r="D540" s="84">
        <v>293.39999999999998</v>
      </c>
      <c r="E540" s="84"/>
      <c r="F540" s="178">
        <v>4600000</v>
      </c>
      <c r="G540" s="179"/>
    </row>
    <row r="541" spans="1:7" ht="21.25" customHeight="1" x14ac:dyDescent="0.15">
      <c r="A541" s="10" t="s">
        <v>374</v>
      </c>
      <c r="B541" s="179" t="s">
        <v>86</v>
      </c>
      <c r="C541" s="179" t="s">
        <v>873</v>
      </c>
      <c r="D541" s="84">
        <v>293.39999999999998</v>
      </c>
      <c r="E541" s="84"/>
      <c r="F541" s="178">
        <v>6500000</v>
      </c>
      <c r="G541" s="179"/>
    </row>
    <row r="542" spans="1:7" ht="21.25" customHeight="1" x14ac:dyDescent="0.15">
      <c r="A542" s="10" t="s">
        <v>521</v>
      </c>
      <c r="B542" s="179" t="s">
        <v>86</v>
      </c>
      <c r="C542" s="179" t="s">
        <v>873</v>
      </c>
      <c r="D542" s="84">
        <v>293.39999999999998</v>
      </c>
      <c r="E542" s="84"/>
      <c r="F542" s="178">
        <v>5750000</v>
      </c>
      <c r="G542" s="179"/>
    </row>
    <row r="543" spans="1:7" ht="21.25" customHeight="1" x14ac:dyDescent="0.15">
      <c r="A543" s="10" t="s">
        <v>602</v>
      </c>
      <c r="B543" s="179" t="s">
        <v>86</v>
      </c>
      <c r="C543" s="179" t="s">
        <v>873</v>
      </c>
      <c r="D543" s="84">
        <v>293.39999999999998</v>
      </c>
      <c r="E543" s="84"/>
      <c r="F543" s="178">
        <v>4500000</v>
      </c>
      <c r="G543" s="179"/>
    </row>
    <row r="544" spans="1:7" ht="21.25" customHeight="1" x14ac:dyDescent="0.15">
      <c r="A544" s="10" t="s">
        <v>483</v>
      </c>
      <c r="B544" s="179" t="s">
        <v>86</v>
      </c>
      <c r="C544" s="179" t="s">
        <v>873</v>
      </c>
      <c r="D544" s="84">
        <v>293.39999999999998</v>
      </c>
      <c r="E544" s="84"/>
      <c r="F544" s="178">
        <v>4500000</v>
      </c>
      <c r="G544" s="179"/>
    </row>
    <row r="545" spans="1:7" ht="21.25" customHeight="1" x14ac:dyDescent="0.15">
      <c r="A545" s="10" t="s">
        <v>680</v>
      </c>
      <c r="B545" s="179" t="s">
        <v>86</v>
      </c>
      <c r="C545" s="179" t="s">
        <v>873</v>
      </c>
      <c r="D545" s="84">
        <v>293.39999999999998</v>
      </c>
      <c r="E545" s="84"/>
      <c r="F545" s="178">
        <v>4000000</v>
      </c>
      <c r="G545" s="179"/>
    </row>
    <row r="546" spans="1:7" ht="21.25" customHeight="1" x14ac:dyDescent="0.15">
      <c r="A546" s="10" t="s">
        <v>517</v>
      </c>
      <c r="B546" s="179" t="s">
        <v>86</v>
      </c>
      <c r="C546" s="179" t="s">
        <v>873</v>
      </c>
      <c r="D546" s="84">
        <v>293.39999999999998</v>
      </c>
      <c r="E546" s="84"/>
      <c r="F546" s="178">
        <v>3485000</v>
      </c>
      <c r="G546" s="179"/>
    </row>
    <row r="547" spans="1:7" ht="21.25" customHeight="1" x14ac:dyDescent="0.15">
      <c r="A547" s="10" t="s">
        <v>459</v>
      </c>
      <c r="B547" s="179" t="s">
        <v>86</v>
      </c>
      <c r="C547" s="179" t="s">
        <v>873</v>
      </c>
      <c r="D547" s="84">
        <v>293.39999999999998</v>
      </c>
      <c r="E547" s="84"/>
      <c r="F547" s="178">
        <v>3250000</v>
      </c>
      <c r="G547" s="179"/>
    </row>
    <row r="548" spans="1:7" ht="21.25" customHeight="1" x14ac:dyDescent="0.15">
      <c r="A548" s="10" t="s">
        <v>733</v>
      </c>
      <c r="B548" s="179" t="s">
        <v>86</v>
      </c>
      <c r="C548" s="179" t="s">
        <v>873</v>
      </c>
      <c r="D548" s="84">
        <v>293.39999999999998</v>
      </c>
      <c r="E548" s="84"/>
      <c r="F548" s="178">
        <v>2900000</v>
      </c>
      <c r="G548" s="179"/>
    </row>
    <row r="549" spans="1:7" ht="21.25" customHeight="1" x14ac:dyDescent="0.15">
      <c r="A549" s="10" t="s">
        <v>628</v>
      </c>
      <c r="B549" s="179" t="s">
        <v>86</v>
      </c>
      <c r="C549" s="179" t="s">
        <v>873</v>
      </c>
      <c r="D549" s="84">
        <v>293.39999999999998</v>
      </c>
      <c r="E549" s="84"/>
      <c r="F549" s="178">
        <v>2850000</v>
      </c>
      <c r="G549" s="179"/>
    </row>
    <row r="550" spans="1:7" ht="21.25" customHeight="1" x14ac:dyDescent="0.15">
      <c r="A550" s="10" t="s">
        <v>621</v>
      </c>
      <c r="B550" s="179" t="s">
        <v>86</v>
      </c>
      <c r="C550" s="179" t="s">
        <v>873</v>
      </c>
      <c r="D550" s="84">
        <v>293.39999999999998</v>
      </c>
      <c r="E550" s="84"/>
      <c r="F550" s="178">
        <v>2600000</v>
      </c>
      <c r="G550" s="179"/>
    </row>
    <row r="551" spans="1:7" ht="21.25" customHeight="1" x14ac:dyDescent="0.15">
      <c r="A551" s="10" t="s">
        <v>782</v>
      </c>
      <c r="B551" s="179" t="s">
        <v>86</v>
      </c>
      <c r="C551" s="179" t="s">
        <v>873</v>
      </c>
      <c r="D551" s="84">
        <v>293.39999999999998</v>
      </c>
      <c r="E551" s="84"/>
      <c r="F551" s="178">
        <v>2500000</v>
      </c>
      <c r="G551" s="179"/>
    </row>
    <row r="552" spans="1:7" ht="21.25" customHeight="1" x14ac:dyDescent="0.15">
      <c r="A552" s="10" t="s">
        <v>476</v>
      </c>
      <c r="B552" s="179" t="s">
        <v>86</v>
      </c>
      <c r="C552" s="179" t="s">
        <v>873</v>
      </c>
      <c r="D552" s="84">
        <v>293.39999999999998</v>
      </c>
      <c r="E552" s="84"/>
      <c r="F552" s="178">
        <v>2050000</v>
      </c>
      <c r="G552" s="179"/>
    </row>
    <row r="553" spans="1:7" ht="21.25" customHeight="1" x14ac:dyDescent="0.15">
      <c r="A553" s="10" t="s">
        <v>689</v>
      </c>
      <c r="B553" s="179" t="s">
        <v>86</v>
      </c>
      <c r="C553" s="179" t="s">
        <v>873</v>
      </c>
      <c r="D553" s="84">
        <v>293.39999999999998</v>
      </c>
      <c r="E553" s="84"/>
      <c r="F553" s="178">
        <v>1750000</v>
      </c>
      <c r="G553" s="179"/>
    </row>
    <row r="554" spans="1:7" ht="21.25" customHeight="1" x14ac:dyDescent="0.15">
      <c r="A554" s="10" t="s">
        <v>731</v>
      </c>
      <c r="B554" s="179" t="s">
        <v>86</v>
      </c>
      <c r="C554" s="179" t="s">
        <v>873</v>
      </c>
      <c r="D554" s="84">
        <v>293.39999999999998</v>
      </c>
      <c r="E554" s="84"/>
      <c r="F554" s="178">
        <v>1700000</v>
      </c>
      <c r="G554" s="179"/>
    </row>
    <row r="555" spans="1:7" ht="21.25" customHeight="1" x14ac:dyDescent="0.15">
      <c r="A555" s="10" t="s">
        <v>714</v>
      </c>
      <c r="B555" s="179" t="s">
        <v>86</v>
      </c>
      <c r="C555" s="179" t="s">
        <v>873</v>
      </c>
      <c r="D555" s="84">
        <v>293.39999999999998</v>
      </c>
      <c r="E555" s="84"/>
      <c r="F555" s="178">
        <v>1250000</v>
      </c>
      <c r="G555" s="179"/>
    </row>
    <row r="556" spans="1:7" ht="21.25" customHeight="1" x14ac:dyDescent="0.15">
      <c r="A556" s="10" t="s">
        <v>750</v>
      </c>
      <c r="B556" s="179" t="s">
        <v>86</v>
      </c>
      <c r="C556" s="179" t="s">
        <v>873</v>
      </c>
      <c r="D556" s="84">
        <v>293.39999999999998</v>
      </c>
      <c r="E556" s="84"/>
      <c r="F556" s="178">
        <v>1200000</v>
      </c>
      <c r="G556" s="179"/>
    </row>
    <row r="557" spans="1:7" ht="21.25" customHeight="1" x14ac:dyDescent="0.15">
      <c r="A557" s="10" t="s">
        <v>549</v>
      </c>
      <c r="B557" s="179" t="s">
        <v>86</v>
      </c>
      <c r="C557" s="179" t="s">
        <v>873</v>
      </c>
      <c r="D557" s="84">
        <v>293.39999999999998</v>
      </c>
      <c r="E557" s="84"/>
      <c r="F557" s="178">
        <v>1152000</v>
      </c>
      <c r="G557" s="179"/>
    </row>
    <row r="558" spans="1:7" ht="21.25" customHeight="1" x14ac:dyDescent="0.15">
      <c r="A558" s="10" t="s">
        <v>780</v>
      </c>
      <c r="B558" s="179" t="s">
        <v>86</v>
      </c>
      <c r="C558" s="179" t="s">
        <v>873</v>
      </c>
      <c r="D558" s="84">
        <v>293.39999999999998</v>
      </c>
      <c r="E558" s="84"/>
      <c r="F558" s="178">
        <v>1125000</v>
      </c>
      <c r="G558" s="179"/>
    </row>
    <row r="559" spans="1:7" ht="21.25" customHeight="1" x14ac:dyDescent="0.15">
      <c r="A559" s="10" t="s">
        <v>617</v>
      </c>
      <c r="B559" s="179" t="s">
        <v>86</v>
      </c>
      <c r="C559" s="179" t="s">
        <v>873</v>
      </c>
      <c r="D559" s="84">
        <v>293.39999999999998</v>
      </c>
      <c r="E559" s="84"/>
      <c r="F559" s="178">
        <v>950000</v>
      </c>
      <c r="G559" s="179"/>
    </row>
    <row r="560" spans="1:7" ht="21.25" customHeight="1" x14ac:dyDescent="0.15">
      <c r="A560" s="10" t="s">
        <v>756</v>
      </c>
      <c r="B560" s="179" t="s">
        <v>86</v>
      </c>
      <c r="C560" s="179" t="s">
        <v>873</v>
      </c>
      <c r="D560" s="84">
        <v>293.39999999999998</v>
      </c>
      <c r="E560" s="84"/>
      <c r="F560" s="178">
        <v>950000</v>
      </c>
      <c r="G560" s="179"/>
    </row>
    <row r="561" spans="1:7" ht="21.25" customHeight="1" x14ac:dyDescent="0.15">
      <c r="A561" s="10" t="s">
        <v>742</v>
      </c>
      <c r="B561" s="179" t="s">
        <v>86</v>
      </c>
      <c r="C561" s="179" t="s">
        <v>873</v>
      </c>
      <c r="D561" s="84">
        <v>293.39999999999998</v>
      </c>
      <c r="E561" s="84"/>
      <c r="F561" s="178">
        <v>940833</v>
      </c>
      <c r="G561" s="179"/>
    </row>
    <row r="562" spans="1:7" ht="21.25" customHeight="1" x14ac:dyDescent="0.15">
      <c r="A562" s="10" t="s">
        <v>746</v>
      </c>
      <c r="B562" s="179" t="s">
        <v>86</v>
      </c>
      <c r="C562" s="179" t="s">
        <v>873</v>
      </c>
      <c r="D562" s="84">
        <v>293.39999999999998</v>
      </c>
      <c r="E562" s="84"/>
      <c r="F562" s="178">
        <v>918333</v>
      </c>
      <c r="G562" s="179"/>
    </row>
    <row r="563" spans="1:7" ht="21.25" customHeight="1" x14ac:dyDescent="0.15">
      <c r="A563" s="10" t="s">
        <v>536</v>
      </c>
      <c r="B563" s="179" t="s">
        <v>86</v>
      </c>
      <c r="C563" s="179" t="s">
        <v>873</v>
      </c>
      <c r="D563" s="84">
        <v>293.39999999999998</v>
      </c>
      <c r="E563" s="84"/>
      <c r="F563" s="178">
        <v>907500</v>
      </c>
      <c r="G563" s="179"/>
    </row>
    <row r="564" spans="1:7" ht="21.25" customHeight="1" x14ac:dyDescent="0.15">
      <c r="A564" s="10" t="s">
        <v>685</v>
      </c>
      <c r="B564" s="179" t="s">
        <v>86</v>
      </c>
      <c r="C564" s="179" t="s">
        <v>873</v>
      </c>
      <c r="D564" s="84">
        <v>293.39999999999998</v>
      </c>
      <c r="E564" s="84"/>
      <c r="F564" s="178">
        <v>886667</v>
      </c>
      <c r="G564" s="179"/>
    </row>
    <row r="565" spans="1:7" ht="21.25" customHeight="1" x14ac:dyDescent="0.15">
      <c r="A565" s="10" t="s">
        <v>781</v>
      </c>
      <c r="B565" s="179" t="s">
        <v>86</v>
      </c>
      <c r="C565" s="179" t="s">
        <v>873</v>
      </c>
      <c r="D565" s="84">
        <v>293.39999999999998</v>
      </c>
      <c r="E565" s="84"/>
      <c r="F565" s="178">
        <v>886667</v>
      </c>
      <c r="G565" s="179"/>
    </row>
    <row r="566" spans="1:7" ht="21.25" customHeight="1" x14ac:dyDescent="0.15">
      <c r="A566" s="10" t="s">
        <v>775</v>
      </c>
      <c r="B566" s="179" t="s">
        <v>86</v>
      </c>
      <c r="C566" s="179" t="s">
        <v>873</v>
      </c>
      <c r="D566" s="84">
        <v>293.39999999999998</v>
      </c>
      <c r="E566" s="84"/>
      <c r="F566" s="178">
        <v>875000</v>
      </c>
      <c r="G566" s="179"/>
    </row>
    <row r="567" spans="1:7" ht="21.25" customHeight="1" x14ac:dyDescent="0.15">
      <c r="A567" s="10" t="s">
        <v>768</v>
      </c>
      <c r="B567" s="179" t="s">
        <v>86</v>
      </c>
      <c r="C567" s="179" t="s">
        <v>874</v>
      </c>
      <c r="D567" s="84">
        <v>293.5</v>
      </c>
      <c r="E567" s="84"/>
      <c r="F567" s="178">
        <v>950000</v>
      </c>
      <c r="G567" s="179"/>
    </row>
    <row r="568" spans="1:7" ht="21.25" customHeight="1" x14ac:dyDescent="0.15">
      <c r="A568" s="10" t="s">
        <v>564</v>
      </c>
      <c r="B568" s="179" t="s">
        <v>86</v>
      </c>
      <c r="C568" s="179" t="s">
        <v>874</v>
      </c>
      <c r="D568" s="84">
        <v>293.5</v>
      </c>
      <c r="E568" s="84"/>
      <c r="F568" s="178">
        <v>4571000</v>
      </c>
      <c r="G568" s="179"/>
    </row>
    <row r="569" spans="1:7" ht="21.25" customHeight="1" x14ac:dyDescent="0.15">
      <c r="A569" s="10" t="s">
        <v>532</v>
      </c>
      <c r="B569" s="179" t="s">
        <v>86</v>
      </c>
      <c r="C569" s="179" t="s">
        <v>874</v>
      </c>
      <c r="D569" s="84">
        <v>293.5</v>
      </c>
      <c r="E569" s="84"/>
      <c r="F569" s="178">
        <v>3750000</v>
      </c>
      <c r="G569" s="179"/>
    </row>
    <row r="570" spans="1:7" ht="21.25" customHeight="1" x14ac:dyDescent="0.15">
      <c r="A570" s="10" t="s">
        <v>379</v>
      </c>
      <c r="B570" s="179" t="s">
        <v>86</v>
      </c>
      <c r="C570" s="179" t="s">
        <v>874</v>
      </c>
      <c r="D570" s="84">
        <v>293.5</v>
      </c>
      <c r="E570" s="84"/>
      <c r="F570" s="178">
        <v>6150000</v>
      </c>
      <c r="G570" s="179"/>
    </row>
    <row r="571" spans="1:7" ht="21.25" customHeight="1" x14ac:dyDescent="0.15">
      <c r="A571" s="10" t="s">
        <v>303</v>
      </c>
      <c r="B571" s="179" t="s">
        <v>86</v>
      </c>
      <c r="C571" s="179" t="s">
        <v>874</v>
      </c>
      <c r="D571" s="84">
        <v>293.5</v>
      </c>
      <c r="E571" s="84"/>
      <c r="F571" s="178">
        <v>5150000</v>
      </c>
      <c r="G571" s="179"/>
    </row>
    <row r="572" spans="1:7" ht="21.25" customHeight="1" x14ac:dyDescent="0.15">
      <c r="A572" s="10" t="s">
        <v>649</v>
      </c>
      <c r="B572" s="179" t="s">
        <v>86</v>
      </c>
      <c r="C572" s="179" t="s">
        <v>874</v>
      </c>
      <c r="D572" s="84">
        <v>293.5</v>
      </c>
      <c r="E572" s="84"/>
      <c r="F572" s="178">
        <v>3850000</v>
      </c>
      <c r="G572" s="179"/>
    </row>
    <row r="573" spans="1:7" ht="21.25" customHeight="1" x14ac:dyDescent="0.15">
      <c r="A573" s="10" t="s">
        <v>357</v>
      </c>
      <c r="B573" s="179" t="s">
        <v>86</v>
      </c>
      <c r="C573" s="179" t="s">
        <v>874</v>
      </c>
      <c r="D573" s="84">
        <v>293.5</v>
      </c>
      <c r="E573" s="84"/>
      <c r="F573" s="178">
        <v>5750000</v>
      </c>
      <c r="G573" s="179"/>
    </row>
    <row r="574" spans="1:7" ht="21.25" customHeight="1" x14ac:dyDescent="0.15">
      <c r="A574" s="10" t="s">
        <v>399</v>
      </c>
      <c r="B574" s="179" t="s">
        <v>86</v>
      </c>
      <c r="C574" s="179" t="s">
        <v>874</v>
      </c>
      <c r="D574" s="84">
        <v>293.5</v>
      </c>
      <c r="E574" s="84"/>
      <c r="F574" s="178">
        <v>4125000</v>
      </c>
      <c r="G574" s="179"/>
    </row>
    <row r="575" spans="1:7" ht="21.25" customHeight="1" x14ac:dyDescent="0.15">
      <c r="A575" s="10" t="s">
        <v>439</v>
      </c>
      <c r="B575" s="179" t="s">
        <v>86</v>
      </c>
      <c r="C575" s="179" t="s">
        <v>874</v>
      </c>
      <c r="D575" s="84">
        <v>293.5</v>
      </c>
      <c r="E575" s="84"/>
      <c r="F575" s="178">
        <v>4125000</v>
      </c>
      <c r="G575" s="179"/>
    </row>
    <row r="576" spans="1:7" ht="21.25" customHeight="1" x14ac:dyDescent="0.15">
      <c r="A576" s="10" t="s">
        <v>728</v>
      </c>
      <c r="B576" s="179" t="s">
        <v>86</v>
      </c>
      <c r="C576" s="179" t="s">
        <v>874</v>
      </c>
      <c r="D576" s="84">
        <v>293.5</v>
      </c>
      <c r="E576" s="84"/>
      <c r="F576" s="178">
        <v>4000000</v>
      </c>
      <c r="G576" s="179"/>
    </row>
    <row r="577" spans="1:7" ht="21.25" customHeight="1" x14ac:dyDescent="0.15">
      <c r="A577" s="10" t="s">
        <v>763</v>
      </c>
      <c r="B577" s="179" t="s">
        <v>86</v>
      </c>
      <c r="C577" s="179" t="s">
        <v>874</v>
      </c>
      <c r="D577" s="84">
        <v>293.5</v>
      </c>
      <c r="E577" s="84"/>
      <c r="F577" s="178">
        <v>2200000</v>
      </c>
      <c r="G577" s="179"/>
    </row>
    <row r="578" spans="1:7" ht="21.25" customHeight="1" x14ac:dyDescent="0.15">
      <c r="A578" s="10" t="s">
        <v>698</v>
      </c>
      <c r="B578" s="179" t="s">
        <v>86</v>
      </c>
      <c r="C578" s="179" t="s">
        <v>874</v>
      </c>
      <c r="D578" s="84">
        <v>293.5</v>
      </c>
      <c r="E578" s="84"/>
      <c r="F578" s="178">
        <v>925000</v>
      </c>
      <c r="G578" s="179"/>
    </row>
    <row r="579" spans="1:7" ht="21.25" customHeight="1" x14ac:dyDescent="0.15">
      <c r="A579" s="10" t="s">
        <v>555</v>
      </c>
      <c r="B579" s="179" t="s">
        <v>86</v>
      </c>
      <c r="C579" s="179" t="s">
        <v>874</v>
      </c>
      <c r="D579" s="84">
        <v>293.5</v>
      </c>
      <c r="E579" s="84"/>
      <c r="F579" s="178">
        <v>886667</v>
      </c>
      <c r="G579" s="179"/>
    </row>
    <row r="580" spans="1:7" ht="21.25" customHeight="1" x14ac:dyDescent="0.15">
      <c r="A580" s="10" t="s">
        <v>740</v>
      </c>
      <c r="B580" s="179" t="s">
        <v>86</v>
      </c>
      <c r="C580" s="179" t="s">
        <v>874</v>
      </c>
      <c r="D580" s="84">
        <v>293.5</v>
      </c>
      <c r="E580" s="84"/>
      <c r="F580" s="178">
        <v>875000</v>
      </c>
      <c r="G580" s="179"/>
    </row>
    <row r="581" spans="1:7" ht="21.25" customHeight="1" x14ac:dyDescent="0.15">
      <c r="A581" s="10" t="s">
        <v>382</v>
      </c>
      <c r="B581" s="179" t="s">
        <v>86</v>
      </c>
      <c r="C581" s="179" t="s">
        <v>875</v>
      </c>
      <c r="D581" s="84">
        <v>293.60000000000002</v>
      </c>
      <c r="E581" s="84"/>
      <c r="F581" s="178">
        <v>6000000</v>
      </c>
      <c r="G581" s="179"/>
    </row>
    <row r="582" spans="1:7" ht="21.25" customHeight="1" x14ac:dyDescent="0.15">
      <c r="A582" s="10" t="s">
        <v>454</v>
      </c>
      <c r="B582" s="179" t="s">
        <v>86</v>
      </c>
      <c r="C582" s="179" t="s">
        <v>875</v>
      </c>
      <c r="D582" s="84">
        <v>293.60000000000002</v>
      </c>
      <c r="E582" s="84"/>
      <c r="F582" s="178">
        <v>5100000</v>
      </c>
      <c r="G582" s="179"/>
    </row>
    <row r="583" spans="1:7" ht="21.25" customHeight="1" x14ac:dyDescent="0.15">
      <c r="A583" s="10" t="s">
        <v>408</v>
      </c>
      <c r="B583" s="179" t="s">
        <v>86</v>
      </c>
      <c r="C583" s="179" t="s">
        <v>875</v>
      </c>
      <c r="D583" s="84">
        <v>293.60000000000002</v>
      </c>
      <c r="E583" s="84"/>
      <c r="F583" s="178">
        <v>5750000</v>
      </c>
      <c r="G583" s="179"/>
    </row>
    <row r="584" spans="1:7" ht="21.25" customHeight="1" x14ac:dyDescent="0.15">
      <c r="A584" s="10" t="s">
        <v>394</v>
      </c>
      <c r="B584" s="179" t="s">
        <v>86</v>
      </c>
      <c r="C584" s="179" t="s">
        <v>875</v>
      </c>
      <c r="D584" s="84">
        <v>293.60000000000002</v>
      </c>
      <c r="E584" s="84"/>
      <c r="F584" s="178">
        <v>3750000</v>
      </c>
      <c r="G584" s="179"/>
    </row>
    <row r="585" spans="1:7" ht="21.25" customHeight="1" x14ac:dyDescent="0.15">
      <c r="A585" s="10" t="s">
        <v>634</v>
      </c>
      <c r="B585" s="179" t="s">
        <v>86</v>
      </c>
      <c r="C585" s="179" t="s">
        <v>875</v>
      </c>
      <c r="D585" s="84">
        <v>293.60000000000002</v>
      </c>
      <c r="E585" s="84"/>
      <c r="F585" s="178">
        <v>3075000</v>
      </c>
      <c r="G585" s="179"/>
    </row>
    <row r="586" spans="1:7" ht="21.25" customHeight="1" x14ac:dyDescent="0.15">
      <c r="A586" s="10" t="s">
        <v>783</v>
      </c>
      <c r="B586" s="179" t="s">
        <v>86</v>
      </c>
      <c r="C586" s="179" t="s">
        <v>875</v>
      </c>
      <c r="D586" s="84">
        <v>293.60000000000002</v>
      </c>
      <c r="E586" s="84"/>
      <c r="F586" s="178">
        <v>2500000</v>
      </c>
      <c r="G586" s="179"/>
    </row>
    <row r="587" spans="1:7" ht="21.25" customHeight="1" x14ac:dyDescent="0.15">
      <c r="A587" s="10" t="s">
        <v>429</v>
      </c>
      <c r="B587" s="179" t="s">
        <v>86</v>
      </c>
      <c r="C587" s="179" t="s">
        <v>875</v>
      </c>
      <c r="D587" s="84">
        <v>293.60000000000002</v>
      </c>
      <c r="E587" s="84"/>
      <c r="F587" s="178">
        <v>1600000</v>
      </c>
      <c r="G587" s="179"/>
    </row>
    <row r="588" spans="1:7" ht="21.25" customHeight="1" x14ac:dyDescent="0.15">
      <c r="A588" s="10" t="s">
        <v>605</v>
      </c>
      <c r="B588" s="179" t="s">
        <v>86</v>
      </c>
      <c r="C588" s="179" t="s">
        <v>875</v>
      </c>
      <c r="D588" s="84">
        <v>293.60000000000002</v>
      </c>
      <c r="E588" s="84"/>
      <c r="F588" s="178">
        <v>1412000</v>
      </c>
      <c r="G588" s="179"/>
    </row>
    <row r="589" spans="1:7" ht="21.25" customHeight="1" x14ac:dyDescent="0.15">
      <c r="A589" s="10" t="s">
        <v>505</v>
      </c>
      <c r="B589" s="179" t="s">
        <v>86</v>
      </c>
      <c r="C589" s="179" t="s">
        <v>875</v>
      </c>
      <c r="D589" s="84">
        <v>293.60000000000002</v>
      </c>
      <c r="E589" s="84"/>
      <c r="F589" s="178">
        <v>913333</v>
      </c>
      <c r="G589" s="179"/>
    </row>
    <row r="590" spans="1:7" ht="21.25" customHeight="1" x14ac:dyDescent="0.15">
      <c r="A590" s="10" t="s">
        <v>417</v>
      </c>
      <c r="B590" s="179" t="s">
        <v>86</v>
      </c>
      <c r="C590" s="179" t="s">
        <v>875</v>
      </c>
      <c r="D590" s="84">
        <v>293.60000000000002</v>
      </c>
      <c r="E590" s="84"/>
      <c r="F590" s="178">
        <v>4100000</v>
      </c>
      <c r="G590" s="179"/>
    </row>
    <row r="591" spans="1:7" ht="21.25" customHeight="1" x14ac:dyDescent="0.15">
      <c r="A591" s="10" t="s">
        <v>541</v>
      </c>
      <c r="B591" s="179" t="s">
        <v>86</v>
      </c>
      <c r="C591" s="179" t="s">
        <v>875</v>
      </c>
      <c r="D591" s="84">
        <v>293.60000000000002</v>
      </c>
      <c r="E591" s="84"/>
      <c r="F591" s="178">
        <v>3500000</v>
      </c>
      <c r="G591" s="179"/>
    </row>
    <row r="592" spans="1:7" ht="21.25" customHeight="1" x14ac:dyDescent="0.15">
      <c r="A592" s="10" t="s">
        <v>622</v>
      </c>
      <c r="B592" s="179" t="s">
        <v>86</v>
      </c>
      <c r="C592" s="179" t="s">
        <v>876</v>
      </c>
      <c r="D592" s="84">
        <v>293.7</v>
      </c>
      <c r="E592" s="84"/>
      <c r="F592" s="178">
        <v>4000000</v>
      </c>
      <c r="G592" s="179"/>
    </row>
    <row r="593" spans="1:7" ht="21.25" customHeight="1" x14ac:dyDescent="0.15">
      <c r="A593" s="10" t="s">
        <v>304</v>
      </c>
      <c r="B593" s="179" t="s">
        <v>86</v>
      </c>
      <c r="C593" s="179" t="s">
        <v>876</v>
      </c>
      <c r="D593" s="84">
        <v>293.7</v>
      </c>
      <c r="E593" s="84"/>
      <c r="F593" s="178">
        <v>7000000</v>
      </c>
      <c r="G593" s="179"/>
    </row>
    <row r="594" spans="1:7" ht="21.25" customHeight="1" x14ac:dyDescent="0.15">
      <c r="A594" s="10" t="s">
        <v>601</v>
      </c>
      <c r="B594" s="179" t="s">
        <v>86</v>
      </c>
      <c r="C594" s="179" t="s">
        <v>876</v>
      </c>
      <c r="D594" s="84">
        <v>293.7</v>
      </c>
      <c r="E594" s="84"/>
      <c r="F594" s="178">
        <v>6250000</v>
      </c>
      <c r="G594" s="179"/>
    </row>
    <row r="595" spans="1:7" ht="21.25" customHeight="1" x14ac:dyDescent="0.15">
      <c r="A595" s="10" t="s">
        <v>350</v>
      </c>
      <c r="B595" s="179" t="s">
        <v>86</v>
      </c>
      <c r="C595" s="179" t="s">
        <v>876</v>
      </c>
      <c r="D595" s="84">
        <v>293.7</v>
      </c>
      <c r="E595" s="84"/>
      <c r="F595" s="178">
        <v>5750000</v>
      </c>
      <c r="G595" s="179"/>
    </row>
    <row r="596" spans="1:7" ht="21.25" customHeight="1" x14ac:dyDescent="0.15">
      <c r="A596" s="10" t="s">
        <v>384</v>
      </c>
      <c r="B596" s="179" t="s">
        <v>86</v>
      </c>
      <c r="C596" s="179" t="s">
        <v>876</v>
      </c>
      <c r="D596" s="84">
        <v>293.7</v>
      </c>
      <c r="E596" s="84"/>
      <c r="F596" s="178">
        <v>5500000</v>
      </c>
      <c r="G596" s="179"/>
    </row>
    <row r="597" spans="1:7" ht="21.25" customHeight="1" x14ac:dyDescent="0.15">
      <c r="A597" s="10" t="s">
        <v>686</v>
      </c>
      <c r="B597" s="179" t="s">
        <v>86</v>
      </c>
      <c r="C597" s="179" t="s">
        <v>876</v>
      </c>
      <c r="D597" s="84">
        <v>293.7</v>
      </c>
      <c r="E597" s="84"/>
      <c r="F597" s="178">
        <v>5500000</v>
      </c>
      <c r="G597" s="179"/>
    </row>
    <row r="598" spans="1:7" ht="21.25" customHeight="1" x14ac:dyDescent="0.15">
      <c r="A598" s="10" t="s">
        <v>618</v>
      </c>
      <c r="B598" s="179" t="s">
        <v>86</v>
      </c>
      <c r="C598" s="179" t="s">
        <v>876</v>
      </c>
      <c r="D598" s="84">
        <v>293.7</v>
      </c>
      <c r="E598" s="84"/>
      <c r="F598" s="178">
        <v>2250000</v>
      </c>
      <c r="G598" s="179"/>
    </row>
    <row r="599" spans="1:7" ht="21.25" customHeight="1" x14ac:dyDescent="0.15">
      <c r="A599" s="10" t="s">
        <v>773</v>
      </c>
      <c r="B599" s="179" t="s">
        <v>86</v>
      </c>
      <c r="C599" s="179" t="s">
        <v>876</v>
      </c>
      <c r="D599" s="84">
        <v>293.7</v>
      </c>
      <c r="E599" s="84"/>
      <c r="F599" s="178">
        <v>1200000</v>
      </c>
      <c r="G599" s="179"/>
    </row>
    <row r="600" spans="1:7" ht="21.25" customHeight="1" x14ac:dyDescent="0.15">
      <c r="A600" s="10" t="s">
        <v>376</v>
      </c>
      <c r="B600" s="179" t="s">
        <v>86</v>
      </c>
      <c r="C600" s="179" t="s">
        <v>876</v>
      </c>
      <c r="D600" s="84">
        <v>293.7</v>
      </c>
      <c r="E600" s="84"/>
      <c r="F600" s="178">
        <v>950000</v>
      </c>
      <c r="G600" s="179"/>
    </row>
    <row r="601" spans="1:7" ht="21.25" customHeight="1" x14ac:dyDescent="0.15">
      <c r="A601" s="10" t="s">
        <v>648</v>
      </c>
      <c r="B601" s="179" t="s">
        <v>86</v>
      </c>
      <c r="C601" s="179" t="s">
        <v>876</v>
      </c>
      <c r="D601" s="84">
        <v>293.7</v>
      </c>
      <c r="E601" s="84"/>
      <c r="F601" s="178">
        <v>3000000</v>
      </c>
      <c r="G601" s="179"/>
    </row>
    <row r="602" spans="1:7" ht="21.25" customHeight="1" x14ac:dyDescent="0.15">
      <c r="A602" s="10" t="s">
        <v>616</v>
      </c>
      <c r="B602" s="179" t="s">
        <v>86</v>
      </c>
      <c r="C602" s="179" t="s">
        <v>877</v>
      </c>
      <c r="D602" s="84">
        <v>293.8</v>
      </c>
      <c r="E602" s="84"/>
      <c r="F602" s="178">
        <v>3080000</v>
      </c>
      <c r="G602" s="179"/>
    </row>
    <row r="603" spans="1:7" ht="21.25" customHeight="1" x14ac:dyDescent="0.15">
      <c r="A603" s="10" t="s">
        <v>770</v>
      </c>
      <c r="B603" s="179" t="s">
        <v>86</v>
      </c>
      <c r="C603" s="179" t="s">
        <v>877</v>
      </c>
      <c r="D603" s="179" t="s">
        <v>877</v>
      </c>
      <c r="E603" s="84"/>
      <c r="F603" s="178">
        <v>2150000</v>
      </c>
      <c r="G603" s="179"/>
    </row>
    <row r="604" spans="1:7" ht="21.25" customHeight="1" x14ac:dyDescent="0.15">
      <c r="A604" s="10" t="s">
        <v>738</v>
      </c>
      <c r="B604" s="179" t="s">
        <v>86</v>
      </c>
      <c r="C604" s="179" t="s">
        <v>877</v>
      </c>
      <c r="D604" s="84">
        <v>293.8</v>
      </c>
      <c r="E604" s="84"/>
      <c r="F604" s="178">
        <v>1000000</v>
      </c>
      <c r="G604" s="179"/>
    </row>
    <row r="605" spans="1:7" ht="21.25" customHeight="1" x14ac:dyDescent="0.15">
      <c r="A605" s="10" t="s">
        <v>479</v>
      </c>
      <c r="B605" s="179" t="s">
        <v>86</v>
      </c>
      <c r="C605" s="179" t="s">
        <v>877</v>
      </c>
      <c r="D605" s="84">
        <v>293.8</v>
      </c>
      <c r="E605" s="84"/>
      <c r="F605" s="178">
        <v>940833</v>
      </c>
      <c r="G605" s="179"/>
    </row>
    <row r="606" spans="1:7" ht="21.25" customHeight="1" x14ac:dyDescent="0.15">
      <c r="A606" s="10" t="s">
        <v>754</v>
      </c>
      <c r="B606" s="179" t="s">
        <v>86</v>
      </c>
      <c r="C606" s="179" t="s">
        <v>877</v>
      </c>
      <c r="D606" s="84">
        <v>293.8</v>
      </c>
      <c r="E606" s="84"/>
      <c r="F606" s="178">
        <v>886667</v>
      </c>
      <c r="G606" s="179"/>
    </row>
    <row r="607" spans="1:7" ht="21.25" customHeight="1" x14ac:dyDescent="0.15">
      <c r="A607" s="10" t="s">
        <v>675</v>
      </c>
      <c r="B607" s="179" t="s">
        <v>86</v>
      </c>
      <c r="C607" s="179" t="s">
        <v>877</v>
      </c>
      <c r="D607" s="84">
        <v>293.8</v>
      </c>
      <c r="E607" s="84"/>
      <c r="F607" s="178">
        <v>875000</v>
      </c>
      <c r="G607" s="179"/>
    </row>
    <row r="608" spans="1:7" ht="21.25" customHeight="1" x14ac:dyDescent="0.15">
      <c r="A608" s="10" t="s">
        <v>604</v>
      </c>
      <c r="B608" s="179" t="s">
        <v>86</v>
      </c>
      <c r="C608" s="179" t="s">
        <v>878</v>
      </c>
      <c r="D608" s="84">
        <v>293.89999999999998</v>
      </c>
      <c r="E608" s="84"/>
      <c r="F608" s="178">
        <v>2000000</v>
      </c>
      <c r="G608" s="179" t="s">
        <v>84</v>
      </c>
    </row>
    <row r="609" spans="1:7" ht="21.25" customHeight="1" x14ac:dyDescent="0.15">
      <c r="A609" s="10" t="s">
        <v>387</v>
      </c>
      <c r="B609" s="179" t="s">
        <v>86</v>
      </c>
      <c r="C609" s="179" t="s">
        <v>878</v>
      </c>
      <c r="D609" s="84">
        <v>293.89999999999998</v>
      </c>
      <c r="E609" s="84"/>
      <c r="F609" s="178">
        <v>4600000</v>
      </c>
      <c r="G609" s="179"/>
    </row>
    <row r="610" spans="1:7" ht="21.25" customHeight="1" x14ac:dyDescent="0.15">
      <c r="A610" s="10" t="s">
        <v>674</v>
      </c>
      <c r="B610" s="179" t="s">
        <v>86</v>
      </c>
      <c r="C610" s="179" t="s">
        <v>878</v>
      </c>
      <c r="D610" s="84">
        <v>293.89999999999998</v>
      </c>
      <c r="E610" s="84"/>
      <c r="F610" s="178">
        <v>825100</v>
      </c>
      <c r="G610" s="179"/>
    </row>
    <row r="611" spans="1:7" ht="21.25" customHeight="1" x14ac:dyDescent="0.15">
      <c r="A611" s="10" t="s">
        <v>585</v>
      </c>
      <c r="B611" s="179" t="s">
        <v>86</v>
      </c>
      <c r="C611" s="179" t="s">
        <v>878</v>
      </c>
      <c r="D611" s="84">
        <v>293.89999999999998</v>
      </c>
      <c r="E611" s="84"/>
      <c r="F611" s="178">
        <v>5400000</v>
      </c>
      <c r="G611" s="179"/>
    </row>
    <row r="612" spans="1:7" ht="21.25" customHeight="1" x14ac:dyDescent="0.15">
      <c r="A612" s="10" t="s">
        <v>407</v>
      </c>
      <c r="B612" s="179" t="s">
        <v>86</v>
      </c>
      <c r="C612" s="179" t="s">
        <v>878</v>
      </c>
      <c r="D612" s="84">
        <v>293.89999999999998</v>
      </c>
      <c r="E612" s="84"/>
      <c r="F612" s="178">
        <v>5350000</v>
      </c>
      <c r="G612" s="179"/>
    </row>
    <row r="613" spans="1:7" ht="21.25" customHeight="1" x14ac:dyDescent="0.15">
      <c r="A613" s="10" t="s">
        <v>467</v>
      </c>
      <c r="B613" s="179" t="s">
        <v>86</v>
      </c>
      <c r="C613" s="179" t="s">
        <v>878</v>
      </c>
      <c r="D613" s="84">
        <v>293.89999999999998</v>
      </c>
      <c r="E613" s="84"/>
      <c r="F613" s="178">
        <v>5000000</v>
      </c>
      <c r="G613" s="179"/>
    </row>
    <row r="614" spans="1:7" ht="21.25" customHeight="1" x14ac:dyDescent="0.15">
      <c r="A614" s="10" t="s">
        <v>592</v>
      </c>
      <c r="B614" s="179" t="s">
        <v>86</v>
      </c>
      <c r="C614" s="179" t="s">
        <v>878</v>
      </c>
      <c r="D614" s="84">
        <v>293.89999999999998</v>
      </c>
      <c r="E614" s="84"/>
      <c r="F614" s="178">
        <v>4200000</v>
      </c>
      <c r="G614" s="179"/>
    </row>
    <row r="615" spans="1:7" ht="21.25" customHeight="1" x14ac:dyDescent="0.15">
      <c r="A615" s="10" t="s">
        <v>722</v>
      </c>
      <c r="B615" s="179" t="s">
        <v>86</v>
      </c>
      <c r="C615" s="179" t="s">
        <v>878</v>
      </c>
      <c r="D615" s="84">
        <v>293.89999999999998</v>
      </c>
      <c r="E615" s="84"/>
      <c r="F615" s="178">
        <v>3400000</v>
      </c>
      <c r="G615" s="179"/>
    </row>
    <row r="616" spans="1:7" ht="21.25" customHeight="1" x14ac:dyDescent="0.15">
      <c r="A616" s="10" t="s">
        <v>653</v>
      </c>
      <c r="B616" s="179" t="s">
        <v>86</v>
      </c>
      <c r="C616" s="179" t="s">
        <v>878</v>
      </c>
      <c r="D616" s="84">
        <v>293.89999999999998</v>
      </c>
      <c r="E616" s="84"/>
      <c r="F616" s="178">
        <v>2500000</v>
      </c>
      <c r="G616" s="179"/>
    </row>
    <row r="617" spans="1:7" ht="21.25" customHeight="1" x14ac:dyDescent="0.15">
      <c r="A617" s="10" t="s">
        <v>758</v>
      </c>
      <c r="B617" s="179" t="s">
        <v>86</v>
      </c>
      <c r="C617" s="179" t="s">
        <v>878</v>
      </c>
      <c r="D617" s="84">
        <v>293.89999999999998</v>
      </c>
      <c r="E617" s="84"/>
      <c r="F617" s="178">
        <v>900000</v>
      </c>
      <c r="G617" s="179"/>
    </row>
    <row r="618" spans="1:7" ht="21.25" customHeight="1" x14ac:dyDescent="0.15">
      <c r="A618" s="10" t="s">
        <v>406</v>
      </c>
      <c r="B618" s="179" t="s">
        <v>86</v>
      </c>
      <c r="C618" s="179" t="s">
        <v>878</v>
      </c>
      <c r="D618" s="84">
        <v>293.89999999999998</v>
      </c>
      <c r="E618" s="84"/>
      <c r="F618" s="178">
        <v>4350000</v>
      </c>
      <c r="G618" s="179"/>
    </row>
    <row r="619" spans="1:7" ht="21.25" customHeight="1" x14ac:dyDescent="0.15">
      <c r="A619" s="10" t="s">
        <v>542</v>
      </c>
      <c r="B619" s="179" t="s">
        <v>86</v>
      </c>
      <c r="C619" s="179" t="s">
        <v>879</v>
      </c>
      <c r="D619" s="84">
        <v>294</v>
      </c>
      <c r="E619" s="84"/>
      <c r="F619" s="178">
        <v>4200000</v>
      </c>
      <c r="G619" s="179"/>
    </row>
    <row r="620" spans="1:7" ht="21.25" customHeight="1" x14ac:dyDescent="0.15">
      <c r="A620" s="10" t="s">
        <v>672</v>
      </c>
      <c r="B620" s="179" t="s">
        <v>86</v>
      </c>
      <c r="C620" s="179" t="s">
        <v>879</v>
      </c>
      <c r="D620" s="84">
        <v>294</v>
      </c>
      <c r="E620" s="84"/>
      <c r="F620" s="178">
        <v>3600000</v>
      </c>
      <c r="G620" s="179"/>
    </row>
    <row r="621" spans="1:7" ht="21.25" customHeight="1" x14ac:dyDescent="0.15">
      <c r="A621" s="10" t="s">
        <v>627</v>
      </c>
      <c r="B621" s="179" t="s">
        <v>86</v>
      </c>
      <c r="C621" s="179" t="s">
        <v>879</v>
      </c>
      <c r="D621" s="84">
        <v>294</v>
      </c>
      <c r="E621" s="84"/>
      <c r="F621" s="178">
        <v>3500000</v>
      </c>
      <c r="G621" s="179"/>
    </row>
    <row r="622" spans="1:7" ht="21.25" customHeight="1" x14ac:dyDescent="0.15">
      <c r="A622" s="10" t="s">
        <v>488</v>
      </c>
      <c r="B622" s="179" t="s">
        <v>86</v>
      </c>
      <c r="C622" s="179" t="s">
        <v>879</v>
      </c>
      <c r="D622" s="84">
        <v>294</v>
      </c>
      <c r="E622" s="84"/>
      <c r="F622" s="178">
        <v>3250000</v>
      </c>
      <c r="G622" s="179"/>
    </row>
    <row r="623" spans="1:7" ht="21.25" customHeight="1" x14ac:dyDescent="0.15">
      <c r="A623" s="10" t="s">
        <v>736</v>
      </c>
      <c r="B623" s="179" t="s">
        <v>86</v>
      </c>
      <c r="C623" s="179" t="s">
        <v>879</v>
      </c>
      <c r="D623" s="84">
        <v>294</v>
      </c>
      <c r="E623" s="84"/>
      <c r="F623" s="178">
        <v>2500000</v>
      </c>
      <c r="G623" s="179"/>
    </row>
    <row r="624" spans="1:7" ht="21.25" customHeight="1" x14ac:dyDescent="0.15">
      <c r="A624" s="10" t="s">
        <v>470</v>
      </c>
      <c r="B624" s="179" t="s">
        <v>86</v>
      </c>
      <c r="C624" s="179" t="s">
        <v>880</v>
      </c>
      <c r="D624" s="84">
        <v>294.10000000000002</v>
      </c>
      <c r="E624" s="84"/>
      <c r="F624" s="178">
        <v>5000000</v>
      </c>
      <c r="G624" s="179"/>
    </row>
    <row r="625" spans="1:7" ht="21.25" customHeight="1" x14ac:dyDescent="0.15">
      <c r="A625" s="10" t="s">
        <v>361</v>
      </c>
      <c r="B625" s="179" t="s">
        <v>86</v>
      </c>
      <c r="C625" s="179" t="s">
        <v>880</v>
      </c>
      <c r="D625" s="84">
        <v>294.10000000000002</v>
      </c>
      <c r="E625" s="84"/>
      <c r="F625" s="178">
        <v>6250000</v>
      </c>
      <c r="G625" s="179"/>
    </row>
    <row r="626" spans="1:7" ht="21.25" customHeight="1" x14ac:dyDescent="0.15">
      <c r="A626" s="10" t="s">
        <v>707</v>
      </c>
      <c r="B626" s="179" t="s">
        <v>86</v>
      </c>
      <c r="C626" s="179" t="s">
        <v>880</v>
      </c>
      <c r="D626" s="84">
        <v>294.10000000000002</v>
      </c>
      <c r="E626" s="84"/>
      <c r="F626" s="178">
        <v>1000000</v>
      </c>
      <c r="G626" s="179"/>
    </row>
    <row r="627" spans="1:7" ht="21.25" customHeight="1" x14ac:dyDescent="0.15">
      <c r="A627" s="10" t="s">
        <v>471</v>
      </c>
      <c r="B627" s="179" t="s">
        <v>86</v>
      </c>
      <c r="C627" s="179" t="s">
        <v>880</v>
      </c>
      <c r="D627" s="84">
        <v>294.10000000000002</v>
      </c>
      <c r="E627" s="84"/>
      <c r="F627" s="178">
        <v>3500000</v>
      </c>
      <c r="G627" s="179"/>
    </row>
    <row r="628" spans="1:7" ht="21.25" customHeight="1" x14ac:dyDescent="0.15">
      <c r="A628" s="10" t="s">
        <v>632</v>
      </c>
      <c r="B628" s="179" t="s">
        <v>86</v>
      </c>
      <c r="C628" s="179" t="s">
        <v>880</v>
      </c>
      <c r="D628" s="84">
        <v>294.10000000000002</v>
      </c>
      <c r="E628" s="84"/>
      <c r="F628" s="178">
        <v>841000</v>
      </c>
      <c r="G628" s="179"/>
    </row>
    <row r="629" spans="1:7" ht="21.25" customHeight="1" x14ac:dyDescent="0.15">
      <c r="A629" s="10" t="s">
        <v>580</v>
      </c>
      <c r="B629" s="179" t="s">
        <v>86</v>
      </c>
      <c r="C629" s="179" t="s">
        <v>880</v>
      </c>
      <c r="D629" s="84">
        <v>294.10000000000002</v>
      </c>
      <c r="E629" s="84"/>
      <c r="F629" s="178">
        <v>4775000</v>
      </c>
      <c r="G629" s="179"/>
    </row>
    <row r="630" spans="1:7" ht="21.25" customHeight="1" x14ac:dyDescent="0.15">
      <c r="A630" s="10" t="s">
        <v>509</v>
      </c>
      <c r="B630" s="179" t="s">
        <v>86</v>
      </c>
      <c r="C630" s="179" t="s">
        <v>880</v>
      </c>
      <c r="D630" s="84">
        <v>294.10000000000002</v>
      </c>
      <c r="E630" s="84"/>
      <c r="F630" s="178">
        <v>4000000</v>
      </c>
      <c r="G630" s="179"/>
    </row>
    <row r="631" spans="1:7" ht="21.25" customHeight="1" x14ac:dyDescent="0.15">
      <c r="A631" s="10" t="s">
        <v>437</v>
      </c>
      <c r="B631" s="179" t="s">
        <v>86</v>
      </c>
      <c r="C631" s="179" t="s">
        <v>880</v>
      </c>
      <c r="D631" s="84">
        <v>294.10000000000002</v>
      </c>
      <c r="E631" s="84"/>
      <c r="F631" s="178">
        <v>2750000</v>
      </c>
      <c r="G631" s="179"/>
    </row>
    <row r="632" spans="1:7" ht="21.25" customHeight="1" x14ac:dyDescent="0.15">
      <c r="A632" s="10" t="s">
        <v>727</v>
      </c>
      <c r="B632" s="179" t="s">
        <v>86</v>
      </c>
      <c r="C632" s="179" t="s">
        <v>880</v>
      </c>
      <c r="D632" s="84">
        <v>294.10000000000002</v>
      </c>
      <c r="E632" s="84"/>
      <c r="F632" s="178">
        <v>2600000</v>
      </c>
      <c r="G632" s="179"/>
    </row>
    <row r="633" spans="1:7" ht="21.25" customHeight="1" x14ac:dyDescent="0.15">
      <c r="A633" s="10" t="s">
        <v>457</v>
      </c>
      <c r="B633" s="179" t="s">
        <v>86</v>
      </c>
      <c r="C633" s="179" t="s">
        <v>880</v>
      </c>
      <c r="D633" s="84">
        <v>294.10000000000002</v>
      </c>
      <c r="E633" s="84"/>
      <c r="F633" s="178">
        <v>900000</v>
      </c>
      <c r="G633" s="179"/>
    </row>
    <row r="634" spans="1:7" ht="21.25" customHeight="1" x14ac:dyDescent="0.15">
      <c r="A634" s="10" t="s">
        <v>381</v>
      </c>
      <c r="B634" s="179" t="s">
        <v>86</v>
      </c>
      <c r="C634" s="179" t="s">
        <v>881</v>
      </c>
      <c r="D634" s="84">
        <v>294.2</v>
      </c>
      <c r="E634" s="84"/>
      <c r="F634" s="178">
        <v>4100000</v>
      </c>
      <c r="G634" s="179"/>
    </row>
    <row r="635" spans="1:7" ht="21.25" customHeight="1" x14ac:dyDescent="0.15">
      <c r="A635" s="10" t="s">
        <v>495</v>
      </c>
      <c r="B635" s="179" t="s">
        <v>86</v>
      </c>
      <c r="C635" s="179" t="s">
        <v>881</v>
      </c>
      <c r="D635" s="84">
        <v>294.2</v>
      </c>
      <c r="E635" s="84"/>
      <c r="F635" s="178">
        <v>6000000</v>
      </c>
      <c r="G635" s="179"/>
    </row>
    <row r="636" spans="1:7" ht="21.25" customHeight="1" x14ac:dyDescent="0.15">
      <c r="A636" s="10" t="s">
        <v>464</v>
      </c>
      <c r="B636" s="179" t="s">
        <v>86</v>
      </c>
      <c r="C636" s="179" t="s">
        <v>881</v>
      </c>
      <c r="D636" s="84">
        <v>294.2</v>
      </c>
      <c r="E636" s="84"/>
      <c r="F636" s="178">
        <v>4900000</v>
      </c>
      <c r="G636" s="179"/>
    </row>
    <row r="637" spans="1:7" ht="21.25" customHeight="1" x14ac:dyDescent="0.15">
      <c r="A637" s="10" t="s">
        <v>573</v>
      </c>
      <c r="B637" s="179" t="s">
        <v>86</v>
      </c>
      <c r="C637" s="179" t="s">
        <v>881</v>
      </c>
      <c r="D637" s="84">
        <v>294.2</v>
      </c>
      <c r="E637" s="84"/>
      <c r="F637" s="178">
        <v>4625000</v>
      </c>
      <c r="G637" s="179"/>
    </row>
    <row r="638" spans="1:7" ht="21.25" customHeight="1" x14ac:dyDescent="0.15">
      <c r="A638" s="10" t="s">
        <v>367</v>
      </c>
      <c r="B638" s="179" t="s">
        <v>86</v>
      </c>
      <c r="C638" s="179" t="s">
        <v>881</v>
      </c>
      <c r="D638" s="84">
        <v>294.2</v>
      </c>
      <c r="E638" s="84"/>
      <c r="F638" s="178">
        <v>4600000</v>
      </c>
      <c r="G638" s="179"/>
    </row>
    <row r="639" spans="1:7" ht="21.25" customHeight="1" x14ac:dyDescent="0.15">
      <c r="A639" s="10" t="s">
        <v>453</v>
      </c>
      <c r="B639" s="179" t="s">
        <v>86</v>
      </c>
      <c r="C639" s="179" t="s">
        <v>881</v>
      </c>
      <c r="D639" s="84">
        <v>294.2</v>
      </c>
      <c r="E639" s="84"/>
      <c r="F639" s="178">
        <v>4100000</v>
      </c>
      <c r="G639" s="179"/>
    </row>
    <row r="640" spans="1:7" ht="21.25" customHeight="1" x14ac:dyDescent="0.15">
      <c r="A640" s="10" t="s">
        <v>584</v>
      </c>
      <c r="B640" s="179" t="s">
        <v>86</v>
      </c>
      <c r="C640" s="179" t="s">
        <v>882</v>
      </c>
      <c r="D640" s="84">
        <v>294.3</v>
      </c>
      <c r="E640" s="84"/>
      <c r="F640" s="178">
        <v>3250000</v>
      </c>
      <c r="G640" s="179"/>
    </row>
    <row r="641" spans="1:7" ht="21.25" customHeight="1" x14ac:dyDescent="0.15">
      <c r="A641" s="10" t="s">
        <v>484</v>
      </c>
      <c r="B641" s="179" t="s">
        <v>86</v>
      </c>
      <c r="C641" s="179" t="s">
        <v>882</v>
      </c>
      <c r="D641" s="84">
        <v>294.3</v>
      </c>
      <c r="E641" s="84"/>
      <c r="F641" s="178">
        <v>5200000</v>
      </c>
      <c r="G641" s="179"/>
    </row>
    <row r="642" spans="1:7" ht="21.25" customHeight="1" x14ac:dyDescent="0.15">
      <c r="A642" s="10" t="s">
        <v>402</v>
      </c>
      <c r="B642" s="179" t="s">
        <v>86</v>
      </c>
      <c r="C642" s="179" t="s">
        <v>883</v>
      </c>
      <c r="D642" s="179" t="s">
        <v>883</v>
      </c>
      <c r="E642" s="84"/>
      <c r="F642" s="178">
        <v>4500000</v>
      </c>
      <c r="G642" s="179"/>
    </row>
    <row r="643" spans="1:7" ht="21.25" customHeight="1" x14ac:dyDescent="0.15">
      <c r="A643" s="10" t="s">
        <v>474</v>
      </c>
      <c r="B643" s="179" t="s">
        <v>86</v>
      </c>
      <c r="C643" s="179" t="s">
        <v>883</v>
      </c>
      <c r="D643" s="84">
        <v>294.39999999999998</v>
      </c>
      <c r="E643" s="84"/>
      <c r="F643" s="178">
        <v>3400000</v>
      </c>
      <c r="G643" s="179"/>
    </row>
    <row r="644" spans="1:7" ht="21.25" customHeight="1" x14ac:dyDescent="0.15">
      <c r="A644" s="10" t="s">
        <v>411</v>
      </c>
      <c r="B644" s="179" t="s">
        <v>86</v>
      </c>
      <c r="C644" s="179" t="s">
        <v>884</v>
      </c>
      <c r="D644" s="84">
        <v>294.5</v>
      </c>
      <c r="E644" s="84"/>
      <c r="F644" s="178">
        <v>5000000</v>
      </c>
      <c r="G644" s="179"/>
    </row>
    <row r="645" spans="1:7" ht="21.25" customHeight="1" x14ac:dyDescent="0.15">
      <c r="A645" s="10" t="s">
        <v>691</v>
      </c>
      <c r="B645" s="179" t="s">
        <v>86</v>
      </c>
      <c r="C645" s="179" t="s">
        <v>884</v>
      </c>
      <c r="D645" s="84">
        <v>294.5</v>
      </c>
      <c r="E645" s="84"/>
      <c r="F645" s="178">
        <v>950000</v>
      </c>
      <c r="G645" s="179"/>
    </row>
    <row r="646" spans="1:7" ht="21.25" customHeight="1" x14ac:dyDescent="0.15">
      <c r="A646" s="10" t="s">
        <v>655</v>
      </c>
      <c r="B646" s="179" t="s">
        <v>86</v>
      </c>
      <c r="C646" s="179" t="s">
        <v>885</v>
      </c>
      <c r="D646" s="84">
        <v>294.7</v>
      </c>
      <c r="E646" s="84"/>
      <c r="F646" s="178">
        <v>2000000</v>
      </c>
      <c r="G646" s="179"/>
    </row>
    <row r="647" spans="1:7" ht="21.25" customHeight="1" x14ac:dyDescent="0.15">
      <c r="A647" s="10" t="s">
        <v>447</v>
      </c>
      <c r="B647" s="179" t="s">
        <v>86</v>
      </c>
      <c r="C647" s="179" t="s">
        <v>885</v>
      </c>
      <c r="D647" s="84">
        <v>294.7</v>
      </c>
      <c r="E647" s="84"/>
      <c r="F647" s="178">
        <v>1500000</v>
      </c>
      <c r="G647" s="179"/>
    </row>
    <row r="648" spans="1:7" ht="21.25" customHeight="1" x14ac:dyDescent="0.15">
      <c r="A648" s="10" t="s">
        <v>486</v>
      </c>
      <c r="B648" s="179" t="s">
        <v>86</v>
      </c>
      <c r="C648" s="179" t="s">
        <v>886</v>
      </c>
      <c r="D648" s="84">
        <v>294.8</v>
      </c>
      <c r="E648" s="84"/>
      <c r="F648" s="178">
        <v>3850000</v>
      </c>
      <c r="G648" s="179"/>
    </row>
    <row r="649" spans="1:7" ht="21.25" customHeight="1" x14ac:dyDescent="0.15">
      <c r="A649" s="10" t="s">
        <v>607</v>
      </c>
      <c r="B649" s="179" t="s">
        <v>86</v>
      </c>
      <c r="C649" s="179" t="s">
        <v>879</v>
      </c>
      <c r="D649" s="84" t="s">
        <v>828</v>
      </c>
      <c r="E649" s="84"/>
      <c r="F649" s="178">
        <v>950000</v>
      </c>
      <c r="G649" s="179"/>
    </row>
    <row r="650" spans="1:7" ht="21.25" customHeight="1" x14ac:dyDescent="0.15">
      <c r="A650" s="10" t="s">
        <v>599</v>
      </c>
      <c r="B650" s="179" t="s">
        <v>86</v>
      </c>
      <c r="C650" s="179" t="s">
        <v>86</v>
      </c>
      <c r="D650" s="84" t="s">
        <v>828</v>
      </c>
      <c r="E650" s="84"/>
      <c r="F650" s="178">
        <v>4500000</v>
      </c>
      <c r="G650" s="179"/>
    </row>
    <row r="651" spans="1:7" ht="21.25" customHeight="1" x14ac:dyDescent="0.15">
      <c r="A651" s="10" t="s">
        <v>630</v>
      </c>
      <c r="B651" s="179" t="s">
        <v>86</v>
      </c>
      <c r="C651" s="179" t="s">
        <v>86</v>
      </c>
      <c r="D651" s="84" t="s">
        <v>828</v>
      </c>
      <c r="E651" s="84"/>
      <c r="F651" s="178">
        <v>1750000</v>
      </c>
      <c r="G651" s="179"/>
    </row>
    <row r="652" spans="1:7" ht="21.25" customHeight="1" x14ac:dyDescent="0.15">
      <c r="A652" s="10" t="s">
        <v>572</v>
      </c>
      <c r="B652" s="179" t="s">
        <v>86</v>
      </c>
      <c r="C652" s="179" t="s">
        <v>86</v>
      </c>
      <c r="D652" s="84" t="s">
        <v>828</v>
      </c>
      <c r="E652" s="84"/>
      <c r="F652" s="178">
        <v>1600000</v>
      </c>
      <c r="G652" s="179"/>
    </row>
    <row r="653" spans="1:7" ht="21.25" customHeight="1" x14ac:dyDescent="0.15">
      <c r="A653" s="10" t="s">
        <v>562</v>
      </c>
      <c r="B653" s="179" t="s">
        <v>86</v>
      </c>
      <c r="C653" s="179" t="s">
        <v>86</v>
      </c>
      <c r="D653" s="84" t="s">
        <v>828</v>
      </c>
      <c r="E653" s="84"/>
      <c r="F653" s="178">
        <v>1575000</v>
      </c>
      <c r="G653" s="179"/>
    </row>
    <row r="654" spans="1:7" ht="21.25" customHeight="1" x14ac:dyDescent="0.15">
      <c r="A654" s="10" t="s">
        <v>757</v>
      </c>
      <c r="B654" s="179" t="s">
        <v>86</v>
      </c>
      <c r="C654" s="179" t="s">
        <v>86</v>
      </c>
      <c r="D654" s="84" t="s">
        <v>828</v>
      </c>
      <c r="E654" s="84"/>
      <c r="F654" s="178">
        <v>1300000</v>
      </c>
      <c r="G654" s="179"/>
    </row>
    <row r="655" spans="1:7" ht="21.25" customHeight="1" x14ac:dyDescent="0.15">
      <c r="A655" s="10" t="s">
        <v>779</v>
      </c>
      <c r="B655" s="179" t="s">
        <v>86</v>
      </c>
      <c r="C655" s="179" t="s">
        <v>86</v>
      </c>
      <c r="D655" s="84" t="s">
        <v>828</v>
      </c>
      <c r="E655" s="84"/>
      <c r="F655" s="178">
        <v>1000000</v>
      </c>
      <c r="G655" s="179"/>
    </row>
    <row r="656" spans="1:7" ht="21.25" customHeight="1" x14ac:dyDescent="0.15">
      <c r="A656" s="10" t="s">
        <v>794</v>
      </c>
      <c r="B656" s="179" t="s">
        <v>86</v>
      </c>
      <c r="C656" s="179" t="s">
        <v>86</v>
      </c>
      <c r="D656" s="84" t="s">
        <v>828</v>
      </c>
      <c r="E656" s="84"/>
      <c r="F656" s="178">
        <v>1000000</v>
      </c>
      <c r="G656" s="179"/>
    </row>
    <row r="657" spans="1:7" ht="21.25" customHeight="1" x14ac:dyDescent="0.15">
      <c r="A657" s="10" t="s">
        <v>764</v>
      </c>
      <c r="B657" s="179" t="s">
        <v>86</v>
      </c>
      <c r="C657" s="179" t="s">
        <v>86</v>
      </c>
      <c r="D657" s="84" t="s">
        <v>828</v>
      </c>
      <c r="E657" s="84"/>
      <c r="F657" s="178">
        <v>975000</v>
      </c>
      <c r="G657" s="179"/>
    </row>
    <row r="658" spans="1:7" ht="21.25" customHeight="1" x14ac:dyDescent="0.15">
      <c r="A658" s="10" t="s">
        <v>774</v>
      </c>
      <c r="B658" s="179" t="s">
        <v>86</v>
      </c>
      <c r="C658" s="179" t="s">
        <v>86</v>
      </c>
      <c r="D658" s="84" t="s">
        <v>828</v>
      </c>
      <c r="E658" s="84"/>
      <c r="F658" s="178">
        <v>975000</v>
      </c>
      <c r="G658" s="179"/>
    </row>
    <row r="659" spans="1:7" ht="21.25" customHeight="1" x14ac:dyDescent="0.15">
      <c r="A659" s="10" t="s">
        <v>667</v>
      </c>
      <c r="B659" s="179" t="s">
        <v>86</v>
      </c>
      <c r="C659" s="179" t="s">
        <v>86</v>
      </c>
      <c r="D659" s="84" t="s">
        <v>828</v>
      </c>
      <c r="E659" s="84"/>
      <c r="F659" s="178">
        <v>975000</v>
      </c>
      <c r="G659" s="179"/>
    </row>
    <row r="660" spans="1:7" ht="21.25" customHeight="1" x14ac:dyDescent="0.15">
      <c r="A660" s="10" t="s">
        <v>796</v>
      </c>
      <c r="B660" s="179" t="s">
        <v>86</v>
      </c>
      <c r="C660" s="179" t="s">
        <v>86</v>
      </c>
      <c r="D660" s="84" t="s">
        <v>828</v>
      </c>
      <c r="E660" s="84"/>
      <c r="F660" s="178">
        <v>905000</v>
      </c>
      <c r="G660" s="179"/>
    </row>
    <row r="661" spans="1:7" ht="21.25" customHeight="1" x14ac:dyDescent="0.15">
      <c r="A661" s="10" t="s">
        <v>787</v>
      </c>
      <c r="B661" s="179" t="s">
        <v>86</v>
      </c>
      <c r="C661" s="179" t="s">
        <v>86</v>
      </c>
      <c r="D661" s="84" t="s">
        <v>828</v>
      </c>
      <c r="E661" s="84"/>
      <c r="F661" s="178">
        <v>900000</v>
      </c>
      <c r="G661" s="179"/>
    </row>
    <row r="662" spans="1:7" ht="21.25" customHeight="1" x14ac:dyDescent="0.15">
      <c r="A662" s="10" t="s">
        <v>789</v>
      </c>
      <c r="B662" s="179" t="s">
        <v>86</v>
      </c>
      <c r="C662" s="179" t="s">
        <v>86</v>
      </c>
      <c r="D662" s="84" t="s">
        <v>828</v>
      </c>
      <c r="E662" s="84"/>
      <c r="F662" s="178">
        <v>892500</v>
      </c>
      <c r="G662" s="179"/>
    </row>
    <row r="663" spans="1:7" ht="21.25" customHeight="1" x14ac:dyDescent="0.15">
      <c r="A663" s="10" t="s">
        <v>513</v>
      </c>
      <c r="B663" s="179" t="s">
        <v>86</v>
      </c>
      <c r="C663" s="179" t="s">
        <v>86</v>
      </c>
      <c r="D663" s="84" t="s">
        <v>828</v>
      </c>
      <c r="E663" s="84"/>
      <c r="F663" s="178">
        <v>886667</v>
      </c>
      <c r="G663" s="179"/>
    </row>
    <row r="664" spans="1:7" ht="21.25" customHeight="1" x14ac:dyDescent="0.15">
      <c r="A664" s="10" t="s">
        <v>790</v>
      </c>
      <c r="B664" s="179" t="s">
        <v>86</v>
      </c>
      <c r="C664" s="179" t="s">
        <v>86</v>
      </c>
      <c r="D664" s="84" t="s">
        <v>828</v>
      </c>
      <c r="E664" s="84"/>
      <c r="F664" s="178">
        <v>850000</v>
      </c>
      <c r="G664" s="179"/>
    </row>
    <row r="665" spans="1:7" ht="21.25" customHeight="1" x14ac:dyDescent="0.15">
      <c r="A665" s="10" t="s">
        <v>623</v>
      </c>
      <c r="B665" s="179" t="s">
        <v>86</v>
      </c>
      <c r="C665" s="179" t="s">
        <v>86</v>
      </c>
      <c r="D665" s="84" t="s">
        <v>828</v>
      </c>
      <c r="E665" s="84"/>
      <c r="F665" s="178">
        <v>850000</v>
      </c>
      <c r="G665" s="179"/>
    </row>
    <row r="666" spans="1:7" ht="21.25" customHeight="1" x14ac:dyDescent="0.15">
      <c r="A666" s="10" t="s">
        <v>793</v>
      </c>
      <c r="B666" s="179" t="s">
        <v>86</v>
      </c>
      <c r="C666" s="177" t="s">
        <v>86</v>
      </c>
      <c r="D666" s="84" t="s">
        <v>828</v>
      </c>
      <c r="E666" s="84"/>
      <c r="F666" s="178">
        <v>850000</v>
      </c>
      <c r="G666" s="179"/>
    </row>
    <row r="667" spans="1:7" ht="21.25" customHeight="1" x14ac:dyDescent="0.15">
      <c r="A667" s="10" t="s">
        <v>776</v>
      </c>
      <c r="B667" s="179" t="s">
        <v>86</v>
      </c>
      <c r="C667" s="177" t="s">
        <v>86</v>
      </c>
      <c r="D667" s="84" t="s">
        <v>828</v>
      </c>
      <c r="E667" s="84"/>
      <c r="F667" s="178">
        <v>825000</v>
      </c>
      <c r="G667" s="179"/>
    </row>
    <row r="668" spans="1:7" ht="21.25" customHeight="1" x14ac:dyDescent="0.15">
      <c r="A668" s="10" t="s">
        <v>765</v>
      </c>
      <c r="B668" s="179" t="s">
        <v>86</v>
      </c>
      <c r="C668" s="177" t="s">
        <v>86</v>
      </c>
      <c r="D668" s="84" t="s">
        <v>828</v>
      </c>
      <c r="E668" s="84"/>
      <c r="F668" s="178">
        <v>812500</v>
      </c>
      <c r="G668" s="179"/>
    </row>
    <row r="669" spans="1:7" ht="21.25" customHeight="1" x14ac:dyDescent="0.15">
      <c r="A669" s="10" t="s">
        <v>786</v>
      </c>
      <c r="B669" s="179" t="s">
        <v>86</v>
      </c>
      <c r="C669" s="177" t="s">
        <v>86</v>
      </c>
      <c r="D669" s="84" t="s">
        <v>828</v>
      </c>
      <c r="E669" s="84"/>
      <c r="F669" s="178">
        <v>812500</v>
      </c>
      <c r="G669" s="179"/>
    </row>
    <row r="670" spans="1:7" ht="21.25" customHeight="1" x14ac:dyDescent="0.15">
      <c r="A670" s="10" t="s">
        <v>629</v>
      </c>
      <c r="B670" s="179" t="s">
        <v>86</v>
      </c>
      <c r="C670" s="177" t="s">
        <v>86</v>
      </c>
      <c r="D670" s="84" t="s">
        <v>828</v>
      </c>
      <c r="E670" s="84"/>
      <c r="F670" s="178"/>
      <c r="G670" s="179"/>
    </row>
    <row r="671" spans="1:7" ht="21.25" customHeight="1" x14ac:dyDescent="0.15">
      <c r="A671" s="10" t="s">
        <v>611</v>
      </c>
      <c r="B671" s="179" t="s">
        <v>86</v>
      </c>
      <c r="C671" s="179" t="s">
        <v>86</v>
      </c>
      <c r="D671" s="84"/>
      <c r="E671" s="84"/>
      <c r="F671" s="178">
        <v>1525000</v>
      </c>
      <c r="G671" s="179"/>
    </row>
  </sheetData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E67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E10" sqref="E10"/>
    </sheetView>
  </sheetViews>
  <sheetFormatPr baseColWidth="10" defaultColWidth="8" defaultRowHeight="16.25" customHeight="1" x14ac:dyDescent="0.15"/>
  <cols>
    <col min="1" max="1" width="28.33203125" style="1" customWidth="1"/>
    <col min="2" max="4" width="7.1640625" style="1" customWidth="1"/>
    <col min="5" max="22" width="8.33203125" style="1" customWidth="1"/>
    <col min="23" max="23" width="2.33203125" style="1" customWidth="1"/>
    <col min="24" max="28" width="7.1640625" style="1" customWidth="1"/>
    <col min="29" max="31" width="8.33203125" style="1" customWidth="1"/>
    <col min="32" max="32" width="8" style="1" customWidth="1"/>
    <col min="33" max="16384" width="8" style="1"/>
  </cols>
  <sheetData>
    <row r="1" spans="1:31" ht="21.25" customHeight="1" x14ac:dyDescent="0.2">
      <c r="A1" s="180"/>
      <c r="B1" s="181"/>
      <c r="C1" s="181"/>
      <c r="D1" s="181"/>
      <c r="E1" s="182"/>
      <c r="F1" s="207" t="s">
        <v>829</v>
      </c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181"/>
      <c r="X1" s="207" t="s">
        <v>830</v>
      </c>
      <c r="Y1" s="208"/>
      <c r="Z1" s="208"/>
      <c r="AA1" s="208"/>
      <c r="AB1" s="208"/>
      <c r="AC1" s="208"/>
      <c r="AD1" s="208"/>
      <c r="AE1" s="208"/>
    </row>
    <row r="2" spans="1:31" ht="21.25" customHeight="1" x14ac:dyDescent="0.15">
      <c r="A2" s="2" t="s">
        <v>831</v>
      </c>
      <c r="B2" s="3" t="s">
        <v>13</v>
      </c>
      <c r="C2" s="3" t="s">
        <v>26</v>
      </c>
      <c r="D2" s="3" t="s">
        <v>3</v>
      </c>
      <c r="E2" s="183" t="s">
        <v>103</v>
      </c>
      <c r="F2" s="183" t="s">
        <v>56</v>
      </c>
      <c r="G2" s="183" t="s">
        <v>104</v>
      </c>
      <c r="H2" s="183" t="s">
        <v>105</v>
      </c>
      <c r="I2" s="183" t="s">
        <v>106</v>
      </c>
      <c r="J2" s="183" t="s">
        <v>107</v>
      </c>
      <c r="K2" s="183" t="s">
        <v>64</v>
      </c>
      <c r="L2" s="183" t="s">
        <v>67</v>
      </c>
      <c r="M2" s="183" t="s">
        <v>108</v>
      </c>
      <c r="N2" s="183" t="s">
        <v>109</v>
      </c>
      <c r="O2" s="183" t="s">
        <v>110</v>
      </c>
      <c r="P2" s="183" t="s">
        <v>111</v>
      </c>
      <c r="Q2" s="183" t="s">
        <v>112</v>
      </c>
      <c r="R2" s="183" t="s">
        <v>113</v>
      </c>
      <c r="S2" s="183" t="s">
        <v>114</v>
      </c>
      <c r="T2" s="183" t="s">
        <v>115</v>
      </c>
      <c r="U2" s="183" t="s">
        <v>116</v>
      </c>
      <c r="V2" s="183" t="s">
        <v>117</v>
      </c>
      <c r="W2" s="184"/>
      <c r="X2" s="183" t="s">
        <v>103</v>
      </c>
      <c r="Y2" s="183" t="s">
        <v>118</v>
      </c>
      <c r="Z2" s="183" t="s">
        <v>119</v>
      </c>
      <c r="AA2" s="183" t="s">
        <v>120</v>
      </c>
      <c r="AB2" s="183" t="s">
        <v>121</v>
      </c>
      <c r="AC2" s="183" t="s">
        <v>122</v>
      </c>
      <c r="AD2" s="183" t="s">
        <v>124</v>
      </c>
      <c r="AE2" s="183" t="s">
        <v>123</v>
      </c>
    </row>
    <row r="3" spans="1:31" ht="21.25" customHeight="1" x14ac:dyDescent="0.15">
      <c r="A3" s="10" t="s">
        <v>127</v>
      </c>
      <c r="B3" s="185" t="s">
        <v>832</v>
      </c>
      <c r="C3" s="186">
        <v>29</v>
      </c>
      <c r="D3" s="185" t="s">
        <v>820</v>
      </c>
      <c r="E3" s="89">
        <v>81</v>
      </c>
      <c r="F3" s="187">
        <v>22</v>
      </c>
      <c r="G3" s="188">
        <v>0.49</v>
      </c>
      <c r="H3" s="188">
        <v>1.1200000000000001</v>
      </c>
      <c r="I3" s="188">
        <v>1.61</v>
      </c>
      <c r="J3" s="188">
        <v>3.48</v>
      </c>
      <c r="K3" s="188">
        <v>0.15</v>
      </c>
      <c r="L3" s="188">
        <v>0.62</v>
      </c>
      <c r="M3" s="188">
        <v>0</v>
      </c>
      <c r="N3" s="188">
        <v>0</v>
      </c>
      <c r="O3" s="188">
        <v>0.36</v>
      </c>
      <c r="P3" s="188">
        <v>0.59</v>
      </c>
      <c r="Q3" s="188">
        <v>0.13</v>
      </c>
      <c r="R3" s="188">
        <v>0.47</v>
      </c>
      <c r="S3" s="188">
        <v>0.08</v>
      </c>
      <c r="T3" s="188">
        <v>5.4</v>
      </c>
      <c r="U3" s="188">
        <v>5.56</v>
      </c>
      <c r="V3" s="188">
        <v>0.49</v>
      </c>
      <c r="W3" s="188"/>
      <c r="X3" s="89"/>
      <c r="Y3" s="187"/>
      <c r="Z3" s="187"/>
      <c r="AA3" s="187"/>
      <c r="AB3" s="187"/>
      <c r="AC3" s="187"/>
      <c r="AD3" s="189"/>
      <c r="AE3" s="188"/>
    </row>
    <row r="4" spans="1:31" ht="21.25" customHeight="1" x14ac:dyDescent="0.15">
      <c r="A4" s="10" t="s">
        <v>128</v>
      </c>
      <c r="B4" s="185" t="s">
        <v>833</v>
      </c>
      <c r="C4" s="186">
        <v>33</v>
      </c>
      <c r="D4" s="185" t="s">
        <v>822</v>
      </c>
      <c r="E4" s="89">
        <v>82</v>
      </c>
      <c r="F4" s="187">
        <v>20.3</v>
      </c>
      <c r="G4" s="188">
        <v>0.5</v>
      </c>
      <c r="H4" s="188">
        <v>1.04</v>
      </c>
      <c r="I4" s="188">
        <v>1.54</v>
      </c>
      <c r="J4" s="188">
        <v>3.13</v>
      </c>
      <c r="K4" s="188">
        <v>0.11</v>
      </c>
      <c r="L4" s="188">
        <v>0.53</v>
      </c>
      <c r="M4" s="188">
        <v>0</v>
      </c>
      <c r="N4" s="188">
        <v>0</v>
      </c>
      <c r="O4" s="188">
        <v>0.41</v>
      </c>
      <c r="P4" s="188">
        <v>0.45</v>
      </c>
      <c r="Q4" s="188">
        <v>0.16</v>
      </c>
      <c r="R4" s="188">
        <v>0.43</v>
      </c>
      <c r="S4" s="188">
        <v>0.09</v>
      </c>
      <c r="T4" s="188">
        <v>0.01</v>
      </c>
      <c r="U4" s="188">
        <v>0.02</v>
      </c>
      <c r="V4" s="188">
        <v>0.3</v>
      </c>
      <c r="W4" s="188"/>
      <c r="X4" s="89"/>
      <c r="Y4" s="187"/>
      <c r="Z4" s="187"/>
      <c r="AA4" s="187"/>
      <c r="AB4" s="187"/>
      <c r="AC4" s="187"/>
      <c r="AD4" s="189"/>
      <c r="AE4" s="188"/>
    </row>
    <row r="5" spans="1:31" ht="21.25" customHeight="1" x14ac:dyDescent="0.15">
      <c r="A5" s="10" t="s">
        <v>126</v>
      </c>
      <c r="B5" s="185" t="s">
        <v>834</v>
      </c>
      <c r="C5" s="186">
        <v>31</v>
      </c>
      <c r="D5" s="185" t="s">
        <v>820</v>
      </c>
      <c r="E5" s="89">
        <v>83</v>
      </c>
      <c r="F5" s="187">
        <v>22</v>
      </c>
      <c r="G5" s="188">
        <v>0.55000000000000004</v>
      </c>
      <c r="H5" s="188">
        <v>0.93</v>
      </c>
      <c r="I5" s="188">
        <v>1.48</v>
      </c>
      <c r="J5" s="188">
        <v>4.22</v>
      </c>
      <c r="K5" s="188">
        <v>0.12</v>
      </c>
      <c r="L5" s="188">
        <v>0.41</v>
      </c>
      <c r="M5" s="188">
        <v>0</v>
      </c>
      <c r="N5" s="188">
        <v>0</v>
      </c>
      <c r="O5" s="188">
        <v>0.54</v>
      </c>
      <c r="P5" s="188">
        <v>0.7</v>
      </c>
      <c r="Q5" s="188">
        <v>0.17</v>
      </c>
      <c r="R5" s="188">
        <v>0.41</v>
      </c>
      <c r="S5" s="188">
        <v>0.1</v>
      </c>
      <c r="T5" s="188">
        <v>8.2100000000000009</v>
      </c>
      <c r="U5" s="188">
        <v>8.4</v>
      </c>
      <c r="V5" s="188">
        <v>0.49</v>
      </c>
      <c r="W5" s="188"/>
      <c r="X5" s="89"/>
      <c r="Y5" s="187"/>
      <c r="Z5" s="187"/>
      <c r="AA5" s="187"/>
      <c r="AB5" s="187"/>
      <c r="AC5" s="187"/>
      <c r="AD5" s="189"/>
      <c r="AE5" s="188"/>
    </row>
    <row r="6" spans="1:31" ht="21.25" customHeight="1" x14ac:dyDescent="0.15">
      <c r="A6" s="10" t="s">
        <v>136</v>
      </c>
      <c r="B6" s="185" t="s">
        <v>832</v>
      </c>
      <c r="C6" s="186">
        <v>30</v>
      </c>
      <c r="D6" s="185" t="s">
        <v>835</v>
      </c>
      <c r="E6" s="89">
        <v>79</v>
      </c>
      <c r="F6" s="187">
        <v>21.1</v>
      </c>
      <c r="G6" s="188">
        <v>0.56999999999999995</v>
      </c>
      <c r="H6" s="188">
        <v>0.84</v>
      </c>
      <c r="I6" s="188">
        <v>1.41</v>
      </c>
      <c r="J6" s="188">
        <v>2.94</v>
      </c>
      <c r="K6" s="188">
        <v>0.25</v>
      </c>
      <c r="L6" s="188">
        <v>0.57999999999999996</v>
      </c>
      <c r="M6" s="188">
        <v>0</v>
      </c>
      <c r="N6" s="188">
        <v>0</v>
      </c>
      <c r="O6" s="188">
        <v>0.3</v>
      </c>
      <c r="P6" s="188">
        <v>0.5</v>
      </c>
      <c r="Q6" s="188">
        <v>0.12</v>
      </c>
      <c r="R6" s="188">
        <v>0.5</v>
      </c>
      <c r="S6" s="188">
        <v>0.1</v>
      </c>
      <c r="T6" s="188">
        <v>9.4499999999999993</v>
      </c>
      <c r="U6" s="188">
        <v>7.4</v>
      </c>
      <c r="V6" s="188">
        <v>0.56000000000000005</v>
      </c>
      <c r="W6" s="188"/>
      <c r="X6" s="89"/>
      <c r="Y6" s="187"/>
      <c r="Z6" s="187"/>
      <c r="AA6" s="187"/>
      <c r="AB6" s="187"/>
      <c r="AC6" s="187"/>
      <c r="AD6" s="189"/>
      <c r="AE6" s="188"/>
    </row>
    <row r="7" spans="1:31" ht="21.25" customHeight="1" x14ac:dyDescent="0.15">
      <c r="A7" s="10" t="s">
        <v>132</v>
      </c>
      <c r="B7" s="185" t="s">
        <v>836</v>
      </c>
      <c r="C7" s="186">
        <v>20</v>
      </c>
      <c r="D7" s="185" t="s">
        <v>820</v>
      </c>
      <c r="E7" s="89">
        <v>82</v>
      </c>
      <c r="F7" s="187">
        <v>21.4</v>
      </c>
      <c r="G7" s="188">
        <v>0.51</v>
      </c>
      <c r="H7" s="188">
        <v>0.79</v>
      </c>
      <c r="I7" s="188">
        <v>1.3</v>
      </c>
      <c r="J7" s="188">
        <v>3.52</v>
      </c>
      <c r="K7" s="188">
        <v>0.12</v>
      </c>
      <c r="L7" s="188">
        <v>0.4</v>
      </c>
      <c r="M7" s="188">
        <v>0</v>
      </c>
      <c r="N7" s="188">
        <v>0</v>
      </c>
      <c r="O7" s="188">
        <v>0.68</v>
      </c>
      <c r="P7" s="188">
        <v>0.65</v>
      </c>
      <c r="Q7" s="188">
        <v>-0.01</v>
      </c>
      <c r="R7" s="188">
        <v>0.51</v>
      </c>
      <c r="S7" s="188">
        <v>7.0000000000000007E-2</v>
      </c>
      <c r="T7" s="188">
        <v>7.67</v>
      </c>
      <c r="U7" s="188">
        <v>8.16</v>
      </c>
      <c r="V7" s="188">
        <v>0.48</v>
      </c>
      <c r="W7" s="188"/>
      <c r="X7" s="89"/>
      <c r="Y7" s="187"/>
      <c r="Z7" s="187"/>
      <c r="AA7" s="187"/>
      <c r="AB7" s="187"/>
      <c r="AC7" s="187"/>
      <c r="AD7" s="189"/>
      <c r="AE7" s="188"/>
    </row>
    <row r="8" spans="1:31" ht="21.25" customHeight="1" x14ac:dyDescent="0.15">
      <c r="A8" s="10" t="s">
        <v>134</v>
      </c>
      <c r="B8" s="185" t="s">
        <v>837</v>
      </c>
      <c r="C8" s="186">
        <v>30</v>
      </c>
      <c r="D8" s="185" t="s">
        <v>822</v>
      </c>
      <c r="E8" s="89">
        <v>83</v>
      </c>
      <c r="F8" s="187">
        <v>20.6</v>
      </c>
      <c r="G8" s="188">
        <v>0.45</v>
      </c>
      <c r="H8" s="188">
        <v>0.81</v>
      </c>
      <c r="I8" s="188">
        <v>1.26</v>
      </c>
      <c r="J8" s="188">
        <v>3.66</v>
      </c>
      <c r="K8" s="188">
        <v>0.12</v>
      </c>
      <c r="L8" s="188">
        <v>0.36</v>
      </c>
      <c r="M8" s="188">
        <v>0</v>
      </c>
      <c r="N8" s="188">
        <v>0</v>
      </c>
      <c r="O8" s="188">
        <v>0.39</v>
      </c>
      <c r="P8" s="188">
        <v>0.97</v>
      </c>
      <c r="Q8" s="188">
        <v>0.01</v>
      </c>
      <c r="R8" s="188">
        <v>0.56000000000000005</v>
      </c>
      <c r="S8" s="188">
        <v>0.06</v>
      </c>
      <c r="T8" s="188">
        <v>0.04</v>
      </c>
      <c r="U8" s="188">
        <v>0.1</v>
      </c>
      <c r="V8" s="188">
        <v>0.3</v>
      </c>
      <c r="W8" s="188"/>
      <c r="X8" s="89"/>
      <c r="Y8" s="187"/>
      <c r="Z8" s="187"/>
      <c r="AA8" s="187"/>
      <c r="AB8" s="187"/>
      <c r="AC8" s="187"/>
      <c r="AD8" s="189"/>
      <c r="AE8" s="188"/>
    </row>
    <row r="9" spans="1:31" ht="21.25" customHeight="1" x14ac:dyDescent="0.15">
      <c r="A9" s="10" t="s">
        <v>140</v>
      </c>
      <c r="B9" s="185" t="s">
        <v>838</v>
      </c>
      <c r="C9" s="186">
        <v>25</v>
      </c>
      <c r="D9" s="185" t="s">
        <v>835</v>
      </c>
      <c r="E9" s="89">
        <v>76</v>
      </c>
      <c r="F9" s="187">
        <v>21.7</v>
      </c>
      <c r="G9" s="188">
        <v>0.45</v>
      </c>
      <c r="H9" s="188">
        <v>0.77</v>
      </c>
      <c r="I9" s="188">
        <v>1.22</v>
      </c>
      <c r="J9" s="188">
        <v>3.78</v>
      </c>
      <c r="K9" s="188">
        <v>0.1</v>
      </c>
      <c r="L9" s="188">
        <v>0.42</v>
      </c>
      <c r="M9" s="188">
        <v>0.01</v>
      </c>
      <c r="N9" s="188">
        <v>0.01</v>
      </c>
      <c r="O9" s="188">
        <v>0.49</v>
      </c>
      <c r="P9" s="188">
        <v>0.17</v>
      </c>
      <c r="Q9" s="188">
        <v>0.03</v>
      </c>
      <c r="R9" s="188">
        <v>0.28000000000000003</v>
      </c>
      <c r="S9" s="188">
        <v>7.0000000000000007E-2</v>
      </c>
      <c r="T9" s="188">
        <v>2.68</v>
      </c>
      <c r="U9" s="188">
        <v>4.6500000000000004</v>
      </c>
      <c r="V9" s="188">
        <v>0.37</v>
      </c>
      <c r="W9" s="188"/>
      <c r="X9" s="89"/>
      <c r="Y9" s="187"/>
      <c r="Z9" s="187"/>
      <c r="AA9" s="187"/>
      <c r="AB9" s="187"/>
      <c r="AC9" s="187"/>
      <c r="AD9" s="189"/>
      <c r="AE9" s="188"/>
    </row>
    <row r="10" spans="1:31" ht="21.25" customHeight="1" x14ac:dyDescent="0.15">
      <c r="A10" s="10" t="s">
        <v>137</v>
      </c>
      <c r="B10" s="185" t="s">
        <v>839</v>
      </c>
      <c r="C10" s="186">
        <v>29</v>
      </c>
      <c r="D10" s="185" t="s">
        <v>820</v>
      </c>
      <c r="E10" s="89">
        <v>80</v>
      </c>
      <c r="F10" s="187">
        <v>21.4</v>
      </c>
      <c r="G10" s="188">
        <v>0.39</v>
      </c>
      <c r="H10" s="188">
        <v>0.82</v>
      </c>
      <c r="I10" s="188">
        <v>1.22</v>
      </c>
      <c r="J10" s="188">
        <v>3.57</v>
      </c>
      <c r="K10" s="188">
        <v>7.0000000000000007E-2</v>
      </c>
      <c r="L10" s="188">
        <v>0.43</v>
      </c>
      <c r="M10" s="188">
        <v>0.01</v>
      </c>
      <c r="N10" s="188">
        <v>0.03</v>
      </c>
      <c r="O10" s="188">
        <v>0.61</v>
      </c>
      <c r="P10" s="188">
        <v>0.46</v>
      </c>
      <c r="Q10" s="188">
        <v>0.1</v>
      </c>
      <c r="R10" s="188">
        <v>0.26</v>
      </c>
      <c r="S10" s="188">
        <v>0.08</v>
      </c>
      <c r="T10" s="188">
        <v>7.44</v>
      </c>
      <c r="U10" s="188">
        <v>8.56</v>
      </c>
      <c r="V10" s="188">
        <v>0.46</v>
      </c>
      <c r="W10" s="188"/>
      <c r="X10" s="89"/>
      <c r="Y10" s="187"/>
      <c r="Z10" s="187"/>
      <c r="AA10" s="187"/>
      <c r="AB10" s="187"/>
      <c r="AC10" s="187"/>
      <c r="AD10" s="189"/>
      <c r="AE10" s="188"/>
    </row>
    <row r="11" spans="1:31" ht="21.25" customHeight="1" x14ac:dyDescent="0.15">
      <c r="A11" s="10" t="s">
        <v>146</v>
      </c>
      <c r="B11" s="185" t="s">
        <v>840</v>
      </c>
      <c r="C11" s="186">
        <v>29</v>
      </c>
      <c r="D11" s="185" t="s">
        <v>821</v>
      </c>
      <c r="E11" s="89">
        <v>77</v>
      </c>
      <c r="F11" s="187">
        <v>22.1</v>
      </c>
      <c r="G11" s="188">
        <v>0.56999999999999995</v>
      </c>
      <c r="H11" s="188">
        <v>0.63</v>
      </c>
      <c r="I11" s="188">
        <v>1.2</v>
      </c>
      <c r="J11" s="188">
        <v>3.45</v>
      </c>
      <c r="K11" s="188">
        <v>0.21</v>
      </c>
      <c r="L11" s="188">
        <v>0.41</v>
      </c>
      <c r="M11" s="188">
        <v>0</v>
      </c>
      <c r="N11" s="188">
        <v>0</v>
      </c>
      <c r="O11" s="188">
        <v>0.39</v>
      </c>
      <c r="P11" s="188">
        <v>0.64</v>
      </c>
      <c r="Q11" s="188">
        <v>7.0000000000000007E-2</v>
      </c>
      <c r="R11" s="188">
        <v>0.42</v>
      </c>
      <c r="S11" s="188">
        <v>0.09</v>
      </c>
      <c r="T11" s="188">
        <v>0</v>
      </c>
      <c r="U11" s="188">
        <v>0.03</v>
      </c>
      <c r="V11" s="188">
        <v>0</v>
      </c>
      <c r="W11" s="188"/>
      <c r="X11" s="89"/>
      <c r="Y11" s="187"/>
      <c r="Z11" s="187"/>
      <c r="AA11" s="187"/>
      <c r="AB11" s="187"/>
      <c r="AC11" s="187"/>
      <c r="AD11" s="189"/>
      <c r="AE11" s="188"/>
    </row>
    <row r="12" spans="1:31" ht="21.25" customHeight="1" x14ac:dyDescent="0.15">
      <c r="A12" s="10" t="s">
        <v>152</v>
      </c>
      <c r="B12" s="185" t="s">
        <v>834</v>
      </c>
      <c r="C12" s="186">
        <v>27</v>
      </c>
      <c r="D12" s="185" t="s">
        <v>822</v>
      </c>
      <c r="E12" s="89">
        <v>82</v>
      </c>
      <c r="F12" s="187">
        <v>21.2</v>
      </c>
      <c r="G12" s="188">
        <v>0.44</v>
      </c>
      <c r="H12" s="188">
        <v>0.73</v>
      </c>
      <c r="I12" s="188">
        <v>1.17</v>
      </c>
      <c r="J12" s="188">
        <v>2.8</v>
      </c>
      <c r="K12" s="188">
        <v>0.13</v>
      </c>
      <c r="L12" s="188">
        <v>0.34</v>
      </c>
      <c r="M12" s="188">
        <v>0</v>
      </c>
      <c r="N12" s="188">
        <v>0</v>
      </c>
      <c r="O12" s="188">
        <v>0.36</v>
      </c>
      <c r="P12" s="188">
        <v>1.02</v>
      </c>
      <c r="Q12" s="188">
        <v>0.12</v>
      </c>
      <c r="R12" s="188">
        <v>0.42</v>
      </c>
      <c r="S12" s="188">
        <v>0.08</v>
      </c>
      <c r="T12" s="188">
        <v>0.28000000000000003</v>
      </c>
      <c r="U12" s="188">
        <v>0.44</v>
      </c>
      <c r="V12" s="188">
        <v>0.39</v>
      </c>
      <c r="W12" s="188"/>
      <c r="X12" s="89"/>
      <c r="Y12" s="187"/>
      <c r="Z12" s="187"/>
      <c r="AA12" s="187"/>
      <c r="AB12" s="187"/>
      <c r="AC12" s="187"/>
      <c r="AD12" s="189"/>
      <c r="AE12" s="188"/>
    </row>
    <row r="13" spans="1:31" ht="21.25" customHeight="1" x14ac:dyDescent="0.15">
      <c r="A13" s="10" t="s">
        <v>157</v>
      </c>
      <c r="B13" s="185" t="s">
        <v>841</v>
      </c>
      <c r="C13" s="186">
        <v>30</v>
      </c>
      <c r="D13" s="185" t="s">
        <v>842</v>
      </c>
      <c r="E13" s="89">
        <v>81</v>
      </c>
      <c r="F13" s="187">
        <v>20.100000000000001</v>
      </c>
      <c r="G13" s="188">
        <v>0.48</v>
      </c>
      <c r="H13" s="188">
        <v>0.66</v>
      </c>
      <c r="I13" s="188">
        <v>1.1399999999999999</v>
      </c>
      <c r="J13" s="188">
        <v>2.92</v>
      </c>
      <c r="K13" s="188">
        <v>0.13</v>
      </c>
      <c r="L13" s="188">
        <v>0.36</v>
      </c>
      <c r="M13" s="188">
        <v>0</v>
      </c>
      <c r="N13" s="188">
        <v>0</v>
      </c>
      <c r="O13" s="188">
        <v>0.39</v>
      </c>
      <c r="P13" s="188">
        <v>0.27</v>
      </c>
      <c r="Q13" s="188">
        <v>0.02</v>
      </c>
      <c r="R13" s="188">
        <v>0.33</v>
      </c>
      <c r="S13" s="188">
        <v>7.0000000000000007E-2</v>
      </c>
      <c r="T13" s="188">
        <v>0.65</v>
      </c>
      <c r="U13" s="188">
        <v>0.78</v>
      </c>
      <c r="V13" s="188">
        <v>0.45</v>
      </c>
      <c r="W13" s="188"/>
      <c r="X13" s="89"/>
      <c r="Y13" s="187"/>
      <c r="Z13" s="187"/>
      <c r="AA13" s="187"/>
      <c r="AB13" s="187"/>
      <c r="AC13" s="187"/>
      <c r="AD13" s="189"/>
      <c r="AE13" s="188"/>
    </row>
    <row r="14" spans="1:31" ht="21.25" customHeight="1" x14ac:dyDescent="0.15">
      <c r="A14" s="10" t="s">
        <v>142</v>
      </c>
      <c r="B14" s="185" t="s">
        <v>843</v>
      </c>
      <c r="C14" s="186">
        <v>27</v>
      </c>
      <c r="D14" s="185" t="s">
        <v>844</v>
      </c>
      <c r="E14" s="89">
        <v>84</v>
      </c>
      <c r="F14" s="187">
        <v>20.2</v>
      </c>
      <c r="G14" s="188">
        <v>0.49</v>
      </c>
      <c r="H14" s="188">
        <v>0.64</v>
      </c>
      <c r="I14" s="188">
        <v>1.1399999999999999</v>
      </c>
      <c r="J14" s="188">
        <v>3.37</v>
      </c>
      <c r="K14" s="188">
        <v>0.16</v>
      </c>
      <c r="L14" s="188">
        <v>0.42</v>
      </c>
      <c r="M14" s="188">
        <v>0</v>
      </c>
      <c r="N14" s="188">
        <v>0</v>
      </c>
      <c r="O14" s="188">
        <v>0.47</v>
      </c>
      <c r="P14" s="188">
        <v>0.67</v>
      </c>
      <c r="Q14" s="188">
        <v>0.11</v>
      </c>
      <c r="R14" s="188">
        <v>0.35</v>
      </c>
      <c r="S14" s="188">
        <v>0.08</v>
      </c>
      <c r="T14" s="188">
        <v>0.02</v>
      </c>
      <c r="U14" s="188">
        <v>0.05</v>
      </c>
      <c r="V14" s="188">
        <v>0.27</v>
      </c>
      <c r="W14" s="188"/>
      <c r="X14" s="89"/>
      <c r="Y14" s="187"/>
      <c r="Z14" s="187"/>
      <c r="AA14" s="187"/>
      <c r="AB14" s="187"/>
      <c r="AC14" s="187"/>
      <c r="AD14" s="189"/>
      <c r="AE14" s="188"/>
    </row>
    <row r="15" spans="1:31" ht="21.25" customHeight="1" x14ac:dyDescent="0.15">
      <c r="A15" s="10" t="s">
        <v>180</v>
      </c>
      <c r="B15" s="185" t="s">
        <v>845</v>
      </c>
      <c r="C15" s="186">
        <v>34</v>
      </c>
      <c r="D15" s="185" t="s">
        <v>821</v>
      </c>
      <c r="E15" s="89">
        <v>83</v>
      </c>
      <c r="F15" s="187">
        <v>21.2</v>
      </c>
      <c r="G15" s="188">
        <v>0.41</v>
      </c>
      <c r="H15" s="188">
        <v>0.72</v>
      </c>
      <c r="I15" s="188">
        <v>1.1299999999999999</v>
      </c>
      <c r="J15" s="188">
        <v>3.12</v>
      </c>
      <c r="K15" s="188">
        <v>0.09</v>
      </c>
      <c r="L15" s="188">
        <v>0.36</v>
      </c>
      <c r="M15" s="188">
        <v>0</v>
      </c>
      <c r="N15" s="188">
        <v>0</v>
      </c>
      <c r="O15" s="188">
        <v>0.23</v>
      </c>
      <c r="P15" s="188">
        <v>0.23</v>
      </c>
      <c r="Q15" s="188">
        <v>0.03</v>
      </c>
      <c r="R15" s="188">
        <v>0.31</v>
      </c>
      <c r="S15" s="188">
        <v>7.0000000000000007E-2</v>
      </c>
      <c r="T15" s="188">
        <v>0.01</v>
      </c>
      <c r="U15" s="188">
        <v>0.02</v>
      </c>
      <c r="V15" s="188">
        <v>0.44</v>
      </c>
      <c r="W15" s="188"/>
      <c r="X15" s="89"/>
      <c r="Y15" s="187"/>
      <c r="Z15" s="187"/>
      <c r="AA15" s="187"/>
      <c r="AB15" s="187"/>
      <c r="AC15" s="187"/>
      <c r="AD15" s="189"/>
      <c r="AE15" s="188"/>
    </row>
    <row r="16" spans="1:31" ht="21.25" customHeight="1" x14ac:dyDescent="0.15">
      <c r="A16" s="10" t="s">
        <v>162</v>
      </c>
      <c r="B16" s="185" t="s">
        <v>843</v>
      </c>
      <c r="C16" s="186">
        <v>29</v>
      </c>
      <c r="D16" s="185" t="s">
        <v>844</v>
      </c>
      <c r="E16" s="89">
        <v>81</v>
      </c>
      <c r="F16" s="187">
        <v>20.3</v>
      </c>
      <c r="G16" s="188">
        <v>0.39</v>
      </c>
      <c r="H16" s="188">
        <v>0.75</v>
      </c>
      <c r="I16" s="188">
        <v>1.1299999999999999</v>
      </c>
      <c r="J16" s="188">
        <v>2.46</v>
      </c>
      <c r="K16" s="188">
        <v>0.13</v>
      </c>
      <c r="L16" s="188">
        <v>0.45</v>
      </c>
      <c r="M16" s="188">
        <v>0</v>
      </c>
      <c r="N16" s="188">
        <v>0</v>
      </c>
      <c r="O16" s="188">
        <v>0.49</v>
      </c>
      <c r="P16" s="188">
        <v>0.68</v>
      </c>
      <c r="Q16" s="188">
        <v>0.08</v>
      </c>
      <c r="R16" s="188">
        <v>0.72</v>
      </c>
      <c r="S16" s="188">
        <v>7.0000000000000007E-2</v>
      </c>
      <c r="T16" s="188">
        <v>1.21</v>
      </c>
      <c r="U16" s="188">
        <v>1.21</v>
      </c>
      <c r="V16" s="188">
        <v>0.5</v>
      </c>
      <c r="W16" s="188"/>
      <c r="X16" s="89"/>
      <c r="Y16" s="187"/>
      <c r="Z16" s="187"/>
      <c r="AA16" s="187"/>
      <c r="AB16" s="187"/>
      <c r="AC16" s="187"/>
      <c r="AD16" s="189"/>
      <c r="AE16" s="188"/>
    </row>
    <row r="17" spans="1:31" ht="21.25" customHeight="1" x14ac:dyDescent="0.15">
      <c r="A17" s="10" t="s">
        <v>131</v>
      </c>
      <c r="B17" s="185" t="s">
        <v>840</v>
      </c>
      <c r="C17" s="186">
        <v>26</v>
      </c>
      <c r="D17" s="185" t="s">
        <v>823</v>
      </c>
      <c r="E17" s="89">
        <v>81</v>
      </c>
      <c r="F17" s="187">
        <v>27.7</v>
      </c>
      <c r="G17" s="188">
        <v>0.19</v>
      </c>
      <c r="H17" s="188">
        <v>0.95</v>
      </c>
      <c r="I17" s="188">
        <v>1.1299999999999999</v>
      </c>
      <c r="J17" s="188">
        <v>2.67</v>
      </c>
      <c r="K17" s="188">
        <v>0.05</v>
      </c>
      <c r="L17" s="188">
        <v>0.46</v>
      </c>
      <c r="M17" s="188">
        <v>0</v>
      </c>
      <c r="N17" s="188">
        <v>0</v>
      </c>
      <c r="O17" s="188">
        <v>1.21</v>
      </c>
      <c r="P17" s="188">
        <v>0.26</v>
      </c>
      <c r="Q17" s="188">
        <v>0.08</v>
      </c>
      <c r="R17" s="188">
        <v>0.46</v>
      </c>
      <c r="S17" s="188">
        <v>0.03</v>
      </c>
      <c r="T17" s="188">
        <v>0</v>
      </c>
      <c r="U17" s="188">
        <v>0</v>
      </c>
      <c r="V17" s="188">
        <v>0</v>
      </c>
      <c r="W17" s="188"/>
      <c r="X17" s="89"/>
      <c r="Y17" s="187"/>
      <c r="Z17" s="187"/>
      <c r="AA17" s="187"/>
      <c r="AB17" s="187"/>
      <c r="AC17" s="187"/>
      <c r="AD17" s="189"/>
      <c r="AE17" s="188"/>
    </row>
    <row r="18" spans="1:31" ht="21.25" customHeight="1" x14ac:dyDescent="0.15">
      <c r="A18" s="10" t="s">
        <v>147</v>
      </c>
      <c r="B18" s="185" t="s">
        <v>846</v>
      </c>
      <c r="C18" s="186">
        <v>27</v>
      </c>
      <c r="D18" s="185" t="s">
        <v>820</v>
      </c>
      <c r="E18" s="89">
        <v>84</v>
      </c>
      <c r="F18" s="187">
        <v>20.8</v>
      </c>
      <c r="G18" s="188">
        <v>0.37</v>
      </c>
      <c r="H18" s="188">
        <v>0.76</v>
      </c>
      <c r="I18" s="188">
        <v>1.1299999999999999</v>
      </c>
      <c r="J18" s="188">
        <v>2.2599999999999998</v>
      </c>
      <c r="K18" s="188">
        <v>0.11</v>
      </c>
      <c r="L18" s="188">
        <v>0.43</v>
      </c>
      <c r="M18" s="188">
        <v>0.01</v>
      </c>
      <c r="N18" s="188">
        <v>0.01</v>
      </c>
      <c r="O18" s="188">
        <v>0.75</v>
      </c>
      <c r="P18" s="188">
        <v>0.77</v>
      </c>
      <c r="Q18" s="188">
        <v>0.08</v>
      </c>
      <c r="R18" s="188">
        <v>0.28999999999999998</v>
      </c>
      <c r="S18" s="188">
        <v>0.06</v>
      </c>
      <c r="T18" s="188">
        <v>8.83</v>
      </c>
      <c r="U18" s="188">
        <v>8.3699999999999992</v>
      </c>
      <c r="V18" s="188">
        <v>0.51</v>
      </c>
      <c r="W18" s="188"/>
      <c r="X18" s="89"/>
      <c r="Y18" s="187"/>
      <c r="Z18" s="187"/>
      <c r="AA18" s="187"/>
      <c r="AB18" s="187"/>
      <c r="AC18" s="187"/>
      <c r="AD18" s="189"/>
      <c r="AE18" s="188"/>
    </row>
    <row r="19" spans="1:31" ht="21.25" customHeight="1" x14ac:dyDescent="0.15">
      <c r="A19" s="10" t="s">
        <v>179</v>
      </c>
      <c r="B19" s="185" t="s">
        <v>847</v>
      </c>
      <c r="C19" s="186">
        <v>33</v>
      </c>
      <c r="D19" s="185" t="s">
        <v>820</v>
      </c>
      <c r="E19" s="89">
        <v>83</v>
      </c>
      <c r="F19" s="187">
        <v>21.5</v>
      </c>
      <c r="G19" s="188">
        <v>0.42</v>
      </c>
      <c r="H19" s="188">
        <v>0.69</v>
      </c>
      <c r="I19" s="188">
        <v>1.1100000000000001</v>
      </c>
      <c r="J19" s="188">
        <v>2.2200000000000002</v>
      </c>
      <c r="K19" s="188">
        <v>0.1</v>
      </c>
      <c r="L19" s="188">
        <v>0.27</v>
      </c>
      <c r="M19" s="188">
        <v>0</v>
      </c>
      <c r="N19" s="188">
        <v>0</v>
      </c>
      <c r="O19" s="188">
        <v>0.61</v>
      </c>
      <c r="P19" s="188">
        <v>0.59</v>
      </c>
      <c r="Q19" s="188">
        <v>0.02</v>
      </c>
      <c r="R19" s="188">
        <v>0.51</v>
      </c>
      <c r="S19" s="188">
        <v>7.0000000000000007E-2</v>
      </c>
      <c r="T19" s="188">
        <v>7.64</v>
      </c>
      <c r="U19" s="188">
        <v>8.2799999999999994</v>
      </c>
      <c r="V19" s="188">
        <v>0.48</v>
      </c>
      <c r="W19" s="188"/>
      <c r="X19" s="89"/>
      <c r="Y19" s="187"/>
      <c r="Z19" s="187"/>
      <c r="AA19" s="187"/>
      <c r="AB19" s="187"/>
      <c r="AC19" s="187"/>
      <c r="AD19" s="189"/>
      <c r="AE19" s="188"/>
    </row>
    <row r="20" spans="1:31" ht="21.25" customHeight="1" x14ac:dyDescent="0.15">
      <c r="A20" s="10" t="s">
        <v>153</v>
      </c>
      <c r="B20" s="185" t="s">
        <v>847</v>
      </c>
      <c r="C20" s="186">
        <v>29</v>
      </c>
      <c r="D20" s="185" t="s">
        <v>821</v>
      </c>
      <c r="E20" s="89">
        <v>82</v>
      </c>
      <c r="F20" s="187">
        <v>21.5</v>
      </c>
      <c r="G20" s="188">
        <v>0.48</v>
      </c>
      <c r="H20" s="188">
        <v>0.63</v>
      </c>
      <c r="I20" s="188">
        <v>1.1000000000000001</v>
      </c>
      <c r="J20" s="188">
        <v>3.35</v>
      </c>
      <c r="K20" s="188">
        <v>0.08</v>
      </c>
      <c r="L20" s="188">
        <v>0.28000000000000003</v>
      </c>
      <c r="M20" s="188">
        <v>0.01</v>
      </c>
      <c r="N20" s="188">
        <v>0.02</v>
      </c>
      <c r="O20" s="188">
        <v>0.36</v>
      </c>
      <c r="P20" s="188">
        <v>0.42</v>
      </c>
      <c r="Q20" s="188">
        <v>0.02</v>
      </c>
      <c r="R20" s="188">
        <v>0.27</v>
      </c>
      <c r="S20" s="188">
        <v>0.08</v>
      </c>
      <c r="T20" s="188">
        <v>0</v>
      </c>
      <c r="U20" s="188">
        <v>0.03</v>
      </c>
      <c r="V20" s="188">
        <v>0.1</v>
      </c>
      <c r="W20" s="188"/>
      <c r="X20" s="89"/>
      <c r="Y20" s="187"/>
      <c r="Z20" s="187"/>
      <c r="AA20" s="187"/>
      <c r="AB20" s="187"/>
      <c r="AC20" s="187"/>
      <c r="AD20" s="189"/>
      <c r="AE20" s="188"/>
    </row>
    <row r="21" spans="1:31" ht="21.25" customHeight="1" x14ac:dyDescent="0.15">
      <c r="A21" s="10" t="s">
        <v>138</v>
      </c>
      <c r="B21" s="185" t="s">
        <v>841</v>
      </c>
      <c r="C21" s="186">
        <v>29</v>
      </c>
      <c r="D21" s="185" t="s">
        <v>820</v>
      </c>
      <c r="E21" s="89">
        <v>78</v>
      </c>
      <c r="F21" s="187">
        <v>20.6</v>
      </c>
      <c r="G21" s="188">
        <v>0.54</v>
      </c>
      <c r="H21" s="188">
        <v>0.55000000000000004</v>
      </c>
      <c r="I21" s="188">
        <v>1.0900000000000001</v>
      </c>
      <c r="J21" s="188">
        <v>3.91</v>
      </c>
      <c r="K21" s="188">
        <v>0.15</v>
      </c>
      <c r="L21" s="188">
        <v>0.33</v>
      </c>
      <c r="M21" s="188">
        <v>0</v>
      </c>
      <c r="N21" s="188">
        <v>0</v>
      </c>
      <c r="O21" s="188">
        <v>1.1299999999999999</v>
      </c>
      <c r="P21" s="188">
        <v>0.74</v>
      </c>
      <c r="Q21" s="188">
        <v>0.04</v>
      </c>
      <c r="R21" s="188">
        <v>0.28999999999999998</v>
      </c>
      <c r="S21" s="188">
        <v>7.0000000000000007E-2</v>
      </c>
      <c r="T21" s="188">
        <v>9.31</v>
      </c>
      <c r="U21" s="188">
        <v>7.05</v>
      </c>
      <c r="V21" s="188">
        <v>0.56999999999999995</v>
      </c>
      <c r="W21" s="188"/>
      <c r="X21" s="89"/>
      <c r="Y21" s="187"/>
      <c r="Z21" s="187"/>
      <c r="AA21" s="187"/>
      <c r="AB21" s="187"/>
      <c r="AC21" s="187"/>
      <c r="AD21" s="189"/>
      <c r="AE21" s="188"/>
    </row>
    <row r="22" spans="1:31" ht="21.25" customHeight="1" x14ac:dyDescent="0.15">
      <c r="A22" s="10" t="s">
        <v>185</v>
      </c>
      <c r="B22" s="185" t="s">
        <v>839</v>
      </c>
      <c r="C22" s="186">
        <v>29</v>
      </c>
      <c r="D22" s="185" t="s">
        <v>848</v>
      </c>
      <c r="E22" s="89">
        <v>82</v>
      </c>
      <c r="F22" s="187">
        <v>19.899999999999999</v>
      </c>
      <c r="G22" s="188">
        <v>0.31</v>
      </c>
      <c r="H22" s="188">
        <v>0.76</v>
      </c>
      <c r="I22" s="188">
        <v>1.08</v>
      </c>
      <c r="J22" s="188">
        <v>2.11</v>
      </c>
      <c r="K22" s="188">
        <v>0.08</v>
      </c>
      <c r="L22" s="188">
        <v>0.37</v>
      </c>
      <c r="M22" s="188">
        <v>0</v>
      </c>
      <c r="N22" s="188">
        <v>0.01</v>
      </c>
      <c r="O22" s="188">
        <v>0.54</v>
      </c>
      <c r="P22" s="188">
        <v>0.47</v>
      </c>
      <c r="Q22" s="188">
        <v>0.09</v>
      </c>
      <c r="R22" s="188">
        <v>0.28000000000000003</v>
      </c>
      <c r="S22" s="188">
        <v>0.06</v>
      </c>
      <c r="T22" s="188">
        <v>1.07</v>
      </c>
      <c r="U22" s="188">
        <v>2.2799999999999998</v>
      </c>
      <c r="V22" s="188">
        <v>0.32</v>
      </c>
      <c r="W22" s="188"/>
      <c r="X22" s="89"/>
      <c r="Y22" s="187"/>
      <c r="Z22" s="187"/>
      <c r="AA22" s="187"/>
      <c r="AB22" s="187"/>
      <c r="AC22" s="187"/>
      <c r="AD22" s="189"/>
      <c r="AE22" s="188"/>
    </row>
    <row r="23" spans="1:31" ht="21.25" customHeight="1" x14ac:dyDescent="0.15">
      <c r="A23" s="10" t="s">
        <v>182</v>
      </c>
      <c r="B23" s="185" t="s">
        <v>849</v>
      </c>
      <c r="C23" s="186">
        <v>28</v>
      </c>
      <c r="D23" s="185" t="s">
        <v>844</v>
      </c>
      <c r="E23" s="89">
        <v>77</v>
      </c>
      <c r="F23" s="187">
        <v>18.8</v>
      </c>
      <c r="G23" s="188">
        <v>0.38</v>
      </c>
      <c r="H23" s="188">
        <v>0.69</v>
      </c>
      <c r="I23" s="188">
        <v>1.07</v>
      </c>
      <c r="J23" s="188">
        <v>3.08</v>
      </c>
      <c r="K23" s="188">
        <v>0.13</v>
      </c>
      <c r="L23" s="188">
        <v>0.4</v>
      </c>
      <c r="M23" s="188">
        <v>0</v>
      </c>
      <c r="N23" s="188">
        <v>0</v>
      </c>
      <c r="O23" s="188">
        <v>0.3</v>
      </c>
      <c r="P23" s="188">
        <v>1.25</v>
      </c>
      <c r="Q23" s="188">
        <v>7.0000000000000007E-2</v>
      </c>
      <c r="R23" s="188">
        <v>0.83</v>
      </c>
      <c r="S23" s="188">
        <v>0.06</v>
      </c>
      <c r="T23" s="188">
        <v>7.0000000000000007E-2</v>
      </c>
      <c r="U23" s="188">
        <v>0.19</v>
      </c>
      <c r="V23" s="188">
        <v>0.28999999999999998</v>
      </c>
      <c r="W23" s="188"/>
      <c r="X23" s="89"/>
      <c r="Y23" s="187"/>
      <c r="Z23" s="187"/>
      <c r="AA23" s="187"/>
      <c r="AB23" s="187"/>
      <c r="AC23" s="187"/>
      <c r="AD23" s="189"/>
      <c r="AE23" s="188"/>
    </row>
    <row r="24" spans="1:31" ht="21.25" customHeight="1" x14ac:dyDescent="0.15">
      <c r="A24" s="10" t="s">
        <v>141</v>
      </c>
      <c r="B24" s="185" t="s">
        <v>840</v>
      </c>
      <c r="C24" s="186">
        <v>25</v>
      </c>
      <c r="D24" s="185" t="s">
        <v>844</v>
      </c>
      <c r="E24" s="89">
        <v>82</v>
      </c>
      <c r="F24" s="187">
        <v>21.5</v>
      </c>
      <c r="G24" s="188">
        <v>0.47</v>
      </c>
      <c r="H24" s="188">
        <v>0.6</v>
      </c>
      <c r="I24" s="188">
        <v>1.07</v>
      </c>
      <c r="J24" s="188">
        <v>3.4</v>
      </c>
      <c r="K24" s="188">
        <v>0.12</v>
      </c>
      <c r="L24" s="188">
        <v>0.34</v>
      </c>
      <c r="M24" s="188">
        <v>0.02</v>
      </c>
      <c r="N24" s="188">
        <v>0.03</v>
      </c>
      <c r="O24" s="188">
        <v>0.79</v>
      </c>
      <c r="P24" s="188">
        <v>0.77</v>
      </c>
      <c r="Q24" s="188">
        <v>0.06</v>
      </c>
      <c r="R24" s="188">
        <v>0.56000000000000005</v>
      </c>
      <c r="S24" s="188">
        <v>0.08</v>
      </c>
      <c r="T24" s="188">
        <v>0.73</v>
      </c>
      <c r="U24" s="188">
        <v>0.91</v>
      </c>
      <c r="V24" s="188">
        <v>0.45</v>
      </c>
      <c r="W24" s="188"/>
      <c r="X24" s="89"/>
      <c r="Y24" s="187"/>
      <c r="Z24" s="187"/>
      <c r="AA24" s="187"/>
      <c r="AB24" s="187"/>
      <c r="AC24" s="187"/>
      <c r="AD24" s="189"/>
      <c r="AE24" s="188"/>
    </row>
    <row r="25" spans="1:31" ht="21.25" customHeight="1" x14ac:dyDescent="0.15">
      <c r="A25" s="10" t="s">
        <v>154</v>
      </c>
      <c r="B25" s="185" t="s">
        <v>843</v>
      </c>
      <c r="C25" s="186">
        <v>23</v>
      </c>
      <c r="D25" s="185" t="s">
        <v>842</v>
      </c>
      <c r="E25" s="89">
        <v>84</v>
      </c>
      <c r="F25" s="187">
        <v>19.899999999999999</v>
      </c>
      <c r="G25" s="188">
        <v>0.51</v>
      </c>
      <c r="H25" s="188">
        <v>0.54</v>
      </c>
      <c r="I25" s="188">
        <v>1.05</v>
      </c>
      <c r="J25" s="188">
        <v>2.7</v>
      </c>
      <c r="K25" s="188">
        <v>0.23</v>
      </c>
      <c r="L25" s="188">
        <v>0.43</v>
      </c>
      <c r="M25" s="188">
        <v>0</v>
      </c>
      <c r="N25" s="188">
        <v>0</v>
      </c>
      <c r="O25" s="188">
        <v>0.64</v>
      </c>
      <c r="P25" s="188">
        <v>0.67</v>
      </c>
      <c r="Q25" s="188">
        <v>0.06</v>
      </c>
      <c r="R25" s="188">
        <v>0.38</v>
      </c>
      <c r="S25" s="188">
        <v>0.09</v>
      </c>
      <c r="T25" s="188">
        <v>5.0599999999999996</v>
      </c>
      <c r="U25" s="188">
        <v>5.19</v>
      </c>
      <c r="V25" s="188">
        <v>0.49</v>
      </c>
      <c r="W25" s="188"/>
      <c r="X25" s="89"/>
      <c r="Y25" s="187"/>
      <c r="Z25" s="187"/>
      <c r="AA25" s="187"/>
      <c r="AB25" s="187"/>
      <c r="AC25" s="187"/>
      <c r="AD25" s="189"/>
      <c r="AE25" s="188"/>
    </row>
    <row r="26" spans="1:31" ht="21.25" customHeight="1" x14ac:dyDescent="0.15">
      <c r="A26" s="10" t="s">
        <v>212</v>
      </c>
      <c r="B26" s="185" t="s">
        <v>850</v>
      </c>
      <c r="C26" s="186">
        <v>21</v>
      </c>
      <c r="D26" s="185" t="s">
        <v>842</v>
      </c>
      <c r="E26" s="89">
        <v>66</v>
      </c>
      <c r="F26" s="187">
        <v>20.9</v>
      </c>
      <c r="G26" s="188">
        <v>0.4</v>
      </c>
      <c r="H26" s="188">
        <v>0.65</v>
      </c>
      <c r="I26" s="188">
        <v>1.05</v>
      </c>
      <c r="J26" s="188">
        <v>3.11</v>
      </c>
      <c r="K26" s="188">
        <v>0.13</v>
      </c>
      <c r="L26" s="188">
        <v>0.38</v>
      </c>
      <c r="M26" s="188">
        <v>0</v>
      </c>
      <c r="N26" s="188">
        <v>0</v>
      </c>
      <c r="O26" s="188">
        <v>0.43</v>
      </c>
      <c r="P26" s="188">
        <v>0.54</v>
      </c>
      <c r="Q26" s="188">
        <v>-0.14000000000000001</v>
      </c>
      <c r="R26" s="188">
        <v>0.61</v>
      </c>
      <c r="S26" s="188">
        <v>0.05</v>
      </c>
      <c r="T26" s="188">
        <v>3.89</v>
      </c>
      <c r="U26" s="188">
        <v>5.39</v>
      </c>
      <c r="V26" s="188">
        <v>0.42</v>
      </c>
      <c r="W26" s="188"/>
      <c r="X26" s="89"/>
      <c r="Y26" s="187"/>
      <c r="Z26" s="187"/>
      <c r="AA26" s="187"/>
      <c r="AB26" s="187"/>
      <c r="AC26" s="187"/>
      <c r="AD26" s="189"/>
      <c r="AE26" s="188"/>
    </row>
    <row r="27" spans="1:31" ht="21.25" customHeight="1" x14ac:dyDescent="0.15">
      <c r="A27" s="10" t="s">
        <v>130</v>
      </c>
      <c r="B27" s="185" t="s">
        <v>834</v>
      </c>
      <c r="C27" s="186">
        <v>27</v>
      </c>
      <c r="D27" s="185" t="s">
        <v>823</v>
      </c>
      <c r="E27" s="89">
        <v>82</v>
      </c>
      <c r="F27" s="187">
        <v>25.3</v>
      </c>
      <c r="G27" s="188">
        <v>0.27</v>
      </c>
      <c r="H27" s="188">
        <v>0.78</v>
      </c>
      <c r="I27" s="188">
        <v>1.05</v>
      </c>
      <c r="J27" s="188">
        <v>2.75</v>
      </c>
      <c r="K27" s="188">
        <v>0.08</v>
      </c>
      <c r="L27" s="188">
        <v>0.41</v>
      </c>
      <c r="M27" s="188">
        <v>0.01</v>
      </c>
      <c r="N27" s="188">
        <v>0.02</v>
      </c>
      <c r="O27" s="188">
        <v>1.62</v>
      </c>
      <c r="P27" s="188">
        <v>0.63</v>
      </c>
      <c r="Q27" s="188">
        <v>0.12</v>
      </c>
      <c r="R27" s="188">
        <v>0.3</v>
      </c>
      <c r="S27" s="188">
        <v>0.05</v>
      </c>
      <c r="T27" s="188">
        <v>0</v>
      </c>
      <c r="U27" s="188">
        <v>0</v>
      </c>
      <c r="V27" s="188">
        <v>0</v>
      </c>
      <c r="W27" s="188"/>
      <c r="X27" s="89"/>
      <c r="Y27" s="187"/>
      <c r="Z27" s="187"/>
      <c r="AA27" s="187"/>
      <c r="AB27" s="187"/>
      <c r="AC27" s="187"/>
      <c r="AD27" s="189"/>
      <c r="AE27" s="188"/>
    </row>
    <row r="28" spans="1:31" ht="21.25" customHeight="1" x14ac:dyDescent="0.15">
      <c r="A28" s="10" t="s">
        <v>173</v>
      </c>
      <c r="B28" s="185" t="s">
        <v>851</v>
      </c>
      <c r="C28" s="186">
        <v>39</v>
      </c>
      <c r="D28" s="185" t="s">
        <v>820</v>
      </c>
      <c r="E28" s="89">
        <v>81</v>
      </c>
      <c r="F28" s="187">
        <v>19.399999999999999</v>
      </c>
      <c r="G28" s="188">
        <v>0.41</v>
      </c>
      <c r="H28" s="188">
        <v>0.63</v>
      </c>
      <c r="I28" s="188">
        <v>1.04</v>
      </c>
      <c r="J28" s="188">
        <v>2.64</v>
      </c>
      <c r="K28" s="188">
        <v>0.14000000000000001</v>
      </c>
      <c r="L28" s="188">
        <v>0.32</v>
      </c>
      <c r="M28" s="188">
        <v>0</v>
      </c>
      <c r="N28" s="188">
        <v>0</v>
      </c>
      <c r="O28" s="188">
        <v>0.46</v>
      </c>
      <c r="P28" s="188">
        <v>0.86</v>
      </c>
      <c r="Q28" s="188">
        <v>0.02</v>
      </c>
      <c r="R28" s="188">
        <v>0.45</v>
      </c>
      <c r="S28" s="188">
        <v>0.06</v>
      </c>
      <c r="T28" s="188">
        <v>11.98</v>
      </c>
      <c r="U28" s="188">
        <v>9.15</v>
      </c>
      <c r="V28" s="188">
        <v>0.56999999999999995</v>
      </c>
      <c r="W28" s="188"/>
      <c r="X28" s="89"/>
      <c r="Y28" s="187"/>
      <c r="Z28" s="187"/>
      <c r="AA28" s="187"/>
      <c r="AB28" s="187"/>
      <c r="AC28" s="187"/>
      <c r="AD28" s="189"/>
      <c r="AE28" s="188"/>
    </row>
    <row r="29" spans="1:31" ht="21.25" customHeight="1" x14ac:dyDescent="0.15">
      <c r="A29" s="10" t="s">
        <v>257</v>
      </c>
      <c r="B29" s="185" t="s">
        <v>839</v>
      </c>
      <c r="C29" s="186">
        <v>34</v>
      </c>
      <c r="D29" s="185" t="s">
        <v>822</v>
      </c>
      <c r="E29" s="89">
        <v>68</v>
      </c>
      <c r="F29" s="187">
        <v>19.5</v>
      </c>
      <c r="G29" s="188">
        <v>0.35</v>
      </c>
      <c r="H29" s="188">
        <v>0.69</v>
      </c>
      <c r="I29" s="188">
        <v>1.04</v>
      </c>
      <c r="J29" s="188">
        <v>2.15</v>
      </c>
      <c r="K29" s="188">
        <v>0.12</v>
      </c>
      <c r="L29" s="188">
        <v>0.4</v>
      </c>
      <c r="M29" s="188">
        <v>0.01</v>
      </c>
      <c r="N29" s="188">
        <v>0.03</v>
      </c>
      <c r="O29" s="188">
        <v>0.72</v>
      </c>
      <c r="P29" s="188">
        <v>0.57999999999999996</v>
      </c>
      <c r="Q29" s="188">
        <v>0.09</v>
      </c>
      <c r="R29" s="188">
        <v>0.28000000000000003</v>
      </c>
      <c r="S29" s="188">
        <v>7.0000000000000007E-2</v>
      </c>
      <c r="T29" s="188">
        <v>0.05</v>
      </c>
      <c r="U29" s="188">
        <v>0.16</v>
      </c>
      <c r="V29" s="188">
        <v>0.24</v>
      </c>
      <c r="W29" s="188"/>
      <c r="X29" s="89"/>
      <c r="Y29" s="187"/>
      <c r="Z29" s="187"/>
      <c r="AA29" s="187"/>
      <c r="AB29" s="187"/>
      <c r="AC29" s="187"/>
      <c r="AD29" s="189"/>
      <c r="AE29" s="188"/>
    </row>
    <row r="30" spans="1:31" ht="21.25" customHeight="1" x14ac:dyDescent="0.15">
      <c r="A30" s="10" t="s">
        <v>167</v>
      </c>
      <c r="B30" s="185" t="s">
        <v>852</v>
      </c>
      <c r="C30" s="186">
        <v>28</v>
      </c>
      <c r="D30" s="185" t="s">
        <v>844</v>
      </c>
      <c r="E30" s="89">
        <v>83</v>
      </c>
      <c r="F30" s="187">
        <v>19.100000000000001</v>
      </c>
      <c r="G30" s="188">
        <v>0.34</v>
      </c>
      <c r="H30" s="188">
        <v>0.69</v>
      </c>
      <c r="I30" s="188">
        <v>1.03</v>
      </c>
      <c r="J30" s="188">
        <v>2.75</v>
      </c>
      <c r="K30" s="188">
        <v>0.08</v>
      </c>
      <c r="L30" s="188">
        <v>0.36</v>
      </c>
      <c r="M30" s="188">
        <v>0</v>
      </c>
      <c r="N30" s="188">
        <v>0</v>
      </c>
      <c r="O30" s="188">
        <v>0.4</v>
      </c>
      <c r="P30" s="188">
        <v>0.18</v>
      </c>
      <c r="Q30" s="188">
        <v>0.04</v>
      </c>
      <c r="R30" s="188">
        <v>0.42</v>
      </c>
      <c r="S30" s="188">
        <v>0.06</v>
      </c>
      <c r="T30" s="188">
        <v>0.18</v>
      </c>
      <c r="U30" s="188">
        <v>0.28999999999999998</v>
      </c>
      <c r="V30" s="188">
        <v>0.38</v>
      </c>
      <c r="W30" s="188"/>
      <c r="X30" s="89"/>
      <c r="Y30" s="187"/>
      <c r="Z30" s="187"/>
      <c r="AA30" s="187"/>
      <c r="AB30" s="187"/>
      <c r="AC30" s="187"/>
      <c r="AD30" s="189"/>
      <c r="AE30" s="188"/>
    </row>
    <row r="31" spans="1:31" ht="21.25" customHeight="1" x14ac:dyDescent="0.15">
      <c r="A31" s="10" t="s">
        <v>171</v>
      </c>
      <c r="B31" s="185" t="s">
        <v>849</v>
      </c>
      <c r="C31" s="186">
        <v>31</v>
      </c>
      <c r="D31" s="185" t="s">
        <v>820</v>
      </c>
      <c r="E31" s="89">
        <v>79</v>
      </c>
      <c r="F31" s="187">
        <v>20.5</v>
      </c>
      <c r="G31" s="188">
        <v>0.31</v>
      </c>
      <c r="H31" s="188">
        <v>0.72</v>
      </c>
      <c r="I31" s="188">
        <v>1.03</v>
      </c>
      <c r="J31" s="188">
        <v>2.5099999999999998</v>
      </c>
      <c r="K31" s="188">
        <v>0.1</v>
      </c>
      <c r="L31" s="188">
        <v>0.39</v>
      </c>
      <c r="M31" s="188">
        <v>0.01</v>
      </c>
      <c r="N31" s="188">
        <v>0.04</v>
      </c>
      <c r="O31" s="188">
        <v>0.73</v>
      </c>
      <c r="P31" s="188">
        <v>1.24</v>
      </c>
      <c r="Q31" s="188">
        <v>0.08</v>
      </c>
      <c r="R31" s="188">
        <v>0.35</v>
      </c>
      <c r="S31" s="188">
        <v>0.05</v>
      </c>
      <c r="T31" s="188">
        <v>8.86</v>
      </c>
      <c r="U31" s="188">
        <v>6.72</v>
      </c>
      <c r="V31" s="188">
        <v>0.56999999999999995</v>
      </c>
      <c r="W31" s="188"/>
      <c r="X31" s="89"/>
      <c r="Y31" s="187"/>
      <c r="Z31" s="187"/>
      <c r="AA31" s="187"/>
      <c r="AB31" s="187"/>
      <c r="AC31" s="187"/>
      <c r="AD31" s="189"/>
      <c r="AE31" s="188"/>
    </row>
    <row r="32" spans="1:31" ht="21.25" customHeight="1" x14ac:dyDescent="0.15">
      <c r="A32" s="10" t="s">
        <v>129</v>
      </c>
      <c r="B32" s="185" t="s">
        <v>853</v>
      </c>
      <c r="C32" s="186">
        <v>29</v>
      </c>
      <c r="D32" s="185" t="s">
        <v>823</v>
      </c>
      <c r="E32" s="89">
        <v>81</v>
      </c>
      <c r="F32" s="187">
        <v>27.1</v>
      </c>
      <c r="G32" s="188">
        <v>0.25</v>
      </c>
      <c r="H32" s="188">
        <v>0.76</v>
      </c>
      <c r="I32" s="188">
        <v>1.01</v>
      </c>
      <c r="J32" s="188">
        <v>3.45</v>
      </c>
      <c r="K32" s="188">
        <v>0.06</v>
      </c>
      <c r="L32" s="188">
        <v>0.31</v>
      </c>
      <c r="M32" s="188">
        <v>0</v>
      </c>
      <c r="N32" s="188">
        <v>0.02</v>
      </c>
      <c r="O32" s="188">
        <v>1.45</v>
      </c>
      <c r="P32" s="188">
        <v>0.44</v>
      </c>
      <c r="Q32" s="188">
        <v>0.06</v>
      </c>
      <c r="R32" s="188">
        <v>0.36</v>
      </c>
      <c r="S32" s="188">
        <v>0.04</v>
      </c>
      <c r="T32" s="188">
        <v>0</v>
      </c>
      <c r="U32" s="188">
        <v>0</v>
      </c>
      <c r="V32" s="188">
        <v>0</v>
      </c>
      <c r="W32" s="188"/>
      <c r="X32" s="89"/>
      <c r="Y32" s="187"/>
      <c r="Z32" s="187"/>
      <c r="AA32" s="187"/>
      <c r="AB32" s="187"/>
      <c r="AC32" s="187"/>
      <c r="AD32" s="189"/>
      <c r="AE32" s="188"/>
    </row>
    <row r="33" spans="1:31" ht="21.25" customHeight="1" x14ac:dyDescent="0.15">
      <c r="A33" s="10" t="s">
        <v>219</v>
      </c>
      <c r="B33" s="185" t="s">
        <v>854</v>
      </c>
      <c r="C33" s="186">
        <v>27</v>
      </c>
      <c r="D33" s="185" t="s">
        <v>820</v>
      </c>
      <c r="E33" s="89">
        <v>79</v>
      </c>
      <c r="F33" s="187">
        <v>19.100000000000001</v>
      </c>
      <c r="G33" s="188">
        <v>0.34</v>
      </c>
      <c r="H33" s="188">
        <v>0.67</v>
      </c>
      <c r="I33" s="188">
        <v>1.01</v>
      </c>
      <c r="J33" s="188">
        <v>1.83</v>
      </c>
      <c r="K33" s="188">
        <v>0.06</v>
      </c>
      <c r="L33" s="188">
        <v>0.26</v>
      </c>
      <c r="M33" s="188">
        <v>0.01</v>
      </c>
      <c r="N33" s="188">
        <v>0.02</v>
      </c>
      <c r="O33" s="188">
        <v>0.59</v>
      </c>
      <c r="P33" s="188">
        <v>0.28000000000000003</v>
      </c>
      <c r="Q33" s="188">
        <v>0.03</v>
      </c>
      <c r="R33" s="188">
        <v>0.38</v>
      </c>
      <c r="S33" s="188">
        <v>0.05</v>
      </c>
      <c r="T33" s="188">
        <v>9.02</v>
      </c>
      <c r="U33" s="188">
        <v>7.94</v>
      </c>
      <c r="V33" s="188">
        <v>0.53</v>
      </c>
      <c r="W33" s="188"/>
      <c r="X33" s="89"/>
      <c r="Y33" s="187"/>
      <c r="Z33" s="187"/>
      <c r="AA33" s="187"/>
      <c r="AB33" s="187"/>
      <c r="AC33" s="187"/>
      <c r="AD33" s="189"/>
      <c r="AE33" s="188"/>
    </row>
    <row r="34" spans="1:31" ht="21.25" customHeight="1" x14ac:dyDescent="0.15">
      <c r="A34" s="10" t="s">
        <v>133</v>
      </c>
      <c r="B34" s="185" t="s">
        <v>832</v>
      </c>
      <c r="C34" s="186">
        <v>26</v>
      </c>
      <c r="D34" s="185" t="s">
        <v>823</v>
      </c>
      <c r="E34" s="89">
        <v>84</v>
      </c>
      <c r="F34" s="187">
        <v>24.9</v>
      </c>
      <c r="G34" s="188">
        <v>0.21</v>
      </c>
      <c r="H34" s="188">
        <v>0.79</v>
      </c>
      <c r="I34" s="188">
        <v>1</v>
      </c>
      <c r="J34" s="188">
        <v>2.72</v>
      </c>
      <c r="K34" s="188">
        <v>7.0000000000000007E-2</v>
      </c>
      <c r="L34" s="188">
        <v>0.41</v>
      </c>
      <c r="M34" s="188">
        <v>0</v>
      </c>
      <c r="N34" s="188">
        <v>0.02</v>
      </c>
      <c r="O34" s="188">
        <v>1.37</v>
      </c>
      <c r="P34" s="188">
        <v>0.52</v>
      </c>
      <c r="Q34" s="188">
        <v>0.11</v>
      </c>
      <c r="R34" s="188">
        <v>0.43</v>
      </c>
      <c r="S34" s="188">
        <v>0.04</v>
      </c>
      <c r="T34" s="188">
        <v>0</v>
      </c>
      <c r="U34" s="188">
        <v>0</v>
      </c>
      <c r="V34" s="188">
        <v>0</v>
      </c>
      <c r="W34" s="188"/>
      <c r="X34" s="89"/>
      <c r="Y34" s="187"/>
      <c r="Z34" s="187"/>
      <c r="AA34" s="187"/>
      <c r="AB34" s="187"/>
      <c r="AC34" s="187"/>
      <c r="AD34" s="189"/>
      <c r="AE34" s="188"/>
    </row>
    <row r="35" spans="1:31" ht="21.25" customHeight="1" x14ac:dyDescent="0.15">
      <c r="A35" s="10" t="s">
        <v>163</v>
      </c>
      <c r="B35" s="185" t="s">
        <v>855</v>
      </c>
      <c r="C35" s="186">
        <v>21</v>
      </c>
      <c r="D35" s="185" t="s">
        <v>820</v>
      </c>
      <c r="E35" s="89">
        <v>78</v>
      </c>
      <c r="F35" s="187">
        <v>21.7</v>
      </c>
      <c r="G35" s="188">
        <v>0.43</v>
      </c>
      <c r="H35" s="188">
        <v>0.56000000000000005</v>
      </c>
      <c r="I35" s="188">
        <v>0.99</v>
      </c>
      <c r="J35" s="188">
        <v>2.83</v>
      </c>
      <c r="K35" s="188">
        <v>0.08</v>
      </c>
      <c r="L35" s="188">
        <v>0.25</v>
      </c>
      <c r="M35" s="188">
        <v>0.03</v>
      </c>
      <c r="N35" s="188">
        <v>0.05</v>
      </c>
      <c r="O35" s="188">
        <v>0.53</v>
      </c>
      <c r="P35" s="188">
        <v>0.35</v>
      </c>
      <c r="Q35" s="188">
        <v>-0.02</v>
      </c>
      <c r="R35" s="188">
        <v>0.37</v>
      </c>
      <c r="S35" s="188">
        <v>0.06</v>
      </c>
      <c r="T35" s="188">
        <v>6.19</v>
      </c>
      <c r="U35" s="188">
        <v>8.7799999999999994</v>
      </c>
      <c r="V35" s="188">
        <v>0.41</v>
      </c>
      <c r="W35" s="188"/>
      <c r="X35" s="89"/>
      <c r="Y35" s="187"/>
      <c r="Z35" s="187"/>
      <c r="AA35" s="187"/>
      <c r="AB35" s="187"/>
      <c r="AC35" s="187"/>
      <c r="AD35" s="189"/>
      <c r="AE35" s="188"/>
    </row>
    <row r="36" spans="1:31" ht="21.25" customHeight="1" x14ac:dyDescent="0.15">
      <c r="A36" s="10" t="s">
        <v>192</v>
      </c>
      <c r="B36" s="185" t="s">
        <v>833</v>
      </c>
      <c r="C36" s="186">
        <v>28</v>
      </c>
      <c r="D36" s="185" t="s">
        <v>844</v>
      </c>
      <c r="E36" s="89">
        <v>82</v>
      </c>
      <c r="F36" s="187">
        <v>20</v>
      </c>
      <c r="G36" s="188">
        <v>0.43</v>
      </c>
      <c r="H36" s="188">
        <v>0.61</v>
      </c>
      <c r="I36" s="188">
        <v>1.04</v>
      </c>
      <c r="J36" s="188">
        <v>2.93</v>
      </c>
      <c r="K36" s="188">
        <v>0.06</v>
      </c>
      <c r="L36" s="188">
        <v>0.2</v>
      </c>
      <c r="M36" s="188">
        <v>0.02</v>
      </c>
      <c r="N36" s="188">
        <v>0.03</v>
      </c>
      <c r="O36" s="188">
        <v>0.6</v>
      </c>
      <c r="P36" s="188">
        <v>0.68</v>
      </c>
      <c r="Q36" s="188">
        <v>0.14000000000000001</v>
      </c>
      <c r="R36" s="188">
        <v>0.68</v>
      </c>
      <c r="S36" s="188">
        <v>7.0000000000000007E-2</v>
      </c>
      <c r="T36" s="188">
        <v>0.3</v>
      </c>
      <c r="U36" s="188">
        <v>0.47</v>
      </c>
      <c r="V36" s="188">
        <v>0.39</v>
      </c>
      <c r="W36" s="188"/>
      <c r="X36" s="89"/>
      <c r="Y36" s="187"/>
      <c r="Z36" s="187"/>
      <c r="AA36" s="187"/>
      <c r="AB36" s="187"/>
      <c r="AC36" s="187"/>
      <c r="AD36" s="189"/>
      <c r="AE36" s="188"/>
    </row>
    <row r="37" spans="1:31" ht="21.25" customHeight="1" x14ac:dyDescent="0.15">
      <c r="A37" s="10" t="s">
        <v>189</v>
      </c>
      <c r="B37" s="185" t="s">
        <v>833</v>
      </c>
      <c r="C37" s="186">
        <v>31</v>
      </c>
      <c r="D37" s="185" t="s">
        <v>844</v>
      </c>
      <c r="E37" s="89">
        <v>82</v>
      </c>
      <c r="F37" s="187">
        <v>19</v>
      </c>
      <c r="G37" s="188">
        <v>0.42</v>
      </c>
      <c r="H37" s="188">
        <v>0.56000000000000005</v>
      </c>
      <c r="I37" s="188">
        <v>0.98</v>
      </c>
      <c r="J37" s="188">
        <v>2.67</v>
      </c>
      <c r="K37" s="188">
        <v>0.12</v>
      </c>
      <c r="L37" s="188">
        <v>0.35</v>
      </c>
      <c r="M37" s="188">
        <v>0</v>
      </c>
      <c r="N37" s="188">
        <v>0</v>
      </c>
      <c r="O37" s="188">
        <v>0.48</v>
      </c>
      <c r="P37" s="188">
        <v>0.51</v>
      </c>
      <c r="Q37" s="188">
        <v>0.12</v>
      </c>
      <c r="R37" s="188">
        <v>0.39</v>
      </c>
      <c r="S37" s="188">
        <v>7.0000000000000007E-2</v>
      </c>
      <c r="T37" s="188">
        <v>1.88</v>
      </c>
      <c r="U37" s="188">
        <v>2.5299999999999998</v>
      </c>
      <c r="V37" s="188">
        <v>0.43</v>
      </c>
      <c r="W37" s="188"/>
      <c r="X37" s="89"/>
      <c r="Y37" s="187"/>
      <c r="Z37" s="187"/>
      <c r="AA37" s="187"/>
      <c r="AB37" s="187"/>
      <c r="AC37" s="187"/>
      <c r="AD37" s="189"/>
      <c r="AE37" s="188"/>
    </row>
    <row r="38" spans="1:31" ht="21.25" customHeight="1" x14ac:dyDescent="0.15">
      <c r="A38" s="10" t="s">
        <v>194</v>
      </c>
      <c r="B38" s="185" t="s">
        <v>856</v>
      </c>
      <c r="C38" s="186">
        <v>29</v>
      </c>
      <c r="D38" s="185" t="s">
        <v>820</v>
      </c>
      <c r="E38" s="89">
        <v>83</v>
      </c>
      <c r="F38" s="187">
        <v>19.5</v>
      </c>
      <c r="G38" s="188">
        <v>0.36</v>
      </c>
      <c r="H38" s="188">
        <v>0.61</v>
      </c>
      <c r="I38" s="188">
        <v>0.97</v>
      </c>
      <c r="J38" s="188">
        <v>2.5099999999999998</v>
      </c>
      <c r="K38" s="188">
        <v>0.09</v>
      </c>
      <c r="L38" s="188">
        <v>0.3</v>
      </c>
      <c r="M38" s="188">
        <v>0.02</v>
      </c>
      <c r="N38" s="188">
        <v>0.06</v>
      </c>
      <c r="O38" s="188">
        <v>0.34</v>
      </c>
      <c r="P38" s="188">
        <v>0.79</v>
      </c>
      <c r="Q38" s="188">
        <v>0.09</v>
      </c>
      <c r="R38" s="188">
        <v>0.49</v>
      </c>
      <c r="S38" s="188">
        <v>0.06</v>
      </c>
      <c r="T38" s="188">
        <v>7.76</v>
      </c>
      <c r="U38" s="188">
        <v>6.88</v>
      </c>
      <c r="V38" s="188">
        <v>0.53</v>
      </c>
      <c r="W38" s="188"/>
      <c r="X38" s="89"/>
      <c r="Y38" s="187"/>
      <c r="Z38" s="187"/>
      <c r="AA38" s="187"/>
      <c r="AB38" s="187"/>
      <c r="AC38" s="187"/>
      <c r="AD38" s="189"/>
      <c r="AE38" s="188"/>
    </row>
    <row r="39" spans="1:31" ht="21.25" customHeight="1" x14ac:dyDescent="0.15">
      <c r="A39" s="10" t="s">
        <v>190</v>
      </c>
      <c r="B39" s="185" t="s">
        <v>857</v>
      </c>
      <c r="C39" s="186">
        <v>24</v>
      </c>
      <c r="D39" s="185" t="s">
        <v>822</v>
      </c>
      <c r="E39" s="89">
        <v>84</v>
      </c>
      <c r="F39" s="187">
        <v>18.8</v>
      </c>
      <c r="G39" s="188">
        <v>0.34</v>
      </c>
      <c r="H39" s="188">
        <v>0.63</v>
      </c>
      <c r="I39" s="188">
        <v>0.97</v>
      </c>
      <c r="J39" s="188">
        <v>2.23</v>
      </c>
      <c r="K39" s="188">
        <v>0.09</v>
      </c>
      <c r="L39" s="188">
        <v>0.36</v>
      </c>
      <c r="M39" s="188">
        <v>0</v>
      </c>
      <c r="N39" s="188">
        <v>0</v>
      </c>
      <c r="O39" s="188">
        <v>0.39</v>
      </c>
      <c r="P39" s="188">
        <v>0.6</v>
      </c>
      <c r="Q39" s="188">
        <v>-0.02</v>
      </c>
      <c r="R39" s="188">
        <v>0.32</v>
      </c>
      <c r="S39" s="188">
        <v>0.05</v>
      </c>
      <c r="T39" s="188">
        <v>0.02</v>
      </c>
      <c r="U39" s="188">
        <v>0.02</v>
      </c>
      <c r="V39" s="188">
        <v>0.55000000000000004</v>
      </c>
      <c r="W39" s="188"/>
      <c r="X39" s="89"/>
      <c r="Y39" s="187"/>
      <c r="Z39" s="187"/>
      <c r="AA39" s="187"/>
      <c r="AB39" s="187"/>
      <c r="AC39" s="187"/>
      <c r="AD39" s="189"/>
      <c r="AE39" s="188"/>
    </row>
    <row r="40" spans="1:31" ht="21.25" customHeight="1" x14ac:dyDescent="0.15">
      <c r="A40" s="10" t="s">
        <v>169</v>
      </c>
      <c r="B40" s="185" t="s">
        <v>858</v>
      </c>
      <c r="C40" s="186">
        <v>28</v>
      </c>
      <c r="D40" s="185" t="s">
        <v>842</v>
      </c>
      <c r="E40" s="89">
        <v>82</v>
      </c>
      <c r="F40" s="187">
        <v>19.100000000000001</v>
      </c>
      <c r="G40" s="188">
        <v>0.49</v>
      </c>
      <c r="H40" s="188">
        <v>0.47</v>
      </c>
      <c r="I40" s="188">
        <v>0.96</v>
      </c>
      <c r="J40" s="188">
        <v>3.33</v>
      </c>
      <c r="K40" s="188">
        <v>0.1</v>
      </c>
      <c r="L40" s="188">
        <v>0.28000000000000003</v>
      </c>
      <c r="M40" s="188">
        <v>0</v>
      </c>
      <c r="N40" s="188">
        <v>0</v>
      </c>
      <c r="O40" s="188">
        <v>0.53</v>
      </c>
      <c r="P40" s="188">
        <v>0.99</v>
      </c>
      <c r="Q40" s="188">
        <v>0.03</v>
      </c>
      <c r="R40" s="188">
        <v>0.43</v>
      </c>
      <c r="S40" s="188">
        <v>7.0000000000000007E-2</v>
      </c>
      <c r="T40" s="188">
        <v>4.6900000000000004</v>
      </c>
      <c r="U40" s="188">
        <v>5.97</v>
      </c>
      <c r="V40" s="188">
        <v>0.44</v>
      </c>
      <c r="W40" s="188"/>
      <c r="X40" s="89"/>
      <c r="Y40" s="187"/>
      <c r="Z40" s="187"/>
      <c r="AA40" s="187"/>
      <c r="AB40" s="187"/>
      <c r="AC40" s="187"/>
      <c r="AD40" s="189"/>
      <c r="AE40" s="188"/>
    </row>
    <row r="41" spans="1:31" ht="21.25" customHeight="1" x14ac:dyDescent="0.15">
      <c r="A41" s="10" t="s">
        <v>198</v>
      </c>
      <c r="B41" s="185" t="s">
        <v>849</v>
      </c>
      <c r="C41" s="186">
        <v>30</v>
      </c>
      <c r="D41" s="185" t="s">
        <v>822</v>
      </c>
      <c r="E41" s="89">
        <v>80</v>
      </c>
      <c r="F41" s="187">
        <v>20.2</v>
      </c>
      <c r="G41" s="188">
        <v>0.48</v>
      </c>
      <c r="H41" s="188">
        <v>0.49</v>
      </c>
      <c r="I41" s="188">
        <v>0.96</v>
      </c>
      <c r="J41" s="188">
        <v>2.5299999999999998</v>
      </c>
      <c r="K41" s="188">
        <v>0.18</v>
      </c>
      <c r="L41" s="188">
        <v>0.35</v>
      </c>
      <c r="M41" s="188">
        <v>0.04</v>
      </c>
      <c r="N41" s="188">
        <v>0.05</v>
      </c>
      <c r="O41" s="188">
        <v>0.65</v>
      </c>
      <c r="P41" s="188">
        <v>1.01</v>
      </c>
      <c r="Q41" s="188">
        <v>0.06</v>
      </c>
      <c r="R41" s="188">
        <v>0.28000000000000003</v>
      </c>
      <c r="S41" s="188">
        <v>0.08</v>
      </c>
      <c r="T41" s="188">
        <v>1.46</v>
      </c>
      <c r="U41" s="188">
        <v>2.12</v>
      </c>
      <c r="V41" s="188">
        <v>0.41</v>
      </c>
      <c r="W41" s="188"/>
      <c r="X41" s="89"/>
      <c r="Y41" s="187"/>
      <c r="Z41" s="187"/>
      <c r="AA41" s="187"/>
      <c r="AB41" s="187"/>
      <c r="AC41" s="187"/>
      <c r="AD41" s="189"/>
      <c r="AE41" s="188"/>
    </row>
    <row r="42" spans="1:31" ht="21.25" customHeight="1" x14ac:dyDescent="0.15">
      <c r="A42" s="10" t="s">
        <v>207</v>
      </c>
      <c r="B42" s="185" t="s">
        <v>838</v>
      </c>
      <c r="C42" s="186">
        <v>28</v>
      </c>
      <c r="D42" s="185" t="s">
        <v>844</v>
      </c>
      <c r="E42" s="89">
        <v>84</v>
      </c>
      <c r="F42" s="187">
        <v>19</v>
      </c>
      <c r="G42" s="188">
        <v>0.28000000000000003</v>
      </c>
      <c r="H42" s="188">
        <v>0.68</v>
      </c>
      <c r="I42" s="188">
        <v>0.96</v>
      </c>
      <c r="J42" s="188">
        <v>2.34</v>
      </c>
      <c r="K42" s="188">
        <v>7.0000000000000007E-2</v>
      </c>
      <c r="L42" s="188">
        <v>0.32</v>
      </c>
      <c r="M42" s="188">
        <v>0.01</v>
      </c>
      <c r="N42" s="188">
        <v>0.02</v>
      </c>
      <c r="O42" s="188">
        <v>0.38</v>
      </c>
      <c r="P42" s="188">
        <v>0.98</v>
      </c>
      <c r="Q42" s="188">
        <v>0.03</v>
      </c>
      <c r="R42" s="188">
        <v>0.22</v>
      </c>
      <c r="S42" s="188">
        <v>0.05</v>
      </c>
      <c r="T42" s="188">
        <v>0.03</v>
      </c>
      <c r="U42" s="188">
        <v>0.11</v>
      </c>
      <c r="V42" s="188">
        <v>0.2</v>
      </c>
      <c r="W42" s="188"/>
      <c r="X42" s="89"/>
      <c r="Y42" s="187"/>
      <c r="Z42" s="187"/>
      <c r="AA42" s="187"/>
      <c r="AB42" s="187"/>
      <c r="AC42" s="187"/>
      <c r="AD42" s="189"/>
      <c r="AE42" s="188"/>
    </row>
    <row r="43" spans="1:31" ht="21.25" customHeight="1" x14ac:dyDescent="0.15">
      <c r="A43" s="10" t="s">
        <v>177</v>
      </c>
      <c r="B43" s="185" t="s">
        <v>846</v>
      </c>
      <c r="C43" s="186">
        <v>25</v>
      </c>
      <c r="D43" s="185" t="s">
        <v>844</v>
      </c>
      <c r="E43" s="89">
        <v>84</v>
      </c>
      <c r="F43" s="187">
        <v>18.2</v>
      </c>
      <c r="G43" s="188">
        <v>0.5</v>
      </c>
      <c r="H43" s="188">
        <v>0.46</v>
      </c>
      <c r="I43" s="188">
        <v>0.96</v>
      </c>
      <c r="J43" s="188">
        <v>3.18</v>
      </c>
      <c r="K43" s="188">
        <v>0.13</v>
      </c>
      <c r="L43" s="188">
        <v>0.31</v>
      </c>
      <c r="M43" s="188">
        <v>0</v>
      </c>
      <c r="N43" s="188">
        <v>0</v>
      </c>
      <c r="O43" s="188">
        <v>0.31</v>
      </c>
      <c r="P43" s="188">
        <v>0.69</v>
      </c>
      <c r="Q43" s="188">
        <v>0.08</v>
      </c>
      <c r="R43" s="188">
        <v>0.22</v>
      </c>
      <c r="S43" s="188">
        <v>0.08</v>
      </c>
      <c r="T43" s="188">
        <v>0.08</v>
      </c>
      <c r="U43" s="188">
        <v>0.13</v>
      </c>
      <c r="V43" s="188">
        <v>0.38</v>
      </c>
      <c r="W43" s="188"/>
      <c r="X43" s="89"/>
      <c r="Y43" s="187"/>
      <c r="Z43" s="187"/>
      <c r="AA43" s="187"/>
      <c r="AB43" s="187"/>
      <c r="AC43" s="187"/>
      <c r="AD43" s="189"/>
      <c r="AE43" s="188"/>
    </row>
    <row r="44" spans="1:31" ht="21.25" customHeight="1" x14ac:dyDescent="0.15">
      <c r="A44" s="10" t="s">
        <v>208</v>
      </c>
      <c r="B44" s="185" t="s">
        <v>859</v>
      </c>
      <c r="C44" s="186">
        <v>24</v>
      </c>
      <c r="D44" s="185" t="s">
        <v>835</v>
      </c>
      <c r="E44" s="89">
        <v>83</v>
      </c>
      <c r="F44" s="187">
        <v>20</v>
      </c>
      <c r="G44" s="188">
        <v>0.35</v>
      </c>
      <c r="H44" s="188">
        <v>0.61</v>
      </c>
      <c r="I44" s="188">
        <v>0.95</v>
      </c>
      <c r="J44" s="188">
        <v>2.34</v>
      </c>
      <c r="K44" s="188">
        <v>0.08</v>
      </c>
      <c r="L44" s="188">
        <v>0.33</v>
      </c>
      <c r="M44" s="188">
        <v>0.01</v>
      </c>
      <c r="N44" s="188">
        <v>0.01</v>
      </c>
      <c r="O44" s="188">
        <v>0.55000000000000004</v>
      </c>
      <c r="P44" s="188">
        <v>1.47</v>
      </c>
      <c r="Q44" s="188">
        <v>0.03</v>
      </c>
      <c r="R44" s="188">
        <v>0.46</v>
      </c>
      <c r="S44" s="188">
        <v>0.06</v>
      </c>
      <c r="T44" s="188">
        <v>3.59</v>
      </c>
      <c r="U44" s="188">
        <v>3.65</v>
      </c>
      <c r="V44" s="188">
        <v>0.5</v>
      </c>
      <c r="W44" s="188"/>
      <c r="X44" s="89"/>
      <c r="Y44" s="187"/>
      <c r="Z44" s="187"/>
      <c r="AA44" s="187"/>
      <c r="AB44" s="187"/>
      <c r="AC44" s="187"/>
      <c r="AD44" s="189"/>
      <c r="AE44" s="188"/>
    </row>
    <row r="45" spans="1:31" ht="21.25" customHeight="1" x14ac:dyDescent="0.15">
      <c r="A45" s="10" t="s">
        <v>160</v>
      </c>
      <c r="B45" s="185" t="s">
        <v>855</v>
      </c>
      <c r="C45" s="186">
        <v>22</v>
      </c>
      <c r="D45" s="185" t="s">
        <v>848</v>
      </c>
      <c r="E45" s="89">
        <v>82</v>
      </c>
      <c r="F45" s="187">
        <v>18.8</v>
      </c>
      <c r="G45" s="188">
        <v>0.51</v>
      </c>
      <c r="H45" s="188">
        <v>0.46</v>
      </c>
      <c r="I45" s="188">
        <v>0.97</v>
      </c>
      <c r="J45" s="188">
        <v>3.91</v>
      </c>
      <c r="K45" s="188">
        <v>0.15</v>
      </c>
      <c r="L45" s="188">
        <v>0.3</v>
      </c>
      <c r="M45" s="188">
        <v>0</v>
      </c>
      <c r="N45" s="188">
        <v>0</v>
      </c>
      <c r="O45" s="188">
        <v>0.44</v>
      </c>
      <c r="P45" s="188">
        <v>0.95</v>
      </c>
      <c r="Q45" s="188">
        <v>-0.03</v>
      </c>
      <c r="R45" s="188">
        <v>0.39</v>
      </c>
      <c r="S45" s="188">
        <v>7.0000000000000007E-2</v>
      </c>
      <c r="T45" s="188">
        <v>1.17</v>
      </c>
      <c r="U45" s="188">
        <v>1.49</v>
      </c>
      <c r="V45" s="188">
        <v>0.44</v>
      </c>
      <c r="W45" s="188"/>
      <c r="X45" s="89"/>
      <c r="Y45" s="187"/>
      <c r="Z45" s="187"/>
      <c r="AA45" s="187"/>
      <c r="AB45" s="187"/>
      <c r="AC45" s="187"/>
      <c r="AD45" s="189"/>
      <c r="AE45" s="188"/>
    </row>
    <row r="46" spans="1:31" ht="21.25" customHeight="1" x14ac:dyDescent="0.15">
      <c r="A46" s="10" t="s">
        <v>143</v>
      </c>
      <c r="B46" s="185" t="s">
        <v>846</v>
      </c>
      <c r="C46" s="186">
        <v>22</v>
      </c>
      <c r="D46" s="185" t="s">
        <v>823</v>
      </c>
      <c r="E46" s="89">
        <v>84</v>
      </c>
      <c r="F46" s="187">
        <v>23.7</v>
      </c>
      <c r="G46" s="188">
        <v>0.14000000000000001</v>
      </c>
      <c r="H46" s="188">
        <v>0.79</v>
      </c>
      <c r="I46" s="188">
        <v>0.93</v>
      </c>
      <c r="J46" s="188">
        <v>1.53</v>
      </c>
      <c r="K46" s="188">
        <v>0.03</v>
      </c>
      <c r="L46" s="188">
        <v>0.32</v>
      </c>
      <c r="M46" s="188">
        <v>0</v>
      </c>
      <c r="N46" s="188">
        <v>0</v>
      </c>
      <c r="O46" s="188">
        <v>1.57</v>
      </c>
      <c r="P46" s="188">
        <v>0.46</v>
      </c>
      <c r="Q46" s="188">
        <v>0.1</v>
      </c>
      <c r="R46" s="188">
        <v>0.45</v>
      </c>
      <c r="S46" s="188">
        <v>0.02</v>
      </c>
      <c r="T46" s="188">
        <v>0</v>
      </c>
      <c r="U46" s="188">
        <v>0</v>
      </c>
      <c r="V46" s="188">
        <v>0</v>
      </c>
      <c r="W46" s="188"/>
      <c r="X46" s="89"/>
      <c r="Y46" s="187"/>
      <c r="Z46" s="187"/>
      <c r="AA46" s="187"/>
      <c r="AB46" s="187"/>
      <c r="AC46" s="187"/>
      <c r="AD46" s="189"/>
      <c r="AE46" s="188"/>
    </row>
    <row r="47" spans="1:31" ht="21.25" customHeight="1" x14ac:dyDescent="0.15">
      <c r="A47" s="10" t="s">
        <v>240</v>
      </c>
      <c r="B47" s="185" t="s">
        <v>854</v>
      </c>
      <c r="C47" s="186">
        <v>25</v>
      </c>
      <c r="D47" s="185" t="s">
        <v>835</v>
      </c>
      <c r="E47" s="89">
        <v>75</v>
      </c>
      <c r="F47" s="187">
        <v>18.7</v>
      </c>
      <c r="G47" s="188">
        <v>0.4</v>
      </c>
      <c r="H47" s="188">
        <v>0.54</v>
      </c>
      <c r="I47" s="188">
        <v>0.94</v>
      </c>
      <c r="J47" s="188">
        <v>2.8</v>
      </c>
      <c r="K47" s="188">
        <v>0.1</v>
      </c>
      <c r="L47" s="188">
        <v>0.22</v>
      </c>
      <c r="M47" s="188">
        <v>0</v>
      </c>
      <c r="N47" s="188">
        <v>0</v>
      </c>
      <c r="O47" s="188">
        <v>0.67</v>
      </c>
      <c r="P47" s="188">
        <v>2.04</v>
      </c>
      <c r="Q47" s="188">
        <v>0.03</v>
      </c>
      <c r="R47" s="188">
        <v>0.35</v>
      </c>
      <c r="S47" s="188">
        <v>0.06</v>
      </c>
      <c r="T47" s="188">
        <v>0.55000000000000004</v>
      </c>
      <c r="U47" s="188">
        <v>0.57999999999999996</v>
      </c>
      <c r="V47" s="188">
        <v>0.49</v>
      </c>
      <c r="W47" s="188"/>
      <c r="X47" s="89"/>
      <c r="Y47" s="187"/>
      <c r="Z47" s="187"/>
      <c r="AA47" s="187"/>
      <c r="AB47" s="187"/>
      <c r="AC47" s="187"/>
      <c r="AD47" s="189"/>
      <c r="AE47" s="188"/>
    </row>
    <row r="48" spans="1:31" ht="21.25" customHeight="1" x14ac:dyDescent="0.15">
      <c r="A48" s="10" t="s">
        <v>148</v>
      </c>
      <c r="B48" s="185" t="s">
        <v>860</v>
      </c>
      <c r="C48" s="186">
        <v>28</v>
      </c>
      <c r="D48" s="185" t="s">
        <v>823</v>
      </c>
      <c r="E48" s="89">
        <v>77</v>
      </c>
      <c r="F48" s="187">
        <v>23.8</v>
      </c>
      <c r="G48" s="188">
        <v>0.17</v>
      </c>
      <c r="H48" s="188">
        <v>0.76</v>
      </c>
      <c r="I48" s="188">
        <v>0.93</v>
      </c>
      <c r="J48" s="188">
        <v>1.77</v>
      </c>
      <c r="K48" s="188">
        <v>0.06</v>
      </c>
      <c r="L48" s="188">
        <v>0.39</v>
      </c>
      <c r="M48" s="188">
        <v>0</v>
      </c>
      <c r="N48" s="188">
        <v>0.01</v>
      </c>
      <c r="O48" s="188">
        <v>1.43</v>
      </c>
      <c r="P48" s="188">
        <v>0.61</v>
      </c>
      <c r="Q48" s="188">
        <v>0.05</v>
      </c>
      <c r="R48" s="188">
        <v>0.47</v>
      </c>
      <c r="S48" s="188">
        <v>0.03</v>
      </c>
      <c r="T48" s="188">
        <v>0</v>
      </c>
      <c r="U48" s="188">
        <v>0</v>
      </c>
      <c r="V48" s="188">
        <v>0</v>
      </c>
      <c r="W48" s="188"/>
      <c r="X48" s="89"/>
      <c r="Y48" s="187"/>
      <c r="Z48" s="187"/>
      <c r="AA48" s="187"/>
      <c r="AB48" s="187"/>
      <c r="AC48" s="187"/>
      <c r="AD48" s="189"/>
      <c r="AE48" s="188"/>
    </row>
    <row r="49" spans="1:31" ht="21.25" customHeight="1" x14ac:dyDescent="0.15">
      <c r="A49" s="10" t="s">
        <v>316</v>
      </c>
      <c r="B49" s="185" t="s">
        <v>856</v>
      </c>
      <c r="C49" s="186">
        <v>24</v>
      </c>
      <c r="D49" s="185" t="s">
        <v>844</v>
      </c>
      <c r="E49" s="89">
        <v>67</v>
      </c>
      <c r="F49" s="187">
        <v>19.399999999999999</v>
      </c>
      <c r="G49" s="188">
        <v>0.44</v>
      </c>
      <c r="H49" s="188">
        <v>0.49</v>
      </c>
      <c r="I49" s="188">
        <v>0.92</v>
      </c>
      <c r="J49" s="188">
        <v>2.93</v>
      </c>
      <c r="K49" s="188">
        <v>0.09</v>
      </c>
      <c r="L49" s="188">
        <v>0.27</v>
      </c>
      <c r="M49" s="188">
        <v>0.04</v>
      </c>
      <c r="N49" s="188">
        <v>0.06</v>
      </c>
      <c r="O49" s="188">
        <v>0.51</v>
      </c>
      <c r="P49" s="188">
        <v>1.2</v>
      </c>
      <c r="Q49" s="188">
        <v>0.09</v>
      </c>
      <c r="R49" s="188">
        <v>0.3</v>
      </c>
      <c r="S49" s="188">
        <v>0.08</v>
      </c>
      <c r="T49" s="188">
        <v>0.72</v>
      </c>
      <c r="U49" s="188">
        <v>1.1000000000000001</v>
      </c>
      <c r="V49" s="188">
        <v>0.4</v>
      </c>
      <c r="W49" s="188"/>
      <c r="X49" s="89"/>
      <c r="Y49" s="187"/>
      <c r="Z49" s="187"/>
      <c r="AA49" s="187"/>
      <c r="AB49" s="187"/>
      <c r="AC49" s="187"/>
      <c r="AD49" s="189"/>
      <c r="AE49" s="188"/>
    </row>
    <row r="50" spans="1:31" ht="21.25" customHeight="1" x14ac:dyDescent="0.15">
      <c r="A50" s="10" t="s">
        <v>174</v>
      </c>
      <c r="B50" s="185" t="s">
        <v>857</v>
      </c>
      <c r="C50" s="186">
        <v>28</v>
      </c>
      <c r="D50" s="185" t="s">
        <v>844</v>
      </c>
      <c r="E50" s="89">
        <v>84</v>
      </c>
      <c r="F50" s="187">
        <v>18.399999999999999</v>
      </c>
      <c r="G50" s="188">
        <v>0.44</v>
      </c>
      <c r="H50" s="188">
        <v>0.48</v>
      </c>
      <c r="I50" s="188">
        <v>0.92</v>
      </c>
      <c r="J50" s="188">
        <v>3.25</v>
      </c>
      <c r="K50" s="188">
        <v>0.16</v>
      </c>
      <c r="L50" s="188">
        <v>0.28999999999999998</v>
      </c>
      <c r="M50" s="188">
        <v>0</v>
      </c>
      <c r="N50" s="188">
        <v>0</v>
      </c>
      <c r="O50" s="188">
        <v>0.48</v>
      </c>
      <c r="P50" s="188">
        <v>0.53</v>
      </c>
      <c r="Q50" s="188">
        <v>0.01</v>
      </c>
      <c r="R50" s="188">
        <v>0.35</v>
      </c>
      <c r="S50" s="188">
        <v>7.0000000000000007E-2</v>
      </c>
      <c r="T50" s="188">
        <v>0.25</v>
      </c>
      <c r="U50" s="188">
        <v>0.36</v>
      </c>
      <c r="V50" s="188">
        <v>0.41</v>
      </c>
      <c r="W50" s="188"/>
      <c r="X50" s="89"/>
      <c r="Y50" s="187"/>
      <c r="Z50" s="187"/>
      <c r="AA50" s="187"/>
      <c r="AB50" s="187"/>
      <c r="AC50" s="187"/>
      <c r="AD50" s="189"/>
      <c r="AE50" s="188"/>
    </row>
    <row r="51" spans="1:31" ht="21.25" customHeight="1" x14ac:dyDescent="0.15">
      <c r="A51" s="10" t="s">
        <v>166</v>
      </c>
      <c r="B51" s="185" t="s">
        <v>852</v>
      </c>
      <c r="C51" s="186">
        <v>23</v>
      </c>
      <c r="D51" s="185" t="s">
        <v>844</v>
      </c>
      <c r="E51" s="89">
        <v>81</v>
      </c>
      <c r="F51" s="187">
        <v>17.8</v>
      </c>
      <c r="G51" s="188">
        <v>0.45</v>
      </c>
      <c r="H51" s="188">
        <v>0.47</v>
      </c>
      <c r="I51" s="188">
        <v>0.92</v>
      </c>
      <c r="J51" s="188">
        <v>3.01</v>
      </c>
      <c r="K51" s="188">
        <v>0.14000000000000001</v>
      </c>
      <c r="L51" s="188">
        <v>0.34</v>
      </c>
      <c r="M51" s="188">
        <v>0</v>
      </c>
      <c r="N51" s="188">
        <v>0</v>
      </c>
      <c r="O51" s="188">
        <v>0.44</v>
      </c>
      <c r="P51" s="188">
        <v>0.87</v>
      </c>
      <c r="Q51" s="188">
        <v>0.03</v>
      </c>
      <c r="R51" s="188">
        <v>0.38</v>
      </c>
      <c r="S51" s="188">
        <v>7.0000000000000007E-2</v>
      </c>
      <c r="T51" s="188">
        <v>0.27</v>
      </c>
      <c r="U51" s="188">
        <v>0.48</v>
      </c>
      <c r="V51" s="188">
        <v>0.36</v>
      </c>
      <c r="W51" s="188"/>
      <c r="X51" s="89"/>
      <c r="Y51" s="187"/>
      <c r="Z51" s="187"/>
      <c r="AA51" s="187"/>
      <c r="AB51" s="187"/>
      <c r="AC51" s="187"/>
      <c r="AD51" s="189"/>
      <c r="AE51" s="188"/>
    </row>
    <row r="52" spans="1:31" ht="21.25" customHeight="1" x14ac:dyDescent="0.15">
      <c r="A52" s="10" t="s">
        <v>209</v>
      </c>
      <c r="B52" s="185" t="s">
        <v>852</v>
      </c>
      <c r="C52" s="186">
        <v>22</v>
      </c>
      <c r="D52" s="185" t="s">
        <v>820</v>
      </c>
      <c r="E52" s="89">
        <v>78</v>
      </c>
      <c r="F52" s="187">
        <v>19.2</v>
      </c>
      <c r="G52" s="188">
        <v>0.41</v>
      </c>
      <c r="H52" s="188">
        <v>0.5</v>
      </c>
      <c r="I52" s="188">
        <v>0.91</v>
      </c>
      <c r="J52" s="188">
        <v>2.23</v>
      </c>
      <c r="K52" s="188">
        <v>0.12</v>
      </c>
      <c r="L52" s="188">
        <v>0.3</v>
      </c>
      <c r="M52" s="188">
        <v>0.01</v>
      </c>
      <c r="N52" s="188">
        <v>0.01</v>
      </c>
      <c r="O52" s="188">
        <v>0.5</v>
      </c>
      <c r="P52" s="188">
        <v>0.98</v>
      </c>
      <c r="Q52" s="188">
        <v>0.03</v>
      </c>
      <c r="R52" s="188">
        <v>0.51</v>
      </c>
      <c r="S52" s="188">
        <v>7.0000000000000007E-2</v>
      </c>
      <c r="T52" s="188">
        <v>5.08</v>
      </c>
      <c r="U52" s="188">
        <v>6.79</v>
      </c>
      <c r="V52" s="188">
        <v>0.43</v>
      </c>
      <c r="W52" s="188"/>
      <c r="X52" s="89"/>
      <c r="Y52" s="187"/>
      <c r="Z52" s="187"/>
      <c r="AA52" s="187"/>
      <c r="AB52" s="187"/>
      <c r="AC52" s="187"/>
      <c r="AD52" s="189"/>
      <c r="AE52" s="188"/>
    </row>
    <row r="53" spans="1:31" ht="21.25" customHeight="1" x14ac:dyDescent="0.15">
      <c r="A53" s="10" t="s">
        <v>187</v>
      </c>
      <c r="B53" s="185" t="s">
        <v>861</v>
      </c>
      <c r="C53" s="186">
        <v>32</v>
      </c>
      <c r="D53" s="185" t="s">
        <v>821</v>
      </c>
      <c r="E53" s="89">
        <v>84</v>
      </c>
      <c r="F53" s="187">
        <v>18.899999999999999</v>
      </c>
      <c r="G53" s="188">
        <v>0.43</v>
      </c>
      <c r="H53" s="188">
        <v>0.48</v>
      </c>
      <c r="I53" s="188">
        <v>0.9</v>
      </c>
      <c r="J53" s="188">
        <v>3.22</v>
      </c>
      <c r="K53" s="188">
        <v>0.12</v>
      </c>
      <c r="L53" s="188">
        <v>0.3</v>
      </c>
      <c r="M53" s="188">
        <v>0</v>
      </c>
      <c r="N53" s="188">
        <v>0</v>
      </c>
      <c r="O53" s="188">
        <v>0.48</v>
      </c>
      <c r="P53" s="188">
        <v>1.53</v>
      </c>
      <c r="Q53" s="188">
        <v>-0.03</v>
      </c>
      <c r="R53" s="188">
        <v>0.48</v>
      </c>
      <c r="S53" s="188">
        <v>0.06</v>
      </c>
      <c r="T53" s="188">
        <v>0.12</v>
      </c>
      <c r="U53" s="188">
        <v>0.23</v>
      </c>
      <c r="V53" s="188">
        <v>0.33</v>
      </c>
      <c r="W53" s="188"/>
      <c r="X53" s="89"/>
      <c r="Y53" s="187"/>
      <c r="Z53" s="187"/>
      <c r="AA53" s="187"/>
      <c r="AB53" s="187"/>
      <c r="AC53" s="187"/>
      <c r="AD53" s="189"/>
      <c r="AE53" s="188"/>
    </row>
    <row r="54" spans="1:31" ht="21.25" customHeight="1" x14ac:dyDescent="0.15">
      <c r="A54" s="10" t="s">
        <v>204</v>
      </c>
      <c r="B54" s="185" t="s">
        <v>853</v>
      </c>
      <c r="C54" s="186">
        <v>26</v>
      </c>
      <c r="D54" s="185" t="s">
        <v>822</v>
      </c>
      <c r="E54" s="89">
        <v>82</v>
      </c>
      <c r="F54" s="187">
        <v>19.2</v>
      </c>
      <c r="G54" s="188">
        <v>0.37</v>
      </c>
      <c r="H54" s="188">
        <v>0.53</v>
      </c>
      <c r="I54" s="188">
        <v>0.9</v>
      </c>
      <c r="J54" s="188">
        <v>2.86</v>
      </c>
      <c r="K54" s="188">
        <v>0.09</v>
      </c>
      <c r="L54" s="188">
        <v>0.3</v>
      </c>
      <c r="M54" s="188">
        <v>0</v>
      </c>
      <c r="N54" s="188">
        <v>0</v>
      </c>
      <c r="O54" s="188">
        <v>0.52</v>
      </c>
      <c r="P54" s="188">
        <v>0.76</v>
      </c>
      <c r="Q54" s="188">
        <v>0.05</v>
      </c>
      <c r="R54" s="188">
        <v>0.36</v>
      </c>
      <c r="S54" s="188">
        <v>0.06</v>
      </c>
      <c r="T54" s="188">
        <v>0.12</v>
      </c>
      <c r="U54" s="188">
        <v>0.19</v>
      </c>
      <c r="V54" s="188">
        <v>0.4</v>
      </c>
      <c r="W54" s="188"/>
      <c r="X54" s="89"/>
      <c r="Y54" s="187"/>
      <c r="Z54" s="187"/>
      <c r="AA54" s="187"/>
      <c r="AB54" s="187"/>
      <c r="AC54" s="187"/>
      <c r="AD54" s="189"/>
      <c r="AE54" s="188"/>
    </row>
    <row r="55" spans="1:31" ht="21.25" customHeight="1" x14ac:dyDescent="0.15">
      <c r="A55" s="10" t="s">
        <v>227</v>
      </c>
      <c r="B55" s="185" t="s">
        <v>843</v>
      </c>
      <c r="C55" s="186">
        <v>29</v>
      </c>
      <c r="D55" s="185" t="s">
        <v>820</v>
      </c>
      <c r="E55" s="89">
        <v>78</v>
      </c>
      <c r="F55" s="187">
        <v>18.2</v>
      </c>
      <c r="G55" s="188">
        <v>0.33</v>
      </c>
      <c r="H55" s="188">
        <v>0.5</v>
      </c>
      <c r="I55" s="188">
        <v>0.83</v>
      </c>
      <c r="J55" s="188">
        <v>2.31</v>
      </c>
      <c r="K55" s="188">
        <v>0.09</v>
      </c>
      <c r="L55" s="188">
        <v>0.26</v>
      </c>
      <c r="M55" s="188">
        <v>0</v>
      </c>
      <c r="N55" s="188">
        <v>0.01</v>
      </c>
      <c r="O55" s="188">
        <v>0.47</v>
      </c>
      <c r="P55" s="188">
        <v>0.98</v>
      </c>
      <c r="Q55" s="188">
        <v>0.1</v>
      </c>
      <c r="R55" s="188">
        <v>0.38</v>
      </c>
      <c r="S55" s="188">
        <v>0.06</v>
      </c>
      <c r="T55" s="188">
        <v>7.12</v>
      </c>
      <c r="U55" s="188">
        <v>5.54</v>
      </c>
      <c r="V55" s="188">
        <v>0.56000000000000005</v>
      </c>
      <c r="W55" s="188"/>
      <c r="X55" s="89"/>
      <c r="Y55" s="187"/>
      <c r="Z55" s="187"/>
      <c r="AA55" s="187"/>
      <c r="AB55" s="187"/>
      <c r="AC55" s="187"/>
      <c r="AD55" s="189"/>
      <c r="AE55" s="188"/>
    </row>
    <row r="56" spans="1:31" ht="21.25" customHeight="1" x14ac:dyDescent="0.15">
      <c r="A56" s="10" t="s">
        <v>210</v>
      </c>
      <c r="B56" s="185" t="s">
        <v>845</v>
      </c>
      <c r="C56" s="186">
        <v>30</v>
      </c>
      <c r="D56" s="185" t="s">
        <v>822</v>
      </c>
      <c r="E56" s="89">
        <v>83</v>
      </c>
      <c r="F56" s="187">
        <v>19.2</v>
      </c>
      <c r="G56" s="188">
        <v>0.41</v>
      </c>
      <c r="H56" s="188">
        <v>0.49</v>
      </c>
      <c r="I56" s="188">
        <v>0.9</v>
      </c>
      <c r="J56" s="188">
        <v>2.87</v>
      </c>
      <c r="K56" s="188">
        <v>7.0000000000000007E-2</v>
      </c>
      <c r="L56" s="188">
        <v>0.2</v>
      </c>
      <c r="M56" s="188">
        <v>0</v>
      </c>
      <c r="N56" s="188">
        <v>0.01</v>
      </c>
      <c r="O56" s="188">
        <v>0.47</v>
      </c>
      <c r="P56" s="188">
        <v>1.4</v>
      </c>
      <c r="Q56" s="188">
        <v>0.01</v>
      </c>
      <c r="R56" s="188">
        <v>0.62</v>
      </c>
      <c r="S56" s="188">
        <v>0.06</v>
      </c>
      <c r="T56" s="188">
        <v>0.5</v>
      </c>
      <c r="U56" s="188">
        <v>0.88</v>
      </c>
      <c r="V56" s="188">
        <v>0.37</v>
      </c>
      <c r="W56" s="188"/>
      <c r="X56" s="89"/>
      <c r="Y56" s="188"/>
      <c r="Z56" s="188"/>
      <c r="AA56" s="188"/>
      <c r="AB56" s="188"/>
      <c r="AC56" s="187"/>
      <c r="AD56" s="189"/>
      <c r="AE56" s="188"/>
    </row>
    <row r="57" spans="1:31" ht="21.25" customHeight="1" x14ac:dyDescent="0.15">
      <c r="A57" s="10" t="s">
        <v>193</v>
      </c>
      <c r="B57" s="185" t="s">
        <v>838</v>
      </c>
      <c r="C57" s="186">
        <v>27</v>
      </c>
      <c r="D57" s="185" t="s">
        <v>820</v>
      </c>
      <c r="E57" s="89">
        <v>82</v>
      </c>
      <c r="F57" s="187">
        <v>21.1</v>
      </c>
      <c r="G57" s="188">
        <v>0.39</v>
      </c>
      <c r="H57" s="188">
        <v>0.5</v>
      </c>
      <c r="I57" s="188">
        <v>0.9</v>
      </c>
      <c r="J57" s="188">
        <v>2.65</v>
      </c>
      <c r="K57" s="188">
        <v>0.14000000000000001</v>
      </c>
      <c r="L57" s="188">
        <v>0.32</v>
      </c>
      <c r="M57" s="188">
        <v>0</v>
      </c>
      <c r="N57" s="188">
        <v>0.02</v>
      </c>
      <c r="O57" s="188">
        <v>0.76</v>
      </c>
      <c r="P57" s="188">
        <v>0.68</v>
      </c>
      <c r="Q57" s="188">
        <v>0.02</v>
      </c>
      <c r="R57" s="188">
        <v>0.33</v>
      </c>
      <c r="S57" s="188">
        <v>0.06</v>
      </c>
      <c r="T57" s="188">
        <v>12.6</v>
      </c>
      <c r="U57" s="188">
        <v>9.9499999999999993</v>
      </c>
      <c r="V57" s="188">
        <v>0.56000000000000005</v>
      </c>
      <c r="W57" s="188"/>
      <c r="X57" s="89"/>
      <c r="Y57" s="187"/>
      <c r="Z57" s="187"/>
      <c r="AA57" s="187"/>
      <c r="AB57" s="187"/>
      <c r="AC57" s="187"/>
      <c r="AD57" s="189"/>
      <c r="AE57" s="188"/>
    </row>
    <row r="58" spans="1:31" ht="21.25" customHeight="1" x14ac:dyDescent="0.15">
      <c r="A58" s="10" t="s">
        <v>220</v>
      </c>
      <c r="B58" s="185" t="s">
        <v>856</v>
      </c>
      <c r="C58" s="186">
        <v>30</v>
      </c>
      <c r="D58" s="185" t="s">
        <v>821</v>
      </c>
      <c r="E58" s="89">
        <v>82</v>
      </c>
      <c r="F58" s="187">
        <v>17.2</v>
      </c>
      <c r="G58" s="188">
        <v>0.34</v>
      </c>
      <c r="H58" s="188">
        <v>0.55000000000000004</v>
      </c>
      <c r="I58" s="188">
        <v>0.89</v>
      </c>
      <c r="J58" s="188">
        <v>2.67</v>
      </c>
      <c r="K58" s="188">
        <v>0.1</v>
      </c>
      <c r="L58" s="188">
        <v>0.31</v>
      </c>
      <c r="M58" s="188">
        <v>0</v>
      </c>
      <c r="N58" s="188">
        <v>0</v>
      </c>
      <c r="O58" s="188">
        <v>0.38</v>
      </c>
      <c r="P58" s="188">
        <v>0.43</v>
      </c>
      <c r="Q58" s="188">
        <v>0.1</v>
      </c>
      <c r="R58" s="188">
        <v>0.28999999999999998</v>
      </c>
      <c r="S58" s="188">
        <v>0.06</v>
      </c>
      <c r="T58" s="188">
        <v>0.11</v>
      </c>
      <c r="U58" s="188">
        <v>0.25</v>
      </c>
      <c r="V58" s="188">
        <v>0.31</v>
      </c>
      <c r="W58" s="188"/>
      <c r="X58" s="89"/>
      <c r="Y58" s="187"/>
      <c r="Z58" s="187"/>
      <c r="AA58" s="187"/>
      <c r="AB58" s="187"/>
      <c r="AC58" s="187"/>
      <c r="AD58" s="189"/>
      <c r="AE58" s="188"/>
    </row>
    <row r="59" spans="1:31" ht="21.25" customHeight="1" x14ac:dyDescent="0.15">
      <c r="A59" s="10" t="s">
        <v>250</v>
      </c>
      <c r="B59" s="185" t="s">
        <v>862</v>
      </c>
      <c r="C59" s="186">
        <v>29</v>
      </c>
      <c r="D59" s="185" t="s">
        <v>842</v>
      </c>
      <c r="E59" s="89">
        <v>77</v>
      </c>
      <c r="F59" s="187">
        <v>20.6</v>
      </c>
      <c r="G59" s="188">
        <v>0.25</v>
      </c>
      <c r="H59" s="188">
        <v>0.64</v>
      </c>
      <c r="I59" s="188">
        <v>0.89</v>
      </c>
      <c r="J59" s="188">
        <v>2.4500000000000002</v>
      </c>
      <c r="K59" s="188">
        <v>0.04</v>
      </c>
      <c r="L59" s="188">
        <v>0.24</v>
      </c>
      <c r="M59" s="188">
        <v>0</v>
      </c>
      <c r="N59" s="188">
        <v>0</v>
      </c>
      <c r="O59" s="188">
        <v>0.63</v>
      </c>
      <c r="P59" s="188">
        <v>0.47</v>
      </c>
      <c r="Q59" s="188">
        <v>0</v>
      </c>
      <c r="R59" s="188">
        <v>0.44</v>
      </c>
      <c r="S59" s="188">
        <v>0.04</v>
      </c>
      <c r="T59" s="188">
        <v>2.2400000000000002</v>
      </c>
      <c r="U59" s="188">
        <v>3.2</v>
      </c>
      <c r="V59" s="188">
        <v>0.41</v>
      </c>
      <c r="W59" s="188"/>
      <c r="X59" s="89"/>
      <c r="Y59" s="187"/>
      <c r="Z59" s="187"/>
      <c r="AA59" s="187"/>
      <c r="AB59" s="187"/>
      <c r="AC59" s="187"/>
      <c r="AD59" s="189"/>
      <c r="AE59" s="188"/>
    </row>
    <row r="60" spans="1:31" ht="21.25" customHeight="1" x14ac:dyDescent="0.15">
      <c r="A60" s="10" t="s">
        <v>195</v>
      </c>
      <c r="B60" s="185" t="s">
        <v>860</v>
      </c>
      <c r="C60" s="186">
        <v>33</v>
      </c>
      <c r="D60" s="185" t="s">
        <v>842</v>
      </c>
      <c r="E60" s="89">
        <v>84</v>
      </c>
      <c r="F60" s="187">
        <v>21</v>
      </c>
      <c r="G60" s="188">
        <v>0.34</v>
      </c>
      <c r="H60" s="188">
        <v>0.55000000000000004</v>
      </c>
      <c r="I60" s="188">
        <v>0.89</v>
      </c>
      <c r="J60" s="188">
        <v>2.68</v>
      </c>
      <c r="K60" s="188">
        <v>0.15</v>
      </c>
      <c r="L60" s="188">
        <v>0.36</v>
      </c>
      <c r="M60" s="188">
        <v>0.01</v>
      </c>
      <c r="N60" s="188">
        <v>0.03</v>
      </c>
      <c r="O60" s="188">
        <v>0.62</v>
      </c>
      <c r="P60" s="188">
        <v>1.05</v>
      </c>
      <c r="Q60" s="188">
        <v>-0.01</v>
      </c>
      <c r="R60" s="188">
        <v>0.28000000000000003</v>
      </c>
      <c r="S60" s="188">
        <v>0.05</v>
      </c>
      <c r="T60" s="188">
        <v>7.12</v>
      </c>
      <c r="U60" s="188">
        <v>6.71</v>
      </c>
      <c r="V60" s="188">
        <v>0.52</v>
      </c>
      <c r="W60" s="188"/>
      <c r="X60" s="89"/>
      <c r="Y60" s="187"/>
      <c r="Z60" s="187"/>
      <c r="AA60" s="187"/>
      <c r="AB60" s="187"/>
      <c r="AC60" s="187"/>
      <c r="AD60" s="189"/>
      <c r="AE60" s="188"/>
    </row>
    <row r="61" spans="1:31" ht="21.25" customHeight="1" x14ac:dyDescent="0.15">
      <c r="A61" s="10" t="s">
        <v>200</v>
      </c>
      <c r="B61" s="185" t="s">
        <v>857</v>
      </c>
      <c r="C61" s="186">
        <v>30</v>
      </c>
      <c r="D61" s="185" t="s">
        <v>820</v>
      </c>
      <c r="E61" s="89">
        <v>81</v>
      </c>
      <c r="F61" s="187">
        <v>20.3</v>
      </c>
      <c r="G61" s="188">
        <v>0.41</v>
      </c>
      <c r="H61" s="188">
        <v>0.47</v>
      </c>
      <c r="I61" s="188">
        <v>0.88</v>
      </c>
      <c r="J61" s="188">
        <v>2.99</v>
      </c>
      <c r="K61" s="188">
        <v>0.16</v>
      </c>
      <c r="L61" s="188">
        <v>0.31</v>
      </c>
      <c r="M61" s="188">
        <v>0.01</v>
      </c>
      <c r="N61" s="188">
        <v>0.01</v>
      </c>
      <c r="O61" s="188">
        <v>0.46</v>
      </c>
      <c r="P61" s="188">
        <v>0.64</v>
      </c>
      <c r="Q61" s="188">
        <v>-0.02</v>
      </c>
      <c r="R61" s="188">
        <v>0.49</v>
      </c>
      <c r="S61" s="188">
        <v>0.06</v>
      </c>
      <c r="T61" s="188">
        <v>10.84</v>
      </c>
      <c r="U61" s="188">
        <v>9.1999999999999993</v>
      </c>
      <c r="V61" s="188">
        <v>0.54</v>
      </c>
      <c r="W61" s="188"/>
      <c r="X61" s="89"/>
      <c r="Y61" s="187"/>
      <c r="Z61" s="187"/>
      <c r="AA61" s="187"/>
      <c r="AB61" s="187"/>
      <c r="AC61" s="187"/>
      <c r="AD61" s="189"/>
      <c r="AE61" s="188"/>
    </row>
    <row r="62" spans="1:31" ht="21.25" customHeight="1" x14ac:dyDescent="0.15">
      <c r="A62" s="10" t="s">
        <v>225</v>
      </c>
      <c r="B62" s="185" t="s">
        <v>833</v>
      </c>
      <c r="C62" s="186">
        <v>30</v>
      </c>
      <c r="D62" s="185" t="s">
        <v>820</v>
      </c>
      <c r="E62" s="89">
        <v>80</v>
      </c>
      <c r="F62" s="187">
        <v>18.2</v>
      </c>
      <c r="G62" s="188">
        <v>0.39</v>
      </c>
      <c r="H62" s="188">
        <v>0.48</v>
      </c>
      <c r="I62" s="188">
        <v>0.88</v>
      </c>
      <c r="J62" s="188">
        <v>2.23</v>
      </c>
      <c r="K62" s="188">
        <v>0.14000000000000001</v>
      </c>
      <c r="L62" s="188">
        <v>0.28999999999999998</v>
      </c>
      <c r="M62" s="188">
        <v>0</v>
      </c>
      <c r="N62" s="188">
        <v>0</v>
      </c>
      <c r="O62" s="188">
        <v>0.44</v>
      </c>
      <c r="P62" s="188">
        <v>0.28999999999999998</v>
      </c>
      <c r="Q62" s="188">
        <v>0.11</v>
      </c>
      <c r="R62" s="188">
        <v>0.21</v>
      </c>
      <c r="S62" s="188">
        <v>7.0000000000000007E-2</v>
      </c>
      <c r="T62" s="188">
        <v>4.59</v>
      </c>
      <c r="U62" s="188">
        <v>5.22</v>
      </c>
      <c r="V62" s="188">
        <v>0.47</v>
      </c>
      <c r="W62" s="188"/>
      <c r="X62" s="89"/>
      <c r="Y62" s="187"/>
      <c r="Z62" s="187"/>
      <c r="AA62" s="187"/>
      <c r="AB62" s="187"/>
      <c r="AC62" s="187"/>
      <c r="AD62" s="189"/>
      <c r="AE62" s="188"/>
    </row>
    <row r="63" spans="1:31" ht="21.25" customHeight="1" x14ac:dyDescent="0.15">
      <c r="A63" s="10" t="s">
        <v>221</v>
      </c>
      <c r="B63" s="185" t="s">
        <v>836</v>
      </c>
      <c r="C63" s="186">
        <v>21</v>
      </c>
      <c r="D63" s="185" t="s">
        <v>844</v>
      </c>
      <c r="E63" s="89">
        <v>80</v>
      </c>
      <c r="F63" s="187">
        <v>19.100000000000001</v>
      </c>
      <c r="G63" s="188">
        <v>0.36</v>
      </c>
      <c r="H63" s="188">
        <v>0.52</v>
      </c>
      <c r="I63" s="188">
        <v>0.88</v>
      </c>
      <c r="J63" s="188">
        <v>2.4700000000000002</v>
      </c>
      <c r="K63" s="188">
        <v>0.11</v>
      </c>
      <c r="L63" s="188">
        <v>0.27</v>
      </c>
      <c r="M63" s="188">
        <v>0</v>
      </c>
      <c r="N63" s="188">
        <v>0</v>
      </c>
      <c r="O63" s="188">
        <v>0.25</v>
      </c>
      <c r="P63" s="188">
        <v>0.34</v>
      </c>
      <c r="Q63" s="188">
        <v>-0.02</v>
      </c>
      <c r="R63" s="188">
        <v>0.31</v>
      </c>
      <c r="S63" s="188">
        <v>0.05</v>
      </c>
      <c r="T63" s="188">
        <v>0.35</v>
      </c>
      <c r="U63" s="188">
        <v>0.73</v>
      </c>
      <c r="V63" s="188">
        <v>0.32</v>
      </c>
      <c r="W63" s="188"/>
      <c r="X63" s="89"/>
      <c r="Y63" s="187"/>
      <c r="Z63" s="187"/>
      <c r="AA63" s="187"/>
      <c r="AB63" s="187"/>
      <c r="AC63" s="187"/>
      <c r="AD63" s="189"/>
      <c r="AE63" s="188"/>
    </row>
    <row r="64" spans="1:31" ht="21.25" customHeight="1" x14ac:dyDescent="0.15">
      <c r="A64" s="10" t="s">
        <v>135</v>
      </c>
      <c r="B64" s="185" t="s">
        <v>858</v>
      </c>
      <c r="C64" s="186">
        <v>26</v>
      </c>
      <c r="D64" s="185" t="s">
        <v>823</v>
      </c>
      <c r="E64" s="89">
        <v>81</v>
      </c>
      <c r="F64" s="187">
        <v>24.2</v>
      </c>
      <c r="G64" s="188">
        <v>0.24</v>
      </c>
      <c r="H64" s="188">
        <v>0.63</v>
      </c>
      <c r="I64" s="188">
        <v>0.87</v>
      </c>
      <c r="J64" s="188">
        <v>2.57</v>
      </c>
      <c r="K64" s="188">
        <v>0.08</v>
      </c>
      <c r="L64" s="188">
        <v>0.28000000000000003</v>
      </c>
      <c r="M64" s="188">
        <v>0</v>
      </c>
      <c r="N64" s="188">
        <v>0</v>
      </c>
      <c r="O64" s="188">
        <v>1.24</v>
      </c>
      <c r="P64" s="188">
        <v>1.04</v>
      </c>
      <c r="Q64" s="188">
        <v>0.06</v>
      </c>
      <c r="R64" s="188">
        <v>0.75</v>
      </c>
      <c r="S64" s="188">
        <v>0.04</v>
      </c>
      <c r="T64" s="188">
        <v>0</v>
      </c>
      <c r="U64" s="188">
        <v>0</v>
      </c>
      <c r="V64" s="188">
        <v>0</v>
      </c>
      <c r="W64" s="188"/>
      <c r="X64" s="89"/>
      <c r="Y64" s="188"/>
      <c r="Z64" s="188"/>
      <c r="AA64" s="188"/>
      <c r="AB64" s="188"/>
      <c r="AC64" s="187"/>
      <c r="AD64" s="189"/>
      <c r="AE64" s="188"/>
    </row>
    <row r="65" spans="1:31" ht="21.25" customHeight="1" x14ac:dyDescent="0.15">
      <c r="A65" s="10" t="s">
        <v>255</v>
      </c>
      <c r="B65" s="185" t="s">
        <v>860</v>
      </c>
      <c r="C65" s="186">
        <v>33</v>
      </c>
      <c r="D65" s="185" t="s">
        <v>848</v>
      </c>
      <c r="E65" s="89">
        <v>80</v>
      </c>
      <c r="F65" s="187">
        <v>19.899999999999999</v>
      </c>
      <c r="G65" s="188">
        <v>0.28000000000000003</v>
      </c>
      <c r="H65" s="188">
        <v>0.57999999999999996</v>
      </c>
      <c r="I65" s="188">
        <v>0.86</v>
      </c>
      <c r="J65" s="188">
        <v>2.12</v>
      </c>
      <c r="K65" s="188">
        <v>0.08</v>
      </c>
      <c r="L65" s="188">
        <v>0.28000000000000003</v>
      </c>
      <c r="M65" s="188">
        <v>0.01</v>
      </c>
      <c r="N65" s="188">
        <v>0.03</v>
      </c>
      <c r="O65" s="188">
        <v>0.59</v>
      </c>
      <c r="P65" s="188">
        <v>1.92</v>
      </c>
      <c r="Q65" s="188">
        <v>0</v>
      </c>
      <c r="R65" s="188">
        <v>0.62</v>
      </c>
      <c r="S65" s="188">
        <v>0.04</v>
      </c>
      <c r="T65" s="188">
        <v>8.44</v>
      </c>
      <c r="U65" s="188">
        <v>5.86</v>
      </c>
      <c r="V65" s="188">
        <v>0.59</v>
      </c>
      <c r="W65" s="188"/>
      <c r="X65" s="89"/>
      <c r="Y65" s="187"/>
      <c r="Z65" s="187"/>
      <c r="AA65" s="187"/>
      <c r="AB65" s="187"/>
      <c r="AC65" s="187"/>
      <c r="AD65" s="189"/>
      <c r="AE65" s="188"/>
    </row>
    <row r="66" spans="1:31" ht="21.25" customHeight="1" x14ac:dyDescent="0.15">
      <c r="A66" s="10" t="s">
        <v>292</v>
      </c>
      <c r="B66" s="185" t="s">
        <v>863</v>
      </c>
      <c r="C66" s="186">
        <v>19</v>
      </c>
      <c r="D66" s="185" t="s">
        <v>822</v>
      </c>
      <c r="E66" s="89">
        <v>78</v>
      </c>
      <c r="F66" s="187">
        <v>16.899999999999999</v>
      </c>
      <c r="G66" s="188">
        <v>0.35</v>
      </c>
      <c r="H66" s="188">
        <v>0.49</v>
      </c>
      <c r="I66" s="188">
        <v>0.84</v>
      </c>
      <c r="J66" s="188">
        <v>2.66</v>
      </c>
      <c r="K66" s="188">
        <v>0.12</v>
      </c>
      <c r="L66" s="188">
        <v>0.28000000000000003</v>
      </c>
      <c r="M66" s="188">
        <v>0</v>
      </c>
      <c r="N66" s="188">
        <v>0</v>
      </c>
      <c r="O66" s="188">
        <v>0.38</v>
      </c>
      <c r="P66" s="188">
        <v>1.27</v>
      </c>
      <c r="Q66" s="188">
        <v>0.01</v>
      </c>
      <c r="R66" s="188">
        <v>0.44</v>
      </c>
      <c r="S66" s="188">
        <v>0.06</v>
      </c>
      <c r="T66" s="188">
        <v>0.11</v>
      </c>
      <c r="U66" s="188">
        <v>0.22</v>
      </c>
      <c r="V66" s="188">
        <v>0.33</v>
      </c>
      <c r="W66" s="188"/>
      <c r="X66" s="89"/>
      <c r="Y66" s="187"/>
      <c r="Z66" s="187"/>
      <c r="AA66" s="187"/>
      <c r="AB66" s="187"/>
      <c r="AC66" s="187"/>
      <c r="AD66" s="189"/>
      <c r="AE66" s="188"/>
    </row>
    <row r="67" spans="1:31" ht="21.25" customHeight="1" x14ac:dyDescent="0.15">
      <c r="A67" s="10" t="s">
        <v>223</v>
      </c>
      <c r="B67" s="185" t="s">
        <v>851</v>
      </c>
      <c r="C67" s="186">
        <v>34</v>
      </c>
      <c r="D67" s="185" t="s">
        <v>822</v>
      </c>
      <c r="E67" s="89">
        <v>79</v>
      </c>
      <c r="F67" s="187">
        <v>20</v>
      </c>
      <c r="G67" s="188">
        <v>0.34</v>
      </c>
      <c r="H67" s="188">
        <v>0.4</v>
      </c>
      <c r="I67" s="188">
        <v>0.74</v>
      </c>
      <c r="J67" s="188">
        <v>2.38</v>
      </c>
      <c r="K67" s="188">
        <v>0.06</v>
      </c>
      <c r="L67" s="188">
        <v>0.19</v>
      </c>
      <c r="M67" s="188">
        <v>0.01</v>
      </c>
      <c r="N67" s="188">
        <v>0.02</v>
      </c>
      <c r="O67" s="188">
        <v>0.86</v>
      </c>
      <c r="P67" s="188">
        <v>0.62</v>
      </c>
      <c r="Q67" s="188">
        <v>0</v>
      </c>
      <c r="R67" s="188">
        <v>0.35</v>
      </c>
      <c r="S67" s="188">
        <v>0.05</v>
      </c>
      <c r="T67" s="188">
        <v>0.06</v>
      </c>
      <c r="U67" s="188">
        <v>0.14000000000000001</v>
      </c>
      <c r="V67" s="188">
        <v>0.3</v>
      </c>
      <c r="W67" s="188"/>
      <c r="X67" s="89"/>
      <c r="Y67" s="187"/>
      <c r="Z67" s="187"/>
      <c r="AA67" s="187"/>
      <c r="AB67" s="187"/>
      <c r="AC67" s="187"/>
      <c r="AD67" s="189"/>
      <c r="AE67" s="188"/>
    </row>
    <row r="68" spans="1:31" ht="21.25" customHeight="1" x14ac:dyDescent="0.15">
      <c r="A68" s="10" t="s">
        <v>301</v>
      </c>
      <c r="B68" s="185" t="s">
        <v>847</v>
      </c>
      <c r="C68" s="186">
        <v>27</v>
      </c>
      <c r="D68" s="185" t="s">
        <v>842</v>
      </c>
      <c r="E68" s="89">
        <v>79</v>
      </c>
      <c r="F68" s="187">
        <v>18.8</v>
      </c>
      <c r="G68" s="188">
        <v>0.37</v>
      </c>
      <c r="H68" s="188">
        <v>0.45</v>
      </c>
      <c r="I68" s="188">
        <v>0.83</v>
      </c>
      <c r="J68" s="188">
        <v>1.91</v>
      </c>
      <c r="K68" s="188">
        <v>0.16</v>
      </c>
      <c r="L68" s="188">
        <v>0.31</v>
      </c>
      <c r="M68" s="188">
        <v>0</v>
      </c>
      <c r="N68" s="188">
        <v>0</v>
      </c>
      <c r="O68" s="188">
        <v>0.49</v>
      </c>
      <c r="P68" s="188">
        <v>0.33</v>
      </c>
      <c r="Q68" s="188">
        <v>0.03</v>
      </c>
      <c r="R68" s="188">
        <v>0.31</v>
      </c>
      <c r="S68" s="188">
        <v>0.06</v>
      </c>
      <c r="T68" s="188">
        <v>0.62</v>
      </c>
      <c r="U68" s="188">
        <v>0.74</v>
      </c>
      <c r="V68" s="188">
        <v>0.45</v>
      </c>
      <c r="W68" s="188"/>
      <c r="X68" s="89"/>
      <c r="Y68" s="187"/>
      <c r="Z68" s="187"/>
      <c r="AA68" s="187"/>
      <c r="AB68" s="187"/>
      <c r="AC68" s="187"/>
      <c r="AD68" s="189"/>
      <c r="AE68" s="188"/>
    </row>
    <row r="69" spans="1:31" ht="21.25" customHeight="1" x14ac:dyDescent="0.15">
      <c r="A69" s="10" t="s">
        <v>254</v>
      </c>
      <c r="B69" s="185" t="s">
        <v>846</v>
      </c>
      <c r="C69" s="186">
        <v>20</v>
      </c>
      <c r="D69" s="185" t="s">
        <v>822</v>
      </c>
      <c r="E69" s="89">
        <v>83</v>
      </c>
      <c r="F69" s="187">
        <v>17.3</v>
      </c>
      <c r="G69" s="188">
        <v>0.28000000000000003</v>
      </c>
      <c r="H69" s="188">
        <v>0.56000000000000005</v>
      </c>
      <c r="I69" s="188">
        <v>0.84</v>
      </c>
      <c r="J69" s="188">
        <v>1.79</v>
      </c>
      <c r="K69" s="188">
        <v>0.1</v>
      </c>
      <c r="L69" s="188">
        <v>0.28000000000000003</v>
      </c>
      <c r="M69" s="188">
        <v>0</v>
      </c>
      <c r="N69" s="188">
        <v>0</v>
      </c>
      <c r="O69" s="188">
        <v>0.37</v>
      </c>
      <c r="P69" s="188">
        <v>0.49</v>
      </c>
      <c r="Q69" s="188">
        <v>0.04</v>
      </c>
      <c r="R69" s="188">
        <v>0.44</v>
      </c>
      <c r="S69" s="188">
        <v>0.05</v>
      </c>
      <c r="T69" s="188">
        <v>0</v>
      </c>
      <c r="U69" s="188">
        <v>0</v>
      </c>
      <c r="V69" s="188">
        <v>0</v>
      </c>
      <c r="W69" s="188"/>
      <c r="X69" s="89"/>
      <c r="Y69" s="187"/>
      <c r="Z69" s="187"/>
      <c r="AA69" s="187"/>
      <c r="AB69" s="187"/>
      <c r="AC69" s="187"/>
      <c r="AD69" s="189"/>
      <c r="AE69" s="188"/>
    </row>
    <row r="70" spans="1:31" ht="21.25" customHeight="1" x14ac:dyDescent="0.15">
      <c r="A70" s="10" t="s">
        <v>235</v>
      </c>
      <c r="B70" s="185" t="s">
        <v>850</v>
      </c>
      <c r="C70" s="186">
        <v>19</v>
      </c>
      <c r="D70" s="185" t="s">
        <v>820</v>
      </c>
      <c r="E70" s="89">
        <v>78</v>
      </c>
      <c r="F70" s="187">
        <v>18.399999999999999</v>
      </c>
      <c r="G70" s="188">
        <v>0.3</v>
      </c>
      <c r="H70" s="188">
        <v>0.48</v>
      </c>
      <c r="I70" s="188">
        <v>0.78</v>
      </c>
      <c r="J70" s="188">
        <v>2.67</v>
      </c>
      <c r="K70" s="188">
        <v>0.06</v>
      </c>
      <c r="L70" s="188">
        <v>0.22</v>
      </c>
      <c r="M70" s="188">
        <v>0</v>
      </c>
      <c r="N70" s="188">
        <v>0</v>
      </c>
      <c r="O70" s="188">
        <v>0.75</v>
      </c>
      <c r="P70" s="188">
        <v>0.83</v>
      </c>
      <c r="Q70" s="188">
        <v>-0.09</v>
      </c>
      <c r="R70" s="188">
        <v>0.42</v>
      </c>
      <c r="S70" s="188">
        <v>0.04</v>
      </c>
      <c r="T70" s="188">
        <v>2.79</v>
      </c>
      <c r="U70" s="188">
        <v>6.45</v>
      </c>
      <c r="V70" s="188">
        <v>0.3</v>
      </c>
      <c r="W70" s="188"/>
      <c r="X70" s="89"/>
      <c r="Y70" s="187"/>
      <c r="Z70" s="187"/>
      <c r="AA70" s="187"/>
      <c r="AB70" s="187"/>
      <c r="AC70" s="187"/>
      <c r="AD70" s="189"/>
      <c r="AE70" s="188"/>
    </row>
    <row r="71" spans="1:31" ht="21.25" customHeight="1" x14ac:dyDescent="0.15">
      <c r="A71" s="10" t="s">
        <v>258</v>
      </c>
      <c r="B71" s="185" t="s">
        <v>856</v>
      </c>
      <c r="C71" s="186">
        <v>26</v>
      </c>
      <c r="D71" s="185" t="s">
        <v>844</v>
      </c>
      <c r="E71" s="89">
        <v>80</v>
      </c>
      <c r="F71" s="187">
        <v>17.5</v>
      </c>
      <c r="G71" s="188">
        <v>0.35</v>
      </c>
      <c r="H71" s="188">
        <v>0.49</v>
      </c>
      <c r="I71" s="188">
        <v>0.84</v>
      </c>
      <c r="J71" s="188">
        <v>2.56</v>
      </c>
      <c r="K71" s="188">
        <v>0.13</v>
      </c>
      <c r="L71" s="188">
        <v>0.31</v>
      </c>
      <c r="M71" s="188">
        <v>0</v>
      </c>
      <c r="N71" s="188">
        <v>0</v>
      </c>
      <c r="O71" s="188">
        <v>0.27</v>
      </c>
      <c r="P71" s="188">
        <v>1.87</v>
      </c>
      <c r="Q71" s="188">
        <v>7.0000000000000007E-2</v>
      </c>
      <c r="R71" s="188">
        <v>0.79</v>
      </c>
      <c r="S71" s="188">
        <v>0.06</v>
      </c>
      <c r="T71" s="188">
        <v>0.09</v>
      </c>
      <c r="U71" s="188">
        <v>0.14000000000000001</v>
      </c>
      <c r="V71" s="188">
        <v>0.39</v>
      </c>
      <c r="W71" s="188"/>
      <c r="X71" s="89"/>
      <c r="Y71" s="187"/>
      <c r="Z71" s="187"/>
      <c r="AA71" s="187"/>
      <c r="AB71" s="187"/>
      <c r="AC71" s="187"/>
      <c r="AD71" s="189"/>
      <c r="AE71" s="188"/>
    </row>
    <row r="72" spans="1:31" ht="21.25" customHeight="1" x14ac:dyDescent="0.15">
      <c r="A72" s="10" t="s">
        <v>276</v>
      </c>
      <c r="B72" s="185" t="s">
        <v>851</v>
      </c>
      <c r="C72" s="186">
        <v>40</v>
      </c>
      <c r="D72" s="185" t="s">
        <v>848</v>
      </c>
      <c r="E72" s="89">
        <v>77</v>
      </c>
      <c r="F72" s="187">
        <v>17.7</v>
      </c>
      <c r="G72" s="188">
        <v>0.27</v>
      </c>
      <c r="H72" s="188">
        <v>0.56999999999999995</v>
      </c>
      <c r="I72" s="188">
        <v>0.84</v>
      </c>
      <c r="J72" s="188">
        <v>2.36</v>
      </c>
      <c r="K72" s="188">
        <v>7.0000000000000007E-2</v>
      </c>
      <c r="L72" s="188">
        <v>0.3</v>
      </c>
      <c r="M72" s="188">
        <v>0</v>
      </c>
      <c r="N72" s="188">
        <v>0</v>
      </c>
      <c r="O72" s="188">
        <v>0.44</v>
      </c>
      <c r="P72" s="188">
        <v>0.51</v>
      </c>
      <c r="Q72" s="188">
        <v>0.01</v>
      </c>
      <c r="R72" s="188">
        <v>0.71</v>
      </c>
      <c r="S72" s="188">
        <v>0.04</v>
      </c>
      <c r="T72" s="188">
        <v>2.86</v>
      </c>
      <c r="U72" s="188">
        <v>3.33</v>
      </c>
      <c r="V72" s="188">
        <v>0.46</v>
      </c>
      <c r="W72" s="188"/>
      <c r="X72" s="89"/>
      <c r="Y72" s="187"/>
      <c r="Z72" s="187"/>
      <c r="AA72" s="187"/>
      <c r="AB72" s="187"/>
      <c r="AC72" s="187"/>
      <c r="AD72" s="189"/>
      <c r="AE72" s="188"/>
    </row>
    <row r="73" spans="1:31" ht="21.25" customHeight="1" x14ac:dyDescent="0.15">
      <c r="A73" s="10" t="s">
        <v>262</v>
      </c>
      <c r="B73" s="185" t="s">
        <v>863</v>
      </c>
      <c r="C73" s="186">
        <v>29</v>
      </c>
      <c r="D73" s="185" t="s">
        <v>844</v>
      </c>
      <c r="E73" s="89">
        <v>83</v>
      </c>
      <c r="F73" s="187">
        <v>18.8</v>
      </c>
      <c r="G73" s="188">
        <v>0.3</v>
      </c>
      <c r="H73" s="188">
        <v>0.49</v>
      </c>
      <c r="I73" s="188">
        <v>0.8</v>
      </c>
      <c r="J73" s="188">
        <v>2.2000000000000002</v>
      </c>
      <c r="K73" s="188">
        <v>0.04</v>
      </c>
      <c r="L73" s="188">
        <v>0.14000000000000001</v>
      </c>
      <c r="M73" s="188">
        <v>0.01</v>
      </c>
      <c r="N73" s="188">
        <v>0.02</v>
      </c>
      <c r="O73" s="188">
        <v>0.46</v>
      </c>
      <c r="P73" s="188">
        <v>1.22</v>
      </c>
      <c r="Q73" s="188">
        <v>0.01</v>
      </c>
      <c r="R73" s="188">
        <v>0.57999999999999996</v>
      </c>
      <c r="S73" s="188">
        <v>0.05</v>
      </c>
      <c r="T73" s="188">
        <v>0.32</v>
      </c>
      <c r="U73" s="188">
        <v>0.51</v>
      </c>
      <c r="V73" s="188">
        <v>0.39</v>
      </c>
      <c r="W73" s="188"/>
      <c r="X73" s="89"/>
      <c r="Y73" s="187"/>
      <c r="Z73" s="187"/>
      <c r="AA73" s="187"/>
      <c r="AB73" s="187"/>
      <c r="AC73" s="187"/>
      <c r="AD73" s="189"/>
      <c r="AE73" s="188"/>
    </row>
    <row r="74" spans="1:31" ht="21.25" customHeight="1" x14ac:dyDescent="0.15">
      <c r="A74" s="10" t="s">
        <v>277</v>
      </c>
      <c r="B74" s="185" t="s">
        <v>841</v>
      </c>
      <c r="C74" s="186">
        <v>23</v>
      </c>
      <c r="D74" s="185" t="s">
        <v>844</v>
      </c>
      <c r="E74" s="89">
        <v>83</v>
      </c>
      <c r="F74" s="187">
        <v>19</v>
      </c>
      <c r="G74" s="188">
        <v>0.32</v>
      </c>
      <c r="H74" s="188">
        <v>0.47</v>
      </c>
      <c r="I74" s="188">
        <v>0.79</v>
      </c>
      <c r="J74" s="188">
        <v>1.86</v>
      </c>
      <c r="K74" s="188">
        <v>0.06</v>
      </c>
      <c r="L74" s="188">
        <v>0.18</v>
      </c>
      <c r="M74" s="188">
        <v>0.01</v>
      </c>
      <c r="N74" s="188">
        <v>0.01</v>
      </c>
      <c r="O74" s="188">
        <v>0.45</v>
      </c>
      <c r="P74" s="188">
        <v>1.95</v>
      </c>
      <c r="Q74" s="188">
        <v>-0.01</v>
      </c>
      <c r="R74" s="188">
        <v>0.5</v>
      </c>
      <c r="S74" s="188">
        <v>0.04</v>
      </c>
      <c r="T74" s="188">
        <v>0</v>
      </c>
      <c r="U74" s="188">
        <v>0.06</v>
      </c>
      <c r="V74" s="188">
        <v>7.0000000000000007E-2</v>
      </c>
      <c r="W74" s="188"/>
      <c r="X74" s="89"/>
      <c r="Y74" s="187"/>
      <c r="Z74" s="187"/>
      <c r="AA74" s="187"/>
      <c r="AB74" s="187"/>
      <c r="AC74" s="187"/>
      <c r="AD74" s="189"/>
      <c r="AE74" s="188"/>
    </row>
    <row r="75" spans="1:31" ht="21.25" customHeight="1" x14ac:dyDescent="0.15">
      <c r="A75" s="10" t="s">
        <v>228</v>
      </c>
      <c r="B75" s="185" t="s">
        <v>846</v>
      </c>
      <c r="C75" s="186">
        <v>22</v>
      </c>
      <c r="D75" s="185" t="s">
        <v>844</v>
      </c>
      <c r="E75" s="89">
        <v>84</v>
      </c>
      <c r="F75" s="187">
        <v>18.7</v>
      </c>
      <c r="G75" s="188">
        <v>0.32</v>
      </c>
      <c r="H75" s="188">
        <v>0.5</v>
      </c>
      <c r="I75" s="188">
        <v>0.82</v>
      </c>
      <c r="J75" s="188">
        <v>2.14</v>
      </c>
      <c r="K75" s="188">
        <v>0.13</v>
      </c>
      <c r="L75" s="188">
        <v>0.27</v>
      </c>
      <c r="M75" s="188">
        <v>0</v>
      </c>
      <c r="N75" s="188">
        <v>0</v>
      </c>
      <c r="O75" s="188">
        <v>0.87</v>
      </c>
      <c r="P75" s="188">
        <v>1.57</v>
      </c>
      <c r="Q75" s="188">
        <v>0.05</v>
      </c>
      <c r="R75" s="188">
        <v>0.56999999999999995</v>
      </c>
      <c r="S75" s="188">
        <v>0.05</v>
      </c>
      <c r="T75" s="188">
        <v>0.21</v>
      </c>
      <c r="U75" s="188">
        <v>0.39</v>
      </c>
      <c r="V75" s="188">
        <v>0.35</v>
      </c>
      <c r="W75" s="188"/>
      <c r="X75" s="89"/>
      <c r="Y75" s="187"/>
      <c r="Z75" s="187"/>
      <c r="AA75" s="187"/>
      <c r="AB75" s="187"/>
      <c r="AC75" s="187"/>
      <c r="AD75" s="189"/>
      <c r="AE75" s="188"/>
    </row>
    <row r="76" spans="1:31" ht="21.25" customHeight="1" x14ac:dyDescent="0.15">
      <c r="A76" s="10" t="s">
        <v>213</v>
      </c>
      <c r="B76" s="185" t="s">
        <v>853</v>
      </c>
      <c r="C76" s="186">
        <v>21</v>
      </c>
      <c r="D76" s="185" t="s">
        <v>820</v>
      </c>
      <c r="E76" s="89">
        <v>81</v>
      </c>
      <c r="F76" s="187">
        <v>19.600000000000001</v>
      </c>
      <c r="G76" s="188">
        <v>0.37</v>
      </c>
      <c r="H76" s="188">
        <v>0.44</v>
      </c>
      <c r="I76" s="188">
        <v>0.82</v>
      </c>
      <c r="J76" s="188">
        <v>2.77</v>
      </c>
      <c r="K76" s="188">
        <v>7.0000000000000007E-2</v>
      </c>
      <c r="L76" s="188">
        <v>0.19</v>
      </c>
      <c r="M76" s="188">
        <v>0</v>
      </c>
      <c r="N76" s="188">
        <v>0</v>
      </c>
      <c r="O76" s="188">
        <v>0.63</v>
      </c>
      <c r="P76" s="188">
        <v>1.53</v>
      </c>
      <c r="Q76" s="188">
        <v>0</v>
      </c>
      <c r="R76" s="188">
        <v>0.41</v>
      </c>
      <c r="S76" s="188">
        <v>0.06</v>
      </c>
      <c r="T76" s="188">
        <v>6.28</v>
      </c>
      <c r="U76" s="188">
        <v>7.44</v>
      </c>
      <c r="V76" s="188">
        <v>0.46</v>
      </c>
      <c r="W76" s="188"/>
      <c r="X76" s="89"/>
      <c r="Y76" s="187"/>
      <c r="Z76" s="187"/>
      <c r="AA76" s="187"/>
      <c r="AB76" s="187"/>
      <c r="AC76" s="187"/>
      <c r="AD76" s="189"/>
      <c r="AE76" s="188"/>
    </row>
    <row r="77" spans="1:31" ht="21.25" customHeight="1" x14ac:dyDescent="0.15">
      <c r="A77" s="10" t="s">
        <v>201</v>
      </c>
      <c r="B77" s="185" t="s">
        <v>862</v>
      </c>
      <c r="C77" s="186">
        <v>31</v>
      </c>
      <c r="D77" s="185" t="s">
        <v>820</v>
      </c>
      <c r="E77" s="89">
        <v>41</v>
      </c>
      <c r="F77" s="187">
        <v>22</v>
      </c>
      <c r="G77" s="188">
        <v>0.41</v>
      </c>
      <c r="H77" s="188">
        <v>0.41</v>
      </c>
      <c r="I77" s="188">
        <v>0.82</v>
      </c>
      <c r="J77" s="188">
        <v>3.36</v>
      </c>
      <c r="K77" s="188">
        <v>0.08</v>
      </c>
      <c r="L77" s="188">
        <v>0.19</v>
      </c>
      <c r="M77" s="188">
        <v>0.02</v>
      </c>
      <c r="N77" s="188">
        <v>0.03</v>
      </c>
      <c r="O77" s="188">
        <v>0.59</v>
      </c>
      <c r="P77" s="188">
        <v>0.94</v>
      </c>
      <c r="Q77" s="188">
        <v>-0.02</v>
      </c>
      <c r="R77" s="188">
        <v>0.39</v>
      </c>
      <c r="S77" s="188">
        <v>0.06</v>
      </c>
      <c r="T77" s="188">
        <v>10.67</v>
      </c>
      <c r="U77" s="188">
        <v>8.27</v>
      </c>
      <c r="V77" s="188">
        <v>0.56000000000000005</v>
      </c>
      <c r="W77" s="188"/>
      <c r="X77" s="89"/>
      <c r="Y77" s="187"/>
      <c r="Z77" s="187"/>
      <c r="AA77" s="187"/>
      <c r="AB77" s="187"/>
      <c r="AC77" s="187"/>
      <c r="AD77" s="189"/>
      <c r="AE77" s="188"/>
    </row>
    <row r="78" spans="1:31" ht="21.25" customHeight="1" x14ac:dyDescent="0.15">
      <c r="A78" s="10" t="s">
        <v>232</v>
      </c>
      <c r="B78" s="185" t="s">
        <v>864</v>
      </c>
      <c r="C78" s="186">
        <v>27</v>
      </c>
      <c r="D78" s="185" t="s">
        <v>823</v>
      </c>
      <c r="E78" s="89">
        <v>80</v>
      </c>
      <c r="F78" s="187">
        <v>20.3</v>
      </c>
      <c r="G78" s="188">
        <v>0.27</v>
      </c>
      <c r="H78" s="188">
        <v>0.54</v>
      </c>
      <c r="I78" s="188">
        <v>0.81</v>
      </c>
      <c r="J78" s="188">
        <v>2.06</v>
      </c>
      <c r="K78" s="188">
        <v>0.09</v>
      </c>
      <c r="L78" s="188">
        <v>0.3</v>
      </c>
      <c r="M78" s="188">
        <v>0.01</v>
      </c>
      <c r="N78" s="188">
        <v>0.02</v>
      </c>
      <c r="O78" s="188">
        <v>1.35</v>
      </c>
      <c r="P78" s="188">
        <v>1.01</v>
      </c>
      <c r="Q78" s="188">
        <v>-0.12</v>
      </c>
      <c r="R78" s="188">
        <v>0.28000000000000003</v>
      </c>
      <c r="S78" s="188">
        <v>0.03</v>
      </c>
      <c r="T78" s="188">
        <v>8.51</v>
      </c>
      <c r="U78" s="188">
        <v>9.07</v>
      </c>
      <c r="V78" s="188">
        <v>0.48</v>
      </c>
      <c r="W78" s="188"/>
      <c r="X78" s="89"/>
      <c r="Y78" s="187"/>
      <c r="Z78" s="187"/>
      <c r="AA78" s="187"/>
      <c r="AB78" s="187"/>
      <c r="AC78" s="187"/>
      <c r="AD78" s="189"/>
      <c r="AE78" s="188"/>
    </row>
    <row r="79" spans="1:31" ht="21.25" customHeight="1" x14ac:dyDescent="0.15">
      <c r="A79" s="10" t="s">
        <v>236</v>
      </c>
      <c r="B79" s="185" t="s">
        <v>855</v>
      </c>
      <c r="C79" s="186">
        <v>20</v>
      </c>
      <c r="D79" s="185" t="s">
        <v>822</v>
      </c>
      <c r="E79" s="89">
        <v>83</v>
      </c>
      <c r="F79" s="187">
        <v>17.899999999999999</v>
      </c>
      <c r="G79" s="188">
        <v>0.36</v>
      </c>
      <c r="H79" s="188">
        <v>0.59</v>
      </c>
      <c r="I79" s="188">
        <v>0.94</v>
      </c>
      <c r="J79" s="188">
        <v>2.81</v>
      </c>
      <c r="K79" s="188">
        <v>0.05</v>
      </c>
      <c r="L79" s="188">
        <v>0.27</v>
      </c>
      <c r="M79" s="188">
        <v>0</v>
      </c>
      <c r="N79" s="188">
        <v>0</v>
      </c>
      <c r="O79" s="188">
        <v>0.35</v>
      </c>
      <c r="P79" s="188">
        <v>1.22</v>
      </c>
      <c r="Q79" s="188">
        <v>-0.03</v>
      </c>
      <c r="R79" s="188">
        <v>0.66</v>
      </c>
      <c r="S79" s="188">
        <v>0.05</v>
      </c>
      <c r="T79" s="188">
        <v>0.04</v>
      </c>
      <c r="U79" s="188">
        <v>0.02</v>
      </c>
      <c r="V79" s="188">
        <v>0.6</v>
      </c>
      <c r="W79" s="188"/>
      <c r="X79" s="89"/>
      <c r="Y79" s="187"/>
      <c r="Z79" s="187"/>
      <c r="AA79" s="187"/>
      <c r="AB79" s="187"/>
      <c r="AC79" s="187"/>
      <c r="AD79" s="189"/>
      <c r="AE79" s="188"/>
    </row>
    <row r="80" spans="1:31" ht="21.25" customHeight="1" x14ac:dyDescent="0.15">
      <c r="A80" s="10" t="s">
        <v>248</v>
      </c>
      <c r="B80" s="185" t="s">
        <v>865</v>
      </c>
      <c r="C80" s="186">
        <v>29</v>
      </c>
      <c r="D80" s="185" t="s">
        <v>820</v>
      </c>
      <c r="E80" s="89">
        <v>84</v>
      </c>
      <c r="F80" s="187">
        <v>17.899999999999999</v>
      </c>
      <c r="G80" s="188">
        <v>0.28999999999999998</v>
      </c>
      <c r="H80" s="188">
        <v>0.52</v>
      </c>
      <c r="I80" s="188">
        <v>0.81</v>
      </c>
      <c r="J80" s="188">
        <v>1.87</v>
      </c>
      <c r="K80" s="188">
        <v>0.08</v>
      </c>
      <c r="L80" s="188">
        <v>0.3</v>
      </c>
      <c r="M80" s="188">
        <v>0</v>
      </c>
      <c r="N80" s="188">
        <v>0</v>
      </c>
      <c r="O80" s="188">
        <v>0.65</v>
      </c>
      <c r="P80" s="188">
        <v>0.27</v>
      </c>
      <c r="Q80" s="188">
        <v>0.05</v>
      </c>
      <c r="R80" s="188">
        <v>0.41</v>
      </c>
      <c r="S80" s="188">
        <v>0.04</v>
      </c>
      <c r="T80" s="188">
        <v>9.11</v>
      </c>
      <c r="U80" s="188">
        <v>7.35</v>
      </c>
      <c r="V80" s="188">
        <v>0.55000000000000004</v>
      </c>
      <c r="W80" s="188"/>
      <c r="X80" s="89"/>
      <c r="Y80" s="187"/>
      <c r="Z80" s="187"/>
      <c r="AA80" s="187"/>
      <c r="AB80" s="187"/>
      <c r="AC80" s="187"/>
      <c r="AD80" s="189"/>
      <c r="AE80" s="188"/>
    </row>
    <row r="81" spans="1:31" ht="21.25" customHeight="1" x14ac:dyDescent="0.15">
      <c r="A81" s="10" t="s">
        <v>139</v>
      </c>
      <c r="B81" s="185" t="s">
        <v>862</v>
      </c>
      <c r="C81" s="186">
        <v>19</v>
      </c>
      <c r="D81" s="185" t="s">
        <v>823</v>
      </c>
      <c r="E81" s="89">
        <v>83</v>
      </c>
      <c r="F81" s="187">
        <v>24.8</v>
      </c>
      <c r="G81" s="188">
        <v>0.3</v>
      </c>
      <c r="H81" s="188">
        <v>0.51</v>
      </c>
      <c r="I81" s="188">
        <v>0.81</v>
      </c>
      <c r="J81" s="188">
        <v>2.71</v>
      </c>
      <c r="K81" s="188">
        <v>0.11</v>
      </c>
      <c r="L81" s="188">
        <v>0.27</v>
      </c>
      <c r="M81" s="188">
        <v>0</v>
      </c>
      <c r="N81" s="188">
        <v>0</v>
      </c>
      <c r="O81" s="188">
        <v>1.37</v>
      </c>
      <c r="P81" s="188">
        <v>0.56000000000000005</v>
      </c>
      <c r="Q81" s="188">
        <v>-0.01</v>
      </c>
      <c r="R81" s="188">
        <v>0.52</v>
      </c>
      <c r="S81" s="188">
        <v>0.04</v>
      </c>
      <c r="T81" s="188">
        <v>0</v>
      </c>
      <c r="U81" s="188">
        <v>0</v>
      </c>
      <c r="V81" s="188">
        <v>0</v>
      </c>
      <c r="W81" s="188"/>
      <c r="X81" s="89"/>
      <c r="Y81" s="187"/>
      <c r="Z81" s="187"/>
      <c r="AA81" s="187"/>
      <c r="AB81" s="187"/>
      <c r="AC81" s="187"/>
      <c r="AD81" s="189"/>
      <c r="AE81" s="188"/>
    </row>
    <row r="82" spans="1:31" ht="21.25" customHeight="1" x14ac:dyDescent="0.15">
      <c r="A82" s="10" t="s">
        <v>272</v>
      </c>
      <c r="B82" s="185" t="s">
        <v>854</v>
      </c>
      <c r="C82" s="186">
        <v>22</v>
      </c>
      <c r="D82" s="185" t="s">
        <v>822</v>
      </c>
      <c r="E82" s="89">
        <v>79</v>
      </c>
      <c r="F82" s="187">
        <v>17.7</v>
      </c>
      <c r="G82" s="188">
        <v>0.33</v>
      </c>
      <c r="H82" s="188">
        <v>0.48</v>
      </c>
      <c r="I82" s="188">
        <v>0.81</v>
      </c>
      <c r="J82" s="188">
        <v>2.5499999999999998</v>
      </c>
      <c r="K82" s="188">
        <v>0.09</v>
      </c>
      <c r="L82" s="188">
        <v>0.18</v>
      </c>
      <c r="M82" s="188">
        <v>0</v>
      </c>
      <c r="N82" s="188">
        <v>0</v>
      </c>
      <c r="O82" s="188">
        <v>0.56000000000000005</v>
      </c>
      <c r="P82" s="188">
        <v>1.01</v>
      </c>
      <c r="Q82" s="188">
        <v>0</v>
      </c>
      <c r="R82" s="188">
        <v>0.32</v>
      </c>
      <c r="S82" s="188">
        <v>0.05</v>
      </c>
      <c r="T82" s="188">
        <v>0.06</v>
      </c>
      <c r="U82" s="188">
        <v>0.12</v>
      </c>
      <c r="V82" s="188">
        <v>0.31</v>
      </c>
      <c r="W82" s="188"/>
      <c r="X82" s="89"/>
      <c r="Y82" s="187"/>
      <c r="Z82" s="187"/>
      <c r="AA82" s="187"/>
      <c r="AB82" s="187"/>
      <c r="AC82" s="187"/>
      <c r="AD82" s="189"/>
      <c r="AE82" s="188"/>
    </row>
    <row r="83" spans="1:31" ht="21.25" customHeight="1" x14ac:dyDescent="0.15">
      <c r="A83" s="10" t="s">
        <v>226</v>
      </c>
      <c r="B83" s="185" t="s">
        <v>849</v>
      </c>
      <c r="C83" s="186">
        <v>27</v>
      </c>
      <c r="D83" s="185" t="s">
        <v>835</v>
      </c>
      <c r="E83" s="89">
        <v>79</v>
      </c>
      <c r="F83" s="187">
        <v>17.5</v>
      </c>
      <c r="G83" s="188">
        <v>0.37</v>
      </c>
      <c r="H83" s="188">
        <v>0.47</v>
      </c>
      <c r="I83" s="188">
        <v>0.84</v>
      </c>
      <c r="J83" s="188">
        <v>3.72</v>
      </c>
      <c r="K83" s="188">
        <v>0.1</v>
      </c>
      <c r="L83" s="188">
        <v>0.25</v>
      </c>
      <c r="M83" s="188">
        <v>0</v>
      </c>
      <c r="N83" s="188">
        <v>0</v>
      </c>
      <c r="O83" s="188">
        <v>0.41</v>
      </c>
      <c r="P83" s="188">
        <v>2.78</v>
      </c>
      <c r="Q83" s="188">
        <v>0.08</v>
      </c>
      <c r="R83" s="188">
        <v>0.94</v>
      </c>
      <c r="S83" s="188">
        <v>0.06</v>
      </c>
      <c r="T83" s="188">
        <v>2.65</v>
      </c>
      <c r="U83" s="188">
        <v>2.2799999999999998</v>
      </c>
      <c r="V83" s="188">
        <v>0.54</v>
      </c>
      <c r="W83" s="188"/>
      <c r="X83" s="89"/>
      <c r="Y83" s="187"/>
      <c r="Z83" s="187"/>
      <c r="AA83" s="187"/>
      <c r="AB83" s="187"/>
      <c r="AC83" s="187"/>
      <c r="AD83" s="189"/>
      <c r="AE83" s="188"/>
    </row>
    <row r="84" spans="1:31" ht="21.25" customHeight="1" x14ac:dyDescent="0.15">
      <c r="A84" s="10" t="s">
        <v>533</v>
      </c>
      <c r="B84" s="185" t="s">
        <v>855</v>
      </c>
      <c r="C84" s="186">
        <v>29</v>
      </c>
      <c r="D84" s="185" t="s">
        <v>822</v>
      </c>
      <c r="E84" s="89">
        <v>52</v>
      </c>
      <c r="F84" s="187">
        <v>18.5</v>
      </c>
      <c r="G84" s="188">
        <v>0.3</v>
      </c>
      <c r="H84" s="188">
        <v>0.52</v>
      </c>
      <c r="I84" s="188">
        <v>0.82</v>
      </c>
      <c r="J84" s="188">
        <v>2.56</v>
      </c>
      <c r="K84" s="188">
        <v>0.04</v>
      </c>
      <c r="L84" s="188">
        <v>0.17</v>
      </c>
      <c r="M84" s="188">
        <v>0.02</v>
      </c>
      <c r="N84" s="188">
        <v>0.05</v>
      </c>
      <c r="O84" s="188">
        <v>0.36</v>
      </c>
      <c r="P84" s="188">
        <v>0.19</v>
      </c>
      <c r="Q84" s="188">
        <v>-0.03</v>
      </c>
      <c r="R84" s="188">
        <v>0.3</v>
      </c>
      <c r="S84" s="188">
        <v>0.04</v>
      </c>
      <c r="T84" s="188">
        <v>0.08</v>
      </c>
      <c r="U84" s="188">
        <v>0.14000000000000001</v>
      </c>
      <c r="V84" s="188">
        <v>0.37</v>
      </c>
      <c r="W84" s="188"/>
      <c r="X84" s="89"/>
      <c r="Y84" s="187"/>
      <c r="Z84" s="187"/>
      <c r="AA84" s="187"/>
      <c r="AB84" s="187"/>
      <c r="AC84" s="187"/>
      <c r="AD84" s="189"/>
      <c r="AE84" s="188"/>
    </row>
    <row r="85" spans="1:31" ht="21.25" customHeight="1" x14ac:dyDescent="0.15">
      <c r="A85" s="10" t="s">
        <v>275</v>
      </c>
      <c r="B85" s="185" t="s">
        <v>837</v>
      </c>
      <c r="C85" s="186">
        <v>28</v>
      </c>
      <c r="D85" s="185" t="s">
        <v>848</v>
      </c>
      <c r="E85" s="89">
        <v>83</v>
      </c>
      <c r="F85" s="187">
        <v>17.5</v>
      </c>
      <c r="G85" s="188">
        <v>0.43</v>
      </c>
      <c r="H85" s="188">
        <v>0.37</v>
      </c>
      <c r="I85" s="188">
        <v>0.8</v>
      </c>
      <c r="J85" s="188">
        <v>2.2000000000000002</v>
      </c>
      <c r="K85" s="188">
        <v>0.12</v>
      </c>
      <c r="L85" s="188">
        <v>0.26</v>
      </c>
      <c r="M85" s="188">
        <v>0</v>
      </c>
      <c r="N85" s="188">
        <v>0</v>
      </c>
      <c r="O85" s="188">
        <v>0.43</v>
      </c>
      <c r="P85" s="188">
        <v>1.35</v>
      </c>
      <c r="Q85" s="188">
        <v>-0.01</v>
      </c>
      <c r="R85" s="188">
        <v>0.34</v>
      </c>
      <c r="S85" s="188">
        <v>0.06</v>
      </c>
      <c r="T85" s="188">
        <v>1.56</v>
      </c>
      <c r="U85" s="188">
        <v>1.84</v>
      </c>
      <c r="V85" s="188">
        <v>0.46</v>
      </c>
      <c r="W85" s="188"/>
      <c r="X85" s="89"/>
      <c r="Y85" s="187"/>
      <c r="Z85" s="187"/>
      <c r="AA85" s="187"/>
      <c r="AB85" s="187"/>
      <c r="AC85" s="187"/>
      <c r="AD85" s="189"/>
      <c r="AE85" s="188"/>
    </row>
    <row r="86" spans="1:31" ht="21.25" customHeight="1" x14ac:dyDescent="0.15">
      <c r="A86" s="10" t="s">
        <v>237</v>
      </c>
      <c r="B86" s="185" t="s">
        <v>860</v>
      </c>
      <c r="C86" s="186">
        <v>25</v>
      </c>
      <c r="D86" s="185" t="s">
        <v>844</v>
      </c>
      <c r="E86" s="89">
        <v>81</v>
      </c>
      <c r="F86" s="187">
        <v>17.600000000000001</v>
      </c>
      <c r="G86" s="188">
        <v>0.46</v>
      </c>
      <c r="H86" s="188">
        <v>0.33</v>
      </c>
      <c r="I86" s="188">
        <v>0.79</v>
      </c>
      <c r="J86" s="188">
        <v>2.89</v>
      </c>
      <c r="K86" s="188">
        <v>0.22</v>
      </c>
      <c r="L86" s="188">
        <v>0.34</v>
      </c>
      <c r="M86" s="188">
        <v>0</v>
      </c>
      <c r="N86" s="188">
        <v>0</v>
      </c>
      <c r="O86" s="188">
        <v>0.39</v>
      </c>
      <c r="P86" s="188">
        <v>0.41</v>
      </c>
      <c r="Q86" s="188">
        <v>0.02</v>
      </c>
      <c r="R86" s="188">
        <v>0.35</v>
      </c>
      <c r="S86" s="188">
        <v>7.0000000000000007E-2</v>
      </c>
      <c r="T86" s="188">
        <v>0.01</v>
      </c>
      <c r="U86" s="188">
        <v>0.04</v>
      </c>
      <c r="V86" s="188">
        <v>0.13</v>
      </c>
      <c r="W86" s="188"/>
      <c r="X86" s="89"/>
      <c r="Y86" s="187"/>
      <c r="Z86" s="187"/>
      <c r="AA86" s="187"/>
      <c r="AB86" s="187"/>
      <c r="AC86" s="187"/>
      <c r="AD86" s="189"/>
      <c r="AE86" s="188"/>
    </row>
    <row r="87" spans="1:31" ht="21.25" customHeight="1" x14ac:dyDescent="0.15">
      <c r="A87" s="10" t="s">
        <v>168</v>
      </c>
      <c r="B87" s="185" t="s">
        <v>839</v>
      </c>
      <c r="C87" s="186">
        <v>31</v>
      </c>
      <c r="D87" s="185" t="s">
        <v>823</v>
      </c>
      <c r="E87" s="89">
        <v>76</v>
      </c>
      <c r="F87" s="187">
        <v>24.6</v>
      </c>
      <c r="G87" s="188">
        <v>0.12</v>
      </c>
      <c r="H87" s="188">
        <v>0.66</v>
      </c>
      <c r="I87" s="188">
        <v>0.79</v>
      </c>
      <c r="J87" s="188">
        <v>2.02</v>
      </c>
      <c r="K87" s="188">
        <v>0.04</v>
      </c>
      <c r="L87" s="188">
        <v>0.28999999999999998</v>
      </c>
      <c r="M87" s="188">
        <v>0</v>
      </c>
      <c r="N87" s="188">
        <v>0</v>
      </c>
      <c r="O87" s="188">
        <v>1.32</v>
      </c>
      <c r="P87" s="188">
        <v>0.21</v>
      </c>
      <c r="Q87" s="188">
        <v>0.09</v>
      </c>
      <c r="R87" s="188">
        <v>0.39</v>
      </c>
      <c r="S87" s="188">
        <v>0.02</v>
      </c>
      <c r="T87" s="188">
        <v>0</v>
      </c>
      <c r="U87" s="188">
        <v>0</v>
      </c>
      <c r="V87" s="188">
        <v>0</v>
      </c>
      <c r="W87" s="188"/>
      <c r="X87" s="89"/>
      <c r="Y87" s="187"/>
      <c r="Z87" s="187"/>
      <c r="AA87" s="187"/>
      <c r="AB87" s="187"/>
      <c r="AC87" s="187"/>
      <c r="AD87" s="189"/>
      <c r="AE87" s="188"/>
    </row>
    <row r="88" spans="1:31" ht="21.25" customHeight="1" x14ac:dyDescent="0.15">
      <c r="A88" s="10" t="s">
        <v>268</v>
      </c>
      <c r="B88" s="185" t="s">
        <v>832</v>
      </c>
      <c r="C88" s="186">
        <v>34</v>
      </c>
      <c r="D88" s="185" t="s">
        <v>844</v>
      </c>
      <c r="E88" s="89">
        <v>78</v>
      </c>
      <c r="F88" s="187">
        <v>19.899999999999999</v>
      </c>
      <c r="G88" s="188">
        <v>0.47</v>
      </c>
      <c r="H88" s="188">
        <v>0.32</v>
      </c>
      <c r="I88" s="188">
        <v>0.79</v>
      </c>
      <c r="J88" s="188">
        <v>2.94</v>
      </c>
      <c r="K88" s="188">
        <v>0.15</v>
      </c>
      <c r="L88" s="188">
        <v>0.25</v>
      </c>
      <c r="M88" s="188">
        <v>0</v>
      </c>
      <c r="N88" s="188">
        <v>0</v>
      </c>
      <c r="O88" s="188">
        <v>0.36</v>
      </c>
      <c r="P88" s="188">
        <v>0.89</v>
      </c>
      <c r="Q88" s="188">
        <v>0.12</v>
      </c>
      <c r="R88" s="188">
        <v>0.51</v>
      </c>
      <c r="S88" s="188">
        <v>0.08</v>
      </c>
      <c r="T88" s="188">
        <v>0.02</v>
      </c>
      <c r="U88" s="188">
        <v>0.04</v>
      </c>
      <c r="V88" s="188">
        <v>0.27</v>
      </c>
      <c r="W88" s="188"/>
      <c r="X88" s="89"/>
      <c r="Y88" s="187"/>
      <c r="Z88" s="187"/>
      <c r="AA88" s="187"/>
      <c r="AB88" s="187"/>
      <c r="AC88" s="187"/>
      <c r="AD88" s="189"/>
      <c r="AE88" s="188"/>
    </row>
    <row r="89" spans="1:31" ht="21.25" customHeight="1" x14ac:dyDescent="0.15">
      <c r="A89" s="10" t="s">
        <v>279</v>
      </c>
      <c r="B89" s="185" t="s">
        <v>859</v>
      </c>
      <c r="C89" s="186">
        <v>28</v>
      </c>
      <c r="D89" s="185" t="s">
        <v>844</v>
      </c>
      <c r="E89" s="89">
        <v>83</v>
      </c>
      <c r="F89" s="187">
        <v>16.7</v>
      </c>
      <c r="G89" s="188">
        <v>0.35</v>
      </c>
      <c r="H89" s="188">
        <v>0.47</v>
      </c>
      <c r="I89" s="188">
        <v>0.82</v>
      </c>
      <c r="J89" s="188">
        <v>2.17</v>
      </c>
      <c r="K89" s="188">
        <v>0.13</v>
      </c>
      <c r="L89" s="188">
        <v>0.32</v>
      </c>
      <c r="M89" s="188">
        <v>0</v>
      </c>
      <c r="N89" s="188">
        <v>0</v>
      </c>
      <c r="O89" s="188">
        <v>0.33</v>
      </c>
      <c r="P89" s="188">
        <v>1.52</v>
      </c>
      <c r="Q89" s="188">
        <v>0.02</v>
      </c>
      <c r="R89" s="188">
        <v>0.37</v>
      </c>
      <c r="S89" s="188">
        <v>0.06</v>
      </c>
      <c r="T89" s="188">
        <v>0.21</v>
      </c>
      <c r="U89" s="188">
        <v>0.2</v>
      </c>
      <c r="V89" s="188">
        <v>0.51</v>
      </c>
      <c r="W89" s="188"/>
      <c r="X89" s="89"/>
      <c r="Y89" s="187"/>
      <c r="Z89" s="187"/>
      <c r="AA89" s="187"/>
      <c r="AB89" s="187"/>
      <c r="AC89" s="187"/>
      <c r="AD89" s="189"/>
      <c r="AE89" s="188"/>
    </row>
    <row r="90" spans="1:31" ht="21.25" customHeight="1" x14ac:dyDescent="0.15">
      <c r="A90" s="10" t="s">
        <v>266</v>
      </c>
      <c r="B90" s="185" t="s">
        <v>841</v>
      </c>
      <c r="C90" s="186">
        <v>36</v>
      </c>
      <c r="D90" s="185" t="s">
        <v>820</v>
      </c>
      <c r="E90" s="89">
        <v>83</v>
      </c>
      <c r="F90" s="187">
        <v>17.7</v>
      </c>
      <c r="G90" s="188">
        <v>0.38</v>
      </c>
      <c r="H90" s="188">
        <v>0.46</v>
      </c>
      <c r="I90" s="188">
        <v>0.84</v>
      </c>
      <c r="J90" s="188">
        <v>2.61</v>
      </c>
      <c r="K90" s="188">
        <v>0.12</v>
      </c>
      <c r="L90" s="188">
        <v>0.23</v>
      </c>
      <c r="M90" s="188">
        <v>0</v>
      </c>
      <c r="N90" s="188">
        <v>0</v>
      </c>
      <c r="O90" s="188">
        <v>0.39</v>
      </c>
      <c r="P90" s="188">
        <v>1</v>
      </c>
      <c r="Q90" s="188">
        <v>0.02</v>
      </c>
      <c r="R90" s="188">
        <v>0.42</v>
      </c>
      <c r="S90" s="188">
        <v>0.05</v>
      </c>
      <c r="T90" s="188">
        <v>9.69</v>
      </c>
      <c r="U90" s="188">
        <v>6.95</v>
      </c>
      <c r="V90" s="188">
        <v>0.57999999999999996</v>
      </c>
      <c r="W90" s="188"/>
      <c r="X90" s="89"/>
      <c r="Y90" s="187"/>
      <c r="Z90" s="187"/>
      <c r="AA90" s="187"/>
      <c r="AB90" s="187"/>
      <c r="AC90" s="187"/>
      <c r="AD90" s="189"/>
      <c r="AE90" s="188"/>
    </row>
    <row r="91" spans="1:31" ht="21.25" customHeight="1" x14ac:dyDescent="0.15">
      <c r="A91" s="10" t="s">
        <v>251</v>
      </c>
      <c r="B91" s="185" t="s">
        <v>861</v>
      </c>
      <c r="C91" s="186">
        <v>35</v>
      </c>
      <c r="D91" s="185" t="s">
        <v>820</v>
      </c>
      <c r="E91" s="89">
        <v>83</v>
      </c>
      <c r="F91" s="187">
        <v>20.399999999999999</v>
      </c>
      <c r="G91" s="188">
        <v>0.28000000000000003</v>
      </c>
      <c r="H91" s="188">
        <v>0.5</v>
      </c>
      <c r="I91" s="188">
        <v>0.77</v>
      </c>
      <c r="J91" s="188">
        <v>2</v>
      </c>
      <c r="K91" s="188">
        <v>0.08</v>
      </c>
      <c r="L91" s="188">
        <v>0.23</v>
      </c>
      <c r="M91" s="188">
        <v>0.01</v>
      </c>
      <c r="N91" s="188">
        <v>0.02</v>
      </c>
      <c r="O91" s="188">
        <v>0.83</v>
      </c>
      <c r="P91" s="188">
        <v>0.28000000000000003</v>
      </c>
      <c r="Q91" s="188">
        <v>-0.01</v>
      </c>
      <c r="R91" s="188">
        <v>0.31</v>
      </c>
      <c r="S91" s="188">
        <v>0.04</v>
      </c>
      <c r="T91" s="188">
        <v>9.49</v>
      </c>
      <c r="U91" s="188">
        <v>7.75</v>
      </c>
      <c r="V91" s="188">
        <v>0.55000000000000004</v>
      </c>
      <c r="W91" s="188"/>
      <c r="X91" s="89"/>
      <c r="Y91" s="187"/>
      <c r="Z91" s="187"/>
      <c r="AA91" s="187"/>
      <c r="AB91" s="187"/>
      <c r="AC91" s="187"/>
      <c r="AD91" s="189"/>
      <c r="AE91" s="188"/>
    </row>
    <row r="92" spans="1:31" ht="21.25" customHeight="1" x14ac:dyDescent="0.15">
      <c r="A92" s="10" t="s">
        <v>310</v>
      </c>
      <c r="B92" s="185" t="s">
        <v>864</v>
      </c>
      <c r="C92" s="186">
        <v>25</v>
      </c>
      <c r="D92" s="185" t="s">
        <v>820</v>
      </c>
      <c r="E92" s="89">
        <v>78</v>
      </c>
      <c r="F92" s="187">
        <v>19.100000000000001</v>
      </c>
      <c r="G92" s="188">
        <v>0.28999999999999998</v>
      </c>
      <c r="H92" s="188">
        <v>0.46</v>
      </c>
      <c r="I92" s="188">
        <v>0.75</v>
      </c>
      <c r="J92" s="188">
        <v>1.76</v>
      </c>
      <c r="K92" s="188">
        <v>0.09</v>
      </c>
      <c r="L92" s="188">
        <v>0.27</v>
      </c>
      <c r="M92" s="188">
        <v>0</v>
      </c>
      <c r="N92" s="188">
        <v>0.01</v>
      </c>
      <c r="O92" s="188">
        <v>0.56000000000000005</v>
      </c>
      <c r="P92" s="188">
        <v>0.84</v>
      </c>
      <c r="Q92" s="188">
        <v>-0.11</v>
      </c>
      <c r="R92" s="188">
        <v>0.37</v>
      </c>
      <c r="S92" s="188">
        <v>0.04</v>
      </c>
      <c r="T92" s="188">
        <v>5.72</v>
      </c>
      <c r="U92" s="188">
        <v>6.47</v>
      </c>
      <c r="V92" s="188">
        <v>0.47</v>
      </c>
      <c r="W92" s="188"/>
      <c r="X92" s="89"/>
      <c r="Y92" s="187"/>
      <c r="Z92" s="187"/>
      <c r="AA92" s="187"/>
      <c r="AB92" s="187"/>
      <c r="AC92" s="187"/>
      <c r="AD92" s="189"/>
      <c r="AE92" s="188"/>
    </row>
    <row r="93" spans="1:31" ht="21.25" customHeight="1" x14ac:dyDescent="0.15">
      <c r="A93" s="10" t="s">
        <v>327</v>
      </c>
      <c r="B93" s="185" t="s">
        <v>863</v>
      </c>
      <c r="C93" s="186">
        <v>25</v>
      </c>
      <c r="D93" s="185" t="s">
        <v>848</v>
      </c>
      <c r="E93" s="89">
        <v>75</v>
      </c>
      <c r="F93" s="187">
        <v>18.600000000000001</v>
      </c>
      <c r="G93" s="188">
        <v>0.3</v>
      </c>
      <c r="H93" s="188">
        <v>0.47</v>
      </c>
      <c r="I93" s="188">
        <v>0.77</v>
      </c>
      <c r="J93" s="188">
        <v>2.12</v>
      </c>
      <c r="K93" s="188">
        <v>0.09</v>
      </c>
      <c r="L93" s="188">
        <v>0.21</v>
      </c>
      <c r="M93" s="188">
        <v>0</v>
      </c>
      <c r="N93" s="188">
        <v>0</v>
      </c>
      <c r="O93" s="188">
        <v>0.39</v>
      </c>
      <c r="P93" s="188">
        <v>0.65</v>
      </c>
      <c r="Q93" s="188">
        <v>0.03</v>
      </c>
      <c r="R93" s="188">
        <v>0.56000000000000005</v>
      </c>
      <c r="S93" s="188">
        <v>0.05</v>
      </c>
      <c r="T93" s="188">
        <v>1.63</v>
      </c>
      <c r="U93" s="188">
        <v>2.98</v>
      </c>
      <c r="V93" s="188">
        <v>0.35</v>
      </c>
      <c r="W93" s="188"/>
      <c r="X93" s="89"/>
      <c r="Y93" s="187"/>
      <c r="Z93" s="187"/>
      <c r="AA93" s="187"/>
      <c r="AB93" s="187"/>
      <c r="AC93" s="187"/>
      <c r="AD93" s="189"/>
      <c r="AE93" s="188"/>
    </row>
    <row r="94" spans="1:31" ht="21.25" customHeight="1" x14ac:dyDescent="0.15">
      <c r="A94" s="10" t="s">
        <v>246</v>
      </c>
      <c r="B94" s="185" t="s">
        <v>860</v>
      </c>
      <c r="C94" s="186">
        <v>24</v>
      </c>
      <c r="D94" s="185" t="s">
        <v>844</v>
      </c>
      <c r="E94" s="89">
        <v>84</v>
      </c>
      <c r="F94" s="187">
        <v>18.600000000000001</v>
      </c>
      <c r="G94" s="188">
        <v>0.33</v>
      </c>
      <c r="H94" s="188">
        <v>0.44</v>
      </c>
      <c r="I94" s="188">
        <v>0.77</v>
      </c>
      <c r="J94" s="188">
        <v>2.31</v>
      </c>
      <c r="K94" s="188">
        <v>0.12</v>
      </c>
      <c r="L94" s="188">
        <v>0.23</v>
      </c>
      <c r="M94" s="188">
        <v>0</v>
      </c>
      <c r="N94" s="188">
        <v>0</v>
      </c>
      <c r="O94" s="188">
        <v>0.45</v>
      </c>
      <c r="P94" s="188">
        <v>1.1100000000000001</v>
      </c>
      <c r="Q94" s="188">
        <v>0.01</v>
      </c>
      <c r="R94" s="188">
        <v>0.35</v>
      </c>
      <c r="S94" s="188">
        <v>0.05</v>
      </c>
      <c r="T94" s="188">
        <v>0.15</v>
      </c>
      <c r="U94" s="188">
        <v>0.4</v>
      </c>
      <c r="V94" s="188">
        <v>0.27</v>
      </c>
      <c r="W94" s="188"/>
      <c r="X94" s="89"/>
      <c r="Y94" s="187"/>
      <c r="Z94" s="187"/>
      <c r="AA94" s="187"/>
      <c r="AB94" s="187"/>
      <c r="AC94" s="187"/>
      <c r="AD94" s="189"/>
      <c r="AE94" s="188"/>
    </row>
    <row r="95" spans="1:31" ht="21.25" customHeight="1" x14ac:dyDescent="0.15">
      <c r="A95" s="10" t="s">
        <v>264</v>
      </c>
      <c r="B95" s="185" t="s">
        <v>851</v>
      </c>
      <c r="C95" s="186">
        <v>33</v>
      </c>
      <c r="D95" s="185" t="s">
        <v>848</v>
      </c>
      <c r="E95" s="89">
        <v>79</v>
      </c>
      <c r="F95" s="187">
        <v>19.100000000000001</v>
      </c>
      <c r="G95" s="188">
        <v>0.36</v>
      </c>
      <c r="H95" s="188">
        <v>0.39</v>
      </c>
      <c r="I95" s="188">
        <v>0.75</v>
      </c>
      <c r="J95" s="188">
        <v>2.61</v>
      </c>
      <c r="K95" s="188">
        <v>0.09</v>
      </c>
      <c r="L95" s="188">
        <v>0.22</v>
      </c>
      <c r="M95" s="188">
        <v>0.01</v>
      </c>
      <c r="N95" s="188">
        <v>0.03</v>
      </c>
      <c r="O95" s="188">
        <v>0.77</v>
      </c>
      <c r="P95" s="188">
        <v>1.23</v>
      </c>
      <c r="Q95" s="188">
        <v>0.01</v>
      </c>
      <c r="R95" s="188">
        <v>0.25</v>
      </c>
      <c r="S95" s="188">
        <v>0.05</v>
      </c>
      <c r="T95" s="188">
        <v>0.96</v>
      </c>
      <c r="U95" s="188">
        <v>1.72</v>
      </c>
      <c r="V95" s="188">
        <v>0.36</v>
      </c>
      <c r="W95" s="188"/>
      <c r="X95" s="89"/>
      <c r="Y95" s="187"/>
      <c r="Z95" s="187"/>
      <c r="AA95" s="187"/>
      <c r="AB95" s="187"/>
      <c r="AC95" s="187"/>
      <c r="AD95" s="189"/>
      <c r="AE95" s="188"/>
    </row>
    <row r="96" spans="1:31" ht="21.25" customHeight="1" x14ac:dyDescent="0.15">
      <c r="A96" s="10" t="s">
        <v>243</v>
      </c>
      <c r="B96" s="185" t="s">
        <v>852</v>
      </c>
      <c r="C96" s="186">
        <v>30</v>
      </c>
      <c r="D96" s="185" t="s">
        <v>842</v>
      </c>
      <c r="E96" s="89">
        <v>84</v>
      </c>
      <c r="F96" s="187">
        <v>18.899999999999999</v>
      </c>
      <c r="G96" s="188">
        <v>0.31</v>
      </c>
      <c r="H96" s="188">
        <v>0.47</v>
      </c>
      <c r="I96" s="188">
        <v>0.78</v>
      </c>
      <c r="J96" s="188">
        <v>2.2799999999999998</v>
      </c>
      <c r="K96" s="188">
        <v>0.11</v>
      </c>
      <c r="L96" s="188">
        <v>0.24</v>
      </c>
      <c r="M96" s="188">
        <v>0.02</v>
      </c>
      <c r="N96" s="188">
        <v>0.02</v>
      </c>
      <c r="O96" s="188">
        <v>0.6</v>
      </c>
      <c r="P96" s="188">
        <v>0.32</v>
      </c>
      <c r="Q96" s="188">
        <v>0.03</v>
      </c>
      <c r="R96" s="188">
        <v>0.28000000000000003</v>
      </c>
      <c r="S96" s="188">
        <v>0.05</v>
      </c>
      <c r="T96" s="188">
        <v>4.3899999999999997</v>
      </c>
      <c r="U96" s="188">
        <v>5.19</v>
      </c>
      <c r="V96" s="188">
        <v>0.46</v>
      </c>
      <c r="W96" s="188"/>
      <c r="X96" s="89"/>
      <c r="Y96" s="187"/>
      <c r="Z96" s="187"/>
      <c r="AA96" s="187"/>
      <c r="AB96" s="187"/>
      <c r="AC96" s="187"/>
      <c r="AD96" s="189"/>
      <c r="AE96" s="188"/>
    </row>
    <row r="97" spans="1:31" ht="21.25" customHeight="1" x14ac:dyDescent="0.15">
      <c r="A97" s="10" t="s">
        <v>259</v>
      </c>
      <c r="B97" s="185" t="s">
        <v>845</v>
      </c>
      <c r="C97" s="186">
        <v>24</v>
      </c>
      <c r="D97" s="185" t="s">
        <v>820</v>
      </c>
      <c r="E97" s="89">
        <v>83</v>
      </c>
      <c r="F97" s="187">
        <v>20.7</v>
      </c>
      <c r="G97" s="188">
        <v>0.33</v>
      </c>
      <c r="H97" s="188">
        <v>0.43</v>
      </c>
      <c r="I97" s="188">
        <v>0.76</v>
      </c>
      <c r="J97" s="188">
        <v>2.4300000000000002</v>
      </c>
      <c r="K97" s="188">
        <v>0.08</v>
      </c>
      <c r="L97" s="188">
        <v>0.19</v>
      </c>
      <c r="M97" s="188">
        <v>0.01</v>
      </c>
      <c r="N97" s="188">
        <v>0.01</v>
      </c>
      <c r="O97" s="188">
        <v>0.52</v>
      </c>
      <c r="P97" s="188">
        <v>0.89</v>
      </c>
      <c r="Q97" s="188">
        <v>0.02</v>
      </c>
      <c r="R97" s="188">
        <v>0.57999999999999996</v>
      </c>
      <c r="S97" s="188">
        <v>0.05</v>
      </c>
      <c r="T97" s="188">
        <v>5.72</v>
      </c>
      <c r="U97" s="188">
        <v>6.97</v>
      </c>
      <c r="V97" s="188">
        <v>0.45</v>
      </c>
      <c r="W97" s="188"/>
      <c r="X97" s="89"/>
      <c r="Y97" s="187"/>
      <c r="Z97" s="187"/>
      <c r="AA97" s="187"/>
      <c r="AB97" s="187"/>
      <c r="AC97" s="187"/>
      <c r="AD97" s="189"/>
      <c r="AE97" s="188"/>
    </row>
    <row r="98" spans="1:31" ht="21.25" customHeight="1" x14ac:dyDescent="0.15">
      <c r="A98" s="10" t="s">
        <v>280</v>
      </c>
      <c r="B98" s="185" t="s">
        <v>839</v>
      </c>
      <c r="C98" s="186">
        <v>32</v>
      </c>
      <c r="D98" s="185" t="s">
        <v>835</v>
      </c>
      <c r="E98" s="89">
        <v>80</v>
      </c>
      <c r="F98" s="187">
        <v>17.2</v>
      </c>
      <c r="G98" s="188">
        <v>0.34</v>
      </c>
      <c r="H98" s="188">
        <v>0.41</v>
      </c>
      <c r="I98" s="188">
        <v>0.75</v>
      </c>
      <c r="J98" s="188">
        <v>2.4300000000000002</v>
      </c>
      <c r="K98" s="188">
        <v>0.17</v>
      </c>
      <c r="L98" s="188">
        <v>0.33</v>
      </c>
      <c r="M98" s="188">
        <v>0</v>
      </c>
      <c r="N98" s="188">
        <v>0</v>
      </c>
      <c r="O98" s="188">
        <v>0.59</v>
      </c>
      <c r="P98" s="188">
        <v>1.29</v>
      </c>
      <c r="Q98" s="188">
        <v>0.04</v>
      </c>
      <c r="R98" s="188">
        <v>0.32</v>
      </c>
      <c r="S98" s="188">
        <v>7.0000000000000007E-2</v>
      </c>
      <c r="T98" s="188">
        <v>8.6199999999999992</v>
      </c>
      <c r="U98" s="188">
        <v>6.44</v>
      </c>
      <c r="V98" s="188">
        <v>0.56999999999999995</v>
      </c>
      <c r="W98" s="188"/>
      <c r="X98" s="89"/>
      <c r="Y98" s="187"/>
      <c r="Z98" s="187"/>
      <c r="AA98" s="187"/>
      <c r="AB98" s="187"/>
      <c r="AC98" s="187"/>
      <c r="AD98" s="189"/>
      <c r="AE98" s="188"/>
    </row>
    <row r="99" spans="1:31" ht="21.25" customHeight="1" x14ac:dyDescent="0.15">
      <c r="A99" s="10" t="s">
        <v>796</v>
      </c>
      <c r="B99" s="185" t="s">
        <v>849</v>
      </c>
      <c r="C99" s="186">
        <v>18</v>
      </c>
      <c r="D99" s="185" t="s">
        <v>821</v>
      </c>
      <c r="E99" s="89">
        <v>61</v>
      </c>
      <c r="F99" s="187">
        <v>7.9</v>
      </c>
      <c r="G99" s="188">
        <v>0.06</v>
      </c>
      <c r="H99" s="188">
        <v>7.0000000000000007E-2</v>
      </c>
      <c r="I99" s="188">
        <v>0.13</v>
      </c>
      <c r="J99" s="188">
        <v>0.8</v>
      </c>
      <c r="K99" s="188">
        <v>0</v>
      </c>
      <c r="L99" s="188">
        <v>0</v>
      </c>
      <c r="M99" s="188">
        <v>0</v>
      </c>
      <c r="N99" s="188">
        <v>0</v>
      </c>
      <c r="O99" s="188">
        <v>0.39</v>
      </c>
      <c r="P99" s="188">
        <v>2.19</v>
      </c>
      <c r="Q99" s="188">
        <v>0.04</v>
      </c>
      <c r="R99" s="188">
        <v>1.42</v>
      </c>
      <c r="S99" s="188">
        <v>0.01</v>
      </c>
      <c r="T99" s="188">
        <v>0.01</v>
      </c>
      <c r="U99" s="188">
        <v>0.03</v>
      </c>
      <c r="V99" s="188">
        <v>0.32</v>
      </c>
      <c r="W99" s="188"/>
      <c r="X99" s="89"/>
      <c r="Y99" s="187"/>
      <c r="Z99" s="187"/>
      <c r="AA99" s="187"/>
      <c r="AB99" s="187"/>
      <c r="AC99" s="187"/>
      <c r="AD99" s="189"/>
      <c r="AE99" s="188"/>
    </row>
    <row r="100" spans="1:31" ht="21.25" customHeight="1" x14ac:dyDescent="0.15">
      <c r="A100" s="10" t="s">
        <v>285</v>
      </c>
      <c r="B100" s="185" t="s">
        <v>836</v>
      </c>
      <c r="C100" s="186">
        <v>19</v>
      </c>
      <c r="D100" s="185" t="s">
        <v>820</v>
      </c>
      <c r="E100" s="89">
        <v>77</v>
      </c>
      <c r="F100" s="187">
        <v>16.7</v>
      </c>
      <c r="G100" s="188">
        <v>0.28999999999999998</v>
      </c>
      <c r="H100" s="188">
        <v>0.4</v>
      </c>
      <c r="I100" s="188">
        <v>0.69</v>
      </c>
      <c r="J100" s="188">
        <v>1.78</v>
      </c>
      <c r="K100" s="188">
        <v>0.1</v>
      </c>
      <c r="L100" s="188">
        <v>0.23</v>
      </c>
      <c r="M100" s="188">
        <v>0</v>
      </c>
      <c r="N100" s="188">
        <v>0</v>
      </c>
      <c r="O100" s="188">
        <v>0.55000000000000004</v>
      </c>
      <c r="P100" s="188">
        <v>0.54</v>
      </c>
      <c r="Q100" s="188">
        <v>-0.02</v>
      </c>
      <c r="R100" s="188">
        <v>0.36</v>
      </c>
      <c r="S100" s="188">
        <v>0.04</v>
      </c>
      <c r="T100" s="188">
        <v>4.6900000000000004</v>
      </c>
      <c r="U100" s="188">
        <v>5.56</v>
      </c>
      <c r="V100" s="188">
        <v>0.46</v>
      </c>
      <c r="W100" s="188"/>
      <c r="X100" s="89"/>
      <c r="Y100" s="187"/>
      <c r="Z100" s="187"/>
      <c r="AA100" s="187"/>
      <c r="AB100" s="187"/>
      <c r="AC100" s="187"/>
      <c r="AD100" s="189"/>
      <c r="AE100" s="188"/>
    </row>
    <row r="101" spans="1:31" ht="21.25" customHeight="1" x14ac:dyDescent="0.15">
      <c r="A101" s="10" t="s">
        <v>263</v>
      </c>
      <c r="B101" s="185" t="s">
        <v>861</v>
      </c>
      <c r="C101" s="186">
        <v>36</v>
      </c>
      <c r="D101" s="185" t="s">
        <v>842</v>
      </c>
      <c r="E101" s="89">
        <v>84</v>
      </c>
      <c r="F101" s="187">
        <v>17.8</v>
      </c>
      <c r="G101" s="188">
        <v>0.42</v>
      </c>
      <c r="H101" s="188">
        <v>0.33</v>
      </c>
      <c r="I101" s="188">
        <v>0.75</v>
      </c>
      <c r="J101" s="188">
        <v>2.5</v>
      </c>
      <c r="K101" s="188">
        <v>0.16</v>
      </c>
      <c r="L101" s="188">
        <v>0.3</v>
      </c>
      <c r="M101" s="188">
        <v>0</v>
      </c>
      <c r="N101" s="188">
        <v>0</v>
      </c>
      <c r="O101" s="188">
        <v>0.48</v>
      </c>
      <c r="P101" s="188">
        <v>0.99</v>
      </c>
      <c r="Q101" s="188">
        <v>-0.04</v>
      </c>
      <c r="R101" s="188">
        <v>0.52</v>
      </c>
      <c r="S101" s="188">
        <v>0.06</v>
      </c>
      <c r="T101" s="188">
        <v>4.0199999999999996</v>
      </c>
      <c r="U101" s="188">
        <v>3.37</v>
      </c>
      <c r="V101" s="188">
        <v>0.54</v>
      </c>
      <c r="W101" s="188"/>
      <c r="X101" s="89"/>
      <c r="Y101" s="187"/>
      <c r="Z101" s="187"/>
      <c r="AA101" s="187"/>
      <c r="AB101" s="187"/>
      <c r="AC101" s="187"/>
      <c r="AD101" s="189"/>
      <c r="AE101" s="188"/>
    </row>
    <row r="102" spans="1:31" ht="21.25" customHeight="1" x14ac:dyDescent="0.15">
      <c r="A102" s="10" t="s">
        <v>318</v>
      </c>
      <c r="B102" s="185" t="s">
        <v>866</v>
      </c>
      <c r="C102" s="186">
        <v>30</v>
      </c>
      <c r="D102" s="185" t="s">
        <v>835</v>
      </c>
      <c r="E102" s="89">
        <v>79</v>
      </c>
      <c r="F102" s="187">
        <v>16.399999999999999</v>
      </c>
      <c r="G102" s="188">
        <v>0.33</v>
      </c>
      <c r="H102" s="188">
        <v>0.43</v>
      </c>
      <c r="I102" s="188">
        <v>0.77</v>
      </c>
      <c r="J102" s="188">
        <v>2.37</v>
      </c>
      <c r="K102" s="188">
        <v>0.1</v>
      </c>
      <c r="L102" s="188">
        <v>0.24</v>
      </c>
      <c r="M102" s="188">
        <v>0</v>
      </c>
      <c r="N102" s="188">
        <v>0</v>
      </c>
      <c r="O102" s="188">
        <v>0.5</v>
      </c>
      <c r="P102" s="188">
        <v>0.75</v>
      </c>
      <c r="Q102" s="188">
        <v>-7.0000000000000007E-2</v>
      </c>
      <c r="R102" s="188">
        <v>0.28999999999999998</v>
      </c>
      <c r="S102" s="188">
        <v>0.05</v>
      </c>
      <c r="T102" s="188">
        <v>0.76</v>
      </c>
      <c r="U102" s="188">
        <v>0.83</v>
      </c>
      <c r="V102" s="188">
        <v>0.48</v>
      </c>
      <c r="W102" s="188"/>
      <c r="X102" s="89"/>
      <c r="Y102" s="187"/>
      <c r="Z102" s="187"/>
      <c r="AA102" s="187"/>
      <c r="AB102" s="187"/>
      <c r="AC102" s="187"/>
      <c r="AD102" s="189"/>
      <c r="AE102" s="188"/>
    </row>
    <row r="103" spans="1:31" ht="21.25" customHeight="1" x14ac:dyDescent="0.15">
      <c r="A103" s="10" t="s">
        <v>291</v>
      </c>
      <c r="B103" s="185" t="s">
        <v>865</v>
      </c>
      <c r="C103" s="186">
        <v>32</v>
      </c>
      <c r="D103" s="185" t="s">
        <v>822</v>
      </c>
      <c r="E103" s="89">
        <v>81</v>
      </c>
      <c r="F103" s="187">
        <v>19.3</v>
      </c>
      <c r="G103" s="188">
        <v>0.36</v>
      </c>
      <c r="H103" s="188">
        <v>0.39</v>
      </c>
      <c r="I103" s="188">
        <v>0.75</v>
      </c>
      <c r="J103" s="188">
        <v>2.17</v>
      </c>
      <c r="K103" s="188">
        <v>0.1</v>
      </c>
      <c r="L103" s="188">
        <v>0.17</v>
      </c>
      <c r="M103" s="188">
        <v>0.02</v>
      </c>
      <c r="N103" s="188">
        <v>0.03</v>
      </c>
      <c r="O103" s="188">
        <v>0.77</v>
      </c>
      <c r="P103" s="188">
        <v>2.4500000000000002</v>
      </c>
      <c r="Q103" s="188">
        <v>0.08</v>
      </c>
      <c r="R103" s="188">
        <v>1.03</v>
      </c>
      <c r="S103" s="188">
        <v>0.05</v>
      </c>
      <c r="T103" s="188">
        <v>0.19</v>
      </c>
      <c r="U103" s="188">
        <v>0.34</v>
      </c>
      <c r="V103" s="188">
        <v>0.36</v>
      </c>
      <c r="W103" s="188"/>
      <c r="X103" s="89"/>
      <c r="Y103" s="187"/>
      <c r="Z103" s="187"/>
      <c r="AA103" s="187"/>
      <c r="AB103" s="187"/>
      <c r="AC103" s="187"/>
      <c r="AD103" s="189"/>
      <c r="AE103" s="188"/>
    </row>
    <row r="104" spans="1:31" ht="21.25" customHeight="1" x14ac:dyDescent="0.15">
      <c r="A104" s="10" t="s">
        <v>156</v>
      </c>
      <c r="B104" s="185" t="s">
        <v>841</v>
      </c>
      <c r="C104" s="186">
        <v>30</v>
      </c>
      <c r="D104" s="185" t="s">
        <v>823</v>
      </c>
      <c r="E104" s="89">
        <v>81</v>
      </c>
      <c r="F104" s="187">
        <v>23.3</v>
      </c>
      <c r="G104" s="188">
        <v>0.18</v>
      </c>
      <c r="H104" s="188">
        <v>0.56000000000000005</v>
      </c>
      <c r="I104" s="188">
        <v>0.74</v>
      </c>
      <c r="J104" s="188">
        <v>2.4500000000000002</v>
      </c>
      <c r="K104" s="188">
        <v>0.09</v>
      </c>
      <c r="L104" s="188">
        <v>0.28999999999999998</v>
      </c>
      <c r="M104" s="188">
        <v>0</v>
      </c>
      <c r="N104" s="188">
        <v>0</v>
      </c>
      <c r="O104" s="188">
        <v>1.18</v>
      </c>
      <c r="P104" s="188">
        <v>0.94</v>
      </c>
      <c r="Q104" s="188">
        <v>0.04</v>
      </c>
      <c r="R104" s="188">
        <v>0.51</v>
      </c>
      <c r="S104" s="188">
        <v>0.02</v>
      </c>
      <c r="T104" s="188">
        <v>0</v>
      </c>
      <c r="U104" s="188">
        <v>0</v>
      </c>
      <c r="V104" s="188">
        <v>0</v>
      </c>
      <c r="W104" s="188"/>
      <c r="X104" s="89"/>
      <c r="Y104" s="187"/>
      <c r="Z104" s="187"/>
      <c r="AA104" s="187"/>
      <c r="AB104" s="187"/>
      <c r="AC104" s="187"/>
      <c r="AD104" s="189"/>
      <c r="AE104" s="188"/>
    </row>
    <row r="105" spans="1:31" ht="21.25" customHeight="1" x14ac:dyDescent="0.15">
      <c r="A105" s="10" t="s">
        <v>249</v>
      </c>
      <c r="B105" s="185" t="s">
        <v>865</v>
      </c>
      <c r="C105" s="186">
        <v>30</v>
      </c>
      <c r="D105" s="185" t="s">
        <v>844</v>
      </c>
      <c r="E105" s="89">
        <v>83</v>
      </c>
      <c r="F105" s="187">
        <v>18.899999999999999</v>
      </c>
      <c r="G105" s="188">
        <v>0.37</v>
      </c>
      <c r="H105" s="188">
        <v>0.4</v>
      </c>
      <c r="I105" s="188">
        <v>0.77</v>
      </c>
      <c r="J105" s="188">
        <v>2.46</v>
      </c>
      <c r="K105" s="188">
        <v>0.05</v>
      </c>
      <c r="L105" s="188">
        <v>0.11</v>
      </c>
      <c r="M105" s="188">
        <v>0.04</v>
      </c>
      <c r="N105" s="188">
        <v>0.05</v>
      </c>
      <c r="O105" s="188">
        <v>1.1599999999999999</v>
      </c>
      <c r="P105" s="188">
        <v>1</v>
      </c>
      <c r="Q105" s="188">
        <v>7.0000000000000007E-2</v>
      </c>
      <c r="R105" s="188">
        <v>0.55000000000000004</v>
      </c>
      <c r="S105" s="188">
        <v>0.06</v>
      </c>
      <c r="T105" s="188">
        <v>0.61</v>
      </c>
      <c r="U105" s="188">
        <v>0.8</v>
      </c>
      <c r="V105" s="188">
        <v>0.43</v>
      </c>
      <c r="W105" s="188"/>
      <c r="X105" s="89"/>
      <c r="Y105" s="187"/>
      <c r="Z105" s="187"/>
      <c r="AA105" s="187"/>
      <c r="AB105" s="187"/>
      <c r="AC105" s="187"/>
      <c r="AD105" s="189"/>
      <c r="AE105" s="188"/>
    </row>
    <row r="106" spans="1:31" ht="21.25" customHeight="1" x14ac:dyDescent="0.15">
      <c r="A106" s="10" t="s">
        <v>245</v>
      </c>
      <c r="B106" s="185" t="s">
        <v>840</v>
      </c>
      <c r="C106" s="186">
        <v>29</v>
      </c>
      <c r="D106" s="185" t="s">
        <v>820</v>
      </c>
      <c r="E106" s="89">
        <v>76</v>
      </c>
      <c r="F106" s="187">
        <v>20.100000000000001</v>
      </c>
      <c r="G106" s="188">
        <v>0.3</v>
      </c>
      <c r="H106" s="188">
        <v>0.43</v>
      </c>
      <c r="I106" s="188">
        <v>0.74</v>
      </c>
      <c r="J106" s="188">
        <v>2.97</v>
      </c>
      <c r="K106" s="188">
        <v>0.11</v>
      </c>
      <c r="L106" s="188">
        <v>0.24</v>
      </c>
      <c r="M106" s="188">
        <v>0</v>
      </c>
      <c r="N106" s="188">
        <v>0</v>
      </c>
      <c r="O106" s="188">
        <v>0.59</v>
      </c>
      <c r="P106" s="188">
        <v>1.6</v>
      </c>
      <c r="Q106" s="188">
        <v>0.06</v>
      </c>
      <c r="R106" s="188">
        <v>0.53</v>
      </c>
      <c r="S106" s="188">
        <v>0.05</v>
      </c>
      <c r="T106" s="188">
        <v>10.07</v>
      </c>
      <c r="U106" s="188">
        <v>10.6</v>
      </c>
      <c r="V106" s="188">
        <v>0.49</v>
      </c>
      <c r="W106" s="188"/>
      <c r="X106" s="89"/>
      <c r="Y106" s="187"/>
      <c r="Z106" s="187"/>
      <c r="AA106" s="187"/>
      <c r="AB106" s="187"/>
      <c r="AC106" s="187"/>
      <c r="AD106" s="189"/>
      <c r="AE106" s="188"/>
    </row>
    <row r="107" spans="1:31" ht="21.25" customHeight="1" x14ac:dyDescent="0.15">
      <c r="A107" s="10" t="s">
        <v>296</v>
      </c>
      <c r="B107" s="185" t="s">
        <v>837</v>
      </c>
      <c r="C107" s="186">
        <v>24</v>
      </c>
      <c r="D107" s="185" t="s">
        <v>844</v>
      </c>
      <c r="E107" s="89">
        <v>83</v>
      </c>
      <c r="F107" s="187">
        <v>17.7</v>
      </c>
      <c r="G107" s="188">
        <v>0.34</v>
      </c>
      <c r="H107" s="188">
        <v>0.39</v>
      </c>
      <c r="I107" s="188">
        <v>0.73</v>
      </c>
      <c r="J107" s="188">
        <v>2.27</v>
      </c>
      <c r="K107" s="188">
        <v>7.0000000000000007E-2</v>
      </c>
      <c r="L107" s="188">
        <v>0.16</v>
      </c>
      <c r="M107" s="188">
        <v>0</v>
      </c>
      <c r="N107" s="188">
        <v>0.01</v>
      </c>
      <c r="O107" s="188">
        <v>0.28999999999999998</v>
      </c>
      <c r="P107" s="188">
        <v>0.35</v>
      </c>
      <c r="Q107" s="188">
        <v>0</v>
      </c>
      <c r="R107" s="188">
        <v>0.34</v>
      </c>
      <c r="S107" s="188">
        <v>0.05</v>
      </c>
      <c r="T107" s="188">
        <v>7.0000000000000007E-2</v>
      </c>
      <c r="U107" s="188">
        <v>0.21</v>
      </c>
      <c r="V107" s="188">
        <v>0.24</v>
      </c>
      <c r="W107" s="188"/>
      <c r="X107" s="89"/>
      <c r="Y107" s="187"/>
      <c r="Z107" s="187"/>
      <c r="AA107" s="187"/>
      <c r="AB107" s="187"/>
      <c r="AC107" s="187"/>
      <c r="AD107" s="189"/>
      <c r="AE107" s="188"/>
    </row>
    <row r="108" spans="1:31" ht="21.25" customHeight="1" x14ac:dyDescent="0.15">
      <c r="A108" s="10" t="s">
        <v>332</v>
      </c>
      <c r="B108" s="185" t="s">
        <v>849</v>
      </c>
      <c r="C108" s="186">
        <v>38</v>
      </c>
      <c r="D108" s="185" t="s">
        <v>844</v>
      </c>
      <c r="E108" s="89">
        <v>67</v>
      </c>
      <c r="F108" s="187">
        <v>16.8</v>
      </c>
      <c r="G108" s="188">
        <v>0.32</v>
      </c>
      <c r="H108" s="188">
        <v>0.35</v>
      </c>
      <c r="I108" s="188">
        <v>0.66</v>
      </c>
      <c r="J108" s="188">
        <v>2.2200000000000002</v>
      </c>
      <c r="K108" s="188">
        <v>0.05</v>
      </c>
      <c r="L108" s="188">
        <v>0.17</v>
      </c>
      <c r="M108" s="188">
        <v>0</v>
      </c>
      <c r="N108" s="188">
        <v>0.01</v>
      </c>
      <c r="O108" s="188">
        <v>0.37</v>
      </c>
      <c r="P108" s="188">
        <v>0.86</v>
      </c>
      <c r="Q108" s="188">
        <v>0.02</v>
      </c>
      <c r="R108" s="188">
        <v>0.67</v>
      </c>
      <c r="S108" s="188">
        <v>0.05</v>
      </c>
      <c r="T108" s="188">
        <v>0.08</v>
      </c>
      <c r="U108" s="188">
        <v>0.17</v>
      </c>
      <c r="V108" s="188">
        <v>0.32</v>
      </c>
      <c r="W108" s="188"/>
      <c r="X108" s="89"/>
      <c r="Y108" s="187"/>
      <c r="Z108" s="187"/>
      <c r="AA108" s="187"/>
      <c r="AB108" s="187"/>
      <c r="AC108" s="187"/>
      <c r="AD108" s="189"/>
      <c r="AE108" s="188"/>
    </row>
    <row r="109" spans="1:31" ht="21.25" customHeight="1" x14ac:dyDescent="0.15">
      <c r="A109" s="10" t="s">
        <v>363</v>
      </c>
      <c r="B109" s="185" t="s">
        <v>853</v>
      </c>
      <c r="C109" s="186">
        <v>31</v>
      </c>
      <c r="D109" s="185" t="s">
        <v>844</v>
      </c>
      <c r="E109" s="89">
        <v>74</v>
      </c>
      <c r="F109" s="187">
        <v>18.600000000000001</v>
      </c>
      <c r="G109" s="188">
        <v>0.28000000000000003</v>
      </c>
      <c r="H109" s="188">
        <v>0.37</v>
      </c>
      <c r="I109" s="188">
        <v>0.65</v>
      </c>
      <c r="J109" s="188">
        <v>2.2000000000000002</v>
      </c>
      <c r="K109" s="188">
        <v>0.05</v>
      </c>
      <c r="L109" s="188">
        <v>0.09</v>
      </c>
      <c r="M109" s="188">
        <v>0.01</v>
      </c>
      <c r="N109" s="188">
        <v>0.01</v>
      </c>
      <c r="O109" s="188">
        <v>0.39</v>
      </c>
      <c r="P109" s="188">
        <v>0.89</v>
      </c>
      <c r="Q109" s="188">
        <v>0.04</v>
      </c>
      <c r="R109" s="188">
        <v>0.3</v>
      </c>
      <c r="S109" s="188">
        <v>0.05</v>
      </c>
      <c r="T109" s="188">
        <v>0.03</v>
      </c>
      <c r="U109" s="188">
        <v>0.04</v>
      </c>
      <c r="V109" s="188">
        <v>0.45</v>
      </c>
      <c r="W109" s="188"/>
      <c r="X109" s="89"/>
      <c r="Y109" s="187"/>
      <c r="Z109" s="187"/>
      <c r="AA109" s="187"/>
      <c r="AB109" s="187"/>
      <c r="AC109" s="187"/>
      <c r="AD109" s="189"/>
      <c r="AE109" s="188"/>
    </row>
    <row r="110" spans="1:31" ht="21.25" customHeight="1" x14ac:dyDescent="0.15">
      <c r="A110" s="10" t="s">
        <v>155</v>
      </c>
      <c r="B110" s="185" t="s">
        <v>861</v>
      </c>
      <c r="C110" s="186">
        <v>36</v>
      </c>
      <c r="D110" s="185" t="s">
        <v>823</v>
      </c>
      <c r="E110" s="89">
        <v>78</v>
      </c>
      <c r="F110" s="187">
        <v>24.9</v>
      </c>
      <c r="G110" s="188">
        <v>0.16</v>
      </c>
      <c r="H110" s="188">
        <v>0.56999999999999995</v>
      </c>
      <c r="I110" s="188">
        <v>0.73</v>
      </c>
      <c r="J110" s="188">
        <v>2.62</v>
      </c>
      <c r="K110" s="188">
        <v>0.05</v>
      </c>
      <c r="L110" s="188">
        <v>0.28999999999999998</v>
      </c>
      <c r="M110" s="188">
        <v>0</v>
      </c>
      <c r="N110" s="188">
        <v>0</v>
      </c>
      <c r="O110" s="188">
        <v>1.57</v>
      </c>
      <c r="P110" s="188">
        <v>0.53</v>
      </c>
      <c r="Q110" s="188">
        <v>-0.03</v>
      </c>
      <c r="R110" s="188">
        <v>0.47</v>
      </c>
      <c r="S110" s="188">
        <v>0.02</v>
      </c>
      <c r="T110" s="188">
        <v>0</v>
      </c>
      <c r="U110" s="188">
        <v>0</v>
      </c>
      <c r="V110" s="188">
        <v>0</v>
      </c>
      <c r="W110" s="188"/>
      <c r="X110" s="89"/>
      <c r="Y110" s="187"/>
      <c r="Z110" s="187"/>
      <c r="AA110" s="187"/>
      <c r="AB110" s="187"/>
      <c r="AC110" s="187"/>
      <c r="AD110" s="189"/>
      <c r="AE110" s="188"/>
    </row>
    <row r="111" spans="1:31" ht="21.25" customHeight="1" x14ac:dyDescent="0.15">
      <c r="A111" s="10" t="s">
        <v>161</v>
      </c>
      <c r="B111" s="185" t="s">
        <v>847</v>
      </c>
      <c r="C111" s="186">
        <v>31</v>
      </c>
      <c r="D111" s="185" t="s">
        <v>823</v>
      </c>
      <c r="E111" s="89">
        <v>83</v>
      </c>
      <c r="F111" s="187">
        <v>24.6</v>
      </c>
      <c r="G111" s="188">
        <v>0.14000000000000001</v>
      </c>
      <c r="H111" s="188">
        <v>0.57999999999999996</v>
      </c>
      <c r="I111" s="188">
        <v>0.72</v>
      </c>
      <c r="J111" s="188">
        <v>2</v>
      </c>
      <c r="K111" s="188">
        <v>0.03</v>
      </c>
      <c r="L111" s="188">
        <v>0.23</v>
      </c>
      <c r="M111" s="188">
        <v>0</v>
      </c>
      <c r="N111" s="188">
        <v>0</v>
      </c>
      <c r="O111" s="188">
        <v>1.48</v>
      </c>
      <c r="P111" s="188">
        <v>0.59</v>
      </c>
      <c r="Q111" s="188">
        <v>0.05</v>
      </c>
      <c r="R111" s="188">
        <v>0.42</v>
      </c>
      <c r="S111" s="188">
        <v>0.02</v>
      </c>
      <c r="T111" s="188">
        <v>0</v>
      </c>
      <c r="U111" s="188">
        <v>0</v>
      </c>
      <c r="V111" s="188">
        <v>0</v>
      </c>
      <c r="W111" s="188"/>
      <c r="X111" s="89"/>
      <c r="Y111" s="187"/>
      <c r="Z111" s="187"/>
      <c r="AA111" s="187"/>
      <c r="AB111" s="187"/>
      <c r="AC111" s="187"/>
      <c r="AD111" s="189"/>
      <c r="AE111" s="188"/>
    </row>
    <row r="112" spans="1:31" ht="21.25" customHeight="1" x14ac:dyDescent="0.15">
      <c r="A112" s="10" t="s">
        <v>293</v>
      </c>
      <c r="B112" s="185" t="s">
        <v>859</v>
      </c>
      <c r="C112" s="186">
        <v>23</v>
      </c>
      <c r="D112" s="185" t="s">
        <v>844</v>
      </c>
      <c r="E112" s="89">
        <v>82</v>
      </c>
      <c r="F112" s="187">
        <v>18</v>
      </c>
      <c r="G112" s="188">
        <v>0.22</v>
      </c>
      <c r="H112" s="188">
        <v>0.47</v>
      </c>
      <c r="I112" s="188">
        <v>0.69</v>
      </c>
      <c r="J112" s="188">
        <v>2.0099999999999998</v>
      </c>
      <c r="K112" s="188">
        <v>7.0000000000000007E-2</v>
      </c>
      <c r="L112" s="188">
        <v>0.23</v>
      </c>
      <c r="M112" s="188">
        <v>0</v>
      </c>
      <c r="N112" s="188">
        <v>0</v>
      </c>
      <c r="O112" s="188">
        <v>0.57999999999999996</v>
      </c>
      <c r="P112" s="188">
        <v>0.79</v>
      </c>
      <c r="Q112" s="188">
        <v>0.01</v>
      </c>
      <c r="R112" s="188">
        <v>0.35</v>
      </c>
      <c r="S112" s="188">
        <v>0.04</v>
      </c>
      <c r="T112" s="188">
        <v>0.24</v>
      </c>
      <c r="U112" s="188">
        <v>0.5</v>
      </c>
      <c r="V112" s="188">
        <v>0.33</v>
      </c>
      <c r="W112" s="188"/>
      <c r="X112" s="89"/>
      <c r="Y112" s="187"/>
      <c r="Z112" s="187"/>
      <c r="AA112" s="187"/>
      <c r="AB112" s="187"/>
      <c r="AC112" s="187"/>
      <c r="AD112" s="189"/>
      <c r="AE112" s="188"/>
    </row>
    <row r="113" spans="1:31" ht="21.25" customHeight="1" x14ac:dyDescent="0.15">
      <c r="A113" s="10" t="s">
        <v>347</v>
      </c>
      <c r="B113" s="185" t="s">
        <v>867</v>
      </c>
      <c r="C113" s="186">
        <v>20</v>
      </c>
      <c r="D113" s="185" t="s">
        <v>844</v>
      </c>
      <c r="E113" s="89">
        <v>74</v>
      </c>
      <c r="F113" s="187">
        <v>16.899999999999999</v>
      </c>
      <c r="G113" s="188">
        <v>0.25</v>
      </c>
      <c r="H113" s="188">
        <v>0.46</v>
      </c>
      <c r="I113" s="188">
        <v>0.71</v>
      </c>
      <c r="J113" s="188">
        <v>2.19</v>
      </c>
      <c r="K113" s="188">
        <v>7.0000000000000007E-2</v>
      </c>
      <c r="L113" s="188">
        <v>0.27</v>
      </c>
      <c r="M113" s="188">
        <v>0</v>
      </c>
      <c r="N113" s="188">
        <v>0</v>
      </c>
      <c r="O113" s="188">
        <v>0.7</v>
      </c>
      <c r="P113" s="188">
        <v>0.53</v>
      </c>
      <c r="Q113" s="188">
        <v>-0.12</v>
      </c>
      <c r="R113" s="188">
        <v>0.26</v>
      </c>
      <c r="S113" s="188">
        <v>0.04</v>
      </c>
      <c r="T113" s="188">
        <v>0.09</v>
      </c>
      <c r="U113" s="188">
        <v>0.42</v>
      </c>
      <c r="V113" s="188">
        <v>0.18</v>
      </c>
      <c r="W113" s="188"/>
      <c r="X113" s="89"/>
      <c r="Y113" s="188"/>
      <c r="Z113" s="188"/>
      <c r="AA113" s="188"/>
      <c r="AB113" s="188"/>
      <c r="AC113" s="187"/>
      <c r="AD113" s="189"/>
      <c r="AE113" s="188"/>
    </row>
    <row r="114" spans="1:31" ht="21.25" customHeight="1" x14ac:dyDescent="0.15">
      <c r="A114" s="10" t="s">
        <v>150</v>
      </c>
      <c r="B114" s="185" t="s">
        <v>859</v>
      </c>
      <c r="C114" s="186">
        <v>24</v>
      </c>
      <c r="D114" s="185" t="s">
        <v>823</v>
      </c>
      <c r="E114" s="89">
        <v>81</v>
      </c>
      <c r="F114" s="187">
        <v>24.6</v>
      </c>
      <c r="G114" s="188">
        <v>0.17</v>
      </c>
      <c r="H114" s="188">
        <v>0.54</v>
      </c>
      <c r="I114" s="188">
        <v>0.71</v>
      </c>
      <c r="J114" s="188">
        <v>2.21</v>
      </c>
      <c r="K114" s="188">
        <v>0.06</v>
      </c>
      <c r="L114" s="188">
        <v>0.28000000000000003</v>
      </c>
      <c r="M114" s="188">
        <v>0</v>
      </c>
      <c r="N114" s="188">
        <v>0.02</v>
      </c>
      <c r="O114" s="188">
        <v>1.91</v>
      </c>
      <c r="P114" s="188">
        <v>0.61</v>
      </c>
      <c r="Q114" s="188">
        <v>0.04</v>
      </c>
      <c r="R114" s="188">
        <v>0.25</v>
      </c>
      <c r="S114" s="188">
        <v>0.03</v>
      </c>
      <c r="T114" s="188">
        <v>0</v>
      </c>
      <c r="U114" s="188">
        <v>0</v>
      </c>
      <c r="V114" s="188">
        <v>0.25</v>
      </c>
      <c r="W114" s="188"/>
      <c r="X114" s="89"/>
      <c r="Y114" s="187"/>
      <c r="Z114" s="187"/>
      <c r="AA114" s="187"/>
      <c r="AB114" s="187"/>
      <c r="AC114" s="187"/>
      <c r="AD114" s="189"/>
      <c r="AE114" s="188"/>
    </row>
    <row r="115" spans="1:31" ht="21.25" customHeight="1" x14ac:dyDescent="0.15">
      <c r="A115" s="10" t="s">
        <v>366</v>
      </c>
      <c r="B115" s="185" t="s">
        <v>837</v>
      </c>
      <c r="C115" s="186">
        <v>29</v>
      </c>
      <c r="D115" s="185" t="s">
        <v>835</v>
      </c>
      <c r="E115" s="89">
        <v>83</v>
      </c>
      <c r="F115" s="187">
        <v>16.899999999999999</v>
      </c>
      <c r="G115" s="188">
        <v>0.28999999999999998</v>
      </c>
      <c r="H115" s="188">
        <v>0.42</v>
      </c>
      <c r="I115" s="188">
        <v>0.71</v>
      </c>
      <c r="J115" s="188">
        <v>1.7</v>
      </c>
      <c r="K115" s="188">
        <v>0.09</v>
      </c>
      <c r="L115" s="188">
        <v>0.22</v>
      </c>
      <c r="M115" s="188">
        <v>0</v>
      </c>
      <c r="N115" s="188">
        <v>0.01</v>
      </c>
      <c r="O115" s="188">
        <v>0.33</v>
      </c>
      <c r="P115" s="188">
        <v>0.83</v>
      </c>
      <c r="Q115" s="188">
        <v>-0.01</v>
      </c>
      <c r="R115" s="188">
        <v>0.3</v>
      </c>
      <c r="S115" s="188">
        <v>0.04</v>
      </c>
      <c r="T115" s="188">
        <v>6.37</v>
      </c>
      <c r="U115" s="188">
        <v>5.5</v>
      </c>
      <c r="V115" s="188">
        <v>0.54</v>
      </c>
      <c r="W115" s="188"/>
      <c r="X115" s="89"/>
      <c r="Y115" s="187"/>
      <c r="Z115" s="187"/>
      <c r="AA115" s="187"/>
      <c r="AB115" s="187"/>
      <c r="AC115" s="187"/>
      <c r="AD115" s="189"/>
      <c r="AE115" s="188"/>
    </row>
    <row r="116" spans="1:31" ht="21.25" customHeight="1" x14ac:dyDescent="0.15">
      <c r="A116" s="10" t="s">
        <v>333</v>
      </c>
      <c r="B116" s="185" t="s">
        <v>863</v>
      </c>
      <c r="C116" s="186">
        <v>21</v>
      </c>
      <c r="D116" s="185" t="s">
        <v>844</v>
      </c>
      <c r="E116" s="89">
        <v>83</v>
      </c>
      <c r="F116" s="187">
        <v>15.8</v>
      </c>
      <c r="G116" s="188">
        <v>0.28000000000000003</v>
      </c>
      <c r="H116" s="188">
        <v>0.43</v>
      </c>
      <c r="I116" s="188">
        <v>0.71</v>
      </c>
      <c r="J116" s="188">
        <v>2.19</v>
      </c>
      <c r="K116" s="188">
        <v>0.08</v>
      </c>
      <c r="L116" s="188">
        <v>0.19</v>
      </c>
      <c r="M116" s="188">
        <v>0</v>
      </c>
      <c r="N116" s="188">
        <v>0</v>
      </c>
      <c r="O116" s="188">
        <v>0.28000000000000003</v>
      </c>
      <c r="P116" s="188">
        <v>0.46</v>
      </c>
      <c r="Q116" s="188">
        <v>0.02</v>
      </c>
      <c r="R116" s="188">
        <v>0.63</v>
      </c>
      <c r="S116" s="188">
        <v>0.05</v>
      </c>
      <c r="T116" s="188">
        <v>0.06</v>
      </c>
      <c r="U116" s="188">
        <v>0.16</v>
      </c>
      <c r="V116" s="188">
        <v>0.27</v>
      </c>
      <c r="W116" s="188"/>
      <c r="X116" s="89"/>
      <c r="Y116" s="188"/>
      <c r="Z116" s="188"/>
      <c r="AA116" s="188"/>
      <c r="AB116" s="188"/>
      <c r="AC116" s="187"/>
      <c r="AD116" s="189"/>
      <c r="AE116" s="188"/>
    </row>
    <row r="117" spans="1:31" ht="21.25" customHeight="1" x14ac:dyDescent="0.15">
      <c r="A117" s="10" t="s">
        <v>144</v>
      </c>
      <c r="B117" s="185" t="s">
        <v>857</v>
      </c>
      <c r="C117" s="186">
        <v>25</v>
      </c>
      <c r="D117" s="185" t="s">
        <v>823</v>
      </c>
      <c r="E117" s="89">
        <v>84</v>
      </c>
      <c r="F117" s="187">
        <v>25.9</v>
      </c>
      <c r="G117" s="188">
        <v>0.13</v>
      </c>
      <c r="H117" s="188">
        <v>0.56999999999999995</v>
      </c>
      <c r="I117" s="188">
        <v>0.7</v>
      </c>
      <c r="J117" s="188">
        <v>2.21</v>
      </c>
      <c r="K117" s="188">
        <v>0.05</v>
      </c>
      <c r="L117" s="188">
        <v>0.33</v>
      </c>
      <c r="M117" s="188">
        <v>0</v>
      </c>
      <c r="N117" s="188">
        <v>0</v>
      </c>
      <c r="O117" s="188">
        <v>2.15</v>
      </c>
      <c r="P117" s="188">
        <v>1.72</v>
      </c>
      <c r="Q117" s="188">
        <v>0.03</v>
      </c>
      <c r="R117" s="188">
        <v>0.64</v>
      </c>
      <c r="S117" s="188">
        <v>0.02</v>
      </c>
      <c r="T117" s="188">
        <v>0</v>
      </c>
      <c r="U117" s="188">
        <v>0</v>
      </c>
      <c r="V117" s="188">
        <v>0</v>
      </c>
      <c r="W117" s="188"/>
      <c r="X117" s="89"/>
      <c r="Y117" s="187"/>
      <c r="Z117" s="187"/>
      <c r="AA117" s="187"/>
      <c r="AB117" s="187"/>
      <c r="AC117" s="187"/>
      <c r="AD117" s="189"/>
      <c r="AE117" s="188"/>
    </row>
    <row r="118" spans="1:31" ht="21.25" customHeight="1" x14ac:dyDescent="0.15">
      <c r="A118" s="10" t="s">
        <v>325</v>
      </c>
      <c r="B118" s="185" t="s">
        <v>861</v>
      </c>
      <c r="C118" s="186">
        <v>24</v>
      </c>
      <c r="D118" s="185" t="s">
        <v>844</v>
      </c>
      <c r="E118" s="89">
        <v>82</v>
      </c>
      <c r="F118" s="187">
        <v>17.399999999999999</v>
      </c>
      <c r="G118" s="188">
        <v>0.2</v>
      </c>
      <c r="H118" s="188">
        <v>0.51</v>
      </c>
      <c r="I118" s="188">
        <v>0.71</v>
      </c>
      <c r="J118" s="188">
        <v>2.33</v>
      </c>
      <c r="K118" s="188">
        <v>0.04</v>
      </c>
      <c r="L118" s="188">
        <v>0.22</v>
      </c>
      <c r="M118" s="188">
        <v>0</v>
      </c>
      <c r="N118" s="188">
        <v>0</v>
      </c>
      <c r="O118" s="188">
        <v>0.28999999999999998</v>
      </c>
      <c r="P118" s="188">
        <v>0.4</v>
      </c>
      <c r="Q118" s="188">
        <v>0</v>
      </c>
      <c r="R118" s="188">
        <v>0.32</v>
      </c>
      <c r="S118" s="188">
        <v>0.03</v>
      </c>
      <c r="T118" s="188">
        <v>0</v>
      </c>
      <c r="U118" s="188">
        <v>0.02</v>
      </c>
      <c r="V118" s="188">
        <v>0.06</v>
      </c>
      <c r="W118" s="188"/>
      <c r="X118" s="89"/>
      <c r="Y118" s="187"/>
      <c r="Z118" s="187"/>
      <c r="AA118" s="187"/>
      <c r="AB118" s="187"/>
      <c r="AC118" s="187"/>
      <c r="AD118" s="189"/>
      <c r="AE118" s="188"/>
    </row>
    <row r="119" spans="1:31" ht="21.25" customHeight="1" x14ac:dyDescent="0.15">
      <c r="A119" s="10" t="s">
        <v>183</v>
      </c>
      <c r="B119" s="185" t="s">
        <v>837</v>
      </c>
      <c r="C119" s="186">
        <v>28</v>
      </c>
      <c r="D119" s="185" t="s">
        <v>823</v>
      </c>
      <c r="E119" s="89">
        <v>73</v>
      </c>
      <c r="F119" s="187">
        <v>25.7</v>
      </c>
      <c r="G119" s="188">
        <v>0.14000000000000001</v>
      </c>
      <c r="H119" s="188">
        <v>0.56000000000000005</v>
      </c>
      <c r="I119" s="188">
        <v>0.7</v>
      </c>
      <c r="J119" s="188">
        <v>1.81</v>
      </c>
      <c r="K119" s="188">
        <v>0.03</v>
      </c>
      <c r="L119" s="188">
        <v>0.23</v>
      </c>
      <c r="M119" s="188">
        <v>0</v>
      </c>
      <c r="N119" s="188">
        <v>0.01</v>
      </c>
      <c r="O119" s="188">
        <v>1.87</v>
      </c>
      <c r="P119" s="188">
        <v>1.28</v>
      </c>
      <c r="Q119" s="188">
        <v>-0.01</v>
      </c>
      <c r="R119" s="188">
        <v>0.9</v>
      </c>
      <c r="S119" s="188">
        <v>0.02</v>
      </c>
      <c r="T119" s="188">
        <v>0</v>
      </c>
      <c r="U119" s="188">
        <v>0</v>
      </c>
      <c r="V119" s="188">
        <v>0</v>
      </c>
      <c r="W119" s="188"/>
      <c r="X119" s="89"/>
      <c r="Y119" s="187"/>
      <c r="Z119" s="187"/>
      <c r="AA119" s="187"/>
      <c r="AB119" s="187"/>
      <c r="AC119" s="187"/>
      <c r="AD119" s="189"/>
      <c r="AE119" s="188"/>
    </row>
    <row r="120" spans="1:31" ht="21.25" customHeight="1" x14ac:dyDescent="0.15">
      <c r="A120" s="10" t="s">
        <v>313</v>
      </c>
      <c r="B120" s="185" t="s">
        <v>864</v>
      </c>
      <c r="C120" s="186">
        <v>29</v>
      </c>
      <c r="D120" s="185" t="s">
        <v>844</v>
      </c>
      <c r="E120" s="89">
        <v>82</v>
      </c>
      <c r="F120" s="187">
        <v>19.3</v>
      </c>
      <c r="G120" s="188">
        <v>0.34</v>
      </c>
      <c r="H120" s="188">
        <v>0.36</v>
      </c>
      <c r="I120" s="188">
        <v>0.7</v>
      </c>
      <c r="J120" s="188">
        <v>2.2400000000000002</v>
      </c>
      <c r="K120" s="188">
        <v>0.1</v>
      </c>
      <c r="L120" s="188">
        <v>0.25</v>
      </c>
      <c r="M120" s="188">
        <v>0.01</v>
      </c>
      <c r="N120" s="188">
        <v>0.02</v>
      </c>
      <c r="O120" s="188">
        <v>0.42</v>
      </c>
      <c r="P120" s="188">
        <v>0.82</v>
      </c>
      <c r="Q120" s="188">
        <v>-0.15</v>
      </c>
      <c r="R120" s="188">
        <v>0.22</v>
      </c>
      <c r="S120" s="188">
        <v>0.04</v>
      </c>
      <c r="T120" s="188">
        <v>0.59</v>
      </c>
      <c r="U120" s="188">
        <v>0.87</v>
      </c>
      <c r="V120" s="188">
        <v>0.41</v>
      </c>
      <c r="W120" s="188"/>
      <c r="X120" s="89"/>
      <c r="Y120" s="187"/>
      <c r="Z120" s="187"/>
      <c r="AA120" s="187"/>
      <c r="AB120" s="187"/>
      <c r="AC120" s="187"/>
      <c r="AD120" s="189"/>
      <c r="AE120" s="188"/>
    </row>
    <row r="121" spans="1:31" ht="21.25" customHeight="1" x14ac:dyDescent="0.15">
      <c r="A121" s="10" t="s">
        <v>338</v>
      </c>
      <c r="B121" s="185" t="s">
        <v>832</v>
      </c>
      <c r="C121" s="186">
        <v>33</v>
      </c>
      <c r="D121" s="185" t="s">
        <v>835</v>
      </c>
      <c r="E121" s="89">
        <v>82</v>
      </c>
      <c r="F121" s="187">
        <v>18.3</v>
      </c>
      <c r="G121" s="188">
        <v>0.24</v>
      </c>
      <c r="H121" s="188">
        <v>0.45</v>
      </c>
      <c r="I121" s="188">
        <v>0.69</v>
      </c>
      <c r="J121" s="188">
        <v>1.91</v>
      </c>
      <c r="K121" s="188">
        <v>0.11</v>
      </c>
      <c r="L121" s="188">
        <v>0.34</v>
      </c>
      <c r="M121" s="188">
        <v>0</v>
      </c>
      <c r="N121" s="188">
        <v>0.01</v>
      </c>
      <c r="O121" s="188">
        <v>0.46</v>
      </c>
      <c r="P121" s="188">
        <v>0.43</v>
      </c>
      <c r="Q121" s="188">
        <v>7.0000000000000007E-2</v>
      </c>
      <c r="R121" s="188">
        <v>0.35</v>
      </c>
      <c r="S121" s="188">
        <v>0.04</v>
      </c>
      <c r="T121" s="188">
        <v>2.54</v>
      </c>
      <c r="U121" s="188">
        <v>2.76</v>
      </c>
      <c r="V121" s="188">
        <v>0.48</v>
      </c>
      <c r="W121" s="188"/>
      <c r="X121" s="89"/>
      <c r="Y121" s="187"/>
      <c r="Z121" s="187"/>
      <c r="AA121" s="187"/>
      <c r="AB121" s="187"/>
      <c r="AC121" s="187"/>
      <c r="AD121" s="189"/>
      <c r="AE121" s="188"/>
    </row>
    <row r="122" spans="1:31" ht="21.25" customHeight="1" x14ac:dyDescent="0.15">
      <c r="A122" s="10" t="s">
        <v>281</v>
      </c>
      <c r="B122" s="185" t="s">
        <v>858</v>
      </c>
      <c r="C122" s="186">
        <v>21</v>
      </c>
      <c r="D122" s="185" t="s">
        <v>821</v>
      </c>
      <c r="E122" s="89">
        <v>79</v>
      </c>
      <c r="F122" s="187">
        <v>18.8</v>
      </c>
      <c r="G122" s="188">
        <v>0.24</v>
      </c>
      <c r="H122" s="188">
        <v>0.46</v>
      </c>
      <c r="I122" s="188">
        <v>0.69</v>
      </c>
      <c r="J122" s="188">
        <v>2.14</v>
      </c>
      <c r="K122" s="188">
        <v>0.06</v>
      </c>
      <c r="L122" s="188">
        <v>0.17</v>
      </c>
      <c r="M122" s="188">
        <v>0.01</v>
      </c>
      <c r="N122" s="188">
        <v>0.02</v>
      </c>
      <c r="O122" s="188">
        <v>0.45</v>
      </c>
      <c r="P122" s="188">
        <v>0.68</v>
      </c>
      <c r="Q122" s="188">
        <v>0.05</v>
      </c>
      <c r="R122" s="188">
        <v>0.63</v>
      </c>
      <c r="S122" s="188">
        <v>0.04</v>
      </c>
      <c r="T122" s="188">
        <v>0.09</v>
      </c>
      <c r="U122" s="188">
        <v>0.2</v>
      </c>
      <c r="V122" s="188">
        <v>0.33</v>
      </c>
      <c r="W122" s="188"/>
      <c r="X122" s="89"/>
      <c r="Y122" s="187"/>
      <c r="Z122" s="187"/>
      <c r="AA122" s="187"/>
      <c r="AB122" s="187"/>
      <c r="AC122" s="187"/>
      <c r="AD122" s="189"/>
      <c r="AE122" s="188"/>
    </row>
    <row r="123" spans="1:31" ht="21.25" customHeight="1" x14ac:dyDescent="0.15">
      <c r="A123" s="10" t="s">
        <v>176</v>
      </c>
      <c r="B123" s="185" t="s">
        <v>843</v>
      </c>
      <c r="C123" s="186">
        <v>27</v>
      </c>
      <c r="D123" s="185" t="s">
        <v>823</v>
      </c>
      <c r="E123" s="89">
        <v>78</v>
      </c>
      <c r="F123" s="187">
        <v>25.2</v>
      </c>
      <c r="G123" s="188">
        <v>0.12</v>
      </c>
      <c r="H123" s="188">
        <v>0.56999999999999995</v>
      </c>
      <c r="I123" s="188">
        <v>0.69</v>
      </c>
      <c r="J123" s="188">
        <v>1.97</v>
      </c>
      <c r="K123" s="188">
        <v>0.02</v>
      </c>
      <c r="L123" s="188">
        <v>0.26</v>
      </c>
      <c r="M123" s="188">
        <v>0.01</v>
      </c>
      <c r="N123" s="188">
        <v>0.01</v>
      </c>
      <c r="O123" s="188">
        <v>1.71</v>
      </c>
      <c r="P123" s="188">
        <v>0.49</v>
      </c>
      <c r="Q123" s="188">
        <v>0.08</v>
      </c>
      <c r="R123" s="188">
        <v>0.38</v>
      </c>
      <c r="S123" s="188">
        <v>0.02</v>
      </c>
      <c r="T123" s="188">
        <v>0</v>
      </c>
      <c r="U123" s="188">
        <v>0</v>
      </c>
      <c r="V123" s="188">
        <v>0</v>
      </c>
      <c r="W123" s="188"/>
      <c r="X123" s="89"/>
      <c r="Y123" s="187"/>
      <c r="Z123" s="187"/>
      <c r="AA123" s="187"/>
      <c r="AB123" s="187"/>
      <c r="AC123" s="187"/>
      <c r="AD123" s="189"/>
      <c r="AE123" s="188"/>
    </row>
    <row r="124" spans="1:31" ht="21.25" customHeight="1" x14ac:dyDescent="0.15">
      <c r="A124" s="10" t="s">
        <v>372</v>
      </c>
      <c r="B124" s="185" t="s">
        <v>855</v>
      </c>
      <c r="C124" s="186">
        <v>34</v>
      </c>
      <c r="D124" s="185" t="s">
        <v>835</v>
      </c>
      <c r="E124" s="89">
        <v>79</v>
      </c>
      <c r="F124" s="187">
        <v>18.5</v>
      </c>
      <c r="G124" s="188">
        <v>0.27</v>
      </c>
      <c r="H124" s="188">
        <v>0.46</v>
      </c>
      <c r="I124" s="188">
        <v>0.73</v>
      </c>
      <c r="J124" s="188">
        <v>1.96</v>
      </c>
      <c r="K124" s="188">
        <v>7.0000000000000007E-2</v>
      </c>
      <c r="L124" s="188">
        <v>0.22</v>
      </c>
      <c r="M124" s="188">
        <v>0</v>
      </c>
      <c r="N124" s="188">
        <v>0.01</v>
      </c>
      <c r="O124" s="188">
        <v>0.69</v>
      </c>
      <c r="P124" s="188">
        <v>0.66</v>
      </c>
      <c r="Q124" s="188">
        <v>-0.02</v>
      </c>
      <c r="R124" s="188">
        <v>0.35</v>
      </c>
      <c r="S124" s="188">
        <v>0.04</v>
      </c>
      <c r="T124" s="188">
        <v>5.86</v>
      </c>
      <c r="U124" s="188">
        <v>6.13</v>
      </c>
      <c r="V124" s="188">
        <v>0.49</v>
      </c>
      <c r="W124" s="188"/>
      <c r="X124" s="89"/>
      <c r="Y124" s="187"/>
      <c r="Z124" s="187"/>
      <c r="AA124" s="187"/>
      <c r="AB124" s="187"/>
      <c r="AC124" s="187"/>
      <c r="AD124" s="189"/>
      <c r="AE124" s="188"/>
    </row>
    <row r="125" spans="1:31" ht="21.25" customHeight="1" x14ac:dyDescent="0.15">
      <c r="A125" s="10" t="s">
        <v>273</v>
      </c>
      <c r="B125" s="185" t="s">
        <v>865</v>
      </c>
      <c r="C125" s="186">
        <v>28</v>
      </c>
      <c r="D125" s="185" t="s">
        <v>822</v>
      </c>
      <c r="E125" s="89">
        <v>82</v>
      </c>
      <c r="F125" s="187">
        <v>16</v>
      </c>
      <c r="G125" s="188">
        <v>0.32</v>
      </c>
      <c r="H125" s="188">
        <v>0.39</v>
      </c>
      <c r="I125" s="188">
        <v>0.71</v>
      </c>
      <c r="J125" s="188">
        <v>2.54</v>
      </c>
      <c r="K125" s="188">
        <v>7.0000000000000007E-2</v>
      </c>
      <c r="L125" s="188">
        <v>0.2</v>
      </c>
      <c r="M125" s="188">
        <v>0</v>
      </c>
      <c r="N125" s="188">
        <v>0</v>
      </c>
      <c r="O125" s="188">
        <v>0.42</v>
      </c>
      <c r="P125" s="188">
        <v>0.37</v>
      </c>
      <c r="Q125" s="188">
        <v>0.08</v>
      </c>
      <c r="R125" s="188">
        <v>0.23</v>
      </c>
      <c r="S125" s="188">
        <v>0.05</v>
      </c>
      <c r="T125" s="188">
        <v>0.04</v>
      </c>
      <c r="U125" s="188">
        <v>0.14000000000000001</v>
      </c>
      <c r="V125" s="188">
        <v>0.24</v>
      </c>
      <c r="W125" s="188"/>
      <c r="X125" s="89"/>
      <c r="Y125" s="187"/>
      <c r="Z125" s="187"/>
      <c r="AA125" s="187"/>
      <c r="AB125" s="187"/>
      <c r="AC125" s="187"/>
      <c r="AD125" s="189"/>
      <c r="AE125" s="188"/>
    </row>
    <row r="126" spans="1:31" ht="21.25" customHeight="1" x14ac:dyDescent="0.15">
      <c r="A126" s="10" t="s">
        <v>331</v>
      </c>
      <c r="B126" s="185" t="s">
        <v>854</v>
      </c>
      <c r="C126" s="186">
        <v>23</v>
      </c>
      <c r="D126" s="185" t="s">
        <v>820</v>
      </c>
      <c r="E126" s="89">
        <v>80</v>
      </c>
      <c r="F126" s="187">
        <v>17</v>
      </c>
      <c r="G126" s="188">
        <v>0.28999999999999998</v>
      </c>
      <c r="H126" s="188">
        <v>0.4</v>
      </c>
      <c r="I126" s="188">
        <v>0.69</v>
      </c>
      <c r="J126" s="188">
        <v>2.23</v>
      </c>
      <c r="K126" s="188">
        <v>0.08</v>
      </c>
      <c r="L126" s="188">
        <v>0.18</v>
      </c>
      <c r="M126" s="188">
        <v>0</v>
      </c>
      <c r="N126" s="188">
        <v>0</v>
      </c>
      <c r="O126" s="188">
        <v>0.46</v>
      </c>
      <c r="P126" s="188">
        <v>1.22</v>
      </c>
      <c r="Q126" s="188">
        <v>-0.03</v>
      </c>
      <c r="R126" s="188">
        <v>0.65</v>
      </c>
      <c r="S126" s="188">
        <v>0.04</v>
      </c>
      <c r="T126" s="188">
        <v>5.99</v>
      </c>
      <c r="U126" s="188">
        <v>5.95</v>
      </c>
      <c r="V126" s="188">
        <v>0.5</v>
      </c>
      <c r="W126" s="188"/>
      <c r="X126" s="89"/>
      <c r="Y126" s="187"/>
      <c r="Z126" s="187"/>
      <c r="AA126" s="187"/>
      <c r="AB126" s="187"/>
      <c r="AC126" s="187"/>
      <c r="AD126" s="189"/>
      <c r="AE126" s="188"/>
    </row>
    <row r="127" spans="1:31" ht="21.25" customHeight="1" x14ac:dyDescent="0.15">
      <c r="A127" s="10" t="s">
        <v>283</v>
      </c>
      <c r="B127" s="185" t="s">
        <v>834</v>
      </c>
      <c r="C127" s="186">
        <v>34</v>
      </c>
      <c r="D127" s="185" t="s">
        <v>820</v>
      </c>
      <c r="E127" s="89">
        <v>84</v>
      </c>
      <c r="F127" s="187">
        <v>18.8</v>
      </c>
      <c r="G127" s="188">
        <v>0.33</v>
      </c>
      <c r="H127" s="188">
        <v>0.36</v>
      </c>
      <c r="I127" s="188">
        <v>0.68</v>
      </c>
      <c r="J127" s="188">
        <v>2.2999999999999998</v>
      </c>
      <c r="K127" s="188">
        <v>7.0000000000000007E-2</v>
      </c>
      <c r="L127" s="188">
        <v>0.15</v>
      </c>
      <c r="M127" s="188">
        <v>0.01</v>
      </c>
      <c r="N127" s="188">
        <v>0.03</v>
      </c>
      <c r="O127" s="188">
        <v>0.7</v>
      </c>
      <c r="P127" s="188">
        <v>0.51</v>
      </c>
      <c r="Q127" s="188">
        <v>0.12</v>
      </c>
      <c r="R127" s="188">
        <v>0.37</v>
      </c>
      <c r="S127" s="188">
        <v>0.06</v>
      </c>
      <c r="T127" s="188">
        <v>7.91</v>
      </c>
      <c r="U127" s="188">
        <v>7.97</v>
      </c>
      <c r="V127" s="188">
        <v>0.5</v>
      </c>
      <c r="W127" s="188"/>
      <c r="X127" s="89"/>
      <c r="Y127" s="187"/>
      <c r="Z127" s="187"/>
      <c r="AA127" s="187"/>
      <c r="AB127" s="187"/>
      <c r="AC127" s="187"/>
      <c r="AD127" s="189"/>
      <c r="AE127" s="188"/>
    </row>
    <row r="128" spans="1:31" ht="21.25" customHeight="1" x14ac:dyDescent="0.15">
      <c r="A128" s="10" t="s">
        <v>312</v>
      </c>
      <c r="B128" s="185" t="s">
        <v>845</v>
      </c>
      <c r="C128" s="186">
        <v>30</v>
      </c>
      <c r="D128" s="185" t="s">
        <v>821</v>
      </c>
      <c r="E128" s="89">
        <v>75</v>
      </c>
      <c r="F128" s="187">
        <v>17.8</v>
      </c>
      <c r="G128" s="188">
        <v>0.31</v>
      </c>
      <c r="H128" s="188">
        <v>0.34</v>
      </c>
      <c r="I128" s="188">
        <v>0.66</v>
      </c>
      <c r="J128" s="188">
        <v>2.48</v>
      </c>
      <c r="K128" s="188">
        <v>0.08</v>
      </c>
      <c r="L128" s="188">
        <v>0.22</v>
      </c>
      <c r="M128" s="188">
        <v>0</v>
      </c>
      <c r="N128" s="188">
        <v>0</v>
      </c>
      <c r="O128" s="188">
        <v>0.38</v>
      </c>
      <c r="P128" s="188">
        <v>0.73</v>
      </c>
      <c r="Q128" s="188">
        <v>0</v>
      </c>
      <c r="R128" s="188">
        <v>0.52</v>
      </c>
      <c r="S128" s="188">
        <v>0.05</v>
      </c>
      <c r="T128" s="188">
        <v>0.14000000000000001</v>
      </c>
      <c r="U128" s="188">
        <v>0.28999999999999998</v>
      </c>
      <c r="V128" s="188">
        <v>0.32</v>
      </c>
      <c r="W128" s="188"/>
      <c r="X128" s="89"/>
      <c r="Y128" s="187"/>
      <c r="Z128" s="187"/>
      <c r="AA128" s="187"/>
      <c r="AB128" s="187"/>
      <c r="AC128" s="187"/>
      <c r="AD128" s="189"/>
      <c r="AE128" s="188"/>
    </row>
    <row r="129" spans="1:31" ht="21.25" customHeight="1" x14ac:dyDescent="0.15">
      <c r="A129" s="10" t="s">
        <v>290</v>
      </c>
      <c r="B129" s="185" t="s">
        <v>859</v>
      </c>
      <c r="C129" s="186">
        <v>25</v>
      </c>
      <c r="D129" s="185" t="s">
        <v>820</v>
      </c>
      <c r="E129" s="89">
        <v>84</v>
      </c>
      <c r="F129" s="187">
        <v>16.899999999999999</v>
      </c>
      <c r="G129" s="188">
        <v>0.28000000000000003</v>
      </c>
      <c r="H129" s="188">
        <v>0.4</v>
      </c>
      <c r="I129" s="188">
        <v>0.68</v>
      </c>
      <c r="J129" s="188">
        <v>2.41</v>
      </c>
      <c r="K129" s="188">
        <v>0.11</v>
      </c>
      <c r="L129" s="188">
        <v>0.27</v>
      </c>
      <c r="M129" s="188">
        <v>0</v>
      </c>
      <c r="N129" s="188">
        <v>0</v>
      </c>
      <c r="O129" s="188">
        <v>0.38</v>
      </c>
      <c r="P129" s="188">
        <v>2.3199999999999998</v>
      </c>
      <c r="Q129" s="188">
        <v>0.04</v>
      </c>
      <c r="R129" s="188">
        <v>0.51</v>
      </c>
      <c r="S129" s="188">
        <v>0.05</v>
      </c>
      <c r="T129" s="188">
        <v>5.6</v>
      </c>
      <c r="U129" s="188">
        <v>5.49</v>
      </c>
      <c r="V129" s="188">
        <v>0.5</v>
      </c>
      <c r="W129" s="188"/>
      <c r="X129" s="89"/>
      <c r="Y129" s="187"/>
      <c r="Z129" s="187"/>
      <c r="AA129" s="187"/>
      <c r="AB129" s="187"/>
      <c r="AC129" s="187"/>
      <c r="AD129" s="189"/>
      <c r="AE129" s="188"/>
    </row>
    <row r="130" spans="1:31" ht="21.25" customHeight="1" x14ac:dyDescent="0.15">
      <c r="A130" s="10" t="s">
        <v>184</v>
      </c>
      <c r="B130" s="185" t="s">
        <v>852</v>
      </c>
      <c r="C130" s="186">
        <v>28</v>
      </c>
      <c r="D130" s="185" t="s">
        <v>823</v>
      </c>
      <c r="E130" s="89">
        <v>78</v>
      </c>
      <c r="F130" s="187">
        <v>24.1</v>
      </c>
      <c r="G130" s="188">
        <v>0.14000000000000001</v>
      </c>
      <c r="H130" s="188">
        <v>0.55000000000000004</v>
      </c>
      <c r="I130" s="188">
        <v>0.69</v>
      </c>
      <c r="J130" s="188">
        <v>1.88</v>
      </c>
      <c r="K130" s="188">
        <v>0.05</v>
      </c>
      <c r="L130" s="188">
        <v>0.31</v>
      </c>
      <c r="M130" s="188">
        <v>0</v>
      </c>
      <c r="N130" s="188">
        <v>0.01</v>
      </c>
      <c r="O130" s="188">
        <v>1.66</v>
      </c>
      <c r="P130" s="188">
        <v>0.69</v>
      </c>
      <c r="Q130" s="188">
        <v>0</v>
      </c>
      <c r="R130" s="188">
        <v>0.52</v>
      </c>
      <c r="S130" s="188">
        <v>0.02</v>
      </c>
      <c r="T130" s="188">
        <v>0</v>
      </c>
      <c r="U130" s="188">
        <v>0</v>
      </c>
      <c r="V130" s="188">
        <v>0</v>
      </c>
      <c r="W130" s="188"/>
      <c r="X130" s="89"/>
      <c r="Y130" s="187"/>
      <c r="Z130" s="187"/>
      <c r="AA130" s="187"/>
      <c r="AB130" s="187"/>
      <c r="AC130" s="187"/>
      <c r="AD130" s="189"/>
      <c r="AE130" s="188"/>
    </row>
    <row r="131" spans="1:31" ht="21.25" customHeight="1" x14ac:dyDescent="0.15">
      <c r="A131" s="10" t="s">
        <v>159</v>
      </c>
      <c r="B131" s="185" t="s">
        <v>855</v>
      </c>
      <c r="C131" s="186">
        <v>25</v>
      </c>
      <c r="D131" s="185" t="s">
        <v>823</v>
      </c>
      <c r="E131" s="89">
        <v>82</v>
      </c>
      <c r="F131" s="187">
        <v>24.9</v>
      </c>
      <c r="G131" s="188">
        <v>0.15</v>
      </c>
      <c r="H131" s="188">
        <v>0.52</v>
      </c>
      <c r="I131" s="188">
        <v>0.67</v>
      </c>
      <c r="J131" s="188">
        <v>1.93</v>
      </c>
      <c r="K131" s="188">
        <v>0.04</v>
      </c>
      <c r="L131" s="188">
        <v>0.23</v>
      </c>
      <c r="M131" s="188">
        <v>0.01</v>
      </c>
      <c r="N131" s="188">
        <v>0.02</v>
      </c>
      <c r="O131" s="188">
        <v>1.68</v>
      </c>
      <c r="P131" s="188">
        <v>0.96</v>
      </c>
      <c r="Q131" s="188">
        <v>-0.04</v>
      </c>
      <c r="R131" s="188">
        <v>0.38</v>
      </c>
      <c r="S131" s="188">
        <v>0.02</v>
      </c>
      <c r="T131" s="188">
        <v>0</v>
      </c>
      <c r="U131" s="188">
        <v>0</v>
      </c>
      <c r="V131" s="188">
        <v>0</v>
      </c>
      <c r="W131" s="188"/>
      <c r="X131" s="89"/>
      <c r="Y131" s="187"/>
      <c r="Z131" s="187"/>
      <c r="AA131" s="187"/>
      <c r="AB131" s="187"/>
      <c r="AC131" s="187"/>
      <c r="AD131" s="189"/>
      <c r="AE131" s="188"/>
    </row>
    <row r="132" spans="1:31" ht="21.25" customHeight="1" x14ac:dyDescent="0.15">
      <c r="A132" s="10" t="s">
        <v>450</v>
      </c>
      <c r="B132" s="185" t="s">
        <v>865</v>
      </c>
      <c r="C132" s="186">
        <v>28</v>
      </c>
      <c r="D132" s="185" t="s">
        <v>835</v>
      </c>
      <c r="E132" s="89">
        <v>75</v>
      </c>
      <c r="F132" s="187">
        <v>16.8</v>
      </c>
      <c r="G132" s="188">
        <v>0.24</v>
      </c>
      <c r="H132" s="188">
        <v>0.47</v>
      </c>
      <c r="I132" s="188">
        <v>0.71</v>
      </c>
      <c r="J132" s="188">
        <v>1.77</v>
      </c>
      <c r="K132" s="188">
        <v>0.09</v>
      </c>
      <c r="L132" s="188">
        <v>0.2</v>
      </c>
      <c r="M132" s="188">
        <v>0</v>
      </c>
      <c r="N132" s="188">
        <v>0</v>
      </c>
      <c r="O132" s="188">
        <v>0.56999999999999995</v>
      </c>
      <c r="P132" s="188">
        <v>0.86</v>
      </c>
      <c r="Q132" s="188">
        <v>0.06</v>
      </c>
      <c r="R132" s="188">
        <v>0.62</v>
      </c>
      <c r="S132" s="188">
        <v>0.04</v>
      </c>
      <c r="T132" s="188">
        <v>6.35</v>
      </c>
      <c r="U132" s="188">
        <v>6.55</v>
      </c>
      <c r="V132" s="188">
        <v>0.49</v>
      </c>
      <c r="W132" s="188"/>
      <c r="X132" s="89"/>
      <c r="Y132" s="187"/>
      <c r="Z132" s="187"/>
      <c r="AA132" s="187"/>
      <c r="AB132" s="187"/>
      <c r="AC132" s="187"/>
      <c r="AD132" s="189"/>
      <c r="AE132" s="188"/>
    </row>
    <row r="133" spans="1:31" ht="21.25" customHeight="1" x14ac:dyDescent="0.15">
      <c r="A133" s="10" t="s">
        <v>377</v>
      </c>
      <c r="B133" s="185" t="s">
        <v>857</v>
      </c>
      <c r="C133" s="186">
        <v>33</v>
      </c>
      <c r="D133" s="185" t="s">
        <v>844</v>
      </c>
      <c r="E133" s="89">
        <v>73</v>
      </c>
      <c r="F133" s="187">
        <v>15.8</v>
      </c>
      <c r="G133" s="188">
        <v>0.32</v>
      </c>
      <c r="H133" s="188">
        <v>0.37</v>
      </c>
      <c r="I133" s="188">
        <v>0.69</v>
      </c>
      <c r="J133" s="188">
        <v>2.64</v>
      </c>
      <c r="K133" s="188">
        <v>0.06</v>
      </c>
      <c r="L133" s="188">
        <v>0.16</v>
      </c>
      <c r="M133" s="188">
        <v>0</v>
      </c>
      <c r="N133" s="188">
        <v>0</v>
      </c>
      <c r="O133" s="188">
        <v>0.49</v>
      </c>
      <c r="P133" s="188">
        <v>0.49</v>
      </c>
      <c r="Q133" s="188">
        <v>0</v>
      </c>
      <c r="R133" s="188">
        <v>0.4</v>
      </c>
      <c r="S133" s="188">
        <v>0.05</v>
      </c>
      <c r="T133" s="188">
        <v>0.14000000000000001</v>
      </c>
      <c r="U133" s="188">
        <v>0.19</v>
      </c>
      <c r="V133" s="188">
        <v>0.41</v>
      </c>
      <c r="W133" s="188"/>
      <c r="X133" s="89"/>
      <c r="Y133" s="187"/>
      <c r="Z133" s="187"/>
      <c r="AA133" s="187"/>
      <c r="AB133" s="187"/>
      <c r="AC133" s="187"/>
      <c r="AD133" s="189"/>
      <c r="AE133" s="188"/>
    </row>
    <row r="134" spans="1:31" ht="21.25" customHeight="1" x14ac:dyDescent="0.15">
      <c r="A134" s="10" t="s">
        <v>298</v>
      </c>
      <c r="B134" s="185" t="s">
        <v>834</v>
      </c>
      <c r="C134" s="186">
        <v>35</v>
      </c>
      <c r="D134" s="185" t="s">
        <v>835</v>
      </c>
      <c r="E134" s="89">
        <v>83</v>
      </c>
      <c r="F134" s="187">
        <v>17.399999999999999</v>
      </c>
      <c r="G134" s="188">
        <v>0.27</v>
      </c>
      <c r="H134" s="188">
        <v>0.41</v>
      </c>
      <c r="I134" s="188">
        <v>0.68</v>
      </c>
      <c r="J134" s="188">
        <v>2.78</v>
      </c>
      <c r="K134" s="188">
        <v>0.09</v>
      </c>
      <c r="L134" s="188">
        <v>0.27</v>
      </c>
      <c r="M134" s="188">
        <v>0</v>
      </c>
      <c r="N134" s="188">
        <v>0</v>
      </c>
      <c r="O134" s="188">
        <v>0.37</v>
      </c>
      <c r="P134" s="188">
        <v>0.65</v>
      </c>
      <c r="Q134" s="188">
        <v>7.0000000000000007E-2</v>
      </c>
      <c r="R134" s="188">
        <v>0.46</v>
      </c>
      <c r="S134" s="188">
        <v>0.05</v>
      </c>
      <c r="T134" s="188">
        <v>6.02</v>
      </c>
      <c r="U134" s="188">
        <v>6.73</v>
      </c>
      <c r="V134" s="188">
        <v>0.47</v>
      </c>
      <c r="W134" s="188"/>
      <c r="X134" s="89"/>
      <c r="Y134" s="187"/>
      <c r="Z134" s="187"/>
      <c r="AA134" s="187"/>
      <c r="AB134" s="187"/>
      <c r="AC134" s="187"/>
      <c r="AD134" s="189"/>
      <c r="AE134" s="188"/>
    </row>
    <row r="135" spans="1:31" ht="21.25" customHeight="1" x14ac:dyDescent="0.15">
      <c r="A135" s="10" t="s">
        <v>158</v>
      </c>
      <c r="B135" s="185" t="s">
        <v>865</v>
      </c>
      <c r="C135" s="186">
        <v>28</v>
      </c>
      <c r="D135" s="185" t="s">
        <v>823</v>
      </c>
      <c r="E135" s="89">
        <v>83</v>
      </c>
      <c r="F135" s="187">
        <v>23.2</v>
      </c>
      <c r="G135" s="188">
        <v>0.26</v>
      </c>
      <c r="H135" s="188">
        <v>0.4</v>
      </c>
      <c r="I135" s="188">
        <v>0.66</v>
      </c>
      <c r="J135" s="188">
        <v>2.64</v>
      </c>
      <c r="K135" s="188">
        <v>0.09</v>
      </c>
      <c r="L135" s="188">
        <v>0.23</v>
      </c>
      <c r="M135" s="188">
        <v>0</v>
      </c>
      <c r="N135" s="188">
        <v>0</v>
      </c>
      <c r="O135" s="188">
        <v>1.43</v>
      </c>
      <c r="P135" s="188">
        <v>0.76</v>
      </c>
      <c r="Q135" s="188">
        <v>0.08</v>
      </c>
      <c r="R135" s="188">
        <v>0.71</v>
      </c>
      <c r="S135" s="188">
        <v>0.04</v>
      </c>
      <c r="T135" s="188">
        <v>0</v>
      </c>
      <c r="U135" s="188">
        <v>0</v>
      </c>
      <c r="V135" s="188">
        <v>0</v>
      </c>
      <c r="W135" s="188"/>
      <c r="X135" s="89"/>
      <c r="Y135" s="187"/>
      <c r="Z135" s="187"/>
      <c r="AA135" s="187"/>
      <c r="AB135" s="187"/>
      <c r="AC135" s="187"/>
      <c r="AD135" s="189"/>
      <c r="AE135" s="188"/>
    </row>
    <row r="136" spans="1:31" ht="21.25" customHeight="1" x14ac:dyDescent="0.15">
      <c r="A136" s="10" t="s">
        <v>369</v>
      </c>
      <c r="B136" s="185" t="s">
        <v>865</v>
      </c>
      <c r="C136" s="186">
        <v>25</v>
      </c>
      <c r="D136" s="185" t="s">
        <v>844</v>
      </c>
      <c r="E136" s="89">
        <v>82</v>
      </c>
      <c r="F136" s="187">
        <v>16.7</v>
      </c>
      <c r="G136" s="188">
        <v>0.28999999999999998</v>
      </c>
      <c r="H136" s="188">
        <v>0.37</v>
      </c>
      <c r="I136" s="188">
        <v>0.66</v>
      </c>
      <c r="J136" s="188">
        <v>1.86</v>
      </c>
      <c r="K136" s="188">
        <v>0</v>
      </c>
      <c r="L136" s="188">
        <v>0.02</v>
      </c>
      <c r="M136" s="188">
        <v>0.02</v>
      </c>
      <c r="N136" s="188">
        <v>0.04</v>
      </c>
      <c r="O136" s="188">
        <v>0.51</v>
      </c>
      <c r="P136" s="188">
        <v>0.45</v>
      </c>
      <c r="Q136" s="188">
        <v>0.08</v>
      </c>
      <c r="R136" s="188">
        <v>0.26</v>
      </c>
      <c r="S136" s="188">
        <v>0.04</v>
      </c>
      <c r="T136" s="188">
        <v>0.31</v>
      </c>
      <c r="U136" s="188">
        <v>0.53</v>
      </c>
      <c r="V136" s="188">
        <v>0.37</v>
      </c>
      <c r="W136" s="188"/>
      <c r="X136" s="89"/>
      <c r="Y136" s="187"/>
      <c r="Z136" s="187"/>
      <c r="AA136" s="187"/>
      <c r="AB136" s="187"/>
      <c r="AC136" s="187"/>
      <c r="AD136" s="189"/>
      <c r="AE136" s="188"/>
    </row>
    <row r="137" spans="1:31" ht="21.25" customHeight="1" x14ac:dyDescent="0.15">
      <c r="A137" s="10" t="s">
        <v>448</v>
      </c>
      <c r="B137" s="185" t="s">
        <v>843</v>
      </c>
      <c r="C137" s="186">
        <v>35</v>
      </c>
      <c r="D137" s="185" t="s">
        <v>842</v>
      </c>
      <c r="E137" s="89">
        <v>79</v>
      </c>
      <c r="F137" s="187">
        <v>15.2</v>
      </c>
      <c r="G137" s="188">
        <v>0.26</v>
      </c>
      <c r="H137" s="188">
        <v>0.46</v>
      </c>
      <c r="I137" s="188">
        <v>0.72</v>
      </c>
      <c r="J137" s="188">
        <v>1.62</v>
      </c>
      <c r="K137" s="188">
        <v>7.0000000000000007E-2</v>
      </c>
      <c r="L137" s="188">
        <v>0.21</v>
      </c>
      <c r="M137" s="188">
        <v>0</v>
      </c>
      <c r="N137" s="188">
        <v>0</v>
      </c>
      <c r="O137" s="188">
        <v>0.36</v>
      </c>
      <c r="P137" s="188">
        <v>0.49</v>
      </c>
      <c r="Q137" s="188">
        <v>0.06</v>
      </c>
      <c r="R137" s="188">
        <v>0.2</v>
      </c>
      <c r="S137" s="188">
        <v>0.04</v>
      </c>
      <c r="T137" s="188">
        <v>4.38</v>
      </c>
      <c r="U137" s="188">
        <v>3.82</v>
      </c>
      <c r="V137" s="188">
        <v>0.53</v>
      </c>
      <c r="W137" s="188"/>
      <c r="X137" s="89"/>
      <c r="Y137" s="187"/>
      <c r="Z137" s="187"/>
      <c r="AA137" s="187"/>
      <c r="AB137" s="187"/>
      <c r="AC137" s="187"/>
      <c r="AD137" s="189"/>
      <c r="AE137" s="188"/>
    </row>
    <row r="138" spans="1:31" ht="21.25" customHeight="1" x14ac:dyDescent="0.15">
      <c r="A138" s="10" t="s">
        <v>653</v>
      </c>
      <c r="B138" s="185" t="s">
        <v>841</v>
      </c>
      <c r="C138" s="186">
        <v>19</v>
      </c>
      <c r="D138" s="185" t="s">
        <v>820</v>
      </c>
      <c r="E138" s="89">
        <v>77</v>
      </c>
      <c r="F138" s="187">
        <v>14.2</v>
      </c>
      <c r="G138" s="188">
        <v>0.13</v>
      </c>
      <c r="H138" s="188">
        <v>0.2</v>
      </c>
      <c r="I138" s="188">
        <v>0.33</v>
      </c>
      <c r="J138" s="188">
        <v>1.19</v>
      </c>
      <c r="K138" s="188">
        <v>0</v>
      </c>
      <c r="L138" s="188">
        <v>0</v>
      </c>
      <c r="M138" s="188">
        <v>0.03</v>
      </c>
      <c r="N138" s="188">
        <v>0.04</v>
      </c>
      <c r="O138" s="188">
        <v>0.48</v>
      </c>
      <c r="P138" s="188">
        <v>1.31</v>
      </c>
      <c r="Q138" s="188">
        <v>-0.01</v>
      </c>
      <c r="R138" s="188">
        <v>0.5</v>
      </c>
      <c r="S138" s="188">
        <v>0.02</v>
      </c>
      <c r="T138" s="188">
        <v>5.47</v>
      </c>
      <c r="U138" s="188">
        <v>5.37</v>
      </c>
      <c r="V138" s="188">
        <v>0.5</v>
      </c>
      <c r="W138" s="188"/>
      <c r="X138" s="89"/>
      <c r="Y138" s="187"/>
      <c r="Z138" s="187"/>
      <c r="AA138" s="187"/>
      <c r="AB138" s="187"/>
      <c r="AC138" s="187"/>
      <c r="AD138" s="189"/>
      <c r="AE138" s="188"/>
    </row>
    <row r="139" spans="1:31" ht="21.25" customHeight="1" x14ac:dyDescent="0.15">
      <c r="A139" s="10" t="s">
        <v>354</v>
      </c>
      <c r="B139" s="185" t="s">
        <v>850</v>
      </c>
      <c r="C139" s="186">
        <v>31</v>
      </c>
      <c r="D139" s="185" t="s">
        <v>844</v>
      </c>
      <c r="E139" s="89">
        <v>83</v>
      </c>
      <c r="F139" s="187">
        <v>17.7</v>
      </c>
      <c r="G139" s="188">
        <v>0.33</v>
      </c>
      <c r="H139" s="188">
        <v>0.32</v>
      </c>
      <c r="I139" s="188">
        <v>0.65</v>
      </c>
      <c r="J139" s="188">
        <v>2.02</v>
      </c>
      <c r="K139" s="188">
        <v>0.12</v>
      </c>
      <c r="L139" s="188">
        <v>0.24</v>
      </c>
      <c r="M139" s="188">
        <v>0</v>
      </c>
      <c r="N139" s="188">
        <v>0</v>
      </c>
      <c r="O139" s="188">
        <v>0.35</v>
      </c>
      <c r="P139" s="188">
        <v>0.76</v>
      </c>
      <c r="Q139" s="188">
        <v>-0.09</v>
      </c>
      <c r="R139" s="188">
        <v>0.4</v>
      </c>
      <c r="S139" s="188">
        <v>0.04</v>
      </c>
      <c r="T139" s="188">
        <v>0.47</v>
      </c>
      <c r="U139" s="188">
        <v>0.64</v>
      </c>
      <c r="V139" s="188">
        <v>0.42</v>
      </c>
      <c r="W139" s="188"/>
      <c r="X139" s="89"/>
      <c r="Y139" s="187"/>
      <c r="Z139" s="187"/>
      <c r="AA139" s="187"/>
      <c r="AB139" s="187"/>
      <c r="AC139" s="187"/>
      <c r="AD139" s="189"/>
      <c r="AE139" s="188"/>
    </row>
    <row r="140" spans="1:31" ht="21.25" customHeight="1" x14ac:dyDescent="0.15">
      <c r="A140" s="10" t="s">
        <v>370</v>
      </c>
      <c r="B140" s="185" t="s">
        <v>858</v>
      </c>
      <c r="C140" s="186">
        <v>24</v>
      </c>
      <c r="D140" s="185" t="s">
        <v>822</v>
      </c>
      <c r="E140" s="89">
        <v>77</v>
      </c>
      <c r="F140" s="187">
        <v>16.600000000000001</v>
      </c>
      <c r="G140" s="188">
        <v>0.32</v>
      </c>
      <c r="H140" s="188">
        <v>0.37</v>
      </c>
      <c r="I140" s="188">
        <v>0.68</v>
      </c>
      <c r="J140" s="188">
        <v>2.25</v>
      </c>
      <c r="K140" s="188">
        <v>0.11</v>
      </c>
      <c r="L140" s="188">
        <v>0.22</v>
      </c>
      <c r="M140" s="188">
        <v>0</v>
      </c>
      <c r="N140" s="188">
        <v>0</v>
      </c>
      <c r="O140" s="188">
        <v>0.41</v>
      </c>
      <c r="P140" s="188">
        <v>1.03</v>
      </c>
      <c r="Q140" s="188">
        <v>0.04</v>
      </c>
      <c r="R140" s="188">
        <v>0.31</v>
      </c>
      <c r="S140" s="188">
        <v>0.05</v>
      </c>
      <c r="T140" s="188">
        <v>0.12</v>
      </c>
      <c r="U140" s="188">
        <v>0.31</v>
      </c>
      <c r="V140" s="188">
        <v>0.28999999999999998</v>
      </c>
      <c r="W140" s="188"/>
      <c r="X140" s="89"/>
      <c r="Y140" s="187"/>
      <c r="Z140" s="187"/>
      <c r="AA140" s="187"/>
      <c r="AB140" s="187"/>
      <c r="AC140" s="187"/>
      <c r="AD140" s="189"/>
      <c r="AE140" s="188"/>
    </row>
    <row r="141" spans="1:31" ht="21.25" customHeight="1" x14ac:dyDescent="0.15">
      <c r="A141" s="10" t="s">
        <v>317</v>
      </c>
      <c r="B141" s="185" t="s">
        <v>866</v>
      </c>
      <c r="C141" s="186">
        <v>23</v>
      </c>
      <c r="D141" s="185" t="s">
        <v>820</v>
      </c>
      <c r="E141" s="89">
        <v>84</v>
      </c>
      <c r="F141" s="187">
        <v>20.2</v>
      </c>
      <c r="G141" s="188">
        <v>0.27</v>
      </c>
      <c r="H141" s="188">
        <v>0.37</v>
      </c>
      <c r="I141" s="188">
        <v>0.65</v>
      </c>
      <c r="J141" s="188">
        <v>1.94</v>
      </c>
      <c r="K141" s="188">
        <v>7.0000000000000007E-2</v>
      </c>
      <c r="L141" s="188">
        <v>0.15</v>
      </c>
      <c r="M141" s="188">
        <v>0</v>
      </c>
      <c r="N141" s="188">
        <v>0</v>
      </c>
      <c r="O141" s="188">
        <v>0.87</v>
      </c>
      <c r="P141" s="188">
        <v>0.5</v>
      </c>
      <c r="Q141" s="188">
        <v>-0.08</v>
      </c>
      <c r="R141" s="188">
        <v>0.3</v>
      </c>
      <c r="S141" s="188">
        <v>0.04</v>
      </c>
      <c r="T141" s="188">
        <v>6.81</v>
      </c>
      <c r="U141" s="188">
        <v>7.48</v>
      </c>
      <c r="V141" s="188">
        <v>0.48</v>
      </c>
      <c r="W141" s="188"/>
      <c r="X141" s="89"/>
      <c r="Y141" s="187"/>
      <c r="Z141" s="187"/>
      <c r="AA141" s="187"/>
      <c r="AB141" s="187"/>
      <c r="AC141" s="187"/>
      <c r="AD141" s="189"/>
      <c r="AE141" s="188"/>
    </row>
    <row r="142" spans="1:31" ht="21.25" customHeight="1" x14ac:dyDescent="0.15">
      <c r="A142" s="10" t="s">
        <v>415</v>
      </c>
      <c r="B142" s="185" t="s">
        <v>845</v>
      </c>
      <c r="C142" s="186">
        <v>39</v>
      </c>
      <c r="D142" s="185" t="s">
        <v>822</v>
      </c>
      <c r="E142" s="89">
        <v>77</v>
      </c>
      <c r="F142" s="187">
        <v>16.3</v>
      </c>
      <c r="G142" s="188">
        <v>0.19</v>
      </c>
      <c r="H142" s="188">
        <v>0.44</v>
      </c>
      <c r="I142" s="188">
        <v>0.63</v>
      </c>
      <c r="J142" s="188">
        <v>1.76</v>
      </c>
      <c r="K142" s="188">
        <v>0.04</v>
      </c>
      <c r="L142" s="188">
        <v>0.19</v>
      </c>
      <c r="M142" s="188">
        <v>0</v>
      </c>
      <c r="N142" s="188">
        <v>0</v>
      </c>
      <c r="O142" s="188">
        <v>0.46</v>
      </c>
      <c r="P142" s="188">
        <v>0.39</v>
      </c>
      <c r="Q142" s="188">
        <v>0</v>
      </c>
      <c r="R142" s="188">
        <v>0.33</v>
      </c>
      <c r="S142" s="188">
        <v>0.03</v>
      </c>
      <c r="T142" s="188">
        <v>0.34</v>
      </c>
      <c r="U142" s="188">
        <v>0.47</v>
      </c>
      <c r="V142" s="188">
        <v>0.42</v>
      </c>
      <c r="W142" s="188"/>
      <c r="X142" s="89"/>
      <c r="Y142" s="187"/>
      <c r="Z142" s="187"/>
      <c r="AA142" s="187"/>
      <c r="AB142" s="187"/>
      <c r="AC142" s="187"/>
      <c r="AD142" s="189"/>
      <c r="AE142" s="188"/>
    </row>
    <row r="143" spans="1:31" ht="21.25" customHeight="1" x14ac:dyDescent="0.15">
      <c r="A143" s="10" t="s">
        <v>356</v>
      </c>
      <c r="B143" s="185" t="s">
        <v>865</v>
      </c>
      <c r="C143" s="186">
        <v>41</v>
      </c>
      <c r="D143" s="185" t="s">
        <v>844</v>
      </c>
      <c r="E143" s="89">
        <v>81</v>
      </c>
      <c r="F143" s="187">
        <v>14.9</v>
      </c>
      <c r="G143" s="188">
        <v>0.35</v>
      </c>
      <c r="H143" s="188">
        <v>0.3</v>
      </c>
      <c r="I143" s="188">
        <v>0.65</v>
      </c>
      <c r="J143" s="188">
        <v>2.4700000000000002</v>
      </c>
      <c r="K143" s="188">
        <v>7.0000000000000007E-2</v>
      </c>
      <c r="L143" s="188">
        <v>0.17</v>
      </c>
      <c r="M143" s="188">
        <v>0</v>
      </c>
      <c r="N143" s="188">
        <v>0</v>
      </c>
      <c r="O143" s="188">
        <v>0.22</v>
      </c>
      <c r="P143" s="188">
        <v>1.45</v>
      </c>
      <c r="Q143" s="188">
        <v>0.05</v>
      </c>
      <c r="R143" s="188">
        <v>0.25</v>
      </c>
      <c r="S143" s="188">
        <v>0.05</v>
      </c>
      <c r="T143" s="188">
        <v>0.01</v>
      </c>
      <c r="U143" s="188">
        <v>0.03</v>
      </c>
      <c r="V143" s="188">
        <v>0.22</v>
      </c>
      <c r="W143" s="188"/>
      <c r="X143" s="89"/>
      <c r="Y143" s="187"/>
      <c r="Z143" s="187"/>
      <c r="AA143" s="187"/>
      <c r="AB143" s="187"/>
      <c r="AC143" s="187"/>
      <c r="AD143" s="189"/>
      <c r="AE143" s="188"/>
    </row>
    <row r="144" spans="1:31" ht="21.25" customHeight="1" x14ac:dyDescent="0.15">
      <c r="A144" s="10" t="s">
        <v>274</v>
      </c>
      <c r="B144" s="185" t="s">
        <v>838</v>
      </c>
      <c r="C144" s="186">
        <v>29</v>
      </c>
      <c r="D144" s="185" t="s">
        <v>844</v>
      </c>
      <c r="E144" s="89">
        <v>82</v>
      </c>
      <c r="F144" s="187">
        <v>17.600000000000001</v>
      </c>
      <c r="G144" s="188">
        <v>0.3</v>
      </c>
      <c r="H144" s="188">
        <v>0.28999999999999998</v>
      </c>
      <c r="I144" s="188">
        <v>0.59</v>
      </c>
      <c r="J144" s="188">
        <v>2.96</v>
      </c>
      <c r="K144" s="188">
        <v>0.08</v>
      </c>
      <c r="L144" s="188">
        <v>0.13</v>
      </c>
      <c r="M144" s="188">
        <v>0</v>
      </c>
      <c r="N144" s="188">
        <v>0</v>
      </c>
      <c r="O144" s="188">
        <v>0.65</v>
      </c>
      <c r="P144" s="188">
        <v>1.5</v>
      </c>
      <c r="Q144" s="188">
        <v>0</v>
      </c>
      <c r="R144" s="188">
        <v>0.39</v>
      </c>
      <c r="S144" s="188">
        <v>0.05</v>
      </c>
      <c r="T144" s="188">
        <v>0.54</v>
      </c>
      <c r="U144" s="188">
        <v>0.78</v>
      </c>
      <c r="V144" s="188">
        <v>0.41</v>
      </c>
      <c r="W144" s="188"/>
      <c r="X144" s="89"/>
      <c r="Y144" s="187"/>
      <c r="Z144" s="187"/>
      <c r="AA144" s="187"/>
      <c r="AB144" s="187"/>
      <c r="AC144" s="187"/>
      <c r="AD144" s="189"/>
      <c r="AE144" s="188"/>
    </row>
    <row r="145" spans="1:31" ht="21.25" customHeight="1" x14ac:dyDescent="0.15">
      <c r="A145" s="10" t="s">
        <v>186</v>
      </c>
      <c r="B145" s="185" t="s">
        <v>851</v>
      </c>
      <c r="C145" s="186">
        <v>36</v>
      </c>
      <c r="D145" s="185" t="s">
        <v>823</v>
      </c>
      <c r="E145" s="89">
        <v>83</v>
      </c>
      <c r="F145" s="187">
        <v>23.9</v>
      </c>
      <c r="G145" s="188">
        <v>0.11</v>
      </c>
      <c r="H145" s="188">
        <v>0.54</v>
      </c>
      <c r="I145" s="188">
        <v>0.64</v>
      </c>
      <c r="J145" s="188">
        <v>2.1800000000000002</v>
      </c>
      <c r="K145" s="188">
        <v>0.03</v>
      </c>
      <c r="L145" s="188">
        <v>0.25</v>
      </c>
      <c r="M145" s="188">
        <v>0</v>
      </c>
      <c r="N145" s="188">
        <v>0</v>
      </c>
      <c r="O145" s="188">
        <v>1.1100000000000001</v>
      </c>
      <c r="P145" s="188">
        <v>0.46</v>
      </c>
      <c r="Q145" s="188">
        <v>0.02</v>
      </c>
      <c r="R145" s="188">
        <v>0.39</v>
      </c>
      <c r="S145" s="188">
        <v>0.02</v>
      </c>
      <c r="T145" s="188">
        <v>0</v>
      </c>
      <c r="U145" s="188">
        <v>0</v>
      </c>
      <c r="V145" s="188">
        <v>0</v>
      </c>
      <c r="W145" s="188"/>
      <c r="X145" s="89"/>
      <c r="Y145" s="187"/>
      <c r="Z145" s="187"/>
      <c r="AA145" s="187"/>
      <c r="AB145" s="187"/>
      <c r="AC145" s="187"/>
      <c r="AD145" s="189"/>
      <c r="AE145" s="188"/>
    </row>
    <row r="146" spans="1:31" ht="21.25" customHeight="1" x14ac:dyDescent="0.15">
      <c r="A146" s="10" t="s">
        <v>364</v>
      </c>
      <c r="B146" s="185" t="s">
        <v>833</v>
      </c>
      <c r="C146" s="186">
        <v>29</v>
      </c>
      <c r="D146" s="185" t="s">
        <v>820</v>
      </c>
      <c r="E146" s="89">
        <v>82</v>
      </c>
      <c r="F146" s="187">
        <v>17.399999999999999</v>
      </c>
      <c r="G146" s="188">
        <v>0.27</v>
      </c>
      <c r="H146" s="188">
        <v>0.35</v>
      </c>
      <c r="I146" s="188">
        <v>0.62</v>
      </c>
      <c r="J146" s="188">
        <v>1.72</v>
      </c>
      <c r="K146" s="188">
        <v>0.03</v>
      </c>
      <c r="L146" s="188">
        <v>0.06</v>
      </c>
      <c r="M146" s="188">
        <v>0.02</v>
      </c>
      <c r="N146" s="188">
        <v>0.05</v>
      </c>
      <c r="O146" s="188">
        <v>0.71</v>
      </c>
      <c r="P146" s="188">
        <v>0.63</v>
      </c>
      <c r="Q146" s="188">
        <v>0.12</v>
      </c>
      <c r="R146" s="188">
        <v>0.41</v>
      </c>
      <c r="S146" s="188">
        <v>0.05</v>
      </c>
      <c r="T146" s="188">
        <v>7.13</v>
      </c>
      <c r="U146" s="188">
        <v>7.37</v>
      </c>
      <c r="V146" s="188">
        <v>0.49</v>
      </c>
      <c r="W146" s="188"/>
      <c r="X146" s="89"/>
      <c r="Y146" s="188"/>
      <c r="Z146" s="188"/>
      <c r="AA146" s="188"/>
      <c r="AB146" s="188"/>
      <c r="AC146" s="187"/>
      <c r="AD146" s="189"/>
      <c r="AE146" s="188"/>
    </row>
    <row r="147" spans="1:31" ht="21.25" customHeight="1" x14ac:dyDescent="0.15">
      <c r="A147" s="10" t="s">
        <v>239</v>
      </c>
      <c r="B147" s="185" t="s">
        <v>865</v>
      </c>
      <c r="C147" s="186">
        <v>20</v>
      </c>
      <c r="D147" s="185" t="s">
        <v>823</v>
      </c>
      <c r="E147" s="89">
        <v>74</v>
      </c>
      <c r="F147" s="187">
        <v>19.100000000000001</v>
      </c>
      <c r="G147" s="188">
        <v>0.15</v>
      </c>
      <c r="H147" s="188">
        <v>0.46</v>
      </c>
      <c r="I147" s="188">
        <v>0.6</v>
      </c>
      <c r="J147" s="188">
        <v>1.51</v>
      </c>
      <c r="K147" s="188">
        <v>0.02</v>
      </c>
      <c r="L147" s="188">
        <v>0.28999999999999998</v>
      </c>
      <c r="M147" s="188">
        <v>0</v>
      </c>
      <c r="N147" s="188">
        <v>0</v>
      </c>
      <c r="O147" s="188">
        <v>1.02</v>
      </c>
      <c r="P147" s="188">
        <v>1.22</v>
      </c>
      <c r="Q147" s="188">
        <v>0.04</v>
      </c>
      <c r="R147" s="188">
        <v>0.51</v>
      </c>
      <c r="S147" s="188">
        <v>0.02</v>
      </c>
      <c r="T147" s="188">
        <v>0</v>
      </c>
      <c r="U147" s="188">
        <v>0</v>
      </c>
      <c r="V147" s="188">
        <v>0</v>
      </c>
      <c r="W147" s="188"/>
      <c r="X147" s="89"/>
      <c r="Y147" s="187"/>
      <c r="Z147" s="187"/>
      <c r="AA147" s="187"/>
      <c r="AB147" s="187"/>
      <c r="AC147" s="187"/>
      <c r="AD147" s="189"/>
      <c r="AE147" s="188"/>
    </row>
    <row r="148" spans="1:31" ht="21.25" customHeight="1" x14ac:dyDescent="0.15">
      <c r="A148" s="10" t="s">
        <v>451</v>
      </c>
      <c r="B148" s="185" t="s">
        <v>836</v>
      </c>
      <c r="C148" s="186">
        <v>31</v>
      </c>
      <c r="D148" s="185" t="s">
        <v>821</v>
      </c>
      <c r="E148" s="89">
        <v>79</v>
      </c>
      <c r="F148" s="187">
        <v>16.2</v>
      </c>
      <c r="G148" s="188">
        <v>0.28000000000000003</v>
      </c>
      <c r="H148" s="188">
        <v>0.38</v>
      </c>
      <c r="I148" s="188">
        <v>0.66</v>
      </c>
      <c r="J148" s="188">
        <v>1.86</v>
      </c>
      <c r="K148" s="188">
        <v>0.05</v>
      </c>
      <c r="L148" s="188">
        <v>0.1</v>
      </c>
      <c r="M148" s="188">
        <v>0</v>
      </c>
      <c r="N148" s="188">
        <v>0</v>
      </c>
      <c r="O148" s="188">
        <v>0.42</v>
      </c>
      <c r="P148" s="188">
        <v>1.25</v>
      </c>
      <c r="Q148" s="188">
        <v>0</v>
      </c>
      <c r="R148" s="188">
        <v>0.65</v>
      </c>
      <c r="S148" s="188">
        <v>0.04</v>
      </c>
      <c r="T148" s="188">
        <v>0.2</v>
      </c>
      <c r="U148" s="188">
        <v>0.28000000000000003</v>
      </c>
      <c r="V148" s="188">
        <v>0.42</v>
      </c>
      <c r="W148" s="188"/>
      <c r="X148" s="89"/>
      <c r="Y148" s="187"/>
      <c r="Z148" s="187"/>
      <c r="AA148" s="187"/>
      <c r="AB148" s="187"/>
      <c r="AC148" s="187"/>
      <c r="AD148" s="189"/>
      <c r="AE148" s="188"/>
    </row>
    <row r="149" spans="1:31" ht="21.25" customHeight="1" x14ac:dyDescent="0.15">
      <c r="A149" s="10" t="s">
        <v>214</v>
      </c>
      <c r="B149" s="185" t="s">
        <v>856</v>
      </c>
      <c r="C149" s="186">
        <v>33</v>
      </c>
      <c r="D149" s="185" t="s">
        <v>823</v>
      </c>
      <c r="E149" s="89">
        <v>77</v>
      </c>
      <c r="F149" s="187">
        <v>19.2</v>
      </c>
      <c r="G149" s="188">
        <v>0.12</v>
      </c>
      <c r="H149" s="188">
        <v>0.52</v>
      </c>
      <c r="I149" s="188">
        <v>0.64</v>
      </c>
      <c r="J149" s="188">
        <v>1.8</v>
      </c>
      <c r="K149" s="188">
        <v>0.05</v>
      </c>
      <c r="L149" s="188">
        <v>0.28999999999999998</v>
      </c>
      <c r="M149" s="188">
        <v>0</v>
      </c>
      <c r="N149" s="188">
        <v>0</v>
      </c>
      <c r="O149" s="188">
        <v>1.1399999999999999</v>
      </c>
      <c r="P149" s="188">
        <v>0.71</v>
      </c>
      <c r="Q149" s="188">
        <v>0.09</v>
      </c>
      <c r="R149" s="188">
        <v>0.37</v>
      </c>
      <c r="S149" s="188">
        <v>0.02</v>
      </c>
      <c r="T149" s="188">
        <v>0</v>
      </c>
      <c r="U149" s="188">
        <v>0</v>
      </c>
      <c r="V149" s="188">
        <v>0</v>
      </c>
      <c r="W149" s="188"/>
      <c r="X149" s="89"/>
      <c r="Y149" s="187"/>
      <c r="Z149" s="187"/>
      <c r="AA149" s="187"/>
      <c r="AB149" s="187"/>
      <c r="AC149" s="187"/>
      <c r="AD149" s="189"/>
      <c r="AE149" s="188"/>
    </row>
    <row r="150" spans="1:31" ht="21.25" customHeight="1" x14ac:dyDescent="0.15">
      <c r="A150" s="10" t="s">
        <v>455</v>
      </c>
      <c r="B150" s="185" t="s">
        <v>839</v>
      </c>
      <c r="C150" s="186">
        <v>30</v>
      </c>
      <c r="D150" s="185" t="s">
        <v>821</v>
      </c>
      <c r="E150" s="89">
        <v>82</v>
      </c>
      <c r="F150" s="187">
        <v>15.7</v>
      </c>
      <c r="G150" s="188">
        <v>0.26</v>
      </c>
      <c r="H150" s="188">
        <v>0.38</v>
      </c>
      <c r="I150" s="188">
        <v>0.64</v>
      </c>
      <c r="J150" s="188">
        <v>1.56</v>
      </c>
      <c r="K150" s="188">
        <v>0.02</v>
      </c>
      <c r="L150" s="188">
        <v>0.04</v>
      </c>
      <c r="M150" s="188">
        <v>0</v>
      </c>
      <c r="N150" s="188">
        <v>0</v>
      </c>
      <c r="O150" s="188">
        <v>0.45</v>
      </c>
      <c r="P150" s="188">
        <v>1.53</v>
      </c>
      <c r="Q150" s="188">
        <v>0.09</v>
      </c>
      <c r="R150" s="188">
        <v>0.27</v>
      </c>
      <c r="S150" s="188">
        <v>0.05</v>
      </c>
      <c r="T150" s="188">
        <v>0.22</v>
      </c>
      <c r="U150" s="188">
        <v>0.45</v>
      </c>
      <c r="V150" s="188">
        <v>0.33</v>
      </c>
      <c r="W150" s="188"/>
      <c r="X150" s="89"/>
      <c r="Y150" s="187"/>
      <c r="Z150" s="187"/>
      <c r="AA150" s="187"/>
      <c r="AB150" s="187"/>
      <c r="AC150" s="187"/>
      <c r="AD150" s="189"/>
      <c r="AE150" s="188"/>
    </row>
    <row r="151" spans="1:31" ht="21.25" customHeight="1" x14ac:dyDescent="0.15">
      <c r="A151" s="10" t="s">
        <v>335</v>
      </c>
      <c r="B151" s="185" t="s">
        <v>867</v>
      </c>
      <c r="C151" s="186">
        <v>23</v>
      </c>
      <c r="D151" s="185" t="s">
        <v>822</v>
      </c>
      <c r="E151" s="89">
        <v>82</v>
      </c>
      <c r="F151" s="187">
        <v>17.600000000000001</v>
      </c>
      <c r="G151" s="188">
        <v>0.28000000000000003</v>
      </c>
      <c r="H151" s="188">
        <v>0.36</v>
      </c>
      <c r="I151" s="188">
        <v>0.64</v>
      </c>
      <c r="J151" s="188">
        <v>2.5299999999999998</v>
      </c>
      <c r="K151" s="188">
        <v>0.08</v>
      </c>
      <c r="L151" s="188">
        <v>0.21</v>
      </c>
      <c r="M151" s="188">
        <v>0</v>
      </c>
      <c r="N151" s="188">
        <v>0</v>
      </c>
      <c r="O151" s="188">
        <v>0.36</v>
      </c>
      <c r="P151" s="188">
        <v>0.42</v>
      </c>
      <c r="Q151" s="188">
        <v>-0.12</v>
      </c>
      <c r="R151" s="188">
        <v>0.38</v>
      </c>
      <c r="S151" s="188">
        <v>0.04</v>
      </c>
      <c r="T151" s="188">
        <v>0.88</v>
      </c>
      <c r="U151" s="188">
        <v>1.32</v>
      </c>
      <c r="V151" s="188">
        <v>0.4</v>
      </c>
      <c r="W151" s="188"/>
      <c r="X151" s="89"/>
      <c r="Y151" s="187"/>
      <c r="Z151" s="187"/>
      <c r="AA151" s="187"/>
      <c r="AB151" s="187"/>
      <c r="AC151" s="187"/>
      <c r="AD151" s="189"/>
      <c r="AE151" s="188"/>
    </row>
    <row r="152" spans="1:31" ht="21.25" customHeight="1" x14ac:dyDescent="0.15">
      <c r="A152" s="10" t="s">
        <v>342</v>
      </c>
      <c r="B152" s="185" t="s">
        <v>849</v>
      </c>
      <c r="C152" s="186">
        <v>30</v>
      </c>
      <c r="D152" s="185" t="s">
        <v>820</v>
      </c>
      <c r="E152" s="89">
        <v>81</v>
      </c>
      <c r="F152" s="187">
        <v>16.8</v>
      </c>
      <c r="G152" s="188">
        <v>0.28999999999999998</v>
      </c>
      <c r="H152" s="188">
        <v>0.34</v>
      </c>
      <c r="I152" s="188">
        <v>0.64</v>
      </c>
      <c r="J152" s="188">
        <v>2.44</v>
      </c>
      <c r="K152" s="188">
        <v>0.05</v>
      </c>
      <c r="L152" s="188">
        <v>0.11</v>
      </c>
      <c r="M152" s="188">
        <v>0</v>
      </c>
      <c r="N152" s="188">
        <v>0</v>
      </c>
      <c r="O152" s="188">
        <v>0.47</v>
      </c>
      <c r="P152" s="188">
        <v>1.56</v>
      </c>
      <c r="Q152" s="188">
        <v>0.05</v>
      </c>
      <c r="R152" s="188">
        <v>0.8</v>
      </c>
      <c r="S152" s="188">
        <v>0.05</v>
      </c>
      <c r="T152" s="188">
        <v>5.99</v>
      </c>
      <c r="U152" s="188">
        <v>6.83</v>
      </c>
      <c r="V152" s="188">
        <v>0.47</v>
      </c>
      <c r="W152" s="188"/>
      <c r="X152" s="89"/>
      <c r="Y152" s="187"/>
      <c r="Z152" s="187"/>
      <c r="AA152" s="187"/>
      <c r="AB152" s="187"/>
      <c r="AC152" s="187"/>
      <c r="AD152" s="189"/>
      <c r="AE152" s="188"/>
    </row>
    <row r="153" spans="1:31" ht="21.25" customHeight="1" x14ac:dyDescent="0.15">
      <c r="A153" s="10" t="s">
        <v>392</v>
      </c>
      <c r="B153" s="185" t="s">
        <v>850</v>
      </c>
      <c r="C153" s="186">
        <v>22</v>
      </c>
      <c r="D153" s="185" t="s">
        <v>820</v>
      </c>
      <c r="E153" s="89">
        <v>75</v>
      </c>
      <c r="F153" s="187">
        <v>18</v>
      </c>
      <c r="G153" s="188">
        <v>0.25</v>
      </c>
      <c r="H153" s="188">
        <v>0.36</v>
      </c>
      <c r="I153" s="188">
        <v>0.6</v>
      </c>
      <c r="J153" s="188">
        <v>1.93</v>
      </c>
      <c r="K153" s="188">
        <v>0.04</v>
      </c>
      <c r="L153" s="188">
        <v>0.12</v>
      </c>
      <c r="M153" s="188">
        <v>0.01</v>
      </c>
      <c r="N153" s="188">
        <v>0.01</v>
      </c>
      <c r="O153" s="188">
        <v>0.65</v>
      </c>
      <c r="P153" s="188">
        <v>0.65</v>
      </c>
      <c r="Q153" s="188">
        <v>-0.11</v>
      </c>
      <c r="R153" s="188">
        <v>0.37</v>
      </c>
      <c r="S153" s="188">
        <v>0.03</v>
      </c>
      <c r="T153" s="188">
        <v>5.56</v>
      </c>
      <c r="U153" s="188">
        <v>6.43</v>
      </c>
      <c r="V153" s="188">
        <v>0.46</v>
      </c>
      <c r="W153" s="188"/>
      <c r="X153" s="89"/>
      <c r="Y153" s="187"/>
      <c r="Z153" s="187"/>
      <c r="AA153" s="187"/>
      <c r="AB153" s="187"/>
      <c r="AC153" s="187"/>
      <c r="AD153" s="189"/>
      <c r="AE153" s="188"/>
    </row>
    <row r="154" spans="1:31" ht="21.25" customHeight="1" x14ac:dyDescent="0.15">
      <c r="A154" s="10" t="s">
        <v>362</v>
      </c>
      <c r="B154" s="185" t="s">
        <v>847</v>
      </c>
      <c r="C154" s="186">
        <v>24</v>
      </c>
      <c r="D154" s="185" t="s">
        <v>844</v>
      </c>
      <c r="E154" s="89">
        <v>80</v>
      </c>
      <c r="F154" s="187">
        <v>16.7</v>
      </c>
      <c r="G154" s="188">
        <v>0.27</v>
      </c>
      <c r="H154" s="188">
        <v>0.42</v>
      </c>
      <c r="I154" s="188">
        <v>0.69</v>
      </c>
      <c r="J154" s="188">
        <v>2.33</v>
      </c>
      <c r="K154" s="188">
        <v>0.09</v>
      </c>
      <c r="L154" s="188">
        <v>0.21</v>
      </c>
      <c r="M154" s="188">
        <v>0</v>
      </c>
      <c r="N154" s="188">
        <v>0</v>
      </c>
      <c r="O154" s="188">
        <v>0.54</v>
      </c>
      <c r="P154" s="188">
        <v>0.89</v>
      </c>
      <c r="Q154" s="188">
        <v>0.03</v>
      </c>
      <c r="R154" s="188">
        <v>0.3</v>
      </c>
      <c r="S154" s="188">
        <v>0.04</v>
      </c>
      <c r="T154" s="188">
        <v>0.18</v>
      </c>
      <c r="U154" s="188">
        <v>0.31</v>
      </c>
      <c r="V154" s="188">
        <v>0.36</v>
      </c>
      <c r="W154" s="188"/>
      <c r="X154" s="89"/>
      <c r="Y154" s="187"/>
      <c r="Z154" s="187"/>
      <c r="AA154" s="187"/>
      <c r="AB154" s="187"/>
      <c r="AC154" s="187"/>
      <c r="AD154" s="189"/>
      <c r="AE154" s="188"/>
    </row>
    <row r="155" spans="1:31" ht="21.25" customHeight="1" x14ac:dyDescent="0.15">
      <c r="A155" s="10" t="s">
        <v>388</v>
      </c>
      <c r="B155" s="185" t="s">
        <v>865</v>
      </c>
      <c r="C155" s="186">
        <v>21</v>
      </c>
      <c r="D155" s="185" t="s">
        <v>822</v>
      </c>
      <c r="E155" s="89">
        <v>76</v>
      </c>
      <c r="F155" s="187">
        <v>15.5</v>
      </c>
      <c r="G155" s="188">
        <v>0.28999999999999998</v>
      </c>
      <c r="H155" s="188">
        <v>0.36</v>
      </c>
      <c r="I155" s="188">
        <v>0.65</v>
      </c>
      <c r="J155" s="188">
        <v>2.19</v>
      </c>
      <c r="K155" s="188">
        <v>0.06</v>
      </c>
      <c r="L155" s="188">
        <v>0.2</v>
      </c>
      <c r="M155" s="188">
        <v>0</v>
      </c>
      <c r="N155" s="188">
        <v>0</v>
      </c>
      <c r="O155" s="188">
        <v>0.39</v>
      </c>
      <c r="P155" s="188">
        <v>1.67</v>
      </c>
      <c r="Q155" s="188">
        <v>0.05</v>
      </c>
      <c r="R155" s="188">
        <v>0.57999999999999996</v>
      </c>
      <c r="S155" s="188">
        <v>0.04</v>
      </c>
      <c r="T155" s="188">
        <v>0.09</v>
      </c>
      <c r="U155" s="188">
        <v>0.06</v>
      </c>
      <c r="V155" s="188">
        <v>0.59</v>
      </c>
      <c r="W155" s="188"/>
      <c r="X155" s="89"/>
      <c r="Y155" s="188"/>
      <c r="Z155" s="188"/>
      <c r="AA155" s="188"/>
      <c r="AB155" s="188"/>
      <c r="AC155" s="187"/>
      <c r="AD155" s="189"/>
      <c r="AE155" s="188"/>
    </row>
    <row r="156" spans="1:31" ht="21.25" customHeight="1" x14ac:dyDescent="0.15">
      <c r="A156" s="10" t="s">
        <v>181</v>
      </c>
      <c r="B156" s="185" t="s">
        <v>833</v>
      </c>
      <c r="C156" s="186">
        <v>36</v>
      </c>
      <c r="D156" s="185" t="s">
        <v>823</v>
      </c>
      <c r="E156" s="89">
        <v>82</v>
      </c>
      <c r="F156" s="187">
        <v>22.2</v>
      </c>
      <c r="G156" s="188">
        <v>0.09</v>
      </c>
      <c r="H156" s="188">
        <v>0.54</v>
      </c>
      <c r="I156" s="188">
        <v>0.63</v>
      </c>
      <c r="J156" s="188">
        <v>1.97</v>
      </c>
      <c r="K156" s="188">
        <v>0.03</v>
      </c>
      <c r="L156" s="188">
        <v>0.21</v>
      </c>
      <c r="M156" s="188">
        <v>0</v>
      </c>
      <c r="N156" s="188">
        <v>0</v>
      </c>
      <c r="O156" s="188">
        <v>1.42</v>
      </c>
      <c r="P156" s="188">
        <v>0.59</v>
      </c>
      <c r="Q156" s="188">
        <v>0.1</v>
      </c>
      <c r="R156" s="188">
        <v>0.39</v>
      </c>
      <c r="S156" s="188">
        <v>0.02</v>
      </c>
      <c r="T156" s="188">
        <v>0</v>
      </c>
      <c r="U156" s="188">
        <v>0.01</v>
      </c>
      <c r="V156" s="188">
        <v>0</v>
      </c>
      <c r="W156" s="188"/>
      <c r="X156" s="89"/>
      <c r="Y156" s="187"/>
      <c r="Z156" s="187"/>
      <c r="AA156" s="187"/>
      <c r="AB156" s="187"/>
      <c r="AC156" s="187"/>
      <c r="AD156" s="189"/>
      <c r="AE156" s="188"/>
    </row>
    <row r="157" spans="1:31" ht="21.25" customHeight="1" x14ac:dyDescent="0.15">
      <c r="A157" s="10" t="s">
        <v>371</v>
      </c>
      <c r="B157" s="185" t="s">
        <v>859</v>
      </c>
      <c r="C157" s="186">
        <v>25</v>
      </c>
      <c r="D157" s="185" t="s">
        <v>820</v>
      </c>
      <c r="E157" s="89">
        <v>77</v>
      </c>
      <c r="F157" s="187">
        <v>18.5</v>
      </c>
      <c r="G157" s="188">
        <v>0.3</v>
      </c>
      <c r="H157" s="188">
        <v>0.33</v>
      </c>
      <c r="I157" s="188">
        <v>0.63</v>
      </c>
      <c r="J157" s="188">
        <v>2.16</v>
      </c>
      <c r="K157" s="188">
        <v>0.05</v>
      </c>
      <c r="L157" s="188">
        <v>0.08</v>
      </c>
      <c r="M157" s="188">
        <v>0.02</v>
      </c>
      <c r="N157" s="188">
        <v>0.05</v>
      </c>
      <c r="O157" s="188">
        <v>0.72</v>
      </c>
      <c r="P157" s="188">
        <v>1.2</v>
      </c>
      <c r="Q157" s="188">
        <v>0.04</v>
      </c>
      <c r="R157" s="188">
        <v>0.48</v>
      </c>
      <c r="S157" s="188">
        <v>0.05</v>
      </c>
      <c r="T157" s="188">
        <v>5.65</v>
      </c>
      <c r="U157" s="188">
        <v>5.43</v>
      </c>
      <c r="V157" s="188">
        <v>0.51</v>
      </c>
      <c r="W157" s="188"/>
      <c r="X157" s="89"/>
      <c r="Y157" s="187"/>
      <c r="Z157" s="187"/>
      <c r="AA157" s="187"/>
      <c r="AB157" s="187"/>
      <c r="AC157" s="187"/>
      <c r="AD157" s="189"/>
      <c r="AE157" s="188"/>
    </row>
    <row r="158" spans="1:31" ht="21.25" customHeight="1" x14ac:dyDescent="0.15">
      <c r="A158" s="10" t="s">
        <v>329</v>
      </c>
      <c r="B158" s="185" t="s">
        <v>856</v>
      </c>
      <c r="C158" s="186">
        <v>23</v>
      </c>
      <c r="D158" s="185" t="s">
        <v>822</v>
      </c>
      <c r="E158" s="89">
        <v>83</v>
      </c>
      <c r="F158" s="187">
        <v>16.5</v>
      </c>
      <c r="G158" s="188">
        <v>0.28000000000000003</v>
      </c>
      <c r="H158" s="188">
        <v>0.37</v>
      </c>
      <c r="I158" s="188">
        <v>0.65</v>
      </c>
      <c r="J158" s="188">
        <v>2.14</v>
      </c>
      <c r="K158" s="188">
        <v>0.06</v>
      </c>
      <c r="L158" s="188">
        <v>0.15</v>
      </c>
      <c r="M158" s="188">
        <v>0</v>
      </c>
      <c r="N158" s="188">
        <v>0</v>
      </c>
      <c r="O158" s="188">
        <v>0.44</v>
      </c>
      <c r="P158" s="188">
        <v>0.3</v>
      </c>
      <c r="Q158" s="188">
        <v>0.1</v>
      </c>
      <c r="R158" s="188">
        <v>0.46</v>
      </c>
      <c r="S158" s="188">
        <v>0.05</v>
      </c>
      <c r="T158" s="188">
        <v>0.03</v>
      </c>
      <c r="U158" s="188">
        <v>0.14000000000000001</v>
      </c>
      <c r="V158" s="188">
        <v>0.2</v>
      </c>
      <c r="W158" s="188"/>
      <c r="X158" s="89"/>
      <c r="Y158" s="187"/>
      <c r="Z158" s="187"/>
      <c r="AA158" s="187"/>
      <c r="AB158" s="187"/>
      <c r="AC158" s="187"/>
      <c r="AD158" s="189"/>
      <c r="AE158" s="188"/>
    </row>
    <row r="159" spans="1:31" ht="21.25" customHeight="1" x14ac:dyDescent="0.15">
      <c r="A159" s="10" t="s">
        <v>593</v>
      </c>
      <c r="B159" s="185" t="s">
        <v>843</v>
      </c>
      <c r="C159" s="186">
        <v>34</v>
      </c>
      <c r="D159" s="185" t="s">
        <v>842</v>
      </c>
      <c r="E159" s="89">
        <v>64</v>
      </c>
      <c r="F159" s="187">
        <v>15.2</v>
      </c>
      <c r="G159" s="188">
        <v>0.26</v>
      </c>
      <c r="H159" s="188">
        <v>0.35</v>
      </c>
      <c r="I159" s="188">
        <v>0.61</v>
      </c>
      <c r="J159" s="188">
        <v>1.52</v>
      </c>
      <c r="K159" s="188">
        <v>0.03</v>
      </c>
      <c r="L159" s="188">
        <v>7.0000000000000007E-2</v>
      </c>
      <c r="M159" s="188">
        <v>0</v>
      </c>
      <c r="N159" s="188">
        <v>0</v>
      </c>
      <c r="O159" s="188">
        <v>0.3</v>
      </c>
      <c r="P159" s="188">
        <v>0.69</v>
      </c>
      <c r="Q159" s="188">
        <v>0.08</v>
      </c>
      <c r="R159" s="188">
        <v>0.28000000000000003</v>
      </c>
      <c r="S159" s="188">
        <v>0.04</v>
      </c>
      <c r="T159" s="188">
        <v>4.3899999999999997</v>
      </c>
      <c r="U159" s="188">
        <v>3.63</v>
      </c>
      <c r="V159" s="188">
        <v>0.55000000000000004</v>
      </c>
      <c r="W159" s="188"/>
      <c r="X159" s="89"/>
      <c r="Y159" s="187"/>
      <c r="Z159" s="187"/>
      <c r="AA159" s="187"/>
      <c r="AB159" s="187"/>
      <c r="AC159" s="187"/>
      <c r="AD159" s="189"/>
      <c r="AE159" s="188"/>
    </row>
    <row r="160" spans="1:31" ht="21.25" customHeight="1" x14ac:dyDescent="0.15">
      <c r="A160" s="10" t="s">
        <v>360</v>
      </c>
      <c r="B160" s="185" t="s">
        <v>849</v>
      </c>
      <c r="C160" s="186">
        <v>24</v>
      </c>
      <c r="D160" s="185" t="s">
        <v>820</v>
      </c>
      <c r="E160" s="89">
        <v>80</v>
      </c>
      <c r="F160" s="187">
        <v>17.5</v>
      </c>
      <c r="G160" s="188">
        <v>0.25</v>
      </c>
      <c r="H160" s="188">
        <v>0.38</v>
      </c>
      <c r="I160" s="188">
        <v>0.63</v>
      </c>
      <c r="J160" s="188">
        <v>2.0699999999999998</v>
      </c>
      <c r="K160" s="188">
        <v>0.04</v>
      </c>
      <c r="L160" s="188">
        <v>0.14000000000000001</v>
      </c>
      <c r="M160" s="188">
        <v>0.01</v>
      </c>
      <c r="N160" s="188">
        <v>0.02</v>
      </c>
      <c r="O160" s="188">
        <v>0.55000000000000004</v>
      </c>
      <c r="P160" s="188">
        <v>1.18</v>
      </c>
      <c r="Q160" s="188">
        <v>0.05</v>
      </c>
      <c r="R160" s="188">
        <v>0.44</v>
      </c>
      <c r="S160" s="188">
        <v>0.04</v>
      </c>
      <c r="T160" s="188">
        <v>8.02</v>
      </c>
      <c r="U160" s="188">
        <v>7.12</v>
      </c>
      <c r="V160" s="188">
        <v>0.53</v>
      </c>
      <c r="W160" s="188"/>
      <c r="X160" s="89"/>
      <c r="Y160" s="187"/>
      <c r="Z160" s="187"/>
      <c r="AA160" s="187"/>
      <c r="AB160" s="187"/>
      <c r="AC160" s="187"/>
      <c r="AD160" s="189"/>
      <c r="AE160" s="188"/>
    </row>
    <row r="161" spans="1:31" ht="21.25" customHeight="1" x14ac:dyDescent="0.15">
      <c r="A161" s="10" t="s">
        <v>401</v>
      </c>
      <c r="B161" s="185" t="s">
        <v>858</v>
      </c>
      <c r="C161" s="186">
        <v>25</v>
      </c>
      <c r="D161" s="185" t="s">
        <v>822</v>
      </c>
      <c r="E161" s="89">
        <v>77</v>
      </c>
      <c r="F161" s="187">
        <v>15.8</v>
      </c>
      <c r="G161" s="188">
        <v>0.25</v>
      </c>
      <c r="H161" s="188">
        <v>0.39</v>
      </c>
      <c r="I161" s="188">
        <v>0.64</v>
      </c>
      <c r="J161" s="188">
        <v>2.27</v>
      </c>
      <c r="K161" s="188">
        <v>0.06</v>
      </c>
      <c r="L161" s="188">
        <v>0.19</v>
      </c>
      <c r="M161" s="188">
        <v>0</v>
      </c>
      <c r="N161" s="188">
        <v>0</v>
      </c>
      <c r="O161" s="188">
        <v>0.34</v>
      </c>
      <c r="P161" s="188">
        <v>0.66</v>
      </c>
      <c r="Q161" s="188">
        <v>0.01</v>
      </c>
      <c r="R161" s="188">
        <v>0.28000000000000003</v>
      </c>
      <c r="S161" s="188">
        <v>0.04</v>
      </c>
      <c r="T161" s="188">
        <v>0.03</v>
      </c>
      <c r="U161" s="188">
        <v>0.12</v>
      </c>
      <c r="V161" s="188">
        <v>0.22</v>
      </c>
      <c r="W161" s="188"/>
      <c r="X161" s="89"/>
      <c r="Y161" s="187"/>
      <c r="Z161" s="187"/>
      <c r="AA161" s="187"/>
      <c r="AB161" s="187"/>
      <c r="AC161" s="187"/>
      <c r="AD161" s="189"/>
      <c r="AE161" s="188"/>
    </row>
    <row r="162" spans="1:31" ht="21.25" customHeight="1" x14ac:dyDescent="0.15">
      <c r="A162" s="10" t="s">
        <v>306</v>
      </c>
      <c r="B162" s="185" t="s">
        <v>840</v>
      </c>
      <c r="C162" s="186">
        <v>32</v>
      </c>
      <c r="D162" s="185" t="s">
        <v>842</v>
      </c>
      <c r="E162" s="89">
        <v>80</v>
      </c>
      <c r="F162" s="187">
        <v>17.600000000000001</v>
      </c>
      <c r="G162" s="188">
        <v>0.31</v>
      </c>
      <c r="H162" s="188">
        <v>0.31</v>
      </c>
      <c r="I162" s="188">
        <v>0.62</v>
      </c>
      <c r="J162" s="188">
        <v>2.52</v>
      </c>
      <c r="K162" s="188">
        <v>0.12</v>
      </c>
      <c r="L162" s="188">
        <v>0.21</v>
      </c>
      <c r="M162" s="188">
        <v>0</v>
      </c>
      <c r="N162" s="188">
        <v>0</v>
      </c>
      <c r="O162" s="188">
        <v>0.98</v>
      </c>
      <c r="P162" s="188">
        <v>0.93</v>
      </c>
      <c r="Q162" s="188">
        <v>0.04</v>
      </c>
      <c r="R162" s="188">
        <v>0.69</v>
      </c>
      <c r="S162" s="188">
        <v>0.05</v>
      </c>
      <c r="T162" s="188">
        <v>6.46</v>
      </c>
      <c r="U162" s="188">
        <v>7.45</v>
      </c>
      <c r="V162" s="188">
        <v>0.46</v>
      </c>
      <c r="W162" s="188"/>
      <c r="X162" s="89"/>
      <c r="Y162" s="187"/>
      <c r="Z162" s="187"/>
      <c r="AA162" s="187"/>
      <c r="AB162" s="187"/>
      <c r="AC162" s="187"/>
      <c r="AD162" s="189"/>
      <c r="AE162" s="188"/>
    </row>
    <row r="163" spans="1:31" ht="21.25" customHeight="1" x14ac:dyDescent="0.15">
      <c r="A163" s="10" t="s">
        <v>398</v>
      </c>
      <c r="B163" s="185" t="s">
        <v>866</v>
      </c>
      <c r="C163" s="186">
        <v>36</v>
      </c>
      <c r="D163" s="185" t="s">
        <v>822</v>
      </c>
      <c r="E163" s="89">
        <v>78</v>
      </c>
      <c r="F163" s="187">
        <v>18</v>
      </c>
      <c r="G163" s="188">
        <v>0.26</v>
      </c>
      <c r="H163" s="188">
        <v>0.35</v>
      </c>
      <c r="I163" s="188">
        <v>0.6</v>
      </c>
      <c r="J163" s="188">
        <v>2</v>
      </c>
      <c r="K163" s="188">
        <v>0.05</v>
      </c>
      <c r="L163" s="188">
        <v>0.17</v>
      </c>
      <c r="M163" s="188">
        <v>0</v>
      </c>
      <c r="N163" s="188">
        <v>0</v>
      </c>
      <c r="O163" s="188">
        <v>0.51</v>
      </c>
      <c r="P163" s="188">
        <v>0.63</v>
      </c>
      <c r="Q163" s="188">
        <v>-7.0000000000000007E-2</v>
      </c>
      <c r="R163" s="188">
        <v>0.34</v>
      </c>
      <c r="S163" s="188">
        <v>0.03</v>
      </c>
      <c r="T163" s="188">
        <v>0.19</v>
      </c>
      <c r="U163" s="188">
        <v>0.28999999999999998</v>
      </c>
      <c r="V163" s="188">
        <v>0.39</v>
      </c>
      <c r="W163" s="188"/>
      <c r="X163" s="89"/>
      <c r="Y163" s="187"/>
      <c r="Z163" s="187"/>
      <c r="AA163" s="187"/>
      <c r="AB163" s="187"/>
      <c r="AC163" s="187"/>
      <c r="AD163" s="189"/>
      <c r="AE163" s="188"/>
    </row>
    <row r="164" spans="1:31" ht="21.25" customHeight="1" x14ac:dyDescent="0.15">
      <c r="A164" s="10" t="s">
        <v>440</v>
      </c>
      <c r="B164" s="185" t="s">
        <v>858</v>
      </c>
      <c r="C164" s="186">
        <v>27</v>
      </c>
      <c r="D164" s="185" t="s">
        <v>820</v>
      </c>
      <c r="E164" s="89">
        <v>83</v>
      </c>
      <c r="F164" s="187">
        <v>17.3</v>
      </c>
      <c r="G164" s="188">
        <v>0.21</v>
      </c>
      <c r="H164" s="188">
        <v>0.43</v>
      </c>
      <c r="I164" s="188">
        <v>0.64</v>
      </c>
      <c r="J164" s="188">
        <v>1.29</v>
      </c>
      <c r="K164" s="188">
        <v>0.01</v>
      </c>
      <c r="L164" s="188">
        <v>0.08</v>
      </c>
      <c r="M164" s="188">
        <v>0.04</v>
      </c>
      <c r="N164" s="188">
        <v>0.06</v>
      </c>
      <c r="O164" s="188">
        <v>0.44</v>
      </c>
      <c r="P164" s="188">
        <v>0.33</v>
      </c>
      <c r="Q164" s="188">
        <v>0.03</v>
      </c>
      <c r="R164" s="188">
        <v>0.23</v>
      </c>
      <c r="S164" s="188">
        <v>0.03</v>
      </c>
      <c r="T164" s="188">
        <v>7.49</v>
      </c>
      <c r="U164" s="188">
        <v>7.51</v>
      </c>
      <c r="V164" s="188">
        <v>0.5</v>
      </c>
      <c r="W164" s="188"/>
      <c r="X164" s="89"/>
      <c r="Y164" s="187"/>
      <c r="Z164" s="187"/>
      <c r="AA164" s="187"/>
      <c r="AB164" s="187"/>
      <c r="AC164" s="187"/>
      <c r="AD164" s="189"/>
      <c r="AE164" s="188"/>
    </row>
    <row r="165" spans="1:31" ht="21.25" customHeight="1" x14ac:dyDescent="0.15">
      <c r="A165" s="10" t="s">
        <v>383</v>
      </c>
      <c r="B165" s="185" t="s">
        <v>849</v>
      </c>
      <c r="C165" s="186">
        <v>31</v>
      </c>
      <c r="D165" s="185" t="s">
        <v>821</v>
      </c>
      <c r="E165" s="89">
        <v>82</v>
      </c>
      <c r="F165" s="187">
        <v>16</v>
      </c>
      <c r="G165" s="188">
        <v>0.27</v>
      </c>
      <c r="H165" s="188">
        <v>0.35</v>
      </c>
      <c r="I165" s="188">
        <v>0.62</v>
      </c>
      <c r="J165" s="188">
        <v>2.3199999999999998</v>
      </c>
      <c r="K165" s="188">
        <v>0.05</v>
      </c>
      <c r="L165" s="188">
        <v>0.13</v>
      </c>
      <c r="M165" s="188">
        <v>0</v>
      </c>
      <c r="N165" s="188">
        <v>0</v>
      </c>
      <c r="O165" s="188">
        <v>0.3</v>
      </c>
      <c r="P165" s="188">
        <v>0.9</v>
      </c>
      <c r="Q165" s="188">
        <v>0.06</v>
      </c>
      <c r="R165" s="188">
        <v>0.39</v>
      </c>
      <c r="S165" s="188">
        <v>0.04</v>
      </c>
      <c r="T165" s="188">
        <v>0.43</v>
      </c>
      <c r="U165" s="188">
        <v>0.73</v>
      </c>
      <c r="V165" s="188">
        <v>0.37</v>
      </c>
      <c r="W165" s="188"/>
      <c r="X165" s="89"/>
      <c r="Y165" s="187"/>
      <c r="Z165" s="187"/>
      <c r="AA165" s="187"/>
      <c r="AB165" s="187"/>
      <c r="AC165" s="187"/>
      <c r="AD165" s="189"/>
      <c r="AE165" s="188"/>
    </row>
    <row r="166" spans="1:31" ht="21.25" customHeight="1" x14ac:dyDescent="0.15">
      <c r="A166" s="10" t="s">
        <v>353</v>
      </c>
      <c r="B166" s="185" t="s">
        <v>856</v>
      </c>
      <c r="C166" s="186">
        <v>23</v>
      </c>
      <c r="D166" s="185" t="s">
        <v>842</v>
      </c>
      <c r="E166" s="89">
        <v>82</v>
      </c>
      <c r="F166" s="187">
        <v>16.5</v>
      </c>
      <c r="G166" s="188">
        <v>0.26</v>
      </c>
      <c r="H166" s="188">
        <v>0.35</v>
      </c>
      <c r="I166" s="188">
        <v>0.61</v>
      </c>
      <c r="J166" s="188">
        <v>2.27</v>
      </c>
      <c r="K166" s="188">
        <v>0.06</v>
      </c>
      <c r="L166" s="188">
        <v>0.14000000000000001</v>
      </c>
      <c r="M166" s="188">
        <v>0</v>
      </c>
      <c r="N166" s="188">
        <v>0</v>
      </c>
      <c r="O166" s="188">
        <v>0.35</v>
      </c>
      <c r="P166" s="188">
        <v>0.69</v>
      </c>
      <c r="Q166" s="188">
        <v>0.1</v>
      </c>
      <c r="R166" s="188">
        <v>0.28000000000000003</v>
      </c>
      <c r="S166" s="188">
        <v>0.04</v>
      </c>
      <c r="T166" s="188">
        <v>4.72</v>
      </c>
      <c r="U166" s="188">
        <v>5.44</v>
      </c>
      <c r="V166" s="188">
        <v>0.46</v>
      </c>
      <c r="W166" s="188"/>
      <c r="X166" s="89"/>
      <c r="Y166" s="187"/>
      <c r="Z166" s="187"/>
      <c r="AA166" s="187"/>
      <c r="AB166" s="187"/>
      <c r="AC166" s="187"/>
      <c r="AD166" s="189"/>
      <c r="AE166" s="188"/>
    </row>
    <row r="167" spans="1:31" ht="21.25" customHeight="1" x14ac:dyDescent="0.15">
      <c r="A167" s="10" t="s">
        <v>199</v>
      </c>
      <c r="B167" s="185" t="s">
        <v>850</v>
      </c>
      <c r="C167" s="186">
        <v>25</v>
      </c>
      <c r="D167" s="185" t="s">
        <v>823</v>
      </c>
      <c r="E167" s="89">
        <v>83</v>
      </c>
      <c r="F167" s="187">
        <v>25.5</v>
      </c>
      <c r="G167" s="188">
        <v>0.14000000000000001</v>
      </c>
      <c r="H167" s="188">
        <v>0.47</v>
      </c>
      <c r="I167" s="188">
        <v>0.61</v>
      </c>
      <c r="J167" s="188">
        <v>1.61</v>
      </c>
      <c r="K167" s="188">
        <v>0.02</v>
      </c>
      <c r="L167" s="188">
        <v>0.15</v>
      </c>
      <c r="M167" s="188">
        <v>0</v>
      </c>
      <c r="N167" s="188">
        <v>0.01</v>
      </c>
      <c r="O167" s="188">
        <v>1.39</v>
      </c>
      <c r="P167" s="188">
        <v>0.8</v>
      </c>
      <c r="Q167" s="188">
        <v>-0.09</v>
      </c>
      <c r="R167" s="188">
        <v>0.6</v>
      </c>
      <c r="S167" s="188">
        <v>0.02</v>
      </c>
      <c r="T167" s="188">
        <v>0</v>
      </c>
      <c r="U167" s="188">
        <v>0</v>
      </c>
      <c r="V167" s="188">
        <v>0</v>
      </c>
      <c r="W167" s="188"/>
      <c r="X167" s="89"/>
      <c r="Y167" s="187"/>
      <c r="Z167" s="187"/>
      <c r="AA167" s="187"/>
      <c r="AB167" s="187"/>
      <c r="AC167" s="187"/>
      <c r="AD167" s="189"/>
      <c r="AE167" s="188"/>
    </row>
    <row r="168" spans="1:31" ht="21.25" customHeight="1" x14ac:dyDescent="0.15">
      <c r="A168" s="10" t="s">
        <v>386</v>
      </c>
      <c r="B168" s="185" t="s">
        <v>852</v>
      </c>
      <c r="C168" s="186">
        <v>33</v>
      </c>
      <c r="D168" s="185" t="s">
        <v>820</v>
      </c>
      <c r="E168" s="89">
        <v>81</v>
      </c>
      <c r="F168" s="187">
        <v>17.7</v>
      </c>
      <c r="G168" s="188">
        <v>0.22</v>
      </c>
      <c r="H168" s="188">
        <v>0.37</v>
      </c>
      <c r="I168" s="188">
        <v>0.59</v>
      </c>
      <c r="J168" s="188">
        <v>1.6</v>
      </c>
      <c r="K168" s="188">
        <v>0.03</v>
      </c>
      <c r="L168" s="188">
        <v>0.11</v>
      </c>
      <c r="M168" s="188">
        <v>0.03</v>
      </c>
      <c r="N168" s="188">
        <v>0.04</v>
      </c>
      <c r="O168" s="188">
        <v>0.71</v>
      </c>
      <c r="P168" s="188">
        <v>2.19</v>
      </c>
      <c r="Q168" s="188">
        <v>0</v>
      </c>
      <c r="R168" s="188">
        <v>0.55000000000000004</v>
      </c>
      <c r="S168" s="188">
        <v>0.04</v>
      </c>
      <c r="T168" s="188">
        <v>8.52</v>
      </c>
      <c r="U168" s="188">
        <v>6.09</v>
      </c>
      <c r="V168" s="188">
        <v>0.57999999999999996</v>
      </c>
      <c r="W168" s="188"/>
      <c r="X168" s="89"/>
      <c r="Y168" s="187"/>
      <c r="Z168" s="187"/>
      <c r="AA168" s="187"/>
      <c r="AB168" s="187"/>
      <c r="AC168" s="187"/>
      <c r="AD168" s="189"/>
      <c r="AE168" s="188"/>
    </row>
    <row r="169" spans="1:31" ht="21.25" customHeight="1" x14ac:dyDescent="0.15">
      <c r="A169" s="10" t="s">
        <v>462</v>
      </c>
      <c r="B169" s="185" t="s">
        <v>834</v>
      </c>
      <c r="C169" s="186">
        <v>31</v>
      </c>
      <c r="D169" s="185" t="s">
        <v>844</v>
      </c>
      <c r="E169" s="89">
        <v>76</v>
      </c>
      <c r="F169" s="187">
        <v>17.5</v>
      </c>
      <c r="G169" s="188">
        <v>0.28999999999999998</v>
      </c>
      <c r="H169" s="188">
        <v>0.31</v>
      </c>
      <c r="I169" s="188">
        <v>0.6</v>
      </c>
      <c r="J169" s="188">
        <v>2.0099999999999998</v>
      </c>
      <c r="K169" s="188">
        <v>0.02</v>
      </c>
      <c r="L169" s="188">
        <v>0.05</v>
      </c>
      <c r="M169" s="188">
        <v>0</v>
      </c>
      <c r="N169" s="188">
        <v>0</v>
      </c>
      <c r="O169" s="188">
        <v>0.48</v>
      </c>
      <c r="P169" s="188">
        <v>0.63</v>
      </c>
      <c r="Q169" s="188">
        <v>0.13</v>
      </c>
      <c r="R169" s="188">
        <v>0.33</v>
      </c>
      <c r="S169" s="188">
        <v>0.05</v>
      </c>
      <c r="T169" s="188">
        <v>0.08</v>
      </c>
      <c r="U169" s="188">
        <v>0.2</v>
      </c>
      <c r="V169" s="188">
        <v>0.28999999999999998</v>
      </c>
      <c r="W169" s="188"/>
      <c r="X169" s="89"/>
      <c r="Y169" s="188"/>
      <c r="Z169" s="188"/>
      <c r="AA169" s="188"/>
      <c r="AB169" s="188"/>
      <c r="AC169" s="187"/>
      <c r="AD169" s="189"/>
      <c r="AE169" s="188"/>
    </row>
    <row r="170" spans="1:31" ht="21.25" customHeight="1" x14ac:dyDescent="0.15">
      <c r="A170" s="10" t="s">
        <v>410</v>
      </c>
      <c r="B170" s="185" t="s">
        <v>866</v>
      </c>
      <c r="C170" s="186">
        <v>32</v>
      </c>
      <c r="D170" s="185" t="s">
        <v>820</v>
      </c>
      <c r="E170" s="89">
        <v>82</v>
      </c>
      <c r="F170" s="187">
        <v>19.3</v>
      </c>
      <c r="G170" s="188">
        <v>0.18</v>
      </c>
      <c r="H170" s="188">
        <v>0.42</v>
      </c>
      <c r="I170" s="188">
        <v>0.6</v>
      </c>
      <c r="J170" s="188">
        <v>1.2</v>
      </c>
      <c r="K170" s="188">
        <v>0.05</v>
      </c>
      <c r="L170" s="188">
        <v>0.2</v>
      </c>
      <c r="M170" s="188">
        <v>0.01</v>
      </c>
      <c r="N170" s="188">
        <v>0.02</v>
      </c>
      <c r="O170" s="188">
        <v>0.68</v>
      </c>
      <c r="P170" s="188">
        <v>0.39</v>
      </c>
      <c r="Q170" s="188">
        <v>-0.15</v>
      </c>
      <c r="R170" s="188">
        <v>0.27</v>
      </c>
      <c r="S170" s="188">
        <v>0.03</v>
      </c>
      <c r="T170" s="188">
        <v>9.25</v>
      </c>
      <c r="U170" s="188">
        <v>8.52</v>
      </c>
      <c r="V170" s="188">
        <v>0.52</v>
      </c>
      <c r="W170" s="188"/>
      <c r="X170" s="89"/>
      <c r="Y170" s="187"/>
      <c r="Z170" s="187"/>
      <c r="AA170" s="187"/>
      <c r="AB170" s="187"/>
      <c r="AC170" s="187"/>
      <c r="AD170" s="189"/>
      <c r="AE170" s="188"/>
    </row>
    <row r="171" spans="1:31" ht="21.25" customHeight="1" x14ac:dyDescent="0.15">
      <c r="A171" s="10" t="s">
        <v>405</v>
      </c>
      <c r="B171" s="185" t="s">
        <v>854</v>
      </c>
      <c r="C171" s="186">
        <v>31</v>
      </c>
      <c r="D171" s="185" t="s">
        <v>848</v>
      </c>
      <c r="E171" s="89">
        <v>83</v>
      </c>
      <c r="F171" s="187">
        <v>17.100000000000001</v>
      </c>
      <c r="G171" s="188">
        <v>0.24</v>
      </c>
      <c r="H171" s="188">
        <v>0.35</v>
      </c>
      <c r="I171" s="188">
        <v>0.59</v>
      </c>
      <c r="J171" s="188">
        <v>1.78</v>
      </c>
      <c r="K171" s="188">
        <v>0.04</v>
      </c>
      <c r="L171" s="188">
        <v>0.14000000000000001</v>
      </c>
      <c r="M171" s="188">
        <v>0.01</v>
      </c>
      <c r="N171" s="188">
        <v>0.02</v>
      </c>
      <c r="O171" s="188">
        <v>0.45</v>
      </c>
      <c r="P171" s="188">
        <v>0.47</v>
      </c>
      <c r="Q171" s="188">
        <v>-0.01</v>
      </c>
      <c r="R171" s="188">
        <v>0.35</v>
      </c>
      <c r="S171" s="188">
        <v>0.03</v>
      </c>
      <c r="T171" s="188">
        <v>1.03</v>
      </c>
      <c r="U171" s="188">
        <v>1.51</v>
      </c>
      <c r="V171" s="188">
        <v>0.4</v>
      </c>
      <c r="W171" s="188"/>
      <c r="X171" s="89"/>
      <c r="Y171" s="188"/>
      <c r="Z171" s="188"/>
      <c r="AA171" s="188"/>
      <c r="AB171" s="188"/>
      <c r="AC171" s="187"/>
      <c r="AD171" s="189"/>
      <c r="AE171" s="188"/>
    </row>
    <row r="172" spans="1:31" ht="21.25" customHeight="1" x14ac:dyDescent="0.15">
      <c r="A172" s="10" t="s">
        <v>452</v>
      </c>
      <c r="B172" s="185" t="s">
        <v>862</v>
      </c>
      <c r="C172" s="186">
        <v>21</v>
      </c>
      <c r="D172" s="185" t="s">
        <v>842</v>
      </c>
      <c r="E172" s="89">
        <v>77</v>
      </c>
      <c r="F172" s="187">
        <v>16.2</v>
      </c>
      <c r="G172" s="188">
        <v>0.26</v>
      </c>
      <c r="H172" s="188">
        <v>0.34</v>
      </c>
      <c r="I172" s="188">
        <v>0.6</v>
      </c>
      <c r="J172" s="188">
        <v>1.62</v>
      </c>
      <c r="K172" s="188">
        <v>0.1</v>
      </c>
      <c r="L172" s="188">
        <v>0.24</v>
      </c>
      <c r="M172" s="188">
        <v>0</v>
      </c>
      <c r="N172" s="188">
        <v>0</v>
      </c>
      <c r="O172" s="188">
        <v>0.56000000000000005</v>
      </c>
      <c r="P172" s="188">
        <v>0.47</v>
      </c>
      <c r="Q172" s="188">
        <v>-7.0000000000000007E-2</v>
      </c>
      <c r="R172" s="188">
        <v>0.4</v>
      </c>
      <c r="S172" s="188">
        <v>0.04</v>
      </c>
      <c r="T172" s="188">
        <v>2.1</v>
      </c>
      <c r="U172" s="188">
        <v>3.53</v>
      </c>
      <c r="V172" s="188">
        <v>0.37</v>
      </c>
      <c r="W172" s="188"/>
      <c r="X172" s="89"/>
      <c r="Y172" s="188"/>
      <c r="Z172" s="188"/>
      <c r="AA172" s="188"/>
      <c r="AB172" s="188"/>
      <c r="AC172" s="187"/>
      <c r="AD172" s="189"/>
      <c r="AE172" s="188"/>
    </row>
    <row r="173" spans="1:31" ht="21.25" customHeight="1" x14ac:dyDescent="0.15">
      <c r="A173" s="10" t="s">
        <v>499</v>
      </c>
      <c r="B173" s="185" t="s">
        <v>836</v>
      </c>
      <c r="C173" s="186">
        <v>20</v>
      </c>
      <c r="D173" s="185" t="s">
        <v>844</v>
      </c>
      <c r="E173" s="89">
        <v>74</v>
      </c>
      <c r="F173" s="187">
        <v>14.9</v>
      </c>
      <c r="G173" s="188">
        <v>0.34</v>
      </c>
      <c r="H173" s="188">
        <v>0.42</v>
      </c>
      <c r="I173" s="188">
        <v>0.76</v>
      </c>
      <c r="J173" s="188">
        <v>1.93</v>
      </c>
      <c r="K173" s="188">
        <v>0.14000000000000001</v>
      </c>
      <c r="L173" s="188">
        <v>0.28999999999999998</v>
      </c>
      <c r="M173" s="188">
        <v>0</v>
      </c>
      <c r="N173" s="188">
        <v>0</v>
      </c>
      <c r="O173" s="188">
        <v>0.45</v>
      </c>
      <c r="P173" s="188">
        <v>0.72</v>
      </c>
      <c r="Q173" s="188">
        <v>-0.02</v>
      </c>
      <c r="R173" s="188">
        <v>0.3</v>
      </c>
      <c r="S173" s="188">
        <v>0.05</v>
      </c>
      <c r="T173" s="188">
        <v>0</v>
      </c>
      <c r="U173" s="188">
        <v>0</v>
      </c>
      <c r="V173" s="188">
        <v>0</v>
      </c>
      <c r="W173" s="188"/>
      <c r="X173" s="89"/>
      <c r="Y173" s="187"/>
      <c r="Z173" s="187"/>
      <c r="AA173" s="187"/>
      <c r="AB173" s="187"/>
      <c r="AC173" s="187"/>
      <c r="AD173" s="189"/>
      <c r="AE173" s="188"/>
    </row>
    <row r="174" spans="1:31" ht="21.25" customHeight="1" x14ac:dyDescent="0.15">
      <c r="A174" s="10" t="s">
        <v>519</v>
      </c>
      <c r="B174" s="185" t="s">
        <v>838</v>
      </c>
      <c r="C174" s="186">
        <v>19</v>
      </c>
      <c r="D174" s="185" t="s">
        <v>844</v>
      </c>
      <c r="E174" s="89">
        <v>74</v>
      </c>
      <c r="F174" s="187">
        <v>13.9</v>
      </c>
      <c r="G174" s="188">
        <v>0.32</v>
      </c>
      <c r="H174" s="188">
        <v>0.33</v>
      </c>
      <c r="I174" s="188">
        <v>0.65</v>
      </c>
      <c r="J174" s="188">
        <v>1.73</v>
      </c>
      <c r="K174" s="188">
        <v>0.04</v>
      </c>
      <c r="L174" s="188">
        <v>0.08</v>
      </c>
      <c r="M174" s="188">
        <v>0</v>
      </c>
      <c r="N174" s="188">
        <v>0</v>
      </c>
      <c r="O174" s="188">
        <v>0.52</v>
      </c>
      <c r="P174" s="188">
        <v>0.76</v>
      </c>
      <c r="Q174" s="188">
        <v>0.02</v>
      </c>
      <c r="R174" s="188">
        <v>0.5</v>
      </c>
      <c r="S174" s="188">
        <v>0.05</v>
      </c>
      <c r="T174" s="188">
        <v>0.14000000000000001</v>
      </c>
      <c r="U174" s="188">
        <v>0.33</v>
      </c>
      <c r="V174" s="188">
        <v>0.3</v>
      </c>
      <c r="W174" s="188"/>
      <c r="X174" s="89"/>
      <c r="Y174" s="187"/>
      <c r="Z174" s="187"/>
      <c r="AA174" s="187"/>
      <c r="AB174" s="187"/>
      <c r="AC174" s="187"/>
      <c r="AD174" s="189"/>
      <c r="AE174" s="188"/>
    </row>
    <row r="175" spans="1:31" ht="21.25" customHeight="1" x14ac:dyDescent="0.15">
      <c r="A175" s="10" t="s">
        <v>217</v>
      </c>
      <c r="B175" s="185" t="s">
        <v>864</v>
      </c>
      <c r="C175" s="186">
        <v>28</v>
      </c>
      <c r="D175" s="185" t="s">
        <v>823</v>
      </c>
      <c r="E175" s="89">
        <v>81</v>
      </c>
      <c r="F175" s="187">
        <v>25.2</v>
      </c>
      <c r="G175" s="188">
        <v>0.09</v>
      </c>
      <c r="H175" s="188">
        <v>0.5</v>
      </c>
      <c r="I175" s="188">
        <v>0.6</v>
      </c>
      <c r="J175" s="188">
        <v>1.68</v>
      </c>
      <c r="K175" s="188">
        <v>0.03</v>
      </c>
      <c r="L175" s="188">
        <v>0.18</v>
      </c>
      <c r="M175" s="188">
        <v>0</v>
      </c>
      <c r="N175" s="188">
        <v>0</v>
      </c>
      <c r="O175" s="188">
        <v>1.34</v>
      </c>
      <c r="P175" s="188">
        <v>1.45</v>
      </c>
      <c r="Q175" s="188">
        <v>-0.1</v>
      </c>
      <c r="R175" s="188">
        <v>0.48</v>
      </c>
      <c r="S175" s="188">
        <v>0.01</v>
      </c>
      <c r="T175" s="188">
        <v>0</v>
      </c>
      <c r="U175" s="188">
        <v>0</v>
      </c>
      <c r="V175" s="188">
        <v>0.28000000000000003</v>
      </c>
      <c r="W175" s="188"/>
      <c r="X175" s="89"/>
      <c r="Y175" s="187"/>
      <c r="Z175" s="187"/>
      <c r="AA175" s="187"/>
      <c r="AB175" s="187"/>
      <c r="AC175" s="187"/>
      <c r="AD175" s="189"/>
      <c r="AE175" s="188"/>
    </row>
    <row r="176" spans="1:31" ht="21.25" customHeight="1" x14ac:dyDescent="0.15">
      <c r="A176" s="10" t="s">
        <v>409</v>
      </c>
      <c r="B176" s="185" t="s">
        <v>862</v>
      </c>
      <c r="C176" s="186">
        <v>35</v>
      </c>
      <c r="D176" s="185" t="s">
        <v>822</v>
      </c>
      <c r="E176" s="89">
        <v>74</v>
      </c>
      <c r="F176" s="187">
        <v>17.8</v>
      </c>
      <c r="G176" s="188">
        <v>0.26</v>
      </c>
      <c r="H176" s="188">
        <v>0.33</v>
      </c>
      <c r="I176" s="188">
        <v>0.59</v>
      </c>
      <c r="J176" s="188">
        <v>2.42</v>
      </c>
      <c r="K176" s="188">
        <v>0.08</v>
      </c>
      <c r="L176" s="188">
        <v>0.19</v>
      </c>
      <c r="M176" s="188">
        <v>0.01</v>
      </c>
      <c r="N176" s="188">
        <v>0.01</v>
      </c>
      <c r="O176" s="188">
        <v>0.47</v>
      </c>
      <c r="P176" s="188">
        <v>0.75</v>
      </c>
      <c r="Q176" s="188">
        <v>-0.05</v>
      </c>
      <c r="R176" s="188">
        <v>0.32</v>
      </c>
      <c r="S176" s="188">
        <v>0.04</v>
      </c>
      <c r="T176" s="188">
        <v>0.12</v>
      </c>
      <c r="U176" s="188">
        <v>0.17</v>
      </c>
      <c r="V176" s="188">
        <v>0.41</v>
      </c>
      <c r="W176" s="188"/>
      <c r="X176" s="89"/>
      <c r="Y176" s="187"/>
      <c r="Z176" s="187"/>
      <c r="AA176" s="187"/>
      <c r="AB176" s="187"/>
      <c r="AC176" s="187"/>
      <c r="AD176" s="189"/>
      <c r="AE176" s="188"/>
    </row>
    <row r="177" spans="1:31" ht="21.25" customHeight="1" x14ac:dyDescent="0.15">
      <c r="A177" s="10" t="s">
        <v>430</v>
      </c>
      <c r="B177" s="185" t="s">
        <v>867</v>
      </c>
      <c r="C177" s="186">
        <v>33</v>
      </c>
      <c r="D177" s="185" t="s">
        <v>844</v>
      </c>
      <c r="E177" s="89">
        <v>67</v>
      </c>
      <c r="F177" s="187">
        <v>18.2</v>
      </c>
      <c r="G177" s="188">
        <v>0.23</v>
      </c>
      <c r="H177" s="188">
        <v>0.36</v>
      </c>
      <c r="I177" s="188">
        <v>0.59</v>
      </c>
      <c r="J177" s="188">
        <v>1.75</v>
      </c>
      <c r="K177" s="188">
        <v>7.0000000000000007E-2</v>
      </c>
      <c r="L177" s="188">
        <v>0.19</v>
      </c>
      <c r="M177" s="188">
        <v>0.01</v>
      </c>
      <c r="N177" s="188">
        <v>0.02</v>
      </c>
      <c r="O177" s="188">
        <v>0.64</v>
      </c>
      <c r="P177" s="188">
        <v>0.66</v>
      </c>
      <c r="Q177" s="188">
        <v>-0.1</v>
      </c>
      <c r="R177" s="188">
        <v>0.48</v>
      </c>
      <c r="S177" s="188">
        <v>0.03</v>
      </c>
      <c r="T177" s="188">
        <v>0.16</v>
      </c>
      <c r="U177" s="188">
        <v>0.23</v>
      </c>
      <c r="V177" s="188">
        <v>0.41</v>
      </c>
      <c r="W177" s="188"/>
      <c r="X177" s="89"/>
      <c r="Y177" s="187"/>
      <c r="Z177" s="187"/>
      <c r="AA177" s="187"/>
      <c r="AB177" s="187"/>
      <c r="AC177" s="187"/>
      <c r="AD177" s="189"/>
      <c r="AE177" s="188"/>
    </row>
    <row r="178" spans="1:31" ht="21.25" customHeight="1" x14ac:dyDescent="0.15">
      <c r="A178" s="10" t="s">
        <v>344</v>
      </c>
      <c r="B178" s="185" t="s">
        <v>863</v>
      </c>
      <c r="C178" s="186">
        <v>27</v>
      </c>
      <c r="D178" s="185" t="s">
        <v>844</v>
      </c>
      <c r="E178" s="89">
        <v>83</v>
      </c>
      <c r="F178" s="187">
        <v>16.100000000000001</v>
      </c>
      <c r="G178" s="188">
        <v>0.31</v>
      </c>
      <c r="H178" s="188">
        <v>0.31</v>
      </c>
      <c r="I178" s="188">
        <v>0.61</v>
      </c>
      <c r="J178" s="188">
        <v>2.74</v>
      </c>
      <c r="K178" s="188">
        <v>0.03</v>
      </c>
      <c r="L178" s="188">
        <v>0.1</v>
      </c>
      <c r="M178" s="188">
        <v>0.01</v>
      </c>
      <c r="N178" s="188">
        <v>0.01</v>
      </c>
      <c r="O178" s="188">
        <v>0.65</v>
      </c>
      <c r="P178" s="188">
        <v>1.78</v>
      </c>
      <c r="Q178" s="188">
        <v>0.02</v>
      </c>
      <c r="R178" s="188">
        <v>0.25</v>
      </c>
      <c r="S178" s="188">
        <v>0.05</v>
      </c>
      <c r="T178" s="188">
        <v>0.13</v>
      </c>
      <c r="U178" s="188">
        <v>0.24</v>
      </c>
      <c r="V178" s="188">
        <v>0.36</v>
      </c>
      <c r="W178" s="188"/>
      <c r="X178" s="89"/>
      <c r="Y178" s="187"/>
      <c r="Z178" s="187"/>
      <c r="AA178" s="187"/>
      <c r="AB178" s="187"/>
      <c r="AC178" s="187"/>
      <c r="AD178" s="189"/>
      <c r="AE178" s="188"/>
    </row>
    <row r="179" spans="1:31" ht="21.25" customHeight="1" x14ac:dyDescent="0.15">
      <c r="A179" s="10" t="s">
        <v>215</v>
      </c>
      <c r="B179" s="185" t="s">
        <v>866</v>
      </c>
      <c r="C179" s="186">
        <v>29</v>
      </c>
      <c r="D179" s="185" t="s">
        <v>823</v>
      </c>
      <c r="E179" s="89">
        <v>79</v>
      </c>
      <c r="F179" s="187">
        <v>21.7</v>
      </c>
      <c r="G179" s="188">
        <v>0.13</v>
      </c>
      <c r="H179" s="188">
        <v>0.45</v>
      </c>
      <c r="I179" s="188">
        <v>0.59</v>
      </c>
      <c r="J179" s="188">
        <v>2.08</v>
      </c>
      <c r="K179" s="188">
        <v>0.03</v>
      </c>
      <c r="L179" s="188">
        <v>0.22</v>
      </c>
      <c r="M179" s="188">
        <v>0</v>
      </c>
      <c r="N179" s="188">
        <v>0</v>
      </c>
      <c r="O179" s="188">
        <v>1.17</v>
      </c>
      <c r="P179" s="188">
        <v>0.5</v>
      </c>
      <c r="Q179" s="188">
        <v>-0.09</v>
      </c>
      <c r="R179" s="188">
        <v>0.63</v>
      </c>
      <c r="S179" s="188">
        <v>0.02</v>
      </c>
      <c r="T179" s="188">
        <v>0</v>
      </c>
      <c r="U179" s="188">
        <v>0</v>
      </c>
      <c r="V179" s="188">
        <v>0</v>
      </c>
      <c r="W179" s="188"/>
      <c r="X179" s="89"/>
      <c r="Y179" s="187"/>
      <c r="Z179" s="187"/>
      <c r="AA179" s="187"/>
      <c r="AB179" s="187"/>
      <c r="AC179" s="187"/>
      <c r="AD179" s="189"/>
      <c r="AE179" s="188"/>
    </row>
    <row r="180" spans="1:31" ht="21.25" customHeight="1" x14ac:dyDescent="0.15">
      <c r="A180" s="10" t="s">
        <v>460</v>
      </c>
      <c r="B180" s="185" t="s">
        <v>862</v>
      </c>
      <c r="C180" s="186">
        <v>25</v>
      </c>
      <c r="D180" s="185" t="s">
        <v>844</v>
      </c>
      <c r="E180" s="89">
        <v>82</v>
      </c>
      <c r="F180" s="187">
        <v>17.600000000000001</v>
      </c>
      <c r="G180" s="188">
        <v>0.27</v>
      </c>
      <c r="H180" s="188">
        <v>0.31</v>
      </c>
      <c r="I180" s="188">
        <v>0.59</v>
      </c>
      <c r="J180" s="188">
        <v>1.39</v>
      </c>
      <c r="K180" s="188">
        <v>0.02</v>
      </c>
      <c r="L180" s="188">
        <v>0.06</v>
      </c>
      <c r="M180" s="188">
        <v>0.03</v>
      </c>
      <c r="N180" s="188">
        <v>7.0000000000000007E-2</v>
      </c>
      <c r="O180" s="188">
        <v>0.65</v>
      </c>
      <c r="P180" s="188">
        <v>0.35</v>
      </c>
      <c r="Q180" s="188">
        <v>-0.04</v>
      </c>
      <c r="R180" s="188">
        <v>0.24</v>
      </c>
      <c r="S180" s="188">
        <v>0.04</v>
      </c>
      <c r="T180" s="188">
        <v>0.05</v>
      </c>
      <c r="U180" s="188">
        <v>0.16</v>
      </c>
      <c r="V180" s="188">
        <v>0.24</v>
      </c>
      <c r="W180" s="188"/>
      <c r="X180" s="89"/>
      <c r="Y180" s="187"/>
      <c r="Z180" s="187"/>
      <c r="AA180" s="187"/>
      <c r="AB180" s="187"/>
      <c r="AC180" s="187"/>
      <c r="AD180" s="189"/>
      <c r="AE180" s="188"/>
    </row>
    <row r="181" spans="1:31" ht="21.25" customHeight="1" x14ac:dyDescent="0.15">
      <c r="A181" s="10" t="s">
        <v>497</v>
      </c>
      <c r="B181" s="185" t="s">
        <v>851</v>
      </c>
      <c r="C181" s="186">
        <v>25</v>
      </c>
      <c r="D181" s="185" t="s">
        <v>844</v>
      </c>
      <c r="E181" s="89">
        <v>72</v>
      </c>
      <c r="F181" s="187">
        <v>15</v>
      </c>
      <c r="G181" s="188">
        <v>0.28000000000000003</v>
      </c>
      <c r="H181" s="188">
        <v>0.3</v>
      </c>
      <c r="I181" s="188">
        <v>0.57999999999999996</v>
      </c>
      <c r="J181" s="188">
        <v>2.08</v>
      </c>
      <c r="K181" s="188">
        <v>0.03</v>
      </c>
      <c r="L181" s="188">
        <v>7.0000000000000007E-2</v>
      </c>
      <c r="M181" s="188">
        <v>0</v>
      </c>
      <c r="N181" s="188">
        <v>0</v>
      </c>
      <c r="O181" s="188">
        <v>0.45</v>
      </c>
      <c r="P181" s="188">
        <v>0.89</v>
      </c>
      <c r="Q181" s="188">
        <v>0</v>
      </c>
      <c r="R181" s="188">
        <v>0.21</v>
      </c>
      <c r="S181" s="188">
        <v>0.04</v>
      </c>
      <c r="T181" s="188">
        <v>0.03</v>
      </c>
      <c r="U181" s="188">
        <v>0.12</v>
      </c>
      <c r="V181" s="188">
        <v>0.19</v>
      </c>
      <c r="W181" s="188"/>
      <c r="X181" s="89"/>
      <c r="Y181" s="187"/>
      <c r="Z181" s="187"/>
      <c r="AA181" s="187"/>
      <c r="AB181" s="187"/>
      <c r="AC181" s="187"/>
      <c r="AD181" s="189"/>
      <c r="AE181" s="188"/>
    </row>
    <row r="182" spans="1:31" ht="21.25" customHeight="1" x14ac:dyDescent="0.15">
      <c r="A182" s="10" t="s">
        <v>516</v>
      </c>
      <c r="B182" s="185" t="s">
        <v>858</v>
      </c>
      <c r="C182" s="186">
        <v>27</v>
      </c>
      <c r="D182" s="185" t="s">
        <v>820</v>
      </c>
      <c r="E182" s="89">
        <v>71</v>
      </c>
      <c r="F182" s="187">
        <v>15</v>
      </c>
      <c r="G182" s="188">
        <v>0.26</v>
      </c>
      <c r="H182" s="188">
        <v>0.28999999999999998</v>
      </c>
      <c r="I182" s="188">
        <v>0.55000000000000004</v>
      </c>
      <c r="J182" s="188">
        <v>1.51</v>
      </c>
      <c r="K182" s="188">
        <v>0.05</v>
      </c>
      <c r="L182" s="188">
        <v>0.12</v>
      </c>
      <c r="M182" s="188">
        <v>0</v>
      </c>
      <c r="N182" s="188">
        <v>0</v>
      </c>
      <c r="O182" s="188">
        <v>0.59</v>
      </c>
      <c r="P182" s="188">
        <v>1.1499999999999999</v>
      </c>
      <c r="Q182" s="188">
        <v>0.02</v>
      </c>
      <c r="R182" s="188">
        <v>0.4</v>
      </c>
      <c r="S182" s="188">
        <v>0.04</v>
      </c>
      <c r="T182" s="188">
        <v>6.28</v>
      </c>
      <c r="U182" s="188">
        <v>5.82</v>
      </c>
      <c r="V182" s="188">
        <v>0.52</v>
      </c>
      <c r="W182" s="188"/>
      <c r="X182" s="89"/>
      <c r="Y182" s="187"/>
      <c r="Z182" s="187"/>
      <c r="AA182" s="187"/>
      <c r="AB182" s="187"/>
      <c r="AC182" s="187"/>
      <c r="AD182" s="189"/>
      <c r="AE182" s="188"/>
    </row>
    <row r="183" spans="1:31" ht="21.25" customHeight="1" x14ac:dyDescent="0.15">
      <c r="A183" s="10" t="s">
        <v>197</v>
      </c>
      <c r="B183" s="185" t="s">
        <v>843</v>
      </c>
      <c r="C183" s="186">
        <v>25</v>
      </c>
      <c r="D183" s="185" t="s">
        <v>823</v>
      </c>
      <c r="E183" s="89">
        <v>81</v>
      </c>
      <c r="F183" s="187">
        <v>22.7</v>
      </c>
      <c r="G183" s="188">
        <v>0.15</v>
      </c>
      <c r="H183" s="188">
        <v>0.43</v>
      </c>
      <c r="I183" s="188">
        <v>0.57999999999999996</v>
      </c>
      <c r="J183" s="188">
        <v>1.83</v>
      </c>
      <c r="K183" s="188">
        <v>0.01</v>
      </c>
      <c r="L183" s="188">
        <v>0.12</v>
      </c>
      <c r="M183" s="188">
        <v>0</v>
      </c>
      <c r="N183" s="188">
        <v>0</v>
      </c>
      <c r="O183" s="188">
        <v>1.76</v>
      </c>
      <c r="P183" s="188">
        <v>0.57999999999999996</v>
      </c>
      <c r="Q183" s="188">
        <v>0.08</v>
      </c>
      <c r="R183" s="188">
        <v>0.32</v>
      </c>
      <c r="S183" s="188">
        <v>0.03</v>
      </c>
      <c r="T183" s="188">
        <v>0</v>
      </c>
      <c r="U183" s="188">
        <v>0</v>
      </c>
      <c r="V183" s="188">
        <v>0</v>
      </c>
      <c r="W183" s="188"/>
      <c r="X183" s="89"/>
      <c r="Y183" s="187"/>
      <c r="Z183" s="187"/>
      <c r="AA183" s="187"/>
      <c r="AB183" s="187"/>
      <c r="AC183" s="187"/>
      <c r="AD183" s="189"/>
      <c r="AE183" s="188"/>
    </row>
    <row r="184" spans="1:31" ht="21.25" customHeight="1" x14ac:dyDescent="0.15">
      <c r="A184" s="10" t="s">
        <v>319</v>
      </c>
      <c r="B184" s="185" t="s">
        <v>864</v>
      </c>
      <c r="C184" s="186">
        <v>29</v>
      </c>
      <c r="D184" s="185" t="s">
        <v>844</v>
      </c>
      <c r="E184" s="89">
        <v>84</v>
      </c>
      <c r="F184" s="187">
        <v>17.899999999999999</v>
      </c>
      <c r="G184" s="188">
        <v>0.31</v>
      </c>
      <c r="H184" s="188">
        <v>0.28000000000000003</v>
      </c>
      <c r="I184" s="188">
        <v>0.59</v>
      </c>
      <c r="J184" s="188">
        <v>2.67</v>
      </c>
      <c r="K184" s="188">
        <v>0.18</v>
      </c>
      <c r="L184" s="188">
        <v>0.27</v>
      </c>
      <c r="M184" s="188">
        <v>0.01</v>
      </c>
      <c r="N184" s="188">
        <v>0.01</v>
      </c>
      <c r="O184" s="188">
        <v>0.54</v>
      </c>
      <c r="P184" s="188">
        <v>1.01</v>
      </c>
      <c r="Q184" s="188">
        <v>-0.13</v>
      </c>
      <c r="R184" s="188">
        <v>0.25</v>
      </c>
      <c r="S184" s="188">
        <v>0.04</v>
      </c>
      <c r="T184" s="188">
        <v>0.15</v>
      </c>
      <c r="U184" s="188">
        <v>0.25</v>
      </c>
      <c r="V184" s="188">
        <v>0.38</v>
      </c>
      <c r="W184" s="188"/>
      <c r="X184" s="89"/>
      <c r="Y184" s="187"/>
      <c r="Z184" s="187"/>
      <c r="AA184" s="187"/>
      <c r="AB184" s="187"/>
      <c r="AC184" s="187"/>
      <c r="AD184" s="189"/>
      <c r="AE184" s="188"/>
    </row>
    <row r="185" spans="1:31" ht="21.25" customHeight="1" x14ac:dyDescent="0.15">
      <c r="A185" s="10" t="s">
        <v>178</v>
      </c>
      <c r="B185" s="185" t="s">
        <v>846</v>
      </c>
      <c r="C185" s="186">
        <v>26</v>
      </c>
      <c r="D185" s="185" t="s">
        <v>823</v>
      </c>
      <c r="E185" s="89">
        <v>82</v>
      </c>
      <c r="F185" s="187">
        <v>23.1</v>
      </c>
      <c r="G185" s="188">
        <v>0.13</v>
      </c>
      <c r="H185" s="188">
        <v>0.45</v>
      </c>
      <c r="I185" s="188">
        <v>0.56999999999999995</v>
      </c>
      <c r="J185" s="188">
        <v>2.09</v>
      </c>
      <c r="K185" s="188">
        <v>0.01</v>
      </c>
      <c r="L185" s="188">
        <v>0.1</v>
      </c>
      <c r="M185" s="188">
        <v>0</v>
      </c>
      <c r="N185" s="188">
        <v>0.01</v>
      </c>
      <c r="O185" s="188">
        <v>2.13</v>
      </c>
      <c r="P185" s="188">
        <v>0.81</v>
      </c>
      <c r="Q185" s="188">
        <v>0.03</v>
      </c>
      <c r="R185" s="188">
        <v>0.46</v>
      </c>
      <c r="S185" s="188">
        <v>0.02</v>
      </c>
      <c r="T185" s="188">
        <v>0</v>
      </c>
      <c r="U185" s="188">
        <v>0</v>
      </c>
      <c r="V185" s="188">
        <v>0</v>
      </c>
      <c r="W185" s="188"/>
      <c r="X185" s="89"/>
      <c r="Y185" s="188"/>
      <c r="Z185" s="188"/>
      <c r="AA185" s="188"/>
      <c r="AB185" s="188"/>
      <c r="AC185" s="187"/>
      <c r="AD185" s="189"/>
      <c r="AE185" s="188"/>
    </row>
    <row r="186" spans="1:31" ht="21.25" customHeight="1" x14ac:dyDescent="0.15">
      <c r="A186" s="10" t="s">
        <v>527</v>
      </c>
      <c r="B186" s="185" t="s">
        <v>866</v>
      </c>
      <c r="C186" s="186">
        <v>25</v>
      </c>
      <c r="D186" s="185" t="s">
        <v>822</v>
      </c>
      <c r="E186" s="89">
        <v>79</v>
      </c>
      <c r="F186" s="187">
        <v>15.1</v>
      </c>
      <c r="G186" s="188">
        <v>0.21</v>
      </c>
      <c r="H186" s="188">
        <v>0.37</v>
      </c>
      <c r="I186" s="188">
        <v>0.57999999999999996</v>
      </c>
      <c r="J186" s="188">
        <v>1.43</v>
      </c>
      <c r="K186" s="188">
        <v>0.05</v>
      </c>
      <c r="L186" s="188">
        <v>0.13</v>
      </c>
      <c r="M186" s="188">
        <v>0</v>
      </c>
      <c r="N186" s="188">
        <v>0</v>
      </c>
      <c r="O186" s="188">
        <v>0.27</v>
      </c>
      <c r="P186" s="188">
        <v>0.64</v>
      </c>
      <c r="Q186" s="188">
        <v>-7.0000000000000007E-2</v>
      </c>
      <c r="R186" s="188">
        <v>0.33</v>
      </c>
      <c r="S186" s="188">
        <v>0.03</v>
      </c>
      <c r="T186" s="188">
        <v>0.35</v>
      </c>
      <c r="U186" s="188">
        <v>0.35</v>
      </c>
      <c r="V186" s="188">
        <v>0.5</v>
      </c>
      <c r="W186" s="188"/>
      <c r="X186" s="89"/>
      <c r="Y186" s="187"/>
      <c r="Z186" s="187"/>
      <c r="AA186" s="187"/>
      <c r="AB186" s="187"/>
      <c r="AC186" s="187"/>
      <c r="AD186" s="189"/>
      <c r="AE186" s="188"/>
    </row>
    <row r="187" spans="1:31" ht="21.25" customHeight="1" x14ac:dyDescent="0.15">
      <c r="A187" s="10" t="s">
        <v>438</v>
      </c>
      <c r="B187" s="185" t="s">
        <v>855</v>
      </c>
      <c r="C187" s="186">
        <v>35</v>
      </c>
      <c r="D187" s="185" t="s">
        <v>821</v>
      </c>
      <c r="E187" s="89">
        <v>81</v>
      </c>
      <c r="F187" s="187">
        <v>16.8</v>
      </c>
      <c r="G187" s="188">
        <v>0.23</v>
      </c>
      <c r="H187" s="188">
        <v>0.25</v>
      </c>
      <c r="I187" s="188">
        <v>0.48</v>
      </c>
      <c r="J187" s="188">
        <v>1.78</v>
      </c>
      <c r="K187" s="188">
        <v>0.05</v>
      </c>
      <c r="L187" s="188">
        <v>0.08</v>
      </c>
      <c r="M187" s="188">
        <v>0.01</v>
      </c>
      <c r="N187" s="188">
        <v>0.01</v>
      </c>
      <c r="O187" s="188">
        <v>0.32</v>
      </c>
      <c r="P187" s="188">
        <v>1.03</v>
      </c>
      <c r="Q187" s="188">
        <v>-0.02</v>
      </c>
      <c r="R187" s="188">
        <v>0.38</v>
      </c>
      <c r="S187" s="188">
        <v>0.03</v>
      </c>
      <c r="T187" s="188">
        <v>0.26</v>
      </c>
      <c r="U187" s="188">
        <v>0.44</v>
      </c>
      <c r="V187" s="188">
        <v>0.37</v>
      </c>
      <c r="W187" s="188"/>
      <c r="X187" s="89"/>
      <c r="Y187" s="187"/>
      <c r="Z187" s="187"/>
      <c r="AA187" s="187"/>
      <c r="AB187" s="187"/>
      <c r="AC187" s="187"/>
      <c r="AD187" s="189"/>
      <c r="AE187" s="188"/>
    </row>
    <row r="188" spans="1:31" ht="21.25" customHeight="1" x14ac:dyDescent="0.15">
      <c r="A188" s="10" t="s">
        <v>511</v>
      </c>
      <c r="B188" s="185" t="s">
        <v>856</v>
      </c>
      <c r="C188" s="186">
        <v>34</v>
      </c>
      <c r="D188" s="185" t="s">
        <v>821</v>
      </c>
      <c r="E188" s="89">
        <v>76</v>
      </c>
      <c r="F188" s="187">
        <v>15.6</v>
      </c>
      <c r="G188" s="188">
        <v>0.23</v>
      </c>
      <c r="H188" s="188">
        <v>0.34</v>
      </c>
      <c r="I188" s="188">
        <v>0.56999999999999995</v>
      </c>
      <c r="J188" s="188">
        <v>1.84</v>
      </c>
      <c r="K188" s="188">
        <v>0.04</v>
      </c>
      <c r="L188" s="188">
        <v>0.1</v>
      </c>
      <c r="M188" s="188">
        <v>0</v>
      </c>
      <c r="N188" s="188">
        <v>0</v>
      </c>
      <c r="O188" s="188">
        <v>0.45</v>
      </c>
      <c r="P188" s="188">
        <v>0.71</v>
      </c>
      <c r="Q188" s="188">
        <v>0.09</v>
      </c>
      <c r="R188" s="188">
        <v>0.44</v>
      </c>
      <c r="S188" s="188">
        <v>0.04</v>
      </c>
      <c r="T188" s="188">
        <v>0.34</v>
      </c>
      <c r="U188" s="188">
        <v>0.42</v>
      </c>
      <c r="V188" s="188">
        <v>0.44</v>
      </c>
      <c r="W188" s="188"/>
      <c r="X188" s="89"/>
      <c r="Y188" s="187"/>
      <c r="Z188" s="187"/>
      <c r="AA188" s="187"/>
      <c r="AB188" s="187"/>
      <c r="AC188" s="187"/>
      <c r="AD188" s="189"/>
      <c r="AE188" s="188"/>
    </row>
    <row r="189" spans="1:31" ht="21.25" customHeight="1" x14ac:dyDescent="0.15">
      <c r="A189" s="10" t="s">
        <v>441</v>
      </c>
      <c r="B189" s="185" t="s">
        <v>854</v>
      </c>
      <c r="C189" s="186">
        <v>25</v>
      </c>
      <c r="D189" s="185" t="s">
        <v>835</v>
      </c>
      <c r="E189" s="89">
        <v>83</v>
      </c>
      <c r="F189" s="187">
        <v>16.600000000000001</v>
      </c>
      <c r="G189" s="188">
        <v>0.24</v>
      </c>
      <c r="H189" s="188">
        <v>0.37</v>
      </c>
      <c r="I189" s="188">
        <v>0.61</v>
      </c>
      <c r="J189" s="188">
        <v>1.93</v>
      </c>
      <c r="K189" s="188">
        <v>0.04</v>
      </c>
      <c r="L189" s="188">
        <v>0.1</v>
      </c>
      <c r="M189" s="188">
        <v>0</v>
      </c>
      <c r="N189" s="188">
        <v>0.02</v>
      </c>
      <c r="O189" s="188">
        <v>0.55000000000000004</v>
      </c>
      <c r="P189" s="188">
        <v>0.61</v>
      </c>
      <c r="Q189" s="188">
        <v>-0.03</v>
      </c>
      <c r="R189" s="188">
        <v>0.42</v>
      </c>
      <c r="S189" s="188">
        <v>0.03</v>
      </c>
      <c r="T189" s="188">
        <v>3.22</v>
      </c>
      <c r="U189" s="188">
        <v>4.07</v>
      </c>
      <c r="V189" s="188">
        <v>0.44</v>
      </c>
      <c r="W189" s="188"/>
      <c r="X189" s="89"/>
      <c r="Y189" s="187"/>
      <c r="Z189" s="187"/>
      <c r="AA189" s="187"/>
      <c r="AB189" s="187"/>
      <c r="AC189" s="187"/>
      <c r="AD189" s="189"/>
      <c r="AE189" s="188"/>
    </row>
    <row r="190" spans="1:31" ht="21.25" customHeight="1" x14ac:dyDescent="0.15">
      <c r="A190" s="10" t="s">
        <v>211</v>
      </c>
      <c r="B190" s="185" t="s">
        <v>838</v>
      </c>
      <c r="C190" s="186">
        <v>23</v>
      </c>
      <c r="D190" s="185" t="s">
        <v>823</v>
      </c>
      <c r="E190" s="89">
        <v>80</v>
      </c>
      <c r="F190" s="187">
        <v>23.2</v>
      </c>
      <c r="G190" s="188">
        <v>0.11</v>
      </c>
      <c r="H190" s="188">
        <v>0.52</v>
      </c>
      <c r="I190" s="188">
        <v>0.64</v>
      </c>
      <c r="J190" s="188">
        <v>2.13</v>
      </c>
      <c r="K190" s="188">
        <v>0.03</v>
      </c>
      <c r="L190" s="188">
        <v>0.27</v>
      </c>
      <c r="M190" s="188">
        <v>0</v>
      </c>
      <c r="N190" s="188">
        <v>0</v>
      </c>
      <c r="O190" s="188">
        <v>0.98</v>
      </c>
      <c r="P190" s="188">
        <v>0.39</v>
      </c>
      <c r="Q190" s="188">
        <v>0</v>
      </c>
      <c r="R190" s="188">
        <v>0.41</v>
      </c>
      <c r="S190" s="188">
        <v>0.02</v>
      </c>
      <c r="T190" s="188">
        <v>0</v>
      </c>
      <c r="U190" s="188">
        <v>0</v>
      </c>
      <c r="V190" s="188">
        <v>0</v>
      </c>
      <c r="W190" s="188"/>
      <c r="X190" s="89"/>
      <c r="Y190" s="187"/>
      <c r="Z190" s="187"/>
      <c r="AA190" s="187"/>
      <c r="AB190" s="187"/>
      <c r="AC190" s="187"/>
      <c r="AD190" s="189"/>
      <c r="AE190" s="188"/>
    </row>
    <row r="191" spans="1:31" ht="21.25" customHeight="1" x14ac:dyDescent="0.15">
      <c r="A191" s="10" t="s">
        <v>443</v>
      </c>
      <c r="B191" s="185" t="s">
        <v>863</v>
      </c>
      <c r="C191" s="186">
        <v>24</v>
      </c>
      <c r="D191" s="185" t="s">
        <v>844</v>
      </c>
      <c r="E191" s="89">
        <v>74</v>
      </c>
      <c r="F191" s="187">
        <v>17.399999999999999</v>
      </c>
      <c r="G191" s="188">
        <v>0.33</v>
      </c>
      <c r="H191" s="188">
        <v>0.24</v>
      </c>
      <c r="I191" s="188">
        <v>0.57999999999999996</v>
      </c>
      <c r="J191" s="188">
        <v>2.04</v>
      </c>
      <c r="K191" s="188">
        <v>7.0000000000000007E-2</v>
      </c>
      <c r="L191" s="188">
        <v>0.12</v>
      </c>
      <c r="M191" s="188">
        <v>0.01</v>
      </c>
      <c r="N191" s="188">
        <v>0.01</v>
      </c>
      <c r="O191" s="188">
        <v>0.71</v>
      </c>
      <c r="P191" s="188">
        <v>0.97</v>
      </c>
      <c r="Q191" s="188">
        <v>0.03</v>
      </c>
      <c r="R191" s="188">
        <v>0.44</v>
      </c>
      <c r="S191" s="188">
        <v>0.05</v>
      </c>
      <c r="T191" s="188">
        <v>0.01</v>
      </c>
      <c r="U191" s="188">
        <v>0.04</v>
      </c>
      <c r="V191" s="188">
        <v>0.21</v>
      </c>
      <c r="W191" s="188"/>
      <c r="X191" s="89"/>
      <c r="Y191" s="187"/>
      <c r="Z191" s="187"/>
      <c r="AA191" s="187"/>
      <c r="AB191" s="187"/>
      <c r="AC191" s="187"/>
      <c r="AD191" s="189"/>
      <c r="AE191" s="188"/>
    </row>
    <row r="192" spans="1:31" ht="21.25" customHeight="1" x14ac:dyDescent="0.15">
      <c r="A192" s="10" t="s">
        <v>165</v>
      </c>
      <c r="B192" s="185" t="s">
        <v>845</v>
      </c>
      <c r="C192" s="186">
        <v>23</v>
      </c>
      <c r="D192" s="185" t="s">
        <v>823</v>
      </c>
      <c r="E192" s="89">
        <v>82</v>
      </c>
      <c r="F192" s="187">
        <v>21.1</v>
      </c>
      <c r="G192" s="188">
        <v>0.12</v>
      </c>
      <c r="H192" s="188">
        <v>0.47</v>
      </c>
      <c r="I192" s="188">
        <v>0.57999999999999996</v>
      </c>
      <c r="J192" s="188">
        <v>2.14</v>
      </c>
      <c r="K192" s="188">
        <v>0.03</v>
      </c>
      <c r="L192" s="188">
        <v>0.2</v>
      </c>
      <c r="M192" s="188">
        <v>0</v>
      </c>
      <c r="N192" s="188">
        <v>0</v>
      </c>
      <c r="O192" s="188">
        <v>2.1</v>
      </c>
      <c r="P192" s="188">
        <v>0.53</v>
      </c>
      <c r="Q192" s="188">
        <v>0.03</v>
      </c>
      <c r="R192" s="188">
        <v>0.69</v>
      </c>
      <c r="S192" s="188">
        <v>0.02</v>
      </c>
      <c r="T192" s="188">
        <v>0</v>
      </c>
      <c r="U192" s="188">
        <v>0</v>
      </c>
      <c r="V192" s="188">
        <v>0</v>
      </c>
      <c r="W192" s="188"/>
      <c r="X192" s="89"/>
      <c r="Y192" s="187"/>
      <c r="Z192" s="187"/>
      <c r="AA192" s="187"/>
      <c r="AB192" s="187"/>
      <c r="AC192" s="187"/>
      <c r="AD192" s="189"/>
      <c r="AE192" s="188"/>
    </row>
    <row r="193" spans="1:31" ht="21.25" customHeight="1" x14ac:dyDescent="0.15">
      <c r="A193" s="10" t="s">
        <v>508</v>
      </c>
      <c r="B193" s="185" t="s">
        <v>860</v>
      </c>
      <c r="C193" s="186">
        <v>21</v>
      </c>
      <c r="D193" s="185" t="s">
        <v>822</v>
      </c>
      <c r="E193" s="89">
        <v>79</v>
      </c>
      <c r="F193" s="187">
        <v>15.7</v>
      </c>
      <c r="G193" s="188">
        <v>0.24</v>
      </c>
      <c r="H193" s="188">
        <v>0.31</v>
      </c>
      <c r="I193" s="188">
        <v>0.55000000000000004</v>
      </c>
      <c r="J193" s="188">
        <v>1.52</v>
      </c>
      <c r="K193" s="188">
        <v>0.05</v>
      </c>
      <c r="L193" s="188">
        <v>0.11</v>
      </c>
      <c r="M193" s="188">
        <v>0</v>
      </c>
      <c r="N193" s="188">
        <v>0</v>
      </c>
      <c r="O193" s="188">
        <v>0.44</v>
      </c>
      <c r="P193" s="188">
        <v>0.6</v>
      </c>
      <c r="Q193" s="188">
        <v>0</v>
      </c>
      <c r="R193" s="188">
        <v>0.28000000000000003</v>
      </c>
      <c r="S193" s="188">
        <v>0.04</v>
      </c>
      <c r="T193" s="188">
        <v>0.09</v>
      </c>
      <c r="U193" s="188">
        <v>0.11</v>
      </c>
      <c r="V193" s="188">
        <v>0.46</v>
      </c>
      <c r="W193" s="188"/>
      <c r="X193" s="89"/>
      <c r="Y193" s="187"/>
      <c r="Z193" s="187"/>
      <c r="AA193" s="187"/>
      <c r="AB193" s="187"/>
      <c r="AC193" s="187"/>
      <c r="AD193" s="189"/>
      <c r="AE193" s="188"/>
    </row>
    <row r="194" spans="1:31" ht="21.25" customHeight="1" x14ac:dyDescent="0.15">
      <c r="A194" s="10" t="s">
        <v>468</v>
      </c>
      <c r="B194" s="185" t="s">
        <v>853</v>
      </c>
      <c r="C194" s="186">
        <v>26</v>
      </c>
      <c r="D194" s="185" t="s">
        <v>821</v>
      </c>
      <c r="E194" s="89">
        <v>79</v>
      </c>
      <c r="F194" s="187">
        <v>15.1</v>
      </c>
      <c r="G194" s="188">
        <v>0.24</v>
      </c>
      <c r="H194" s="188">
        <v>0.27</v>
      </c>
      <c r="I194" s="188">
        <v>0.51</v>
      </c>
      <c r="J194" s="188">
        <v>1.79</v>
      </c>
      <c r="K194" s="188">
        <v>0.06</v>
      </c>
      <c r="L194" s="188">
        <v>0.09</v>
      </c>
      <c r="M194" s="188">
        <v>0</v>
      </c>
      <c r="N194" s="188">
        <v>0</v>
      </c>
      <c r="O194" s="188">
        <v>0.52</v>
      </c>
      <c r="P194" s="188">
        <v>1.4</v>
      </c>
      <c r="Q194" s="188">
        <v>0.04</v>
      </c>
      <c r="R194" s="188">
        <v>0.64</v>
      </c>
      <c r="S194" s="188">
        <v>0.04</v>
      </c>
      <c r="T194" s="188">
        <v>0.72</v>
      </c>
      <c r="U194" s="188">
        <v>1.3</v>
      </c>
      <c r="V194" s="188">
        <v>0.36</v>
      </c>
      <c r="W194" s="188"/>
      <c r="X194" s="89"/>
      <c r="Y194" s="187"/>
      <c r="Z194" s="187"/>
      <c r="AA194" s="187"/>
      <c r="AB194" s="187"/>
      <c r="AC194" s="187"/>
      <c r="AD194" s="189"/>
      <c r="AE194" s="188"/>
    </row>
    <row r="195" spans="1:31" ht="21.25" customHeight="1" x14ac:dyDescent="0.15">
      <c r="A195" s="10" t="s">
        <v>419</v>
      </c>
      <c r="B195" s="185" t="s">
        <v>836</v>
      </c>
      <c r="C195" s="186">
        <v>32</v>
      </c>
      <c r="D195" s="185" t="s">
        <v>820</v>
      </c>
      <c r="E195" s="89">
        <v>83</v>
      </c>
      <c r="F195" s="187">
        <v>19.5</v>
      </c>
      <c r="G195" s="188">
        <v>0.18</v>
      </c>
      <c r="H195" s="188">
        <v>0.37</v>
      </c>
      <c r="I195" s="188">
        <v>0.55000000000000004</v>
      </c>
      <c r="J195" s="188">
        <v>1.2</v>
      </c>
      <c r="K195" s="188">
        <v>7.0000000000000007E-2</v>
      </c>
      <c r="L195" s="188">
        <v>0.14000000000000001</v>
      </c>
      <c r="M195" s="188">
        <v>0</v>
      </c>
      <c r="N195" s="188">
        <v>0.01</v>
      </c>
      <c r="O195" s="188">
        <v>1.06</v>
      </c>
      <c r="P195" s="188">
        <v>0.44</v>
      </c>
      <c r="Q195" s="188">
        <v>-0.04</v>
      </c>
      <c r="R195" s="188">
        <v>0.25</v>
      </c>
      <c r="S195" s="188">
        <v>0.03</v>
      </c>
      <c r="T195" s="188">
        <v>7.65</v>
      </c>
      <c r="U195" s="188">
        <v>8.64</v>
      </c>
      <c r="V195" s="188">
        <v>0.47</v>
      </c>
      <c r="W195" s="188"/>
      <c r="X195" s="89"/>
      <c r="Y195" s="188"/>
      <c r="Z195" s="188"/>
      <c r="AA195" s="188"/>
      <c r="AB195" s="188"/>
      <c r="AC195" s="187"/>
      <c r="AD195" s="189"/>
      <c r="AE195" s="188"/>
    </row>
    <row r="196" spans="1:31" ht="21.25" customHeight="1" x14ac:dyDescent="0.15">
      <c r="A196" s="10" t="s">
        <v>435</v>
      </c>
      <c r="B196" s="185" t="s">
        <v>866</v>
      </c>
      <c r="C196" s="186">
        <v>30</v>
      </c>
      <c r="D196" s="185" t="s">
        <v>844</v>
      </c>
      <c r="E196" s="89">
        <v>80</v>
      </c>
      <c r="F196" s="187">
        <v>16.100000000000001</v>
      </c>
      <c r="G196" s="188">
        <v>0.32</v>
      </c>
      <c r="H196" s="188">
        <v>0.23</v>
      </c>
      <c r="I196" s="188">
        <v>0.55000000000000004</v>
      </c>
      <c r="J196" s="188">
        <v>2.38</v>
      </c>
      <c r="K196" s="188">
        <v>0.04</v>
      </c>
      <c r="L196" s="188">
        <v>7.0000000000000007E-2</v>
      </c>
      <c r="M196" s="188">
        <v>0</v>
      </c>
      <c r="N196" s="188">
        <v>0</v>
      </c>
      <c r="O196" s="188">
        <v>0.37</v>
      </c>
      <c r="P196" s="188">
        <v>1.98</v>
      </c>
      <c r="Q196" s="188">
        <v>-0.08</v>
      </c>
      <c r="R196" s="188">
        <v>0.46</v>
      </c>
      <c r="S196" s="188">
        <v>0.04</v>
      </c>
      <c r="T196" s="188">
        <v>0.08</v>
      </c>
      <c r="U196" s="188">
        <v>0.13</v>
      </c>
      <c r="V196" s="188">
        <v>0.39</v>
      </c>
      <c r="W196" s="188"/>
      <c r="X196" s="89"/>
      <c r="Y196" s="187"/>
      <c r="Z196" s="187"/>
      <c r="AA196" s="187"/>
      <c r="AB196" s="187"/>
      <c r="AC196" s="187"/>
      <c r="AD196" s="189"/>
      <c r="AE196" s="188"/>
    </row>
    <row r="197" spans="1:31" ht="21.25" customHeight="1" x14ac:dyDescent="0.15">
      <c r="A197" s="10" t="s">
        <v>269</v>
      </c>
      <c r="B197" s="185" t="s">
        <v>833</v>
      </c>
      <c r="C197" s="186">
        <v>35</v>
      </c>
      <c r="D197" s="185" t="s">
        <v>823</v>
      </c>
      <c r="E197" s="89">
        <v>75</v>
      </c>
      <c r="F197" s="187">
        <v>19</v>
      </c>
      <c r="G197" s="188">
        <v>0.1</v>
      </c>
      <c r="H197" s="188">
        <v>0.44</v>
      </c>
      <c r="I197" s="188">
        <v>0.54</v>
      </c>
      <c r="J197" s="188">
        <v>1.6</v>
      </c>
      <c r="K197" s="188">
        <v>0.02</v>
      </c>
      <c r="L197" s="188">
        <v>0.13</v>
      </c>
      <c r="M197" s="188">
        <v>0</v>
      </c>
      <c r="N197" s="188">
        <v>0</v>
      </c>
      <c r="O197" s="188">
        <v>1.36</v>
      </c>
      <c r="P197" s="188">
        <v>0.66</v>
      </c>
      <c r="Q197" s="188">
        <v>0.09</v>
      </c>
      <c r="R197" s="188">
        <v>0.39</v>
      </c>
      <c r="S197" s="188">
        <v>0.02</v>
      </c>
      <c r="T197" s="188">
        <v>0</v>
      </c>
      <c r="U197" s="188">
        <v>0</v>
      </c>
      <c r="V197" s="188">
        <v>0</v>
      </c>
      <c r="W197" s="188"/>
      <c r="X197" s="89"/>
      <c r="Y197" s="187"/>
      <c r="Z197" s="187"/>
      <c r="AA197" s="187"/>
      <c r="AB197" s="187"/>
      <c r="AC197" s="187"/>
      <c r="AD197" s="189"/>
      <c r="AE197" s="188"/>
    </row>
    <row r="198" spans="1:31" ht="21.25" customHeight="1" x14ac:dyDescent="0.15">
      <c r="A198" s="10" t="s">
        <v>482</v>
      </c>
      <c r="B198" s="185" t="s">
        <v>861</v>
      </c>
      <c r="C198" s="186">
        <v>24</v>
      </c>
      <c r="D198" s="185" t="s">
        <v>842</v>
      </c>
      <c r="E198" s="89">
        <v>82</v>
      </c>
      <c r="F198" s="187">
        <v>16.3</v>
      </c>
      <c r="G198" s="188">
        <v>0.25</v>
      </c>
      <c r="H198" s="188">
        <v>0.31</v>
      </c>
      <c r="I198" s="188">
        <v>0.56000000000000005</v>
      </c>
      <c r="J198" s="188">
        <v>1.86</v>
      </c>
      <c r="K198" s="188">
        <v>0.03</v>
      </c>
      <c r="L198" s="188">
        <v>0.12</v>
      </c>
      <c r="M198" s="188">
        <v>0</v>
      </c>
      <c r="N198" s="188">
        <v>0</v>
      </c>
      <c r="O198" s="188">
        <v>0.37</v>
      </c>
      <c r="P198" s="188">
        <v>0.95</v>
      </c>
      <c r="Q198" s="188">
        <v>-0.03</v>
      </c>
      <c r="R198" s="188">
        <v>0.28000000000000003</v>
      </c>
      <c r="S198" s="188">
        <v>0.03</v>
      </c>
      <c r="T198" s="188">
        <v>1.57</v>
      </c>
      <c r="U198" s="188">
        <v>1.87</v>
      </c>
      <c r="V198" s="188">
        <v>0.46</v>
      </c>
      <c r="W198" s="188"/>
      <c r="X198" s="89"/>
      <c r="Y198" s="187"/>
      <c r="Z198" s="187"/>
      <c r="AA198" s="187"/>
      <c r="AB198" s="187"/>
      <c r="AC198" s="187"/>
      <c r="AD198" s="189"/>
      <c r="AE198" s="188"/>
    </row>
    <row r="199" spans="1:31" ht="21.25" customHeight="1" x14ac:dyDescent="0.15">
      <c r="A199" s="10" t="s">
        <v>596</v>
      </c>
      <c r="B199" s="185" t="s">
        <v>834</v>
      </c>
      <c r="C199" s="186">
        <v>33</v>
      </c>
      <c r="D199" s="185" t="s">
        <v>844</v>
      </c>
      <c r="E199" s="89">
        <v>62</v>
      </c>
      <c r="F199" s="187">
        <v>16</v>
      </c>
      <c r="G199" s="188">
        <v>0.21</v>
      </c>
      <c r="H199" s="188">
        <v>0.33</v>
      </c>
      <c r="I199" s="188">
        <v>0.54</v>
      </c>
      <c r="J199" s="188">
        <v>2.0699999999999998</v>
      </c>
      <c r="K199" s="188">
        <v>0.04</v>
      </c>
      <c r="L199" s="188">
        <v>0.1</v>
      </c>
      <c r="M199" s="188">
        <v>0</v>
      </c>
      <c r="N199" s="188">
        <v>0</v>
      </c>
      <c r="O199" s="188">
        <v>0.5</v>
      </c>
      <c r="P199" s="188">
        <v>1.3</v>
      </c>
      <c r="Q199" s="188">
        <v>0.11</v>
      </c>
      <c r="R199" s="188">
        <v>0.59</v>
      </c>
      <c r="S199" s="188">
        <v>0.04</v>
      </c>
      <c r="T199" s="188">
        <v>2.64</v>
      </c>
      <c r="U199" s="188">
        <v>1.6</v>
      </c>
      <c r="V199" s="188">
        <v>0.62</v>
      </c>
      <c r="W199" s="188"/>
      <c r="X199" s="89"/>
      <c r="Y199" s="187"/>
      <c r="Z199" s="187"/>
      <c r="AA199" s="187"/>
      <c r="AB199" s="187"/>
      <c r="AC199" s="187"/>
      <c r="AD199" s="189"/>
      <c r="AE199" s="188"/>
    </row>
    <row r="200" spans="1:31" ht="21.25" customHeight="1" x14ac:dyDescent="0.15">
      <c r="A200" s="10" t="s">
        <v>442</v>
      </c>
      <c r="B200" s="185" t="s">
        <v>853</v>
      </c>
      <c r="C200" s="186">
        <v>34</v>
      </c>
      <c r="D200" s="185" t="s">
        <v>820</v>
      </c>
      <c r="E200" s="89">
        <v>84</v>
      </c>
      <c r="F200" s="187">
        <v>16.8</v>
      </c>
      <c r="G200" s="188">
        <v>0.24</v>
      </c>
      <c r="H200" s="188">
        <v>0.36</v>
      </c>
      <c r="I200" s="188">
        <v>0.6</v>
      </c>
      <c r="J200" s="188">
        <v>1.69</v>
      </c>
      <c r="K200" s="188">
        <v>0.08</v>
      </c>
      <c r="L200" s="188">
        <v>0.15</v>
      </c>
      <c r="M200" s="188">
        <v>0</v>
      </c>
      <c r="N200" s="188">
        <v>0.01</v>
      </c>
      <c r="O200" s="188">
        <v>0.65</v>
      </c>
      <c r="P200" s="188">
        <v>1.3</v>
      </c>
      <c r="Q200" s="188">
        <v>0.03</v>
      </c>
      <c r="R200" s="188">
        <v>0.28999999999999998</v>
      </c>
      <c r="S200" s="188">
        <v>0.04</v>
      </c>
      <c r="T200" s="188">
        <v>6.88</v>
      </c>
      <c r="U200" s="188">
        <v>6.81</v>
      </c>
      <c r="V200" s="188">
        <v>0.5</v>
      </c>
      <c r="W200" s="188"/>
      <c r="X200" s="89"/>
      <c r="Y200" s="187"/>
      <c r="Z200" s="187"/>
      <c r="AA200" s="187"/>
      <c r="AB200" s="187"/>
      <c r="AC200" s="187"/>
      <c r="AD200" s="189"/>
      <c r="AE200" s="188"/>
    </row>
    <row r="201" spans="1:31" ht="21.25" customHeight="1" x14ac:dyDescent="0.15">
      <c r="A201" s="10" t="s">
        <v>203</v>
      </c>
      <c r="B201" s="185" t="s">
        <v>840</v>
      </c>
      <c r="C201" s="186">
        <v>24</v>
      </c>
      <c r="D201" s="185" t="s">
        <v>823</v>
      </c>
      <c r="E201" s="89">
        <v>83</v>
      </c>
      <c r="F201" s="187">
        <v>24.9</v>
      </c>
      <c r="G201" s="188">
        <v>0.16</v>
      </c>
      <c r="H201" s="188">
        <v>0.38</v>
      </c>
      <c r="I201" s="188">
        <v>0.54</v>
      </c>
      <c r="J201" s="188">
        <v>1.94</v>
      </c>
      <c r="K201" s="188">
        <v>0.01</v>
      </c>
      <c r="L201" s="188">
        <v>0.1</v>
      </c>
      <c r="M201" s="188">
        <v>0.01</v>
      </c>
      <c r="N201" s="188">
        <v>0.02</v>
      </c>
      <c r="O201" s="188">
        <v>1.76</v>
      </c>
      <c r="P201" s="188">
        <v>0.51</v>
      </c>
      <c r="Q201" s="188">
        <v>0.04</v>
      </c>
      <c r="R201" s="188">
        <v>0.38</v>
      </c>
      <c r="S201" s="188">
        <v>0.03</v>
      </c>
      <c r="T201" s="188">
        <v>0</v>
      </c>
      <c r="U201" s="188">
        <v>0</v>
      </c>
      <c r="V201" s="188">
        <v>0</v>
      </c>
      <c r="W201" s="188"/>
      <c r="X201" s="89"/>
      <c r="Y201" s="187"/>
      <c r="Z201" s="187"/>
      <c r="AA201" s="187"/>
      <c r="AB201" s="187"/>
      <c r="AC201" s="187"/>
      <c r="AD201" s="189"/>
      <c r="AE201" s="188"/>
    </row>
    <row r="202" spans="1:31" ht="21.25" customHeight="1" x14ac:dyDescent="0.15">
      <c r="A202" s="10" t="s">
        <v>230</v>
      </c>
      <c r="B202" s="185" t="s">
        <v>849</v>
      </c>
      <c r="C202" s="186">
        <v>31</v>
      </c>
      <c r="D202" s="185" t="s">
        <v>823</v>
      </c>
      <c r="E202" s="89">
        <v>75</v>
      </c>
      <c r="F202" s="187">
        <v>24.6</v>
      </c>
      <c r="G202" s="188">
        <v>0.1</v>
      </c>
      <c r="H202" s="188">
        <v>0.39</v>
      </c>
      <c r="I202" s="188">
        <v>0.49</v>
      </c>
      <c r="J202" s="188">
        <v>1.8</v>
      </c>
      <c r="K202" s="188">
        <v>0.05</v>
      </c>
      <c r="L202" s="188">
        <v>0.21</v>
      </c>
      <c r="M202" s="188">
        <v>0</v>
      </c>
      <c r="N202" s="188">
        <v>0</v>
      </c>
      <c r="O202" s="188">
        <v>1.48</v>
      </c>
      <c r="P202" s="188">
        <v>1.1100000000000001</v>
      </c>
      <c r="Q202" s="188">
        <v>0.04</v>
      </c>
      <c r="R202" s="188">
        <v>0.43</v>
      </c>
      <c r="S202" s="188">
        <v>0.02</v>
      </c>
      <c r="T202" s="188">
        <v>0</v>
      </c>
      <c r="U202" s="188">
        <v>0</v>
      </c>
      <c r="V202" s="188">
        <v>0</v>
      </c>
      <c r="W202" s="188"/>
      <c r="X202" s="89"/>
      <c r="Y202" s="187"/>
      <c r="Z202" s="187"/>
      <c r="AA202" s="187"/>
      <c r="AB202" s="187"/>
      <c r="AC202" s="187"/>
      <c r="AD202" s="189"/>
      <c r="AE202" s="188"/>
    </row>
    <row r="203" spans="1:31" ht="21.25" customHeight="1" x14ac:dyDescent="0.15">
      <c r="A203" s="10" t="s">
        <v>218</v>
      </c>
      <c r="B203" s="185" t="s">
        <v>838</v>
      </c>
      <c r="C203" s="186">
        <v>33</v>
      </c>
      <c r="D203" s="185" t="s">
        <v>823</v>
      </c>
      <c r="E203" s="89">
        <v>74</v>
      </c>
      <c r="F203" s="187">
        <v>22.6</v>
      </c>
      <c r="G203" s="188">
        <v>0.11</v>
      </c>
      <c r="H203" s="188">
        <v>0.37</v>
      </c>
      <c r="I203" s="188">
        <v>0.47</v>
      </c>
      <c r="J203" s="188">
        <v>2.5</v>
      </c>
      <c r="K203" s="188">
        <v>0.04</v>
      </c>
      <c r="L203" s="188">
        <v>0.14000000000000001</v>
      </c>
      <c r="M203" s="188">
        <v>0</v>
      </c>
      <c r="N203" s="188">
        <v>0</v>
      </c>
      <c r="O203" s="188">
        <v>1.25</v>
      </c>
      <c r="P203" s="188">
        <v>1.1499999999999999</v>
      </c>
      <c r="Q203" s="188">
        <v>0.01</v>
      </c>
      <c r="R203" s="188">
        <v>0.64</v>
      </c>
      <c r="S203" s="188">
        <v>0.02</v>
      </c>
      <c r="T203" s="188">
        <v>0</v>
      </c>
      <c r="U203" s="188">
        <v>0</v>
      </c>
      <c r="V203" s="188">
        <v>0</v>
      </c>
      <c r="W203" s="188"/>
      <c r="X203" s="89"/>
      <c r="Y203" s="187"/>
      <c r="Z203" s="187"/>
      <c r="AA203" s="187"/>
      <c r="AB203" s="187"/>
      <c r="AC203" s="187"/>
      <c r="AD203" s="189"/>
      <c r="AE203" s="188"/>
    </row>
    <row r="204" spans="1:31" ht="21.25" customHeight="1" x14ac:dyDescent="0.15">
      <c r="A204" s="10" t="s">
        <v>265</v>
      </c>
      <c r="B204" s="185" t="s">
        <v>864</v>
      </c>
      <c r="C204" s="186">
        <v>20</v>
      </c>
      <c r="D204" s="185" t="s">
        <v>823</v>
      </c>
      <c r="E204" s="89">
        <v>82</v>
      </c>
      <c r="F204" s="187">
        <v>22.8</v>
      </c>
      <c r="G204" s="188">
        <v>0.14000000000000001</v>
      </c>
      <c r="H204" s="188">
        <v>0.4</v>
      </c>
      <c r="I204" s="188">
        <v>0.53</v>
      </c>
      <c r="J204" s="188">
        <v>1.33</v>
      </c>
      <c r="K204" s="188">
        <v>7.0000000000000007E-2</v>
      </c>
      <c r="L204" s="188">
        <v>0.26</v>
      </c>
      <c r="M204" s="188">
        <v>0</v>
      </c>
      <c r="N204" s="188">
        <v>0</v>
      </c>
      <c r="O204" s="188">
        <v>1.03</v>
      </c>
      <c r="P204" s="188">
        <v>0.6</v>
      </c>
      <c r="Q204" s="188">
        <v>-0.15</v>
      </c>
      <c r="R204" s="188">
        <v>0.5</v>
      </c>
      <c r="S204" s="188">
        <v>0.02</v>
      </c>
      <c r="T204" s="188">
        <v>0</v>
      </c>
      <c r="U204" s="188">
        <v>0</v>
      </c>
      <c r="V204" s="188">
        <v>0</v>
      </c>
      <c r="W204" s="188"/>
      <c r="X204" s="89"/>
      <c r="Y204" s="187"/>
      <c r="Z204" s="187"/>
      <c r="AA204" s="187"/>
      <c r="AB204" s="187"/>
      <c r="AC204" s="187"/>
      <c r="AD204" s="189"/>
      <c r="AE204" s="188"/>
    </row>
    <row r="205" spans="1:31" ht="21.25" customHeight="1" x14ac:dyDescent="0.15">
      <c r="A205" s="10" t="s">
        <v>403</v>
      </c>
      <c r="B205" s="185" t="s">
        <v>860</v>
      </c>
      <c r="C205" s="186">
        <v>24</v>
      </c>
      <c r="D205" s="185" t="s">
        <v>844</v>
      </c>
      <c r="E205" s="89">
        <v>84</v>
      </c>
      <c r="F205" s="187">
        <v>16.7</v>
      </c>
      <c r="G205" s="188">
        <v>0.25</v>
      </c>
      <c r="H205" s="188">
        <v>0.27</v>
      </c>
      <c r="I205" s="188">
        <v>0.52</v>
      </c>
      <c r="J205" s="188">
        <v>1.91</v>
      </c>
      <c r="K205" s="188">
        <v>0.04</v>
      </c>
      <c r="L205" s="188">
        <v>0.09</v>
      </c>
      <c r="M205" s="188">
        <v>0.01</v>
      </c>
      <c r="N205" s="188">
        <v>0.02</v>
      </c>
      <c r="O205" s="188">
        <v>0.72</v>
      </c>
      <c r="P205" s="188">
        <v>3.31</v>
      </c>
      <c r="Q205" s="188">
        <v>0</v>
      </c>
      <c r="R205" s="188">
        <v>0.67</v>
      </c>
      <c r="S205" s="188">
        <v>0.04</v>
      </c>
      <c r="T205" s="188">
        <v>0.32</v>
      </c>
      <c r="U205" s="188">
        <v>0.55000000000000004</v>
      </c>
      <c r="V205" s="188">
        <v>0.37</v>
      </c>
      <c r="W205" s="188"/>
      <c r="X205" s="89"/>
      <c r="Y205" s="187"/>
      <c r="Z205" s="187"/>
      <c r="AA205" s="187"/>
      <c r="AB205" s="187"/>
      <c r="AC205" s="187"/>
      <c r="AD205" s="189"/>
      <c r="AE205" s="188"/>
    </row>
    <row r="206" spans="1:31" ht="21.25" customHeight="1" x14ac:dyDescent="0.15">
      <c r="A206" s="10" t="s">
        <v>425</v>
      </c>
      <c r="B206" s="185" t="s">
        <v>837</v>
      </c>
      <c r="C206" s="186">
        <v>31</v>
      </c>
      <c r="D206" s="185" t="s">
        <v>820</v>
      </c>
      <c r="E206" s="89">
        <v>81</v>
      </c>
      <c r="F206" s="187">
        <v>16.8</v>
      </c>
      <c r="G206" s="188">
        <v>0.19</v>
      </c>
      <c r="H206" s="188">
        <v>0.34</v>
      </c>
      <c r="I206" s="188">
        <v>0.53</v>
      </c>
      <c r="J206" s="188">
        <v>1.64</v>
      </c>
      <c r="K206" s="188">
        <v>0.04</v>
      </c>
      <c r="L206" s="188">
        <v>0.14000000000000001</v>
      </c>
      <c r="M206" s="188">
        <v>0</v>
      </c>
      <c r="N206" s="188">
        <v>0.01</v>
      </c>
      <c r="O206" s="188">
        <v>0.82</v>
      </c>
      <c r="P206" s="188">
        <v>0.88</v>
      </c>
      <c r="Q206" s="188">
        <v>-0.03</v>
      </c>
      <c r="R206" s="188">
        <v>0.3</v>
      </c>
      <c r="S206" s="188">
        <v>0.03</v>
      </c>
      <c r="T206" s="188">
        <v>8.85</v>
      </c>
      <c r="U206" s="188">
        <v>7</v>
      </c>
      <c r="V206" s="188">
        <v>0.56000000000000005</v>
      </c>
      <c r="W206" s="188"/>
      <c r="X206" s="89"/>
      <c r="Y206" s="187"/>
      <c r="Z206" s="187"/>
      <c r="AA206" s="187"/>
      <c r="AB206" s="187"/>
      <c r="AC206" s="187"/>
      <c r="AD206" s="189"/>
      <c r="AE206" s="188"/>
    </row>
    <row r="207" spans="1:31" ht="21.25" customHeight="1" x14ac:dyDescent="0.15">
      <c r="A207" s="10" t="s">
        <v>473</v>
      </c>
      <c r="B207" s="185" t="s">
        <v>863</v>
      </c>
      <c r="C207" s="186">
        <v>30</v>
      </c>
      <c r="D207" s="185" t="s">
        <v>820</v>
      </c>
      <c r="E207" s="89">
        <v>78</v>
      </c>
      <c r="F207" s="187">
        <v>17.399999999999999</v>
      </c>
      <c r="G207" s="188">
        <v>0.18</v>
      </c>
      <c r="H207" s="188">
        <v>0.32</v>
      </c>
      <c r="I207" s="188">
        <v>0.51</v>
      </c>
      <c r="J207" s="188">
        <v>1.61</v>
      </c>
      <c r="K207" s="188">
        <v>0.02</v>
      </c>
      <c r="L207" s="188">
        <v>0.04</v>
      </c>
      <c r="M207" s="188">
        <v>0</v>
      </c>
      <c r="N207" s="188">
        <v>0.01</v>
      </c>
      <c r="O207" s="188">
        <v>0.69</v>
      </c>
      <c r="P207" s="188">
        <v>0.56000000000000005</v>
      </c>
      <c r="Q207" s="188">
        <v>0</v>
      </c>
      <c r="R207" s="188">
        <v>0.3</v>
      </c>
      <c r="S207" s="188">
        <v>0.03</v>
      </c>
      <c r="T207" s="188">
        <v>7.6</v>
      </c>
      <c r="U207" s="188">
        <v>6.15</v>
      </c>
      <c r="V207" s="188">
        <v>0.55000000000000004</v>
      </c>
      <c r="W207" s="188"/>
      <c r="X207" s="89"/>
      <c r="Y207" s="187"/>
      <c r="Z207" s="187"/>
      <c r="AA207" s="187"/>
      <c r="AB207" s="187"/>
      <c r="AC207" s="187"/>
      <c r="AD207" s="189"/>
      <c r="AE207" s="188"/>
    </row>
    <row r="208" spans="1:31" ht="21.25" customHeight="1" x14ac:dyDescent="0.15">
      <c r="A208" s="10" t="s">
        <v>238</v>
      </c>
      <c r="B208" s="185" t="s">
        <v>854</v>
      </c>
      <c r="C208" s="186">
        <v>25</v>
      </c>
      <c r="D208" s="185" t="s">
        <v>823</v>
      </c>
      <c r="E208" s="89">
        <v>81</v>
      </c>
      <c r="F208" s="187">
        <v>24.7</v>
      </c>
      <c r="G208" s="188">
        <v>0.12</v>
      </c>
      <c r="H208" s="188">
        <v>0.41</v>
      </c>
      <c r="I208" s="188">
        <v>0.54</v>
      </c>
      <c r="J208" s="188">
        <v>1.56</v>
      </c>
      <c r="K208" s="188">
        <v>0.05</v>
      </c>
      <c r="L208" s="188">
        <v>0.17</v>
      </c>
      <c r="M208" s="188">
        <v>0</v>
      </c>
      <c r="N208" s="188">
        <v>0</v>
      </c>
      <c r="O208" s="188">
        <v>1.43</v>
      </c>
      <c r="P208" s="188">
        <v>0.61</v>
      </c>
      <c r="Q208" s="188">
        <v>0.01</v>
      </c>
      <c r="R208" s="188">
        <v>0.3</v>
      </c>
      <c r="S208" s="188">
        <v>0.02</v>
      </c>
      <c r="T208" s="188">
        <v>0</v>
      </c>
      <c r="U208" s="188">
        <v>0</v>
      </c>
      <c r="V208" s="188">
        <v>0</v>
      </c>
      <c r="W208" s="188"/>
      <c r="X208" s="89"/>
      <c r="Y208" s="187"/>
      <c r="Z208" s="187"/>
      <c r="AA208" s="187"/>
      <c r="AB208" s="187"/>
      <c r="AC208" s="187"/>
      <c r="AD208" s="189"/>
      <c r="AE208" s="188"/>
    </row>
    <row r="209" spans="1:31" ht="21.25" customHeight="1" x14ac:dyDescent="0.15">
      <c r="A209" s="10" t="s">
        <v>540</v>
      </c>
      <c r="B209" s="185" t="s">
        <v>841</v>
      </c>
      <c r="C209" s="186">
        <v>21</v>
      </c>
      <c r="D209" s="185" t="s">
        <v>821</v>
      </c>
      <c r="E209" s="89">
        <v>77</v>
      </c>
      <c r="F209" s="187">
        <v>15.8</v>
      </c>
      <c r="G209" s="188">
        <v>0.2</v>
      </c>
      <c r="H209" s="188">
        <v>0.31</v>
      </c>
      <c r="I209" s="188">
        <v>0.51</v>
      </c>
      <c r="J209" s="188">
        <v>1.53</v>
      </c>
      <c r="K209" s="188">
        <v>0.03</v>
      </c>
      <c r="L209" s="188">
        <v>0.1</v>
      </c>
      <c r="M209" s="188">
        <v>0</v>
      </c>
      <c r="N209" s="188">
        <v>0</v>
      </c>
      <c r="O209" s="188">
        <v>0.5</v>
      </c>
      <c r="P209" s="188">
        <v>1.08</v>
      </c>
      <c r="Q209" s="188">
        <v>0.01</v>
      </c>
      <c r="R209" s="188">
        <v>0.48</v>
      </c>
      <c r="S209" s="188">
        <v>0.03</v>
      </c>
      <c r="T209" s="188">
        <v>0.03</v>
      </c>
      <c r="U209" s="188">
        <v>7.0000000000000007E-2</v>
      </c>
      <c r="V209" s="188">
        <v>0.33</v>
      </c>
      <c r="W209" s="188"/>
      <c r="X209" s="89"/>
      <c r="Y209" s="187"/>
      <c r="Z209" s="187"/>
      <c r="AA209" s="187"/>
      <c r="AB209" s="187"/>
      <c r="AC209" s="187"/>
      <c r="AD209" s="189"/>
      <c r="AE209" s="188"/>
    </row>
    <row r="210" spans="1:31" ht="21.25" customHeight="1" x14ac:dyDescent="0.15">
      <c r="A210" s="10" t="s">
        <v>416</v>
      </c>
      <c r="B210" s="185" t="s">
        <v>867</v>
      </c>
      <c r="C210" s="186">
        <v>27</v>
      </c>
      <c r="D210" s="185" t="s">
        <v>820</v>
      </c>
      <c r="E210" s="89">
        <v>83</v>
      </c>
      <c r="F210" s="187">
        <v>15.9</v>
      </c>
      <c r="G210" s="188">
        <v>0.24</v>
      </c>
      <c r="H210" s="188">
        <v>0.32</v>
      </c>
      <c r="I210" s="188">
        <v>0.56000000000000005</v>
      </c>
      <c r="J210" s="188">
        <v>1.88</v>
      </c>
      <c r="K210" s="188">
        <v>7.0000000000000007E-2</v>
      </c>
      <c r="L210" s="188">
        <v>0.18</v>
      </c>
      <c r="M210" s="188">
        <v>0</v>
      </c>
      <c r="N210" s="188">
        <v>0</v>
      </c>
      <c r="O210" s="188">
        <v>0.6</v>
      </c>
      <c r="P210" s="188">
        <v>0.85</v>
      </c>
      <c r="Q210" s="188">
        <v>-0.09</v>
      </c>
      <c r="R210" s="188">
        <v>0.33</v>
      </c>
      <c r="S210" s="188">
        <v>0.03</v>
      </c>
      <c r="T210" s="188">
        <v>6.88</v>
      </c>
      <c r="U210" s="188">
        <v>6.08</v>
      </c>
      <c r="V210" s="188">
        <v>0.53</v>
      </c>
      <c r="W210" s="188"/>
      <c r="X210" s="89"/>
      <c r="Y210" s="187"/>
      <c r="Z210" s="187"/>
      <c r="AA210" s="187"/>
      <c r="AB210" s="187"/>
      <c r="AC210" s="187"/>
      <c r="AD210" s="189"/>
      <c r="AE210" s="188"/>
    </row>
    <row r="211" spans="1:31" ht="21.25" customHeight="1" x14ac:dyDescent="0.15">
      <c r="A211" s="10" t="s">
        <v>498</v>
      </c>
      <c r="B211" s="185" t="s">
        <v>857</v>
      </c>
      <c r="C211" s="186">
        <v>32</v>
      </c>
      <c r="D211" s="185" t="s">
        <v>835</v>
      </c>
      <c r="E211" s="89">
        <v>80</v>
      </c>
      <c r="F211" s="187">
        <v>17.2</v>
      </c>
      <c r="G211" s="188">
        <v>0.15</v>
      </c>
      <c r="H211" s="188">
        <v>0.36</v>
      </c>
      <c r="I211" s="188">
        <v>0.51</v>
      </c>
      <c r="J211" s="188">
        <v>1.52</v>
      </c>
      <c r="K211" s="188">
        <v>0.02</v>
      </c>
      <c r="L211" s="188">
        <v>0.09</v>
      </c>
      <c r="M211" s="188">
        <v>0.01</v>
      </c>
      <c r="N211" s="188">
        <v>0.01</v>
      </c>
      <c r="O211" s="188">
        <v>0.77</v>
      </c>
      <c r="P211" s="188">
        <v>0.56999999999999995</v>
      </c>
      <c r="Q211" s="188">
        <v>-0.01</v>
      </c>
      <c r="R211" s="188">
        <v>0.32</v>
      </c>
      <c r="S211" s="188">
        <v>0.02</v>
      </c>
      <c r="T211" s="188">
        <v>6.94</v>
      </c>
      <c r="U211" s="188">
        <v>6.18</v>
      </c>
      <c r="V211" s="188">
        <v>0.53</v>
      </c>
      <c r="W211" s="188"/>
      <c r="X211" s="89"/>
      <c r="Y211" s="187"/>
      <c r="Z211" s="187"/>
      <c r="AA211" s="187"/>
      <c r="AB211" s="187"/>
      <c r="AC211" s="187"/>
      <c r="AD211" s="189"/>
      <c r="AE211" s="188"/>
    </row>
    <row r="212" spans="1:31" ht="21.25" customHeight="1" x14ac:dyDescent="0.15">
      <c r="A212" s="10" t="s">
        <v>570</v>
      </c>
      <c r="B212" s="185" t="s">
        <v>837</v>
      </c>
      <c r="C212" s="186">
        <v>27</v>
      </c>
      <c r="D212" s="185" t="s">
        <v>835</v>
      </c>
      <c r="E212" s="89">
        <v>82</v>
      </c>
      <c r="F212" s="187">
        <v>15.1</v>
      </c>
      <c r="G212" s="188">
        <v>0.19</v>
      </c>
      <c r="H212" s="188">
        <v>0.34</v>
      </c>
      <c r="I212" s="188">
        <v>0.52</v>
      </c>
      <c r="J212" s="188">
        <v>1.2</v>
      </c>
      <c r="K212" s="188">
        <v>0.03</v>
      </c>
      <c r="L212" s="188">
        <v>0.1</v>
      </c>
      <c r="M212" s="188">
        <v>0</v>
      </c>
      <c r="N212" s="188">
        <v>0</v>
      </c>
      <c r="O212" s="188">
        <v>0.35</v>
      </c>
      <c r="P212" s="188">
        <v>0.4</v>
      </c>
      <c r="Q212" s="188">
        <v>-0.02</v>
      </c>
      <c r="R212" s="188">
        <v>0.27</v>
      </c>
      <c r="S212" s="188">
        <v>0.03</v>
      </c>
      <c r="T212" s="188">
        <v>2.66</v>
      </c>
      <c r="U212" s="188">
        <v>3.03</v>
      </c>
      <c r="V212" s="188">
        <v>0.47</v>
      </c>
      <c r="W212" s="188"/>
      <c r="X212" s="89"/>
      <c r="Y212" s="187"/>
      <c r="Z212" s="187"/>
      <c r="AA212" s="187"/>
      <c r="AB212" s="187"/>
      <c r="AC212" s="187"/>
      <c r="AD212" s="189"/>
      <c r="AE212" s="188"/>
    </row>
    <row r="213" spans="1:31" ht="21.25" customHeight="1" x14ac:dyDescent="0.15">
      <c r="A213" s="10" t="s">
        <v>247</v>
      </c>
      <c r="B213" s="185" t="s">
        <v>836</v>
      </c>
      <c r="C213" s="186">
        <v>35</v>
      </c>
      <c r="D213" s="185" t="s">
        <v>823</v>
      </c>
      <c r="E213" s="89">
        <v>83</v>
      </c>
      <c r="F213" s="187">
        <v>22.6</v>
      </c>
      <c r="G213" s="188">
        <v>0.06</v>
      </c>
      <c r="H213" s="188">
        <v>0.38</v>
      </c>
      <c r="I213" s="188">
        <v>0.44</v>
      </c>
      <c r="J213" s="188">
        <v>1.29</v>
      </c>
      <c r="K213" s="188">
        <v>0.01</v>
      </c>
      <c r="L213" s="188">
        <v>0.16</v>
      </c>
      <c r="M213" s="188">
        <v>0</v>
      </c>
      <c r="N213" s="188">
        <v>0</v>
      </c>
      <c r="O213" s="188">
        <v>1.03</v>
      </c>
      <c r="P213" s="188">
        <v>1.37</v>
      </c>
      <c r="Q213" s="188">
        <v>-0.04</v>
      </c>
      <c r="R213" s="188">
        <v>0.51</v>
      </c>
      <c r="S213" s="188">
        <v>0.01</v>
      </c>
      <c r="T213" s="188">
        <v>0</v>
      </c>
      <c r="U213" s="188">
        <v>0</v>
      </c>
      <c r="V213" s="188">
        <v>0</v>
      </c>
      <c r="W213" s="188"/>
      <c r="X213" s="89"/>
      <c r="Y213" s="187"/>
      <c r="Z213" s="187"/>
      <c r="AA213" s="187"/>
      <c r="AB213" s="187"/>
      <c r="AC213" s="187"/>
      <c r="AD213" s="189"/>
      <c r="AE213" s="188"/>
    </row>
    <row r="214" spans="1:31" ht="21.25" customHeight="1" x14ac:dyDescent="0.15">
      <c r="A214" s="10" t="s">
        <v>545</v>
      </c>
      <c r="B214" s="185" t="s">
        <v>858</v>
      </c>
      <c r="C214" s="186">
        <v>22</v>
      </c>
      <c r="D214" s="185" t="s">
        <v>820</v>
      </c>
      <c r="E214" s="89">
        <v>67</v>
      </c>
      <c r="F214" s="187">
        <v>16.2</v>
      </c>
      <c r="G214" s="188">
        <v>0.26</v>
      </c>
      <c r="H214" s="188">
        <v>0.23</v>
      </c>
      <c r="I214" s="188">
        <v>0.5</v>
      </c>
      <c r="J214" s="188">
        <v>1.94</v>
      </c>
      <c r="K214" s="188">
        <v>0.02</v>
      </c>
      <c r="L214" s="188">
        <v>0.04</v>
      </c>
      <c r="M214" s="188">
        <v>0</v>
      </c>
      <c r="N214" s="188">
        <v>0</v>
      </c>
      <c r="O214" s="188">
        <v>0.65</v>
      </c>
      <c r="P214" s="188">
        <v>0.79</v>
      </c>
      <c r="Q214" s="188">
        <v>0.01</v>
      </c>
      <c r="R214" s="188">
        <v>0.36</v>
      </c>
      <c r="S214" s="188">
        <v>0.04</v>
      </c>
      <c r="T214" s="188">
        <v>5.13</v>
      </c>
      <c r="U214" s="188">
        <v>6.44</v>
      </c>
      <c r="V214" s="188">
        <v>0.44</v>
      </c>
      <c r="W214" s="188"/>
      <c r="X214" s="89"/>
      <c r="Y214" s="187"/>
      <c r="Z214" s="187"/>
      <c r="AA214" s="187"/>
      <c r="AB214" s="187"/>
      <c r="AC214" s="187"/>
      <c r="AD214" s="189"/>
      <c r="AE214" s="188"/>
    </row>
    <row r="215" spans="1:31" ht="21.25" customHeight="1" x14ac:dyDescent="0.15">
      <c r="A215" s="10" t="s">
        <v>528</v>
      </c>
      <c r="B215" s="185" t="s">
        <v>854</v>
      </c>
      <c r="C215" s="186">
        <v>24</v>
      </c>
      <c r="D215" s="185" t="s">
        <v>844</v>
      </c>
      <c r="E215" s="89">
        <v>81</v>
      </c>
      <c r="F215" s="187">
        <v>14.5</v>
      </c>
      <c r="G215" s="188">
        <v>0.24</v>
      </c>
      <c r="H215" s="188">
        <v>0.28000000000000003</v>
      </c>
      <c r="I215" s="188">
        <v>0.52</v>
      </c>
      <c r="J215" s="188">
        <v>1.35</v>
      </c>
      <c r="K215" s="188">
        <v>0.04</v>
      </c>
      <c r="L215" s="188">
        <v>0.12</v>
      </c>
      <c r="M215" s="188">
        <v>0</v>
      </c>
      <c r="N215" s="188">
        <v>0</v>
      </c>
      <c r="O215" s="188">
        <v>0.54</v>
      </c>
      <c r="P215" s="188">
        <v>1.91</v>
      </c>
      <c r="Q215" s="188">
        <v>-0.01</v>
      </c>
      <c r="R215" s="188">
        <v>0.48</v>
      </c>
      <c r="S215" s="188">
        <v>0.03</v>
      </c>
      <c r="T215" s="188">
        <v>0.09</v>
      </c>
      <c r="U215" s="188">
        <v>0.19</v>
      </c>
      <c r="V215" s="188">
        <v>0.32</v>
      </c>
      <c r="W215" s="188"/>
      <c r="X215" s="89"/>
      <c r="Y215" s="187"/>
      <c r="Z215" s="187"/>
      <c r="AA215" s="187"/>
      <c r="AB215" s="187"/>
      <c r="AC215" s="187"/>
      <c r="AD215" s="189"/>
      <c r="AE215" s="188"/>
    </row>
    <row r="216" spans="1:31" ht="21.25" customHeight="1" x14ac:dyDescent="0.15">
      <c r="A216" s="10" t="s">
        <v>489</v>
      </c>
      <c r="B216" s="185" t="s">
        <v>866</v>
      </c>
      <c r="C216" s="186">
        <v>22</v>
      </c>
      <c r="D216" s="185" t="s">
        <v>842</v>
      </c>
      <c r="E216" s="89">
        <v>81</v>
      </c>
      <c r="F216" s="187">
        <v>15</v>
      </c>
      <c r="G216" s="188">
        <v>0.22</v>
      </c>
      <c r="H216" s="188">
        <v>0.28999999999999998</v>
      </c>
      <c r="I216" s="188">
        <v>0.52</v>
      </c>
      <c r="J216" s="188">
        <v>1.45</v>
      </c>
      <c r="K216" s="188">
        <v>0.05</v>
      </c>
      <c r="L216" s="188">
        <v>0.12</v>
      </c>
      <c r="M216" s="188">
        <v>0</v>
      </c>
      <c r="N216" s="188">
        <v>0</v>
      </c>
      <c r="O216" s="188">
        <v>0.79</v>
      </c>
      <c r="P216" s="188">
        <v>0.78</v>
      </c>
      <c r="Q216" s="188">
        <v>-0.06</v>
      </c>
      <c r="R216" s="188">
        <v>0.23</v>
      </c>
      <c r="S216" s="188">
        <v>0.03</v>
      </c>
      <c r="T216" s="188">
        <v>3.65</v>
      </c>
      <c r="U216" s="188">
        <v>5.01</v>
      </c>
      <c r="V216" s="188">
        <v>0.42</v>
      </c>
      <c r="W216" s="188"/>
      <c r="X216" s="89"/>
      <c r="Y216" s="188"/>
      <c r="Z216" s="188"/>
      <c r="AA216" s="188"/>
      <c r="AB216" s="188"/>
      <c r="AC216" s="187"/>
      <c r="AD216" s="189"/>
      <c r="AE216" s="188"/>
    </row>
    <row r="217" spans="1:31" ht="21.25" customHeight="1" x14ac:dyDescent="0.15">
      <c r="A217" s="10" t="s">
        <v>231</v>
      </c>
      <c r="B217" s="185" t="s">
        <v>859</v>
      </c>
      <c r="C217" s="186">
        <v>29</v>
      </c>
      <c r="D217" s="185" t="s">
        <v>823</v>
      </c>
      <c r="E217" s="89">
        <v>76</v>
      </c>
      <c r="F217" s="187">
        <v>22</v>
      </c>
      <c r="G217" s="188">
        <v>0.12</v>
      </c>
      <c r="H217" s="188">
        <v>0.4</v>
      </c>
      <c r="I217" s="188">
        <v>0.52</v>
      </c>
      <c r="J217" s="188">
        <v>1.85</v>
      </c>
      <c r="K217" s="188">
        <v>0.02</v>
      </c>
      <c r="L217" s="188">
        <v>0.1</v>
      </c>
      <c r="M217" s="188">
        <v>0.01</v>
      </c>
      <c r="N217" s="188">
        <v>0.01</v>
      </c>
      <c r="O217" s="188">
        <v>1.76</v>
      </c>
      <c r="P217" s="188">
        <v>0.75</v>
      </c>
      <c r="Q217" s="188">
        <v>0.03</v>
      </c>
      <c r="R217" s="188">
        <v>0.39</v>
      </c>
      <c r="S217" s="188">
        <v>0.02</v>
      </c>
      <c r="T217" s="188">
        <v>0</v>
      </c>
      <c r="U217" s="188">
        <v>0</v>
      </c>
      <c r="V217" s="188">
        <v>0</v>
      </c>
      <c r="W217" s="188"/>
      <c r="X217" s="89"/>
      <c r="Y217" s="187"/>
      <c r="Z217" s="187"/>
      <c r="AA217" s="187"/>
      <c r="AB217" s="187"/>
      <c r="AC217" s="187"/>
      <c r="AD217" s="189"/>
      <c r="AE217" s="188"/>
    </row>
    <row r="218" spans="1:31" ht="21.25" customHeight="1" x14ac:dyDescent="0.15">
      <c r="A218" s="10" t="s">
        <v>412</v>
      </c>
      <c r="B218" s="185" t="s">
        <v>845</v>
      </c>
      <c r="C218" s="186">
        <v>24</v>
      </c>
      <c r="D218" s="185" t="s">
        <v>848</v>
      </c>
      <c r="E218" s="89">
        <v>83</v>
      </c>
      <c r="F218" s="187">
        <v>16.600000000000001</v>
      </c>
      <c r="G218" s="188">
        <v>0.24</v>
      </c>
      <c r="H218" s="188">
        <v>0.27</v>
      </c>
      <c r="I218" s="188">
        <v>0.51</v>
      </c>
      <c r="J218" s="188">
        <v>2.2999999999999998</v>
      </c>
      <c r="K218" s="188">
        <v>0.03</v>
      </c>
      <c r="L218" s="188">
        <v>0.06</v>
      </c>
      <c r="M218" s="188">
        <v>0.02</v>
      </c>
      <c r="N218" s="188">
        <v>0.02</v>
      </c>
      <c r="O218" s="188">
        <v>0.54</v>
      </c>
      <c r="P218" s="188">
        <v>2.27</v>
      </c>
      <c r="Q218" s="188">
        <v>0.01</v>
      </c>
      <c r="R218" s="188">
        <v>0.34</v>
      </c>
      <c r="S218" s="188">
        <v>0.04</v>
      </c>
      <c r="T218" s="188">
        <v>1.76</v>
      </c>
      <c r="U218" s="188">
        <v>2.35</v>
      </c>
      <c r="V218" s="188">
        <v>0.43</v>
      </c>
      <c r="W218" s="188"/>
      <c r="X218" s="89"/>
      <c r="Y218" s="187"/>
      <c r="Z218" s="187"/>
      <c r="AA218" s="187"/>
      <c r="AB218" s="187"/>
      <c r="AC218" s="187"/>
      <c r="AD218" s="189"/>
      <c r="AE218" s="188"/>
    </row>
    <row r="219" spans="1:31" ht="21.25" customHeight="1" x14ac:dyDescent="0.15">
      <c r="A219" s="10" t="s">
        <v>541</v>
      </c>
      <c r="B219" s="185" t="s">
        <v>851</v>
      </c>
      <c r="C219" s="186">
        <v>29</v>
      </c>
      <c r="D219" s="185" t="s">
        <v>835</v>
      </c>
      <c r="E219" s="89">
        <v>79</v>
      </c>
      <c r="F219" s="187">
        <v>14.5</v>
      </c>
      <c r="G219" s="188">
        <v>0.21</v>
      </c>
      <c r="H219" s="188">
        <v>0.28999999999999998</v>
      </c>
      <c r="I219" s="188">
        <v>0.49</v>
      </c>
      <c r="J219" s="188">
        <v>1.6</v>
      </c>
      <c r="K219" s="188">
        <v>0.04</v>
      </c>
      <c r="L219" s="188">
        <v>0.08</v>
      </c>
      <c r="M219" s="188">
        <v>0</v>
      </c>
      <c r="N219" s="188">
        <v>0</v>
      </c>
      <c r="O219" s="188">
        <v>0.44</v>
      </c>
      <c r="P219" s="188">
        <v>0.24</v>
      </c>
      <c r="Q219" s="188">
        <v>0.02</v>
      </c>
      <c r="R219" s="188">
        <v>0.24</v>
      </c>
      <c r="S219" s="188">
        <v>0.03</v>
      </c>
      <c r="T219" s="188">
        <v>2.64</v>
      </c>
      <c r="U219" s="188">
        <v>3.55</v>
      </c>
      <c r="V219" s="188">
        <v>0.43</v>
      </c>
      <c r="W219" s="188"/>
      <c r="X219" s="89"/>
      <c r="Y219" s="187"/>
      <c r="Z219" s="187"/>
      <c r="AA219" s="187"/>
      <c r="AB219" s="187"/>
      <c r="AC219" s="187"/>
      <c r="AD219" s="189"/>
      <c r="AE219" s="188"/>
    </row>
    <row r="220" spans="1:31" ht="21.25" customHeight="1" x14ac:dyDescent="0.15">
      <c r="A220" s="10" t="s">
        <v>582</v>
      </c>
      <c r="B220" s="185" t="s">
        <v>843</v>
      </c>
      <c r="C220" s="186">
        <v>37</v>
      </c>
      <c r="D220" s="185" t="s">
        <v>848</v>
      </c>
      <c r="E220" s="89">
        <v>80</v>
      </c>
      <c r="F220" s="187">
        <v>12.5</v>
      </c>
      <c r="G220" s="188">
        <v>0.2</v>
      </c>
      <c r="H220" s="188">
        <v>0.31</v>
      </c>
      <c r="I220" s="188">
        <v>0.51</v>
      </c>
      <c r="J220" s="188">
        <v>1.35</v>
      </c>
      <c r="K220" s="188">
        <v>0.02</v>
      </c>
      <c r="L220" s="188">
        <v>0.08</v>
      </c>
      <c r="M220" s="188">
        <v>0</v>
      </c>
      <c r="N220" s="188">
        <v>0</v>
      </c>
      <c r="O220" s="188">
        <v>0.44</v>
      </c>
      <c r="P220" s="188">
        <v>1.28</v>
      </c>
      <c r="Q220" s="188">
        <v>7.0000000000000007E-2</v>
      </c>
      <c r="R220" s="188">
        <v>0.71</v>
      </c>
      <c r="S220" s="188">
        <v>0.03</v>
      </c>
      <c r="T220" s="188">
        <v>1.88</v>
      </c>
      <c r="U220" s="188">
        <v>1.53</v>
      </c>
      <c r="V220" s="188">
        <v>0.55000000000000004</v>
      </c>
      <c r="W220" s="188"/>
      <c r="X220" s="89"/>
      <c r="Y220" s="187"/>
      <c r="Z220" s="187"/>
      <c r="AA220" s="187"/>
      <c r="AB220" s="187"/>
      <c r="AC220" s="187"/>
      <c r="AD220" s="189"/>
      <c r="AE220" s="188"/>
    </row>
    <row r="221" spans="1:31" ht="21.25" customHeight="1" x14ac:dyDescent="0.15">
      <c r="A221" s="10" t="s">
        <v>503</v>
      </c>
      <c r="B221" s="185" t="s">
        <v>853</v>
      </c>
      <c r="C221" s="186">
        <v>31</v>
      </c>
      <c r="D221" s="185" t="s">
        <v>820</v>
      </c>
      <c r="E221" s="89">
        <v>80</v>
      </c>
      <c r="F221" s="187">
        <v>15.7</v>
      </c>
      <c r="G221" s="188">
        <v>0.19</v>
      </c>
      <c r="H221" s="188">
        <v>0.32</v>
      </c>
      <c r="I221" s="188">
        <v>0.51</v>
      </c>
      <c r="J221" s="188">
        <v>1.6</v>
      </c>
      <c r="K221" s="188">
        <v>0.03</v>
      </c>
      <c r="L221" s="188">
        <v>0.1</v>
      </c>
      <c r="M221" s="188">
        <v>0.02</v>
      </c>
      <c r="N221" s="188">
        <v>0.03</v>
      </c>
      <c r="O221" s="188">
        <v>0.47</v>
      </c>
      <c r="P221" s="188">
        <v>0.6</v>
      </c>
      <c r="Q221" s="188">
        <v>0.04</v>
      </c>
      <c r="R221" s="188">
        <v>0.22</v>
      </c>
      <c r="S221" s="188">
        <v>0.03</v>
      </c>
      <c r="T221" s="188">
        <v>7.73</v>
      </c>
      <c r="U221" s="188">
        <v>6.84</v>
      </c>
      <c r="V221" s="188">
        <v>0.53</v>
      </c>
      <c r="W221" s="188"/>
      <c r="X221" s="89"/>
      <c r="Y221" s="187"/>
      <c r="Z221" s="187"/>
      <c r="AA221" s="187"/>
      <c r="AB221" s="187"/>
      <c r="AC221" s="187"/>
      <c r="AD221" s="189"/>
      <c r="AE221" s="188"/>
    </row>
    <row r="222" spans="1:31" ht="21.25" customHeight="1" x14ac:dyDescent="0.15">
      <c r="A222" s="10" t="s">
        <v>494</v>
      </c>
      <c r="B222" s="185" t="s">
        <v>861</v>
      </c>
      <c r="C222" s="186">
        <v>35</v>
      </c>
      <c r="D222" s="185" t="s">
        <v>844</v>
      </c>
      <c r="E222" s="89">
        <v>80</v>
      </c>
      <c r="F222" s="187">
        <v>15.4</v>
      </c>
      <c r="G222" s="188">
        <v>0.21</v>
      </c>
      <c r="H222" s="188">
        <v>0.28999999999999998</v>
      </c>
      <c r="I222" s="188">
        <v>0.5</v>
      </c>
      <c r="J222" s="188">
        <v>2.1</v>
      </c>
      <c r="K222" s="188">
        <v>0.04</v>
      </c>
      <c r="L222" s="188">
        <v>0.13</v>
      </c>
      <c r="M222" s="188">
        <v>0</v>
      </c>
      <c r="N222" s="188">
        <v>0</v>
      </c>
      <c r="O222" s="188">
        <v>0.23</v>
      </c>
      <c r="P222" s="188">
        <v>1.05</v>
      </c>
      <c r="Q222" s="188">
        <v>-0.06</v>
      </c>
      <c r="R222" s="188">
        <v>0.37</v>
      </c>
      <c r="S222" s="188">
        <v>0.03</v>
      </c>
      <c r="T222" s="188">
        <v>0.17</v>
      </c>
      <c r="U222" s="188">
        <v>0.4</v>
      </c>
      <c r="V222" s="188">
        <v>0.3</v>
      </c>
      <c r="W222" s="188"/>
      <c r="X222" s="89"/>
      <c r="Y222" s="187"/>
      <c r="Z222" s="187"/>
      <c r="AA222" s="187"/>
      <c r="AB222" s="187"/>
      <c r="AC222" s="187"/>
      <c r="AD222" s="189"/>
      <c r="AE222" s="188"/>
    </row>
    <row r="223" spans="1:31" ht="21.25" customHeight="1" x14ac:dyDescent="0.15">
      <c r="A223" s="10" t="s">
        <v>253</v>
      </c>
      <c r="B223" s="185" t="s">
        <v>867</v>
      </c>
      <c r="C223" s="186">
        <v>22</v>
      </c>
      <c r="D223" s="185" t="s">
        <v>823</v>
      </c>
      <c r="E223" s="89">
        <v>72</v>
      </c>
      <c r="F223" s="187">
        <v>23.6</v>
      </c>
      <c r="G223" s="188">
        <v>0.15</v>
      </c>
      <c r="H223" s="188">
        <v>0.34</v>
      </c>
      <c r="I223" s="188">
        <v>0.49</v>
      </c>
      <c r="J223" s="188">
        <v>1.86</v>
      </c>
      <c r="K223" s="188">
        <v>0.02</v>
      </c>
      <c r="L223" s="188">
        <v>0.12</v>
      </c>
      <c r="M223" s="188">
        <v>0</v>
      </c>
      <c r="N223" s="188">
        <v>0</v>
      </c>
      <c r="O223" s="188">
        <v>1.65</v>
      </c>
      <c r="P223" s="188">
        <v>0.47</v>
      </c>
      <c r="Q223" s="188">
        <v>-0.12</v>
      </c>
      <c r="R223" s="188">
        <v>0.56000000000000005</v>
      </c>
      <c r="S223" s="188">
        <v>0.02</v>
      </c>
      <c r="T223" s="188">
        <v>0</v>
      </c>
      <c r="U223" s="188">
        <v>0</v>
      </c>
      <c r="V223" s="188">
        <v>0</v>
      </c>
      <c r="W223" s="188"/>
      <c r="X223" s="89"/>
      <c r="Y223" s="187"/>
      <c r="Z223" s="187"/>
      <c r="AA223" s="187"/>
      <c r="AB223" s="187"/>
      <c r="AC223" s="187"/>
      <c r="AD223" s="189"/>
      <c r="AE223" s="188"/>
    </row>
    <row r="224" spans="1:31" ht="21.25" customHeight="1" x14ac:dyDescent="0.15">
      <c r="A224" s="10" t="s">
        <v>589</v>
      </c>
      <c r="B224" s="185" t="s">
        <v>862</v>
      </c>
      <c r="C224" s="186">
        <v>25</v>
      </c>
      <c r="D224" s="185" t="s">
        <v>844</v>
      </c>
      <c r="E224" s="89">
        <v>78</v>
      </c>
      <c r="F224" s="187">
        <v>14.3</v>
      </c>
      <c r="G224" s="188">
        <v>0.18</v>
      </c>
      <c r="H224" s="188">
        <v>0.31</v>
      </c>
      <c r="I224" s="188">
        <v>0.5</v>
      </c>
      <c r="J224" s="188">
        <v>1.38</v>
      </c>
      <c r="K224" s="188">
        <v>0.02</v>
      </c>
      <c r="L224" s="188">
        <v>0.08</v>
      </c>
      <c r="M224" s="188">
        <v>0</v>
      </c>
      <c r="N224" s="188">
        <v>0</v>
      </c>
      <c r="O224" s="188">
        <v>0.26</v>
      </c>
      <c r="P224" s="188">
        <v>0.42</v>
      </c>
      <c r="Q224" s="188">
        <v>-0.04</v>
      </c>
      <c r="R224" s="188">
        <v>0.2</v>
      </c>
      <c r="S224" s="188">
        <v>0.03</v>
      </c>
      <c r="T224" s="188">
        <v>0.05</v>
      </c>
      <c r="U224" s="188">
        <v>7.0000000000000007E-2</v>
      </c>
      <c r="V224" s="188">
        <v>0.43</v>
      </c>
      <c r="W224" s="188"/>
      <c r="X224" s="89"/>
      <c r="Y224" s="187"/>
      <c r="Z224" s="187"/>
      <c r="AA224" s="187"/>
      <c r="AB224" s="187"/>
      <c r="AC224" s="187"/>
      <c r="AD224" s="189"/>
      <c r="AE224" s="188"/>
    </row>
    <row r="225" spans="1:31" ht="21.25" customHeight="1" x14ac:dyDescent="0.15">
      <c r="A225" s="10" t="s">
        <v>229</v>
      </c>
      <c r="B225" s="185" t="s">
        <v>858</v>
      </c>
      <c r="C225" s="186">
        <v>23</v>
      </c>
      <c r="D225" s="185" t="s">
        <v>823</v>
      </c>
      <c r="E225" s="89">
        <v>83</v>
      </c>
      <c r="F225" s="187">
        <v>23.9</v>
      </c>
      <c r="G225" s="188">
        <v>0.11</v>
      </c>
      <c r="H225" s="188">
        <v>0.38</v>
      </c>
      <c r="I225" s="188">
        <v>0.5</v>
      </c>
      <c r="J225" s="188">
        <v>1.76</v>
      </c>
      <c r="K225" s="188">
        <v>0.01</v>
      </c>
      <c r="L225" s="188">
        <v>0.06</v>
      </c>
      <c r="M225" s="188">
        <v>0</v>
      </c>
      <c r="N225" s="188">
        <v>0.02</v>
      </c>
      <c r="O225" s="188">
        <v>1.42</v>
      </c>
      <c r="P225" s="188">
        <v>0.49</v>
      </c>
      <c r="Q225" s="188">
        <v>0.01</v>
      </c>
      <c r="R225" s="188">
        <v>0.28999999999999998</v>
      </c>
      <c r="S225" s="188">
        <v>0.02</v>
      </c>
      <c r="T225" s="188">
        <v>0</v>
      </c>
      <c r="U225" s="188">
        <v>0</v>
      </c>
      <c r="V225" s="188">
        <v>0</v>
      </c>
      <c r="W225" s="188"/>
      <c r="X225" s="89"/>
      <c r="Y225" s="187"/>
      <c r="Z225" s="187"/>
      <c r="AA225" s="187"/>
      <c r="AB225" s="187"/>
      <c r="AC225" s="187"/>
      <c r="AD225" s="189"/>
      <c r="AE225" s="188"/>
    </row>
    <row r="226" spans="1:31" ht="21.25" customHeight="1" x14ac:dyDescent="0.15">
      <c r="A226" s="10" t="s">
        <v>496</v>
      </c>
      <c r="B226" s="185" t="s">
        <v>836</v>
      </c>
      <c r="C226" s="186">
        <v>34</v>
      </c>
      <c r="D226" s="185" t="s">
        <v>844</v>
      </c>
      <c r="E226" s="89">
        <v>83</v>
      </c>
      <c r="F226" s="187">
        <v>13.5</v>
      </c>
      <c r="G226" s="188">
        <v>0.26</v>
      </c>
      <c r="H226" s="188">
        <v>0.28000000000000003</v>
      </c>
      <c r="I226" s="188">
        <v>0.54</v>
      </c>
      <c r="J226" s="188">
        <v>2.11</v>
      </c>
      <c r="K226" s="188">
        <v>0.06</v>
      </c>
      <c r="L226" s="188">
        <v>0.14000000000000001</v>
      </c>
      <c r="M226" s="188">
        <v>0</v>
      </c>
      <c r="N226" s="188">
        <v>0</v>
      </c>
      <c r="O226" s="188">
        <v>0.37</v>
      </c>
      <c r="P226" s="188">
        <v>0.69</v>
      </c>
      <c r="Q226" s="188">
        <v>-0.03</v>
      </c>
      <c r="R226" s="188">
        <v>0.17</v>
      </c>
      <c r="S226" s="188">
        <v>0.04</v>
      </c>
      <c r="T226" s="188">
        <v>0.13</v>
      </c>
      <c r="U226" s="188">
        <v>0.2</v>
      </c>
      <c r="V226" s="188">
        <v>0.4</v>
      </c>
      <c r="W226" s="188"/>
      <c r="X226" s="89"/>
      <c r="Y226" s="187"/>
      <c r="Z226" s="187"/>
      <c r="AA226" s="187"/>
      <c r="AB226" s="187"/>
      <c r="AC226" s="187"/>
      <c r="AD226" s="189"/>
      <c r="AE226" s="188"/>
    </row>
    <row r="227" spans="1:31" ht="21.25" customHeight="1" x14ac:dyDescent="0.15">
      <c r="A227" s="10" t="s">
        <v>555</v>
      </c>
      <c r="B227" s="185" t="s">
        <v>858</v>
      </c>
      <c r="C227" s="186">
        <v>22</v>
      </c>
      <c r="D227" s="185" t="s">
        <v>820</v>
      </c>
      <c r="E227" s="89">
        <v>75</v>
      </c>
      <c r="F227" s="187">
        <v>16.100000000000001</v>
      </c>
      <c r="G227" s="188">
        <v>0.21</v>
      </c>
      <c r="H227" s="188">
        <v>0.3</v>
      </c>
      <c r="I227" s="188">
        <v>0.51</v>
      </c>
      <c r="J227" s="188">
        <v>1.29</v>
      </c>
      <c r="K227" s="188">
        <v>0.04</v>
      </c>
      <c r="L227" s="188">
        <v>0.12</v>
      </c>
      <c r="M227" s="188">
        <v>0.01</v>
      </c>
      <c r="N227" s="188">
        <v>0.01</v>
      </c>
      <c r="O227" s="188">
        <v>0.69</v>
      </c>
      <c r="P227" s="188">
        <v>0.31</v>
      </c>
      <c r="Q227" s="188">
        <v>0.03</v>
      </c>
      <c r="R227" s="188">
        <v>0.33</v>
      </c>
      <c r="S227" s="188">
        <v>0.03</v>
      </c>
      <c r="T227" s="188">
        <v>1.66</v>
      </c>
      <c r="U227" s="188">
        <v>3.56</v>
      </c>
      <c r="V227" s="188">
        <v>0.32</v>
      </c>
      <c r="W227" s="188"/>
      <c r="X227" s="89"/>
      <c r="Y227" s="187"/>
      <c r="Z227" s="187"/>
      <c r="AA227" s="187"/>
      <c r="AB227" s="187"/>
      <c r="AC227" s="187"/>
      <c r="AD227" s="189"/>
      <c r="AE227" s="188"/>
    </row>
    <row r="228" spans="1:31" ht="21.25" customHeight="1" x14ac:dyDescent="0.15">
      <c r="A228" s="10" t="s">
        <v>469</v>
      </c>
      <c r="B228" s="185" t="s">
        <v>838</v>
      </c>
      <c r="C228" s="186">
        <v>24</v>
      </c>
      <c r="D228" s="185" t="s">
        <v>842</v>
      </c>
      <c r="E228" s="89">
        <v>84</v>
      </c>
      <c r="F228" s="187">
        <v>17.8</v>
      </c>
      <c r="G228" s="188">
        <v>0.2</v>
      </c>
      <c r="H228" s="188">
        <v>0.2</v>
      </c>
      <c r="I228" s="188">
        <v>0.4</v>
      </c>
      <c r="J228" s="188">
        <v>1.53</v>
      </c>
      <c r="K228" s="188">
        <v>0.02</v>
      </c>
      <c r="L228" s="188">
        <v>0.04</v>
      </c>
      <c r="M228" s="188">
        <v>0.02</v>
      </c>
      <c r="N228" s="188">
        <v>0.02</v>
      </c>
      <c r="O228" s="188">
        <v>0.55000000000000004</v>
      </c>
      <c r="P228" s="188">
        <v>0.45</v>
      </c>
      <c r="Q228" s="188">
        <v>0</v>
      </c>
      <c r="R228" s="188">
        <v>0.28000000000000003</v>
      </c>
      <c r="S228" s="188">
        <v>0.03</v>
      </c>
      <c r="T228" s="188">
        <v>1.38</v>
      </c>
      <c r="U228" s="188">
        <v>2</v>
      </c>
      <c r="V228" s="188">
        <v>0.41</v>
      </c>
      <c r="W228" s="188"/>
      <c r="X228" s="89"/>
      <c r="Y228" s="187"/>
      <c r="Z228" s="187"/>
      <c r="AA228" s="187"/>
      <c r="AB228" s="187"/>
      <c r="AC228" s="187"/>
      <c r="AD228" s="189"/>
      <c r="AE228" s="188"/>
    </row>
    <row r="229" spans="1:31" ht="21.25" customHeight="1" x14ac:dyDescent="0.15">
      <c r="A229" s="10" t="s">
        <v>490</v>
      </c>
      <c r="B229" s="185" t="s">
        <v>832</v>
      </c>
      <c r="C229" s="186">
        <v>22</v>
      </c>
      <c r="D229" s="185" t="s">
        <v>842</v>
      </c>
      <c r="E229" s="89">
        <v>81</v>
      </c>
      <c r="F229" s="187">
        <v>15.8</v>
      </c>
      <c r="G229" s="188">
        <v>0.22</v>
      </c>
      <c r="H229" s="188">
        <v>0.27</v>
      </c>
      <c r="I229" s="188">
        <v>0.49</v>
      </c>
      <c r="J229" s="188">
        <v>1.81</v>
      </c>
      <c r="K229" s="188">
        <v>0.04</v>
      </c>
      <c r="L229" s="188">
        <v>7.0000000000000007E-2</v>
      </c>
      <c r="M229" s="188">
        <v>0.02</v>
      </c>
      <c r="N229" s="188">
        <v>0.02</v>
      </c>
      <c r="O229" s="188">
        <v>0.49</v>
      </c>
      <c r="P229" s="188">
        <v>0.34</v>
      </c>
      <c r="Q229" s="188">
        <v>0.06</v>
      </c>
      <c r="R229" s="188">
        <v>0.26</v>
      </c>
      <c r="S229" s="188">
        <v>0.04</v>
      </c>
      <c r="T229" s="188">
        <v>0.43</v>
      </c>
      <c r="U229" s="188">
        <v>0.62</v>
      </c>
      <c r="V229" s="188">
        <v>0.41</v>
      </c>
      <c r="W229" s="188"/>
      <c r="X229" s="89"/>
      <c r="Y229" s="187"/>
      <c r="Z229" s="187"/>
      <c r="AA229" s="187"/>
      <c r="AB229" s="187"/>
      <c r="AC229" s="187"/>
      <c r="AD229" s="189"/>
      <c r="AE229" s="188"/>
    </row>
    <row r="230" spans="1:31" ht="21.25" customHeight="1" x14ac:dyDescent="0.15">
      <c r="A230" s="10" t="s">
        <v>420</v>
      </c>
      <c r="B230" s="185" t="s">
        <v>851</v>
      </c>
      <c r="C230" s="186">
        <v>19</v>
      </c>
      <c r="D230" s="185" t="s">
        <v>820</v>
      </c>
      <c r="E230" s="89">
        <v>82</v>
      </c>
      <c r="F230" s="187">
        <v>15.9</v>
      </c>
      <c r="G230" s="188">
        <v>0.22</v>
      </c>
      <c r="H230" s="188">
        <v>0.26</v>
      </c>
      <c r="I230" s="188">
        <v>0.49</v>
      </c>
      <c r="J230" s="188">
        <v>1.95</v>
      </c>
      <c r="K230" s="188">
        <v>0.04</v>
      </c>
      <c r="L230" s="188">
        <v>0.11</v>
      </c>
      <c r="M230" s="188">
        <v>0</v>
      </c>
      <c r="N230" s="188">
        <v>0.02</v>
      </c>
      <c r="O230" s="188">
        <v>0.75</v>
      </c>
      <c r="P230" s="188">
        <v>0.51</v>
      </c>
      <c r="Q230" s="188">
        <v>0</v>
      </c>
      <c r="R230" s="188">
        <v>0.3</v>
      </c>
      <c r="S230" s="188">
        <v>0.03</v>
      </c>
      <c r="T230" s="188">
        <v>3.87</v>
      </c>
      <c r="U230" s="188">
        <v>5.03</v>
      </c>
      <c r="V230" s="188">
        <v>0.43</v>
      </c>
      <c r="W230" s="188"/>
      <c r="X230" s="89"/>
      <c r="Y230" s="187"/>
      <c r="Z230" s="187"/>
      <c r="AA230" s="187"/>
      <c r="AB230" s="187"/>
      <c r="AC230" s="187"/>
      <c r="AD230" s="189"/>
      <c r="AE230" s="188"/>
    </row>
    <row r="231" spans="1:31" ht="21.25" customHeight="1" x14ac:dyDescent="0.15">
      <c r="A231" s="10" t="s">
        <v>472</v>
      </c>
      <c r="B231" s="185" t="s">
        <v>836</v>
      </c>
      <c r="C231" s="186">
        <v>31</v>
      </c>
      <c r="D231" s="185" t="s">
        <v>844</v>
      </c>
      <c r="E231" s="89">
        <v>80</v>
      </c>
      <c r="F231" s="187">
        <v>17</v>
      </c>
      <c r="G231" s="188">
        <v>0.21</v>
      </c>
      <c r="H231" s="188">
        <v>0.18</v>
      </c>
      <c r="I231" s="188">
        <v>0.39</v>
      </c>
      <c r="J231" s="188">
        <v>1.9</v>
      </c>
      <c r="K231" s="188">
        <v>0.02</v>
      </c>
      <c r="L231" s="188">
        <v>0.05</v>
      </c>
      <c r="M231" s="188">
        <v>0.02</v>
      </c>
      <c r="N231" s="188">
        <v>0.03</v>
      </c>
      <c r="O231" s="188">
        <v>0.43</v>
      </c>
      <c r="P231" s="188">
        <v>4.1100000000000003</v>
      </c>
      <c r="Q231" s="188">
        <v>-0.02</v>
      </c>
      <c r="R231" s="188">
        <v>0.55000000000000004</v>
      </c>
      <c r="S231" s="188">
        <v>0.03</v>
      </c>
      <c r="T231" s="188">
        <v>0.26</v>
      </c>
      <c r="U231" s="188">
        <v>0.37</v>
      </c>
      <c r="V231" s="188">
        <v>0.41</v>
      </c>
      <c r="W231" s="188"/>
      <c r="X231" s="89"/>
      <c r="Y231" s="187"/>
      <c r="Z231" s="187"/>
      <c r="AA231" s="187"/>
      <c r="AB231" s="187"/>
      <c r="AC231" s="187"/>
      <c r="AD231" s="189"/>
      <c r="AE231" s="188"/>
    </row>
    <row r="232" spans="1:31" ht="21.25" customHeight="1" x14ac:dyDescent="0.15">
      <c r="A232" s="10" t="s">
        <v>481</v>
      </c>
      <c r="B232" s="185" t="s">
        <v>855</v>
      </c>
      <c r="C232" s="186">
        <v>20</v>
      </c>
      <c r="D232" s="185" t="s">
        <v>823</v>
      </c>
      <c r="E232" s="89">
        <v>68</v>
      </c>
      <c r="F232" s="187">
        <v>16.899999999999999</v>
      </c>
      <c r="G232" s="188">
        <v>0.1</v>
      </c>
      <c r="H232" s="188">
        <v>0.22</v>
      </c>
      <c r="I232" s="188">
        <v>0.32</v>
      </c>
      <c r="J232" s="188">
        <v>1.33</v>
      </c>
      <c r="K232" s="188">
        <v>0</v>
      </c>
      <c r="L232" s="188">
        <v>0.02</v>
      </c>
      <c r="M232" s="188">
        <v>0</v>
      </c>
      <c r="N232" s="188">
        <v>0</v>
      </c>
      <c r="O232" s="188">
        <v>1.26</v>
      </c>
      <c r="P232" s="188">
        <v>0.91</v>
      </c>
      <c r="Q232" s="188">
        <v>-0.04</v>
      </c>
      <c r="R232" s="188">
        <v>0.37</v>
      </c>
      <c r="S232" s="188">
        <v>0.01</v>
      </c>
      <c r="T232" s="188">
        <v>0</v>
      </c>
      <c r="U232" s="188">
        <v>0</v>
      </c>
      <c r="V232" s="188">
        <v>0</v>
      </c>
      <c r="W232" s="188"/>
      <c r="X232" s="89"/>
      <c r="Y232" s="187"/>
      <c r="Z232" s="187"/>
      <c r="AA232" s="187"/>
      <c r="AB232" s="187"/>
      <c r="AC232" s="187"/>
      <c r="AD232" s="189"/>
      <c r="AE232" s="188"/>
    </row>
    <row r="233" spans="1:31" ht="21.25" customHeight="1" x14ac:dyDescent="0.15">
      <c r="A233" s="10" t="s">
        <v>470</v>
      </c>
      <c r="B233" s="185" t="s">
        <v>867</v>
      </c>
      <c r="C233" s="186">
        <v>26</v>
      </c>
      <c r="D233" s="185" t="s">
        <v>844</v>
      </c>
      <c r="E233" s="89">
        <v>84</v>
      </c>
      <c r="F233" s="187">
        <v>17.100000000000001</v>
      </c>
      <c r="G233" s="188">
        <v>0.24</v>
      </c>
      <c r="H233" s="188">
        <v>0.27</v>
      </c>
      <c r="I233" s="188">
        <v>0.51</v>
      </c>
      <c r="J233" s="188">
        <v>1.98</v>
      </c>
      <c r="K233" s="188">
        <v>0.02</v>
      </c>
      <c r="L233" s="188">
        <v>0.08</v>
      </c>
      <c r="M233" s="188">
        <v>0.03</v>
      </c>
      <c r="N233" s="188">
        <v>0.04</v>
      </c>
      <c r="O233" s="188">
        <v>0.66</v>
      </c>
      <c r="P233" s="188">
        <v>0.8</v>
      </c>
      <c r="Q233" s="188">
        <v>-0.09</v>
      </c>
      <c r="R233" s="188">
        <v>0.39</v>
      </c>
      <c r="S233" s="188">
        <v>0.03</v>
      </c>
      <c r="T233" s="188">
        <v>0.31</v>
      </c>
      <c r="U233" s="188">
        <v>0.45</v>
      </c>
      <c r="V233" s="188">
        <v>0.41</v>
      </c>
      <c r="W233" s="188"/>
      <c r="X233" s="89"/>
      <c r="Y233" s="187"/>
      <c r="Z233" s="187"/>
      <c r="AA233" s="187"/>
      <c r="AB233" s="187"/>
      <c r="AC233" s="187"/>
      <c r="AD233" s="189"/>
      <c r="AE233" s="188"/>
    </row>
    <row r="234" spans="1:31" ht="21.25" customHeight="1" x14ac:dyDescent="0.15">
      <c r="A234" s="10" t="s">
        <v>576</v>
      </c>
      <c r="B234" s="185" t="s">
        <v>858</v>
      </c>
      <c r="C234" s="186">
        <v>34</v>
      </c>
      <c r="D234" s="185" t="s">
        <v>821</v>
      </c>
      <c r="E234" s="89">
        <v>78</v>
      </c>
      <c r="F234" s="187">
        <v>13.3</v>
      </c>
      <c r="G234" s="188">
        <v>0.2</v>
      </c>
      <c r="H234" s="188">
        <v>0.26</v>
      </c>
      <c r="I234" s="188">
        <v>0.46</v>
      </c>
      <c r="J234" s="188">
        <v>1.65</v>
      </c>
      <c r="K234" s="188">
        <v>0.05</v>
      </c>
      <c r="L234" s="188">
        <v>0.09</v>
      </c>
      <c r="M234" s="188">
        <v>0</v>
      </c>
      <c r="N234" s="188">
        <v>0</v>
      </c>
      <c r="O234" s="188">
        <v>0.32</v>
      </c>
      <c r="P234" s="188">
        <v>0.92</v>
      </c>
      <c r="Q234" s="188">
        <v>0.02</v>
      </c>
      <c r="R234" s="188">
        <v>0.41</v>
      </c>
      <c r="S234" s="188">
        <v>0.03</v>
      </c>
      <c r="T234" s="188">
        <v>0.56000000000000005</v>
      </c>
      <c r="U234" s="188">
        <v>0.87</v>
      </c>
      <c r="V234" s="188">
        <v>0.39</v>
      </c>
      <c r="W234" s="188"/>
      <c r="X234" s="89"/>
      <c r="Y234" s="187"/>
      <c r="Z234" s="187"/>
      <c r="AA234" s="187"/>
      <c r="AB234" s="187"/>
      <c r="AC234" s="187"/>
      <c r="AD234" s="189"/>
      <c r="AE234" s="188"/>
    </row>
    <row r="235" spans="1:31" ht="21.25" customHeight="1" x14ac:dyDescent="0.15">
      <c r="A235" s="10" t="s">
        <v>575</v>
      </c>
      <c r="B235" s="185" t="s">
        <v>840</v>
      </c>
      <c r="C235" s="186">
        <v>25</v>
      </c>
      <c r="D235" s="185" t="s">
        <v>822</v>
      </c>
      <c r="E235" s="89">
        <v>79</v>
      </c>
      <c r="F235" s="187">
        <v>14.7</v>
      </c>
      <c r="G235" s="188">
        <v>0.18</v>
      </c>
      <c r="H235" s="188">
        <v>0.27</v>
      </c>
      <c r="I235" s="188">
        <v>0.46</v>
      </c>
      <c r="J235" s="188">
        <v>1.4</v>
      </c>
      <c r="K235" s="188">
        <v>0.03</v>
      </c>
      <c r="L235" s="188">
        <v>0.06</v>
      </c>
      <c r="M235" s="188">
        <v>0</v>
      </c>
      <c r="N235" s="188">
        <v>0</v>
      </c>
      <c r="O235" s="188">
        <v>0.49</v>
      </c>
      <c r="P235" s="188">
        <v>1.1399999999999999</v>
      </c>
      <c r="Q235" s="188">
        <v>0.03</v>
      </c>
      <c r="R235" s="188">
        <v>0.31</v>
      </c>
      <c r="S235" s="188">
        <v>0.03</v>
      </c>
      <c r="T235" s="188">
        <v>0.24</v>
      </c>
      <c r="U235" s="188">
        <v>0.4</v>
      </c>
      <c r="V235" s="188">
        <v>0.38</v>
      </c>
      <c r="W235" s="188"/>
      <c r="X235" s="89"/>
      <c r="Y235" s="187"/>
      <c r="Z235" s="187"/>
      <c r="AA235" s="187"/>
      <c r="AB235" s="187"/>
      <c r="AC235" s="187"/>
      <c r="AD235" s="189"/>
      <c r="AE235" s="188"/>
    </row>
    <row r="236" spans="1:31" ht="21.25" customHeight="1" x14ac:dyDescent="0.15">
      <c r="A236" s="10" t="s">
        <v>446</v>
      </c>
      <c r="B236" s="185" t="s">
        <v>840</v>
      </c>
      <c r="C236" s="186">
        <v>34</v>
      </c>
      <c r="D236" s="185" t="s">
        <v>835</v>
      </c>
      <c r="E236" s="89">
        <v>81</v>
      </c>
      <c r="F236" s="187">
        <v>17.2</v>
      </c>
      <c r="G236" s="188">
        <v>0.23</v>
      </c>
      <c r="H236" s="188">
        <v>0.24</v>
      </c>
      <c r="I236" s="188">
        <v>0.47</v>
      </c>
      <c r="J236" s="188">
        <v>2.39</v>
      </c>
      <c r="K236" s="188">
        <v>0.03</v>
      </c>
      <c r="L236" s="188">
        <v>0.04</v>
      </c>
      <c r="M236" s="188">
        <v>0.03</v>
      </c>
      <c r="N236" s="188">
        <v>0.04</v>
      </c>
      <c r="O236" s="188">
        <v>0.69</v>
      </c>
      <c r="P236" s="188">
        <v>1.97</v>
      </c>
      <c r="Q236" s="188">
        <v>0.04</v>
      </c>
      <c r="R236" s="188">
        <v>0.6</v>
      </c>
      <c r="S236" s="188">
        <v>0.04</v>
      </c>
      <c r="T236" s="188">
        <v>0.27</v>
      </c>
      <c r="U236" s="188">
        <v>0.36</v>
      </c>
      <c r="V236" s="188">
        <v>0.43</v>
      </c>
      <c r="W236" s="188"/>
      <c r="X236" s="89"/>
      <c r="Y236" s="187"/>
      <c r="Z236" s="187"/>
      <c r="AA236" s="187"/>
      <c r="AB236" s="187"/>
      <c r="AC236" s="187"/>
      <c r="AD236" s="189"/>
      <c r="AE236" s="188"/>
    </row>
    <row r="237" spans="1:31" ht="21.25" customHeight="1" x14ac:dyDescent="0.15">
      <c r="A237" s="10" t="s">
        <v>495</v>
      </c>
      <c r="B237" s="185" t="s">
        <v>853</v>
      </c>
      <c r="C237" s="186">
        <v>30</v>
      </c>
      <c r="D237" s="185" t="s">
        <v>822</v>
      </c>
      <c r="E237" s="89">
        <v>82</v>
      </c>
      <c r="F237" s="187">
        <v>16.600000000000001</v>
      </c>
      <c r="G237" s="188">
        <v>0.16</v>
      </c>
      <c r="H237" s="188">
        <v>0.26</v>
      </c>
      <c r="I237" s="188">
        <v>0.42</v>
      </c>
      <c r="J237" s="188">
        <v>1.76</v>
      </c>
      <c r="K237" s="188">
        <v>0.03</v>
      </c>
      <c r="L237" s="188">
        <v>0.09</v>
      </c>
      <c r="M237" s="188">
        <v>0</v>
      </c>
      <c r="N237" s="188">
        <v>0</v>
      </c>
      <c r="O237" s="188">
        <v>0.49</v>
      </c>
      <c r="P237" s="188">
        <v>0.65</v>
      </c>
      <c r="Q237" s="188">
        <v>0.02</v>
      </c>
      <c r="R237" s="188">
        <v>0.43</v>
      </c>
      <c r="S237" s="188">
        <v>0.03</v>
      </c>
      <c r="T237" s="188">
        <v>0.11</v>
      </c>
      <c r="U237" s="188">
        <v>0.25</v>
      </c>
      <c r="V237" s="188">
        <v>0.32</v>
      </c>
      <c r="W237" s="188"/>
      <c r="X237" s="89"/>
      <c r="Y237" s="187"/>
      <c r="Z237" s="187"/>
      <c r="AA237" s="187"/>
      <c r="AB237" s="187"/>
      <c r="AC237" s="187"/>
      <c r="AD237" s="189"/>
      <c r="AE237" s="188"/>
    </row>
    <row r="238" spans="1:31" ht="21.25" customHeight="1" x14ac:dyDescent="0.15">
      <c r="A238" s="10" t="s">
        <v>551</v>
      </c>
      <c r="B238" s="185" t="s">
        <v>841</v>
      </c>
      <c r="C238" s="186">
        <v>29</v>
      </c>
      <c r="D238" s="185" t="s">
        <v>842</v>
      </c>
      <c r="E238" s="89">
        <v>79</v>
      </c>
      <c r="F238" s="187">
        <v>14.5</v>
      </c>
      <c r="G238" s="188">
        <v>0.27</v>
      </c>
      <c r="H238" s="188">
        <v>0.27</v>
      </c>
      <c r="I238" s="188">
        <v>0.54</v>
      </c>
      <c r="J238" s="188">
        <v>2.04</v>
      </c>
      <c r="K238" s="188">
        <v>0.05</v>
      </c>
      <c r="L238" s="188">
        <v>0.11</v>
      </c>
      <c r="M238" s="188">
        <v>0</v>
      </c>
      <c r="N238" s="188">
        <v>0</v>
      </c>
      <c r="O238" s="188">
        <v>0.37</v>
      </c>
      <c r="P238" s="188">
        <v>0.56999999999999995</v>
      </c>
      <c r="Q238" s="188">
        <v>0</v>
      </c>
      <c r="R238" s="188">
        <v>0.23</v>
      </c>
      <c r="S238" s="188">
        <v>0.04</v>
      </c>
      <c r="T238" s="188">
        <v>1.8</v>
      </c>
      <c r="U238" s="188">
        <v>1.72</v>
      </c>
      <c r="V238" s="188">
        <v>0.51</v>
      </c>
      <c r="W238" s="188"/>
      <c r="X238" s="89"/>
      <c r="Y238" s="187"/>
      <c r="Z238" s="187"/>
      <c r="AA238" s="187"/>
      <c r="AB238" s="187"/>
      <c r="AC238" s="187"/>
      <c r="AD238" s="189"/>
      <c r="AE238" s="188"/>
    </row>
    <row r="239" spans="1:31" ht="21.25" customHeight="1" x14ac:dyDescent="0.15">
      <c r="A239" s="10" t="s">
        <v>571</v>
      </c>
      <c r="B239" s="185" t="s">
        <v>846</v>
      </c>
      <c r="C239" s="186">
        <v>23</v>
      </c>
      <c r="D239" s="185" t="s">
        <v>844</v>
      </c>
      <c r="E239" s="89">
        <v>76</v>
      </c>
      <c r="F239" s="187">
        <v>14.5</v>
      </c>
      <c r="G239" s="188">
        <v>0.2</v>
      </c>
      <c r="H239" s="188">
        <v>0.23</v>
      </c>
      <c r="I239" s="188">
        <v>0.43</v>
      </c>
      <c r="J239" s="188">
        <v>1.42</v>
      </c>
      <c r="K239" s="188">
        <v>0.05</v>
      </c>
      <c r="L239" s="188">
        <v>0.1</v>
      </c>
      <c r="M239" s="188">
        <v>0</v>
      </c>
      <c r="N239" s="188">
        <v>0</v>
      </c>
      <c r="O239" s="188">
        <v>0.53</v>
      </c>
      <c r="P239" s="188">
        <v>1.85</v>
      </c>
      <c r="Q239" s="188">
        <v>0.05</v>
      </c>
      <c r="R239" s="188">
        <v>0.38</v>
      </c>
      <c r="S239" s="188">
        <v>0.03</v>
      </c>
      <c r="T239" s="188">
        <v>0.19</v>
      </c>
      <c r="U239" s="188">
        <v>0.27</v>
      </c>
      <c r="V239" s="188">
        <v>0.41</v>
      </c>
      <c r="W239" s="188"/>
      <c r="X239" s="89"/>
      <c r="Y239" s="187"/>
      <c r="Z239" s="187"/>
      <c r="AA239" s="187"/>
      <c r="AB239" s="187"/>
      <c r="AC239" s="187"/>
      <c r="AD239" s="189"/>
      <c r="AE239" s="188"/>
    </row>
    <row r="240" spans="1:31" ht="21.25" customHeight="1" x14ac:dyDescent="0.15">
      <c r="A240" s="10" t="s">
        <v>538</v>
      </c>
      <c r="B240" s="185" t="s">
        <v>863</v>
      </c>
      <c r="C240" s="186">
        <v>27</v>
      </c>
      <c r="D240" s="185" t="s">
        <v>820</v>
      </c>
      <c r="E240" s="89">
        <v>81</v>
      </c>
      <c r="F240" s="187">
        <v>14.9</v>
      </c>
      <c r="G240" s="188">
        <v>0.2</v>
      </c>
      <c r="H240" s="188">
        <v>0.3</v>
      </c>
      <c r="I240" s="188">
        <v>0.5</v>
      </c>
      <c r="J240" s="188">
        <v>1.53</v>
      </c>
      <c r="K240" s="188">
        <v>0.03</v>
      </c>
      <c r="L240" s="188">
        <v>0.08</v>
      </c>
      <c r="M240" s="188">
        <v>0.01</v>
      </c>
      <c r="N240" s="188">
        <v>0.01</v>
      </c>
      <c r="O240" s="188">
        <v>0.61</v>
      </c>
      <c r="P240" s="188">
        <v>1.18</v>
      </c>
      <c r="Q240" s="188">
        <v>0.02</v>
      </c>
      <c r="R240" s="188">
        <v>0.27</v>
      </c>
      <c r="S240" s="188">
        <v>0.03</v>
      </c>
      <c r="T240" s="188">
        <v>5.05</v>
      </c>
      <c r="U240" s="188">
        <v>6.21</v>
      </c>
      <c r="V240" s="188">
        <v>0.45</v>
      </c>
      <c r="W240" s="188"/>
      <c r="X240" s="89"/>
      <c r="Y240" s="187"/>
      <c r="Z240" s="187"/>
      <c r="AA240" s="187"/>
      <c r="AB240" s="187"/>
      <c r="AC240" s="187"/>
      <c r="AD240" s="189"/>
      <c r="AE240" s="188"/>
    </row>
    <row r="241" spans="1:31" ht="21.25" customHeight="1" x14ac:dyDescent="0.15">
      <c r="A241" s="10" t="s">
        <v>625</v>
      </c>
      <c r="B241" s="185" t="s">
        <v>864</v>
      </c>
      <c r="C241" s="186">
        <v>27</v>
      </c>
      <c r="D241" s="185" t="s">
        <v>820</v>
      </c>
      <c r="E241" s="89">
        <v>61</v>
      </c>
      <c r="F241" s="187">
        <v>15.4</v>
      </c>
      <c r="G241" s="188">
        <v>0.23</v>
      </c>
      <c r="H241" s="188">
        <v>0.25</v>
      </c>
      <c r="I241" s="188">
        <v>0.48</v>
      </c>
      <c r="J241" s="188">
        <v>2.16</v>
      </c>
      <c r="K241" s="188">
        <v>0.02</v>
      </c>
      <c r="L241" s="188">
        <v>7.0000000000000007E-2</v>
      </c>
      <c r="M241" s="188">
        <v>0</v>
      </c>
      <c r="N241" s="188">
        <v>0</v>
      </c>
      <c r="O241" s="188">
        <v>0.35</v>
      </c>
      <c r="P241" s="188">
        <v>0.56000000000000005</v>
      </c>
      <c r="Q241" s="188">
        <v>-0.11</v>
      </c>
      <c r="R241" s="188">
        <v>0.37</v>
      </c>
      <c r="S241" s="188">
        <v>0.03</v>
      </c>
      <c r="T241" s="188">
        <v>4.7</v>
      </c>
      <c r="U241" s="188">
        <v>5.35</v>
      </c>
      <c r="V241" s="188">
        <v>0.47</v>
      </c>
      <c r="W241" s="188"/>
      <c r="X241" s="89"/>
      <c r="Y241" s="187"/>
      <c r="Z241" s="187"/>
      <c r="AA241" s="187"/>
      <c r="AB241" s="187"/>
      <c r="AC241" s="187"/>
      <c r="AD241" s="189"/>
      <c r="AE241" s="188"/>
    </row>
    <row r="242" spans="1:31" ht="21.25" customHeight="1" x14ac:dyDescent="0.15">
      <c r="A242" s="10" t="s">
        <v>574</v>
      </c>
      <c r="B242" s="185" t="s">
        <v>839</v>
      </c>
      <c r="C242" s="186">
        <v>33</v>
      </c>
      <c r="D242" s="185" t="s">
        <v>820</v>
      </c>
      <c r="E242" s="89">
        <v>67</v>
      </c>
      <c r="F242" s="187">
        <v>15.3</v>
      </c>
      <c r="G242" s="188">
        <v>0.2</v>
      </c>
      <c r="H242" s="188">
        <v>0.26</v>
      </c>
      <c r="I242" s="188">
        <v>0.46</v>
      </c>
      <c r="J242" s="188">
        <v>1.98</v>
      </c>
      <c r="K242" s="188">
        <v>0.02</v>
      </c>
      <c r="L242" s="188">
        <v>0.04</v>
      </c>
      <c r="M242" s="188">
        <v>0.02</v>
      </c>
      <c r="N242" s="188">
        <v>0.03</v>
      </c>
      <c r="O242" s="188">
        <v>0.68</v>
      </c>
      <c r="P242" s="188">
        <v>0.51</v>
      </c>
      <c r="Q242" s="188">
        <v>0.05</v>
      </c>
      <c r="R242" s="188">
        <v>0.21</v>
      </c>
      <c r="S242" s="188">
        <v>0.04</v>
      </c>
      <c r="T242" s="188">
        <v>6.79</v>
      </c>
      <c r="U242" s="188">
        <v>5.07</v>
      </c>
      <c r="V242" s="188">
        <v>0.56999999999999995</v>
      </c>
      <c r="W242" s="188"/>
      <c r="X242" s="89"/>
      <c r="Y242" s="188"/>
      <c r="Z242" s="188"/>
      <c r="AA242" s="188"/>
      <c r="AB242" s="188"/>
      <c r="AC242" s="187"/>
      <c r="AD242" s="189"/>
      <c r="AE242" s="188"/>
    </row>
    <row r="243" spans="1:31" ht="21.25" customHeight="1" x14ac:dyDescent="0.15">
      <c r="A243" s="10" t="s">
        <v>618</v>
      </c>
      <c r="B243" s="185" t="s">
        <v>864</v>
      </c>
      <c r="C243" s="186">
        <v>26</v>
      </c>
      <c r="D243" s="185" t="s">
        <v>822</v>
      </c>
      <c r="E243" s="89">
        <v>74</v>
      </c>
      <c r="F243" s="187">
        <v>14</v>
      </c>
      <c r="G243" s="188">
        <v>0.21</v>
      </c>
      <c r="H243" s="188">
        <v>0.28000000000000003</v>
      </c>
      <c r="I243" s="188">
        <v>0.5</v>
      </c>
      <c r="J243" s="188">
        <v>1.7</v>
      </c>
      <c r="K243" s="188">
        <v>0.03</v>
      </c>
      <c r="L243" s="188">
        <v>0.06</v>
      </c>
      <c r="M243" s="188">
        <v>0</v>
      </c>
      <c r="N243" s="188">
        <v>0</v>
      </c>
      <c r="O243" s="188">
        <v>0.37</v>
      </c>
      <c r="P243" s="188">
        <v>1.23</v>
      </c>
      <c r="Q243" s="188">
        <v>-0.12</v>
      </c>
      <c r="R243" s="188">
        <v>0.32</v>
      </c>
      <c r="S243" s="188">
        <v>0.03</v>
      </c>
      <c r="T243" s="188">
        <v>0.2</v>
      </c>
      <c r="U243" s="188">
        <v>0.52</v>
      </c>
      <c r="V243" s="188">
        <v>0.28000000000000003</v>
      </c>
      <c r="W243" s="188"/>
      <c r="X243" s="89"/>
      <c r="Y243" s="187"/>
      <c r="Z243" s="187"/>
      <c r="AA243" s="187"/>
      <c r="AB243" s="187"/>
      <c r="AC243" s="187"/>
      <c r="AD243" s="189"/>
      <c r="AE243" s="188"/>
    </row>
    <row r="244" spans="1:31" ht="21.25" customHeight="1" x14ac:dyDescent="0.15">
      <c r="A244" s="10" t="s">
        <v>566</v>
      </c>
      <c r="B244" s="185" t="s">
        <v>862</v>
      </c>
      <c r="C244" s="186">
        <v>35</v>
      </c>
      <c r="D244" s="185" t="s">
        <v>835</v>
      </c>
      <c r="E244" s="89">
        <v>84</v>
      </c>
      <c r="F244" s="187">
        <v>15.6</v>
      </c>
      <c r="G244" s="188">
        <v>0.18</v>
      </c>
      <c r="H244" s="188">
        <v>0.26</v>
      </c>
      <c r="I244" s="188">
        <v>0.44</v>
      </c>
      <c r="J244" s="188">
        <v>1.38</v>
      </c>
      <c r="K244" s="188">
        <v>0.02</v>
      </c>
      <c r="L244" s="188">
        <v>7.0000000000000007E-2</v>
      </c>
      <c r="M244" s="188">
        <v>0</v>
      </c>
      <c r="N244" s="188">
        <v>0</v>
      </c>
      <c r="O244" s="188">
        <v>0.48</v>
      </c>
      <c r="P244" s="188">
        <v>1.97</v>
      </c>
      <c r="Q244" s="188">
        <v>-0.06</v>
      </c>
      <c r="R244" s="188">
        <v>0.59</v>
      </c>
      <c r="S244" s="188">
        <v>0.03</v>
      </c>
      <c r="T244" s="188">
        <v>5.32</v>
      </c>
      <c r="U244" s="188">
        <v>4.82</v>
      </c>
      <c r="V244" s="188">
        <v>0.52</v>
      </c>
      <c r="W244" s="188"/>
      <c r="X244" s="89"/>
      <c r="Y244" s="188"/>
      <c r="Z244" s="188"/>
      <c r="AA244" s="188"/>
      <c r="AB244" s="188"/>
      <c r="AC244" s="187"/>
      <c r="AD244" s="189"/>
      <c r="AE244" s="188"/>
    </row>
    <row r="245" spans="1:31" ht="21.25" customHeight="1" x14ac:dyDescent="0.15">
      <c r="A245" s="10" t="s">
        <v>485</v>
      </c>
      <c r="B245" s="185" t="s">
        <v>852</v>
      </c>
      <c r="C245" s="186">
        <v>36</v>
      </c>
      <c r="D245" s="185" t="s">
        <v>821</v>
      </c>
      <c r="E245" s="89">
        <v>84</v>
      </c>
      <c r="F245" s="187">
        <v>14.9</v>
      </c>
      <c r="G245" s="188">
        <v>0.22</v>
      </c>
      <c r="H245" s="188">
        <v>0.24</v>
      </c>
      <c r="I245" s="188">
        <v>0.46</v>
      </c>
      <c r="J245" s="188">
        <v>2.23</v>
      </c>
      <c r="K245" s="188">
        <v>0.04</v>
      </c>
      <c r="L245" s="188">
        <v>0.06</v>
      </c>
      <c r="M245" s="188">
        <v>0</v>
      </c>
      <c r="N245" s="188">
        <v>0</v>
      </c>
      <c r="O245" s="188">
        <v>0.45</v>
      </c>
      <c r="P245" s="188">
        <v>1.17</v>
      </c>
      <c r="Q245" s="188">
        <v>0.05</v>
      </c>
      <c r="R245" s="188">
        <v>0.48</v>
      </c>
      <c r="S245" s="188">
        <v>0.04</v>
      </c>
      <c r="T245" s="188">
        <v>0.53</v>
      </c>
      <c r="U245" s="188">
        <v>0.57999999999999996</v>
      </c>
      <c r="V245" s="188">
        <v>0.48</v>
      </c>
      <c r="W245" s="188"/>
      <c r="X245" s="89"/>
      <c r="Y245" s="187"/>
      <c r="Z245" s="187"/>
      <c r="AA245" s="187"/>
      <c r="AB245" s="187"/>
      <c r="AC245" s="187"/>
      <c r="AD245" s="189"/>
      <c r="AE245" s="188"/>
    </row>
    <row r="246" spans="1:31" ht="21.25" customHeight="1" x14ac:dyDescent="0.15">
      <c r="A246" s="10" t="s">
        <v>521</v>
      </c>
      <c r="B246" s="185" t="s">
        <v>867</v>
      </c>
      <c r="C246" s="186">
        <v>28</v>
      </c>
      <c r="D246" s="185" t="s">
        <v>848</v>
      </c>
      <c r="E246" s="89">
        <v>82</v>
      </c>
      <c r="F246" s="187">
        <v>16.3</v>
      </c>
      <c r="G246" s="188">
        <v>0.22</v>
      </c>
      <c r="H246" s="188">
        <v>0.22</v>
      </c>
      <c r="I246" s="188">
        <v>0.44</v>
      </c>
      <c r="J246" s="188">
        <v>1.79</v>
      </c>
      <c r="K246" s="188">
        <v>0.05</v>
      </c>
      <c r="L246" s="188">
        <v>0.1</v>
      </c>
      <c r="M246" s="188">
        <v>0.02</v>
      </c>
      <c r="N246" s="188">
        <v>0.03</v>
      </c>
      <c r="O246" s="188">
        <v>0.42</v>
      </c>
      <c r="P246" s="188">
        <v>0.33</v>
      </c>
      <c r="Q246" s="188">
        <v>-0.12</v>
      </c>
      <c r="R246" s="188">
        <v>0.18</v>
      </c>
      <c r="S246" s="188">
        <v>0.03</v>
      </c>
      <c r="T246" s="188">
        <v>0.86</v>
      </c>
      <c r="U246" s="188">
        <v>1.28</v>
      </c>
      <c r="V246" s="188">
        <v>0.4</v>
      </c>
      <c r="W246" s="188"/>
      <c r="X246" s="89"/>
      <c r="Y246" s="188"/>
      <c r="Z246" s="188"/>
      <c r="AA246" s="188"/>
      <c r="AB246" s="188"/>
      <c r="AC246" s="187"/>
      <c r="AD246" s="189"/>
      <c r="AE246" s="188"/>
    </row>
    <row r="247" spans="1:31" ht="21.25" customHeight="1" x14ac:dyDescent="0.15">
      <c r="A247" s="10" t="s">
        <v>518</v>
      </c>
      <c r="B247" s="185" t="s">
        <v>859</v>
      </c>
      <c r="C247" s="186">
        <v>19</v>
      </c>
      <c r="D247" s="185" t="s">
        <v>848</v>
      </c>
      <c r="E247" s="89">
        <v>84</v>
      </c>
      <c r="F247" s="187">
        <v>15.3</v>
      </c>
      <c r="G247" s="188">
        <v>0.13</v>
      </c>
      <c r="H247" s="188">
        <v>0.32</v>
      </c>
      <c r="I247" s="188">
        <v>0.45</v>
      </c>
      <c r="J247" s="188">
        <v>1.48</v>
      </c>
      <c r="K247" s="188">
        <v>0.02</v>
      </c>
      <c r="L247" s="188">
        <v>0.12</v>
      </c>
      <c r="M247" s="188">
        <v>0</v>
      </c>
      <c r="N247" s="188">
        <v>0.01</v>
      </c>
      <c r="O247" s="188">
        <v>0.34</v>
      </c>
      <c r="P247" s="188">
        <v>0.74</v>
      </c>
      <c r="Q247" s="188">
        <v>0.04</v>
      </c>
      <c r="R247" s="188">
        <v>0.3</v>
      </c>
      <c r="S247" s="188">
        <v>0.02</v>
      </c>
      <c r="T247" s="188">
        <v>5.83</v>
      </c>
      <c r="U247" s="188">
        <v>3.71</v>
      </c>
      <c r="V247" s="188">
        <v>0.61</v>
      </c>
      <c r="W247" s="188"/>
      <c r="X247" s="89"/>
      <c r="Y247" s="187"/>
      <c r="Z247" s="187"/>
      <c r="AA247" s="187"/>
      <c r="AB247" s="187"/>
      <c r="AC247" s="187"/>
      <c r="AD247" s="189"/>
      <c r="AE247" s="188"/>
    </row>
    <row r="248" spans="1:31" ht="21.25" customHeight="1" x14ac:dyDescent="0.15">
      <c r="A248" s="10" t="s">
        <v>600</v>
      </c>
      <c r="B248" s="185" t="s">
        <v>836</v>
      </c>
      <c r="C248" s="186">
        <v>24</v>
      </c>
      <c r="D248" s="185" t="s">
        <v>844</v>
      </c>
      <c r="E248" s="89">
        <v>80</v>
      </c>
      <c r="F248" s="187">
        <v>14.8</v>
      </c>
      <c r="G248" s="188">
        <v>0.22</v>
      </c>
      <c r="H248" s="188">
        <v>0.25</v>
      </c>
      <c r="I248" s="188">
        <v>0.47</v>
      </c>
      <c r="J248" s="188">
        <v>1.35</v>
      </c>
      <c r="K248" s="188">
        <v>0</v>
      </c>
      <c r="L248" s="188">
        <v>0.01</v>
      </c>
      <c r="M248" s="188">
        <v>0.03</v>
      </c>
      <c r="N248" s="188">
        <v>0.04</v>
      </c>
      <c r="O248" s="188">
        <v>0.56000000000000005</v>
      </c>
      <c r="P248" s="188">
        <v>1</v>
      </c>
      <c r="Q248" s="188">
        <v>-0.03</v>
      </c>
      <c r="R248" s="188">
        <v>0.21</v>
      </c>
      <c r="S248" s="188">
        <v>0.03</v>
      </c>
      <c r="T248" s="188">
        <v>0.08</v>
      </c>
      <c r="U248" s="188">
        <v>0.19</v>
      </c>
      <c r="V248" s="188">
        <v>0.28999999999999998</v>
      </c>
      <c r="W248" s="188"/>
      <c r="X248" s="89"/>
      <c r="Y248" s="187"/>
      <c r="Z248" s="187"/>
      <c r="AA248" s="187"/>
      <c r="AB248" s="187"/>
      <c r="AC248" s="187"/>
      <c r="AD248" s="189"/>
      <c r="AE248" s="188"/>
    </row>
    <row r="249" spans="1:31" ht="21.25" customHeight="1" x14ac:dyDescent="0.15">
      <c r="A249" s="10" t="s">
        <v>547</v>
      </c>
      <c r="B249" s="185" t="s">
        <v>838</v>
      </c>
      <c r="C249" s="186">
        <v>25</v>
      </c>
      <c r="D249" s="185" t="s">
        <v>844</v>
      </c>
      <c r="E249" s="89">
        <v>77</v>
      </c>
      <c r="F249" s="187">
        <v>14.4</v>
      </c>
      <c r="G249" s="188">
        <v>0.19</v>
      </c>
      <c r="H249" s="188">
        <v>0.27</v>
      </c>
      <c r="I249" s="188">
        <v>0.46</v>
      </c>
      <c r="J249" s="188">
        <v>2.06</v>
      </c>
      <c r="K249" s="188">
        <v>0.03</v>
      </c>
      <c r="L249" s="188">
        <v>0.06</v>
      </c>
      <c r="M249" s="188">
        <v>0</v>
      </c>
      <c r="N249" s="188">
        <v>0</v>
      </c>
      <c r="O249" s="188">
        <v>0.28999999999999998</v>
      </c>
      <c r="P249" s="188">
        <v>0.85</v>
      </c>
      <c r="Q249" s="188">
        <v>0.01</v>
      </c>
      <c r="R249" s="188">
        <v>0.37</v>
      </c>
      <c r="S249" s="188">
        <v>0.03</v>
      </c>
      <c r="T249" s="188">
        <v>0.06</v>
      </c>
      <c r="U249" s="188">
        <v>0.13</v>
      </c>
      <c r="V249" s="188">
        <v>0.31</v>
      </c>
      <c r="W249" s="188"/>
      <c r="X249" s="89"/>
      <c r="Y249" s="187"/>
      <c r="Z249" s="187"/>
      <c r="AA249" s="187"/>
      <c r="AB249" s="187"/>
      <c r="AC249" s="187"/>
      <c r="AD249" s="189"/>
      <c r="AE249" s="188"/>
    </row>
    <row r="250" spans="1:31" ht="21.25" customHeight="1" x14ac:dyDescent="0.15">
      <c r="A250" s="10" t="s">
        <v>640</v>
      </c>
      <c r="B250" s="185" t="s">
        <v>846</v>
      </c>
      <c r="C250" s="186">
        <v>25</v>
      </c>
      <c r="D250" s="185" t="s">
        <v>835</v>
      </c>
      <c r="E250" s="89">
        <v>74</v>
      </c>
      <c r="F250" s="187">
        <v>14.7</v>
      </c>
      <c r="G250" s="188">
        <v>0.22</v>
      </c>
      <c r="H250" s="188">
        <v>0.21</v>
      </c>
      <c r="I250" s="188">
        <v>0.43</v>
      </c>
      <c r="J250" s="188">
        <v>1.36</v>
      </c>
      <c r="K250" s="188">
        <v>0.01</v>
      </c>
      <c r="L250" s="188">
        <v>0.03</v>
      </c>
      <c r="M250" s="188">
        <v>0</v>
      </c>
      <c r="N250" s="188">
        <v>0</v>
      </c>
      <c r="O250" s="188">
        <v>0.43</v>
      </c>
      <c r="P250" s="188">
        <v>1.1100000000000001</v>
      </c>
      <c r="Q250" s="188">
        <v>0.02</v>
      </c>
      <c r="R250" s="188">
        <v>0.3</v>
      </c>
      <c r="S250" s="188">
        <v>0.04</v>
      </c>
      <c r="T250" s="188">
        <v>3.01</v>
      </c>
      <c r="U250" s="188">
        <v>3.67</v>
      </c>
      <c r="V250" s="188">
        <v>0.45</v>
      </c>
      <c r="W250" s="188"/>
      <c r="X250" s="89"/>
      <c r="Y250" s="187"/>
      <c r="Z250" s="187"/>
      <c r="AA250" s="187"/>
      <c r="AB250" s="187"/>
      <c r="AC250" s="187"/>
      <c r="AD250" s="189"/>
      <c r="AE250" s="188"/>
    </row>
    <row r="251" spans="1:31" ht="21.25" customHeight="1" x14ac:dyDescent="0.15">
      <c r="A251" s="10" t="s">
        <v>284</v>
      </c>
      <c r="B251" s="185" t="s">
        <v>863</v>
      </c>
      <c r="C251" s="186">
        <v>24</v>
      </c>
      <c r="D251" s="185" t="s">
        <v>823</v>
      </c>
      <c r="E251" s="89">
        <v>77</v>
      </c>
      <c r="F251" s="187">
        <v>22</v>
      </c>
      <c r="G251" s="188">
        <v>0.12</v>
      </c>
      <c r="H251" s="188">
        <v>0.32</v>
      </c>
      <c r="I251" s="188">
        <v>0.44</v>
      </c>
      <c r="J251" s="188">
        <v>1.39</v>
      </c>
      <c r="K251" s="188">
        <v>0.03</v>
      </c>
      <c r="L251" s="188">
        <v>0.15</v>
      </c>
      <c r="M251" s="188">
        <v>0</v>
      </c>
      <c r="N251" s="188">
        <v>0</v>
      </c>
      <c r="O251" s="188">
        <v>1.32</v>
      </c>
      <c r="P251" s="188">
        <v>0.39</v>
      </c>
      <c r="Q251" s="188">
        <v>0</v>
      </c>
      <c r="R251" s="188">
        <v>0.35</v>
      </c>
      <c r="S251" s="188">
        <v>0.02</v>
      </c>
      <c r="T251" s="188">
        <v>0</v>
      </c>
      <c r="U251" s="188">
        <v>0</v>
      </c>
      <c r="V251" s="188">
        <v>0</v>
      </c>
      <c r="W251" s="188"/>
      <c r="X251" s="89"/>
      <c r="Y251" s="187"/>
      <c r="Z251" s="187"/>
      <c r="AA251" s="187"/>
      <c r="AB251" s="187"/>
      <c r="AC251" s="187"/>
      <c r="AD251" s="189"/>
      <c r="AE251" s="188"/>
    </row>
    <row r="252" spans="1:31" ht="21.25" customHeight="1" x14ac:dyDescent="0.15">
      <c r="A252" s="10" t="s">
        <v>609</v>
      </c>
      <c r="B252" s="185" t="s">
        <v>853</v>
      </c>
      <c r="C252" s="186">
        <v>23</v>
      </c>
      <c r="D252" s="185" t="s">
        <v>844</v>
      </c>
      <c r="E252" s="89">
        <v>77</v>
      </c>
      <c r="F252" s="187">
        <v>13.6</v>
      </c>
      <c r="G252" s="188">
        <v>0.21</v>
      </c>
      <c r="H252" s="188">
        <v>0.32</v>
      </c>
      <c r="I252" s="188">
        <v>0.53</v>
      </c>
      <c r="J252" s="188">
        <v>1.75</v>
      </c>
      <c r="K252" s="188">
        <v>0.04</v>
      </c>
      <c r="L252" s="188">
        <v>0.11</v>
      </c>
      <c r="M252" s="188">
        <v>0</v>
      </c>
      <c r="N252" s="188">
        <v>0</v>
      </c>
      <c r="O252" s="188">
        <v>0.51</v>
      </c>
      <c r="P252" s="188">
        <v>0.28999999999999998</v>
      </c>
      <c r="Q252" s="188">
        <v>0.01</v>
      </c>
      <c r="R252" s="188">
        <v>0.26</v>
      </c>
      <c r="S252" s="188">
        <v>0.03</v>
      </c>
      <c r="T252" s="188">
        <v>0</v>
      </c>
      <c r="U252" s="188">
        <v>0.06</v>
      </c>
      <c r="V252" s="188">
        <v>0.06</v>
      </c>
      <c r="W252" s="188"/>
      <c r="X252" s="89"/>
      <c r="Y252" s="187"/>
      <c r="Z252" s="187"/>
      <c r="AA252" s="187"/>
      <c r="AB252" s="187"/>
      <c r="AC252" s="187"/>
      <c r="AD252" s="189"/>
      <c r="AE252" s="188"/>
    </row>
    <row r="253" spans="1:31" ht="21.25" customHeight="1" x14ac:dyDescent="0.15">
      <c r="A253" s="10" t="s">
        <v>606</v>
      </c>
      <c r="B253" s="185" t="s">
        <v>867</v>
      </c>
      <c r="C253" s="186">
        <v>24</v>
      </c>
      <c r="D253" s="185" t="s">
        <v>848</v>
      </c>
      <c r="E253" s="89">
        <v>77</v>
      </c>
      <c r="F253" s="187">
        <v>15.3</v>
      </c>
      <c r="G253" s="188">
        <v>0.2</v>
      </c>
      <c r="H253" s="188">
        <v>0.23</v>
      </c>
      <c r="I253" s="188">
        <v>0.43</v>
      </c>
      <c r="J253" s="188">
        <v>1.58</v>
      </c>
      <c r="K253" s="188">
        <v>0.02</v>
      </c>
      <c r="L253" s="188">
        <v>0.09</v>
      </c>
      <c r="M253" s="188">
        <v>0</v>
      </c>
      <c r="N253" s="188">
        <v>0</v>
      </c>
      <c r="O253" s="188">
        <v>0.32</v>
      </c>
      <c r="P253" s="188">
        <v>0.63</v>
      </c>
      <c r="Q253" s="188">
        <v>-0.09</v>
      </c>
      <c r="R253" s="188">
        <v>0.33</v>
      </c>
      <c r="S253" s="188">
        <v>0.03</v>
      </c>
      <c r="T253" s="188">
        <v>1.08</v>
      </c>
      <c r="U253" s="188">
        <v>1.44</v>
      </c>
      <c r="V253" s="188">
        <v>0.43</v>
      </c>
      <c r="W253" s="188"/>
      <c r="X253" s="89"/>
      <c r="Y253" s="187"/>
      <c r="Z253" s="187"/>
      <c r="AA253" s="187"/>
      <c r="AB253" s="187"/>
      <c r="AC253" s="187"/>
      <c r="AD253" s="189"/>
      <c r="AE253" s="188"/>
    </row>
    <row r="254" spans="1:31" ht="21.25" customHeight="1" x14ac:dyDescent="0.15">
      <c r="A254" s="10" t="s">
        <v>270</v>
      </c>
      <c r="B254" s="185" t="s">
        <v>855</v>
      </c>
      <c r="C254" s="186">
        <v>22</v>
      </c>
      <c r="D254" s="185" t="s">
        <v>823</v>
      </c>
      <c r="E254" s="89">
        <v>79</v>
      </c>
      <c r="F254" s="187">
        <v>22.2</v>
      </c>
      <c r="G254" s="188">
        <v>0.12</v>
      </c>
      <c r="H254" s="188">
        <v>0.32</v>
      </c>
      <c r="I254" s="188">
        <v>0.44</v>
      </c>
      <c r="J254" s="188">
        <v>1.43</v>
      </c>
      <c r="K254" s="188">
        <v>0</v>
      </c>
      <c r="L254" s="188">
        <v>0.08</v>
      </c>
      <c r="M254" s="188">
        <v>0</v>
      </c>
      <c r="N254" s="188">
        <v>0.01</v>
      </c>
      <c r="O254" s="188">
        <v>1.71</v>
      </c>
      <c r="P254" s="188">
        <v>0.95</v>
      </c>
      <c r="Q254" s="188">
        <v>-0.06</v>
      </c>
      <c r="R254" s="188">
        <v>0.38</v>
      </c>
      <c r="S254" s="188">
        <v>0.02</v>
      </c>
      <c r="T254" s="188">
        <v>0</v>
      </c>
      <c r="U254" s="188">
        <v>0</v>
      </c>
      <c r="V254" s="188">
        <v>0</v>
      </c>
      <c r="W254" s="188"/>
      <c r="X254" s="89"/>
      <c r="Y254" s="187"/>
      <c r="Z254" s="187"/>
      <c r="AA254" s="187"/>
      <c r="AB254" s="187"/>
      <c r="AC254" s="187"/>
      <c r="AD254" s="189"/>
      <c r="AE254" s="188"/>
    </row>
    <row r="255" spans="1:31" ht="21.25" customHeight="1" x14ac:dyDescent="0.15">
      <c r="A255" s="10" t="s">
        <v>588</v>
      </c>
      <c r="B255" s="185" t="s">
        <v>858</v>
      </c>
      <c r="C255" s="186">
        <v>20</v>
      </c>
      <c r="D255" s="185" t="s">
        <v>820</v>
      </c>
      <c r="E255" s="89">
        <v>76</v>
      </c>
      <c r="F255" s="187">
        <v>12.9</v>
      </c>
      <c r="G255" s="188">
        <v>0.18</v>
      </c>
      <c r="H255" s="188">
        <v>0.28999999999999998</v>
      </c>
      <c r="I255" s="188">
        <v>0.47</v>
      </c>
      <c r="J255" s="188">
        <v>1.64</v>
      </c>
      <c r="K255" s="188">
        <v>0</v>
      </c>
      <c r="L255" s="188">
        <v>0</v>
      </c>
      <c r="M255" s="188">
        <v>0</v>
      </c>
      <c r="N255" s="188">
        <v>0</v>
      </c>
      <c r="O255" s="188">
        <v>0.42</v>
      </c>
      <c r="P255" s="188">
        <v>1.01</v>
      </c>
      <c r="Q255" s="188">
        <v>0.02</v>
      </c>
      <c r="R255" s="188">
        <v>0.27</v>
      </c>
      <c r="S255" s="188">
        <v>0.03</v>
      </c>
      <c r="T255" s="188">
        <v>1.2</v>
      </c>
      <c r="U255" s="188">
        <v>1.69</v>
      </c>
      <c r="V255" s="188">
        <v>0.42</v>
      </c>
      <c r="W255" s="188"/>
      <c r="X255" s="89"/>
      <c r="Y255" s="187"/>
      <c r="Z255" s="187"/>
      <c r="AA255" s="187"/>
      <c r="AB255" s="187"/>
      <c r="AC255" s="187"/>
      <c r="AD255" s="189"/>
      <c r="AE255" s="188"/>
    </row>
    <row r="256" spans="1:31" ht="21.25" customHeight="1" x14ac:dyDescent="0.15">
      <c r="A256" s="10" t="s">
        <v>294</v>
      </c>
      <c r="B256" s="185" t="s">
        <v>856</v>
      </c>
      <c r="C256" s="186">
        <v>26</v>
      </c>
      <c r="D256" s="185" t="s">
        <v>823</v>
      </c>
      <c r="E256" s="89">
        <v>81</v>
      </c>
      <c r="F256" s="187">
        <v>22.6</v>
      </c>
      <c r="G256" s="188">
        <v>0.11</v>
      </c>
      <c r="H256" s="188">
        <v>0.35</v>
      </c>
      <c r="I256" s="188">
        <v>0.46</v>
      </c>
      <c r="J256" s="188">
        <v>1.65</v>
      </c>
      <c r="K256" s="188">
        <v>0.01</v>
      </c>
      <c r="L256" s="188">
        <v>0.06</v>
      </c>
      <c r="M256" s="188">
        <v>0.01</v>
      </c>
      <c r="N256" s="188">
        <v>0.02</v>
      </c>
      <c r="O256" s="188">
        <v>1.34</v>
      </c>
      <c r="P256" s="188">
        <v>1.38</v>
      </c>
      <c r="Q256" s="188">
        <v>0.06</v>
      </c>
      <c r="R256" s="188">
        <v>0.56000000000000005</v>
      </c>
      <c r="S256" s="188">
        <v>0.02</v>
      </c>
      <c r="T256" s="188">
        <v>0</v>
      </c>
      <c r="U256" s="188">
        <v>0.01</v>
      </c>
      <c r="V256" s="188">
        <v>0</v>
      </c>
      <c r="W256" s="188"/>
      <c r="X256" s="89"/>
      <c r="Y256" s="187"/>
      <c r="Z256" s="187"/>
      <c r="AA256" s="187"/>
      <c r="AB256" s="187"/>
      <c r="AC256" s="187"/>
      <c r="AD256" s="189"/>
      <c r="AE256" s="188"/>
    </row>
    <row r="257" spans="1:31" ht="21.25" customHeight="1" x14ac:dyDescent="0.15">
      <c r="A257" s="10" t="s">
        <v>252</v>
      </c>
      <c r="B257" s="185" t="s">
        <v>839</v>
      </c>
      <c r="C257" s="186">
        <v>29</v>
      </c>
      <c r="D257" s="185" t="s">
        <v>823</v>
      </c>
      <c r="E257" s="89">
        <v>82</v>
      </c>
      <c r="F257" s="187">
        <v>22.6</v>
      </c>
      <c r="G257" s="188">
        <v>0.1</v>
      </c>
      <c r="H257" s="188">
        <v>0.34</v>
      </c>
      <c r="I257" s="188">
        <v>0.44</v>
      </c>
      <c r="J257" s="188">
        <v>1.85</v>
      </c>
      <c r="K257" s="188">
        <v>0.01</v>
      </c>
      <c r="L257" s="188">
        <v>7.0000000000000007E-2</v>
      </c>
      <c r="M257" s="188">
        <v>0</v>
      </c>
      <c r="N257" s="188">
        <v>0.01</v>
      </c>
      <c r="O257" s="188">
        <v>1.56</v>
      </c>
      <c r="P257" s="188">
        <v>0.59</v>
      </c>
      <c r="Q257" s="188">
        <v>7.0000000000000007E-2</v>
      </c>
      <c r="R257" s="188">
        <v>0.28999999999999998</v>
      </c>
      <c r="S257" s="188">
        <v>0.02</v>
      </c>
      <c r="T257" s="188">
        <v>0</v>
      </c>
      <c r="U257" s="188">
        <v>0</v>
      </c>
      <c r="V257" s="188">
        <v>0</v>
      </c>
      <c r="W257" s="188"/>
      <c r="X257" s="89"/>
      <c r="Y257" s="187"/>
      <c r="Z257" s="187"/>
      <c r="AA257" s="187"/>
      <c r="AB257" s="187"/>
      <c r="AC257" s="187"/>
      <c r="AD257" s="189"/>
      <c r="AE257" s="188"/>
    </row>
    <row r="258" spans="1:31" ht="21.25" customHeight="1" x14ac:dyDescent="0.15">
      <c r="A258" s="10" t="s">
        <v>529</v>
      </c>
      <c r="B258" s="185" t="s">
        <v>866</v>
      </c>
      <c r="C258" s="186">
        <v>23</v>
      </c>
      <c r="D258" s="185" t="s">
        <v>822</v>
      </c>
      <c r="E258" s="89">
        <v>81</v>
      </c>
      <c r="F258" s="187">
        <v>14.9</v>
      </c>
      <c r="G258" s="188">
        <v>0.19</v>
      </c>
      <c r="H258" s="188">
        <v>0.26</v>
      </c>
      <c r="I258" s="188">
        <v>0.45</v>
      </c>
      <c r="J258" s="188">
        <v>2.04</v>
      </c>
      <c r="K258" s="188">
        <v>0.03</v>
      </c>
      <c r="L258" s="188">
        <v>0.08</v>
      </c>
      <c r="M258" s="188">
        <v>0</v>
      </c>
      <c r="N258" s="188">
        <v>0</v>
      </c>
      <c r="O258" s="188">
        <v>0.5</v>
      </c>
      <c r="P258" s="188">
        <v>1.91</v>
      </c>
      <c r="Q258" s="188">
        <v>-7.0000000000000007E-2</v>
      </c>
      <c r="R258" s="188">
        <v>0.32</v>
      </c>
      <c r="S258" s="188">
        <v>0.03</v>
      </c>
      <c r="T258" s="188">
        <v>0.03</v>
      </c>
      <c r="U258" s="188">
        <v>0.11</v>
      </c>
      <c r="V258" s="188">
        <v>0.24</v>
      </c>
      <c r="W258" s="188"/>
      <c r="X258" s="89"/>
      <c r="Y258" s="187"/>
      <c r="Z258" s="187"/>
      <c r="AA258" s="187"/>
      <c r="AB258" s="187"/>
      <c r="AC258" s="187"/>
      <c r="AD258" s="189"/>
      <c r="AE258" s="188"/>
    </row>
    <row r="259" spans="1:31" ht="21.25" customHeight="1" x14ac:dyDescent="0.15">
      <c r="A259" s="10" t="s">
        <v>585</v>
      </c>
      <c r="B259" s="185" t="s">
        <v>850</v>
      </c>
      <c r="C259" s="186">
        <v>32</v>
      </c>
      <c r="D259" s="185" t="s">
        <v>844</v>
      </c>
      <c r="E259" s="89">
        <v>82</v>
      </c>
      <c r="F259" s="187">
        <v>16.399999999999999</v>
      </c>
      <c r="G259" s="188">
        <v>0.12</v>
      </c>
      <c r="H259" s="188">
        <v>0.24</v>
      </c>
      <c r="I259" s="188">
        <v>0.37</v>
      </c>
      <c r="J259" s="188">
        <v>1.0900000000000001</v>
      </c>
      <c r="K259" s="188">
        <v>0.02</v>
      </c>
      <c r="L259" s="188">
        <v>0.06</v>
      </c>
      <c r="M259" s="188">
        <v>0.01</v>
      </c>
      <c r="N259" s="188">
        <v>0.03</v>
      </c>
      <c r="O259" s="188">
        <v>0.52</v>
      </c>
      <c r="P259" s="188">
        <v>0.41</v>
      </c>
      <c r="Q259" s="188">
        <v>-0.11</v>
      </c>
      <c r="R259" s="188">
        <v>0.17</v>
      </c>
      <c r="S259" s="188">
        <v>0.02</v>
      </c>
      <c r="T259" s="188">
        <v>0.65</v>
      </c>
      <c r="U259" s="188">
        <v>0.93</v>
      </c>
      <c r="V259" s="188">
        <v>0.41</v>
      </c>
      <c r="W259" s="188"/>
      <c r="X259" s="89"/>
      <c r="Y259" s="187"/>
      <c r="Z259" s="187"/>
      <c r="AA259" s="187"/>
      <c r="AB259" s="187"/>
      <c r="AC259" s="187"/>
      <c r="AD259" s="189"/>
      <c r="AE259" s="188"/>
    </row>
    <row r="260" spans="1:31" ht="21.25" customHeight="1" x14ac:dyDescent="0.15">
      <c r="A260" s="10" t="s">
        <v>282</v>
      </c>
      <c r="B260" s="185" t="s">
        <v>832</v>
      </c>
      <c r="C260" s="186">
        <v>36</v>
      </c>
      <c r="D260" s="185" t="s">
        <v>823</v>
      </c>
      <c r="E260" s="89">
        <v>81</v>
      </c>
      <c r="F260" s="187">
        <v>20.7</v>
      </c>
      <c r="G260" s="188">
        <v>0.08</v>
      </c>
      <c r="H260" s="188">
        <v>0.33</v>
      </c>
      <c r="I260" s="188">
        <v>0.41</v>
      </c>
      <c r="J260" s="188">
        <v>1.61</v>
      </c>
      <c r="K260" s="188">
        <v>0.01</v>
      </c>
      <c r="L260" s="188">
        <v>0.03</v>
      </c>
      <c r="M260" s="188">
        <v>0</v>
      </c>
      <c r="N260" s="188">
        <v>0</v>
      </c>
      <c r="O260" s="188">
        <v>1.42</v>
      </c>
      <c r="P260" s="188">
        <v>0.81</v>
      </c>
      <c r="Q260" s="188">
        <v>0.12</v>
      </c>
      <c r="R260" s="188">
        <v>0.45</v>
      </c>
      <c r="S260" s="188">
        <v>0.01</v>
      </c>
      <c r="T260" s="188">
        <v>0</v>
      </c>
      <c r="U260" s="188">
        <v>0</v>
      </c>
      <c r="V260" s="188">
        <v>0</v>
      </c>
      <c r="W260" s="188"/>
      <c r="X260" s="89"/>
      <c r="Y260" s="187"/>
      <c r="Z260" s="187"/>
      <c r="AA260" s="187"/>
      <c r="AB260" s="187"/>
      <c r="AC260" s="187"/>
      <c r="AD260" s="189"/>
      <c r="AE260" s="188"/>
    </row>
    <row r="261" spans="1:31" ht="21.25" customHeight="1" x14ac:dyDescent="0.15">
      <c r="A261" s="10" t="s">
        <v>553</v>
      </c>
      <c r="B261" s="185" t="s">
        <v>859</v>
      </c>
      <c r="C261" s="186">
        <v>24</v>
      </c>
      <c r="D261" s="185" t="s">
        <v>848</v>
      </c>
      <c r="E261" s="89">
        <v>82</v>
      </c>
      <c r="F261" s="187">
        <v>16.3</v>
      </c>
      <c r="G261" s="188">
        <v>0.16</v>
      </c>
      <c r="H261" s="188">
        <v>0.24</v>
      </c>
      <c r="I261" s="188">
        <v>0.41</v>
      </c>
      <c r="J261" s="188">
        <v>1.49</v>
      </c>
      <c r="K261" s="188">
        <v>0.01</v>
      </c>
      <c r="L261" s="188">
        <v>0.03</v>
      </c>
      <c r="M261" s="188">
        <v>0.02</v>
      </c>
      <c r="N261" s="188">
        <v>0.03</v>
      </c>
      <c r="O261" s="188">
        <v>0.62</v>
      </c>
      <c r="P261" s="188">
        <v>1.34</v>
      </c>
      <c r="Q261" s="188">
        <v>0.02</v>
      </c>
      <c r="R261" s="188">
        <v>0.74</v>
      </c>
      <c r="S261" s="188">
        <v>0.03</v>
      </c>
      <c r="T261" s="188">
        <v>3.19</v>
      </c>
      <c r="U261" s="188">
        <v>3.07</v>
      </c>
      <c r="V261" s="188">
        <v>0.51</v>
      </c>
      <c r="W261" s="188"/>
      <c r="X261" s="89"/>
      <c r="Y261" s="187"/>
      <c r="Z261" s="187"/>
      <c r="AA261" s="187"/>
      <c r="AB261" s="187"/>
      <c r="AC261" s="187"/>
      <c r="AD261" s="189"/>
      <c r="AE261" s="188"/>
    </row>
    <row r="262" spans="1:31" ht="21.25" customHeight="1" x14ac:dyDescent="0.15">
      <c r="A262" s="10" t="s">
        <v>587</v>
      </c>
      <c r="B262" s="185" t="s">
        <v>861</v>
      </c>
      <c r="C262" s="186">
        <v>21</v>
      </c>
      <c r="D262" s="185" t="s">
        <v>842</v>
      </c>
      <c r="E262" s="89">
        <v>79</v>
      </c>
      <c r="F262" s="187">
        <v>13.4</v>
      </c>
      <c r="G262" s="188">
        <v>0.3</v>
      </c>
      <c r="H262" s="188">
        <v>0.32</v>
      </c>
      <c r="I262" s="188">
        <v>0.62</v>
      </c>
      <c r="J262" s="188">
        <v>2.0299999999999998</v>
      </c>
      <c r="K262" s="188">
        <v>0.08</v>
      </c>
      <c r="L262" s="188">
        <v>0.19</v>
      </c>
      <c r="M262" s="188">
        <v>0</v>
      </c>
      <c r="N262" s="188">
        <v>0</v>
      </c>
      <c r="O262" s="188">
        <v>0.46</v>
      </c>
      <c r="P262" s="188">
        <v>0.97</v>
      </c>
      <c r="Q262" s="188">
        <v>-0.04</v>
      </c>
      <c r="R262" s="188">
        <v>0.27</v>
      </c>
      <c r="S262" s="188">
        <v>0.04</v>
      </c>
      <c r="T262" s="188">
        <v>1.23</v>
      </c>
      <c r="U262" s="188">
        <v>1.89</v>
      </c>
      <c r="V262" s="188">
        <v>0.39</v>
      </c>
      <c r="W262" s="188"/>
      <c r="X262" s="89"/>
      <c r="Y262" s="187"/>
      <c r="Z262" s="187"/>
      <c r="AA262" s="187"/>
      <c r="AB262" s="187"/>
      <c r="AC262" s="187"/>
      <c r="AD262" s="189"/>
      <c r="AE262" s="188"/>
    </row>
    <row r="263" spans="1:31" ht="21.25" customHeight="1" x14ac:dyDescent="0.15">
      <c r="A263" s="10" t="s">
        <v>612</v>
      </c>
      <c r="B263" s="185" t="s">
        <v>865</v>
      </c>
      <c r="C263" s="186">
        <v>33</v>
      </c>
      <c r="D263" s="185" t="s">
        <v>835</v>
      </c>
      <c r="E263" s="89">
        <v>71</v>
      </c>
      <c r="F263" s="187">
        <v>14.4</v>
      </c>
      <c r="G263" s="188">
        <v>0.14000000000000001</v>
      </c>
      <c r="H263" s="188">
        <v>0.24</v>
      </c>
      <c r="I263" s="188">
        <v>0.37</v>
      </c>
      <c r="J263" s="188">
        <v>1.52</v>
      </c>
      <c r="K263" s="188">
        <v>0</v>
      </c>
      <c r="L263" s="188">
        <v>0</v>
      </c>
      <c r="M263" s="188">
        <v>0.01</v>
      </c>
      <c r="N263" s="188">
        <v>0.01</v>
      </c>
      <c r="O263" s="188">
        <v>0.77</v>
      </c>
      <c r="P263" s="188">
        <v>1.63</v>
      </c>
      <c r="Q263" s="188">
        <v>0.06</v>
      </c>
      <c r="R263" s="188">
        <v>0.41</v>
      </c>
      <c r="S263" s="188">
        <v>0.02</v>
      </c>
      <c r="T263" s="188">
        <v>3.52</v>
      </c>
      <c r="U263" s="188">
        <v>3.13</v>
      </c>
      <c r="V263" s="188">
        <v>0.53</v>
      </c>
      <c r="W263" s="188"/>
      <c r="X263" s="89"/>
      <c r="Y263" s="187"/>
      <c r="Z263" s="187"/>
      <c r="AA263" s="187"/>
      <c r="AB263" s="187"/>
      <c r="AC263" s="187"/>
      <c r="AD263" s="189"/>
      <c r="AE263" s="188"/>
    </row>
    <row r="264" spans="1:31" ht="21.25" customHeight="1" x14ac:dyDescent="0.15">
      <c r="A264" s="10" t="s">
        <v>542</v>
      </c>
      <c r="B264" s="185" t="s">
        <v>845</v>
      </c>
      <c r="C264" s="186">
        <v>31</v>
      </c>
      <c r="D264" s="185" t="s">
        <v>844</v>
      </c>
      <c r="E264" s="89">
        <v>80</v>
      </c>
      <c r="F264" s="187">
        <v>14.8</v>
      </c>
      <c r="G264" s="188">
        <v>0.19</v>
      </c>
      <c r="H264" s="188">
        <v>0.24</v>
      </c>
      <c r="I264" s="188">
        <v>0.44</v>
      </c>
      <c r="J264" s="188">
        <v>2.04</v>
      </c>
      <c r="K264" s="188">
        <v>0.01</v>
      </c>
      <c r="L264" s="188">
        <v>0.03</v>
      </c>
      <c r="M264" s="188">
        <v>0.01</v>
      </c>
      <c r="N264" s="188">
        <v>0.02</v>
      </c>
      <c r="O264" s="188">
        <v>0.47</v>
      </c>
      <c r="P264" s="188">
        <v>0.85</v>
      </c>
      <c r="Q264" s="188">
        <v>0.01</v>
      </c>
      <c r="R264" s="188">
        <v>0.22</v>
      </c>
      <c r="S264" s="188">
        <v>0.03</v>
      </c>
      <c r="T264" s="188">
        <v>0.05</v>
      </c>
      <c r="U264" s="188">
        <v>0.22</v>
      </c>
      <c r="V264" s="188">
        <v>0.19</v>
      </c>
      <c r="W264" s="188"/>
      <c r="X264" s="89"/>
      <c r="Y264" s="187"/>
      <c r="Z264" s="187"/>
      <c r="AA264" s="187"/>
      <c r="AB264" s="187"/>
      <c r="AC264" s="187"/>
      <c r="AD264" s="189"/>
      <c r="AE264" s="188"/>
    </row>
    <row r="265" spans="1:31" ht="21.25" customHeight="1" x14ac:dyDescent="0.15">
      <c r="A265" s="10" t="s">
        <v>322</v>
      </c>
      <c r="B265" s="185" t="s">
        <v>853</v>
      </c>
      <c r="C265" s="186">
        <v>22</v>
      </c>
      <c r="D265" s="185" t="s">
        <v>823</v>
      </c>
      <c r="E265" s="89">
        <v>76</v>
      </c>
      <c r="F265" s="187">
        <v>20.7</v>
      </c>
      <c r="G265" s="188">
        <v>0.16</v>
      </c>
      <c r="H265" s="188">
        <v>0.28999999999999998</v>
      </c>
      <c r="I265" s="188">
        <v>0.46</v>
      </c>
      <c r="J265" s="188">
        <v>1.33</v>
      </c>
      <c r="K265" s="188">
        <v>0.02</v>
      </c>
      <c r="L265" s="188">
        <v>0.06</v>
      </c>
      <c r="M265" s="188">
        <v>0</v>
      </c>
      <c r="N265" s="188">
        <v>0</v>
      </c>
      <c r="O265" s="188">
        <v>1.43</v>
      </c>
      <c r="P265" s="188">
        <v>0.59</v>
      </c>
      <c r="Q265" s="188">
        <v>0.03</v>
      </c>
      <c r="R265" s="188">
        <v>0.3</v>
      </c>
      <c r="S265" s="188">
        <v>0.03</v>
      </c>
      <c r="T265" s="188">
        <v>0</v>
      </c>
      <c r="U265" s="188">
        <v>0</v>
      </c>
      <c r="V265" s="188">
        <v>0</v>
      </c>
      <c r="W265" s="188"/>
      <c r="X265" s="89"/>
      <c r="Y265" s="187"/>
      <c r="Z265" s="187"/>
      <c r="AA265" s="187"/>
      <c r="AB265" s="187"/>
      <c r="AC265" s="187"/>
      <c r="AD265" s="189"/>
      <c r="AE265" s="188"/>
    </row>
    <row r="266" spans="1:31" ht="21.25" customHeight="1" x14ac:dyDescent="0.15">
      <c r="A266" s="10" t="s">
        <v>594</v>
      </c>
      <c r="B266" s="185" t="s">
        <v>837</v>
      </c>
      <c r="C266" s="186">
        <v>22</v>
      </c>
      <c r="D266" s="185" t="s">
        <v>820</v>
      </c>
      <c r="E266" s="89">
        <v>75</v>
      </c>
      <c r="F266" s="187">
        <v>15.5</v>
      </c>
      <c r="G266" s="188">
        <v>0.21</v>
      </c>
      <c r="H266" s="188">
        <v>0.23</v>
      </c>
      <c r="I266" s="188">
        <v>0.43</v>
      </c>
      <c r="J266" s="188">
        <v>1.45</v>
      </c>
      <c r="K266" s="188">
        <v>0.02</v>
      </c>
      <c r="L266" s="188">
        <v>0.05</v>
      </c>
      <c r="M266" s="188">
        <v>0</v>
      </c>
      <c r="N266" s="188">
        <v>0.01</v>
      </c>
      <c r="O266" s="188">
        <v>0.59</v>
      </c>
      <c r="P266" s="188">
        <v>1.66</v>
      </c>
      <c r="Q266" s="188">
        <v>0</v>
      </c>
      <c r="R266" s="188">
        <v>0.28000000000000003</v>
      </c>
      <c r="S266" s="188">
        <v>0.03</v>
      </c>
      <c r="T266" s="188">
        <v>4.95</v>
      </c>
      <c r="U266" s="188">
        <v>5.2</v>
      </c>
      <c r="V266" s="188">
        <v>0.49</v>
      </c>
      <c r="W266" s="188"/>
      <c r="X266" s="89"/>
      <c r="Y266" s="187"/>
      <c r="Z266" s="187"/>
      <c r="AA266" s="187"/>
      <c r="AB266" s="187"/>
      <c r="AC266" s="187"/>
      <c r="AD266" s="189"/>
      <c r="AE266" s="188"/>
    </row>
    <row r="267" spans="1:31" ht="21.25" customHeight="1" x14ac:dyDescent="0.15">
      <c r="A267" s="10" t="s">
        <v>267</v>
      </c>
      <c r="B267" s="185" t="s">
        <v>857</v>
      </c>
      <c r="C267" s="186">
        <v>34</v>
      </c>
      <c r="D267" s="185" t="s">
        <v>823</v>
      </c>
      <c r="E267" s="89">
        <v>81</v>
      </c>
      <c r="F267" s="187">
        <v>21.8</v>
      </c>
      <c r="G267" s="188">
        <v>0.1</v>
      </c>
      <c r="H267" s="188">
        <v>0.33</v>
      </c>
      <c r="I267" s="188">
        <v>0.43</v>
      </c>
      <c r="J267" s="188">
        <v>1.7</v>
      </c>
      <c r="K267" s="188">
        <v>0.01</v>
      </c>
      <c r="L267" s="188">
        <v>0.08</v>
      </c>
      <c r="M267" s="188">
        <v>0</v>
      </c>
      <c r="N267" s="188">
        <v>0.01</v>
      </c>
      <c r="O267" s="188">
        <v>1.62</v>
      </c>
      <c r="P267" s="188">
        <v>0.96</v>
      </c>
      <c r="Q267" s="188">
        <v>-0.04</v>
      </c>
      <c r="R267" s="188">
        <v>0.48</v>
      </c>
      <c r="S267" s="188">
        <v>0.02</v>
      </c>
      <c r="T267" s="188">
        <v>0</v>
      </c>
      <c r="U267" s="188">
        <v>0</v>
      </c>
      <c r="V267" s="188">
        <v>0</v>
      </c>
      <c r="W267" s="188"/>
      <c r="X267" s="89"/>
      <c r="Y267" s="187"/>
      <c r="Z267" s="187"/>
      <c r="AA267" s="187"/>
      <c r="AB267" s="187"/>
      <c r="AC267" s="187"/>
      <c r="AD267" s="189"/>
      <c r="AE267" s="188"/>
    </row>
    <row r="268" spans="1:31" ht="21.25" customHeight="1" x14ac:dyDescent="0.15">
      <c r="A268" s="10" t="s">
        <v>524</v>
      </c>
      <c r="B268" s="185" t="s">
        <v>852</v>
      </c>
      <c r="C268" s="186">
        <v>29</v>
      </c>
      <c r="D268" s="185" t="s">
        <v>844</v>
      </c>
      <c r="E268" s="89">
        <v>84</v>
      </c>
      <c r="F268" s="187">
        <v>16.5</v>
      </c>
      <c r="G268" s="188">
        <v>0.23</v>
      </c>
      <c r="H268" s="188">
        <v>0.2</v>
      </c>
      <c r="I268" s="188">
        <v>0.43</v>
      </c>
      <c r="J268" s="188">
        <v>1.75</v>
      </c>
      <c r="K268" s="188">
        <v>0.02</v>
      </c>
      <c r="L268" s="188">
        <v>0.03</v>
      </c>
      <c r="M268" s="188">
        <v>0.01</v>
      </c>
      <c r="N268" s="188">
        <v>0.02</v>
      </c>
      <c r="O268" s="188">
        <v>0.67</v>
      </c>
      <c r="P268" s="188">
        <v>2.42</v>
      </c>
      <c r="Q268" s="188">
        <v>0.02</v>
      </c>
      <c r="R268" s="188">
        <v>0.46</v>
      </c>
      <c r="S268" s="188">
        <v>0.04</v>
      </c>
      <c r="T268" s="188">
        <v>0.36</v>
      </c>
      <c r="U268" s="188">
        <v>0.6</v>
      </c>
      <c r="V268" s="188">
        <v>0.37</v>
      </c>
      <c r="W268" s="188"/>
      <c r="X268" s="89"/>
      <c r="Y268" s="187"/>
      <c r="Z268" s="187"/>
      <c r="AA268" s="187"/>
      <c r="AB268" s="187"/>
      <c r="AC268" s="187"/>
      <c r="AD268" s="189"/>
      <c r="AE268" s="188"/>
    </row>
    <row r="269" spans="1:31" ht="21.25" customHeight="1" x14ac:dyDescent="0.15">
      <c r="A269" s="10" t="s">
        <v>537</v>
      </c>
      <c r="B269" s="185" t="s">
        <v>861</v>
      </c>
      <c r="C269" s="186">
        <v>30</v>
      </c>
      <c r="D269" s="185" t="s">
        <v>835</v>
      </c>
      <c r="E269" s="89">
        <v>79</v>
      </c>
      <c r="F269" s="187">
        <v>14.8</v>
      </c>
      <c r="G269" s="188">
        <v>0.17</v>
      </c>
      <c r="H269" s="188">
        <v>0.22</v>
      </c>
      <c r="I269" s="188">
        <v>0.39</v>
      </c>
      <c r="J269" s="188">
        <v>2.0099999999999998</v>
      </c>
      <c r="K269" s="188">
        <v>0.01</v>
      </c>
      <c r="L269" s="188">
        <v>0.03</v>
      </c>
      <c r="M269" s="188">
        <v>0</v>
      </c>
      <c r="N269" s="188">
        <v>0</v>
      </c>
      <c r="O269" s="188">
        <v>0.48</v>
      </c>
      <c r="P269" s="188">
        <v>2.14</v>
      </c>
      <c r="Q269" s="188">
        <v>-0.02</v>
      </c>
      <c r="R269" s="188">
        <v>0.37</v>
      </c>
      <c r="S269" s="188">
        <v>0.02</v>
      </c>
      <c r="T269" s="188">
        <v>1.54</v>
      </c>
      <c r="U269" s="188">
        <v>1.78</v>
      </c>
      <c r="V269" s="188">
        <v>0.46</v>
      </c>
      <c r="W269" s="188"/>
      <c r="X269" s="89"/>
      <c r="Y269" s="188"/>
      <c r="Z269" s="188"/>
      <c r="AA269" s="188"/>
      <c r="AB269" s="188"/>
      <c r="AC269" s="187"/>
      <c r="AD269" s="189"/>
      <c r="AE269" s="188"/>
    </row>
    <row r="270" spans="1:31" ht="21.25" customHeight="1" x14ac:dyDescent="0.15">
      <c r="A270" s="10" t="s">
        <v>578</v>
      </c>
      <c r="B270" s="185" t="s">
        <v>832</v>
      </c>
      <c r="C270" s="186">
        <v>25</v>
      </c>
      <c r="D270" s="185" t="s">
        <v>844</v>
      </c>
      <c r="E270" s="89">
        <v>78</v>
      </c>
      <c r="F270" s="187">
        <v>15.5</v>
      </c>
      <c r="G270" s="188">
        <v>0.19</v>
      </c>
      <c r="H270" s="188">
        <v>0.24</v>
      </c>
      <c r="I270" s="188">
        <v>0.43</v>
      </c>
      <c r="J270" s="188">
        <v>1.67</v>
      </c>
      <c r="K270" s="188">
        <v>0.01</v>
      </c>
      <c r="L270" s="188">
        <v>0.03</v>
      </c>
      <c r="M270" s="188">
        <v>0</v>
      </c>
      <c r="N270" s="188">
        <v>0</v>
      </c>
      <c r="O270" s="188">
        <v>0.63</v>
      </c>
      <c r="P270" s="188">
        <v>2.72</v>
      </c>
      <c r="Q270" s="188">
        <v>0.08</v>
      </c>
      <c r="R270" s="188">
        <v>0.5</v>
      </c>
      <c r="S270" s="188">
        <v>0.03</v>
      </c>
      <c r="T270" s="188">
        <v>0.23</v>
      </c>
      <c r="U270" s="188">
        <v>0.56000000000000005</v>
      </c>
      <c r="V270" s="188">
        <v>0.3</v>
      </c>
      <c r="W270" s="188"/>
      <c r="X270" s="89"/>
      <c r="Y270" s="187"/>
      <c r="Z270" s="187"/>
      <c r="AA270" s="187"/>
      <c r="AB270" s="187"/>
      <c r="AC270" s="187"/>
      <c r="AD270" s="189"/>
      <c r="AE270" s="188"/>
    </row>
    <row r="271" spans="1:31" ht="21.25" customHeight="1" x14ac:dyDescent="0.15">
      <c r="A271" s="10" t="s">
        <v>626</v>
      </c>
      <c r="B271" s="185" t="s">
        <v>839</v>
      </c>
      <c r="C271" s="186">
        <v>28</v>
      </c>
      <c r="D271" s="185" t="s">
        <v>835</v>
      </c>
      <c r="E271" s="89">
        <v>78</v>
      </c>
      <c r="F271" s="187">
        <v>15.4</v>
      </c>
      <c r="G271" s="188">
        <v>0.22</v>
      </c>
      <c r="H271" s="188">
        <v>0.21</v>
      </c>
      <c r="I271" s="188">
        <v>0.43</v>
      </c>
      <c r="J271" s="188">
        <v>1.32</v>
      </c>
      <c r="K271" s="188">
        <v>0.01</v>
      </c>
      <c r="L271" s="188">
        <v>0.03</v>
      </c>
      <c r="M271" s="188">
        <v>0.01</v>
      </c>
      <c r="N271" s="188">
        <v>0.01</v>
      </c>
      <c r="O271" s="188">
        <v>0.5</v>
      </c>
      <c r="P271" s="188">
        <v>1.56</v>
      </c>
      <c r="Q271" s="188">
        <v>0.04</v>
      </c>
      <c r="R271" s="188">
        <v>0.56000000000000005</v>
      </c>
      <c r="S271" s="188">
        <v>0.04</v>
      </c>
      <c r="T271" s="188">
        <v>4.1399999999999997</v>
      </c>
      <c r="U271" s="188">
        <v>4.13</v>
      </c>
      <c r="V271" s="188">
        <v>0.5</v>
      </c>
      <c r="W271" s="188"/>
      <c r="X271" s="89"/>
      <c r="Y271" s="187"/>
      <c r="Z271" s="187"/>
      <c r="AA271" s="187"/>
      <c r="AB271" s="187"/>
      <c r="AC271" s="187"/>
      <c r="AD271" s="189"/>
      <c r="AE271" s="188"/>
    </row>
    <row r="272" spans="1:31" ht="21.25" customHeight="1" x14ac:dyDescent="0.15">
      <c r="A272" s="10" t="s">
        <v>563</v>
      </c>
      <c r="B272" s="185" t="s">
        <v>856</v>
      </c>
      <c r="C272" s="186">
        <v>38</v>
      </c>
      <c r="D272" s="185" t="s">
        <v>820</v>
      </c>
      <c r="E272" s="89">
        <v>82</v>
      </c>
      <c r="F272" s="187">
        <v>15.8</v>
      </c>
      <c r="G272" s="188">
        <v>0.19</v>
      </c>
      <c r="H272" s="188">
        <v>0.24</v>
      </c>
      <c r="I272" s="188">
        <v>0.43</v>
      </c>
      <c r="J272" s="188">
        <v>1.4</v>
      </c>
      <c r="K272" s="188">
        <v>0.01</v>
      </c>
      <c r="L272" s="188">
        <v>0.02</v>
      </c>
      <c r="M272" s="188">
        <v>0.01</v>
      </c>
      <c r="N272" s="188">
        <v>0.02</v>
      </c>
      <c r="O272" s="188">
        <v>0.61</v>
      </c>
      <c r="P272" s="188">
        <v>1.94</v>
      </c>
      <c r="Q272" s="188">
        <v>7.0000000000000007E-2</v>
      </c>
      <c r="R272" s="188">
        <v>0.33</v>
      </c>
      <c r="S272" s="188">
        <v>0.03</v>
      </c>
      <c r="T272" s="188">
        <v>10.69</v>
      </c>
      <c r="U272" s="188">
        <v>8.4600000000000009</v>
      </c>
      <c r="V272" s="188">
        <v>0.56000000000000005</v>
      </c>
      <c r="W272" s="188"/>
      <c r="X272" s="89"/>
      <c r="Y272" s="187"/>
      <c r="Z272" s="187"/>
      <c r="AA272" s="187"/>
      <c r="AB272" s="187"/>
      <c r="AC272" s="187"/>
      <c r="AD272" s="189"/>
      <c r="AE272" s="188"/>
    </row>
    <row r="273" spans="1:31" ht="21.25" customHeight="1" x14ac:dyDescent="0.15">
      <c r="A273" s="10" t="s">
        <v>573</v>
      </c>
      <c r="B273" s="185" t="s">
        <v>853</v>
      </c>
      <c r="C273" s="186">
        <v>23</v>
      </c>
      <c r="D273" s="185" t="s">
        <v>842</v>
      </c>
      <c r="E273" s="89">
        <v>81</v>
      </c>
      <c r="F273" s="187">
        <v>14.5</v>
      </c>
      <c r="G273" s="188">
        <v>0.13</v>
      </c>
      <c r="H273" s="188">
        <v>0.28000000000000003</v>
      </c>
      <c r="I273" s="188">
        <v>0.41</v>
      </c>
      <c r="J273" s="188">
        <v>1.59</v>
      </c>
      <c r="K273" s="188">
        <v>0.01</v>
      </c>
      <c r="L273" s="188">
        <v>0.01</v>
      </c>
      <c r="M273" s="188">
        <v>0</v>
      </c>
      <c r="N273" s="188">
        <v>0.01</v>
      </c>
      <c r="O273" s="188">
        <v>0.52</v>
      </c>
      <c r="P273" s="188">
        <v>1.2</v>
      </c>
      <c r="Q273" s="188">
        <v>0</v>
      </c>
      <c r="R273" s="188">
        <v>0.41</v>
      </c>
      <c r="S273" s="188">
        <v>0.02</v>
      </c>
      <c r="T273" s="188">
        <v>1.68</v>
      </c>
      <c r="U273" s="188">
        <v>2.12</v>
      </c>
      <c r="V273" s="188">
        <v>0.44</v>
      </c>
      <c r="W273" s="188"/>
      <c r="X273" s="89"/>
      <c r="Y273" s="187"/>
      <c r="Z273" s="187"/>
      <c r="AA273" s="187"/>
      <c r="AB273" s="187"/>
      <c r="AC273" s="187"/>
      <c r="AD273" s="189"/>
      <c r="AE273" s="188"/>
    </row>
    <row r="274" spans="1:31" ht="21.25" customHeight="1" x14ac:dyDescent="0.15">
      <c r="A274" s="10" t="s">
        <v>532</v>
      </c>
      <c r="B274" s="185" t="s">
        <v>855</v>
      </c>
      <c r="C274" s="186">
        <v>27</v>
      </c>
      <c r="D274" s="185" t="s">
        <v>820</v>
      </c>
      <c r="E274" s="89">
        <v>80</v>
      </c>
      <c r="F274" s="187">
        <v>14.8</v>
      </c>
      <c r="G274" s="188">
        <v>0.16</v>
      </c>
      <c r="H274" s="188">
        <v>0.28999999999999998</v>
      </c>
      <c r="I274" s="188">
        <v>0.44</v>
      </c>
      <c r="J274" s="188">
        <v>1.3</v>
      </c>
      <c r="K274" s="188">
        <v>0.01</v>
      </c>
      <c r="L274" s="188">
        <v>0.02</v>
      </c>
      <c r="M274" s="188">
        <v>0.02</v>
      </c>
      <c r="N274" s="188">
        <v>0.05</v>
      </c>
      <c r="O274" s="188">
        <v>1.1200000000000001</v>
      </c>
      <c r="P274" s="188">
        <v>0.64</v>
      </c>
      <c r="Q274" s="188">
        <v>-0.04</v>
      </c>
      <c r="R274" s="188">
        <v>0.21</v>
      </c>
      <c r="S274" s="188">
        <v>0.02</v>
      </c>
      <c r="T274" s="188">
        <v>6.41</v>
      </c>
      <c r="U274" s="188">
        <v>6.56</v>
      </c>
      <c r="V274" s="188">
        <v>0.49</v>
      </c>
      <c r="W274" s="188"/>
      <c r="X274" s="89"/>
      <c r="Y274" s="187"/>
      <c r="Z274" s="187"/>
      <c r="AA274" s="187"/>
      <c r="AB274" s="187"/>
      <c r="AC274" s="187"/>
      <c r="AD274" s="189"/>
      <c r="AE274" s="188"/>
    </row>
    <row r="275" spans="1:31" ht="21.25" customHeight="1" x14ac:dyDescent="0.15">
      <c r="A275" s="10" t="s">
        <v>475</v>
      </c>
      <c r="B275" s="185" t="s">
        <v>867</v>
      </c>
      <c r="C275" s="186">
        <v>37</v>
      </c>
      <c r="D275" s="185" t="s">
        <v>820</v>
      </c>
      <c r="E275" s="89">
        <v>83</v>
      </c>
      <c r="F275" s="187">
        <v>18.2</v>
      </c>
      <c r="G275" s="188">
        <v>0.17</v>
      </c>
      <c r="H275" s="188">
        <v>0.24</v>
      </c>
      <c r="I275" s="188">
        <v>0.41</v>
      </c>
      <c r="J275" s="188">
        <v>2.14</v>
      </c>
      <c r="K275" s="188">
        <v>0.01</v>
      </c>
      <c r="L275" s="188">
        <v>0.02</v>
      </c>
      <c r="M275" s="188">
        <v>0.01</v>
      </c>
      <c r="N275" s="188">
        <v>0.03</v>
      </c>
      <c r="O275" s="188">
        <v>0.45</v>
      </c>
      <c r="P275" s="188">
        <v>0.45</v>
      </c>
      <c r="Q275" s="188">
        <v>-0.09</v>
      </c>
      <c r="R275" s="188">
        <v>0.31</v>
      </c>
      <c r="S275" s="188">
        <v>0.02</v>
      </c>
      <c r="T275" s="188">
        <v>8.9</v>
      </c>
      <c r="U275" s="188">
        <v>9.0500000000000007</v>
      </c>
      <c r="V275" s="188">
        <v>0.5</v>
      </c>
      <c r="W275" s="188"/>
      <c r="X275" s="89"/>
      <c r="Y275" s="187"/>
      <c r="Z275" s="187"/>
      <c r="AA275" s="187"/>
      <c r="AB275" s="187"/>
      <c r="AC275" s="187"/>
      <c r="AD275" s="189"/>
      <c r="AE275" s="188"/>
    </row>
    <row r="276" spans="1:31" ht="21.25" customHeight="1" x14ac:dyDescent="0.15">
      <c r="A276" s="10" t="s">
        <v>241</v>
      </c>
      <c r="B276" s="185" t="s">
        <v>866</v>
      </c>
      <c r="C276" s="186">
        <v>32</v>
      </c>
      <c r="D276" s="185" t="s">
        <v>823</v>
      </c>
      <c r="E276" s="89">
        <v>79</v>
      </c>
      <c r="F276" s="187">
        <v>22.5</v>
      </c>
      <c r="G276" s="188">
        <v>0.14000000000000001</v>
      </c>
      <c r="H276" s="188">
        <v>0.28999999999999998</v>
      </c>
      <c r="I276" s="188">
        <v>0.42</v>
      </c>
      <c r="J276" s="188">
        <v>2.5299999999999998</v>
      </c>
      <c r="K276" s="188">
        <v>0.02</v>
      </c>
      <c r="L276" s="188">
        <v>0.1</v>
      </c>
      <c r="M276" s="188">
        <v>0</v>
      </c>
      <c r="N276" s="188">
        <v>0</v>
      </c>
      <c r="O276" s="188">
        <v>1.26</v>
      </c>
      <c r="P276" s="188">
        <v>1.07</v>
      </c>
      <c r="Q276" s="188">
        <v>-0.11</v>
      </c>
      <c r="R276" s="188">
        <v>0.67</v>
      </c>
      <c r="S276" s="188">
        <v>0.02</v>
      </c>
      <c r="T276" s="188">
        <v>0</v>
      </c>
      <c r="U276" s="188">
        <v>0</v>
      </c>
      <c r="V276" s="188">
        <v>0</v>
      </c>
      <c r="W276" s="188"/>
      <c r="X276" s="89"/>
      <c r="Y276" s="187"/>
      <c r="Z276" s="187"/>
      <c r="AA276" s="187"/>
      <c r="AB276" s="187"/>
      <c r="AC276" s="187"/>
      <c r="AD276" s="189"/>
      <c r="AE276" s="188"/>
    </row>
    <row r="277" spans="1:31" ht="21.25" customHeight="1" x14ac:dyDescent="0.15">
      <c r="A277" s="10" t="s">
        <v>584</v>
      </c>
      <c r="B277" s="185" t="s">
        <v>851</v>
      </c>
      <c r="C277" s="186">
        <v>25</v>
      </c>
      <c r="D277" s="185" t="s">
        <v>822</v>
      </c>
      <c r="E277" s="89">
        <v>79</v>
      </c>
      <c r="F277" s="187">
        <v>13.2</v>
      </c>
      <c r="G277" s="188">
        <v>0.23</v>
      </c>
      <c r="H277" s="188">
        <v>0.21</v>
      </c>
      <c r="I277" s="188">
        <v>0.44</v>
      </c>
      <c r="J277" s="188">
        <v>1.77</v>
      </c>
      <c r="K277" s="188">
        <v>0.02</v>
      </c>
      <c r="L277" s="188">
        <v>0.03</v>
      </c>
      <c r="M277" s="188">
        <v>0</v>
      </c>
      <c r="N277" s="188">
        <v>0</v>
      </c>
      <c r="O277" s="188">
        <v>0.53</v>
      </c>
      <c r="P277" s="188">
        <v>1.1499999999999999</v>
      </c>
      <c r="Q277" s="188">
        <v>-0.02</v>
      </c>
      <c r="R277" s="188">
        <v>0.2</v>
      </c>
      <c r="S277" s="188">
        <v>0.03</v>
      </c>
      <c r="T277" s="188">
        <v>0.12</v>
      </c>
      <c r="U277" s="188">
        <v>0.17</v>
      </c>
      <c r="V277" s="188">
        <v>0.42</v>
      </c>
      <c r="W277" s="188"/>
      <c r="X277" s="89"/>
      <c r="Y277" s="187"/>
      <c r="Z277" s="187"/>
      <c r="AA277" s="187"/>
      <c r="AB277" s="187"/>
      <c r="AC277" s="187"/>
      <c r="AD277" s="189"/>
      <c r="AE277" s="188"/>
    </row>
    <row r="278" spans="1:31" ht="21.25" customHeight="1" x14ac:dyDescent="0.15">
      <c r="A278" s="10" t="s">
        <v>539</v>
      </c>
      <c r="B278" s="185" t="s">
        <v>857</v>
      </c>
      <c r="C278" s="186">
        <v>22</v>
      </c>
      <c r="D278" s="185" t="s">
        <v>835</v>
      </c>
      <c r="E278" s="89">
        <v>82</v>
      </c>
      <c r="F278" s="187">
        <v>15.4</v>
      </c>
      <c r="G278" s="188">
        <v>0.21</v>
      </c>
      <c r="H278" s="188">
        <v>0.23</v>
      </c>
      <c r="I278" s="188">
        <v>0.43</v>
      </c>
      <c r="J278" s="188">
        <v>1.9</v>
      </c>
      <c r="K278" s="188">
        <v>0.03</v>
      </c>
      <c r="L278" s="188">
        <v>7.0000000000000007E-2</v>
      </c>
      <c r="M278" s="188">
        <v>0</v>
      </c>
      <c r="N278" s="188">
        <v>0.01</v>
      </c>
      <c r="O278" s="188">
        <v>0.64</v>
      </c>
      <c r="P278" s="188">
        <v>2.2000000000000002</v>
      </c>
      <c r="Q278" s="188">
        <v>-0.02</v>
      </c>
      <c r="R278" s="188">
        <v>0.33</v>
      </c>
      <c r="S278" s="188">
        <v>0.03</v>
      </c>
      <c r="T278" s="188">
        <v>3.14</v>
      </c>
      <c r="U278" s="188">
        <v>3.35</v>
      </c>
      <c r="V278" s="188">
        <v>0.48</v>
      </c>
      <c r="W278" s="188"/>
      <c r="X278" s="89"/>
      <c r="Y278" s="187"/>
      <c r="Z278" s="187"/>
      <c r="AA278" s="187"/>
      <c r="AB278" s="187"/>
      <c r="AC278" s="187"/>
      <c r="AD278" s="189"/>
      <c r="AE278" s="188"/>
    </row>
    <row r="279" spans="1:31" ht="21.25" customHeight="1" x14ac:dyDescent="0.15">
      <c r="A279" s="10" t="s">
        <v>691</v>
      </c>
      <c r="B279" s="185" t="s">
        <v>863</v>
      </c>
      <c r="C279" s="186">
        <v>22</v>
      </c>
      <c r="D279" s="185" t="s">
        <v>821</v>
      </c>
      <c r="E279" s="89">
        <v>67</v>
      </c>
      <c r="F279" s="187">
        <v>12.2</v>
      </c>
      <c r="G279" s="188">
        <v>0.2</v>
      </c>
      <c r="H279" s="188">
        <v>0.21</v>
      </c>
      <c r="I279" s="188">
        <v>0.41</v>
      </c>
      <c r="J279" s="188">
        <v>1.22</v>
      </c>
      <c r="K279" s="188">
        <v>0</v>
      </c>
      <c r="L279" s="188">
        <v>0.01</v>
      </c>
      <c r="M279" s="188">
        <v>0</v>
      </c>
      <c r="N279" s="188">
        <v>0</v>
      </c>
      <c r="O279" s="188">
        <v>0.42</v>
      </c>
      <c r="P279" s="188">
        <v>1.02</v>
      </c>
      <c r="Q279" s="188">
        <v>0.01</v>
      </c>
      <c r="R279" s="188">
        <v>0.25</v>
      </c>
      <c r="S279" s="188">
        <v>0.03</v>
      </c>
      <c r="T279" s="188">
        <v>0</v>
      </c>
      <c r="U279" s="188">
        <v>0.11</v>
      </c>
      <c r="V279" s="188">
        <v>0</v>
      </c>
      <c r="W279" s="188"/>
      <c r="X279" s="89"/>
      <c r="Y279" s="187"/>
      <c r="Z279" s="187"/>
      <c r="AA279" s="187"/>
      <c r="AB279" s="187"/>
      <c r="AC279" s="187"/>
      <c r="AD279" s="189"/>
      <c r="AE279" s="188"/>
    </row>
    <row r="280" spans="1:31" ht="21.25" customHeight="1" x14ac:dyDescent="0.15">
      <c r="A280" s="10" t="s">
        <v>288</v>
      </c>
      <c r="B280" s="185" t="s">
        <v>856</v>
      </c>
      <c r="C280" s="186">
        <v>24</v>
      </c>
      <c r="D280" s="185" t="s">
        <v>823</v>
      </c>
      <c r="E280" s="89">
        <v>83</v>
      </c>
      <c r="F280" s="187">
        <v>19.2</v>
      </c>
      <c r="G280" s="188">
        <v>0.11</v>
      </c>
      <c r="H280" s="188">
        <v>0.27</v>
      </c>
      <c r="I280" s="188">
        <v>0.38</v>
      </c>
      <c r="J280" s="188">
        <v>1.48</v>
      </c>
      <c r="K280" s="188">
        <v>0.03</v>
      </c>
      <c r="L280" s="188">
        <v>7.0000000000000007E-2</v>
      </c>
      <c r="M280" s="188">
        <v>0.01</v>
      </c>
      <c r="N280" s="188">
        <v>0.01</v>
      </c>
      <c r="O280" s="188">
        <v>1.24</v>
      </c>
      <c r="P280" s="188">
        <v>1.49</v>
      </c>
      <c r="Q280" s="188">
        <v>0.09</v>
      </c>
      <c r="R280" s="188">
        <v>0.44</v>
      </c>
      <c r="S280" s="188">
        <v>0.02</v>
      </c>
      <c r="T280" s="188">
        <v>0</v>
      </c>
      <c r="U280" s="188">
        <v>0</v>
      </c>
      <c r="V280" s="188">
        <v>0</v>
      </c>
      <c r="W280" s="188"/>
      <c r="X280" s="89"/>
      <c r="Y280" s="187"/>
      <c r="Z280" s="187"/>
      <c r="AA280" s="187"/>
      <c r="AB280" s="187"/>
      <c r="AC280" s="187"/>
      <c r="AD280" s="189"/>
      <c r="AE280" s="188"/>
    </row>
    <row r="281" spans="1:31" ht="21.25" customHeight="1" x14ac:dyDescent="0.15">
      <c r="A281" s="10" t="s">
        <v>559</v>
      </c>
      <c r="B281" s="185" t="s">
        <v>846</v>
      </c>
      <c r="C281" s="186">
        <v>23</v>
      </c>
      <c r="D281" s="185" t="s">
        <v>820</v>
      </c>
      <c r="E281" s="89">
        <v>78</v>
      </c>
      <c r="F281" s="187">
        <v>14.1</v>
      </c>
      <c r="G281" s="188">
        <v>0.24</v>
      </c>
      <c r="H281" s="188">
        <v>0.21</v>
      </c>
      <c r="I281" s="188">
        <v>0.45</v>
      </c>
      <c r="J281" s="188">
        <v>1.61</v>
      </c>
      <c r="K281" s="188">
        <v>0.01</v>
      </c>
      <c r="L281" s="188">
        <v>0.02</v>
      </c>
      <c r="M281" s="188">
        <v>0.01</v>
      </c>
      <c r="N281" s="188">
        <v>0.03</v>
      </c>
      <c r="O281" s="188">
        <v>0.77</v>
      </c>
      <c r="P281" s="188">
        <v>0.55000000000000004</v>
      </c>
      <c r="Q281" s="188">
        <v>0.01</v>
      </c>
      <c r="R281" s="188">
        <v>0.28000000000000003</v>
      </c>
      <c r="S281" s="188">
        <v>0.04</v>
      </c>
      <c r="T281" s="188">
        <v>3.55</v>
      </c>
      <c r="U281" s="188">
        <v>4.3</v>
      </c>
      <c r="V281" s="188">
        <v>0.45</v>
      </c>
      <c r="W281" s="188"/>
      <c r="X281" s="89"/>
      <c r="Y281" s="187"/>
      <c r="Z281" s="187"/>
      <c r="AA281" s="187"/>
      <c r="AB281" s="187"/>
      <c r="AC281" s="187"/>
      <c r="AD281" s="189"/>
      <c r="AE281" s="188"/>
    </row>
    <row r="282" spans="1:31" ht="21.25" customHeight="1" x14ac:dyDescent="0.15">
      <c r="A282" s="10" t="s">
        <v>579</v>
      </c>
      <c r="B282" s="185" t="s">
        <v>857</v>
      </c>
      <c r="C282" s="186">
        <v>21</v>
      </c>
      <c r="D282" s="185" t="s">
        <v>835</v>
      </c>
      <c r="E282" s="89">
        <v>83</v>
      </c>
      <c r="F282" s="187">
        <v>15.3</v>
      </c>
      <c r="G282" s="188">
        <v>0.18</v>
      </c>
      <c r="H282" s="188">
        <v>0.24</v>
      </c>
      <c r="I282" s="188">
        <v>0.41</v>
      </c>
      <c r="J282" s="188">
        <v>1.52</v>
      </c>
      <c r="K282" s="188">
        <v>0.04</v>
      </c>
      <c r="L282" s="188">
        <v>0.1</v>
      </c>
      <c r="M282" s="188">
        <v>0</v>
      </c>
      <c r="N282" s="188">
        <v>0</v>
      </c>
      <c r="O282" s="188">
        <v>0.49</v>
      </c>
      <c r="P282" s="188">
        <v>1.49</v>
      </c>
      <c r="Q282" s="188">
        <v>-0.02</v>
      </c>
      <c r="R282" s="188">
        <v>0.18</v>
      </c>
      <c r="S282" s="188">
        <v>0.03</v>
      </c>
      <c r="T282" s="188">
        <v>0.56999999999999995</v>
      </c>
      <c r="U282" s="188">
        <v>0.72</v>
      </c>
      <c r="V282" s="188">
        <v>0.44</v>
      </c>
      <c r="W282" s="188"/>
      <c r="X282" s="89"/>
      <c r="Y282" s="187"/>
      <c r="Z282" s="187"/>
      <c r="AA282" s="187"/>
      <c r="AB282" s="187"/>
      <c r="AC282" s="187"/>
      <c r="AD282" s="189"/>
      <c r="AE282" s="188"/>
    </row>
    <row r="283" spans="1:31" ht="21.25" customHeight="1" x14ac:dyDescent="0.15">
      <c r="A283" s="10" t="s">
        <v>568</v>
      </c>
      <c r="B283" s="185" t="s">
        <v>860</v>
      </c>
      <c r="C283" s="186">
        <v>31</v>
      </c>
      <c r="D283" s="185" t="s">
        <v>822</v>
      </c>
      <c r="E283" s="89">
        <v>83</v>
      </c>
      <c r="F283" s="187">
        <v>14.2</v>
      </c>
      <c r="G283" s="188">
        <v>0.16</v>
      </c>
      <c r="H283" s="188">
        <v>0.27</v>
      </c>
      <c r="I283" s="188">
        <v>0.43</v>
      </c>
      <c r="J283" s="188">
        <v>1.67</v>
      </c>
      <c r="K283" s="188">
        <v>0.03</v>
      </c>
      <c r="L283" s="188">
        <v>7.0000000000000007E-2</v>
      </c>
      <c r="M283" s="188">
        <v>0</v>
      </c>
      <c r="N283" s="188">
        <v>0</v>
      </c>
      <c r="O283" s="188">
        <v>0.5</v>
      </c>
      <c r="P283" s="188">
        <v>1.1299999999999999</v>
      </c>
      <c r="Q283" s="188">
        <v>-0.01</v>
      </c>
      <c r="R283" s="188">
        <v>0.22</v>
      </c>
      <c r="S283" s="188">
        <v>0.02</v>
      </c>
      <c r="T283" s="188">
        <v>0.08</v>
      </c>
      <c r="U283" s="188">
        <v>0.13</v>
      </c>
      <c r="V283" s="188">
        <v>0.36</v>
      </c>
      <c r="W283" s="188"/>
      <c r="X283" s="89"/>
      <c r="Y283" s="187"/>
      <c r="Z283" s="187"/>
      <c r="AA283" s="187"/>
      <c r="AB283" s="187"/>
      <c r="AC283" s="187"/>
      <c r="AD283" s="189"/>
      <c r="AE283" s="188"/>
    </row>
    <row r="284" spans="1:31" ht="21.25" customHeight="1" x14ac:dyDescent="0.15">
      <c r="A284" s="10" t="s">
        <v>343</v>
      </c>
      <c r="B284" s="185" t="s">
        <v>860</v>
      </c>
      <c r="C284" s="186">
        <v>27</v>
      </c>
      <c r="D284" s="185" t="s">
        <v>823</v>
      </c>
      <c r="E284" s="89">
        <v>72</v>
      </c>
      <c r="F284" s="187">
        <v>20.3</v>
      </c>
      <c r="G284" s="188">
        <v>0.09</v>
      </c>
      <c r="H284" s="188">
        <v>0.32</v>
      </c>
      <c r="I284" s="188">
        <v>0.41</v>
      </c>
      <c r="J284" s="188">
        <v>1.4</v>
      </c>
      <c r="K284" s="188">
        <v>0.01</v>
      </c>
      <c r="L284" s="188">
        <v>0.06</v>
      </c>
      <c r="M284" s="188">
        <v>0</v>
      </c>
      <c r="N284" s="188">
        <v>0</v>
      </c>
      <c r="O284" s="188">
        <v>1.54</v>
      </c>
      <c r="P284" s="188">
        <v>0.76</v>
      </c>
      <c r="Q284" s="188">
        <v>-0.01</v>
      </c>
      <c r="R284" s="188">
        <v>0.56000000000000005</v>
      </c>
      <c r="S284" s="188">
        <v>0.01</v>
      </c>
      <c r="T284" s="188">
        <v>0</v>
      </c>
      <c r="U284" s="188">
        <v>0</v>
      </c>
      <c r="V284" s="188">
        <v>0</v>
      </c>
      <c r="W284" s="188"/>
      <c r="X284" s="89"/>
      <c r="Y284" s="187"/>
      <c r="Z284" s="187"/>
      <c r="AA284" s="187"/>
      <c r="AB284" s="187"/>
      <c r="AC284" s="187"/>
      <c r="AD284" s="189"/>
      <c r="AE284" s="188"/>
    </row>
    <row r="285" spans="1:31" ht="21.25" customHeight="1" x14ac:dyDescent="0.15">
      <c r="A285" s="10" t="s">
        <v>637</v>
      </c>
      <c r="B285" s="185" t="s">
        <v>854</v>
      </c>
      <c r="C285" s="186">
        <v>30</v>
      </c>
      <c r="D285" s="185" t="s">
        <v>835</v>
      </c>
      <c r="E285" s="89">
        <v>79</v>
      </c>
      <c r="F285" s="187">
        <v>14.4</v>
      </c>
      <c r="G285" s="188">
        <v>0.19</v>
      </c>
      <c r="H285" s="188">
        <v>0.19</v>
      </c>
      <c r="I285" s="188">
        <v>0.38</v>
      </c>
      <c r="J285" s="188">
        <v>1.3</v>
      </c>
      <c r="K285" s="188">
        <v>0.01</v>
      </c>
      <c r="L285" s="188">
        <v>0.02</v>
      </c>
      <c r="M285" s="188">
        <v>0.01</v>
      </c>
      <c r="N285" s="188">
        <v>0.02</v>
      </c>
      <c r="O285" s="188">
        <v>0.39</v>
      </c>
      <c r="P285" s="188">
        <v>0.66</v>
      </c>
      <c r="Q285" s="188">
        <v>0</v>
      </c>
      <c r="R285" s="188">
        <v>0.26</v>
      </c>
      <c r="S285" s="188">
        <v>0.03</v>
      </c>
      <c r="T285" s="188">
        <v>3.54</v>
      </c>
      <c r="U285" s="188">
        <v>4.12</v>
      </c>
      <c r="V285" s="188">
        <v>0.46</v>
      </c>
      <c r="W285" s="188"/>
      <c r="X285" s="89"/>
      <c r="Y285" s="187"/>
      <c r="Z285" s="187"/>
      <c r="AA285" s="187"/>
      <c r="AB285" s="187"/>
      <c r="AC285" s="187"/>
      <c r="AD285" s="189"/>
      <c r="AE285" s="188"/>
    </row>
    <row r="286" spans="1:31" ht="21.25" customHeight="1" x14ac:dyDescent="0.15">
      <c r="A286" s="10" t="s">
        <v>307</v>
      </c>
      <c r="B286" s="185" t="s">
        <v>834</v>
      </c>
      <c r="C286" s="186">
        <v>32</v>
      </c>
      <c r="D286" s="185" t="s">
        <v>823</v>
      </c>
      <c r="E286" s="89">
        <v>81</v>
      </c>
      <c r="F286" s="187">
        <v>22.1</v>
      </c>
      <c r="G286" s="188">
        <v>7.0000000000000007E-2</v>
      </c>
      <c r="H286" s="188">
        <v>0.34</v>
      </c>
      <c r="I286" s="188">
        <v>0.41</v>
      </c>
      <c r="J286" s="188">
        <v>1.55</v>
      </c>
      <c r="K286" s="188">
        <v>0.01</v>
      </c>
      <c r="L286" s="188">
        <v>0.03</v>
      </c>
      <c r="M286" s="188">
        <v>0</v>
      </c>
      <c r="N286" s="188">
        <v>0</v>
      </c>
      <c r="O286" s="188">
        <v>1.31</v>
      </c>
      <c r="P286" s="188">
        <v>0.57999999999999996</v>
      </c>
      <c r="Q286" s="188">
        <v>0.12</v>
      </c>
      <c r="R286" s="188">
        <v>0.37</v>
      </c>
      <c r="S286" s="188">
        <v>0.01</v>
      </c>
      <c r="T286" s="188">
        <v>0</v>
      </c>
      <c r="U286" s="188">
        <v>0</v>
      </c>
      <c r="V286" s="188">
        <v>0</v>
      </c>
      <c r="W286" s="188"/>
      <c r="X286" s="89"/>
      <c r="Y286" s="187"/>
      <c r="Z286" s="187"/>
      <c r="AA286" s="187"/>
      <c r="AB286" s="187"/>
      <c r="AC286" s="187"/>
      <c r="AD286" s="189"/>
      <c r="AE286" s="188"/>
    </row>
    <row r="287" spans="1:31" ht="21.25" customHeight="1" x14ac:dyDescent="0.15">
      <c r="A287" s="10" t="s">
        <v>597</v>
      </c>
      <c r="B287" s="185" t="s">
        <v>838</v>
      </c>
      <c r="C287" s="186">
        <v>32</v>
      </c>
      <c r="D287" s="185" t="s">
        <v>822</v>
      </c>
      <c r="E287" s="89">
        <v>82</v>
      </c>
      <c r="F287" s="187">
        <v>15.5</v>
      </c>
      <c r="G287" s="188">
        <v>0.12</v>
      </c>
      <c r="H287" s="188">
        <v>0.18</v>
      </c>
      <c r="I287" s="188">
        <v>0.3</v>
      </c>
      <c r="J287" s="188">
        <v>1.1599999999999999</v>
      </c>
      <c r="K287" s="188">
        <v>0.01</v>
      </c>
      <c r="L287" s="188">
        <v>0.02</v>
      </c>
      <c r="M287" s="188">
        <v>0.02</v>
      </c>
      <c r="N287" s="188">
        <v>0.02</v>
      </c>
      <c r="O287" s="188">
        <v>0.43</v>
      </c>
      <c r="P287" s="188">
        <v>0.41</v>
      </c>
      <c r="Q287" s="188">
        <v>-0.01</v>
      </c>
      <c r="R287" s="188">
        <v>0.2</v>
      </c>
      <c r="S287" s="188">
        <v>0.02</v>
      </c>
      <c r="T287" s="188">
        <v>0.13</v>
      </c>
      <c r="U287" s="188">
        <v>0.25</v>
      </c>
      <c r="V287" s="188">
        <v>0.35</v>
      </c>
      <c r="W287" s="188"/>
      <c r="X287" s="89"/>
      <c r="Y287" s="187"/>
      <c r="Z287" s="187"/>
      <c r="AA287" s="187"/>
      <c r="AB287" s="187"/>
      <c r="AC287" s="187"/>
      <c r="AD287" s="189"/>
      <c r="AE287" s="188"/>
    </row>
    <row r="288" spans="1:31" ht="21.25" customHeight="1" x14ac:dyDescent="0.15">
      <c r="A288" s="10" t="s">
        <v>580</v>
      </c>
      <c r="B288" s="185" t="s">
        <v>852</v>
      </c>
      <c r="C288" s="186">
        <v>26</v>
      </c>
      <c r="D288" s="185" t="s">
        <v>820</v>
      </c>
      <c r="E288" s="89">
        <v>76</v>
      </c>
      <c r="F288" s="187">
        <v>15.3</v>
      </c>
      <c r="G288" s="188">
        <v>0.17</v>
      </c>
      <c r="H288" s="188">
        <v>0.24</v>
      </c>
      <c r="I288" s="188">
        <v>0.41</v>
      </c>
      <c r="J288" s="188">
        <v>1.67</v>
      </c>
      <c r="K288" s="188">
        <v>0.05</v>
      </c>
      <c r="L288" s="188">
        <v>0.09</v>
      </c>
      <c r="M288" s="188">
        <v>0</v>
      </c>
      <c r="N288" s="188">
        <v>0.01</v>
      </c>
      <c r="O288" s="188">
        <v>0.48</v>
      </c>
      <c r="P288" s="188">
        <v>0.55000000000000004</v>
      </c>
      <c r="Q288" s="188">
        <v>0.02</v>
      </c>
      <c r="R288" s="188">
        <v>0.48</v>
      </c>
      <c r="S288" s="188">
        <v>0.03</v>
      </c>
      <c r="T288" s="188">
        <v>6.22</v>
      </c>
      <c r="U288" s="188">
        <v>5.49</v>
      </c>
      <c r="V288" s="188">
        <v>0.53</v>
      </c>
      <c r="W288" s="188"/>
      <c r="X288" s="89"/>
      <c r="Y288" s="187"/>
      <c r="Z288" s="187"/>
      <c r="AA288" s="187"/>
      <c r="AB288" s="187"/>
      <c r="AC288" s="187"/>
      <c r="AD288" s="189"/>
      <c r="AE288" s="188"/>
    </row>
    <row r="289" spans="1:31" ht="21.25" customHeight="1" x14ac:dyDescent="0.15">
      <c r="A289" s="10" t="s">
        <v>665</v>
      </c>
      <c r="B289" s="185" t="s">
        <v>833</v>
      </c>
      <c r="C289" s="186">
        <v>25</v>
      </c>
      <c r="D289" s="185" t="s">
        <v>835</v>
      </c>
      <c r="E289" s="89">
        <v>77</v>
      </c>
      <c r="F289" s="187">
        <v>12.9</v>
      </c>
      <c r="G289" s="188">
        <v>0.15</v>
      </c>
      <c r="H289" s="188">
        <v>0.26</v>
      </c>
      <c r="I289" s="188">
        <v>0.41</v>
      </c>
      <c r="J289" s="188">
        <v>1.08</v>
      </c>
      <c r="K289" s="188">
        <v>0.01</v>
      </c>
      <c r="L289" s="188">
        <v>0.04</v>
      </c>
      <c r="M289" s="188">
        <v>0</v>
      </c>
      <c r="N289" s="188">
        <v>0</v>
      </c>
      <c r="O289" s="188">
        <v>0.39</v>
      </c>
      <c r="P289" s="188">
        <v>1.1399999999999999</v>
      </c>
      <c r="Q289" s="188">
        <v>0.11</v>
      </c>
      <c r="R289" s="188">
        <v>0.36</v>
      </c>
      <c r="S289" s="188">
        <v>0.03</v>
      </c>
      <c r="T289" s="188">
        <v>0.11</v>
      </c>
      <c r="U289" s="188">
        <v>0.17</v>
      </c>
      <c r="V289" s="188">
        <v>0.38</v>
      </c>
      <c r="W289" s="188"/>
      <c r="X289" s="89"/>
      <c r="Y289" s="187"/>
      <c r="Z289" s="187"/>
      <c r="AA289" s="187"/>
      <c r="AB289" s="187"/>
      <c r="AC289" s="187"/>
      <c r="AD289" s="189"/>
      <c r="AE289" s="188"/>
    </row>
    <row r="290" spans="1:31" ht="21.25" customHeight="1" x14ac:dyDescent="0.15">
      <c r="A290" s="10" t="s">
        <v>287</v>
      </c>
      <c r="B290" s="185" t="s">
        <v>857</v>
      </c>
      <c r="C290" s="186">
        <v>23</v>
      </c>
      <c r="D290" s="185" t="s">
        <v>823</v>
      </c>
      <c r="E290" s="89">
        <v>81</v>
      </c>
      <c r="F290" s="187">
        <v>22.6</v>
      </c>
      <c r="G290" s="188">
        <v>0.12</v>
      </c>
      <c r="H290" s="188">
        <v>0.28000000000000003</v>
      </c>
      <c r="I290" s="188">
        <v>0.41</v>
      </c>
      <c r="J290" s="188">
        <v>1.31</v>
      </c>
      <c r="K290" s="188">
        <v>0</v>
      </c>
      <c r="L290" s="188">
        <v>0.01</v>
      </c>
      <c r="M290" s="188">
        <v>0</v>
      </c>
      <c r="N290" s="188">
        <v>0.01</v>
      </c>
      <c r="O290" s="188">
        <v>1.95</v>
      </c>
      <c r="P290" s="188">
        <v>1.17</v>
      </c>
      <c r="Q290" s="188">
        <v>0</v>
      </c>
      <c r="R290" s="188">
        <v>0.74</v>
      </c>
      <c r="S290" s="188">
        <v>0.02</v>
      </c>
      <c r="T290" s="188">
        <v>0</v>
      </c>
      <c r="U290" s="188">
        <v>0</v>
      </c>
      <c r="V290" s="188">
        <v>0</v>
      </c>
      <c r="W290" s="188"/>
      <c r="X290" s="89"/>
      <c r="Y290" s="187"/>
      <c r="Z290" s="187"/>
      <c r="AA290" s="187"/>
      <c r="AB290" s="187"/>
      <c r="AC290" s="187"/>
      <c r="AD290" s="189"/>
      <c r="AE290" s="188"/>
    </row>
    <row r="291" spans="1:31" ht="21.25" customHeight="1" x14ac:dyDescent="0.15">
      <c r="A291" s="10" t="s">
        <v>622</v>
      </c>
      <c r="B291" s="185" t="s">
        <v>850</v>
      </c>
      <c r="C291" s="186">
        <v>30</v>
      </c>
      <c r="D291" s="185" t="s">
        <v>848</v>
      </c>
      <c r="E291" s="89">
        <v>83</v>
      </c>
      <c r="F291" s="187">
        <v>13.4</v>
      </c>
      <c r="G291" s="188">
        <v>0.21</v>
      </c>
      <c r="H291" s="188">
        <v>0.23</v>
      </c>
      <c r="I291" s="188">
        <v>0.44</v>
      </c>
      <c r="J291" s="188">
        <v>1.57</v>
      </c>
      <c r="K291" s="188">
        <v>0.02</v>
      </c>
      <c r="L291" s="188">
        <v>0.05</v>
      </c>
      <c r="M291" s="188">
        <v>0</v>
      </c>
      <c r="N291" s="188">
        <v>0</v>
      </c>
      <c r="O291" s="188">
        <v>0.27</v>
      </c>
      <c r="P291" s="188">
        <v>1.05</v>
      </c>
      <c r="Q291" s="188">
        <v>-0.1</v>
      </c>
      <c r="R291" s="188">
        <v>0.35</v>
      </c>
      <c r="S291" s="188">
        <v>0.03</v>
      </c>
      <c r="T291" s="188">
        <v>1.85</v>
      </c>
      <c r="U291" s="188">
        <v>2.23</v>
      </c>
      <c r="V291" s="188">
        <v>0.45</v>
      </c>
      <c r="W291" s="188"/>
      <c r="X291" s="89"/>
      <c r="Y291" s="187"/>
      <c r="Z291" s="187"/>
      <c r="AA291" s="187"/>
      <c r="AB291" s="187"/>
      <c r="AC291" s="187"/>
      <c r="AD291" s="189"/>
      <c r="AE291" s="188"/>
    </row>
    <row r="292" spans="1:31" ht="21.25" customHeight="1" x14ac:dyDescent="0.15">
      <c r="A292" s="10" t="s">
        <v>704</v>
      </c>
      <c r="B292" s="185" t="s">
        <v>847</v>
      </c>
      <c r="C292" s="186">
        <v>22</v>
      </c>
      <c r="D292" s="185" t="s">
        <v>820</v>
      </c>
      <c r="E292" s="89">
        <v>55</v>
      </c>
      <c r="F292" s="187">
        <v>13.9</v>
      </c>
      <c r="G292" s="188">
        <v>0.17</v>
      </c>
      <c r="H292" s="188">
        <v>0.23</v>
      </c>
      <c r="I292" s="188">
        <v>0.4</v>
      </c>
      <c r="J292" s="188">
        <v>1.42</v>
      </c>
      <c r="K292" s="188">
        <v>0.02</v>
      </c>
      <c r="L292" s="188">
        <v>7.0000000000000007E-2</v>
      </c>
      <c r="M292" s="188">
        <v>0</v>
      </c>
      <c r="N292" s="188">
        <v>0</v>
      </c>
      <c r="O292" s="188">
        <v>0.41</v>
      </c>
      <c r="P292" s="188">
        <v>1.1599999999999999</v>
      </c>
      <c r="Q292" s="188">
        <v>0</v>
      </c>
      <c r="R292" s="188">
        <v>0.33</v>
      </c>
      <c r="S292" s="188">
        <v>0.03</v>
      </c>
      <c r="T292" s="188">
        <v>0.27</v>
      </c>
      <c r="U292" s="188">
        <v>0.63</v>
      </c>
      <c r="V292" s="188">
        <v>0.3</v>
      </c>
      <c r="W292" s="188"/>
      <c r="X292" s="89"/>
      <c r="Y292" s="187"/>
      <c r="Z292" s="187"/>
      <c r="AA292" s="187"/>
      <c r="AB292" s="187"/>
      <c r="AC292" s="187"/>
      <c r="AD292" s="189"/>
      <c r="AE292" s="188"/>
    </row>
    <row r="293" spans="1:31" ht="21.25" customHeight="1" x14ac:dyDescent="0.15">
      <c r="A293" s="10" t="s">
        <v>244</v>
      </c>
      <c r="B293" s="185" t="s">
        <v>839</v>
      </c>
      <c r="C293" s="186">
        <v>29</v>
      </c>
      <c r="D293" s="185" t="s">
        <v>823</v>
      </c>
      <c r="E293" s="89">
        <v>83</v>
      </c>
      <c r="F293" s="187">
        <v>21.1</v>
      </c>
      <c r="G293" s="188">
        <v>0.13</v>
      </c>
      <c r="H293" s="188">
        <v>0.28000000000000003</v>
      </c>
      <c r="I293" s="188">
        <v>0.4</v>
      </c>
      <c r="J293" s="188">
        <v>1.81</v>
      </c>
      <c r="K293" s="188">
        <v>0.02</v>
      </c>
      <c r="L293" s="188">
        <v>7.0000000000000007E-2</v>
      </c>
      <c r="M293" s="188">
        <v>0.01</v>
      </c>
      <c r="N293" s="188">
        <v>0.01</v>
      </c>
      <c r="O293" s="188">
        <v>1.8</v>
      </c>
      <c r="P293" s="188">
        <v>0.54</v>
      </c>
      <c r="Q293" s="188">
        <v>0.04</v>
      </c>
      <c r="R293" s="188">
        <v>0.56000000000000005</v>
      </c>
      <c r="S293" s="188">
        <v>0.02</v>
      </c>
      <c r="T293" s="188">
        <v>0</v>
      </c>
      <c r="U293" s="188">
        <v>0</v>
      </c>
      <c r="V293" s="188">
        <v>0</v>
      </c>
      <c r="W293" s="188"/>
      <c r="X293" s="89"/>
      <c r="Y293" s="187"/>
      <c r="Z293" s="187"/>
      <c r="AA293" s="187"/>
      <c r="AB293" s="187"/>
      <c r="AC293" s="187"/>
      <c r="AD293" s="189"/>
      <c r="AE293" s="188"/>
    </row>
    <row r="294" spans="1:31" ht="21.25" customHeight="1" x14ac:dyDescent="0.15">
      <c r="A294" s="10" t="s">
        <v>311</v>
      </c>
      <c r="B294" s="185" t="s">
        <v>851</v>
      </c>
      <c r="C294" s="186">
        <v>39</v>
      </c>
      <c r="D294" s="185" t="s">
        <v>823</v>
      </c>
      <c r="E294" s="89">
        <v>82</v>
      </c>
      <c r="F294" s="187">
        <v>21.9</v>
      </c>
      <c r="G294" s="188">
        <v>7.0000000000000007E-2</v>
      </c>
      <c r="H294" s="188">
        <v>0.32</v>
      </c>
      <c r="I294" s="188">
        <v>0.38</v>
      </c>
      <c r="J294" s="188">
        <v>1.5</v>
      </c>
      <c r="K294" s="188">
        <v>0.01</v>
      </c>
      <c r="L294" s="188">
        <v>0.08</v>
      </c>
      <c r="M294" s="188">
        <v>0</v>
      </c>
      <c r="N294" s="188">
        <v>0</v>
      </c>
      <c r="O294" s="188">
        <v>1.29</v>
      </c>
      <c r="P294" s="188">
        <v>1.26</v>
      </c>
      <c r="Q294" s="188">
        <v>-0.02</v>
      </c>
      <c r="R294" s="188">
        <v>0.56999999999999995</v>
      </c>
      <c r="S294" s="188">
        <v>0.01</v>
      </c>
      <c r="T294" s="188">
        <v>0</v>
      </c>
      <c r="U294" s="188">
        <v>0</v>
      </c>
      <c r="V294" s="188">
        <v>0</v>
      </c>
      <c r="W294" s="188"/>
      <c r="X294" s="89"/>
      <c r="Y294" s="187"/>
      <c r="Z294" s="187"/>
      <c r="AA294" s="187"/>
      <c r="AB294" s="187"/>
      <c r="AC294" s="187"/>
      <c r="AD294" s="189"/>
      <c r="AE294" s="188"/>
    </row>
    <row r="295" spans="1:31" ht="21.25" customHeight="1" x14ac:dyDescent="0.15">
      <c r="A295" s="10" t="s">
        <v>621</v>
      </c>
      <c r="B295" s="185" t="s">
        <v>859</v>
      </c>
      <c r="C295" s="186">
        <v>30</v>
      </c>
      <c r="D295" s="185" t="s">
        <v>844</v>
      </c>
      <c r="E295" s="89">
        <v>82</v>
      </c>
      <c r="F295" s="187">
        <v>15.2</v>
      </c>
      <c r="G295" s="188">
        <v>0.16</v>
      </c>
      <c r="H295" s="188">
        <v>0.22</v>
      </c>
      <c r="I295" s="188">
        <v>0.38</v>
      </c>
      <c r="J295" s="188">
        <v>1.21</v>
      </c>
      <c r="K295" s="188">
        <v>0</v>
      </c>
      <c r="L295" s="188">
        <v>0</v>
      </c>
      <c r="M295" s="188">
        <v>0</v>
      </c>
      <c r="N295" s="188">
        <v>0.01</v>
      </c>
      <c r="O295" s="188">
        <v>0.57999999999999996</v>
      </c>
      <c r="P295" s="188">
        <v>1.2</v>
      </c>
      <c r="Q295" s="188">
        <v>0.03</v>
      </c>
      <c r="R295" s="188">
        <v>0.27</v>
      </c>
      <c r="S295" s="188">
        <v>0.03</v>
      </c>
      <c r="T295" s="188">
        <v>0.26</v>
      </c>
      <c r="U295" s="188">
        <v>0.33</v>
      </c>
      <c r="V295" s="188">
        <v>0.44</v>
      </c>
      <c r="W295" s="188"/>
      <c r="X295" s="89"/>
      <c r="Y295" s="187"/>
      <c r="Z295" s="187"/>
      <c r="AA295" s="187"/>
      <c r="AB295" s="187"/>
      <c r="AC295" s="187"/>
      <c r="AD295" s="189"/>
      <c r="AE295" s="188"/>
    </row>
    <row r="296" spans="1:31" ht="21.25" customHeight="1" x14ac:dyDescent="0.15">
      <c r="A296" s="10" t="s">
        <v>567</v>
      </c>
      <c r="B296" s="185" t="s">
        <v>862</v>
      </c>
      <c r="C296" s="186">
        <v>24</v>
      </c>
      <c r="D296" s="185" t="s">
        <v>844</v>
      </c>
      <c r="E296" s="89">
        <v>79</v>
      </c>
      <c r="F296" s="187">
        <v>15.6</v>
      </c>
      <c r="G296" s="188">
        <v>0.23</v>
      </c>
      <c r="H296" s="188">
        <v>0.16</v>
      </c>
      <c r="I296" s="188">
        <v>0.39</v>
      </c>
      <c r="J296" s="188">
        <v>1.82</v>
      </c>
      <c r="K296" s="188">
        <v>0.04</v>
      </c>
      <c r="L296" s="188">
        <v>0.06</v>
      </c>
      <c r="M296" s="188">
        <v>0</v>
      </c>
      <c r="N296" s="188">
        <v>0</v>
      </c>
      <c r="O296" s="188">
        <v>0.57999999999999996</v>
      </c>
      <c r="P296" s="188">
        <v>2.62</v>
      </c>
      <c r="Q296" s="188">
        <v>-7.0000000000000007E-2</v>
      </c>
      <c r="R296" s="188">
        <v>0.3</v>
      </c>
      <c r="S296" s="188">
        <v>0.03</v>
      </c>
      <c r="T296" s="188">
        <v>0.06</v>
      </c>
      <c r="U296" s="188">
        <v>0.16</v>
      </c>
      <c r="V296" s="188">
        <v>0.28000000000000003</v>
      </c>
      <c r="W296" s="188"/>
      <c r="X296" s="89"/>
      <c r="Y296" s="188"/>
      <c r="Z296" s="188"/>
      <c r="AA296" s="188"/>
      <c r="AB296" s="188"/>
      <c r="AC296" s="187"/>
      <c r="AD296" s="189"/>
      <c r="AE296" s="188"/>
    </row>
    <row r="297" spans="1:31" ht="21.25" customHeight="1" x14ac:dyDescent="0.15">
      <c r="A297" s="10" t="s">
        <v>309</v>
      </c>
      <c r="B297" s="185" t="s">
        <v>858</v>
      </c>
      <c r="C297" s="186">
        <v>26</v>
      </c>
      <c r="D297" s="185" t="s">
        <v>823</v>
      </c>
      <c r="E297" s="89">
        <v>76</v>
      </c>
      <c r="F297" s="187">
        <v>22.9</v>
      </c>
      <c r="G297" s="188">
        <v>0.11</v>
      </c>
      <c r="H297" s="188">
        <v>0.28000000000000003</v>
      </c>
      <c r="I297" s="188">
        <v>0.4</v>
      </c>
      <c r="J297" s="188">
        <v>1.34</v>
      </c>
      <c r="K297" s="188">
        <v>0</v>
      </c>
      <c r="L297" s="188">
        <v>0</v>
      </c>
      <c r="M297" s="188">
        <v>0.01</v>
      </c>
      <c r="N297" s="188">
        <v>0.02</v>
      </c>
      <c r="O297" s="188">
        <v>1.88</v>
      </c>
      <c r="P297" s="188">
        <v>1.59</v>
      </c>
      <c r="Q297" s="188">
        <v>0.03</v>
      </c>
      <c r="R297" s="188">
        <v>0.41</v>
      </c>
      <c r="S297" s="188">
        <v>0.02</v>
      </c>
      <c r="T297" s="188">
        <v>0</v>
      </c>
      <c r="U297" s="188">
        <v>0</v>
      </c>
      <c r="V297" s="188">
        <v>0</v>
      </c>
      <c r="W297" s="188"/>
      <c r="X297" s="89"/>
      <c r="Y297" s="187"/>
      <c r="Z297" s="187"/>
      <c r="AA297" s="187"/>
      <c r="AB297" s="187"/>
      <c r="AC297" s="187"/>
      <c r="AD297" s="189"/>
      <c r="AE297" s="188"/>
    </row>
    <row r="298" spans="1:31" ht="21.25" customHeight="1" x14ac:dyDescent="0.15">
      <c r="A298" s="10" t="s">
        <v>302</v>
      </c>
      <c r="B298" s="185" t="s">
        <v>841</v>
      </c>
      <c r="C298" s="186">
        <v>32</v>
      </c>
      <c r="D298" s="185" t="s">
        <v>823</v>
      </c>
      <c r="E298" s="89">
        <v>82</v>
      </c>
      <c r="F298" s="187">
        <v>18.899999999999999</v>
      </c>
      <c r="G298" s="188">
        <v>0.08</v>
      </c>
      <c r="H298" s="188">
        <v>0.32</v>
      </c>
      <c r="I298" s="188">
        <v>0.4</v>
      </c>
      <c r="J298" s="188">
        <v>1.47</v>
      </c>
      <c r="K298" s="188">
        <v>0.01</v>
      </c>
      <c r="L298" s="188">
        <v>7.0000000000000007E-2</v>
      </c>
      <c r="M298" s="188">
        <v>0</v>
      </c>
      <c r="N298" s="188">
        <v>0</v>
      </c>
      <c r="O298" s="188">
        <v>1.38</v>
      </c>
      <c r="P298" s="188">
        <v>0.52</v>
      </c>
      <c r="Q298" s="188">
        <v>0</v>
      </c>
      <c r="R298" s="188">
        <v>0.31</v>
      </c>
      <c r="S298" s="188">
        <v>0.01</v>
      </c>
      <c r="T298" s="188">
        <v>0</v>
      </c>
      <c r="U298" s="188">
        <v>0</v>
      </c>
      <c r="V298" s="188">
        <v>0</v>
      </c>
      <c r="W298" s="188"/>
      <c r="X298" s="89"/>
      <c r="Y298" s="187"/>
      <c r="Z298" s="187"/>
      <c r="AA298" s="187"/>
      <c r="AB298" s="187"/>
      <c r="AC298" s="187"/>
      <c r="AD298" s="189"/>
      <c r="AE298" s="188"/>
    </row>
    <row r="299" spans="1:31" ht="21.25" customHeight="1" x14ac:dyDescent="0.15">
      <c r="A299" s="10" t="s">
        <v>617</v>
      </c>
      <c r="B299" s="185" t="s">
        <v>850</v>
      </c>
      <c r="C299" s="186">
        <v>22</v>
      </c>
      <c r="D299" s="185" t="s">
        <v>842</v>
      </c>
      <c r="E299" s="89">
        <v>83</v>
      </c>
      <c r="F299" s="187">
        <v>16.2</v>
      </c>
      <c r="G299" s="188">
        <v>0.15</v>
      </c>
      <c r="H299" s="188">
        <v>0.19</v>
      </c>
      <c r="I299" s="188">
        <v>0.34</v>
      </c>
      <c r="J299" s="188">
        <v>1.21</v>
      </c>
      <c r="K299" s="188">
        <v>0.01</v>
      </c>
      <c r="L299" s="188">
        <v>0.02</v>
      </c>
      <c r="M299" s="188">
        <v>0.01</v>
      </c>
      <c r="N299" s="188">
        <v>0.02</v>
      </c>
      <c r="O299" s="188">
        <v>0.45</v>
      </c>
      <c r="P299" s="188">
        <v>0.65</v>
      </c>
      <c r="Q299" s="188">
        <v>-0.11</v>
      </c>
      <c r="R299" s="188">
        <v>0.25</v>
      </c>
      <c r="S299" s="188">
        <v>0.02</v>
      </c>
      <c r="T299" s="188">
        <v>4.0599999999999996</v>
      </c>
      <c r="U299" s="188">
        <v>5.46</v>
      </c>
      <c r="V299" s="188">
        <v>0.43</v>
      </c>
      <c r="W299" s="188"/>
      <c r="X299" s="89"/>
      <c r="Y299" s="187"/>
      <c r="Z299" s="187"/>
      <c r="AA299" s="187"/>
      <c r="AB299" s="187"/>
      <c r="AC299" s="187"/>
      <c r="AD299" s="189"/>
      <c r="AE299" s="188"/>
    </row>
    <row r="300" spans="1:31" ht="21.25" customHeight="1" x14ac:dyDescent="0.15">
      <c r="A300" s="10" t="s">
        <v>323</v>
      </c>
      <c r="B300" s="185" t="s">
        <v>850</v>
      </c>
      <c r="C300" s="186">
        <v>20</v>
      </c>
      <c r="D300" s="185" t="s">
        <v>823</v>
      </c>
      <c r="E300" s="89">
        <v>78</v>
      </c>
      <c r="F300" s="187">
        <v>20.8</v>
      </c>
      <c r="G300" s="188">
        <v>0.06</v>
      </c>
      <c r="H300" s="188">
        <v>0.28999999999999998</v>
      </c>
      <c r="I300" s="188">
        <v>0.35</v>
      </c>
      <c r="J300" s="188">
        <v>1.42</v>
      </c>
      <c r="K300" s="188">
        <v>0.01</v>
      </c>
      <c r="L300" s="188">
        <v>0.06</v>
      </c>
      <c r="M300" s="188">
        <v>0</v>
      </c>
      <c r="N300" s="188">
        <v>0</v>
      </c>
      <c r="O300" s="188">
        <v>1.25</v>
      </c>
      <c r="P300" s="188">
        <v>1.36</v>
      </c>
      <c r="Q300" s="188">
        <v>-0.15</v>
      </c>
      <c r="R300" s="188">
        <v>0.6</v>
      </c>
      <c r="S300" s="188">
        <v>0.01</v>
      </c>
      <c r="T300" s="188">
        <v>0</v>
      </c>
      <c r="U300" s="188">
        <v>0</v>
      </c>
      <c r="V300" s="188">
        <v>0</v>
      </c>
      <c r="W300" s="188"/>
      <c r="X300" s="89"/>
      <c r="Y300" s="187"/>
      <c r="Z300" s="187"/>
      <c r="AA300" s="187"/>
      <c r="AB300" s="187"/>
      <c r="AC300" s="187"/>
      <c r="AD300" s="189"/>
      <c r="AE300" s="188"/>
    </row>
    <row r="301" spans="1:31" ht="21.25" customHeight="1" x14ac:dyDescent="0.15">
      <c r="A301" s="10" t="s">
        <v>675</v>
      </c>
      <c r="B301" s="185" t="s">
        <v>839</v>
      </c>
      <c r="C301" s="186">
        <v>23</v>
      </c>
      <c r="D301" s="185" t="s">
        <v>844</v>
      </c>
      <c r="E301" s="89">
        <v>72</v>
      </c>
      <c r="F301" s="187">
        <v>12.3</v>
      </c>
      <c r="G301" s="188">
        <v>0.13</v>
      </c>
      <c r="H301" s="188">
        <v>0.26</v>
      </c>
      <c r="I301" s="188">
        <v>0.4</v>
      </c>
      <c r="J301" s="188">
        <v>1.18</v>
      </c>
      <c r="K301" s="188">
        <v>0.01</v>
      </c>
      <c r="L301" s="188">
        <v>0.02</v>
      </c>
      <c r="M301" s="188">
        <v>0</v>
      </c>
      <c r="N301" s="188">
        <v>0</v>
      </c>
      <c r="O301" s="188">
        <v>0.42</v>
      </c>
      <c r="P301" s="188">
        <v>0.52</v>
      </c>
      <c r="Q301" s="188">
        <v>0.03</v>
      </c>
      <c r="R301" s="188">
        <v>0.25</v>
      </c>
      <c r="S301" s="188">
        <v>0.03</v>
      </c>
      <c r="T301" s="188">
        <v>0.05</v>
      </c>
      <c r="U301" s="188">
        <v>0.15</v>
      </c>
      <c r="V301" s="188">
        <v>0.25</v>
      </c>
      <c r="W301" s="188"/>
      <c r="X301" s="89"/>
      <c r="Y301" s="187"/>
      <c r="Z301" s="187"/>
      <c r="AA301" s="187"/>
      <c r="AB301" s="187"/>
      <c r="AC301" s="187"/>
      <c r="AD301" s="189"/>
      <c r="AE301" s="188"/>
    </row>
    <row r="302" spans="1:31" ht="21.25" customHeight="1" x14ac:dyDescent="0.15">
      <c r="A302" s="10" t="s">
        <v>595</v>
      </c>
      <c r="B302" s="185" t="s">
        <v>862</v>
      </c>
      <c r="C302" s="186">
        <v>33</v>
      </c>
      <c r="D302" s="185" t="s">
        <v>820</v>
      </c>
      <c r="E302" s="89">
        <v>82</v>
      </c>
      <c r="F302" s="187">
        <v>14.8</v>
      </c>
      <c r="G302" s="188">
        <v>0.16</v>
      </c>
      <c r="H302" s="188">
        <v>0.24</v>
      </c>
      <c r="I302" s="188">
        <v>0.4</v>
      </c>
      <c r="J302" s="188">
        <v>1.1399999999999999</v>
      </c>
      <c r="K302" s="188">
        <v>0</v>
      </c>
      <c r="L302" s="188">
        <v>0</v>
      </c>
      <c r="M302" s="188">
        <v>0.02</v>
      </c>
      <c r="N302" s="188">
        <v>7.0000000000000007E-2</v>
      </c>
      <c r="O302" s="188">
        <v>0.68</v>
      </c>
      <c r="P302" s="188">
        <v>1.53</v>
      </c>
      <c r="Q302" s="188">
        <v>-0.05</v>
      </c>
      <c r="R302" s="188">
        <v>0.16</v>
      </c>
      <c r="S302" s="188">
        <v>0.02</v>
      </c>
      <c r="T302" s="188">
        <v>7.9</v>
      </c>
      <c r="U302" s="188">
        <v>5.64</v>
      </c>
      <c r="V302" s="188">
        <v>0.57999999999999996</v>
      </c>
      <c r="W302" s="188"/>
      <c r="X302" s="89"/>
      <c r="Y302" s="187"/>
      <c r="Z302" s="187"/>
      <c r="AA302" s="187"/>
      <c r="AB302" s="187"/>
      <c r="AC302" s="187"/>
      <c r="AD302" s="189"/>
      <c r="AE302" s="188"/>
    </row>
    <row r="303" spans="1:31" ht="21.25" customHeight="1" x14ac:dyDescent="0.15">
      <c r="A303" s="10" t="s">
        <v>641</v>
      </c>
      <c r="B303" s="185" t="s">
        <v>834</v>
      </c>
      <c r="C303" s="186">
        <v>34</v>
      </c>
      <c r="D303" s="185" t="s">
        <v>835</v>
      </c>
      <c r="E303" s="89">
        <v>76</v>
      </c>
      <c r="F303" s="187">
        <v>13.3</v>
      </c>
      <c r="G303" s="188">
        <v>0.19</v>
      </c>
      <c r="H303" s="188">
        <v>0.22</v>
      </c>
      <c r="I303" s="188">
        <v>0.41</v>
      </c>
      <c r="J303" s="188">
        <v>1.5</v>
      </c>
      <c r="K303" s="188">
        <v>0.03</v>
      </c>
      <c r="L303" s="188">
        <v>0.05</v>
      </c>
      <c r="M303" s="188">
        <v>0</v>
      </c>
      <c r="N303" s="188">
        <v>0</v>
      </c>
      <c r="O303" s="188">
        <v>0.56999999999999995</v>
      </c>
      <c r="P303" s="188">
        <v>0.62</v>
      </c>
      <c r="Q303" s="188">
        <v>7.0000000000000007E-2</v>
      </c>
      <c r="R303" s="188">
        <v>0.24</v>
      </c>
      <c r="S303" s="188">
        <v>0.03</v>
      </c>
      <c r="T303" s="188">
        <v>0.56000000000000005</v>
      </c>
      <c r="U303" s="188">
        <v>0.46</v>
      </c>
      <c r="V303" s="188">
        <v>0.55000000000000004</v>
      </c>
      <c r="W303" s="188"/>
      <c r="X303" s="89"/>
      <c r="Y303" s="187"/>
      <c r="Z303" s="187"/>
      <c r="AA303" s="187"/>
      <c r="AB303" s="187"/>
      <c r="AC303" s="187"/>
      <c r="AD303" s="189"/>
      <c r="AE303" s="188"/>
    </row>
    <row r="304" spans="1:31" ht="21.25" customHeight="1" x14ac:dyDescent="0.15">
      <c r="A304" s="10" t="s">
        <v>672</v>
      </c>
      <c r="B304" s="185" t="s">
        <v>846</v>
      </c>
      <c r="C304" s="186">
        <v>25</v>
      </c>
      <c r="D304" s="185" t="s">
        <v>842</v>
      </c>
      <c r="E304" s="89">
        <v>65</v>
      </c>
      <c r="F304" s="187">
        <v>14</v>
      </c>
      <c r="G304" s="188">
        <v>0.18</v>
      </c>
      <c r="H304" s="188">
        <v>0.19</v>
      </c>
      <c r="I304" s="188">
        <v>0.38</v>
      </c>
      <c r="J304" s="188">
        <v>1.32</v>
      </c>
      <c r="K304" s="188">
        <v>0.01</v>
      </c>
      <c r="L304" s="188">
        <v>0.06</v>
      </c>
      <c r="M304" s="188">
        <v>0</v>
      </c>
      <c r="N304" s="188">
        <v>0</v>
      </c>
      <c r="O304" s="188">
        <v>0.66</v>
      </c>
      <c r="P304" s="188">
        <v>1.42</v>
      </c>
      <c r="Q304" s="188">
        <v>0.02</v>
      </c>
      <c r="R304" s="188">
        <v>0.57999999999999996</v>
      </c>
      <c r="S304" s="188">
        <v>0.03</v>
      </c>
      <c r="T304" s="188">
        <v>1.37</v>
      </c>
      <c r="U304" s="188">
        <v>1.99</v>
      </c>
      <c r="V304" s="188">
        <v>0.41</v>
      </c>
      <c r="W304" s="188"/>
      <c r="X304" s="89"/>
      <c r="Y304" s="187"/>
      <c r="Z304" s="187"/>
      <c r="AA304" s="187"/>
      <c r="AB304" s="187"/>
      <c r="AC304" s="187"/>
      <c r="AD304" s="189"/>
      <c r="AE304" s="188"/>
    </row>
    <row r="305" spans="1:31" ht="21.25" customHeight="1" x14ac:dyDescent="0.15">
      <c r="A305" s="10" t="s">
        <v>671</v>
      </c>
      <c r="B305" s="185" t="s">
        <v>846</v>
      </c>
      <c r="C305" s="186">
        <v>27</v>
      </c>
      <c r="D305" s="185" t="s">
        <v>844</v>
      </c>
      <c r="E305" s="89">
        <v>71</v>
      </c>
      <c r="F305" s="187">
        <v>13.3</v>
      </c>
      <c r="G305" s="188">
        <v>0.16</v>
      </c>
      <c r="H305" s="188">
        <v>0.22</v>
      </c>
      <c r="I305" s="188">
        <v>0.38</v>
      </c>
      <c r="J305" s="188">
        <v>1.37</v>
      </c>
      <c r="K305" s="188">
        <v>0.01</v>
      </c>
      <c r="L305" s="188">
        <v>0.02</v>
      </c>
      <c r="M305" s="188">
        <v>0</v>
      </c>
      <c r="N305" s="188">
        <v>0</v>
      </c>
      <c r="O305" s="188">
        <v>0.33</v>
      </c>
      <c r="P305" s="188">
        <v>1.1499999999999999</v>
      </c>
      <c r="Q305" s="188">
        <v>0.03</v>
      </c>
      <c r="R305" s="188">
        <v>0.35</v>
      </c>
      <c r="S305" s="188">
        <v>0.03</v>
      </c>
      <c r="T305" s="188">
        <v>0.06</v>
      </c>
      <c r="U305" s="188">
        <v>0.21</v>
      </c>
      <c r="V305" s="188">
        <v>0.22</v>
      </c>
      <c r="W305" s="188"/>
      <c r="X305" s="89"/>
      <c r="Y305" s="187"/>
      <c r="Z305" s="187"/>
      <c r="AA305" s="187"/>
      <c r="AB305" s="187"/>
      <c r="AC305" s="187"/>
      <c r="AD305" s="189"/>
      <c r="AE305" s="188"/>
    </row>
    <row r="306" spans="1:31" ht="21.25" customHeight="1" x14ac:dyDescent="0.15">
      <c r="A306" s="10" t="s">
        <v>224</v>
      </c>
      <c r="B306" s="185" t="s">
        <v>852</v>
      </c>
      <c r="C306" s="186">
        <v>32</v>
      </c>
      <c r="D306" s="185" t="s">
        <v>823</v>
      </c>
      <c r="E306" s="89">
        <v>83</v>
      </c>
      <c r="F306" s="187">
        <v>22.5</v>
      </c>
      <c r="G306" s="188">
        <v>7.0000000000000007E-2</v>
      </c>
      <c r="H306" s="188">
        <v>0.31</v>
      </c>
      <c r="I306" s="188">
        <v>0.38</v>
      </c>
      <c r="J306" s="188">
        <v>1.81</v>
      </c>
      <c r="K306" s="188">
        <v>0.01</v>
      </c>
      <c r="L306" s="188">
        <v>0.09</v>
      </c>
      <c r="M306" s="188">
        <v>0</v>
      </c>
      <c r="N306" s="188">
        <v>0.02</v>
      </c>
      <c r="O306" s="188">
        <v>2.16</v>
      </c>
      <c r="P306" s="188">
        <v>2.04</v>
      </c>
      <c r="Q306" s="188">
        <v>-0.01</v>
      </c>
      <c r="R306" s="188">
        <v>0.57999999999999996</v>
      </c>
      <c r="S306" s="188">
        <v>0.01</v>
      </c>
      <c r="T306" s="188">
        <v>0</v>
      </c>
      <c r="U306" s="188">
        <v>0</v>
      </c>
      <c r="V306" s="188">
        <v>0</v>
      </c>
      <c r="W306" s="188"/>
      <c r="X306" s="89"/>
      <c r="Y306" s="187"/>
      <c r="Z306" s="187"/>
      <c r="AA306" s="187"/>
      <c r="AB306" s="187"/>
      <c r="AC306" s="187"/>
      <c r="AD306" s="189"/>
      <c r="AE306" s="188"/>
    </row>
    <row r="307" spans="1:31" ht="21.25" customHeight="1" x14ac:dyDescent="0.15">
      <c r="A307" s="10" t="s">
        <v>642</v>
      </c>
      <c r="B307" s="185" t="s">
        <v>840</v>
      </c>
      <c r="C307" s="186">
        <v>22</v>
      </c>
      <c r="D307" s="185" t="s">
        <v>842</v>
      </c>
      <c r="E307" s="89">
        <v>80</v>
      </c>
      <c r="F307" s="187">
        <v>13.2</v>
      </c>
      <c r="G307" s="188">
        <v>0.18</v>
      </c>
      <c r="H307" s="188">
        <v>0.23</v>
      </c>
      <c r="I307" s="188">
        <v>0.41</v>
      </c>
      <c r="J307" s="188">
        <v>1.19</v>
      </c>
      <c r="K307" s="188">
        <v>0.02</v>
      </c>
      <c r="L307" s="188">
        <v>0.06</v>
      </c>
      <c r="M307" s="188">
        <v>0</v>
      </c>
      <c r="N307" s="188">
        <v>0</v>
      </c>
      <c r="O307" s="188">
        <v>0.57999999999999996</v>
      </c>
      <c r="P307" s="188">
        <v>0.92</v>
      </c>
      <c r="Q307" s="188">
        <v>0.02</v>
      </c>
      <c r="R307" s="188">
        <v>0.36</v>
      </c>
      <c r="S307" s="188">
        <v>0.03</v>
      </c>
      <c r="T307" s="188">
        <v>4</v>
      </c>
      <c r="U307" s="188">
        <v>6.13</v>
      </c>
      <c r="V307" s="188">
        <v>0.39</v>
      </c>
      <c r="W307" s="188"/>
      <c r="X307" s="89"/>
      <c r="Y307" s="187"/>
      <c r="Z307" s="187"/>
      <c r="AA307" s="187"/>
      <c r="AB307" s="187"/>
      <c r="AC307" s="187"/>
      <c r="AD307" s="189"/>
      <c r="AE307" s="188"/>
    </row>
    <row r="308" spans="1:31" ht="21.25" customHeight="1" x14ac:dyDescent="0.15">
      <c r="A308" s="10" t="s">
        <v>644</v>
      </c>
      <c r="B308" s="185" t="s">
        <v>841</v>
      </c>
      <c r="C308" s="186">
        <v>31</v>
      </c>
      <c r="D308" s="185" t="s">
        <v>835</v>
      </c>
      <c r="E308" s="89">
        <v>78</v>
      </c>
      <c r="F308" s="187">
        <v>14.5</v>
      </c>
      <c r="G308" s="188">
        <v>0.2</v>
      </c>
      <c r="H308" s="188">
        <v>0.2</v>
      </c>
      <c r="I308" s="188">
        <v>0.39</v>
      </c>
      <c r="J308" s="188">
        <v>1.52</v>
      </c>
      <c r="K308" s="188">
        <v>0.02</v>
      </c>
      <c r="L308" s="188">
        <v>0.03</v>
      </c>
      <c r="M308" s="188">
        <v>0</v>
      </c>
      <c r="N308" s="188">
        <v>0.01</v>
      </c>
      <c r="O308" s="188">
        <v>0.45</v>
      </c>
      <c r="P308" s="188">
        <v>1.18</v>
      </c>
      <c r="Q308" s="188">
        <v>-0.01</v>
      </c>
      <c r="R308" s="188">
        <v>0.28999999999999998</v>
      </c>
      <c r="S308" s="188">
        <v>0.03</v>
      </c>
      <c r="T308" s="188">
        <v>5.6</v>
      </c>
      <c r="U308" s="188">
        <v>5.08</v>
      </c>
      <c r="V308" s="188">
        <v>0.52</v>
      </c>
      <c r="W308" s="188"/>
      <c r="X308" s="89"/>
      <c r="Y308" s="187"/>
      <c r="Z308" s="187"/>
      <c r="AA308" s="187"/>
      <c r="AB308" s="187"/>
      <c r="AC308" s="187"/>
      <c r="AD308" s="189"/>
      <c r="AE308" s="188"/>
    </row>
    <row r="309" spans="1:31" ht="21.25" customHeight="1" x14ac:dyDescent="0.15">
      <c r="A309" s="10" t="s">
        <v>422</v>
      </c>
      <c r="B309" s="185" t="s">
        <v>852</v>
      </c>
      <c r="C309" s="186">
        <v>29</v>
      </c>
      <c r="D309" s="185" t="s">
        <v>823</v>
      </c>
      <c r="E309" s="89">
        <v>77</v>
      </c>
      <c r="F309" s="187">
        <v>20.7</v>
      </c>
      <c r="G309" s="188">
        <v>0.05</v>
      </c>
      <c r="H309" s="188">
        <v>0.34</v>
      </c>
      <c r="I309" s="188">
        <v>0.39</v>
      </c>
      <c r="J309" s="188">
        <v>0.78</v>
      </c>
      <c r="K309" s="188">
        <v>0</v>
      </c>
      <c r="L309" s="188">
        <v>0</v>
      </c>
      <c r="M309" s="188">
        <v>0</v>
      </c>
      <c r="N309" s="188">
        <v>0.01</v>
      </c>
      <c r="O309" s="188">
        <v>1.1000000000000001</v>
      </c>
      <c r="P309" s="188">
        <v>0.51</v>
      </c>
      <c r="Q309" s="188">
        <v>0.05</v>
      </c>
      <c r="R309" s="188">
        <v>0.28999999999999998</v>
      </c>
      <c r="S309" s="188">
        <v>0.01</v>
      </c>
      <c r="T309" s="188">
        <v>0</v>
      </c>
      <c r="U309" s="188">
        <v>0</v>
      </c>
      <c r="V309" s="188">
        <v>0</v>
      </c>
      <c r="W309" s="188"/>
      <c r="X309" s="89"/>
      <c r="Y309" s="187"/>
      <c r="Z309" s="187"/>
      <c r="AA309" s="187"/>
      <c r="AB309" s="187"/>
      <c r="AC309" s="187"/>
      <c r="AD309" s="189"/>
      <c r="AE309" s="188"/>
    </row>
    <row r="310" spans="1:31" ht="21.25" customHeight="1" x14ac:dyDescent="0.15">
      <c r="A310" s="10" t="s">
        <v>358</v>
      </c>
      <c r="B310" s="185" t="s">
        <v>859</v>
      </c>
      <c r="C310" s="186">
        <v>25</v>
      </c>
      <c r="D310" s="185" t="s">
        <v>823</v>
      </c>
      <c r="E310" s="89">
        <v>81</v>
      </c>
      <c r="F310" s="187">
        <v>18.100000000000001</v>
      </c>
      <c r="G310" s="188">
        <v>7.0000000000000007E-2</v>
      </c>
      <c r="H310" s="188">
        <v>0.3</v>
      </c>
      <c r="I310" s="188">
        <v>0.37</v>
      </c>
      <c r="J310" s="188">
        <v>1.34</v>
      </c>
      <c r="K310" s="188">
        <v>0</v>
      </c>
      <c r="L310" s="188">
        <v>0.02</v>
      </c>
      <c r="M310" s="188">
        <v>0</v>
      </c>
      <c r="N310" s="188">
        <v>0</v>
      </c>
      <c r="O310" s="188">
        <v>0.96</v>
      </c>
      <c r="P310" s="188">
        <v>0.87</v>
      </c>
      <c r="Q310" s="188">
        <v>7.0000000000000007E-2</v>
      </c>
      <c r="R310" s="188">
        <v>0.28999999999999998</v>
      </c>
      <c r="S310" s="188">
        <v>0.01</v>
      </c>
      <c r="T310" s="188">
        <v>0</v>
      </c>
      <c r="U310" s="188">
        <v>0</v>
      </c>
      <c r="V310" s="188">
        <v>0</v>
      </c>
      <c r="W310" s="188"/>
      <c r="X310" s="89"/>
      <c r="Y310" s="187"/>
      <c r="Z310" s="187"/>
      <c r="AA310" s="187"/>
      <c r="AB310" s="187"/>
      <c r="AC310" s="187"/>
      <c r="AD310" s="189"/>
      <c r="AE310" s="188"/>
    </row>
    <row r="311" spans="1:31" ht="21.25" customHeight="1" x14ac:dyDescent="0.15">
      <c r="A311" s="10" t="s">
        <v>702</v>
      </c>
      <c r="B311" s="185" t="s">
        <v>863</v>
      </c>
      <c r="C311" s="186">
        <v>21</v>
      </c>
      <c r="D311" s="185" t="s">
        <v>821</v>
      </c>
      <c r="E311" s="89">
        <v>70</v>
      </c>
      <c r="F311" s="187">
        <v>12.8</v>
      </c>
      <c r="G311" s="188">
        <v>0.15</v>
      </c>
      <c r="H311" s="188">
        <v>0.27</v>
      </c>
      <c r="I311" s="188">
        <v>0.41</v>
      </c>
      <c r="J311" s="188">
        <v>1.1200000000000001</v>
      </c>
      <c r="K311" s="188">
        <v>0.03</v>
      </c>
      <c r="L311" s="188">
        <v>0.09</v>
      </c>
      <c r="M311" s="188">
        <v>0</v>
      </c>
      <c r="N311" s="188">
        <v>0</v>
      </c>
      <c r="O311" s="188">
        <v>0.44</v>
      </c>
      <c r="P311" s="188">
        <v>1.03</v>
      </c>
      <c r="Q311" s="188">
        <v>0.01</v>
      </c>
      <c r="R311" s="188">
        <v>0.32</v>
      </c>
      <c r="S311" s="188">
        <v>0.02</v>
      </c>
      <c r="T311" s="188">
        <v>0.15</v>
      </c>
      <c r="U311" s="188">
        <v>0.24</v>
      </c>
      <c r="V311" s="188">
        <v>0.39</v>
      </c>
      <c r="W311" s="188"/>
      <c r="X311" s="89"/>
      <c r="Y311" s="187"/>
      <c r="Z311" s="187"/>
      <c r="AA311" s="187"/>
      <c r="AB311" s="187"/>
      <c r="AC311" s="187"/>
      <c r="AD311" s="189"/>
      <c r="AE311" s="188"/>
    </row>
    <row r="312" spans="1:31" ht="21.25" customHeight="1" x14ac:dyDescent="0.15">
      <c r="A312" s="10" t="s">
        <v>591</v>
      </c>
      <c r="B312" s="185" t="s">
        <v>845</v>
      </c>
      <c r="C312" s="186">
        <v>35</v>
      </c>
      <c r="D312" s="185" t="s">
        <v>835</v>
      </c>
      <c r="E312" s="89">
        <v>81</v>
      </c>
      <c r="F312" s="187">
        <v>16</v>
      </c>
      <c r="G312" s="188">
        <v>0.16</v>
      </c>
      <c r="H312" s="188">
        <v>0.24</v>
      </c>
      <c r="I312" s="188">
        <v>0.4</v>
      </c>
      <c r="J312" s="188">
        <v>1.63</v>
      </c>
      <c r="K312" s="188">
        <v>0.04</v>
      </c>
      <c r="L312" s="188">
        <v>0.12</v>
      </c>
      <c r="M312" s="188">
        <v>0.01</v>
      </c>
      <c r="N312" s="188">
        <v>0.01</v>
      </c>
      <c r="O312" s="188">
        <v>0.57999999999999996</v>
      </c>
      <c r="P312" s="188">
        <v>1.38</v>
      </c>
      <c r="Q312" s="188">
        <v>-0.03</v>
      </c>
      <c r="R312" s="188">
        <v>0.57999999999999996</v>
      </c>
      <c r="S312" s="188">
        <v>0.03</v>
      </c>
      <c r="T312" s="188">
        <v>6.04</v>
      </c>
      <c r="U312" s="188">
        <v>5.67</v>
      </c>
      <c r="V312" s="188">
        <v>0.52</v>
      </c>
      <c r="W312" s="188"/>
      <c r="X312" s="89"/>
      <c r="Y312" s="187"/>
      <c r="Z312" s="187"/>
      <c r="AA312" s="187"/>
      <c r="AB312" s="187"/>
      <c r="AC312" s="187"/>
      <c r="AD312" s="189"/>
      <c r="AE312" s="188"/>
    </row>
    <row r="313" spans="1:31" ht="21.25" customHeight="1" x14ac:dyDescent="0.15">
      <c r="A313" s="10" t="s">
        <v>300</v>
      </c>
      <c r="B313" s="185" t="s">
        <v>849</v>
      </c>
      <c r="C313" s="186">
        <v>30</v>
      </c>
      <c r="D313" s="185" t="s">
        <v>823</v>
      </c>
      <c r="E313" s="89">
        <v>83</v>
      </c>
      <c r="F313" s="187">
        <v>23.4</v>
      </c>
      <c r="G313" s="188">
        <v>0.08</v>
      </c>
      <c r="H313" s="188">
        <v>0.3</v>
      </c>
      <c r="I313" s="188">
        <v>0.38</v>
      </c>
      <c r="J313" s="188">
        <v>1.74</v>
      </c>
      <c r="K313" s="188">
        <v>0</v>
      </c>
      <c r="L313" s="188">
        <v>0.01</v>
      </c>
      <c r="M313" s="188">
        <v>0</v>
      </c>
      <c r="N313" s="188">
        <v>0</v>
      </c>
      <c r="O313" s="188">
        <v>1.3</v>
      </c>
      <c r="P313" s="188">
        <v>0.83</v>
      </c>
      <c r="Q313" s="188">
        <v>0.06</v>
      </c>
      <c r="R313" s="188">
        <v>0.43</v>
      </c>
      <c r="S313" s="188">
        <v>0.01</v>
      </c>
      <c r="T313" s="188">
        <v>0</v>
      </c>
      <c r="U313" s="188">
        <v>0</v>
      </c>
      <c r="V313" s="188">
        <v>0</v>
      </c>
      <c r="W313" s="188"/>
      <c r="X313" s="89"/>
      <c r="Y313" s="187"/>
      <c r="Z313" s="187"/>
      <c r="AA313" s="187"/>
      <c r="AB313" s="187"/>
      <c r="AC313" s="187"/>
      <c r="AD313" s="189"/>
      <c r="AE313" s="188"/>
    </row>
    <row r="314" spans="1:31" ht="21.25" customHeight="1" x14ac:dyDescent="0.15">
      <c r="A314" s="10" t="s">
        <v>613</v>
      </c>
      <c r="B314" s="185" t="s">
        <v>863</v>
      </c>
      <c r="C314" s="186">
        <v>33</v>
      </c>
      <c r="D314" s="185" t="s">
        <v>820</v>
      </c>
      <c r="E314" s="89">
        <v>82</v>
      </c>
      <c r="F314" s="187">
        <v>14.3</v>
      </c>
      <c r="G314" s="188">
        <v>0.13</v>
      </c>
      <c r="H314" s="188">
        <v>0.25</v>
      </c>
      <c r="I314" s="188">
        <v>0.38</v>
      </c>
      <c r="J314" s="188">
        <v>1.39</v>
      </c>
      <c r="K314" s="188">
        <v>0</v>
      </c>
      <c r="L314" s="188">
        <v>0</v>
      </c>
      <c r="M314" s="188">
        <v>0</v>
      </c>
      <c r="N314" s="188">
        <v>0.01</v>
      </c>
      <c r="O314" s="188">
        <v>0.51</v>
      </c>
      <c r="P314" s="188">
        <v>0.97</v>
      </c>
      <c r="Q314" s="188">
        <v>0.02</v>
      </c>
      <c r="R314" s="188">
        <v>0.36</v>
      </c>
      <c r="S314" s="188">
        <v>0.02</v>
      </c>
      <c r="T314" s="188">
        <v>7.11</v>
      </c>
      <c r="U314" s="188">
        <v>5.88</v>
      </c>
      <c r="V314" s="188">
        <v>0.55000000000000004</v>
      </c>
      <c r="W314" s="188"/>
      <c r="X314" s="89"/>
      <c r="Y314" s="187"/>
      <c r="Z314" s="187"/>
      <c r="AA314" s="187"/>
      <c r="AB314" s="187"/>
      <c r="AC314" s="187"/>
      <c r="AD314" s="189"/>
      <c r="AE314" s="188"/>
    </row>
    <row r="315" spans="1:31" ht="21.25" customHeight="1" x14ac:dyDescent="0.15">
      <c r="A315" s="10" t="s">
        <v>286</v>
      </c>
      <c r="B315" s="185" t="s">
        <v>863</v>
      </c>
      <c r="C315" s="186">
        <v>30</v>
      </c>
      <c r="D315" s="185" t="s">
        <v>823</v>
      </c>
      <c r="E315" s="89">
        <v>84</v>
      </c>
      <c r="F315" s="187">
        <v>23.4</v>
      </c>
      <c r="G315" s="188">
        <v>0.09</v>
      </c>
      <c r="H315" s="188">
        <v>0.28000000000000003</v>
      </c>
      <c r="I315" s="188">
        <v>0.37</v>
      </c>
      <c r="J315" s="188">
        <v>1.28</v>
      </c>
      <c r="K315" s="188">
        <v>0</v>
      </c>
      <c r="L315" s="188">
        <v>0.01</v>
      </c>
      <c r="M315" s="188">
        <v>0.01</v>
      </c>
      <c r="N315" s="188">
        <v>0.03</v>
      </c>
      <c r="O315" s="188">
        <v>1.83</v>
      </c>
      <c r="P315" s="188">
        <v>0.72</v>
      </c>
      <c r="Q315" s="188">
        <v>0.01</v>
      </c>
      <c r="R315" s="188">
        <v>0.42</v>
      </c>
      <c r="S315" s="188">
        <v>0.01</v>
      </c>
      <c r="T315" s="188">
        <v>0</v>
      </c>
      <c r="U315" s="188">
        <v>0</v>
      </c>
      <c r="V315" s="188">
        <v>0</v>
      </c>
      <c r="W315" s="188"/>
      <c r="X315" s="89"/>
      <c r="Y315" s="187"/>
      <c r="Z315" s="187"/>
      <c r="AA315" s="187"/>
      <c r="AB315" s="187"/>
      <c r="AC315" s="187"/>
      <c r="AD315" s="189"/>
      <c r="AE315" s="188"/>
    </row>
    <row r="316" spans="1:31" ht="21.25" customHeight="1" x14ac:dyDescent="0.15">
      <c r="A316" s="10" t="s">
        <v>569</v>
      </c>
      <c r="B316" s="185" t="s">
        <v>847</v>
      </c>
      <c r="C316" s="186">
        <v>32</v>
      </c>
      <c r="D316" s="185" t="s">
        <v>844</v>
      </c>
      <c r="E316" s="89">
        <v>83</v>
      </c>
      <c r="F316" s="187">
        <v>15.7</v>
      </c>
      <c r="G316" s="188">
        <v>0.14000000000000001</v>
      </c>
      <c r="H316" s="188">
        <v>0.18</v>
      </c>
      <c r="I316" s="188">
        <v>0.31</v>
      </c>
      <c r="J316" s="188">
        <v>1.28</v>
      </c>
      <c r="K316" s="188">
        <v>0.02</v>
      </c>
      <c r="L316" s="188">
        <v>0.05</v>
      </c>
      <c r="M316" s="188">
        <v>0</v>
      </c>
      <c r="N316" s="188">
        <v>0.01</v>
      </c>
      <c r="O316" s="188">
        <v>0.67</v>
      </c>
      <c r="P316" s="188">
        <v>1.2</v>
      </c>
      <c r="Q316" s="188">
        <v>0.01</v>
      </c>
      <c r="R316" s="188">
        <v>0.21</v>
      </c>
      <c r="S316" s="188">
        <v>0.02</v>
      </c>
      <c r="T316" s="188">
        <v>0.19</v>
      </c>
      <c r="U316" s="188">
        <v>0.27</v>
      </c>
      <c r="V316" s="188">
        <v>0.42</v>
      </c>
      <c r="W316" s="188"/>
      <c r="X316" s="89"/>
      <c r="Y316" s="187"/>
      <c r="Z316" s="187"/>
      <c r="AA316" s="187"/>
      <c r="AB316" s="187"/>
      <c r="AC316" s="187"/>
      <c r="AD316" s="189"/>
      <c r="AE316" s="188"/>
    </row>
    <row r="317" spans="1:31" ht="21.25" customHeight="1" x14ac:dyDescent="0.15">
      <c r="A317" s="10" t="s">
        <v>698</v>
      </c>
      <c r="B317" s="185" t="s">
        <v>850</v>
      </c>
      <c r="C317" s="186">
        <v>21</v>
      </c>
      <c r="D317" s="185" t="s">
        <v>821</v>
      </c>
      <c r="E317" s="89">
        <v>67</v>
      </c>
      <c r="F317" s="187">
        <v>12.7</v>
      </c>
      <c r="G317" s="188">
        <v>0.25</v>
      </c>
      <c r="H317" s="188">
        <v>0.21</v>
      </c>
      <c r="I317" s="188">
        <v>0.46</v>
      </c>
      <c r="J317" s="188">
        <v>1.58</v>
      </c>
      <c r="K317" s="188">
        <v>0.03</v>
      </c>
      <c r="L317" s="188">
        <v>0.06</v>
      </c>
      <c r="M317" s="188">
        <v>0</v>
      </c>
      <c r="N317" s="188">
        <v>0</v>
      </c>
      <c r="O317" s="188">
        <v>0.39</v>
      </c>
      <c r="P317" s="188">
        <v>1.39</v>
      </c>
      <c r="Q317" s="188">
        <v>-0.12</v>
      </c>
      <c r="R317" s="188">
        <v>0.28000000000000003</v>
      </c>
      <c r="S317" s="188">
        <v>0.03</v>
      </c>
      <c r="T317" s="188">
        <v>0.02</v>
      </c>
      <c r="U317" s="188">
        <v>0.02</v>
      </c>
      <c r="V317" s="188">
        <v>0.5</v>
      </c>
      <c r="W317" s="188"/>
      <c r="X317" s="89"/>
      <c r="Y317" s="187"/>
      <c r="Z317" s="187"/>
      <c r="AA317" s="187"/>
      <c r="AB317" s="187"/>
      <c r="AC317" s="187"/>
      <c r="AD317" s="189"/>
      <c r="AE317" s="188"/>
    </row>
    <row r="318" spans="1:31" ht="21.25" customHeight="1" x14ac:dyDescent="0.15">
      <c r="A318" s="10" t="s">
        <v>304</v>
      </c>
      <c r="B318" s="185" t="s">
        <v>861</v>
      </c>
      <c r="C318" s="186">
        <v>32</v>
      </c>
      <c r="D318" s="185" t="s">
        <v>823</v>
      </c>
      <c r="E318" s="89">
        <v>84</v>
      </c>
      <c r="F318" s="187">
        <v>23</v>
      </c>
      <c r="G318" s="188">
        <v>7.0000000000000007E-2</v>
      </c>
      <c r="H318" s="188">
        <v>0.31</v>
      </c>
      <c r="I318" s="188">
        <v>0.39</v>
      </c>
      <c r="J318" s="188">
        <v>1.57</v>
      </c>
      <c r="K318" s="188">
        <v>0.01</v>
      </c>
      <c r="L318" s="188">
        <v>0.1</v>
      </c>
      <c r="M318" s="188">
        <v>0.01</v>
      </c>
      <c r="N318" s="188">
        <v>0.02</v>
      </c>
      <c r="O318" s="188">
        <v>1.21</v>
      </c>
      <c r="P318" s="188">
        <v>0.86</v>
      </c>
      <c r="Q318" s="188">
        <v>-0.05</v>
      </c>
      <c r="R318" s="188">
        <v>0.52</v>
      </c>
      <c r="S318" s="188">
        <v>0.01</v>
      </c>
      <c r="T318" s="188">
        <v>0</v>
      </c>
      <c r="U318" s="188">
        <v>0</v>
      </c>
      <c r="V318" s="188">
        <v>0</v>
      </c>
      <c r="W318" s="188"/>
      <c r="X318" s="89"/>
      <c r="Y318" s="187"/>
      <c r="Z318" s="187"/>
      <c r="AA318" s="187"/>
      <c r="AB318" s="187"/>
      <c r="AC318" s="187"/>
      <c r="AD318" s="189"/>
      <c r="AE318" s="188"/>
    </row>
    <row r="319" spans="1:31" ht="21.25" customHeight="1" x14ac:dyDescent="0.15">
      <c r="A319" s="10" t="s">
        <v>656</v>
      </c>
      <c r="B319" s="185" t="s">
        <v>857</v>
      </c>
      <c r="C319" s="186">
        <v>21</v>
      </c>
      <c r="D319" s="185" t="s">
        <v>820</v>
      </c>
      <c r="E319" s="89">
        <v>68</v>
      </c>
      <c r="F319" s="187">
        <v>13.6</v>
      </c>
      <c r="G319" s="188">
        <v>0.18</v>
      </c>
      <c r="H319" s="188">
        <v>0.31</v>
      </c>
      <c r="I319" s="188">
        <v>0.49</v>
      </c>
      <c r="J319" s="188">
        <v>1.63</v>
      </c>
      <c r="K319" s="188">
        <v>0.04</v>
      </c>
      <c r="L319" s="188">
        <v>0.18</v>
      </c>
      <c r="M319" s="188">
        <v>0</v>
      </c>
      <c r="N319" s="188">
        <v>0</v>
      </c>
      <c r="O319" s="188">
        <v>0.46</v>
      </c>
      <c r="P319" s="188">
        <v>0.78</v>
      </c>
      <c r="Q319" s="188">
        <v>-0.02</v>
      </c>
      <c r="R319" s="188">
        <v>0.28000000000000003</v>
      </c>
      <c r="S319" s="188">
        <v>0.03</v>
      </c>
      <c r="T319" s="188">
        <v>2.42</v>
      </c>
      <c r="U319" s="188">
        <v>4.01</v>
      </c>
      <c r="V319" s="188">
        <v>0.38</v>
      </c>
      <c r="W319" s="188"/>
      <c r="X319" s="89"/>
      <c r="Y319" s="187"/>
      <c r="Z319" s="187"/>
      <c r="AA319" s="187"/>
      <c r="AB319" s="187"/>
      <c r="AC319" s="187"/>
      <c r="AD319" s="189"/>
      <c r="AE319" s="188"/>
    </row>
    <row r="320" spans="1:31" ht="21.25" customHeight="1" x14ac:dyDescent="0.15">
      <c r="A320" s="10" t="s">
        <v>636</v>
      </c>
      <c r="B320" s="185" t="s">
        <v>849</v>
      </c>
      <c r="C320" s="186">
        <v>28</v>
      </c>
      <c r="D320" s="185" t="s">
        <v>821</v>
      </c>
      <c r="E320" s="89">
        <v>82</v>
      </c>
      <c r="F320" s="187">
        <v>14.9</v>
      </c>
      <c r="G320" s="188">
        <v>0.13</v>
      </c>
      <c r="H320" s="188">
        <v>0.24</v>
      </c>
      <c r="I320" s="188">
        <v>0.38</v>
      </c>
      <c r="J320" s="188">
        <v>1.22</v>
      </c>
      <c r="K320" s="188">
        <v>0</v>
      </c>
      <c r="L320" s="188">
        <v>0</v>
      </c>
      <c r="M320" s="188">
        <v>0</v>
      </c>
      <c r="N320" s="188">
        <v>0.01</v>
      </c>
      <c r="O320" s="188">
        <v>0.69</v>
      </c>
      <c r="P320" s="188">
        <v>1.7</v>
      </c>
      <c r="Q320" s="188">
        <v>0.04</v>
      </c>
      <c r="R320" s="188">
        <v>0.35</v>
      </c>
      <c r="S320" s="188">
        <v>0.02</v>
      </c>
      <c r="T320" s="188">
        <v>1.22</v>
      </c>
      <c r="U320" s="188">
        <v>1.37</v>
      </c>
      <c r="V320" s="188">
        <v>0.47</v>
      </c>
      <c r="W320" s="188"/>
      <c r="X320" s="89"/>
      <c r="Y320" s="187"/>
      <c r="Z320" s="187"/>
      <c r="AA320" s="187"/>
      <c r="AB320" s="187"/>
      <c r="AC320" s="187"/>
      <c r="AD320" s="189"/>
      <c r="AE320" s="188"/>
    </row>
    <row r="321" spans="1:31" ht="21.25" customHeight="1" x14ac:dyDescent="0.15">
      <c r="A321" s="10" t="s">
        <v>601</v>
      </c>
      <c r="B321" s="185" t="s">
        <v>855</v>
      </c>
      <c r="C321" s="186">
        <v>37</v>
      </c>
      <c r="D321" s="185" t="s">
        <v>844</v>
      </c>
      <c r="E321" s="89">
        <v>82</v>
      </c>
      <c r="F321" s="187">
        <v>16.899999999999999</v>
      </c>
      <c r="G321" s="188">
        <v>0.18</v>
      </c>
      <c r="H321" s="188">
        <v>0.21</v>
      </c>
      <c r="I321" s="188">
        <v>0.39</v>
      </c>
      <c r="J321" s="188">
        <v>1.82</v>
      </c>
      <c r="K321" s="188">
        <v>0.02</v>
      </c>
      <c r="L321" s="188">
        <v>0.05</v>
      </c>
      <c r="M321" s="188">
        <v>0</v>
      </c>
      <c r="N321" s="188">
        <v>0.02</v>
      </c>
      <c r="O321" s="188">
        <v>0.39</v>
      </c>
      <c r="P321" s="188">
        <v>0.92</v>
      </c>
      <c r="Q321" s="188">
        <v>-0.03</v>
      </c>
      <c r="R321" s="188">
        <v>0.42</v>
      </c>
      <c r="S321" s="188">
        <v>0.03</v>
      </c>
      <c r="T321" s="188">
        <v>0.42</v>
      </c>
      <c r="U321" s="188">
        <v>0.78</v>
      </c>
      <c r="V321" s="188">
        <v>0.35</v>
      </c>
      <c r="W321" s="188"/>
      <c r="X321" s="89"/>
      <c r="Y321" s="187"/>
      <c r="Z321" s="187"/>
      <c r="AA321" s="187"/>
      <c r="AB321" s="187"/>
      <c r="AC321" s="187"/>
      <c r="AD321" s="189"/>
      <c r="AE321" s="188"/>
    </row>
    <row r="322" spans="1:31" ht="21.25" customHeight="1" x14ac:dyDescent="0.15">
      <c r="A322" s="10" t="s">
        <v>361</v>
      </c>
      <c r="B322" s="185" t="s">
        <v>853</v>
      </c>
      <c r="C322" s="186">
        <v>32</v>
      </c>
      <c r="D322" s="185" t="s">
        <v>823</v>
      </c>
      <c r="E322" s="89">
        <v>79</v>
      </c>
      <c r="F322" s="187">
        <v>19.5</v>
      </c>
      <c r="G322" s="188">
        <v>0.09</v>
      </c>
      <c r="H322" s="188">
        <v>0.27</v>
      </c>
      <c r="I322" s="188">
        <v>0.36</v>
      </c>
      <c r="J322" s="188">
        <v>1.2</v>
      </c>
      <c r="K322" s="188">
        <v>0</v>
      </c>
      <c r="L322" s="188">
        <v>0.02</v>
      </c>
      <c r="M322" s="188">
        <v>0</v>
      </c>
      <c r="N322" s="188">
        <v>0</v>
      </c>
      <c r="O322" s="188">
        <v>1.25</v>
      </c>
      <c r="P322" s="188">
        <v>0.64</v>
      </c>
      <c r="Q322" s="188">
        <v>0.04</v>
      </c>
      <c r="R322" s="188">
        <v>0.62</v>
      </c>
      <c r="S322" s="188">
        <v>0.02</v>
      </c>
      <c r="T322" s="188">
        <v>0</v>
      </c>
      <c r="U322" s="188">
        <v>0</v>
      </c>
      <c r="V322" s="188">
        <v>0</v>
      </c>
      <c r="W322" s="188"/>
      <c r="X322" s="89"/>
      <c r="Y322" s="187"/>
      <c r="Z322" s="187"/>
      <c r="AA322" s="187"/>
      <c r="AB322" s="187"/>
      <c r="AC322" s="187"/>
      <c r="AD322" s="189"/>
      <c r="AE322" s="188"/>
    </row>
    <row r="323" spans="1:31" ht="21.25" customHeight="1" x14ac:dyDescent="0.15">
      <c r="A323" s="10" t="s">
        <v>679</v>
      </c>
      <c r="B323" s="185" t="s">
        <v>854</v>
      </c>
      <c r="C323" s="186">
        <v>31</v>
      </c>
      <c r="D323" s="185" t="s">
        <v>844</v>
      </c>
      <c r="E323" s="89">
        <v>75</v>
      </c>
      <c r="F323" s="187">
        <v>13.4</v>
      </c>
      <c r="G323" s="188">
        <v>0.08</v>
      </c>
      <c r="H323" s="188">
        <v>0.22</v>
      </c>
      <c r="I323" s="188">
        <v>0.31</v>
      </c>
      <c r="J323" s="188">
        <v>1.02</v>
      </c>
      <c r="K323" s="188">
        <v>0</v>
      </c>
      <c r="L323" s="188">
        <v>0</v>
      </c>
      <c r="M323" s="188">
        <v>0</v>
      </c>
      <c r="N323" s="188">
        <v>0</v>
      </c>
      <c r="O323" s="188">
        <v>0.37</v>
      </c>
      <c r="P323" s="188">
        <v>0.39</v>
      </c>
      <c r="Q323" s="188">
        <v>-0.02</v>
      </c>
      <c r="R323" s="188">
        <v>0.2</v>
      </c>
      <c r="S323" s="188">
        <v>0.01</v>
      </c>
      <c r="T323" s="188">
        <v>1.06</v>
      </c>
      <c r="U323" s="188">
        <v>1.1399999999999999</v>
      </c>
      <c r="V323" s="188">
        <v>0.48</v>
      </c>
      <c r="W323" s="188"/>
      <c r="X323" s="89"/>
      <c r="Y323" s="187"/>
      <c r="Z323" s="187"/>
      <c r="AA323" s="187"/>
      <c r="AB323" s="187"/>
      <c r="AC323" s="187"/>
      <c r="AD323" s="189"/>
      <c r="AE323" s="188"/>
    </row>
    <row r="324" spans="1:31" ht="21.25" customHeight="1" x14ac:dyDescent="0.15">
      <c r="A324" s="10" t="s">
        <v>564</v>
      </c>
      <c r="B324" s="185" t="s">
        <v>855</v>
      </c>
      <c r="C324" s="186">
        <v>32</v>
      </c>
      <c r="D324" s="185" t="s">
        <v>844</v>
      </c>
      <c r="E324" s="89">
        <v>78</v>
      </c>
      <c r="F324" s="187">
        <v>13.9</v>
      </c>
      <c r="G324" s="188">
        <v>0.19</v>
      </c>
      <c r="H324" s="188">
        <v>0.19</v>
      </c>
      <c r="I324" s="188">
        <v>0.39</v>
      </c>
      <c r="J324" s="188">
        <v>2.15</v>
      </c>
      <c r="K324" s="188">
        <v>0.04</v>
      </c>
      <c r="L324" s="188">
        <v>7.0000000000000007E-2</v>
      </c>
      <c r="M324" s="188">
        <v>0.01</v>
      </c>
      <c r="N324" s="188">
        <v>0.01</v>
      </c>
      <c r="O324" s="188">
        <v>0.65</v>
      </c>
      <c r="P324" s="188">
        <v>1.75</v>
      </c>
      <c r="Q324" s="188">
        <v>-0.06</v>
      </c>
      <c r="R324" s="188">
        <v>0.64</v>
      </c>
      <c r="S324" s="188">
        <v>0.03</v>
      </c>
      <c r="T324" s="188">
        <v>0.13</v>
      </c>
      <c r="U324" s="188">
        <v>0.18</v>
      </c>
      <c r="V324" s="188">
        <v>0.42</v>
      </c>
      <c r="W324" s="188"/>
      <c r="X324" s="89"/>
      <c r="Y324" s="187"/>
      <c r="Z324" s="187"/>
      <c r="AA324" s="187"/>
      <c r="AB324" s="187"/>
      <c r="AC324" s="187"/>
      <c r="AD324" s="189"/>
      <c r="AE324" s="188"/>
    </row>
    <row r="325" spans="1:31" ht="21.25" customHeight="1" x14ac:dyDescent="0.15">
      <c r="A325" s="10" t="s">
        <v>715</v>
      </c>
      <c r="B325" s="185" t="s">
        <v>847</v>
      </c>
      <c r="C325" s="186">
        <v>23</v>
      </c>
      <c r="D325" s="185" t="s">
        <v>822</v>
      </c>
      <c r="E325" s="89">
        <v>58</v>
      </c>
      <c r="F325" s="187">
        <v>13.9</v>
      </c>
      <c r="G325" s="188">
        <v>0.2</v>
      </c>
      <c r="H325" s="188">
        <v>0.21</v>
      </c>
      <c r="I325" s="188">
        <v>0.41</v>
      </c>
      <c r="J325" s="188">
        <v>1.4</v>
      </c>
      <c r="K325" s="188">
        <v>0.03</v>
      </c>
      <c r="L325" s="188">
        <v>0.09</v>
      </c>
      <c r="M325" s="188">
        <v>0</v>
      </c>
      <c r="N325" s="188">
        <v>0</v>
      </c>
      <c r="O325" s="188">
        <v>0.61</v>
      </c>
      <c r="P325" s="188">
        <v>0.72</v>
      </c>
      <c r="Q325" s="188">
        <v>0</v>
      </c>
      <c r="R325" s="188">
        <v>0.2</v>
      </c>
      <c r="S325" s="188">
        <v>0.03</v>
      </c>
      <c r="T325" s="188">
        <v>0.04</v>
      </c>
      <c r="U325" s="188">
        <v>0.09</v>
      </c>
      <c r="V325" s="188">
        <v>0.28000000000000003</v>
      </c>
      <c r="W325" s="188"/>
      <c r="X325" s="89"/>
      <c r="Y325" s="187"/>
      <c r="Z325" s="187"/>
      <c r="AA325" s="187"/>
      <c r="AB325" s="187"/>
      <c r="AC325" s="187"/>
      <c r="AD325" s="189"/>
      <c r="AE325" s="188"/>
    </row>
    <row r="326" spans="1:31" ht="21.25" customHeight="1" x14ac:dyDescent="0.15">
      <c r="A326" s="10" t="s">
        <v>352</v>
      </c>
      <c r="B326" s="185" t="s">
        <v>849</v>
      </c>
      <c r="C326" s="186">
        <v>30</v>
      </c>
      <c r="D326" s="185" t="s">
        <v>823</v>
      </c>
      <c r="E326" s="89">
        <v>76</v>
      </c>
      <c r="F326" s="187">
        <v>22.4</v>
      </c>
      <c r="G326" s="188">
        <v>0.05</v>
      </c>
      <c r="H326" s="188">
        <v>0.37</v>
      </c>
      <c r="I326" s="188">
        <v>0.42</v>
      </c>
      <c r="J326" s="188">
        <v>1.51</v>
      </c>
      <c r="K326" s="188">
        <v>0.01</v>
      </c>
      <c r="L326" s="188">
        <v>0.1</v>
      </c>
      <c r="M326" s="188">
        <v>0</v>
      </c>
      <c r="N326" s="188">
        <v>0.01</v>
      </c>
      <c r="O326" s="188">
        <v>1.45</v>
      </c>
      <c r="P326" s="188">
        <v>1.28</v>
      </c>
      <c r="Q326" s="188">
        <v>0.04</v>
      </c>
      <c r="R326" s="188">
        <v>0.77</v>
      </c>
      <c r="S326" s="188">
        <v>0.01</v>
      </c>
      <c r="T326" s="188">
        <v>0</v>
      </c>
      <c r="U326" s="188">
        <v>0.01</v>
      </c>
      <c r="V326" s="188">
        <v>0</v>
      </c>
      <c r="W326" s="188"/>
      <c r="X326" s="89"/>
      <c r="Y326" s="187"/>
      <c r="Z326" s="187"/>
      <c r="AA326" s="187"/>
      <c r="AB326" s="187"/>
      <c r="AC326" s="187"/>
      <c r="AD326" s="189"/>
      <c r="AE326" s="188"/>
    </row>
    <row r="327" spans="1:31" ht="21.25" customHeight="1" x14ac:dyDescent="0.15">
      <c r="A327" s="10" t="s">
        <v>647</v>
      </c>
      <c r="B327" s="185" t="s">
        <v>866</v>
      </c>
      <c r="C327" s="186">
        <v>20</v>
      </c>
      <c r="D327" s="185" t="s">
        <v>835</v>
      </c>
      <c r="E327" s="89">
        <v>77</v>
      </c>
      <c r="F327" s="187">
        <v>14.4</v>
      </c>
      <c r="G327" s="188">
        <v>0.15</v>
      </c>
      <c r="H327" s="188">
        <v>0.22</v>
      </c>
      <c r="I327" s="188">
        <v>0.37</v>
      </c>
      <c r="J327" s="188">
        <v>1.42</v>
      </c>
      <c r="K327" s="188">
        <v>0.03</v>
      </c>
      <c r="L327" s="188">
        <v>0.06</v>
      </c>
      <c r="M327" s="188">
        <v>0</v>
      </c>
      <c r="N327" s="188">
        <v>0</v>
      </c>
      <c r="O327" s="188">
        <v>0.48</v>
      </c>
      <c r="P327" s="188">
        <v>0.3</v>
      </c>
      <c r="Q327" s="188">
        <v>-0.09</v>
      </c>
      <c r="R327" s="188">
        <v>0.45</v>
      </c>
      <c r="S327" s="188">
        <v>0.02</v>
      </c>
      <c r="T327" s="188">
        <v>1.18</v>
      </c>
      <c r="U327" s="188">
        <v>1.49</v>
      </c>
      <c r="V327" s="188">
        <v>0.44</v>
      </c>
      <c r="W327" s="188"/>
      <c r="X327" s="89"/>
      <c r="Y327" s="187"/>
      <c r="Z327" s="187"/>
      <c r="AA327" s="187"/>
      <c r="AB327" s="187"/>
      <c r="AC327" s="187"/>
      <c r="AD327" s="189"/>
      <c r="AE327" s="188"/>
    </row>
    <row r="328" spans="1:31" ht="21.25" customHeight="1" x14ac:dyDescent="0.15">
      <c r="A328" s="10" t="s">
        <v>624</v>
      </c>
      <c r="B328" s="185" t="s">
        <v>854</v>
      </c>
      <c r="C328" s="186">
        <v>21</v>
      </c>
      <c r="D328" s="185" t="s">
        <v>820</v>
      </c>
      <c r="E328" s="89">
        <v>79</v>
      </c>
      <c r="F328" s="187">
        <v>14.7</v>
      </c>
      <c r="G328" s="188">
        <v>0.18</v>
      </c>
      <c r="H328" s="188">
        <v>0.18</v>
      </c>
      <c r="I328" s="188">
        <v>0.37</v>
      </c>
      <c r="J328" s="188">
        <v>1.37</v>
      </c>
      <c r="K328" s="188">
        <v>0.06</v>
      </c>
      <c r="L328" s="188">
        <v>0.1</v>
      </c>
      <c r="M328" s="188">
        <v>0</v>
      </c>
      <c r="N328" s="188">
        <v>0</v>
      </c>
      <c r="O328" s="188">
        <v>0.37</v>
      </c>
      <c r="P328" s="188">
        <v>1.1399999999999999</v>
      </c>
      <c r="Q328" s="188">
        <v>-0.05</v>
      </c>
      <c r="R328" s="188">
        <v>0.37</v>
      </c>
      <c r="S328" s="188">
        <v>0.03</v>
      </c>
      <c r="T328" s="188">
        <v>4.84</v>
      </c>
      <c r="U328" s="188">
        <v>5.68</v>
      </c>
      <c r="V328" s="188">
        <v>0.46</v>
      </c>
      <c r="W328" s="188"/>
      <c r="X328" s="89"/>
      <c r="Y328" s="187"/>
      <c r="Z328" s="187"/>
      <c r="AA328" s="187"/>
      <c r="AB328" s="187"/>
      <c r="AC328" s="187"/>
      <c r="AD328" s="189"/>
      <c r="AE328" s="188"/>
    </row>
    <row r="329" spans="1:31" ht="21.25" customHeight="1" x14ac:dyDescent="0.15">
      <c r="A329" s="10" t="s">
        <v>631</v>
      </c>
      <c r="B329" s="185" t="s">
        <v>860</v>
      </c>
      <c r="C329" s="186">
        <v>23</v>
      </c>
      <c r="D329" s="185" t="s">
        <v>820</v>
      </c>
      <c r="E329" s="89">
        <v>81</v>
      </c>
      <c r="F329" s="187">
        <v>14.1</v>
      </c>
      <c r="G329" s="188">
        <v>0.13</v>
      </c>
      <c r="H329" s="188">
        <v>0.21</v>
      </c>
      <c r="I329" s="188">
        <v>0.35</v>
      </c>
      <c r="J329" s="188">
        <v>1.08</v>
      </c>
      <c r="K329" s="188">
        <v>0.02</v>
      </c>
      <c r="L329" s="188">
        <v>0.03</v>
      </c>
      <c r="M329" s="188">
        <v>0</v>
      </c>
      <c r="N329" s="188">
        <v>0</v>
      </c>
      <c r="O329" s="188">
        <v>0.59</v>
      </c>
      <c r="P329" s="188">
        <v>1.46</v>
      </c>
      <c r="Q329" s="188">
        <v>0</v>
      </c>
      <c r="R329" s="188">
        <v>0.4</v>
      </c>
      <c r="S329" s="188">
        <v>0.02</v>
      </c>
      <c r="T329" s="188">
        <v>4.6900000000000004</v>
      </c>
      <c r="U329" s="188">
        <v>4.5199999999999996</v>
      </c>
      <c r="V329" s="188">
        <v>0.51</v>
      </c>
      <c r="W329" s="188"/>
      <c r="X329" s="89"/>
      <c r="Y329" s="187"/>
      <c r="Z329" s="187"/>
      <c r="AA329" s="187"/>
      <c r="AB329" s="187"/>
      <c r="AC329" s="187"/>
      <c r="AD329" s="189"/>
      <c r="AE329" s="188"/>
    </row>
    <row r="330" spans="1:31" ht="21.25" customHeight="1" x14ac:dyDescent="0.15">
      <c r="A330" s="10" t="s">
        <v>598</v>
      </c>
      <c r="B330" s="185" t="s">
        <v>864</v>
      </c>
      <c r="C330" s="186">
        <v>28</v>
      </c>
      <c r="D330" s="185" t="s">
        <v>844</v>
      </c>
      <c r="E330" s="89">
        <v>84</v>
      </c>
      <c r="F330" s="187">
        <v>15</v>
      </c>
      <c r="G330" s="188">
        <v>0.17</v>
      </c>
      <c r="H330" s="188">
        <v>0.17</v>
      </c>
      <c r="I330" s="188">
        <v>0.33</v>
      </c>
      <c r="J330" s="188">
        <v>1.54</v>
      </c>
      <c r="K330" s="188">
        <v>0</v>
      </c>
      <c r="L330" s="188">
        <v>0</v>
      </c>
      <c r="M330" s="188">
        <v>0.02</v>
      </c>
      <c r="N330" s="188">
        <v>0.04</v>
      </c>
      <c r="O330" s="188">
        <v>0.47</v>
      </c>
      <c r="P330" s="188">
        <v>0.91</v>
      </c>
      <c r="Q330" s="188">
        <v>-0.12</v>
      </c>
      <c r="R330" s="188">
        <v>0.39</v>
      </c>
      <c r="S330" s="188">
        <v>0.02</v>
      </c>
      <c r="T330" s="188">
        <v>0.57999999999999996</v>
      </c>
      <c r="U330" s="188">
        <v>0.69</v>
      </c>
      <c r="V330" s="188">
        <v>0.46</v>
      </c>
      <c r="W330" s="188"/>
      <c r="X330" s="89"/>
      <c r="Y330" s="187"/>
      <c r="Z330" s="187"/>
      <c r="AA330" s="187"/>
      <c r="AB330" s="187"/>
      <c r="AC330" s="187"/>
      <c r="AD330" s="189"/>
      <c r="AE330" s="188"/>
    </row>
    <row r="331" spans="1:31" ht="21.25" customHeight="1" x14ac:dyDescent="0.15">
      <c r="A331" s="10" t="s">
        <v>289</v>
      </c>
      <c r="B331" s="185" t="s">
        <v>853</v>
      </c>
      <c r="C331" s="186">
        <v>29</v>
      </c>
      <c r="D331" s="185" t="s">
        <v>823</v>
      </c>
      <c r="E331" s="89">
        <v>84</v>
      </c>
      <c r="F331" s="187">
        <v>24.4</v>
      </c>
      <c r="G331" s="188">
        <v>0.08</v>
      </c>
      <c r="H331" s="188">
        <v>0.31</v>
      </c>
      <c r="I331" s="188">
        <v>0.39</v>
      </c>
      <c r="J331" s="188">
        <v>1.63</v>
      </c>
      <c r="K331" s="188">
        <v>0.01</v>
      </c>
      <c r="L331" s="188">
        <v>0.05</v>
      </c>
      <c r="M331" s="188">
        <v>0</v>
      </c>
      <c r="N331" s="188">
        <v>0.01</v>
      </c>
      <c r="O331" s="188">
        <v>1.68</v>
      </c>
      <c r="P331" s="188">
        <v>0.46</v>
      </c>
      <c r="Q331" s="188">
        <v>0.02</v>
      </c>
      <c r="R331" s="188">
        <v>0.39</v>
      </c>
      <c r="S331" s="188">
        <v>0.01</v>
      </c>
      <c r="T331" s="188">
        <v>0</v>
      </c>
      <c r="U331" s="188">
        <v>0</v>
      </c>
      <c r="V331" s="188">
        <v>0</v>
      </c>
      <c r="W331" s="188"/>
      <c r="X331" s="89"/>
      <c r="Y331" s="188"/>
      <c r="Z331" s="188"/>
      <c r="AA331" s="188"/>
      <c r="AB331" s="188"/>
      <c r="AC331" s="187"/>
      <c r="AD331" s="189"/>
      <c r="AE331" s="188"/>
    </row>
    <row r="332" spans="1:31" ht="21.25" customHeight="1" x14ac:dyDescent="0.15">
      <c r="A332" s="10" t="s">
        <v>633</v>
      </c>
      <c r="B332" s="185" t="s">
        <v>833</v>
      </c>
      <c r="C332" s="186">
        <v>34</v>
      </c>
      <c r="D332" s="185" t="s">
        <v>820</v>
      </c>
      <c r="E332" s="89">
        <v>80</v>
      </c>
      <c r="F332" s="187">
        <v>15.1</v>
      </c>
      <c r="G332" s="188">
        <v>0.11</v>
      </c>
      <c r="H332" s="188">
        <v>0.24</v>
      </c>
      <c r="I332" s="188">
        <v>0.35</v>
      </c>
      <c r="J332" s="188">
        <v>1.3</v>
      </c>
      <c r="K332" s="188">
        <v>0</v>
      </c>
      <c r="L332" s="188">
        <v>0</v>
      </c>
      <c r="M332" s="188">
        <v>0</v>
      </c>
      <c r="N332" s="188">
        <v>0.01</v>
      </c>
      <c r="O332" s="188">
        <v>0.42</v>
      </c>
      <c r="P332" s="188">
        <v>1.36</v>
      </c>
      <c r="Q332" s="188">
        <v>7.0000000000000007E-2</v>
      </c>
      <c r="R332" s="188">
        <v>0.57999999999999996</v>
      </c>
      <c r="S332" s="188">
        <v>0.02</v>
      </c>
      <c r="T332" s="188">
        <v>4.75</v>
      </c>
      <c r="U332" s="188">
        <v>5.36</v>
      </c>
      <c r="V332" s="188">
        <v>0.47</v>
      </c>
      <c r="W332" s="188"/>
      <c r="X332" s="89"/>
      <c r="Y332" s="187"/>
      <c r="Z332" s="187"/>
      <c r="AA332" s="187"/>
      <c r="AB332" s="187"/>
      <c r="AC332" s="187"/>
      <c r="AD332" s="189"/>
      <c r="AE332" s="188"/>
    </row>
    <row r="333" spans="1:31" ht="21.25" customHeight="1" x14ac:dyDescent="0.15">
      <c r="A333" s="10" t="s">
        <v>375</v>
      </c>
      <c r="B333" s="185" t="s">
        <v>854</v>
      </c>
      <c r="C333" s="186">
        <v>34</v>
      </c>
      <c r="D333" s="185" t="s">
        <v>823</v>
      </c>
      <c r="E333" s="89">
        <v>82</v>
      </c>
      <c r="F333" s="187">
        <v>20.8</v>
      </c>
      <c r="G333" s="188">
        <v>0.03</v>
      </c>
      <c r="H333" s="188">
        <v>0.27</v>
      </c>
      <c r="I333" s="188">
        <v>0.3</v>
      </c>
      <c r="J333" s="188">
        <v>0.88</v>
      </c>
      <c r="K333" s="188">
        <v>0.01</v>
      </c>
      <c r="L333" s="188">
        <v>0.06</v>
      </c>
      <c r="M333" s="188">
        <v>0</v>
      </c>
      <c r="N333" s="188">
        <v>0</v>
      </c>
      <c r="O333" s="188">
        <v>1.01</v>
      </c>
      <c r="P333" s="188">
        <v>0.3</v>
      </c>
      <c r="Q333" s="188">
        <v>-0.04</v>
      </c>
      <c r="R333" s="188">
        <v>0.25</v>
      </c>
      <c r="S333" s="188">
        <v>0</v>
      </c>
      <c r="T333" s="188">
        <v>0</v>
      </c>
      <c r="U333" s="188">
        <v>0</v>
      </c>
      <c r="V333" s="188">
        <v>0</v>
      </c>
      <c r="W333" s="188"/>
      <c r="X333" s="89"/>
      <c r="Y333" s="187"/>
      <c r="Z333" s="187"/>
      <c r="AA333" s="187"/>
      <c r="AB333" s="187"/>
      <c r="AC333" s="187"/>
      <c r="AD333" s="189"/>
      <c r="AE333" s="188"/>
    </row>
    <row r="334" spans="1:31" ht="21.25" customHeight="1" x14ac:dyDescent="0.15">
      <c r="A334" s="10" t="s">
        <v>303</v>
      </c>
      <c r="B334" s="185" t="s">
        <v>863</v>
      </c>
      <c r="C334" s="186">
        <v>25</v>
      </c>
      <c r="D334" s="185" t="s">
        <v>823</v>
      </c>
      <c r="E334" s="89">
        <v>80</v>
      </c>
      <c r="F334" s="187">
        <v>22.2</v>
      </c>
      <c r="G334" s="188">
        <v>0.08</v>
      </c>
      <c r="H334" s="188">
        <v>0.27</v>
      </c>
      <c r="I334" s="188">
        <v>0.35</v>
      </c>
      <c r="J334" s="188">
        <v>1.25</v>
      </c>
      <c r="K334" s="188">
        <v>0.01</v>
      </c>
      <c r="L334" s="188">
        <v>7.0000000000000007E-2</v>
      </c>
      <c r="M334" s="188">
        <v>0</v>
      </c>
      <c r="N334" s="188">
        <v>0.01</v>
      </c>
      <c r="O334" s="188">
        <v>1.86</v>
      </c>
      <c r="P334" s="188">
        <v>0.62</v>
      </c>
      <c r="Q334" s="188">
        <v>0</v>
      </c>
      <c r="R334" s="188">
        <v>0.46</v>
      </c>
      <c r="S334" s="188">
        <v>0.01</v>
      </c>
      <c r="T334" s="188">
        <v>0</v>
      </c>
      <c r="U334" s="188">
        <v>0</v>
      </c>
      <c r="V334" s="188">
        <v>0</v>
      </c>
      <c r="W334" s="188"/>
      <c r="X334" s="89"/>
      <c r="Y334" s="187"/>
      <c r="Z334" s="187"/>
      <c r="AA334" s="187"/>
      <c r="AB334" s="187"/>
      <c r="AC334" s="187"/>
      <c r="AD334" s="189"/>
      <c r="AE334" s="188"/>
    </row>
    <row r="335" spans="1:31" ht="21.25" customHeight="1" x14ac:dyDescent="0.15">
      <c r="A335" s="10" t="s">
        <v>603</v>
      </c>
      <c r="B335" s="185" t="s">
        <v>859</v>
      </c>
      <c r="C335" s="186">
        <v>27</v>
      </c>
      <c r="D335" s="185" t="s">
        <v>844</v>
      </c>
      <c r="E335" s="89">
        <v>84</v>
      </c>
      <c r="F335" s="187">
        <v>12.8</v>
      </c>
      <c r="G335" s="188">
        <v>0.2</v>
      </c>
      <c r="H335" s="188">
        <v>0.21</v>
      </c>
      <c r="I335" s="188">
        <v>0.41</v>
      </c>
      <c r="J335" s="188">
        <v>1.75</v>
      </c>
      <c r="K335" s="188">
        <v>0.04</v>
      </c>
      <c r="L335" s="188">
        <v>0.08</v>
      </c>
      <c r="M335" s="188">
        <v>0</v>
      </c>
      <c r="N335" s="188">
        <v>0</v>
      </c>
      <c r="O335" s="188">
        <v>0.56000000000000005</v>
      </c>
      <c r="P335" s="188">
        <v>1.76</v>
      </c>
      <c r="Q335" s="188">
        <v>0.03</v>
      </c>
      <c r="R335" s="188">
        <v>0.22</v>
      </c>
      <c r="S335" s="188">
        <v>0.04</v>
      </c>
      <c r="T335" s="188">
        <v>0.12</v>
      </c>
      <c r="U335" s="188">
        <v>0.16</v>
      </c>
      <c r="V335" s="188">
        <v>0.44</v>
      </c>
      <c r="W335" s="188"/>
      <c r="X335" s="89"/>
      <c r="Y335" s="187"/>
      <c r="Z335" s="187"/>
      <c r="AA335" s="187"/>
      <c r="AB335" s="187"/>
      <c r="AC335" s="187"/>
      <c r="AD335" s="189"/>
      <c r="AE335" s="188"/>
    </row>
    <row r="336" spans="1:31" ht="21.25" customHeight="1" x14ac:dyDescent="0.15">
      <c r="A336" s="10" t="s">
        <v>321</v>
      </c>
      <c r="B336" s="185" t="s">
        <v>832</v>
      </c>
      <c r="C336" s="186">
        <v>30</v>
      </c>
      <c r="D336" s="185" t="s">
        <v>823</v>
      </c>
      <c r="E336" s="89">
        <v>75</v>
      </c>
      <c r="F336" s="187">
        <v>18.7</v>
      </c>
      <c r="G336" s="188">
        <v>0.11</v>
      </c>
      <c r="H336" s="188">
        <v>0.28000000000000003</v>
      </c>
      <c r="I336" s="188">
        <v>0.39</v>
      </c>
      <c r="J336" s="188">
        <v>1.84</v>
      </c>
      <c r="K336" s="188">
        <v>0</v>
      </c>
      <c r="L336" s="188">
        <v>0.03</v>
      </c>
      <c r="M336" s="188">
        <v>0.01</v>
      </c>
      <c r="N336" s="188">
        <v>0.01</v>
      </c>
      <c r="O336" s="188">
        <v>1.77</v>
      </c>
      <c r="P336" s="188">
        <v>0.63</v>
      </c>
      <c r="Q336" s="188">
        <v>0.04</v>
      </c>
      <c r="R336" s="188">
        <v>0.42</v>
      </c>
      <c r="S336" s="188">
        <v>0.02</v>
      </c>
      <c r="T336" s="188">
        <v>0</v>
      </c>
      <c r="U336" s="188">
        <v>0</v>
      </c>
      <c r="V336" s="188">
        <v>0</v>
      </c>
      <c r="W336" s="188"/>
      <c r="X336" s="89"/>
      <c r="Y336" s="187"/>
      <c r="Z336" s="187"/>
      <c r="AA336" s="187"/>
      <c r="AB336" s="187"/>
      <c r="AC336" s="187"/>
      <c r="AD336" s="189"/>
      <c r="AE336" s="188"/>
    </row>
    <row r="337" spans="1:31" ht="21.25" customHeight="1" x14ac:dyDescent="0.15">
      <c r="A337" s="10" t="s">
        <v>663</v>
      </c>
      <c r="B337" s="185" t="s">
        <v>843</v>
      </c>
      <c r="C337" s="186">
        <v>25</v>
      </c>
      <c r="D337" s="185" t="s">
        <v>835</v>
      </c>
      <c r="E337" s="89">
        <v>81</v>
      </c>
      <c r="F337" s="187">
        <v>13.5</v>
      </c>
      <c r="G337" s="188">
        <v>0.18</v>
      </c>
      <c r="H337" s="188">
        <v>0.23</v>
      </c>
      <c r="I337" s="188">
        <v>0.41</v>
      </c>
      <c r="J337" s="188">
        <v>1.2</v>
      </c>
      <c r="K337" s="188">
        <v>0.03</v>
      </c>
      <c r="L337" s="188">
        <v>7.0000000000000007E-2</v>
      </c>
      <c r="M337" s="188">
        <v>0</v>
      </c>
      <c r="N337" s="188">
        <v>0</v>
      </c>
      <c r="O337" s="188">
        <v>0.56999999999999995</v>
      </c>
      <c r="P337" s="188">
        <v>1.53</v>
      </c>
      <c r="Q337" s="188">
        <v>0.06</v>
      </c>
      <c r="R337" s="188">
        <v>0.44</v>
      </c>
      <c r="S337" s="188">
        <v>0.03</v>
      </c>
      <c r="T337" s="188">
        <v>2.37</v>
      </c>
      <c r="U337" s="188">
        <v>1.92</v>
      </c>
      <c r="V337" s="188">
        <v>0.55000000000000004</v>
      </c>
      <c r="W337" s="188"/>
      <c r="X337" s="89"/>
      <c r="Y337" s="187"/>
      <c r="Z337" s="187"/>
      <c r="AA337" s="187"/>
      <c r="AB337" s="187"/>
      <c r="AC337" s="187"/>
      <c r="AD337" s="189"/>
      <c r="AE337" s="188"/>
    </row>
    <row r="338" spans="1:31" ht="21.25" customHeight="1" x14ac:dyDescent="0.15">
      <c r="A338" s="10" t="s">
        <v>395</v>
      </c>
      <c r="B338" s="185" t="s">
        <v>862</v>
      </c>
      <c r="C338" s="186">
        <v>30</v>
      </c>
      <c r="D338" s="185" t="s">
        <v>823</v>
      </c>
      <c r="E338" s="89">
        <v>71</v>
      </c>
      <c r="F338" s="187">
        <v>17</v>
      </c>
      <c r="G338" s="188">
        <v>0.06</v>
      </c>
      <c r="H338" s="188">
        <v>0.3</v>
      </c>
      <c r="I338" s="188">
        <v>0.36</v>
      </c>
      <c r="J338" s="188">
        <v>1.58</v>
      </c>
      <c r="K338" s="188">
        <v>0.01</v>
      </c>
      <c r="L338" s="188">
        <v>0.08</v>
      </c>
      <c r="M338" s="188">
        <v>0</v>
      </c>
      <c r="N338" s="188">
        <v>0</v>
      </c>
      <c r="O338" s="188">
        <v>0.92</v>
      </c>
      <c r="P338" s="188">
        <v>0.56999999999999995</v>
      </c>
      <c r="Q338" s="188">
        <v>-0.06</v>
      </c>
      <c r="R338" s="188">
        <v>0.34</v>
      </c>
      <c r="S338" s="188">
        <v>0.01</v>
      </c>
      <c r="T338" s="188">
        <v>0</v>
      </c>
      <c r="U338" s="188">
        <v>0</v>
      </c>
      <c r="V338" s="188">
        <v>0</v>
      </c>
      <c r="W338" s="188"/>
      <c r="X338" s="89"/>
      <c r="Y338" s="187"/>
      <c r="Z338" s="187"/>
      <c r="AA338" s="187"/>
      <c r="AB338" s="187"/>
      <c r="AC338" s="187"/>
      <c r="AD338" s="189"/>
      <c r="AE338" s="188"/>
    </row>
    <row r="339" spans="1:31" ht="21.25" customHeight="1" x14ac:dyDescent="0.15">
      <c r="A339" s="10" t="s">
        <v>645</v>
      </c>
      <c r="B339" s="185" t="s">
        <v>839</v>
      </c>
      <c r="C339" s="186">
        <v>31</v>
      </c>
      <c r="D339" s="185" t="s">
        <v>844</v>
      </c>
      <c r="E339" s="89">
        <v>77</v>
      </c>
      <c r="F339" s="187">
        <v>13.1</v>
      </c>
      <c r="G339" s="188">
        <v>0.16</v>
      </c>
      <c r="H339" s="188">
        <v>0.2</v>
      </c>
      <c r="I339" s="188">
        <v>0.36</v>
      </c>
      <c r="J339" s="188">
        <v>1.65</v>
      </c>
      <c r="K339" s="188">
        <v>0.03</v>
      </c>
      <c r="L339" s="188">
        <v>0.06</v>
      </c>
      <c r="M339" s="188">
        <v>0</v>
      </c>
      <c r="N339" s="188">
        <v>0</v>
      </c>
      <c r="O339" s="188">
        <v>0.3</v>
      </c>
      <c r="P339" s="188">
        <v>0.42</v>
      </c>
      <c r="Q339" s="188">
        <v>0.06</v>
      </c>
      <c r="R339" s="188">
        <v>0.18</v>
      </c>
      <c r="S339" s="188">
        <v>0.03</v>
      </c>
      <c r="T339" s="188">
        <v>0.02</v>
      </c>
      <c r="U339" s="188">
        <v>0.08</v>
      </c>
      <c r="V339" s="188">
        <v>0.22</v>
      </c>
      <c r="W339" s="188"/>
      <c r="X339" s="89"/>
      <c r="Y339" s="187"/>
      <c r="Z339" s="187"/>
      <c r="AA339" s="187"/>
      <c r="AB339" s="187"/>
      <c r="AC339" s="187"/>
      <c r="AD339" s="189"/>
      <c r="AE339" s="188"/>
    </row>
    <row r="340" spans="1:31" ht="21.25" customHeight="1" x14ac:dyDescent="0.15">
      <c r="A340" s="10" t="s">
        <v>658</v>
      </c>
      <c r="B340" s="185" t="s">
        <v>867</v>
      </c>
      <c r="C340" s="186">
        <v>33</v>
      </c>
      <c r="D340" s="185" t="s">
        <v>820</v>
      </c>
      <c r="E340" s="89">
        <v>78</v>
      </c>
      <c r="F340" s="187">
        <v>13</v>
      </c>
      <c r="G340" s="188">
        <v>0.11</v>
      </c>
      <c r="H340" s="188">
        <v>0.26</v>
      </c>
      <c r="I340" s="188">
        <v>0.37</v>
      </c>
      <c r="J340" s="188">
        <v>1.23</v>
      </c>
      <c r="K340" s="188">
        <v>0.01</v>
      </c>
      <c r="L340" s="188">
        <v>0.04</v>
      </c>
      <c r="M340" s="188">
        <v>0</v>
      </c>
      <c r="N340" s="188">
        <v>0</v>
      </c>
      <c r="O340" s="188">
        <v>0.34</v>
      </c>
      <c r="P340" s="188">
        <v>0.6</v>
      </c>
      <c r="Q340" s="188">
        <v>-0.09</v>
      </c>
      <c r="R340" s="188">
        <v>0.56999999999999995</v>
      </c>
      <c r="S340" s="188">
        <v>0.02</v>
      </c>
      <c r="T340" s="188">
        <v>3.51</v>
      </c>
      <c r="U340" s="188">
        <v>4.4800000000000004</v>
      </c>
      <c r="V340" s="188">
        <v>0.44</v>
      </c>
      <c r="W340" s="188"/>
      <c r="X340" s="89"/>
      <c r="Y340" s="187"/>
      <c r="Z340" s="187"/>
      <c r="AA340" s="187"/>
      <c r="AB340" s="187"/>
      <c r="AC340" s="187"/>
      <c r="AD340" s="189"/>
      <c r="AE340" s="188"/>
    </row>
    <row r="341" spans="1:31" ht="21.25" customHeight="1" x14ac:dyDescent="0.15">
      <c r="A341" s="10" t="s">
        <v>685</v>
      </c>
      <c r="B341" s="185" t="s">
        <v>864</v>
      </c>
      <c r="C341" s="186">
        <v>22</v>
      </c>
      <c r="D341" s="185" t="s">
        <v>821</v>
      </c>
      <c r="E341" s="89">
        <v>66</v>
      </c>
      <c r="F341" s="187">
        <v>14.6</v>
      </c>
      <c r="G341" s="188">
        <v>0.15</v>
      </c>
      <c r="H341" s="188">
        <v>0.19</v>
      </c>
      <c r="I341" s="188">
        <v>0.34</v>
      </c>
      <c r="J341" s="188">
        <v>1.42</v>
      </c>
      <c r="K341" s="188">
        <v>0</v>
      </c>
      <c r="L341" s="188">
        <v>0.01</v>
      </c>
      <c r="M341" s="188">
        <v>0</v>
      </c>
      <c r="N341" s="188">
        <v>0.02</v>
      </c>
      <c r="O341" s="188">
        <v>0.62</v>
      </c>
      <c r="P341" s="188">
        <v>1.1100000000000001</v>
      </c>
      <c r="Q341" s="188">
        <v>-0.16</v>
      </c>
      <c r="R341" s="188">
        <v>0.17</v>
      </c>
      <c r="S341" s="188">
        <v>0.02</v>
      </c>
      <c r="T341" s="188">
        <v>0.11</v>
      </c>
      <c r="U341" s="188">
        <v>0.2</v>
      </c>
      <c r="V341" s="188">
        <v>0.35</v>
      </c>
      <c r="W341" s="188"/>
      <c r="X341" s="89"/>
      <c r="Y341" s="187"/>
      <c r="Z341" s="187"/>
      <c r="AA341" s="187"/>
      <c r="AB341" s="187"/>
      <c r="AC341" s="187"/>
      <c r="AD341" s="189"/>
      <c r="AE341" s="188"/>
    </row>
    <row r="342" spans="1:31" ht="21.25" customHeight="1" x14ac:dyDescent="0.15">
      <c r="A342" s="10" t="s">
        <v>676</v>
      </c>
      <c r="B342" s="185" t="s">
        <v>837</v>
      </c>
      <c r="C342" s="186">
        <v>24</v>
      </c>
      <c r="D342" s="185" t="s">
        <v>835</v>
      </c>
      <c r="E342" s="89">
        <v>81</v>
      </c>
      <c r="F342" s="187">
        <v>13.8</v>
      </c>
      <c r="G342" s="188">
        <v>0.16</v>
      </c>
      <c r="H342" s="188">
        <v>0.2</v>
      </c>
      <c r="I342" s="188">
        <v>0.36</v>
      </c>
      <c r="J342" s="188">
        <v>0.96</v>
      </c>
      <c r="K342" s="188">
        <v>0</v>
      </c>
      <c r="L342" s="188">
        <v>0.01</v>
      </c>
      <c r="M342" s="188">
        <v>0</v>
      </c>
      <c r="N342" s="188">
        <v>0</v>
      </c>
      <c r="O342" s="188">
        <v>0.55000000000000004</v>
      </c>
      <c r="P342" s="188">
        <v>0.72</v>
      </c>
      <c r="Q342" s="188">
        <v>-0.03</v>
      </c>
      <c r="R342" s="188">
        <v>0.27</v>
      </c>
      <c r="S342" s="188">
        <v>0.02</v>
      </c>
      <c r="T342" s="188">
        <v>1.0900000000000001</v>
      </c>
      <c r="U342" s="188">
        <v>1.28</v>
      </c>
      <c r="V342" s="188">
        <v>0.46</v>
      </c>
      <c r="W342" s="188"/>
      <c r="X342" s="89"/>
      <c r="Y342" s="187"/>
      <c r="Z342" s="187"/>
      <c r="AA342" s="187"/>
      <c r="AB342" s="187"/>
      <c r="AC342" s="187"/>
      <c r="AD342" s="189"/>
      <c r="AE342" s="188"/>
    </row>
    <row r="343" spans="1:31" ht="21.25" customHeight="1" x14ac:dyDescent="0.15">
      <c r="A343" s="10" t="s">
        <v>674</v>
      </c>
      <c r="B343" s="185" t="s">
        <v>865</v>
      </c>
      <c r="C343" s="186">
        <v>24</v>
      </c>
      <c r="D343" s="185" t="s">
        <v>842</v>
      </c>
      <c r="E343" s="89">
        <v>79</v>
      </c>
      <c r="F343" s="187">
        <v>12.1</v>
      </c>
      <c r="G343" s="188">
        <v>0.14000000000000001</v>
      </c>
      <c r="H343" s="188">
        <v>0.21</v>
      </c>
      <c r="I343" s="188">
        <v>0.35</v>
      </c>
      <c r="J343" s="188">
        <v>1.1000000000000001</v>
      </c>
      <c r="K343" s="188">
        <v>0</v>
      </c>
      <c r="L343" s="188">
        <v>0</v>
      </c>
      <c r="M343" s="188">
        <v>0</v>
      </c>
      <c r="N343" s="188">
        <v>0</v>
      </c>
      <c r="O343" s="188">
        <v>0.45</v>
      </c>
      <c r="P343" s="188">
        <v>1.07</v>
      </c>
      <c r="Q343" s="188">
        <v>7.0000000000000007E-2</v>
      </c>
      <c r="R343" s="188">
        <v>0.33</v>
      </c>
      <c r="S343" s="188">
        <v>0.02</v>
      </c>
      <c r="T343" s="188">
        <v>3.23</v>
      </c>
      <c r="U343" s="188">
        <v>3.93</v>
      </c>
      <c r="V343" s="188">
        <v>0.45</v>
      </c>
      <c r="W343" s="188"/>
      <c r="X343" s="89"/>
      <c r="Y343" s="187"/>
      <c r="Z343" s="187"/>
      <c r="AA343" s="187"/>
      <c r="AB343" s="187"/>
      <c r="AC343" s="187"/>
      <c r="AD343" s="189"/>
      <c r="AE343" s="188"/>
    </row>
    <row r="344" spans="1:31" ht="21.25" customHeight="1" x14ac:dyDescent="0.15">
      <c r="A344" s="10" t="s">
        <v>628</v>
      </c>
      <c r="B344" s="185" t="s">
        <v>846</v>
      </c>
      <c r="C344" s="186">
        <v>30</v>
      </c>
      <c r="D344" s="185" t="s">
        <v>820</v>
      </c>
      <c r="E344" s="89">
        <v>82</v>
      </c>
      <c r="F344" s="187">
        <v>15.4</v>
      </c>
      <c r="G344" s="188">
        <v>0.13</v>
      </c>
      <c r="H344" s="188">
        <v>0.2</v>
      </c>
      <c r="I344" s="188">
        <v>0.34</v>
      </c>
      <c r="J344" s="188">
        <v>1.04</v>
      </c>
      <c r="K344" s="188">
        <v>0</v>
      </c>
      <c r="L344" s="188">
        <v>0</v>
      </c>
      <c r="M344" s="188">
        <v>0.02</v>
      </c>
      <c r="N344" s="188">
        <v>0.03</v>
      </c>
      <c r="O344" s="188">
        <v>0.69</v>
      </c>
      <c r="P344" s="188">
        <v>1.27</v>
      </c>
      <c r="Q344" s="188">
        <v>0.01</v>
      </c>
      <c r="R344" s="188">
        <v>0.25</v>
      </c>
      <c r="S344" s="188">
        <v>0.02</v>
      </c>
      <c r="T344" s="188">
        <v>6.88</v>
      </c>
      <c r="U344" s="188">
        <v>5.91</v>
      </c>
      <c r="V344" s="188">
        <v>0.54</v>
      </c>
      <c r="W344" s="188"/>
      <c r="X344" s="89"/>
      <c r="Y344" s="187"/>
      <c r="Z344" s="187"/>
      <c r="AA344" s="187"/>
      <c r="AB344" s="187"/>
      <c r="AC344" s="187"/>
      <c r="AD344" s="189"/>
      <c r="AE344" s="188"/>
    </row>
    <row r="345" spans="1:31" ht="21.25" customHeight="1" x14ac:dyDescent="0.15">
      <c r="A345" s="10" t="s">
        <v>643</v>
      </c>
      <c r="B345" s="185" t="s">
        <v>853</v>
      </c>
      <c r="C345" s="186">
        <v>29</v>
      </c>
      <c r="D345" s="185" t="s">
        <v>822</v>
      </c>
      <c r="E345" s="89">
        <v>78</v>
      </c>
      <c r="F345" s="187">
        <v>13.6</v>
      </c>
      <c r="G345" s="188">
        <v>0.2</v>
      </c>
      <c r="H345" s="188">
        <v>0.17</v>
      </c>
      <c r="I345" s="188">
        <v>0.37</v>
      </c>
      <c r="J345" s="188">
        <v>1.41</v>
      </c>
      <c r="K345" s="188">
        <v>0</v>
      </c>
      <c r="L345" s="188">
        <v>0</v>
      </c>
      <c r="M345" s="188">
        <v>0.01</v>
      </c>
      <c r="N345" s="188">
        <v>0.02</v>
      </c>
      <c r="O345" s="188">
        <v>0.76</v>
      </c>
      <c r="P345" s="188">
        <v>3.1</v>
      </c>
      <c r="Q345" s="188">
        <v>0.03</v>
      </c>
      <c r="R345" s="188">
        <v>1.0900000000000001</v>
      </c>
      <c r="S345" s="188">
        <v>0.03</v>
      </c>
      <c r="T345" s="188">
        <v>7.0000000000000007E-2</v>
      </c>
      <c r="U345" s="188">
        <v>0.17</v>
      </c>
      <c r="V345" s="188">
        <v>0.28999999999999998</v>
      </c>
      <c r="W345" s="188"/>
      <c r="X345" s="89"/>
      <c r="Y345" s="187"/>
      <c r="Z345" s="187"/>
      <c r="AA345" s="187"/>
      <c r="AB345" s="187"/>
      <c r="AC345" s="187"/>
      <c r="AD345" s="189"/>
      <c r="AE345" s="188"/>
    </row>
    <row r="346" spans="1:31" ht="21.25" customHeight="1" x14ac:dyDescent="0.15">
      <c r="A346" s="10" t="s">
        <v>380</v>
      </c>
      <c r="B346" s="185" t="s">
        <v>845</v>
      </c>
      <c r="C346" s="186">
        <v>36</v>
      </c>
      <c r="D346" s="185" t="s">
        <v>823</v>
      </c>
      <c r="E346" s="89">
        <v>75</v>
      </c>
      <c r="F346" s="187">
        <v>22.9</v>
      </c>
      <c r="G346" s="188">
        <v>7.0000000000000007E-2</v>
      </c>
      <c r="H346" s="188">
        <v>0.28000000000000003</v>
      </c>
      <c r="I346" s="188">
        <v>0.35</v>
      </c>
      <c r="J346" s="188">
        <v>1.32</v>
      </c>
      <c r="K346" s="188">
        <v>0.01</v>
      </c>
      <c r="L346" s="188">
        <v>0.06</v>
      </c>
      <c r="M346" s="188">
        <v>0</v>
      </c>
      <c r="N346" s="188">
        <v>0</v>
      </c>
      <c r="O346" s="188">
        <v>1.22</v>
      </c>
      <c r="P346" s="188">
        <v>0.78</v>
      </c>
      <c r="Q346" s="188">
        <v>0.02</v>
      </c>
      <c r="R346" s="188">
        <v>0.54</v>
      </c>
      <c r="S346" s="188">
        <v>0.01</v>
      </c>
      <c r="T346" s="188">
        <v>0</v>
      </c>
      <c r="U346" s="188">
        <v>0</v>
      </c>
      <c r="V346" s="188">
        <v>0</v>
      </c>
      <c r="W346" s="188"/>
      <c r="X346" s="89"/>
      <c r="Y346" s="188"/>
      <c r="Z346" s="188"/>
      <c r="AA346" s="188"/>
      <c r="AB346" s="188"/>
      <c r="AC346" s="187"/>
      <c r="AD346" s="189"/>
      <c r="AE346" s="188"/>
    </row>
    <row r="347" spans="1:31" ht="21.25" customHeight="1" x14ac:dyDescent="0.15">
      <c r="A347" s="10" t="s">
        <v>376</v>
      </c>
      <c r="B347" s="185" t="s">
        <v>864</v>
      </c>
      <c r="C347" s="186">
        <v>21</v>
      </c>
      <c r="D347" s="185" t="s">
        <v>823</v>
      </c>
      <c r="E347" s="89">
        <v>79</v>
      </c>
      <c r="F347" s="187">
        <v>19.399999999999999</v>
      </c>
      <c r="G347" s="188">
        <v>7.0000000000000007E-2</v>
      </c>
      <c r="H347" s="188">
        <v>0.24</v>
      </c>
      <c r="I347" s="188">
        <v>0.31</v>
      </c>
      <c r="J347" s="188">
        <v>0.92</v>
      </c>
      <c r="K347" s="188">
        <v>0</v>
      </c>
      <c r="L347" s="188">
        <v>0.05</v>
      </c>
      <c r="M347" s="188">
        <v>0</v>
      </c>
      <c r="N347" s="188">
        <v>0</v>
      </c>
      <c r="O347" s="188">
        <v>1.19</v>
      </c>
      <c r="P347" s="188">
        <v>0.73</v>
      </c>
      <c r="Q347" s="188">
        <v>-0.16</v>
      </c>
      <c r="R347" s="188">
        <v>0.37</v>
      </c>
      <c r="S347" s="188">
        <v>0.01</v>
      </c>
      <c r="T347" s="188">
        <v>0</v>
      </c>
      <c r="U347" s="188">
        <v>0</v>
      </c>
      <c r="V347" s="188">
        <v>0</v>
      </c>
      <c r="W347" s="188"/>
      <c r="X347" s="89"/>
      <c r="Y347" s="187"/>
      <c r="Z347" s="187"/>
      <c r="AA347" s="187"/>
      <c r="AB347" s="187"/>
      <c r="AC347" s="187"/>
      <c r="AD347" s="189"/>
      <c r="AE347" s="188"/>
    </row>
    <row r="348" spans="1:31" ht="21.25" customHeight="1" x14ac:dyDescent="0.15">
      <c r="A348" s="10" t="s">
        <v>602</v>
      </c>
      <c r="B348" s="185" t="s">
        <v>861</v>
      </c>
      <c r="C348" s="186">
        <v>26</v>
      </c>
      <c r="D348" s="185" t="s">
        <v>820</v>
      </c>
      <c r="E348" s="89">
        <v>82</v>
      </c>
      <c r="F348" s="187">
        <v>15.6</v>
      </c>
      <c r="G348" s="188">
        <v>0.13</v>
      </c>
      <c r="H348" s="188">
        <v>0.21</v>
      </c>
      <c r="I348" s="188">
        <v>0.34</v>
      </c>
      <c r="J348" s="188">
        <v>1.36</v>
      </c>
      <c r="K348" s="188">
        <v>0</v>
      </c>
      <c r="L348" s="188">
        <v>0.01</v>
      </c>
      <c r="M348" s="188">
        <v>0</v>
      </c>
      <c r="N348" s="188">
        <v>0</v>
      </c>
      <c r="O348" s="188">
        <v>0.76</v>
      </c>
      <c r="P348" s="188">
        <v>0.7</v>
      </c>
      <c r="Q348" s="188">
        <v>-0.03</v>
      </c>
      <c r="R348" s="188">
        <v>0.42</v>
      </c>
      <c r="S348" s="188">
        <v>0.02</v>
      </c>
      <c r="T348" s="188">
        <v>7.22</v>
      </c>
      <c r="U348" s="188">
        <v>5.36</v>
      </c>
      <c r="V348" s="188">
        <v>0.56999999999999995</v>
      </c>
      <c r="W348" s="188"/>
      <c r="X348" s="89"/>
      <c r="Y348" s="187"/>
      <c r="Z348" s="187"/>
      <c r="AA348" s="187"/>
      <c r="AB348" s="187"/>
      <c r="AC348" s="187"/>
      <c r="AD348" s="189"/>
      <c r="AE348" s="188"/>
    </row>
    <row r="349" spans="1:31" ht="21.25" customHeight="1" x14ac:dyDescent="0.15">
      <c r="A349" s="10" t="s">
        <v>330</v>
      </c>
      <c r="B349" s="185" t="s">
        <v>850</v>
      </c>
      <c r="C349" s="186">
        <v>26</v>
      </c>
      <c r="D349" s="185" t="s">
        <v>822</v>
      </c>
      <c r="E349" s="89">
        <v>77</v>
      </c>
      <c r="F349" s="187">
        <v>17.399999999999999</v>
      </c>
      <c r="G349" s="188">
        <v>0.23</v>
      </c>
      <c r="H349" s="188">
        <v>0.49</v>
      </c>
      <c r="I349" s="188">
        <v>0.72</v>
      </c>
      <c r="J349" s="188">
        <v>2.35</v>
      </c>
      <c r="K349" s="188">
        <v>0.06</v>
      </c>
      <c r="L349" s="188">
        <v>0.27</v>
      </c>
      <c r="M349" s="188">
        <v>0</v>
      </c>
      <c r="N349" s="188">
        <v>0</v>
      </c>
      <c r="O349" s="188">
        <v>0.34</v>
      </c>
      <c r="P349" s="188">
        <v>0.38</v>
      </c>
      <c r="Q349" s="188">
        <v>-7.0000000000000007E-2</v>
      </c>
      <c r="R349" s="188">
        <v>0.22</v>
      </c>
      <c r="S349" s="188">
        <v>0.03</v>
      </c>
      <c r="T349" s="188">
        <v>0.05</v>
      </c>
      <c r="U349" s="188">
        <v>0.13</v>
      </c>
      <c r="V349" s="188">
        <v>0.28999999999999998</v>
      </c>
      <c r="W349" s="188"/>
      <c r="X349" s="89"/>
      <c r="Y349" s="187"/>
      <c r="Z349" s="187"/>
      <c r="AA349" s="187"/>
      <c r="AB349" s="187"/>
      <c r="AC349" s="187"/>
      <c r="AD349" s="189"/>
      <c r="AE349" s="188"/>
    </row>
    <row r="350" spans="1:31" ht="21.25" customHeight="1" x14ac:dyDescent="0.15">
      <c r="A350" s="10" t="s">
        <v>627</v>
      </c>
      <c r="B350" s="185" t="s">
        <v>859</v>
      </c>
      <c r="C350" s="186">
        <v>30</v>
      </c>
      <c r="D350" s="185" t="s">
        <v>844</v>
      </c>
      <c r="E350" s="89">
        <v>82</v>
      </c>
      <c r="F350" s="187">
        <v>13.1</v>
      </c>
      <c r="G350" s="188">
        <v>0.18</v>
      </c>
      <c r="H350" s="188">
        <v>0.15</v>
      </c>
      <c r="I350" s="188">
        <v>0.33</v>
      </c>
      <c r="J350" s="188">
        <v>1.59</v>
      </c>
      <c r="K350" s="188">
        <v>0.01</v>
      </c>
      <c r="L350" s="188">
        <v>0.01</v>
      </c>
      <c r="M350" s="188">
        <v>0</v>
      </c>
      <c r="N350" s="188">
        <v>0</v>
      </c>
      <c r="O350" s="188">
        <v>0.33</v>
      </c>
      <c r="P350" s="188">
        <v>1.01</v>
      </c>
      <c r="Q350" s="188">
        <v>0.03</v>
      </c>
      <c r="R350" s="188">
        <v>0.3</v>
      </c>
      <c r="S350" s="188">
        <v>0.03</v>
      </c>
      <c r="T350" s="188">
        <v>0.17</v>
      </c>
      <c r="U350" s="188">
        <v>0.23</v>
      </c>
      <c r="V350" s="188">
        <v>0.43</v>
      </c>
      <c r="W350" s="188"/>
      <c r="X350" s="89"/>
      <c r="Y350" s="187"/>
      <c r="Z350" s="187"/>
      <c r="AA350" s="187"/>
      <c r="AB350" s="187"/>
      <c r="AC350" s="187"/>
      <c r="AD350" s="189"/>
      <c r="AE350" s="188"/>
    </row>
    <row r="351" spans="1:31" ht="21.25" customHeight="1" x14ac:dyDescent="0.15">
      <c r="A351" s="10" t="s">
        <v>616</v>
      </c>
      <c r="B351" s="185" t="s">
        <v>838</v>
      </c>
      <c r="C351" s="186">
        <v>33</v>
      </c>
      <c r="D351" s="185" t="s">
        <v>848</v>
      </c>
      <c r="E351" s="89">
        <v>82</v>
      </c>
      <c r="F351" s="187">
        <v>14</v>
      </c>
      <c r="G351" s="188">
        <v>0.14000000000000001</v>
      </c>
      <c r="H351" s="188">
        <v>0.21</v>
      </c>
      <c r="I351" s="188">
        <v>0.35</v>
      </c>
      <c r="J351" s="188">
        <v>1.85</v>
      </c>
      <c r="K351" s="188">
        <v>0.02</v>
      </c>
      <c r="L351" s="188">
        <v>0.05</v>
      </c>
      <c r="M351" s="188">
        <v>0.01</v>
      </c>
      <c r="N351" s="188">
        <v>0.01</v>
      </c>
      <c r="O351" s="188">
        <v>0.33</v>
      </c>
      <c r="P351" s="188">
        <v>1</v>
      </c>
      <c r="Q351" s="188">
        <v>0.01</v>
      </c>
      <c r="R351" s="188">
        <v>0.41</v>
      </c>
      <c r="S351" s="188">
        <v>0.02</v>
      </c>
      <c r="T351" s="188">
        <v>3.37</v>
      </c>
      <c r="U351" s="188">
        <v>3.81</v>
      </c>
      <c r="V351" s="188">
        <v>0.47</v>
      </c>
      <c r="W351" s="188"/>
      <c r="X351" s="89"/>
      <c r="Y351" s="187"/>
      <c r="Z351" s="187"/>
      <c r="AA351" s="187"/>
      <c r="AB351" s="187"/>
      <c r="AC351" s="187"/>
      <c r="AD351" s="189"/>
      <c r="AE351" s="188"/>
    </row>
    <row r="352" spans="1:31" ht="21.25" customHeight="1" x14ac:dyDescent="0.15">
      <c r="A352" s="10" t="s">
        <v>649</v>
      </c>
      <c r="B352" s="185" t="s">
        <v>833</v>
      </c>
      <c r="C352" s="186">
        <v>31</v>
      </c>
      <c r="D352" s="185" t="s">
        <v>844</v>
      </c>
      <c r="E352" s="89">
        <v>82</v>
      </c>
      <c r="F352" s="187">
        <v>14.3</v>
      </c>
      <c r="G352" s="188">
        <v>0.21</v>
      </c>
      <c r="H352" s="188">
        <v>0.21</v>
      </c>
      <c r="I352" s="188">
        <v>0.42</v>
      </c>
      <c r="J352" s="188">
        <v>1.61</v>
      </c>
      <c r="K352" s="188">
        <v>0</v>
      </c>
      <c r="L352" s="188">
        <v>0</v>
      </c>
      <c r="M352" s="188">
        <v>0.02</v>
      </c>
      <c r="N352" s="188">
        <v>0.03</v>
      </c>
      <c r="O352" s="188">
        <v>0.28999999999999998</v>
      </c>
      <c r="P352" s="188">
        <v>0.48</v>
      </c>
      <c r="Q352" s="188">
        <v>7.0000000000000007E-2</v>
      </c>
      <c r="R352" s="188">
        <v>0.2</v>
      </c>
      <c r="S352" s="188">
        <v>0.04</v>
      </c>
      <c r="T352" s="188">
        <v>0.03</v>
      </c>
      <c r="U352" s="188">
        <v>0.11</v>
      </c>
      <c r="V352" s="188">
        <v>0.19</v>
      </c>
      <c r="W352" s="188"/>
      <c r="X352" s="89"/>
      <c r="Y352" s="187"/>
      <c r="Z352" s="187"/>
      <c r="AA352" s="187"/>
      <c r="AB352" s="187"/>
      <c r="AC352" s="187"/>
      <c r="AD352" s="189"/>
      <c r="AE352" s="188"/>
    </row>
    <row r="353" spans="1:31" ht="21.25" customHeight="1" x14ac:dyDescent="0.15">
      <c r="A353" s="10" t="s">
        <v>654</v>
      </c>
      <c r="B353" s="185" t="s">
        <v>851</v>
      </c>
      <c r="C353" s="186">
        <v>28</v>
      </c>
      <c r="D353" s="185" t="s">
        <v>822</v>
      </c>
      <c r="E353" s="89">
        <v>77</v>
      </c>
      <c r="F353" s="187">
        <v>11.6</v>
      </c>
      <c r="G353" s="188">
        <v>0.16</v>
      </c>
      <c r="H353" s="188">
        <v>0.18</v>
      </c>
      <c r="I353" s="188">
        <v>0.34</v>
      </c>
      <c r="J353" s="188">
        <v>1.28</v>
      </c>
      <c r="K353" s="188">
        <v>0.01</v>
      </c>
      <c r="L353" s="188">
        <v>0.01</v>
      </c>
      <c r="M353" s="188">
        <v>0</v>
      </c>
      <c r="N353" s="188">
        <v>0</v>
      </c>
      <c r="O353" s="188">
        <v>0.59</v>
      </c>
      <c r="P353" s="188">
        <v>1.49</v>
      </c>
      <c r="Q353" s="188">
        <v>0</v>
      </c>
      <c r="R353" s="188">
        <v>0.2</v>
      </c>
      <c r="S353" s="188">
        <v>0.02</v>
      </c>
      <c r="T353" s="188">
        <v>0.01</v>
      </c>
      <c r="U353" s="188">
        <v>0.08</v>
      </c>
      <c r="V353" s="188">
        <v>0.12</v>
      </c>
      <c r="W353" s="188"/>
      <c r="X353" s="89"/>
      <c r="Y353" s="187"/>
      <c r="Z353" s="187"/>
      <c r="AA353" s="187"/>
      <c r="AB353" s="187"/>
      <c r="AC353" s="187"/>
      <c r="AD353" s="189"/>
      <c r="AE353" s="188"/>
    </row>
    <row r="354" spans="1:31" ht="21.25" customHeight="1" x14ac:dyDescent="0.15">
      <c r="A354" s="10" t="s">
        <v>703</v>
      </c>
      <c r="B354" s="185" t="s">
        <v>850</v>
      </c>
      <c r="C354" s="186">
        <v>21</v>
      </c>
      <c r="D354" s="185" t="s">
        <v>842</v>
      </c>
      <c r="E354" s="89">
        <v>71</v>
      </c>
      <c r="F354" s="187">
        <v>12.7</v>
      </c>
      <c r="G354" s="188">
        <v>0.13</v>
      </c>
      <c r="H354" s="188">
        <v>0.3</v>
      </c>
      <c r="I354" s="188">
        <v>0.42</v>
      </c>
      <c r="J354" s="188">
        <v>1.29</v>
      </c>
      <c r="K354" s="188">
        <v>0.03</v>
      </c>
      <c r="L354" s="188">
        <v>0.08</v>
      </c>
      <c r="M354" s="188">
        <v>0</v>
      </c>
      <c r="N354" s="188">
        <v>0</v>
      </c>
      <c r="O354" s="188">
        <v>0.34</v>
      </c>
      <c r="P354" s="188">
        <v>0.72</v>
      </c>
      <c r="Q354" s="188">
        <v>-0.09</v>
      </c>
      <c r="R354" s="188">
        <v>0.34</v>
      </c>
      <c r="S354" s="188">
        <v>0.02</v>
      </c>
      <c r="T354" s="188">
        <v>1.86</v>
      </c>
      <c r="U354" s="188">
        <v>2.0699999999999998</v>
      </c>
      <c r="V354" s="188">
        <v>0.47</v>
      </c>
      <c r="W354" s="188"/>
      <c r="X354" s="89"/>
      <c r="Y354" s="187"/>
      <c r="Z354" s="187"/>
      <c r="AA354" s="187"/>
      <c r="AB354" s="187"/>
      <c r="AC354" s="187"/>
      <c r="AD354" s="189"/>
      <c r="AE354" s="188"/>
    </row>
    <row r="355" spans="1:31" ht="21.25" customHeight="1" x14ac:dyDescent="0.15">
      <c r="A355" s="10" t="s">
        <v>345</v>
      </c>
      <c r="B355" s="185" t="s">
        <v>834</v>
      </c>
      <c r="C355" s="186">
        <v>28</v>
      </c>
      <c r="D355" s="185" t="s">
        <v>823</v>
      </c>
      <c r="E355" s="89">
        <v>77</v>
      </c>
      <c r="F355" s="187">
        <v>17.600000000000001</v>
      </c>
      <c r="G355" s="188">
        <v>0.09</v>
      </c>
      <c r="H355" s="188">
        <v>0.28999999999999998</v>
      </c>
      <c r="I355" s="188">
        <v>0.38</v>
      </c>
      <c r="J355" s="188">
        <v>1.9</v>
      </c>
      <c r="K355" s="188">
        <v>0</v>
      </c>
      <c r="L355" s="188">
        <v>0.01</v>
      </c>
      <c r="M355" s="188">
        <v>0</v>
      </c>
      <c r="N355" s="188">
        <v>0</v>
      </c>
      <c r="O355" s="188">
        <v>1.34</v>
      </c>
      <c r="P355" s="188">
        <v>0.73</v>
      </c>
      <c r="Q355" s="188">
        <v>0.13</v>
      </c>
      <c r="R355" s="188">
        <v>0.3</v>
      </c>
      <c r="S355" s="188">
        <v>0.02</v>
      </c>
      <c r="T355" s="188">
        <v>0</v>
      </c>
      <c r="U355" s="188">
        <v>0</v>
      </c>
      <c r="V355" s="188">
        <v>0</v>
      </c>
      <c r="W355" s="188"/>
      <c r="X355" s="89"/>
      <c r="Y355" s="187"/>
      <c r="Z355" s="187"/>
      <c r="AA355" s="187"/>
      <c r="AB355" s="187"/>
      <c r="AC355" s="187"/>
      <c r="AD355" s="189"/>
      <c r="AE355" s="188"/>
    </row>
    <row r="356" spans="1:31" ht="21.25" customHeight="1" x14ac:dyDescent="0.15">
      <c r="A356" s="10" t="s">
        <v>664</v>
      </c>
      <c r="B356" s="185" t="s">
        <v>834</v>
      </c>
      <c r="C356" s="186">
        <v>29</v>
      </c>
      <c r="D356" s="185" t="s">
        <v>842</v>
      </c>
      <c r="E356" s="89">
        <v>80</v>
      </c>
      <c r="F356" s="187">
        <v>13.4</v>
      </c>
      <c r="G356" s="188">
        <v>0.14000000000000001</v>
      </c>
      <c r="H356" s="188">
        <v>0.23</v>
      </c>
      <c r="I356" s="188">
        <v>0.37</v>
      </c>
      <c r="J356" s="188">
        <v>1.1100000000000001</v>
      </c>
      <c r="K356" s="188">
        <v>0.02</v>
      </c>
      <c r="L356" s="188">
        <v>0.03</v>
      </c>
      <c r="M356" s="188">
        <v>0</v>
      </c>
      <c r="N356" s="188">
        <v>0.01</v>
      </c>
      <c r="O356" s="188">
        <v>0.55000000000000004</v>
      </c>
      <c r="P356" s="188">
        <v>0.94</v>
      </c>
      <c r="Q356" s="188">
        <v>7.0000000000000007E-2</v>
      </c>
      <c r="R356" s="188">
        <v>0.34</v>
      </c>
      <c r="S356" s="188">
        <v>0.02</v>
      </c>
      <c r="T356" s="188">
        <v>4.53</v>
      </c>
      <c r="U356" s="188">
        <v>4.63</v>
      </c>
      <c r="V356" s="188">
        <v>0.49</v>
      </c>
      <c r="W356" s="188"/>
      <c r="X356" s="89"/>
      <c r="Y356" s="187"/>
      <c r="Z356" s="187"/>
      <c r="AA356" s="187"/>
      <c r="AB356" s="187"/>
      <c r="AC356" s="187"/>
      <c r="AD356" s="189"/>
      <c r="AE356" s="188"/>
    </row>
    <row r="357" spans="1:31" ht="21.25" customHeight="1" x14ac:dyDescent="0.15">
      <c r="A357" s="10" t="s">
        <v>400</v>
      </c>
      <c r="B357" s="185" t="s">
        <v>833</v>
      </c>
      <c r="C357" s="186">
        <v>28</v>
      </c>
      <c r="D357" s="185" t="s">
        <v>823</v>
      </c>
      <c r="E357" s="89">
        <v>79</v>
      </c>
      <c r="F357" s="187">
        <v>17.399999999999999</v>
      </c>
      <c r="G357" s="188">
        <v>7.0000000000000007E-2</v>
      </c>
      <c r="H357" s="188">
        <v>0.28000000000000003</v>
      </c>
      <c r="I357" s="188">
        <v>0.35</v>
      </c>
      <c r="J357" s="188">
        <v>1.07</v>
      </c>
      <c r="K357" s="188">
        <v>0</v>
      </c>
      <c r="L357" s="188">
        <v>0.03</v>
      </c>
      <c r="M357" s="188">
        <v>0</v>
      </c>
      <c r="N357" s="188">
        <v>0</v>
      </c>
      <c r="O357" s="188">
        <v>1.06</v>
      </c>
      <c r="P357" s="188">
        <v>1.23</v>
      </c>
      <c r="Q357" s="188">
        <v>0.09</v>
      </c>
      <c r="R357" s="188">
        <v>0.83</v>
      </c>
      <c r="S357" s="188">
        <v>0.01</v>
      </c>
      <c r="T357" s="188">
        <v>0</v>
      </c>
      <c r="U357" s="188">
        <v>0</v>
      </c>
      <c r="V357" s="188">
        <v>0</v>
      </c>
      <c r="W357" s="188"/>
      <c r="X357" s="89"/>
      <c r="Y357" s="187"/>
      <c r="Z357" s="187"/>
      <c r="AA357" s="187"/>
      <c r="AB357" s="187"/>
      <c r="AC357" s="187"/>
      <c r="AD357" s="189"/>
      <c r="AE357" s="188"/>
    </row>
    <row r="358" spans="1:31" ht="21.25" customHeight="1" x14ac:dyDescent="0.15">
      <c r="A358" s="10" t="s">
        <v>683</v>
      </c>
      <c r="B358" s="185" t="s">
        <v>843</v>
      </c>
      <c r="C358" s="186">
        <v>28</v>
      </c>
      <c r="D358" s="185" t="s">
        <v>835</v>
      </c>
      <c r="E358" s="89">
        <v>82</v>
      </c>
      <c r="F358" s="187">
        <v>14</v>
      </c>
      <c r="G358" s="188">
        <v>0.14000000000000001</v>
      </c>
      <c r="H358" s="188">
        <v>0.26</v>
      </c>
      <c r="I358" s="188">
        <v>0.39</v>
      </c>
      <c r="J358" s="188">
        <v>1.2</v>
      </c>
      <c r="K358" s="188">
        <v>0.01</v>
      </c>
      <c r="L358" s="188">
        <v>0.02</v>
      </c>
      <c r="M358" s="188">
        <v>0</v>
      </c>
      <c r="N358" s="188">
        <v>0.01</v>
      </c>
      <c r="O358" s="188">
        <v>0.4</v>
      </c>
      <c r="P358" s="188">
        <v>0.99</v>
      </c>
      <c r="Q358" s="188">
        <v>0.05</v>
      </c>
      <c r="R358" s="188">
        <v>0.34</v>
      </c>
      <c r="S358" s="188">
        <v>0.02</v>
      </c>
      <c r="T358" s="188">
        <v>1.66</v>
      </c>
      <c r="U358" s="188">
        <v>1.64</v>
      </c>
      <c r="V358" s="188">
        <v>0.5</v>
      </c>
      <c r="W358" s="188"/>
      <c r="X358" s="89"/>
      <c r="Y358" s="187"/>
      <c r="Z358" s="187"/>
      <c r="AA358" s="187"/>
      <c r="AB358" s="187"/>
      <c r="AC358" s="187"/>
      <c r="AD358" s="189"/>
      <c r="AE358" s="188"/>
    </row>
    <row r="359" spans="1:31" ht="21.25" customHeight="1" x14ac:dyDescent="0.15">
      <c r="A359" s="10" t="s">
        <v>340</v>
      </c>
      <c r="B359" s="185" t="s">
        <v>836</v>
      </c>
      <c r="C359" s="186">
        <v>20</v>
      </c>
      <c r="D359" s="185" t="s">
        <v>823</v>
      </c>
      <c r="E359" s="89">
        <v>80</v>
      </c>
      <c r="F359" s="187">
        <v>19.899999999999999</v>
      </c>
      <c r="G359" s="188">
        <v>0.04</v>
      </c>
      <c r="H359" s="188">
        <v>0.24</v>
      </c>
      <c r="I359" s="188">
        <v>0.27</v>
      </c>
      <c r="J359" s="188">
        <v>1.2</v>
      </c>
      <c r="K359" s="188">
        <v>0.01</v>
      </c>
      <c r="L359" s="188">
        <v>0.03</v>
      </c>
      <c r="M359" s="188">
        <v>0</v>
      </c>
      <c r="N359" s="188">
        <v>0</v>
      </c>
      <c r="O359" s="188">
        <v>1.1299999999999999</v>
      </c>
      <c r="P359" s="188">
        <v>1.03</v>
      </c>
      <c r="Q359" s="188">
        <v>-0.04</v>
      </c>
      <c r="R359" s="188">
        <v>0.41</v>
      </c>
      <c r="S359" s="188">
        <v>0.01</v>
      </c>
      <c r="T359" s="188">
        <v>0</v>
      </c>
      <c r="U359" s="188">
        <v>0</v>
      </c>
      <c r="V359" s="188">
        <v>0</v>
      </c>
      <c r="W359" s="188"/>
      <c r="X359" s="89"/>
      <c r="Y359" s="187"/>
      <c r="Z359" s="187"/>
      <c r="AA359" s="187"/>
      <c r="AB359" s="187"/>
      <c r="AC359" s="187"/>
      <c r="AD359" s="189"/>
      <c r="AE359" s="188"/>
    </row>
    <row r="360" spans="1:31" ht="21.25" customHeight="1" x14ac:dyDescent="0.15">
      <c r="A360" s="10" t="s">
        <v>670</v>
      </c>
      <c r="B360" s="185" t="s">
        <v>841</v>
      </c>
      <c r="C360" s="186">
        <v>31</v>
      </c>
      <c r="D360" s="185" t="s">
        <v>835</v>
      </c>
      <c r="E360" s="89">
        <v>82</v>
      </c>
      <c r="F360" s="187">
        <v>12.6</v>
      </c>
      <c r="G360" s="188">
        <v>0.1</v>
      </c>
      <c r="H360" s="188">
        <v>0.22</v>
      </c>
      <c r="I360" s="188">
        <v>0.32</v>
      </c>
      <c r="J360" s="188">
        <v>1.1200000000000001</v>
      </c>
      <c r="K360" s="188">
        <v>0</v>
      </c>
      <c r="L360" s="188">
        <v>0</v>
      </c>
      <c r="M360" s="188">
        <v>0</v>
      </c>
      <c r="N360" s="188">
        <v>0</v>
      </c>
      <c r="O360" s="188">
        <v>0.38</v>
      </c>
      <c r="P360" s="188">
        <v>0.51</v>
      </c>
      <c r="Q360" s="188">
        <v>-0.01</v>
      </c>
      <c r="R360" s="188">
        <v>0.65</v>
      </c>
      <c r="S360" s="188">
        <v>0.01</v>
      </c>
      <c r="T360" s="188">
        <v>2.48</v>
      </c>
      <c r="U360" s="188">
        <v>2.42</v>
      </c>
      <c r="V360" s="188">
        <v>0.51</v>
      </c>
      <c r="W360" s="188"/>
      <c r="X360" s="89"/>
      <c r="Y360" s="187"/>
      <c r="Z360" s="187"/>
      <c r="AA360" s="187"/>
      <c r="AB360" s="187"/>
      <c r="AC360" s="187"/>
      <c r="AD360" s="189"/>
      <c r="AE360" s="188"/>
    </row>
    <row r="361" spans="1:31" ht="21.25" customHeight="1" x14ac:dyDescent="0.15">
      <c r="A361" s="10" t="s">
        <v>682</v>
      </c>
      <c r="B361" s="185" t="s">
        <v>858</v>
      </c>
      <c r="C361" s="186">
        <v>25</v>
      </c>
      <c r="D361" s="185" t="s">
        <v>835</v>
      </c>
      <c r="E361" s="89">
        <v>84</v>
      </c>
      <c r="F361" s="187">
        <v>12.2</v>
      </c>
      <c r="G361" s="188">
        <v>0.12</v>
      </c>
      <c r="H361" s="188">
        <v>0.24</v>
      </c>
      <c r="I361" s="188">
        <v>0.36</v>
      </c>
      <c r="J361" s="188">
        <v>1.04</v>
      </c>
      <c r="K361" s="188">
        <v>0</v>
      </c>
      <c r="L361" s="188">
        <v>0</v>
      </c>
      <c r="M361" s="188">
        <v>0</v>
      </c>
      <c r="N361" s="188">
        <v>0.01</v>
      </c>
      <c r="O361" s="188">
        <v>0.44</v>
      </c>
      <c r="P361" s="188">
        <v>1.88</v>
      </c>
      <c r="Q361" s="188">
        <v>0.01</v>
      </c>
      <c r="R361" s="188">
        <v>0.52</v>
      </c>
      <c r="S361" s="188">
        <v>0.02</v>
      </c>
      <c r="T361" s="188">
        <v>2.67</v>
      </c>
      <c r="U361" s="188">
        <v>3.1</v>
      </c>
      <c r="V361" s="188">
        <v>0.46</v>
      </c>
      <c r="W361" s="188"/>
      <c r="X361" s="89"/>
      <c r="Y361" s="187"/>
      <c r="Z361" s="187"/>
      <c r="AA361" s="187"/>
      <c r="AB361" s="187"/>
      <c r="AC361" s="187"/>
      <c r="AD361" s="189"/>
      <c r="AE361" s="188"/>
    </row>
    <row r="362" spans="1:31" ht="21.25" customHeight="1" x14ac:dyDescent="0.15">
      <c r="A362" s="10" t="s">
        <v>692</v>
      </c>
      <c r="B362" s="185" t="s">
        <v>840</v>
      </c>
      <c r="C362" s="186">
        <v>25</v>
      </c>
      <c r="D362" s="185" t="s">
        <v>822</v>
      </c>
      <c r="E362" s="89">
        <v>68</v>
      </c>
      <c r="F362" s="187">
        <v>13.1</v>
      </c>
      <c r="G362" s="188">
        <v>0.15</v>
      </c>
      <c r="H362" s="188">
        <v>0.28000000000000003</v>
      </c>
      <c r="I362" s="188">
        <v>0.43</v>
      </c>
      <c r="J362" s="188">
        <v>1.42</v>
      </c>
      <c r="K362" s="188">
        <v>0.01</v>
      </c>
      <c r="L362" s="188">
        <v>0.08</v>
      </c>
      <c r="M362" s="188">
        <v>0</v>
      </c>
      <c r="N362" s="188">
        <v>0</v>
      </c>
      <c r="O362" s="188">
        <v>0.41</v>
      </c>
      <c r="P362" s="188">
        <v>0.73</v>
      </c>
      <c r="Q362" s="188">
        <v>0.02</v>
      </c>
      <c r="R362" s="188">
        <v>0.21</v>
      </c>
      <c r="S362" s="188">
        <v>0.03</v>
      </c>
      <c r="T362" s="188">
        <v>0</v>
      </c>
      <c r="U362" s="188">
        <v>0.04</v>
      </c>
      <c r="V362" s="188">
        <v>0</v>
      </c>
      <c r="W362" s="188"/>
      <c r="X362" s="89"/>
      <c r="Y362" s="187"/>
      <c r="Z362" s="187"/>
      <c r="AA362" s="187"/>
      <c r="AB362" s="187"/>
      <c r="AC362" s="187"/>
      <c r="AD362" s="189"/>
      <c r="AE362" s="188"/>
    </row>
    <row r="363" spans="1:31" ht="21.25" customHeight="1" x14ac:dyDescent="0.15">
      <c r="A363" s="10" t="s">
        <v>639</v>
      </c>
      <c r="B363" s="185" t="s">
        <v>857</v>
      </c>
      <c r="C363" s="186">
        <v>31</v>
      </c>
      <c r="D363" s="185" t="s">
        <v>820</v>
      </c>
      <c r="E363" s="89">
        <v>83</v>
      </c>
      <c r="F363" s="187">
        <v>14.4</v>
      </c>
      <c r="G363" s="188">
        <v>0.12</v>
      </c>
      <c r="H363" s="188">
        <v>0.19</v>
      </c>
      <c r="I363" s="188">
        <v>0.3</v>
      </c>
      <c r="J363" s="188">
        <v>1</v>
      </c>
      <c r="K363" s="188">
        <v>0.02</v>
      </c>
      <c r="L363" s="188">
        <v>0.03</v>
      </c>
      <c r="M363" s="188">
        <v>0</v>
      </c>
      <c r="N363" s="188">
        <v>0.01</v>
      </c>
      <c r="O363" s="188">
        <v>0.6</v>
      </c>
      <c r="P363" s="188">
        <v>0.44</v>
      </c>
      <c r="Q363" s="188">
        <v>-0.04</v>
      </c>
      <c r="R363" s="188">
        <v>0.26</v>
      </c>
      <c r="S363" s="188">
        <v>0.02</v>
      </c>
      <c r="T363" s="188">
        <v>5.32</v>
      </c>
      <c r="U363" s="188">
        <v>5.92</v>
      </c>
      <c r="V363" s="188">
        <v>0.47</v>
      </c>
      <c r="W363" s="188"/>
      <c r="X363" s="89"/>
      <c r="Y363" s="187"/>
      <c r="Z363" s="187"/>
      <c r="AA363" s="187"/>
      <c r="AB363" s="187"/>
      <c r="AC363" s="187"/>
      <c r="AD363" s="189"/>
      <c r="AE363" s="188"/>
    </row>
    <row r="364" spans="1:31" ht="21.25" customHeight="1" x14ac:dyDescent="0.15">
      <c r="A364" s="10" t="s">
        <v>378</v>
      </c>
      <c r="B364" s="185" t="s">
        <v>841</v>
      </c>
      <c r="C364" s="186">
        <v>35</v>
      </c>
      <c r="D364" s="185" t="s">
        <v>823</v>
      </c>
      <c r="E364" s="89">
        <v>82</v>
      </c>
      <c r="F364" s="187">
        <v>18.5</v>
      </c>
      <c r="G364" s="188">
        <v>7.0000000000000007E-2</v>
      </c>
      <c r="H364" s="188">
        <v>0.28999999999999998</v>
      </c>
      <c r="I364" s="188">
        <v>0.36</v>
      </c>
      <c r="J364" s="188">
        <v>1.32</v>
      </c>
      <c r="K364" s="188">
        <v>0.01</v>
      </c>
      <c r="L364" s="188">
        <v>0.06</v>
      </c>
      <c r="M364" s="188">
        <v>0</v>
      </c>
      <c r="N364" s="188">
        <v>0</v>
      </c>
      <c r="O364" s="188">
        <v>1.03</v>
      </c>
      <c r="P364" s="188">
        <v>1.1100000000000001</v>
      </c>
      <c r="Q364" s="188">
        <v>0.01</v>
      </c>
      <c r="R364" s="188">
        <v>0.63</v>
      </c>
      <c r="S364" s="188">
        <v>0.01</v>
      </c>
      <c r="T364" s="188">
        <v>0</v>
      </c>
      <c r="U364" s="188">
        <v>0</v>
      </c>
      <c r="V364" s="188">
        <v>0</v>
      </c>
      <c r="W364" s="188"/>
      <c r="X364" s="89"/>
      <c r="Y364" s="187"/>
      <c r="Z364" s="187"/>
      <c r="AA364" s="187"/>
      <c r="AB364" s="187"/>
      <c r="AC364" s="187"/>
      <c r="AD364" s="189"/>
      <c r="AE364" s="188"/>
    </row>
    <row r="365" spans="1:31" ht="21.25" customHeight="1" x14ac:dyDescent="0.15">
      <c r="A365" s="10" t="s">
        <v>634</v>
      </c>
      <c r="B365" s="185" t="s">
        <v>856</v>
      </c>
      <c r="C365" s="186">
        <v>34</v>
      </c>
      <c r="D365" s="185" t="s">
        <v>844</v>
      </c>
      <c r="E365" s="89">
        <v>83</v>
      </c>
      <c r="F365" s="187">
        <v>14.3</v>
      </c>
      <c r="G365" s="188">
        <v>0.14000000000000001</v>
      </c>
      <c r="H365" s="188">
        <v>0.2</v>
      </c>
      <c r="I365" s="188">
        <v>0.34</v>
      </c>
      <c r="J365" s="188">
        <v>1.39</v>
      </c>
      <c r="K365" s="188">
        <v>0</v>
      </c>
      <c r="L365" s="188">
        <v>0</v>
      </c>
      <c r="M365" s="188">
        <v>0.01</v>
      </c>
      <c r="N365" s="188">
        <v>0.01</v>
      </c>
      <c r="O365" s="188">
        <v>0.6</v>
      </c>
      <c r="P365" s="188">
        <v>1.22</v>
      </c>
      <c r="Q365" s="188">
        <v>0.08</v>
      </c>
      <c r="R365" s="188">
        <v>0.36</v>
      </c>
      <c r="S365" s="188">
        <v>0.02</v>
      </c>
      <c r="T365" s="188">
        <v>0.44</v>
      </c>
      <c r="U365" s="188">
        <v>0.5</v>
      </c>
      <c r="V365" s="188">
        <v>0.47</v>
      </c>
      <c r="W365" s="188"/>
      <c r="X365" s="89"/>
      <c r="Y365" s="187"/>
      <c r="Z365" s="187"/>
      <c r="AA365" s="187"/>
      <c r="AB365" s="187"/>
      <c r="AC365" s="187"/>
      <c r="AD365" s="189"/>
      <c r="AE365" s="188"/>
    </row>
    <row r="366" spans="1:31" ht="21.25" customHeight="1" x14ac:dyDescent="0.15">
      <c r="A366" s="10" t="s">
        <v>346</v>
      </c>
      <c r="B366" s="185" t="s">
        <v>847</v>
      </c>
      <c r="C366" s="186">
        <v>31</v>
      </c>
      <c r="D366" s="185" t="s">
        <v>823</v>
      </c>
      <c r="E366" s="89">
        <v>77</v>
      </c>
      <c r="F366" s="187">
        <v>20.7</v>
      </c>
      <c r="G366" s="188">
        <v>0.06</v>
      </c>
      <c r="H366" s="188">
        <v>0.27</v>
      </c>
      <c r="I366" s="188">
        <v>0.33</v>
      </c>
      <c r="J366" s="188">
        <v>1.54</v>
      </c>
      <c r="K366" s="188">
        <v>0.02</v>
      </c>
      <c r="L366" s="188">
        <v>0.08</v>
      </c>
      <c r="M366" s="188">
        <v>0</v>
      </c>
      <c r="N366" s="188">
        <v>0.01</v>
      </c>
      <c r="O366" s="188">
        <v>1.4</v>
      </c>
      <c r="P366" s="188">
        <v>1.65</v>
      </c>
      <c r="Q366" s="188">
        <v>0.01</v>
      </c>
      <c r="R366" s="188">
        <v>0.55000000000000004</v>
      </c>
      <c r="S366" s="188">
        <v>0.01</v>
      </c>
      <c r="T366" s="188">
        <v>0</v>
      </c>
      <c r="U366" s="188">
        <v>0</v>
      </c>
      <c r="V366" s="188">
        <v>0</v>
      </c>
      <c r="W366" s="188"/>
      <c r="X366" s="89"/>
      <c r="Y366" s="187"/>
      <c r="Z366" s="187"/>
      <c r="AA366" s="187"/>
      <c r="AB366" s="187"/>
      <c r="AC366" s="187"/>
      <c r="AD366" s="189"/>
      <c r="AE366" s="188"/>
    </row>
    <row r="367" spans="1:31" ht="21.25" customHeight="1" x14ac:dyDescent="0.15">
      <c r="A367" s="10" t="s">
        <v>374</v>
      </c>
      <c r="B367" s="185" t="s">
        <v>837</v>
      </c>
      <c r="C367" s="186">
        <v>32</v>
      </c>
      <c r="D367" s="185" t="s">
        <v>823</v>
      </c>
      <c r="E367" s="89">
        <v>72</v>
      </c>
      <c r="F367" s="187">
        <v>22.5</v>
      </c>
      <c r="G367" s="188">
        <v>0.05</v>
      </c>
      <c r="H367" s="188">
        <v>0.28999999999999998</v>
      </c>
      <c r="I367" s="188">
        <v>0.34</v>
      </c>
      <c r="J367" s="188">
        <v>1.42</v>
      </c>
      <c r="K367" s="188">
        <v>0.01</v>
      </c>
      <c r="L367" s="188">
        <v>0.05</v>
      </c>
      <c r="M367" s="188">
        <v>0</v>
      </c>
      <c r="N367" s="188">
        <v>0</v>
      </c>
      <c r="O367" s="188">
        <v>1.56</v>
      </c>
      <c r="P367" s="188">
        <v>0.47</v>
      </c>
      <c r="Q367" s="188">
        <v>-0.02</v>
      </c>
      <c r="R367" s="188">
        <v>0.71</v>
      </c>
      <c r="S367" s="188">
        <v>0.01</v>
      </c>
      <c r="T367" s="188">
        <v>0</v>
      </c>
      <c r="U367" s="188">
        <v>0</v>
      </c>
      <c r="V367" s="188">
        <v>0</v>
      </c>
      <c r="W367" s="188"/>
      <c r="X367" s="89"/>
      <c r="Y367" s="187"/>
      <c r="Z367" s="187"/>
      <c r="AA367" s="187"/>
      <c r="AB367" s="187"/>
      <c r="AC367" s="187"/>
      <c r="AD367" s="189"/>
      <c r="AE367" s="188"/>
    </row>
    <row r="368" spans="1:31" ht="21.25" customHeight="1" x14ac:dyDescent="0.15">
      <c r="A368" s="10" t="s">
        <v>638</v>
      </c>
      <c r="B368" s="185" t="s">
        <v>847</v>
      </c>
      <c r="C368" s="186">
        <v>33</v>
      </c>
      <c r="D368" s="185" t="s">
        <v>820</v>
      </c>
      <c r="E368" s="89">
        <v>81</v>
      </c>
      <c r="F368" s="187">
        <v>15</v>
      </c>
      <c r="G368" s="188">
        <v>0.12</v>
      </c>
      <c r="H368" s="188">
        <v>0.22</v>
      </c>
      <c r="I368" s="188">
        <v>0.34</v>
      </c>
      <c r="J368" s="188">
        <v>1.1499999999999999</v>
      </c>
      <c r="K368" s="188">
        <v>0</v>
      </c>
      <c r="L368" s="188">
        <v>0</v>
      </c>
      <c r="M368" s="188">
        <v>0.01</v>
      </c>
      <c r="N368" s="188">
        <v>0.02</v>
      </c>
      <c r="O368" s="188">
        <v>0.71</v>
      </c>
      <c r="P368" s="188">
        <v>1.9</v>
      </c>
      <c r="Q368" s="188">
        <v>0.01</v>
      </c>
      <c r="R368" s="188">
        <v>0.46</v>
      </c>
      <c r="S368" s="188">
        <v>0.02</v>
      </c>
      <c r="T368" s="188">
        <v>7.49</v>
      </c>
      <c r="U368" s="188">
        <v>6.87</v>
      </c>
      <c r="V368" s="188">
        <v>0.52</v>
      </c>
      <c r="W368" s="188"/>
      <c r="X368" s="89"/>
      <c r="Y368" s="187"/>
      <c r="Z368" s="187"/>
      <c r="AA368" s="187"/>
      <c r="AB368" s="187"/>
      <c r="AC368" s="187"/>
      <c r="AD368" s="189"/>
      <c r="AE368" s="188"/>
    </row>
    <row r="369" spans="1:31" ht="21.25" customHeight="1" x14ac:dyDescent="0.15">
      <c r="A369" s="10" t="s">
        <v>341</v>
      </c>
      <c r="B369" s="185" t="s">
        <v>860</v>
      </c>
      <c r="C369" s="186">
        <v>30</v>
      </c>
      <c r="D369" s="185" t="s">
        <v>823</v>
      </c>
      <c r="E369" s="89">
        <v>84</v>
      </c>
      <c r="F369" s="187">
        <v>22.8</v>
      </c>
      <c r="G369" s="188">
        <v>0.08</v>
      </c>
      <c r="H369" s="188">
        <v>0.26</v>
      </c>
      <c r="I369" s="188">
        <v>0.34</v>
      </c>
      <c r="J369" s="188">
        <v>1.34</v>
      </c>
      <c r="K369" s="188">
        <v>0</v>
      </c>
      <c r="L369" s="188">
        <v>0.01</v>
      </c>
      <c r="M369" s="188">
        <v>0</v>
      </c>
      <c r="N369" s="188">
        <v>0.01</v>
      </c>
      <c r="O369" s="188">
        <v>1.42</v>
      </c>
      <c r="P369" s="188">
        <v>0.63</v>
      </c>
      <c r="Q369" s="188">
        <v>0</v>
      </c>
      <c r="R369" s="188">
        <v>0.46</v>
      </c>
      <c r="S369" s="188">
        <v>0.01</v>
      </c>
      <c r="T369" s="188">
        <v>0</v>
      </c>
      <c r="U369" s="188">
        <v>0</v>
      </c>
      <c r="V369" s="188">
        <v>0</v>
      </c>
      <c r="W369" s="188"/>
      <c r="X369" s="89"/>
      <c r="Y369" s="187"/>
      <c r="Z369" s="187"/>
      <c r="AA369" s="187"/>
      <c r="AB369" s="187"/>
      <c r="AC369" s="187"/>
      <c r="AD369" s="189"/>
      <c r="AE369" s="188"/>
    </row>
    <row r="370" spans="1:31" ht="21.25" customHeight="1" x14ac:dyDescent="0.15">
      <c r="A370" s="10" t="s">
        <v>699</v>
      </c>
      <c r="B370" s="185" t="s">
        <v>833</v>
      </c>
      <c r="C370" s="186">
        <v>24</v>
      </c>
      <c r="D370" s="185" t="s">
        <v>820</v>
      </c>
      <c r="E370" s="89">
        <v>68</v>
      </c>
      <c r="F370" s="187">
        <v>11.8</v>
      </c>
      <c r="G370" s="188">
        <v>0.15</v>
      </c>
      <c r="H370" s="188">
        <v>0.19</v>
      </c>
      <c r="I370" s="188">
        <v>0.34</v>
      </c>
      <c r="J370" s="188">
        <v>1.25</v>
      </c>
      <c r="K370" s="188">
        <v>0.01</v>
      </c>
      <c r="L370" s="188">
        <v>0.02</v>
      </c>
      <c r="M370" s="188">
        <v>0</v>
      </c>
      <c r="N370" s="188">
        <v>0</v>
      </c>
      <c r="O370" s="188">
        <v>0.34</v>
      </c>
      <c r="P370" s="188">
        <v>1.39</v>
      </c>
      <c r="Q370" s="188">
        <v>0.08</v>
      </c>
      <c r="R370" s="188">
        <v>0.24</v>
      </c>
      <c r="S370" s="188">
        <v>0.03</v>
      </c>
      <c r="T370" s="188">
        <v>3.11</v>
      </c>
      <c r="U370" s="188">
        <v>3.07</v>
      </c>
      <c r="V370" s="188">
        <v>0.5</v>
      </c>
      <c r="W370" s="188"/>
      <c r="X370" s="89"/>
      <c r="Y370" s="187"/>
      <c r="Z370" s="187"/>
      <c r="AA370" s="187"/>
      <c r="AB370" s="187"/>
      <c r="AC370" s="187"/>
      <c r="AD370" s="189"/>
      <c r="AE370" s="188"/>
    </row>
    <row r="371" spans="1:31" ht="21.25" customHeight="1" x14ac:dyDescent="0.15">
      <c r="A371" s="10" t="s">
        <v>368</v>
      </c>
      <c r="B371" s="185" t="s">
        <v>833</v>
      </c>
      <c r="C371" s="186">
        <v>26</v>
      </c>
      <c r="D371" s="185" t="s">
        <v>823</v>
      </c>
      <c r="E371" s="89">
        <v>79</v>
      </c>
      <c r="F371" s="187">
        <v>21.4</v>
      </c>
      <c r="G371" s="188">
        <v>7.0000000000000007E-2</v>
      </c>
      <c r="H371" s="188">
        <v>0.26</v>
      </c>
      <c r="I371" s="188">
        <v>0.34</v>
      </c>
      <c r="J371" s="188">
        <v>1.28</v>
      </c>
      <c r="K371" s="188">
        <v>0</v>
      </c>
      <c r="L371" s="188">
        <v>0</v>
      </c>
      <c r="M371" s="188">
        <v>0</v>
      </c>
      <c r="N371" s="188">
        <v>0.02</v>
      </c>
      <c r="O371" s="188">
        <v>1.31</v>
      </c>
      <c r="P371" s="188">
        <v>0.86</v>
      </c>
      <c r="Q371" s="188">
        <v>0.11</v>
      </c>
      <c r="R371" s="188">
        <v>0.53</v>
      </c>
      <c r="S371" s="188">
        <v>0.01</v>
      </c>
      <c r="T371" s="188">
        <v>0</v>
      </c>
      <c r="U371" s="188">
        <v>0</v>
      </c>
      <c r="V371" s="188">
        <v>0</v>
      </c>
      <c r="W371" s="188"/>
      <c r="X371" s="89"/>
      <c r="Y371" s="187"/>
      <c r="Z371" s="187"/>
      <c r="AA371" s="187"/>
      <c r="AB371" s="187"/>
      <c r="AC371" s="187"/>
      <c r="AD371" s="189"/>
      <c r="AE371" s="188"/>
    </row>
    <row r="372" spans="1:31" ht="21.25" customHeight="1" x14ac:dyDescent="0.15">
      <c r="A372" s="10" t="s">
        <v>706</v>
      </c>
      <c r="B372" s="185" t="s">
        <v>861</v>
      </c>
      <c r="C372" s="186">
        <v>25</v>
      </c>
      <c r="D372" s="185" t="s">
        <v>821</v>
      </c>
      <c r="E372" s="89">
        <v>75</v>
      </c>
      <c r="F372" s="187">
        <v>12.6</v>
      </c>
      <c r="G372" s="188">
        <v>0.14000000000000001</v>
      </c>
      <c r="H372" s="188">
        <v>0.16</v>
      </c>
      <c r="I372" s="188">
        <v>0.3</v>
      </c>
      <c r="J372" s="188">
        <v>1.1100000000000001</v>
      </c>
      <c r="K372" s="188">
        <v>0</v>
      </c>
      <c r="L372" s="188">
        <v>0.01</v>
      </c>
      <c r="M372" s="188">
        <v>0</v>
      </c>
      <c r="N372" s="188">
        <v>0</v>
      </c>
      <c r="O372" s="188">
        <v>0.3</v>
      </c>
      <c r="P372" s="188">
        <v>1.3</v>
      </c>
      <c r="Q372" s="188">
        <v>-0.01</v>
      </c>
      <c r="R372" s="188">
        <v>0.38</v>
      </c>
      <c r="S372" s="188">
        <v>0.02</v>
      </c>
      <c r="T372" s="188">
        <v>0</v>
      </c>
      <c r="U372" s="188">
        <v>0.01</v>
      </c>
      <c r="V372" s="188">
        <v>0.25</v>
      </c>
      <c r="W372" s="188"/>
      <c r="X372" s="89"/>
      <c r="Y372" s="187"/>
      <c r="Z372" s="187"/>
      <c r="AA372" s="187"/>
      <c r="AB372" s="187"/>
      <c r="AC372" s="187"/>
      <c r="AD372" s="189"/>
      <c r="AE372" s="188"/>
    </row>
    <row r="373" spans="1:31" ht="21.25" customHeight="1" x14ac:dyDescent="0.15">
      <c r="A373" s="10" t="s">
        <v>381</v>
      </c>
      <c r="B373" s="185" t="s">
        <v>833</v>
      </c>
      <c r="C373" s="186">
        <v>37</v>
      </c>
      <c r="D373" s="185" t="s">
        <v>823</v>
      </c>
      <c r="E373" s="89">
        <v>77</v>
      </c>
      <c r="F373" s="187">
        <v>20.2</v>
      </c>
      <c r="G373" s="188">
        <v>0.05</v>
      </c>
      <c r="H373" s="188">
        <v>0.28000000000000003</v>
      </c>
      <c r="I373" s="188">
        <v>0.33</v>
      </c>
      <c r="J373" s="188">
        <v>0.9</v>
      </c>
      <c r="K373" s="188">
        <v>0</v>
      </c>
      <c r="L373" s="188">
        <v>0</v>
      </c>
      <c r="M373" s="188">
        <v>0</v>
      </c>
      <c r="N373" s="188">
        <v>0.01</v>
      </c>
      <c r="O373" s="188">
        <v>1.71</v>
      </c>
      <c r="P373" s="188">
        <v>0.56000000000000005</v>
      </c>
      <c r="Q373" s="188">
        <v>0.11</v>
      </c>
      <c r="R373" s="188">
        <v>0.28000000000000003</v>
      </c>
      <c r="S373" s="188">
        <v>0.01</v>
      </c>
      <c r="T373" s="188">
        <v>0</v>
      </c>
      <c r="U373" s="188">
        <v>0</v>
      </c>
      <c r="V373" s="188">
        <v>0</v>
      </c>
      <c r="W373" s="188"/>
      <c r="X373" s="89"/>
      <c r="Y373" s="187"/>
      <c r="Z373" s="187"/>
      <c r="AA373" s="187"/>
      <c r="AB373" s="187"/>
      <c r="AC373" s="187"/>
      <c r="AD373" s="189"/>
      <c r="AE373" s="188"/>
    </row>
    <row r="374" spans="1:31" ht="21.25" customHeight="1" x14ac:dyDescent="0.15">
      <c r="A374" s="10" t="s">
        <v>666</v>
      </c>
      <c r="B374" s="185" t="s">
        <v>838</v>
      </c>
      <c r="C374" s="186">
        <v>27</v>
      </c>
      <c r="D374" s="185" t="s">
        <v>842</v>
      </c>
      <c r="E374" s="89">
        <v>75</v>
      </c>
      <c r="F374" s="187">
        <v>13</v>
      </c>
      <c r="G374" s="188">
        <v>0.16</v>
      </c>
      <c r="H374" s="188">
        <v>0.14000000000000001</v>
      </c>
      <c r="I374" s="188">
        <v>0.3</v>
      </c>
      <c r="J374" s="188">
        <v>1.29</v>
      </c>
      <c r="K374" s="188">
        <v>0</v>
      </c>
      <c r="L374" s="188">
        <v>0</v>
      </c>
      <c r="M374" s="188">
        <v>0</v>
      </c>
      <c r="N374" s="188">
        <v>0</v>
      </c>
      <c r="O374" s="188">
        <v>0.52</v>
      </c>
      <c r="P374" s="188">
        <v>0.75</v>
      </c>
      <c r="Q374" s="188">
        <v>0</v>
      </c>
      <c r="R374" s="188">
        <v>0.34</v>
      </c>
      <c r="S374" s="188">
        <v>0.03</v>
      </c>
      <c r="T374" s="188">
        <v>5.62</v>
      </c>
      <c r="U374" s="188">
        <v>5.22</v>
      </c>
      <c r="V374" s="188">
        <v>0.52</v>
      </c>
      <c r="W374" s="188"/>
      <c r="X374" s="89"/>
      <c r="Y374" s="187"/>
      <c r="Z374" s="187"/>
      <c r="AA374" s="187"/>
      <c r="AB374" s="187"/>
      <c r="AC374" s="187"/>
      <c r="AD374" s="189"/>
      <c r="AE374" s="188"/>
    </row>
    <row r="375" spans="1:31" ht="21.25" customHeight="1" x14ac:dyDescent="0.15">
      <c r="A375" s="10" t="s">
        <v>404</v>
      </c>
      <c r="B375" s="185" t="s">
        <v>837</v>
      </c>
      <c r="C375" s="186">
        <v>25</v>
      </c>
      <c r="D375" s="185" t="s">
        <v>823</v>
      </c>
      <c r="E375" s="89">
        <v>78</v>
      </c>
      <c r="F375" s="187">
        <v>16.100000000000001</v>
      </c>
      <c r="G375" s="188">
        <v>7.0000000000000007E-2</v>
      </c>
      <c r="H375" s="188">
        <v>0.24</v>
      </c>
      <c r="I375" s="188">
        <v>0.31</v>
      </c>
      <c r="J375" s="188">
        <v>0.93</v>
      </c>
      <c r="K375" s="188">
        <v>0.02</v>
      </c>
      <c r="L375" s="188">
        <v>0.09</v>
      </c>
      <c r="M375" s="188">
        <v>0</v>
      </c>
      <c r="N375" s="188">
        <v>0</v>
      </c>
      <c r="O375" s="188">
        <v>1.1499999999999999</v>
      </c>
      <c r="P375" s="188">
        <v>0.54</v>
      </c>
      <c r="Q375" s="188">
        <v>-0.03</v>
      </c>
      <c r="R375" s="188">
        <v>0.28000000000000003</v>
      </c>
      <c r="S375" s="188">
        <v>0.01</v>
      </c>
      <c r="T375" s="188">
        <v>0</v>
      </c>
      <c r="U375" s="188">
        <v>0</v>
      </c>
      <c r="V375" s="188">
        <v>0</v>
      </c>
      <c r="W375" s="188"/>
      <c r="X375" s="89"/>
      <c r="Y375" s="187"/>
      <c r="Z375" s="187"/>
      <c r="AA375" s="187"/>
      <c r="AB375" s="187"/>
      <c r="AC375" s="187"/>
      <c r="AD375" s="189"/>
      <c r="AE375" s="188"/>
    </row>
    <row r="376" spans="1:31" ht="21.25" customHeight="1" x14ac:dyDescent="0.15">
      <c r="A376" s="10" t="s">
        <v>746</v>
      </c>
      <c r="B376" s="185" t="s">
        <v>864</v>
      </c>
      <c r="C376" s="186">
        <v>22</v>
      </c>
      <c r="D376" s="185" t="s">
        <v>822</v>
      </c>
      <c r="E376" s="89">
        <v>59</v>
      </c>
      <c r="F376" s="187">
        <v>12.8</v>
      </c>
      <c r="G376" s="188">
        <v>0.17</v>
      </c>
      <c r="H376" s="188">
        <v>0.18</v>
      </c>
      <c r="I376" s="188">
        <v>0.35</v>
      </c>
      <c r="J376" s="188">
        <v>1.22</v>
      </c>
      <c r="K376" s="188">
        <v>0.03</v>
      </c>
      <c r="L376" s="188">
        <v>0.09</v>
      </c>
      <c r="M376" s="188">
        <v>0</v>
      </c>
      <c r="N376" s="188">
        <v>0</v>
      </c>
      <c r="O376" s="188">
        <v>0.42</v>
      </c>
      <c r="P376" s="188">
        <v>1.24</v>
      </c>
      <c r="Q376" s="188">
        <v>-0.12</v>
      </c>
      <c r="R376" s="188">
        <v>0.23</v>
      </c>
      <c r="S376" s="188">
        <v>0.02</v>
      </c>
      <c r="T376" s="188">
        <v>0</v>
      </c>
      <c r="U376" s="188">
        <v>0.01</v>
      </c>
      <c r="V376" s="188">
        <v>0</v>
      </c>
      <c r="W376" s="188"/>
      <c r="X376" s="89"/>
      <c r="Y376" s="187"/>
      <c r="Z376" s="187"/>
      <c r="AA376" s="187"/>
      <c r="AB376" s="187"/>
      <c r="AC376" s="187"/>
      <c r="AD376" s="189"/>
      <c r="AE376" s="188"/>
    </row>
    <row r="377" spans="1:31" ht="21.25" customHeight="1" x14ac:dyDescent="0.15">
      <c r="A377" s="10" t="s">
        <v>336</v>
      </c>
      <c r="B377" s="185" t="s">
        <v>856</v>
      </c>
      <c r="C377" s="186">
        <v>32</v>
      </c>
      <c r="D377" s="185" t="s">
        <v>823</v>
      </c>
      <c r="E377" s="89">
        <v>80</v>
      </c>
      <c r="F377" s="187">
        <v>21.4</v>
      </c>
      <c r="G377" s="188">
        <v>0.06</v>
      </c>
      <c r="H377" s="188">
        <v>0.27</v>
      </c>
      <c r="I377" s="188">
        <v>0.33</v>
      </c>
      <c r="J377" s="188">
        <v>1.49</v>
      </c>
      <c r="K377" s="188">
        <v>0</v>
      </c>
      <c r="L377" s="188">
        <v>0</v>
      </c>
      <c r="M377" s="188">
        <v>0.01</v>
      </c>
      <c r="N377" s="188">
        <v>0.03</v>
      </c>
      <c r="O377" s="188">
        <v>1.57</v>
      </c>
      <c r="P377" s="188">
        <v>0.47</v>
      </c>
      <c r="Q377" s="188">
        <v>0.09</v>
      </c>
      <c r="R377" s="188">
        <v>0.18</v>
      </c>
      <c r="S377" s="188">
        <v>0.01</v>
      </c>
      <c r="T377" s="188">
        <v>0</v>
      </c>
      <c r="U377" s="188">
        <v>0</v>
      </c>
      <c r="V377" s="188">
        <v>0</v>
      </c>
      <c r="W377" s="188"/>
      <c r="X377" s="89"/>
      <c r="Y377" s="187"/>
      <c r="Z377" s="187"/>
      <c r="AA377" s="187"/>
      <c r="AB377" s="187"/>
      <c r="AC377" s="187"/>
      <c r="AD377" s="189"/>
      <c r="AE377" s="188"/>
    </row>
    <row r="378" spans="1:31" ht="21.25" customHeight="1" x14ac:dyDescent="0.15">
      <c r="A378" s="10" t="s">
        <v>359</v>
      </c>
      <c r="B378" s="185" t="s">
        <v>834</v>
      </c>
      <c r="C378" s="186">
        <v>34</v>
      </c>
      <c r="D378" s="185" t="s">
        <v>823</v>
      </c>
      <c r="E378" s="89">
        <v>78</v>
      </c>
      <c r="F378" s="187">
        <v>18.899999999999999</v>
      </c>
      <c r="G378" s="188">
        <v>0.05</v>
      </c>
      <c r="H378" s="188">
        <v>0.24</v>
      </c>
      <c r="I378" s="188">
        <v>0.28999999999999998</v>
      </c>
      <c r="J378" s="188">
        <v>1.42</v>
      </c>
      <c r="K378" s="188">
        <v>0</v>
      </c>
      <c r="L378" s="188">
        <v>0</v>
      </c>
      <c r="M378" s="188">
        <v>0</v>
      </c>
      <c r="N378" s="188">
        <v>0.01</v>
      </c>
      <c r="O378" s="188">
        <v>1.29</v>
      </c>
      <c r="P378" s="188">
        <v>1.97</v>
      </c>
      <c r="Q378" s="188">
        <v>0.1</v>
      </c>
      <c r="R378" s="188">
        <v>0.93</v>
      </c>
      <c r="S378" s="188">
        <v>0.01</v>
      </c>
      <c r="T378" s="188">
        <v>0</v>
      </c>
      <c r="U378" s="188">
        <v>0</v>
      </c>
      <c r="V378" s="188">
        <v>0</v>
      </c>
      <c r="W378" s="188"/>
      <c r="X378" s="89"/>
      <c r="Y378" s="187"/>
      <c r="Z378" s="187"/>
      <c r="AA378" s="187"/>
      <c r="AB378" s="187"/>
      <c r="AC378" s="187"/>
      <c r="AD378" s="189"/>
      <c r="AE378" s="188"/>
    </row>
    <row r="379" spans="1:31" ht="21.25" customHeight="1" x14ac:dyDescent="0.15">
      <c r="A379" s="10" t="s">
        <v>314</v>
      </c>
      <c r="B379" s="185" t="s">
        <v>846</v>
      </c>
      <c r="C379" s="186">
        <v>32</v>
      </c>
      <c r="D379" s="185" t="s">
        <v>823</v>
      </c>
      <c r="E379" s="89">
        <v>83</v>
      </c>
      <c r="F379" s="187">
        <v>22.4</v>
      </c>
      <c r="G379" s="188">
        <v>0.05</v>
      </c>
      <c r="H379" s="188">
        <v>0.27</v>
      </c>
      <c r="I379" s="188">
        <v>0.32</v>
      </c>
      <c r="J379" s="188">
        <v>1.32</v>
      </c>
      <c r="K379" s="188">
        <v>0</v>
      </c>
      <c r="L379" s="188">
        <v>0.01</v>
      </c>
      <c r="M379" s="188">
        <v>0</v>
      </c>
      <c r="N379" s="188">
        <v>0.01</v>
      </c>
      <c r="O379" s="188">
        <v>1.85</v>
      </c>
      <c r="P379" s="188">
        <v>0.78</v>
      </c>
      <c r="Q379" s="188">
        <v>0</v>
      </c>
      <c r="R379" s="188">
        <v>0.49</v>
      </c>
      <c r="S379" s="188">
        <v>0.01</v>
      </c>
      <c r="T379" s="188">
        <v>0</v>
      </c>
      <c r="U379" s="188">
        <v>0</v>
      </c>
      <c r="V379" s="188">
        <v>0</v>
      </c>
      <c r="W379" s="188"/>
      <c r="X379" s="89"/>
      <c r="Y379" s="187"/>
      <c r="Z379" s="187"/>
      <c r="AA379" s="187"/>
      <c r="AB379" s="187"/>
      <c r="AC379" s="187"/>
      <c r="AD379" s="189"/>
      <c r="AE379" s="188"/>
    </row>
    <row r="380" spans="1:31" ht="21.25" customHeight="1" x14ac:dyDescent="0.15">
      <c r="A380" s="10" t="s">
        <v>349</v>
      </c>
      <c r="B380" s="185" t="s">
        <v>858</v>
      </c>
      <c r="C380" s="186">
        <v>23</v>
      </c>
      <c r="D380" s="185" t="s">
        <v>823</v>
      </c>
      <c r="E380" s="89">
        <v>78</v>
      </c>
      <c r="F380" s="187">
        <v>19.3</v>
      </c>
      <c r="G380" s="188">
        <v>0.09</v>
      </c>
      <c r="H380" s="188">
        <v>0.2</v>
      </c>
      <c r="I380" s="188">
        <v>0.28999999999999998</v>
      </c>
      <c r="J380" s="188">
        <v>1.58</v>
      </c>
      <c r="K380" s="188">
        <v>0</v>
      </c>
      <c r="L380" s="188">
        <v>0.02</v>
      </c>
      <c r="M380" s="188">
        <v>0</v>
      </c>
      <c r="N380" s="188">
        <v>0</v>
      </c>
      <c r="O380" s="188">
        <v>1.23</v>
      </c>
      <c r="P380" s="188">
        <v>0.69</v>
      </c>
      <c r="Q380" s="188">
        <v>0.02</v>
      </c>
      <c r="R380" s="188">
        <v>0.44</v>
      </c>
      <c r="S380" s="188">
        <v>0.01</v>
      </c>
      <c r="T380" s="188">
        <v>0</v>
      </c>
      <c r="U380" s="188">
        <v>0</v>
      </c>
      <c r="V380" s="188">
        <v>0</v>
      </c>
      <c r="W380" s="188"/>
      <c r="X380" s="89"/>
      <c r="Y380" s="187"/>
      <c r="Z380" s="187"/>
      <c r="AA380" s="187"/>
      <c r="AB380" s="187"/>
      <c r="AC380" s="187"/>
      <c r="AD380" s="189"/>
      <c r="AE380" s="188"/>
    </row>
    <row r="381" spans="1:31" ht="21.25" customHeight="1" x14ac:dyDescent="0.15">
      <c r="A381" s="10" t="s">
        <v>708</v>
      </c>
      <c r="B381" s="185" t="s">
        <v>843</v>
      </c>
      <c r="C381" s="186">
        <v>25</v>
      </c>
      <c r="D381" s="185" t="s">
        <v>842</v>
      </c>
      <c r="E381" s="89">
        <v>67</v>
      </c>
      <c r="F381" s="187">
        <v>13.4</v>
      </c>
      <c r="G381" s="188">
        <v>0.14000000000000001</v>
      </c>
      <c r="H381" s="188">
        <v>0.15</v>
      </c>
      <c r="I381" s="188">
        <v>0.3</v>
      </c>
      <c r="J381" s="188">
        <v>1.3</v>
      </c>
      <c r="K381" s="188">
        <v>0</v>
      </c>
      <c r="L381" s="188">
        <v>0</v>
      </c>
      <c r="M381" s="188">
        <v>0.03</v>
      </c>
      <c r="N381" s="188">
        <v>0.03</v>
      </c>
      <c r="O381" s="188">
        <v>0.45</v>
      </c>
      <c r="P381" s="188">
        <v>1.67</v>
      </c>
      <c r="Q381" s="188">
        <v>0.05</v>
      </c>
      <c r="R381" s="188">
        <v>0.26</v>
      </c>
      <c r="S381" s="188">
        <v>0.02</v>
      </c>
      <c r="T381" s="188">
        <v>6.89</v>
      </c>
      <c r="U381" s="188">
        <v>4.71</v>
      </c>
      <c r="V381" s="188">
        <v>0.59</v>
      </c>
      <c r="W381" s="188"/>
      <c r="X381" s="89"/>
      <c r="Y381" s="187"/>
      <c r="Z381" s="187"/>
      <c r="AA381" s="187"/>
      <c r="AB381" s="187"/>
      <c r="AC381" s="187"/>
      <c r="AD381" s="189"/>
      <c r="AE381" s="188"/>
    </row>
    <row r="382" spans="1:31" ht="21.25" customHeight="1" x14ac:dyDescent="0.15">
      <c r="A382" s="10" t="s">
        <v>646</v>
      </c>
      <c r="B382" s="185" t="s">
        <v>834</v>
      </c>
      <c r="C382" s="186">
        <v>27</v>
      </c>
      <c r="D382" s="185" t="s">
        <v>835</v>
      </c>
      <c r="E382" s="89">
        <v>84</v>
      </c>
      <c r="F382" s="187">
        <v>12.7</v>
      </c>
      <c r="G382" s="188">
        <v>0.17</v>
      </c>
      <c r="H382" s="188">
        <v>0.15</v>
      </c>
      <c r="I382" s="188">
        <v>0.32</v>
      </c>
      <c r="J382" s="188">
        <v>1.22</v>
      </c>
      <c r="K382" s="188">
        <v>0</v>
      </c>
      <c r="L382" s="188">
        <v>0</v>
      </c>
      <c r="M382" s="188">
        <v>0.01</v>
      </c>
      <c r="N382" s="188">
        <v>0.02</v>
      </c>
      <c r="O382" s="188">
        <v>0.74</v>
      </c>
      <c r="P382" s="188">
        <v>2.0299999999999998</v>
      </c>
      <c r="Q382" s="188">
        <v>0.08</v>
      </c>
      <c r="R382" s="188">
        <v>0.36</v>
      </c>
      <c r="S382" s="188">
        <v>0.03</v>
      </c>
      <c r="T382" s="188">
        <v>1.0900000000000001</v>
      </c>
      <c r="U382" s="188">
        <v>1.95</v>
      </c>
      <c r="V382" s="188">
        <v>0.36</v>
      </c>
      <c r="W382" s="188"/>
      <c r="X382" s="89"/>
      <c r="Y382" s="187"/>
      <c r="Z382" s="187"/>
      <c r="AA382" s="187"/>
      <c r="AB382" s="187"/>
      <c r="AC382" s="187"/>
      <c r="AD382" s="189"/>
      <c r="AE382" s="188"/>
    </row>
    <row r="383" spans="1:31" ht="21.25" customHeight="1" x14ac:dyDescent="0.15">
      <c r="A383" s="10" t="s">
        <v>256</v>
      </c>
      <c r="B383" s="185" t="s">
        <v>836</v>
      </c>
      <c r="C383" s="186">
        <v>31</v>
      </c>
      <c r="D383" s="185" t="s">
        <v>823</v>
      </c>
      <c r="E383" s="89">
        <v>83</v>
      </c>
      <c r="F383" s="187">
        <v>22.4</v>
      </c>
      <c r="G383" s="188">
        <v>0.06</v>
      </c>
      <c r="H383" s="188">
        <v>0.25</v>
      </c>
      <c r="I383" s="188">
        <v>0.32</v>
      </c>
      <c r="J383" s="188">
        <v>1.96</v>
      </c>
      <c r="K383" s="188">
        <v>0</v>
      </c>
      <c r="L383" s="188">
        <v>0.01</v>
      </c>
      <c r="M383" s="188">
        <v>0.01</v>
      </c>
      <c r="N383" s="188">
        <v>0.02</v>
      </c>
      <c r="O383" s="188">
        <v>2.14</v>
      </c>
      <c r="P383" s="188">
        <v>1.7</v>
      </c>
      <c r="Q383" s="188">
        <v>-0.03</v>
      </c>
      <c r="R383" s="188">
        <v>0.77</v>
      </c>
      <c r="S383" s="188">
        <v>0.01</v>
      </c>
      <c r="T383" s="188">
        <v>0</v>
      </c>
      <c r="U383" s="188">
        <v>0</v>
      </c>
      <c r="V383" s="188">
        <v>0</v>
      </c>
      <c r="W383" s="188"/>
      <c r="X383" s="89"/>
      <c r="Y383" s="187"/>
      <c r="Z383" s="187"/>
      <c r="AA383" s="187"/>
      <c r="AB383" s="187"/>
      <c r="AC383" s="187"/>
      <c r="AD383" s="189"/>
      <c r="AE383" s="188"/>
    </row>
    <row r="384" spans="1:31" ht="21.25" customHeight="1" x14ac:dyDescent="0.15">
      <c r="A384" s="10" t="s">
        <v>397</v>
      </c>
      <c r="B384" s="185" t="s">
        <v>850</v>
      </c>
      <c r="C384" s="186">
        <v>22</v>
      </c>
      <c r="D384" s="185" t="s">
        <v>823</v>
      </c>
      <c r="E384" s="89">
        <v>72</v>
      </c>
      <c r="F384" s="187">
        <v>18.899999999999999</v>
      </c>
      <c r="G384" s="188">
        <v>7.0000000000000007E-2</v>
      </c>
      <c r="H384" s="188">
        <v>0.23</v>
      </c>
      <c r="I384" s="188">
        <v>0.3</v>
      </c>
      <c r="J384" s="188">
        <v>1.43</v>
      </c>
      <c r="K384" s="188">
        <v>0</v>
      </c>
      <c r="L384" s="188">
        <v>0.05</v>
      </c>
      <c r="M384" s="188">
        <v>0</v>
      </c>
      <c r="N384" s="188">
        <v>0</v>
      </c>
      <c r="O384" s="188">
        <v>1.18</v>
      </c>
      <c r="P384" s="188">
        <v>1.02</v>
      </c>
      <c r="Q384" s="188">
        <v>-0.1</v>
      </c>
      <c r="R384" s="188">
        <v>0.52</v>
      </c>
      <c r="S384" s="188">
        <v>0.01</v>
      </c>
      <c r="T384" s="188">
        <v>0</v>
      </c>
      <c r="U384" s="188">
        <v>0</v>
      </c>
      <c r="V384" s="188">
        <v>0</v>
      </c>
      <c r="W384" s="188"/>
      <c r="X384" s="89"/>
      <c r="Y384" s="187"/>
      <c r="Z384" s="187"/>
      <c r="AA384" s="187"/>
      <c r="AB384" s="187"/>
      <c r="AC384" s="187"/>
      <c r="AD384" s="189"/>
      <c r="AE384" s="188"/>
    </row>
    <row r="385" spans="1:31" ht="21.25" customHeight="1" x14ac:dyDescent="0.15">
      <c r="A385" s="10" t="s">
        <v>765</v>
      </c>
      <c r="B385" s="185" t="s">
        <v>851</v>
      </c>
      <c r="C385" s="186">
        <v>26</v>
      </c>
      <c r="D385" s="185" t="s">
        <v>821</v>
      </c>
      <c r="E385" s="89">
        <v>55</v>
      </c>
      <c r="F385" s="187">
        <v>12.8</v>
      </c>
      <c r="G385" s="188">
        <v>0.12</v>
      </c>
      <c r="H385" s="188">
        <v>0.19</v>
      </c>
      <c r="I385" s="188">
        <v>0.31</v>
      </c>
      <c r="J385" s="188">
        <v>1.36</v>
      </c>
      <c r="K385" s="188">
        <v>0</v>
      </c>
      <c r="L385" s="188">
        <v>0</v>
      </c>
      <c r="M385" s="188">
        <v>0.03</v>
      </c>
      <c r="N385" s="188">
        <v>0.04</v>
      </c>
      <c r="O385" s="188">
        <v>0.47</v>
      </c>
      <c r="P385" s="188">
        <v>1.0900000000000001</v>
      </c>
      <c r="Q385" s="188">
        <v>0</v>
      </c>
      <c r="R385" s="188">
        <v>0.28000000000000003</v>
      </c>
      <c r="S385" s="188">
        <v>0.02</v>
      </c>
      <c r="T385" s="188">
        <v>0</v>
      </c>
      <c r="U385" s="188">
        <v>0.15</v>
      </c>
      <c r="V385" s="188">
        <v>0</v>
      </c>
      <c r="W385" s="188"/>
      <c r="X385" s="89"/>
      <c r="Y385" s="187"/>
      <c r="Z385" s="187"/>
      <c r="AA385" s="187"/>
      <c r="AB385" s="187"/>
      <c r="AC385" s="187"/>
      <c r="AD385" s="189"/>
      <c r="AE385" s="188"/>
    </row>
    <row r="386" spans="1:31" ht="21.25" customHeight="1" x14ac:dyDescent="0.15">
      <c r="A386" s="10" t="s">
        <v>681</v>
      </c>
      <c r="B386" s="185" t="s">
        <v>852</v>
      </c>
      <c r="C386" s="186">
        <v>26</v>
      </c>
      <c r="D386" s="185" t="s">
        <v>835</v>
      </c>
      <c r="E386" s="89">
        <v>81</v>
      </c>
      <c r="F386" s="187">
        <v>12.7</v>
      </c>
      <c r="G386" s="188">
        <v>0.12</v>
      </c>
      <c r="H386" s="188">
        <v>0.19</v>
      </c>
      <c r="I386" s="188">
        <v>0.31</v>
      </c>
      <c r="J386" s="188">
        <v>1.1499999999999999</v>
      </c>
      <c r="K386" s="188">
        <v>0</v>
      </c>
      <c r="L386" s="188">
        <v>0</v>
      </c>
      <c r="M386" s="188">
        <v>0.01</v>
      </c>
      <c r="N386" s="188">
        <v>0.01</v>
      </c>
      <c r="O386" s="188">
        <v>0.56000000000000005</v>
      </c>
      <c r="P386" s="188">
        <v>3.08</v>
      </c>
      <c r="Q386" s="188">
        <v>0.02</v>
      </c>
      <c r="R386" s="188">
        <v>0.7</v>
      </c>
      <c r="S386" s="188">
        <v>0.02</v>
      </c>
      <c r="T386" s="188">
        <v>3.79</v>
      </c>
      <c r="U386" s="188">
        <v>3.88</v>
      </c>
      <c r="V386" s="188">
        <v>0.49</v>
      </c>
      <c r="W386" s="188"/>
      <c r="X386" s="89"/>
      <c r="Y386" s="187"/>
      <c r="Z386" s="187"/>
      <c r="AA386" s="187"/>
      <c r="AB386" s="187"/>
      <c r="AC386" s="187"/>
      <c r="AD386" s="189"/>
      <c r="AE386" s="188"/>
    </row>
    <row r="387" spans="1:31" ht="21.25" customHeight="1" x14ac:dyDescent="0.15">
      <c r="A387" s="10" t="s">
        <v>677</v>
      </c>
      <c r="B387" s="185" t="s">
        <v>851</v>
      </c>
      <c r="C387" s="186">
        <v>27</v>
      </c>
      <c r="D387" s="185" t="s">
        <v>835</v>
      </c>
      <c r="E387" s="89">
        <v>78</v>
      </c>
      <c r="F387" s="187">
        <v>13.3</v>
      </c>
      <c r="G387" s="188">
        <v>0.15</v>
      </c>
      <c r="H387" s="188">
        <v>0.17</v>
      </c>
      <c r="I387" s="188">
        <v>0.31</v>
      </c>
      <c r="J387" s="188">
        <v>1.29</v>
      </c>
      <c r="K387" s="188">
        <v>0</v>
      </c>
      <c r="L387" s="188">
        <v>0</v>
      </c>
      <c r="M387" s="188">
        <v>0.01</v>
      </c>
      <c r="N387" s="188">
        <v>0.02</v>
      </c>
      <c r="O387" s="188">
        <v>0.62</v>
      </c>
      <c r="P387" s="188">
        <v>1.93</v>
      </c>
      <c r="Q387" s="188">
        <v>-0.01</v>
      </c>
      <c r="R387" s="188">
        <v>0.31</v>
      </c>
      <c r="S387" s="188">
        <v>0.02</v>
      </c>
      <c r="T387" s="188">
        <v>1.01</v>
      </c>
      <c r="U387" s="188">
        <v>1.18</v>
      </c>
      <c r="V387" s="188">
        <v>0.46</v>
      </c>
      <c r="W387" s="188"/>
      <c r="X387" s="89"/>
      <c r="Y387" s="187"/>
      <c r="Z387" s="187"/>
      <c r="AA387" s="187"/>
      <c r="AB387" s="187"/>
      <c r="AC387" s="187"/>
      <c r="AD387" s="189"/>
      <c r="AE387" s="188"/>
    </row>
    <row r="388" spans="1:31" ht="21.25" customHeight="1" x14ac:dyDescent="0.15">
      <c r="A388" s="10" t="s">
        <v>328</v>
      </c>
      <c r="B388" s="185" t="s">
        <v>843</v>
      </c>
      <c r="C388" s="186">
        <v>32</v>
      </c>
      <c r="D388" s="185" t="s">
        <v>823</v>
      </c>
      <c r="E388" s="89">
        <v>84</v>
      </c>
      <c r="F388" s="187">
        <v>22.5</v>
      </c>
      <c r="G388" s="188">
        <v>0.04</v>
      </c>
      <c r="H388" s="188">
        <v>0.27</v>
      </c>
      <c r="I388" s="188">
        <v>0.31</v>
      </c>
      <c r="J388" s="188">
        <v>1</v>
      </c>
      <c r="K388" s="188">
        <v>0</v>
      </c>
      <c r="L388" s="188">
        <v>0.01</v>
      </c>
      <c r="M388" s="188">
        <v>0</v>
      </c>
      <c r="N388" s="188">
        <v>0.01</v>
      </c>
      <c r="O388" s="188">
        <v>2.04</v>
      </c>
      <c r="P388" s="188">
        <v>0.6</v>
      </c>
      <c r="Q388" s="188">
        <v>0.1</v>
      </c>
      <c r="R388" s="188">
        <v>0.25</v>
      </c>
      <c r="S388" s="188">
        <v>0.01</v>
      </c>
      <c r="T388" s="188">
        <v>0</v>
      </c>
      <c r="U388" s="188">
        <v>0</v>
      </c>
      <c r="V388" s="188">
        <v>0</v>
      </c>
      <c r="W388" s="188"/>
      <c r="X388" s="89"/>
      <c r="Y388" s="187"/>
      <c r="Z388" s="187"/>
      <c r="AA388" s="187"/>
      <c r="AB388" s="187"/>
      <c r="AC388" s="187"/>
      <c r="AD388" s="189"/>
      <c r="AE388" s="188"/>
    </row>
    <row r="389" spans="1:31" ht="21.25" customHeight="1" x14ac:dyDescent="0.15">
      <c r="A389" s="10" t="s">
        <v>351</v>
      </c>
      <c r="B389" s="185" t="s">
        <v>865</v>
      </c>
      <c r="C389" s="186">
        <v>26</v>
      </c>
      <c r="D389" s="185" t="s">
        <v>823</v>
      </c>
      <c r="E389" s="89">
        <v>82</v>
      </c>
      <c r="F389" s="187">
        <v>19.3</v>
      </c>
      <c r="G389" s="188">
        <v>0.06</v>
      </c>
      <c r="H389" s="188">
        <v>0.24</v>
      </c>
      <c r="I389" s="188">
        <v>0.3</v>
      </c>
      <c r="J389" s="188">
        <v>0.93</v>
      </c>
      <c r="K389" s="188">
        <v>0</v>
      </c>
      <c r="L389" s="188">
        <v>0</v>
      </c>
      <c r="M389" s="188">
        <v>0</v>
      </c>
      <c r="N389" s="188">
        <v>0.01</v>
      </c>
      <c r="O389" s="188">
        <v>1.87</v>
      </c>
      <c r="P389" s="188">
        <v>1.47</v>
      </c>
      <c r="Q389" s="188">
        <v>0.04</v>
      </c>
      <c r="R389" s="188">
        <v>0.36</v>
      </c>
      <c r="S389" s="188">
        <v>0.01</v>
      </c>
      <c r="T389" s="188">
        <v>0</v>
      </c>
      <c r="U389" s="188">
        <v>0</v>
      </c>
      <c r="V389" s="188">
        <v>0</v>
      </c>
      <c r="W389" s="188"/>
      <c r="X389" s="89"/>
      <c r="Y389" s="187"/>
      <c r="Z389" s="187"/>
      <c r="AA389" s="187"/>
      <c r="AB389" s="187"/>
      <c r="AC389" s="187"/>
      <c r="AD389" s="189"/>
      <c r="AE389" s="188"/>
    </row>
    <row r="390" spans="1:31" ht="21.25" customHeight="1" x14ac:dyDescent="0.15">
      <c r="A390" s="10" t="s">
        <v>689</v>
      </c>
      <c r="B390" s="185" t="s">
        <v>852</v>
      </c>
      <c r="C390" s="186">
        <v>30</v>
      </c>
      <c r="D390" s="185" t="s">
        <v>821</v>
      </c>
      <c r="E390" s="89">
        <v>79</v>
      </c>
      <c r="F390" s="187">
        <v>11.1</v>
      </c>
      <c r="G390" s="188">
        <v>0.15</v>
      </c>
      <c r="H390" s="188">
        <v>0.15</v>
      </c>
      <c r="I390" s="188">
        <v>0.31</v>
      </c>
      <c r="J390" s="188">
        <v>1.48</v>
      </c>
      <c r="K390" s="188">
        <v>0.01</v>
      </c>
      <c r="L390" s="188">
        <v>0.01</v>
      </c>
      <c r="M390" s="188">
        <v>0</v>
      </c>
      <c r="N390" s="188">
        <v>0</v>
      </c>
      <c r="O390" s="188">
        <v>0.23</v>
      </c>
      <c r="P390" s="188">
        <v>1.5</v>
      </c>
      <c r="Q390" s="188">
        <v>0.02</v>
      </c>
      <c r="R390" s="188">
        <v>0.28999999999999998</v>
      </c>
      <c r="S390" s="188">
        <v>0.03</v>
      </c>
      <c r="T390" s="188">
        <v>0.13</v>
      </c>
      <c r="U390" s="188">
        <v>0.17</v>
      </c>
      <c r="V390" s="188">
        <v>0.43</v>
      </c>
      <c r="W390" s="188"/>
      <c r="X390" s="89"/>
      <c r="Y390" s="187"/>
      <c r="Z390" s="187"/>
      <c r="AA390" s="187"/>
      <c r="AB390" s="187"/>
      <c r="AC390" s="187"/>
      <c r="AD390" s="189"/>
      <c r="AE390" s="188"/>
    </row>
    <row r="391" spans="1:31" ht="21.25" customHeight="1" x14ac:dyDescent="0.15">
      <c r="A391" s="10" t="s">
        <v>693</v>
      </c>
      <c r="B391" s="185" t="s">
        <v>861</v>
      </c>
      <c r="C391" s="186">
        <v>32</v>
      </c>
      <c r="D391" s="185" t="s">
        <v>848</v>
      </c>
      <c r="E391" s="89">
        <v>75</v>
      </c>
      <c r="F391" s="187">
        <v>13.2</v>
      </c>
      <c r="G391" s="188">
        <v>0.12</v>
      </c>
      <c r="H391" s="188">
        <v>0.17</v>
      </c>
      <c r="I391" s="188">
        <v>0.28999999999999998</v>
      </c>
      <c r="J391" s="188">
        <v>0.92</v>
      </c>
      <c r="K391" s="188">
        <v>0</v>
      </c>
      <c r="L391" s="188">
        <v>0</v>
      </c>
      <c r="M391" s="188">
        <v>0.01</v>
      </c>
      <c r="N391" s="188">
        <v>0.02</v>
      </c>
      <c r="O391" s="188">
        <v>0.72</v>
      </c>
      <c r="P391" s="188">
        <v>0.92</v>
      </c>
      <c r="Q391" s="188">
        <v>-0.04</v>
      </c>
      <c r="R391" s="188">
        <v>0.3</v>
      </c>
      <c r="S391" s="188">
        <v>0.02</v>
      </c>
      <c r="T391" s="188">
        <v>3.42</v>
      </c>
      <c r="U391" s="188">
        <v>3.35</v>
      </c>
      <c r="V391" s="188">
        <v>0.51</v>
      </c>
      <c r="W391" s="188"/>
      <c r="X391" s="89"/>
      <c r="Y391" s="187"/>
      <c r="Z391" s="187"/>
      <c r="AA391" s="187"/>
      <c r="AB391" s="187"/>
      <c r="AC391" s="187"/>
      <c r="AD391" s="189"/>
      <c r="AE391" s="188"/>
    </row>
    <row r="392" spans="1:31" ht="21.25" customHeight="1" x14ac:dyDescent="0.15">
      <c r="A392" s="10" t="s">
        <v>657</v>
      </c>
      <c r="B392" s="185" t="s">
        <v>845</v>
      </c>
      <c r="C392" s="186">
        <v>32</v>
      </c>
      <c r="D392" s="185" t="s">
        <v>835</v>
      </c>
      <c r="E392" s="89">
        <v>81</v>
      </c>
      <c r="F392" s="187">
        <v>13.6</v>
      </c>
      <c r="G392" s="188">
        <v>0.15</v>
      </c>
      <c r="H392" s="188">
        <v>0.16</v>
      </c>
      <c r="I392" s="188">
        <v>0.31</v>
      </c>
      <c r="J392" s="188">
        <v>1.42</v>
      </c>
      <c r="K392" s="188">
        <v>0</v>
      </c>
      <c r="L392" s="188">
        <v>0</v>
      </c>
      <c r="M392" s="188">
        <v>0.02</v>
      </c>
      <c r="N392" s="188">
        <v>0.04</v>
      </c>
      <c r="O392" s="188">
        <v>0.63</v>
      </c>
      <c r="P392" s="188">
        <v>1.75</v>
      </c>
      <c r="Q392" s="188">
        <v>-0.02</v>
      </c>
      <c r="R392" s="188">
        <v>0.45</v>
      </c>
      <c r="S392" s="188">
        <v>0.02</v>
      </c>
      <c r="T392" s="188">
        <v>5.41</v>
      </c>
      <c r="U392" s="188">
        <v>4.8600000000000003</v>
      </c>
      <c r="V392" s="188">
        <v>0.53</v>
      </c>
      <c r="W392" s="188"/>
      <c r="X392" s="89"/>
      <c r="Y392" s="187"/>
      <c r="Z392" s="187"/>
      <c r="AA392" s="187"/>
      <c r="AB392" s="187"/>
      <c r="AC392" s="187"/>
      <c r="AD392" s="189"/>
      <c r="AE392" s="188"/>
    </row>
    <row r="393" spans="1:31" ht="21.25" customHeight="1" x14ac:dyDescent="0.15">
      <c r="A393" s="10" t="s">
        <v>753</v>
      </c>
      <c r="B393" s="185" t="s">
        <v>854</v>
      </c>
      <c r="C393" s="186">
        <v>26</v>
      </c>
      <c r="D393" s="185" t="s">
        <v>822</v>
      </c>
      <c r="E393" s="89">
        <v>71</v>
      </c>
      <c r="F393" s="187">
        <v>11.5</v>
      </c>
      <c r="G393" s="188">
        <v>0.13</v>
      </c>
      <c r="H393" s="188">
        <v>0.21</v>
      </c>
      <c r="I393" s="188">
        <v>0.34</v>
      </c>
      <c r="J393" s="188">
        <v>1.08</v>
      </c>
      <c r="K393" s="188">
        <v>0.01</v>
      </c>
      <c r="L393" s="188">
        <v>0.01</v>
      </c>
      <c r="M393" s="188">
        <v>0</v>
      </c>
      <c r="N393" s="188">
        <v>0</v>
      </c>
      <c r="O393" s="188">
        <v>0.28999999999999998</v>
      </c>
      <c r="P393" s="188">
        <v>0.77</v>
      </c>
      <c r="Q393" s="188">
        <v>-0.03</v>
      </c>
      <c r="R393" s="188">
        <v>0.21</v>
      </c>
      <c r="S393" s="188">
        <v>0.02</v>
      </c>
      <c r="T393" s="188">
        <v>0.04</v>
      </c>
      <c r="U393" s="188">
        <v>0.06</v>
      </c>
      <c r="V393" s="188">
        <v>0.42</v>
      </c>
      <c r="W393" s="188"/>
      <c r="X393" s="89"/>
      <c r="Y393" s="187"/>
      <c r="Z393" s="187"/>
      <c r="AA393" s="187"/>
      <c r="AB393" s="187"/>
      <c r="AC393" s="187"/>
      <c r="AD393" s="189"/>
      <c r="AE393" s="188"/>
    </row>
    <row r="394" spans="1:31" ht="21.25" customHeight="1" x14ac:dyDescent="0.15">
      <c r="A394" s="10" t="s">
        <v>387</v>
      </c>
      <c r="B394" s="185" t="s">
        <v>865</v>
      </c>
      <c r="C394" s="186">
        <v>26</v>
      </c>
      <c r="D394" s="185" t="s">
        <v>823</v>
      </c>
      <c r="E394" s="89">
        <v>81</v>
      </c>
      <c r="F394" s="187">
        <v>17.5</v>
      </c>
      <c r="G394" s="188">
        <v>0.05</v>
      </c>
      <c r="H394" s="188">
        <v>0.24</v>
      </c>
      <c r="I394" s="188">
        <v>0.28999999999999998</v>
      </c>
      <c r="J394" s="188">
        <v>1.01</v>
      </c>
      <c r="K394" s="188">
        <v>0</v>
      </c>
      <c r="L394" s="188">
        <v>0.01</v>
      </c>
      <c r="M394" s="188">
        <v>0</v>
      </c>
      <c r="N394" s="188">
        <v>0</v>
      </c>
      <c r="O394" s="188">
        <v>1.47</v>
      </c>
      <c r="P394" s="188">
        <v>1.1000000000000001</v>
      </c>
      <c r="Q394" s="188">
        <v>0.04</v>
      </c>
      <c r="R394" s="188">
        <v>0.26</v>
      </c>
      <c r="S394" s="188">
        <v>0.01</v>
      </c>
      <c r="T394" s="188">
        <v>0</v>
      </c>
      <c r="U394" s="188">
        <v>0</v>
      </c>
      <c r="V394" s="188">
        <v>0</v>
      </c>
      <c r="W394" s="188"/>
      <c r="X394" s="89"/>
      <c r="Y394" s="187"/>
      <c r="Z394" s="187"/>
      <c r="AA394" s="187"/>
      <c r="AB394" s="187"/>
      <c r="AC394" s="187"/>
      <c r="AD394" s="189"/>
      <c r="AE394" s="188"/>
    </row>
    <row r="395" spans="1:31" ht="21.25" customHeight="1" x14ac:dyDescent="0.15">
      <c r="A395" s="10" t="s">
        <v>694</v>
      </c>
      <c r="B395" s="185" t="s">
        <v>851</v>
      </c>
      <c r="C395" s="186">
        <v>28</v>
      </c>
      <c r="D395" s="185" t="s">
        <v>820</v>
      </c>
      <c r="E395" s="89">
        <v>74</v>
      </c>
      <c r="F395" s="187">
        <v>13.5</v>
      </c>
      <c r="G395" s="188">
        <v>0.13</v>
      </c>
      <c r="H395" s="188">
        <v>0.17</v>
      </c>
      <c r="I395" s="188">
        <v>0.3</v>
      </c>
      <c r="J395" s="188">
        <v>0.98</v>
      </c>
      <c r="K395" s="188">
        <v>0</v>
      </c>
      <c r="L395" s="188">
        <v>0</v>
      </c>
      <c r="M395" s="188">
        <v>0.01</v>
      </c>
      <c r="N395" s="188">
        <v>0.01</v>
      </c>
      <c r="O395" s="188">
        <v>0.62</v>
      </c>
      <c r="P395" s="188">
        <v>1.05</v>
      </c>
      <c r="Q395" s="188">
        <v>-0.01</v>
      </c>
      <c r="R395" s="188">
        <v>0.4</v>
      </c>
      <c r="S395" s="188">
        <v>0.02</v>
      </c>
      <c r="T395" s="188">
        <v>3.91</v>
      </c>
      <c r="U395" s="188">
        <v>3.96</v>
      </c>
      <c r="V395" s="188">
        <v>0.5</v>
      </c>
      <c r="W395" s="188"/>
      <c r="X395" s="89"/>
      <c r="Y395" s="187"/>
      <c r="Z395" s="187"/>
      <c r="AA395" s="187"/>
      <c r="AB395" s="187"/>
      <c r="AC395" s="187"/>
      <c r="AD395" s="189"/>
      <c r="AE395" s="188"/>
    </row>
    <row r="396" spans="1:31" ht="21.25" customHeight="1" x14ac:dyDescent="0.15">
      <c r="A396" s="10" t="s">
        <v>742</v>
      </c>
      <c r="B396" s="185" t="s">
        <v>854</v>
      </c>
      <c r="C396" s="186">
        <v>21</v>
      </c>
      <c r="D396" s="185" t="s">
        <v>820</v>
      </c>
      <c r="E396" s="89">
        <v>63</v>
      </c>
      <c r="F396" s="187">
        <v>11.9</v>
      </c>
      <c r="G396" s="188">
        <v>0.11</v>
      </c>
      <c r="H396" s="188">
        <v>0.19</v>
      </c>
      <c r="I396" s="188">
        <v>0.3</v>
      </c>
      <c r="J396" s="188">
        <v>0.96</v>
      </c>
      <c r="K396" s="188">
        <v>0</v>
      </c>
      <c r="L396" s="188">
        <v>0.01</v>
      </c>
      <c r="M396" s="188">
        <v>0</v>
      </c>
      <c r="N396" s="188">
        <v>0.02</v>
      </c>
      <c r="O396" s="188">
        <v>0.44</v>
      </c>
      <c r="P396" s="188">
        <v>1.43</v>
      </c>
      <c r="Q396" s="188">
        <v>-0.03</v>
      </c>
      <c r="R396" s="188">
        <v>0.23</v>
      </c>
      <c r="S396" s="188">
        <v>0.02</v>
      </c>
      <c r="T396" s="188">
        <v>0.11</v>
      </c>
      <c r="U396" s="188">
        <v>0.27</v>
      </c>
      <c r="V396" s="188">
        <v>0.28999999999999998</v>
      </c>
      <c r="W396" s="188"/>
      <c r="X396" s="89"/>
      <c r="Y396" s="188"/>
      <c r="Z396" s="188"/>
      <c r="AA396" s="188"/>
      <c r="AB396" s="188"/>
      <c r="AC396" s="187"/>
      <c r="AD396" s="189"/>
      <c r="AE396" s="188"/>
    </row>
    <row r="397" spans="1:31" ht="21.25" customHeight="1" x14ac:dyDescent="0.15">
      <c r="A397" s="10" t="s">
        <v>696</v>
      </c>
      <c r="B397" s="185" t="s">
        <v>833</v>
      </c>
      <c r="C397" s="186">
        <v>27</v>
      </c>
      <c r="D397" s="185" t="s">
        <v>822</v>
      </c>
      <c r="E397" s="89">
        <v>77</v>
      </c>
      <c r="F397" s="187">
        <v>12.2</v>
      </c>
      <c r="G397" s="188">
        <v>0.13</v>
      </c>
      <c r="H397" s="188">
        <v>0.16</v>
      </c>
      <c r="I397" s="188">
        <v>0.28999999999999998</v>
      </c>
      <c r="J397" s="188">
        <v>1.1000000000000001</v>
      </c>
      <c r="K397" s="188">
        <v>0</v>
      </c>
      <c r="L397" s="188">
        <v>0</v>
      </c>
      <c r="M397" s="188">
        <v>0</v>
      </c>
      <c r="N397" s="188">
        <v>0</v>
      </c>
      <c r="O397" s="188">
        <v>0.48</v>
      </c>
      <c r="P397" s="188">
        <v>0.85</v>
      </c>
      <c r="Q397" s="188">
        <v>0.09</v>
      </c>
      <c r="R397" s="188">
        <v>0.36</v>
      </c>
      <c r="S397" s="188">
        <v>0.02</v>
      </c>
      <c r="T397" s="188">
        <v>0.64</v>
      </c>
      <c r="U397" s="188">
        <v>0.86</v>
      </c>
      <c r="V397" s="188">
        <v>0.43</v>
      </c>
      <c r="W397" s="188"/>
      <c r="X397" s="89"/>
      <c r="Y397" s="187"/>
      <c r="Z397" s="187"/>
      <c r="AA397" s="187"/>
      <c r="AB397" s="187"/>
      <c r="AC397" s="187"/>
      <c r="AD397" s="189"/>
      <c r="AE397" s="188"/>
    </row>
    <row r="398" spans="1:31" ht="21.25" customHeight="1" x14ac:dyDescent="0.15">
      <c r="A398" s="10" t="s">
        <v>421</v>
      </c>
      <c r="B398" s="185" t="s">
        <v>867</v>
      </c>
      <c r="C398" s="186">
        <v>20</v>
      </c>
      <c r="D398" s="185" t="s">
        <v>823</v>
      </c>
      <c r="E398" s="89">
        <v>74</v>
      </c>
      <c r="F398" s="187">
        <v>17.5</v>
      </c>
      <c r="G398" s="188">
        <v>0.12</v>
      </c>
      <c r="H398" s="188">
        <v>0.23</v>
      </c>
      <c r="I398" s="188">
        <v>0.34</v>
      </c>
      <c r="J398" s="188">
        <v>1.45</v>
      </c>
      <c r="K398" s="188">
        <v>0.06</v>
      </c>
      <c r="L398" s="188">
        <v>0.15</v>
      </c>
      <c r="M398" s="188">
        <v>0</v>
      </c>
      <c r="N398" s="188">
        <v>0</v>
      </c>
      <c r="O398" s="188">
        <v>1.08</v>
      </c>
      <c r="P398" s="188">
        <v>0.68</v>
      </c>
      <c r="Q398" s="188">
        <v>-0.1</v>
      </c>
      <c r="R398" s="188">
        <v>0.34</v>
      </c>
      <c r="S398" s="188">
        <v>0.02</v>
      </c>
      <c r="T398" s="188">
        <v>0</v>
      </c>
      <c r="U398" s="188">
        <v>0</v>
      </c>
      <c r="V398" s="188">
        <v>0</v>
      </c>
      <c r="W398" s="188"/>
      <c r="X398" s="89"/>
      <c r="Y398" s="187"/>
      <c r="Z398" s="187"/>
      <c r="AA398" s="187"/>
      <c r="AB398" s="187"/>
      <c r="AC398" s="187"/>
      <c r="AD398" s="189"/>
      <c r="AE398" s="188"/>
    </row>
    <row r="399" spans="1:31" ht="21.25" customHeight="1" x14ac:dyDescent="0.15">
      <c r="A399" s="10" t="s">
        <v>766</v>
      </c>
      <c r="B399" s="185" t="s">
        <v>837</v>
      </c>
      <c r="C399" s="186">
        <v>26</v>
      </c>
      <c r="D399" s="185" t="s">
        <v>835</v>
      </c>
      <c r="E399" s="89">
        <v>59</v>
      </c>
      <c r="F399" s="187">
        <v>11.4</v>
      </c>
      <c r="G399" s="188">
        <v>0.16</v>
      </c>
      <c r="H399" s="188">
        <v>0.14000000000000001</v>
      </c>
      <c r="I399" s="188">
        <v>0.3</v>
      </c>
      <c r="J399" s="188">
        <v>1.19</v>
      </c>
      <c r="K399" s="188">
        <v>0.01</v>
      </c>
      <c r="L399" s="188">
        <v>0.02</v>
      </c>
      <c r="M399" s="188">
        <v>0.01</v>
      </c>
      <c r="N399" s="188">
        <v>0.01</v>
      </c>
      <c r="O399" s="188">
        <v>0.53</v>
      </c>
      <c r="P399" s="188">
        <v>2.74</v>
      </c>
      <c r="Q399" s="188">
        <v>-0.01</v>
      </c>
      <c r="R399" s="188">
        <v>0.36</v>
      </c>
      <c r="S399" s="188">
        <v>0.02</v>
      </c>
      <c r="T399" s="188">
        <v>0.06</v>
      </c>
      <c r="U399" s="188">
        <v>0.09</v>
      </c>
      <c r="V399" s="188">
        <v>0.38</v>
      </c>
      <c r="W399" s="188"/>
      <c r="X399" s="89"/>
      <c r="Y399" s="187"/>
      <c r="Z399" s="187"/>
      <c r="AA399" s="187"/>
      <c r="AB399" s="187"/>
      <c r="AC399" s="187"/>
      <c r="AD399" s="189"/>
      <c r="AE399" s="188"/>
    </row>
    <row r="400" spans="1:31" ht="21.25" customHeight="1" x14ac:dyDescent="0.15">
      <c r="A400" s="10" t="s">
        <v>684</v>
      </c>
      <c r="B400" s="185" t="s">
        <v>865</v>
      </c>
      <c r="C400" s="186">
        <v>28</v>
      </c>
      <c r="D400" s="185" t="s">
        <v>822</v>
      </c>
      <c r="E400" s="89">
        <v>76</v>
      </c>
      <c r="F400" s="187">
        <v>11</v>
      </c>
      <c r="G400" s="188">
        <v>0.15</v>
      </c>
      <c r="H400" s="188">
        <v>0.15</v>
      </c>
      <c r="I400" s="188">
        <v>0.28999999999999998</v>
      </c>
      <c r="J400" s="188">
        <v>1.2</v>
      </c>
      <c r="K400" s="188">
        <v>0</v>
      </c>
      <c r="L400" s="188">
        <v>0</v>
      </c>
      <c r="M400" s="188">
        <v>0</v>
      </c>
      <c r="N400" s="188">
        <v>0</v>
      </c>
      <c r="O400" s="188">
        <v>0.65</v>
      </c>
      <c r="P400" s="188">
        <v>0.95</v>
      </c>
      <c r="Q400" s="188">
        <v>0.06</v>
      </c>
      <c r="R400" s="188">
        <v>0.26</v>
      </c>
      <c r="S400" s="188">
        <v>0.02</v>
      </c>
      <c r="T400" s="188">
        <v>0.01</v>
      </c>
      <c r="U400" s="188">
        <v>7.0000000000000007E-2</v>
      </c>
      <c r="V400" s="188">
        <v>0.13</v>
      </c>
      <c r="W400" s="188"/>
      <c r="X400" s="89"/>
      <c r="Y400" s="187"/>
      <c r="Z400" s="187"/>
      <c r="AA400" s="187"/>
      <c r="AB400" s="187"/>
      <c r="AC400" s="187"/>
      <c r="AD400" s="189"/>
      <c r="AE400" s="188"/>
    </row>
    <row r="401" spans="1:31" ht="21.25" customHeight="1" x14ac:dyDescent="0.15">
      <c r="A401" s="10" t="s">
        <v>678</v>
      </c>
      <c r="B401" s="185" t="s">
        <v>866</v>
      </c>
      <c r="C401" s="186">
        <v>33</v>
      </c>
      <c r="D401" s="185" t="s">
        <v>842</v>
      </c>
      <c r="E401" s="89">
        <v>80</v>
      </c>
      <c r="F401" s="187">
        <v>15</v>
      </c>
      <c r="G401" s="188">
        <v>0.1</v>
      </c>
      <c r="H401" s="188">
        <v>0.18</v>
      </c>
      <c r="I401" s="188">
        <v>0.28000000000000003</v>
      </c>
      <c r="J401" s="188">
        <v>1.02</v>
      </c>
      <c r="K401" s="188">
        <v>0.01</v>
      </c>
      <c r="L401" s="188">
        <v>0.02</v>
      </c>
      <c r="M401" s="188">
        <v>0</v>
      </c>
      <c r="N401" s="188">
        <v>0</v>
      </c>
      <c r="O401" s="188">
        <v>0.69</v>
      </c>
      <c r="P401" s="188">
        <v>0.59</v>
      </c>
      <c r="Q401" s="188">
        <v>-0.12</v>
      </c>
      <c r="R401" s="188">
        <v>0.19</v>
      </c>
      <c r="S401" s="188">
        <v>0.01</v>
      </c>
      <c r="T401" s="188">
        <v>4.58</v>
      </c>
      <c r="U401" s="188">
        <v>5.27</v>
      </c>
      <c r="V401" s="188">
        <v>0.46</v>
      </c>
      <c r="W401" s="188"/>
      <c r="X401" s="89"/>
      <c r="Y401" s="187"/>
      <c r="Z401" s="187"/>
      <c r="AA401" s="187"/>
      <c r="AB401" s="187"/>
      <c r="AC401" s="187"/>
      <c r="AD401" s="189"/>
      <c r="AE401" s="188"/>
    </row>
    <row r="402" spans="1:31" ht="21.25" customHeight="1" x14ac:dyDescent="0.15">
      <c r="A402" s="10" t="s">
        <v>348</v>
      </c>
      <c r="B402" s="185" t="s">
        <v>841</v>
      </c>
      <c r="C402" s="186">
        <v>32</v>
      </c>
      <c r="D402" s="185" t="s">
        <v>823</v>
      </c>
      <c r="E402" s="89">
        <v>81</v>
      </c>
      <c r="F402" s="187">
        <v>22.2</v>
      </c>
      <c r="G402" s="188">
        <v>0.04</v>
      </c>
      <c r="H402" s="188">
        <v>0.26</v>
      </c>
      <c r="I402" s="188">
        <v>0.28999999999999998</v>
      </c>
      <c r="J402" s="188">
        <v>0.88</v>
      </c>
      <c r="K402" s="188">
        <v>0</v>
      </c>
      <c r="L402" s="188">
        <v>0</v>
      </c>
      <c r="M402" s="188">
        <v>0</v>
      </c>
      <c r="N402" s="188">
        <v>0.01</v>
      </c>
      <c r="O402" s="188">
        <v>2.15</v>
      </c>
      <c r="P402" s="188">
        <v>1.43</v>
      </c>
      <c r="Q402" s="188">
        <v>0.01</v>
      </c>
      <c r="R402" s="188">
        <v>0.67</v>
      </c>
      <c r="S402" s="188">
        <v>0.01</v>
      </c>
      <c r="T402" s="188">
        <v>0</v>
      </c>
      <c r="U402" s="188">
        <v>0</v>
      </c>
      <c r="V402" s="188">
        <v>0</v>
      </c>
      <c r="W402" s="188"/>
      <c r="X402" s="89"/>
      <c r="Y402" s="187"/>
      <c r="Z402" s="187"/>
      <c r="AA402" s="187"/>
      <c r="AB402" s="187"/>
      <c r="AC402" s="187"/>
      <c r="AD402" s="189"/>
      <c r="AE402" s="188"/>
    </row>
    <row r="403" spans="1:31" ht="21.25" customHeight="1" x14ac:dyDescent="0.15">
      <c r="A403" s="10" t="s">
        <v>695</v>
      </c>
      <c r="B403" s="185" t="s">
        <v>847</v>
      </c>
      <c r="C403" s="186">
        <v>33</v>
      </c>
      <c r="D403" s="185" t="s">
        <v>835</v>
      </c>
      <c r="E403" s="89">
        <v>79</v>
      </c>
      <c r="F403" s="187">
        <v>12.3</v>
      </c>
      <c r="G403" s="188">
        <v>0.1</v>
      </c>
      <c r="H403" s="188">
        <v>0.16</v>
      </c>
      <c r="I403" s="188">
        <v>0.26</v>
      </c>
      <c r="J403" s="188">
        <v>0.98</v>
      </c>
      <c r="K403" s="188">
        <v>0.01</v>
      </c>
      <c r="L403" s="188">
        <v>0.02</v>
      </c>
      <c r="M403" s="188">
        <v>0</v>
      </c>
      <c r="N403" s="188">
        <v>0</v>
      </c>
      <c r="O403" s="188">
        <v>0.51</v>
      </c>
      <c r="P403" s="188">
        <v>1.1100000000000001</v>
      </c>
      <c r="Q403" s="188">
        <v>0.01</v>
      </c>
      <c r="R403" s="188">
        <v>0.28999999999999998</v>
      </c>
      <c r="S403" s="188">
        <v>0.02</v>
      </c>
      <c r="T403" s="188">
        <v>1.92</v>
      </c>
      <c r="U403" s="188">
        <v>2.66</v>
      </c>
      <c r="V403" s="188">
        <v>0.42</v>
      </c>
      <c r="W403" s="188"/>
      <c r="X403" s="89"/>
      <c r="Y403" s="187"/>
      <c r="Z403" s="187"/>
      <c r="AA403" s="187"/>
      <c r="AB403" s="187"/>
      <c r="AC403" s="187"/>
      <c r="AD403" s="189"/>
      <c r="AE403" s="188"/>
    </row>
    <row r="404" spans="1:31" ht="21.25" customHeight="1" x14ac:dyDescent="0.15">
      <c r="A404" s="10" t="s">
        <v>434</v>
      </c>
      <c r="B404" s="185" t="s">
        <v>855</v>
      </c>
      <c r="C404" s="186">
        <v>25</v>
      </c>
      <c r="D404" s="185" t="s">
        <v>823</v>
      </c>
      <c r="E404" s="89">
        <v>74</v>
      </c>
      <c r="F404" s="187">
        <v>19.2</v>
      </c>
      <c r="G404" s="188">
        <v>7.0000000000000007E-2</v>
      </c>
      <c r="H404" s="188">
        <v>0.26</v>
      </c>
      <c r="I404" s="188">
        <v>0.33</v>
      </c>
      <c r="J404" s="188">
        <v>1.06</v>
      </c>
      <c r="K404" s="188">
        <v>0</v>
      </c>
      <c r="L404" s="188">
        <v>0.01</v>
      </c>
      <c r="M404" s="188">
        <v>0</v>
      </c>
      <c r="N404" s="188">
        <v>0.03</v>
      </c>
      <c r="O404" s="188">
        <v>1.59</v>
      </c>
      <c r="P404" s="188">
        <v>1.37</v>
      </c>
      <c r="Q404" s="188">
        <v>-0.06</v>
      </c>
      <c r="R404" s="188">
        <v>0.51</v>
      </c>
      <c r="S404" s="188">
        <v>0.01</v>
      </c>
      <c r="T404" s="188">
        <v>0</v>
      </c>
      <c r="U404" s="188">
        <v>0</v>
      </c>
      <c r="V404" s="188">
        <v>0</v>
      </c>
      <c r="W404" s="188"/>
      <c r="X404" s="89"/>
      <c r="Y404" s="187"/>
      <c r="Z404" s="187"/>
      <c r="AA404" s="187"/>
      <c r="AB404" s="187"/>
      <c r="AC404" s="187"/>
      <c r="AD404" s="189"/>
      <c r="AE404" s="188"/>
    </row>
    <row r="405" spans="1:31" ht="21.25" customHeight="1" x14ac:dyDescent="0.15">
      <c r="A405" s="10" t="s">
        <v>350</v>
      </c>
      <c r="B405" s="185" t="s">
        <v>847</v>
      </c>
      <c r="C405" s="186">
        <v>27</v>
      </c>
      <c r="D405" s="185" t="s">
        <v>823</v>
      </c>
      <c r="E405" s="89">
        <v>78</v>
      </c>
      <c r="F405" s="187">
        <v>22</v>
      </c>
      <c r="G405" s="188">
        <v>0.05</v>
      </c>
      <c r="H405" s="188">
        <v>0.24</v>
      </c>
      <c r="I405" s="188">
        <v>0.28999999999999998</v>
      </c>
      <c r="J405" s="188">
        <v>1.4</v>
      </c>
      <c r="K405" s="188">
        <v>0</v>
      </c>
      <c r="L405" s="188">
        <v>0</v>
      </c>
      <c r="M405" s="188">
        <v>0</v>
      </c>
      <c r="N405" s="188">
        <v>0</v>
      </c>
      <c r="O405" s="188">
        <v>1.83</v>
      </c>
      <c r="P405" s="188">
        <v>0.91</v>
      </c>
      <c r="Q405" s="188">
        <v>0.03</v>
      </c>
      <c r="R405" s="188">
        <v>0.36</v>
      </c>
      <c r="S405" s="188">
        <v>0.01</v>
      </c>
      <c r="T405" s="188">
        <v>0</v>
      </c>
      <c r="U405" s="188">
        <v>0</v>
      </c>
      <c r="V405" s="188">
        <v>0</v>
      </c>
      <c r="W405" s="188"/>
      <c r="X405" s="89"/>
      <c r="Y405" s="187"/>
      <c r="Z405" s="187"/>
      <c r="AA405" s="187"/>
      <c r="AB405" s="187"/>
      <c r="AC405" s="187"/>
      <c r="AD405" s="189"/>
      <c r="AE405" s="188"/>
    </row>
    <row r="406" spans="1:31" ht="21.25" customHeight="1" x14ac:dyDescent="0.15">
      <c r="A406" s="10" t="s">
        <v>661</v>
      </c>
      <c r="B406" s="185" t="s">
        <v>846</v>
      </c>
      <c r="C406" s="186">
        <v>33</v>
      </c>
      <c r="D406" s="185" t="s">
        <v>820</v>
      </c>
      <c r="E406" s="89">
        <v>82</v>
      </c>
      <c r="F406" s="187">
        <v>13.9</v>
      </c>
      <c r="G406" s="188">
        <v>7.0000000000000007E-2</v>
      </c>
      <c r="H406" s="188">
        <v>0.22</v>
      </c>
      <c r="I406" s="188">
        <v>0.28999999999999998</v>
      </c>
      <c r="J406" s="188">
        <v>1.1200000000000001</v>
      </c>
      <c r="K406" s="188">
        <v>0</v>
      </c>
      <c r="L406" s="188">
        <v>0</v>
      </c>
      <c r="M406" s="188">
        <v>0</v>
      </c>
      <c r="N406" s="188">
        <v>0.01</v>
      </c>
      <c r="O406" s="188">
        <v>0.57999999999999996</v>
      </c>
      <c r="P406" s="188">
        <v>0.84</v>
      </c>
      <c r="Q406" s="188">
        <v>0.03</v>
      </c>
      <c r="R406" s="188">
        <v>0.27</v>
      </c>
      <c r="S406" s="188">
        <v>0.01</v>
      </c>
      <c r="T406" s="188">
        <v>6.26</v>
      </c>
      <c r="U406" s="188">
        <v>5.55</v>
      </c>
      <c r="V406" s="188">
        <v>0.53</v>
      </c>
      <c r="W406" s="188"/>
      <c r="X406" s="89"/>
      <c r="Y406" s="187"/>
      <c r="Z406" s="187"/>
      <c r="AA406" s="187"/>
      <c r="AB406" s="187"/>
      <c r="AC406" s="187"/>
      <c r="AD406" s="189"/>
      <c r="AE406" s="188"/>
    </row>
    <row r="407" spans="1:31" ht="21.25" customHeight="1" x14ac:dyDescent="0.15">
      <c r="A407" s="10" t="s">
        <v>669</v>
      </c>
      <c r="B407" s="185" t="s">
        <v>847</v>
      </c>
      <c r="C407" s="186">
        <v>27</v>
      </c>
      <c r="D407" s="185" t="s">
        <v>835</v>
      </c>
      <c r="E407" s="89">
        <v>80</v>
      </c>
      <c r="F407" s="187">
        <v>12.8</v>
      </c>
      <c r="G407" s="188">
        <v>0.16</v>
      </c>
      <c r="H407" s="188">
        <v>0.16</v>
      </c>
      <c r="I407" s="188">
        <v>0.33</v>
      </c>
      <c r="J407" s="188">
        <v>1.53</v>
      </c>
      <c r="K407" s="188">
        <v>0</v>
      </c>
      <c r="L407" s="188">
        <v>0</v>
      </c>
      <c r="M407" s="188">
        <v>0.02</v>
      </c>
      <c r="N407" s="188">
        <v>0.02</v>
      </c>
      <c r="O407" s="188">
        <v>0.65</v>
      </c>
      <c r="P407" s="188">
        <v>2</v>
      </c>
      <c r="Q407" s="188">
        <v>0.01</v>
      </c>
      <c r="R407" s="188">
        <v>0.36</v>
      </c>
      <c r="S407" s="188">
        <v>0.03</v>
      </c>
      <c r="T407" s="188">
        <v>3.42</v>
      </c>
      <c r="U407" s="188">
        <v>3.68</v>
      </c>
      <c r="V407" s="188">
        <v>0.48</v>
      </c>
      <c r="W407" s="188"/>
      <c r="X407" s="89"/>
      <c r="Y407" s="187"/>
      <c r="Z407" s="187"/>
      <c r="AA407" s="187"/>
      <c r="AB407" s="187"/>
      <c r="AC407" s="187"/>
      <c r="AD407" s="189"/>
      <c r="AE407" s="188"/>
    </row>
    <row r="408" spans="1:31" ht="21.25" customHeight="1" x14ac:dyDescent="0.15">
      <c r="A408" s="10" t="s">
        <v>479</v>
      </c>
      <c r="B408" s="185" t="s">
        <v>854</v>
      </c>
      <c r="C408" s="186">
        <v>21</v>
      </c>
      <c r="D408" s="185" t="s">
        <v>823</v>
      </c>
      <c r="E408" s="89">
        <v>70</v>
      </c>
      <c r="F408" s="187">
        <v>16.899999999999999</v>
      </c>
      <c r="G408" s="188">
        <v>0.1</v>
      </c>
      <c r="H408" s="188">
        <v>0.19</v>
      </c>
      <c r="I408" s="188">
        <v>0.28999999999999998</v>
      </c>
      <c r="J408" s="188">
        <v>1.19</v>
      </c>
      <c r="K408" s="188">
        <v>0</v>
      </c>
      <c r="L408" s="188">
        <v>0</v>
      </c>
      <c r="M408" s="188">
        <v>0</v>
      </c>
      <c r="N408" s="188">
        <v>0</v>
      </c>
      <c r="O408" s="188">
        <v>1.1399999999999999</v>
      </c>
      <c r="P408" s="188">
        <v>0.98</v>
      </c>
      <c r="Q408" s="188">
        <v>-0.01</v>
      </c>
      <c r="R408" s="188">
        <v>0.39</v>
      </c>
      <c r="S408" s="188">
        <v>0.01</v>
      </c>
      <c r="T408" s="188">
        <v>0</v>
      </c>
      <c r="U408" s="188">
        <v>0</v>
      </c>
      <c r="V408" s="188">
        <v>0</v>
      </c>
      <c r="W408" s="188"/>
      <c r="X408" s="89"/>
      <c r="Y408" s="187"/>
      <c r="Z408" s="187"/>
      <c r="AA408" s="187"/>
      <c r="AB408" s="187"/>
      <c r="AC408" s="187"/>
      <c r="AD408" s="189"/>
      <c r="AE408" s="188"/>
    </row>
    <row r="409" spans="1:31" ht="21.25" customHeight="1" x14ac:dyDescent="0.15">
      <c r="A409" s="10" t="s">
        <v>459</v>
      </c>
      <c r="B409" s="185" t="s">
        <v>851</v>
      </c>
      <c r="C409" s="186">
        <v>25</v>
      </c>
      <c r="D409" s="185" t="s">
        <v>823</v>
      </c>
      <c r="E409" s="89">
        <v>72</v>
      </c>
      <c r="F409" s="187">
        <v>19</v>
      </c>
      <c r="G409" s="188">
        <v>0.05</v>
      </c>
      <c r="H409" s="188">
        <v>0.24</v>
      </c>
      <c r="I409" s="188">
        <v>0.28999999999999998</v>
      </c>
      <c r="J409" s="188">
        <v>1.01</v>
      </c>
      <c r="K409" s="188">
        <v>0</v>
      </c>
      <c r="L409" s="188">
        <v>0</v>
      </c>
      <c r="M409" s="188">
        <v>0</v>
      </c>
      <c r="N409" s="188">
        <v>0</v>
      </c>
      <c r="O409" s="188">
        <v>1.42</v>
      </c>
      <c r="P409" s="188">
        <v>1.4</v>
      </c>
      <c r="Q409" s="188">
        <v>0.02</v>
      </c>
      <c r="R409" s="188">
        <v>0.36</v>
      </c>
      <c r="S409" s="188">
        <v>0.01</v>
      </c>
      <c r="T409" s="188">
        <v>0</v>
      </c>
      <c r="U409" s="188">
        <v>0</v>
      </c>
      <c r="V409" s="188">
        <v>0</v>
      </c>
      <c r="W409" s="188"/>
      <c r="X409" s="89"/>
      <c r="Y409" s="187"/>
      <c r="Z409" s="187"/>
      <c r="AA409" s="187"/>
      <c r="AB409" s="187"/>
      <c r="AC409" s="187"/>
      <c r="AD409" s="189"/>
      <c r="AE409" s="188"/>
    </row>
    <row r="410" spans="1:31" ht="21.25" customHeight="1" x14ac:dyDescent="0.15">
      <c r="A410" s="10" t="s">
        <v>714</v>
      </c>
      <c r="B410" s="185" t="s">
        <v>860</v>
      </c>
      <c r="C410" s="186">
        <v>25</v>
      </c>
      <c r="D410" s="185" t="s">
        <v>821</v>
      </c>
      <c r="E410" s="89">
        <v>78</v>
      </c>
      <c r="F410" s="187">
        <v>11.6</v>
      </c>
      <c r="G410" s="188">
        <v>0.12</v>
      </c>
      <c r="H410" s="188">
        <v>0.17</v>
      </c>
      <c r="I410" s="188">
        <v>0.28999999999999998</v>
      </c>
      <c r="J410" s="188">
        <v>1</v>
      </c>
      <c r="K410" s="188">
        <v>0</v>
      </c>
      <c r="L410" s="188">
        <v>0</v>
      </c>
      <c r="M410" s="188">
        <v>0.01</v>
      </c>
      <c r="N410" s="188">
        <v>0.01</v>
      </c>
      <c r="O410" s="188">
        <v>0.56000000000000005</v>
      </c>
      <c r="P410" s="188">
        <v>2.6</v>
      </c>
      <c r="Q410" s="188">
        <v>-0.02</v>
      </c>
      <c r="R410" s="188">
        <v>0.43</v>
      </c>
      <c r="S410" s="188">
        <v>0.02</v>
      </c>
      <c r="T410" s="188">
        <v>0.11</v>
      </c>
      <c r="U410" s="188">
        <v>0.25</v>
      </c>
      <c r="V410" s="188">
        <v>0.3</v>
      </c>
      <c r="W410" s="188"/>
      <c r="X410" s="89"/>
      <c r="Y410" s="187"/>
      <c r="Z410" s="187"/>
      <c r="AA410" s="187"/>
      <c r="AB410" s="187"/>
      <c r="AC410" s="187"/>
      <c r="AD410" s="189"/>
      <c r="AE410" s="188"/>
    </row>
    <row r="411" spans="1:31" ht="21.25" customHeight="1" x14ac:dyDescent="0.15">
      <c r="A411" s="10" t="s">
        <v>738</v>
      </c>
      <c r="B411" s="185" t="s">
        <v>864</v>
      </c>
      <c r="C411" s="186">
        <v>26</v>
      </c>
      <c r="D411" s="185" t="s">
        <v>835</v>
      </c>
      <c r="E411" s="89">
        <v>71</v>
      </c>
      <c r="F411" s="187">
        <v>12.1</v>
      </c>
      <c r="G411" s="188">
        <v>0.17</v>
      </c>
      <c r="H411" s="188">
        <v>0.12</v>
      </c>
      <c r="I411" s="188">
        <v>0.28999999999999998</v>
      </c>
      <c r="J411" s="188">
        <v>1</v>
      </c>
      <c r="K411" s="188">
        <v>0</v>
      </c>
      <c r="L411" s="188">
        <v>0.01</v>
      </c>
      <c r="M411" s="188">
        <v>0</v>
      </c>
      <c r="N411" s="188">
        <v>0.01</v>
      </c>
      <c r="O411" s="188">
        <v>0.55000000000000004</v>
      </c>
      <c r="P411" s="188">
        <v>0.73</v>
      </c>
      <c r="Q411" s="188">
        <v>-0.13</v>
      </c>
      <c r="R411" s="188">
        <v>0.3</v>
      </c>
      <c r="S411" s="188">
        <v>0.02</v>
      </c>
      <c r="T411" s="188">
        <v>1.91</v>
      </c>
      <c r="U411" s="188">
        <v>2.61</v>
      </c>
      <c r="V411" s="188">
        <v>0.42</v>
      </c>
      <c r="W411" s="188"/>
      <c r="X411" s="89"/>
      <c r="Y411" s="187"/>
      <c r="Z411" s="187"/>
      <c r="AA411" s="187"/>
      <c r="AB411" s="187"/>
      <c r="AC411" s="187"/>
      <c r="AD411" s="189"/>
      <c r="AE411" s="188"/>
    </row>
    <row r="412" spans="1:31" ht="21.25" customHeight="1" x14ac:dyDescent="0.15">
      <c r="A412" s="10" t="s">
        <v>680</v>
      </c>
      <c r="B412" s="185" t="s">
        <v>847</v>
      </c>
      <c r="C412" s="186">
        <v>34</v>
      </c>
      <c r="D412" s="185" t="s">
        <v>844</v>
      </c>
      <c r="E412" s="89">
        <v>80</v>
      </c>
      <c r="F412" s="187">
        <v>12.7</v>
      </c>
      <c r="G412" s="188">
        <v>0.14000000000000001</v>
      </c>
      <c r="H412" s="188">
        <v>0.18</v>
      </c>
      <c r="I412" s="188">
        <v>0.31</v>
      </c>
      <c r="J412" s="188">
        <v>1.43</v>
      </c>
      <c r="K412" s="188">
        <v>0.03</v>
      </c>
      <c r="L412" s="188">
        <v>0.08</v>
      </c>
      <c r="M412" s="188">
        <v>0</v>
      </c>
      <c r="N412" s="188">
        <v>0</v>
      </c>
      <c r="O412" s="188">
        <v>0.37</v>
      </c>
      <c r="P412" s="188">
        <v>1.3</v>
      </c>
      <c r="Q412" s="188">
        <v>0.02</v>
      </c>
      <c r="R412" s="188">
        <v>0.28999999999999998</v>
      </c>
      <c r="S412" s="188">
        <v>0.02</v>
      </c>
      <c r="T412" s="188">
        <v>0.12</v>
      </c>
      <c r="U412" s="188">
        <v>0.15</v>
      </c>
      <c r="V412" s="188">
        <v>0.44</v>
      </c>
      <c r="W412" s="188"/>
      <c r="X412" s="89"/>
      <c r="Y412" s="187"/>
      <c r="Z412" s="187"/>
      <c r="AA412" s="187"/>
      <c r="AB412" s="187"/>
      <c r="AC412" s="187"/>
      <c r="AD412" s="189"/>
      <c r="AE412" s="188"/>
    </row>
    <row r="413" spans="1:31" ht="21.25" customHeight="1" x14ac:dyDescent="0.15">
      <c r="A413" s="10" t="s">
        <v>427</v>
      </c>
      <c r="B413" s="185" t="s">
        <v>846</v>
      </c>
      <c r="C413" s="186">
        <v>24</v>
      </c>
      <c r="D413" s="185" t="s">
        <v>823</v>
      </c>
      <c r="E413" s="89">
        <v>67</v>
      </c>
      <c r="F413" s="187">
        <v>18.5</v>
      </c>
      <c r="G413" s="188">
        <v>7.0000000000000007E-2</v>
      </c>
      <c r="H413" s="188">
        <v>0.21</v>
      </c>
      <c r="I413" s="188">
        <v>0.28999999999999998</v>
      </c>
      <c r="J413" s="188">
        <v>1.0900000000000001</v>
      </c>
      <c r="K413" s="188">
        <v>0</v>
      </c>
      <c r="L413" s="188">
        <v>0</v>
      </c>
      <c r="M413" s="188">
        <v>0</v>
      </c>
      <c r="N413" s="188">
        <v>0.01</v>
      </c>
      <c r="O413" s="188">
        <v>1.63</v>
      </c>
      <c r="P413" s="188">
        <v>1.57</v>
      </c>
      <c r="Q413" s="188">
        <v>0.02</v>
      </c>
      <c r="R413" s="188">
        <v>0.66</v>
      </c>
      <c r="S413" s="188">
        <v>0.01</v>
      </c>
      <c r="T413" s="188">
        <v>0</v>
      </c>
      <c r="U413" s="188">
        <v>0</v>
      </c>
      <c r="V413" s="188">
        <v>0</v>
      </c>
      <c r="W413" s="188"/>
      <c r="X413" s="89"/>
      <c r="Y413" s="187"/>
      <c r="Z413" s="187"/>
      <c r="AA413" s="187"/>
      <c r="AB413" s="187"/>
      <c r="AC413" s="187"/>
      <c r="AD413" s="189"/>
      <c r="AE413" s="188"/>
    </row>
    <row r="414" spans="1:31" ht="21.25" customHeight="1" x14ac:dyDescent="0.15">
      <c r="A414" s="10" t="s">
        <v>713</v>
      </c>
      <c r="B414" s="185" t="s">
        <v>867</v>
      </c>
      <c r="C414" s="186">
        <v>26</v>
      </c>
      <c r="D414" s="185" t="s">
        <v>822</v>
      </c>
      <c r="E414" s="89">
        <v>69</v>
      </c>
      <c r="F414" s="187">
        <v>11.9</v>
      </c>
      <c r="G414" s="188">
        <v>0.12</v>
      </c>
      <c r="H414" s="188">
        <v>0.17</v>
      </c>
      <c r="I414" s="188">
        <v>0.28999999999999998</v>
      </c>
      <c r="J414" s="188">
        <v>1.21</v>
      </c>
      <c r="K414" s="188">
        <v>0</v>
      </c>
      <c r="L414" s="188">
        <v>0.01</v>
      </c>
      <c r="M414" s="188">
        <v>0</v>
      </c>
      <c r="N414" s="188">
        <v>0</v>
      </c>
      <c r="O414" s="188">
        <v>0.68</v>
      </c>
      <c r="P414" s="188">
        <v>3.64</v>
      </c>
      <c r="Q414" s="188">
        <v>-0.1</v>
      </c>
      <c r="R414" s="188">
        <v>0.78</v>
      </c>
      <c r="S414" s="188">
        <v>0.02</v>
      </c>
      <c r="T414" s="188">
        <v>0.17</v>
      </c>
      <c r="U414" s="188">
        <v>0.36</v>
      </c>
      <c r="V414" s="188">
        <v>0.32</v>
      </c>
      <c r="W414" s="188"/>
      <c r="X414" s="89"/>
      <c r="Y414" s="187"/>
      <c r="Z414" s="187"/>
      <c r="AA414" s="187"/>
      <c r="AB414" s="187"/>
      <c r="AC414" s="187"/>
      <c r="AD414" s="189"/>
      <c r="AE414" s="188"/>
    </row>
    <row r="415" spans="1:31" ht="21.25" customHeight="1" x14ac:dyDescent="0.15">
      <c r="A415" s="10" t="s">
        <v>384</v>
      </c>
      <c r="B415" s="185" t="s">
        <v>860</v>
      </c>
      <c r="C415" s="186">
        <v>30</v>
      </c>
      <c r="D415" s="185" t="s">
        <v>823</v>
      </c>
      <c r="E415" s="89">
        <v>83</v>
      </c>
      <c r="F415" s="187">
        <v>20.8</v>
      </c>
      <c r="G415" s="188">
        <v>0.04</v>
      </c>
      <c r="H415" s="188">
        <v>0.24</v>
      </c>
      <c r="I415" s="188">
        <v>0.28999999999999998</v>
      </c>
      <c r="J415" s="188">
        <v>0.86</v>
      </c>
      <c r="K415" s="188">
        <v>0</v>
      </c>
      <c r="L415" s="188">
        <v>0</v>
      </c>
      <c r="M415" s="188">
        <v>0</v>
      </c>
      <c r="N415" s="188">
        <v>0</v>
      </c>
      <c r="O415" s="188">
        <v>1.67</v>
      </c>
      <c r="P415" s="188">
        <v>0.98</v>
      </c>
      <c r="Q415" s="188">
        <v>0</v>
      </c>
      <c r="R415" s="188">
        <v>0.59</v>
      </c>
      <c r="S415" s="188">
        <v>0.01</v>
      </c>
      <c r="T415" s="188">
        <v>0</v>
      </c>
      <c r="U415" s="188">
        <v>0</v>
      </c>
      <c r="V415" s="188">
        <v>0</v>
      </c>
      <c r="W415" s="188"/>
      <c r="X415" s="89"/>
      <c r="Y415" s="187"/>
      <c r="Z415" s="187"/>
      <c r="AA415" s="187"/>
      <c r="AB415" s="187"/>
      <c r="AC415" s="187"/>
      <c r="AD415" s="189"/>
      <c r="AE415" s="188"/>
    </row>
    <row r="416" spans="1:31" ht="21.25" customHeight="1" x14ac:dyDescent="0.15">
      <c r="A416" s="10" t="s">
        <v>467</v>
      </c>
      <c r="B416" s="185" t="s">
        <v>851</v>
      </c>
      <c r="C416" s="186">
        <v>28</v>
      </c>
      <c r="D416" s="185" t="s">
        <v>823</v>
      </c>
      <c r="E416" s="89">
        <v>77</v>
      </c>
      <c r="F416" s="187">
        <v>18.3</v>
      </c>
      <c r="G416" s="188">
        <v>0.04</v>
      </c>
      <c r="H416" s="188">
        <v>0.24</v>
      </c>
      <c r="I416" s="188">
        <v>0.28999999999999998</v>
      </c>
      <c r="J416" s="188">
        <v>0.9</v>
      </c>
      <c r="K416" s="188">
        <v>0</v>
      </c>
      <c r="L416" s="188">
        <v>0</v>
      </c>
      <c r="M416" s="188">
        <v>0</v>
      </c>
      <c r="N416" s="188">
        <v>0</v>
      </c>
      <c r="O416" s="188">
        <v>1.2</v>
      </c>
      <c r="P416" s="188">
        <v>0.64</v>
      </c>
      <c r="Q416" s="188">
        <v>0</v>
      </c>
      <c r="R416" s="188">
        <v>0.28999999999999998</v>
      </c>
      <c r="S416" s="188">
        <v>0.01</v>
      </c>
      <c r="T416" s="188">
        <v>0</v>
      </c>
      <c r="U416" s="188">
        <v>0</v>
      </c>
      <c r="V416" s="188">
        <v>0</v>
      </c>
      <c r="W416" s="188"/>
      <c r="X416" s="89"/>
      <c r="Y416" s="187"/>
      <c r="Z416" s="187"/>
      <c r="AA416" s="187"/>
      <c r="AB416" s="187"/>
      <c r="AC416" s="187"/>
      <c r="AD416" s="189"/>
      <c r="AE416" s="188"/>
    </row>
    <row r="417" spans="1:31" ht="21.25" customHeight="1" x14ac:dyDescent="0.15">
      <c r="A417" s="10" t="s">
        <v>393</v>
      </c>
      <c r="B417" s="185" t="s">
        <v>859</v>
      </c>
      <c r="C417" s="186">
        <v>29</v>
      </c>
      <c r="D417" s="185" t="s">
        <v>823</v>
      </c>
      <c r="E417" s="89">
        <v>79</v>
      </c>
      <c r="F417" s="187">
        <v>20.8</v>
      </c>
      <c r="G417" s="188">
        <v>0.04</v>
      </c>
      <c r="H417" s="188">
        <v>0.25</v>
      </c>
      <c r="I417" s="188">
        <v>0.28000000000000003</v>
      </c>
      <c r="J417" s="188">
        <v>1.04</v>
      </c>
      <c r="K417" s="188">
        <v>0</v>
      </c>
      <c r="L417" s="188">
        <v>0</v>
      </c>
      <c r="M417" s="188">
        <v>0</v>
      </c>
      <c r="N417" s="188">
        <v>0.01</v>
      </c>
      <c r="O417" s="188">
        <v>1.62</v>
      </c>
      <c r="P417" s="188">
        <v>0.95</v>
      </c>
      <c r="Q417" s="188">
        <v>0.04</v>
      </c>
      <c r="R417" s="188">
        <v>0.6</v>
      </c>
      <c r="S417" s="188">
        <v>0.01</v>
      </c>
      <c r="T417" s="188">
        <v>0</v>
      </c>
      <c r="U417" s="188">
        <v>0</v>
      </c>
      <c r="V417" s="188">
        <v>0</v>
      </c>
      <c r="W417" s="188"/>
      <c r="X417" s="89"/>
      <c r="Y417" s="187"/>
      <c r="Z417" s="187"/>
      <c r="AA417" s="187"/>
      <c r="AB417" s="187"/>
      <c r="AC417" s="187"/>
      <c r="AD417" s="189"/>
      <c r="AE417" s="188"/>
    </row>
    <row r="418" spans="1:31" ht="21.25" customHeight="1" x14ac:dyDescent="0.15">
      <c r="A418" s="10" t="s">
        <v>707</v>
      </c>
      <c r="B418" s="185" t="s">
        <v>845</v>
      </c>
      <c r="C418" s="186">
        <v>41</v>
      </c>
      <c r="D418" s="185" t="s">
        <v>822</v>
      </c>
      <c r="E418" s="89">
        <v>79</v>
      </c>
      <c r="F418" s="187">
        <v>11.2</v>
      </c>
      <c r="G418" s="188">
        <v>0.15</v>
      </c>
      <c r="H418" s="188">
        <v>0.13</v>
      </c>
      <c r="I418" s="188">
        <v>0.28000000000000003</v>
      </c>
      <c r="J418" s="188">
        <v>1.1399999999999999</v>
      </c>
      <c r="K418" s="188">
        <v>0.02</v>
      </c>
      <c r="L418" s="188">
        <v>0.04</v>
      </c>
      <c r="M418" s="188">
        <v>0</v>
      </c>
      <c r="N418" s="188">
        <v>0</v>
      </c>
      <c r="O418" s="188">
        <v>0.3</v>
      </c>
      <c r="P418" s="188">
        <v>0.57999999999999996</v>
      </c>
      <c r="Q418" s="188">
        <v>0</v>
      </c>
      <c r="R418" s="188">
        <v>0.55000000000000004</v>
      </c>
      <c r="S418" s="188">
        <v>0.02</v>
      </c>
      <c r="T418" s="188">
        <v>0.09</v>
      </c>
      <c r="U418" s="188">
        <v>0.22</v>
      </c>
      <c r="V418" s="188">
        <v>0.28999999999999998</v>
      </c>
      <c r="W418" s="188"/>
      <c r="X418" s="89"/>
      <c r="Y418" s="187"/>
      <c r="Z418" s="187"/>
      <c r="AA418" s="187"/>
      <c r="AB418" s="187"/>
      <c r="AC418" s="187"/>
      <c r="AD418" s="189"/>
      <c r="AE418" s="188"/>
    </row>
    <row r="419" spans="1:31" ht="21.25" customHeight="1" x14ac:dyDescent="0.15">
      <c r="A419" s="10" t="s">
        <v>764</v>
      </c>
      <c r="B419" s="185" t="s">
        <v>832</v>
      </c>
      <c r="C419" s="186">
        <v>24</v>
      </c>
      <c r="D419" s="185" t="s">
        <v>820</v>
      </c>
      <c r="E419" s="89">
        <v>60</v>
      </c>
      <c r="F419" s="187">
        <v>12.5</v>
      </c>
      <c r="G419" s="188">
        <v>0.13</v>
      </c>
      <c r="H419" s="188">
        <v>0.16</v>
      </c>
      <c r="I419" s="188">
        <v>0.28000000000000003</v>
      </c>
      <c r="J419" s="188">
        <v>0.82</v>
      </c>
      <c r="K419" s="188">
        <v>0</v>
      </c>
      <c r="L419" s="188">
        <v>0</v>
      </c>
      <c r="M419" s="188">
        <v>0</v>
      </c>
      <c r="N419" s="188">
        <v>0</v>
      </c>
      <c r="O419" s="188">
        <v>0.59</v>
      </c>
      <c r="P419" s="188">
        <v>1.24</v>
      </c>
      <c r="Q419" s="188">
        <v>7.0000000000000007E-2</v>
      </c>
      <c r="R419" s="188">
        <v>0.31</v>
      </c>
      <c r="S419" s="188">
        <v>0.02</v>
      </c>
      <c r="T419" s="188">
        <v>2.66</v>
      </c>
      <c r="U419" s="188">
        <v>2.86</v>
      </c>
      <c r="V419" s="188">
        <v>0.48</v>
      </c>
      <c r="W419" s="188"/>
      <c r="X419" s="89"/>
      <c r="Y419" s="187"/>
      <c r="Z419" s="187"/>
      <c r="AA419" s="187"/>
      <c r="AB419" s="187"/>
      <c r="AC419" s="187"/>
      <c r="AD419" s="189"/>
      <c r="AE419" s="188"/>
    </row>
    <row r="420" spans="1:31" ht="21.25" customHeight="1" x14ac:dyDescent="0.15">
      <c r="A420" s="10" t="s">
        <v>402</v>
      </c>
      <c r="B420" s="185" t="s">
        <v>836</v>
      </c>
      <c r="C420" s="186">
        <v>26</v>
      </c>
      <c r="D420" s="185" t="s">
        <v>823</v>
      </c>
      <c r="E420" s="89">
        <v>74</v>
      </c>
      <c r="F420" s="187">
        <v>18.5</v>
      </c>
      <c r="G420" s="188">
        <v>7.0000000000000007E-2</v>
      </c>
      <c r="H420" s="188">
        <v>0.24</v>
      </c>
      <c r="I420" s="188">
        <v>0.31</v>
      </c>
      <c r="J420" s="188">
        <v>1.66</v>
      </c>
      <c r="K420" s="188">
        <v>0</v>
      </c>
      <c r="L420" s="188">
        <v>0</v>
      </c>
      <c r="M420" s="188">
        <v>0</v>
      </c>
      <c r="N420" s="188">
        <v>0</v>
      </c>
      <c r="O420" s="188">
        <v>1.36</v>
      </c>
      <c r="P420" s="188">
        <v>1.1299999999999999</v>
      </c>
      <c r="Q420" s="188">
        <v>-0.02</v>
      </c>
      <c r="R420" s="188">
        <v>0.93</v>
      </c>
      <c r="S420" s="188">
        <v>0.01</v>
      </c>
      <c r="T420" s="188">
        <v>0</v>
      </c>
      <c r="U420" s="188">
        <v>0</v>
      </c>
      <c r="V420" s="188">
        <v>0</v>
      </c>
      <c r="W420" s="188"/>
      <c r="X420" s="89"/>
      <c r="Y420" s="187"/>
      <c r="Z420" s="187"/>
      <c r="AA420" s="187"/>
      <c r="AB420" s="187"/>
      <c r="AC420" s="187"/>
      <c r="AD420" s="189"/>
      <c r="AE420" s="188"/>
    </row>
    <row r="421" spans="1:31" ht="21.25" customHeight="1" x14ac:dyDescent="0.15">
      <c r="A421" s="10" t="s">
        <v>718</v>
      </c>
      <c r="B421" s="185" t="s">
        <v>859</v>
      </c>
      <c r="C421" s="186">
        <v>31</v>
      </c>
      <c r="D421" s="185" t="s">
        <v>844</v>
      </c>
      <c r="E421" s="89">
        <v>79</v>
      </c>
      <c r="F421" s="187">
        <v>11.8</v>
      </c>
      <c r="G421" s="188">
        <v>0.13</v>
      </c>
      <c r="H421" s="188">
        <v>0.27</v>
      </c>
      <c r="I421" s="188">
        <v>0.4</v>
      </c>
      <c r="J421" s="188">
        <v>1.25</v>
      </c>
      <c r="K421" s="188">
        <v>0.02</v>
      </c>
      <c r="L421" s="188">
        <v>0.09</v>
      </c>
      <c r="M421" s="188">
        <v>0</v>
      </c>
      <c r="N421" s="188">
        <v>0</v>
      </c>
      <c r="O421" s="188">
        <v>0.42</v>
      </c>
      <c r="P421" s="188">
        <v>0.37</v>
      </c>
      <c r="Q421" s="188">
        <v>0</v>
      </c>
      <c r="R421" s="188">
        <v>0.19</v>
      </c>
      <c r="S421" s="188">
        <v>0.02</v>
      </c>
      <c r="T421" s="188">
        <v>0.04</v>
      </c>
      <c r="U421" s="188">
        <v>0.05</v>
      </c>
      <c r="V421" s="188">
        <v>0.45</v>
      </c>
      <c r="W421" s="188"/>
      <c r="X421" s="89"/>
      <c r="Y421" s="188"/>
      <c r="Z421" s="188"/>
      <c r="AA421" s="188"/>
      <c r="AB421" s="188"/>
      <c r="AC421" s="187"/>
      <c r="AD421" s="189"/>
      <c r="AE421" s="188"/>
    </row>
    <row r="422" spans="1:31" ht="21.25" customHeight="1" x14ac:dyDescent="0.15">
      <c r="A422" s="10" t="s">
        <v>320</v>
      </c>
      <c r="B422" s="185" t="s">
        <v>854</v>
      </c>
      <c r="C422" s="186">
        <v>33</v>
      </c>
      <c r="D422" s="185" t="s">
        <v>823</v>
      </c>
      <c r="E422" s="89">
        <v>81</v>
      </c>
      <c r="F422" s="187">
        <v>22.1</v>
      </c>
      <c r="G422" s="188">
        <v>0.09</v>
      </c>
      <c r="H422" s="188">
        <v>0.19</v>
      </c>
      <c r="I422" s="188">
        <v>0.28000000000000003</v>
      </c>
      <c r="J422" s="188">
        <v>1.41</v>
      </c>
      <c r="K422" s="188">
        <v>0</v>
      </c>
      <c r="L422" s="188">
        <v>0</v>
      </c>
      <c r="M422" s="188">
        <v>0</v>
      </c>
      <c r="N422" s="188">
        <v>0.01</v>
      </c>
      <c r="O422" s="188">
        <v>2.12</v>
      </c>
      <c r="P422" s="188">
        <v>1.21</v>
      </c>
      <c r="Q422" s="188">
        <v>-0.02</v>
      </c>
      <c r="R422" s="188">
        <v>0.28000000000000003</v>
      </c>
      <c r="S422" s="188">
        <v>0.01</v>
      </c>
      <c r="T422" s="188">
        <v>0</v>
      </c>
      <c r="U422" s="188">
        <v>0</v>
      </c>
      <c r="V422" s="188">
        <v>0</v>
      </c>
      <c r="W422" s="188"/>
      <c r="X422" s="89"/>
      <c r="Y422" s="187"/>
      <c r="Z422" s="187"/>
      <c r="AA422" s="187"/>
      <c r="AB422" s="187"/>
      <c r="AC422" s="187"/>
      <c r="AD422" s="189"/>
      <c r="AE422" s="188"/>
    </row>
    <row r="423" spans="1:31" ht="21.25" customHeight="1" x14ac:dyDescent="0.15">
      <c r="A423" s="10" t="s">
        <v>357</v>
      </c>
      <c r="B423" s="185" t="s">
        <v>865</v>
      </c>
      <c r="C423" s="186">
        <v>31</v>
      </c>
      <c r="D423" s="185" t="s">
        <v>823</v>
      </c>
      <c r="E423" s="89">
        <v>82</v>
      </c>
      <c r="F423" s="187">
        <v>20.399999999999999</v>
      </c>
      <c r="G423" s="188">
        <v>0.04</v>
      </c>
      <c r="H423" s="188">
        <v>0.24</v>
      </c>
      <c r="I423" s="188">
        <v>0.28000000000000003</v>
      </c>
      <c r="J423" s="188">
        <v>1.21</v>
      </c>
      <c r="K423" s="188">
        <v>0</v>
      </c>
      <c r="L423" s="188">
        <v>0</v>
      </c>
      <c r="M423" s="188">
        <v>0</v>
      </c>
      <c r="N423" s="188">
        <v>0</v>
      </c>
      <c r="O423" s="188">
        <v>1.78</v>
      </c>
      <c r="P423" s="188">
        <v>1.43</v>
      </c>
      <c r="Q423" s="188">
        <v>0.05</v>
      </c>
      <c r="R423" s="188">
        <v>0.31</v>
      </c>
      <c r="S423" s="188">
        <v>0.01</v>
      </c>
      <c r="T423" s="188">
        <v>0</v>
      </c>
      <c r="U423" s="188">
        <v>0</v>
      </c>
      <c r="V423" s="188">
        <v>0</v>
      </c>
      <c r="W423" s="188"/>
      <c r="X423" s="89"/>
      <c r="Y423" s="187"/>
      <c r="Z423" s="187"/>
      <c r="AA423" s="187"/>
      <c r="AB423" s="187"/>
      <c r="AC423" s="187"/>
      <c r="AD423" s="189"/>
      <c r="AE423" s="188"/>
    </row>
    <row r="424" spans="1:31" ht="21.25" customHeight="1" x14ac:dyDescent="0.15">
      <c r="A424" s="10" t="s">
        <v>326</v>
      </c>
      <c r="B424" s="185" t="s">
        <v>856</v>
      </c>
      <c r="C424" s="186">
        <v>31</v>
      </c>
      <c r="D424" s="185" t="s">
        <v>823</v>
      </c>
      <c r="E424" s="89">
        <v>84</v>
      </c>
      <c r="F424" s="187">
        <v>20</v>
      </c>
      <c r="G424" s="188">
        <v>7.0000000000000007E-2</v>
      </c>
      <c r="H424" s="188">
        <v>0.22</v>
      </c>
      <c r="I424" s="188">
        <v>0.28999999999999998</v>
      </c>
      <c r="J424" s="188">
        <v>1.92</v>
      </c>
      <c r="K424" s="188">
        <v>0</v>
      </c>
      <c r="L424" s="188">
        <v>0.01</v>
      </c>
      <c r="M424" s="188">
        <v>0</v>
      </c>
      <c r="N424" s="188">
        <v>0</v>
      </c>
      <c r="O424" s="188">
        <v>1.43</v>
      </c>
      <c r="P424" s="188">
        <v>1.44</v>
      </c>
      <c r="Q424" s="188">
        <v>0.08</v>
      </c>
      <c r="R424" s="188">
        <v>0.63</v>
      </c>
      <c r="S424" s="188">
        <v>0.01</v>
      </c>
      <c r="T424" s="188">
        <v>0</v>
      </c>
      <c r="U424" s="188">
        <v>0</v>
      </c>
      <c r="V424" s="188">
        <v>0</v>
      </c>
      <c r="W424" s="188"/>
      <c r="X424" s="89"/>
      <c r="Y424" s="187"/>
      <c r="Z424" s="187"/>
      <c r="AA424" s="187"/>
      <c r="AB424" s="187"/>
      <c r="AC424" s="187"/>
      <c r="AD424" s="189"/>
      <c r="AE424" s="188"/>
    </row>
    <row r="425" spans="1:31" ht="21.25" customHeight="1" x14ac:dyDescent="0.15">
      <c r="A425" s="10" t="s">
        <v>754</v>
      </c>
      <c r="B425" s="185" t="s">
        <v>833</v>
      </c>
      <c r="C425" s="186">
        <v>22</v>
      </c>
      <c r="D425" s="185" t="s">
        <v>820</v>
      </c>
      <c r="E425" s="89">
        <v>63</v>
      </c>
      <c r="F425" s="187">
        <v>11.5</v>
      </c>
      <c r="G425" s="188">
        <v>0.14000000000000001</v>
      </c>
      <c r="H425" s="188">
        <v>0.16</v>
      </c>
      <c r="I425" s="188">
        <v>0.3</v>
      </c>
      <c r="J425" s="188">
        <v>1.1000000000000001</v>
      </c>
      <c r="K425" s="188">
        <v>0.01</v>
      </c>
      <c r="L425" s="188">
        <v>0.02</v>
      </c>
      <c r="M425" s="188">
        <v>0</v>
      </c>
      <c r="N425" s="188">
        <v>0</v>
      </c>
      <c r="O425" s="188">
        <v>0.47</v>
      </c>
      <c r="P425" s="188">
        <v>1.85</v>
      </c>
      <c r="Q425" s="188">
        <v>0.06</v>
      </c>
      <c r="R425" s="188">
        <v>0.33</v>
      </c>
      <c r="S425" s="188">
        <v>0.02</v>
      </c>
      <c r="T425" s="188">
        <v>1.91</v>
      </c>
      <c r="U425" s="188">
        <v>2.5299999999999998</v>
      </c>
      <c r="V425" s="188">
        <v>0.43</v>
      </c>
      <c r="W425" s="188"/>
      <c r="X425" s="89"/>
      <c r="Y425" s="187"/>
      <c r="Z425" s="187"/>
      <c r="AA425" s="187"/>
      <c r="AB425" s="187"/>
      <c r="AC425" s="187"/>
      <c r="AD425" s="189"/>
      <c r="AE425" s="188"/>
    </row>
    <row r="426" spans="1:31" ht="21.25" customHeight="1" x14ac:dyDescent="0.15">
      <c r="A426" s="10" t="s">
        <v>299</v>
      </c>
      <c r="B426" s="185" t="s">
        <v>836</v>
      </c>
      <c r="C426" s="186">
        <v>32</v>
      </c>
      <c r="D426" s="185" t="s">
        <v>823</v>
      </c>
      <c r="E426" s="89">
        <v>82</v>
      </c>
      <c r="F426" s="187">
        <v>22.5</v>
      </c>
      <c r="G426" s="188">
        <v>0.04</v>
      </c>
      <c r="H426" s="188">
        <v>0.24</v>
      </c>
      <c r="I426" s="188">
        <v>0.28000000000000003</v>
      </c>
      <c r="J426" s="188">
        <v>1.66</v>
      </c>
      <c r="K426" s="188">
        <v>0</v>
      </c>
      <c r="L426" s="188">
        <v>0</v>
      </c>
      <c r="M426" s="188">
        <v>0</v>
      </c>
      <c r="N426" s="188">
        <v>0.01</v>
      </c>
      <c r="O426" s="188">
        <v>2.09</v>
      </c>
      <c r="P426" s="188">
        <v>1.78</v>
      </c>
      <c r="Q426" s="188">
        <v>-0.05</v>
      </c>
      <c r="R426" s="188">
        <v>0.63</v>
      </c>
      <c r="S426" s="188">
        <v>0.01</v>
      </c>
      <c r="T426" s="188">
        <v>0</v>
      </c>
      <c r="U426" s="188">
        <v>0</v>
      </c>
      <c r="V426" s="188">
        <v>0</v>
      </c>
      <c r="W426" s="188"/>
      <c r="X426" s="89"/>
      <c r="Y426" s="187"/>
      <c r="Z426" s="187"/>
      <c r="AA426" s="187"/>
      <c r="AB426" s="187"/>
      <c r="AC426" s="187"/>
      <c r="AD426" s="189"/>
      <c r="AE426" s="188"/>
    </row>
    <row r="427" spans="1:31" ht="21.25" customHeight="1" x14ac:dyDescent="0.15">
      <c r="A427" s="10" t="s">
        <v>476</v>
      </c>
      <c r="B427" s="185" t="s">
        <v>866</v>
      </c>
      <c r="C427" s="186">
        <v>24</v>
      </c>
      <c r="D427" s="185" t="s">
        <v>823</v>
      </c>
      <c r="E427" s="89">
        <v>76</v>
      </c>
      <c r="F427" s="187">
        <v>18.2</v>
      </c>
      <c r="G427" s="188">
        <v>0.09</v>
      </c>
      <c r="H427" s="188">
        <v>0.19</v>
      </c>
      <c r="I427" s="188">
        <v>0.28000000000000003</v>
      </c>
      <c r="J427" s="188">
        <v>0.81</v>
      </c>
      <c r="K427" s="188">
        <v>0</v>
      </c>
      <c r="L427" s="188">
        <v>0.02</v>
      </c>
      <c r="M427" s="188">
        <v>0.01</v>
      </c>
      <c r="N427" s="188">
        <v>0.01</v>
      </c>
      <c r="O427" s="188">
        <v>1.25</v>
      </c>
      <c r="P427" s="188">
        <v>1.08</v>
      </c>
      <c r="Q427" s="188">
        <v>-0.08</v>
      </c>
      <c r="R427" s="188">
        <v>0.5</v>
      </c>
      <c r="S427" s="188">
        <v>0.01</v>
      </c>
      <c r="T427" s="188">
        <v>0</v>
      </c>
      <c r="U427" s="188">
        <v>0</v>
      </c>
      <c r="V427" s="188">
        <v>0</v>
      </c>
      <c r="W427" s="188"/>
      <c r="X427" s="89"/>
      <c r="Y427" s="187"/>
      <c r="Z427" s="187"/>
      <c r="AA427" s="187"/>
      <c r="AB427" s="187"/>
      <c r="AC427" s="187"/>
      <c r="AD427" s="189"/>
      <c r="AE427" s="188"/>
    </row>
    <row r="428" spans="1:31" ht="21.25" customHeight="1" x14ac:dyDescent="0.15">
      <c r="A428" s="10" t="s">
        <v>382</v>
      </c>
      <c r="B428" s="185" t="s">
        <v>840</v>
      </c>
      <c r="C428" s="186">
        <v>33</v>
      </c>
      <c r="D428" s="185" t="s">
        <v>823</v>
      </c>
      <c r="E428" s="89">
        <v>74</v>
      </c>
      <c r="F428" s="187">
        <v>20.7</v>
      </c>
      <c r="G428" s="188">
        <v>0.05</v>
      </c>
      <c r="H428" s="188">
        <v>0.23</v>
      </c>
      <c r="I428" s="188">
        <v>0.28000000000000003</v>
      </c>
      <c r="J428" s="188">
        <v>1.17</v>
      </c>
      <c r="K428" s="188">
        <v>0</v>
      </c>
      <c r="L428" s="188">
        <v>0</v>
      </c>
      <c r="M428" s="188">
        <v>0</v>
      </c>
      <c r="N428" s="188">
        <v>0.01</v>
      </c>
      <c r="O428" s="188">
        <v>1.95</v>
      </c>
      <c r="P428" s="188">
        <v>0.45</v>
      </c>
      <c r="Q428" s="188">
        <v>0.06</v>
      </c>
      <c r="R428" s="188">
        <v>0.32</v>
      </c>
      <c r="S428" s="188">
        <v>0.01</v>
      </c>
      <c r="T428" s="188">
        <v>0</v>
      </c>
      <c r="U428" s="188">
        <v>0</v>
      </c>
      <c r="V428" s="188">
        <v>0</v>
      </c>
      <c r="W428" s="188"/>
      <c r="X428" s="89"/>
      <c r="Y428" s="187"/>
      <c r="Z428" s="187"/>
      <c r="AA428" s="187"/>
      <c r="AB428" s="187"/>
      <c r="AC428" s="187"/>
      <c r="AD428" s="189"/>
      <c r="AE428" s="188"/>
    </row>
    <row r="429" spans="1:31" ht="21.25" customHeight="1" x14ac:dyDescent="0.15">
      <c r="A429" s="10" t="s">
        <v>756</v>
      </c>
      <c r="B429" s="185" t="s">
        <v>838</v>
      </c>
      <c r="C429" s="186">
        <v>21</v>
      </c>
      <c r="D429" s="185" t="s">
        <v>822</v>
      </c>
      <c r="E429" s="89">
        <v>64</v>
      </c>
      <c r="F429" s="187">
        <v>11.3</v>
      </c>
      <c r="G429" s="188">
        <v>0.1</v>
      </c>
      <c r="H429" s="188">
        <v>0.18</v>
      </c>
      <c r="I429" s="188">
        <v>0.28000000000000003</v>
      </c>
      <c r="J429" s="188">
        <v>1.28</v>
      </c>
      <c r="K429" s="188">
        <v>0</v>
      </c>
      <c r="L429" s="188">
        <v>0</v>
      </c>
      <c r="M429" s="188">
        <v>0</v>
      </c>
      <c r="N429" s="188">
        <v>0</v>
      </c>
      <c r="O429" s="188">
        <v>0.46</v>
      </c>
      <c r="P429" s="188">
        <v>0.95</v>
      </c>
      <c r="Q429" s="188">
        <v>0</v>
      </c>
      <c r="R429" s="188">
        <v>0.31</v>
      </c>
      <c r="S429" s="188">
        <v>0.02</v>
      </c>
      <c r="T429" s="188">
        <v>0</v>
      </c>
      <c r="U429" s="188">
        <v>0.14000000000000001</v>
      </c>
      <c r="V429" s="188">
        <v>0</v>
      </c>
      <c r="W429" s="188"/>
      <c r="X429" s="89"/>
      <c r="Y429" s="187"/>
      <c r="Z429" s="187"/>
      <c r="AA429" s="187"/>
      <c r="AB429" s="187"/>
      <c r="AC429" s="187"/>
      <c r="AD429" s="189"/>
      <c r="AE429" s="188"/>
    </row>
    <row r="430" spans="1:31" ht="21.25" customHeight="1" x14ac:dyDescent="0.15">
      <c r="A430" s="10" t="s">
        <v>730</v>
      </c>
      <c r="B430" s="185" t="s">
        <v>852</v>
      </c>
      <c r="C430" s="186">
        <v>21</v>
      </c>
      <c r="D430" s="185" t="s">
        <v>844</v>
      </c>
      <c r="E430" s="89">
        <v>62</v>
      </c>
      <c r="F430" s="187">
        <v>12.5</v>
      </c>
      <c r="G430" s="188">
        <v>0.14000000000000001</v>
      </c>
      <c r="H430" s="188">
        <v>0.16</v>
      </c>
      <c r="I430" s="188">
        <v>0.28999999999999998</v>
      </c>
      <c r="J430" s="188">
        <v>1.46</v>
      </c>
      <c r="K430" s="188">
        <v>0.02</v>
      </c>
      <c r="L430" s="188">
        <v>0.06</v>
      </c>
      <c r="M430" s="188">
        <v>0</v>
      </c>
      <c r="N430" s="188">
        <v>0.01</v>
      </c>
      <c r="O430" s="188">
        <v>0.57999999999999996</v>
      </c>
      <c r="P430" s="188">
        <v>0.79</v>
      </c>
      <c r="Q430" s="188">
        <v>0.03</v>
      </c>
      <c r="R430" s="188">
        <v>0.3</v>
      </c>
      <c r="S430" s="188">
        <v>0.02</v>
      </c>
      <c r="T430" s="188">
        <v>0.24</v>
      </c>
      <c r="U430" s="188">
        <v>0.49</v>
      </c>
      <c r="V430" s="188">
        <v>0.33</v>
      </c>
      <c r="W430" s="188"/>
      <c r="X430" s="89"/>
      <c r="Y430" s="188"/>
      <c r="Z430" s="188"/>
      <c r="AA430" s="188"/>
      <c r="AB430" s="188"/>
      <c r="AC430" s="187"/>
      <c r="AD430" s="189"/>
      <c r="AE430" s="188"/>
    </row>
    <row r="431" spans="1:31" ht="21.25" customHeight="1" x14ac:dyDescent="0.15">
      <c r="A431" s="10" t="s">
        <v>749</v>
      </c>
      <c r="B431" s="185" t="s">
        <v>841</v>
      </c>
      <c r="C431" s="186">
        <v>30</v>
      </c>
      <c r="D431" s="185" t="s">
        <v>835</v>
      </c>
      <c r="E431" s="89">
        <v>74</v>
      </c>
      <c r="F431" s="187">
        <v>11.6</v>
      </c>
      <c r="G431" s="188">
        <v>0.14000000000000001</v>
      </c>
      <c r="H431" s="188">
        <v>0.13</v>
      </c>
      <c r="I431" s="188">
        <v>0.28000000000000003</v>
      </c>
      <c r="J431" s="188">
        <v>0.9</v>
      </c>
      <c r="K431" s="188">
        <v>0</v>
      </c>
      <c r="L431" s="188">
        <v>0</v>
      </c>
      <c r="M431" s="188">
        <v>0</v>
      </c>
      <c r="N431" s="188">
        <v>0.01</v>
      </c>
      <c r="O431" s="188">
        <v>0.53</v>
      </c>
      <c r="P431" s="188">
        <v>2.98</v>
      </c>
      <c r="Q431" s="188">
        <v>0.01</v>
      </c>
      <c r="R431" s="188">
        <v>0.5</v>
      </c>
      <c r="S431" s="188">
        <v>0.02</v>
      </c>
      <c r="T431" s="188">
        <v>0.23</v>
      </c>
      <c r="U431" s="188">
        <v>0.33</v>
      </c>
      <c r="V431" s="188">
        <v>0.41</v>
      </c>
      <c r="W431" s="188"/>
      <c r="X431" s="89"/>
      <c r="Y431" s="187"/>
      <c r="Z431" s="187"/>
      <c r="AA431" s="187"/>
      <c r="AB431" s="187"/>
      <c r="AC431" s="187"/>
      <c r="AD431" s="189"/>
      <c r="AE431" s="188"/>
    </row>
    <row r="432" spans="1:31" ht="21.25" customHeight="1" x14ac:dyDescent="0.15">
      <c r="A432" s="10" t="s">
        <v>355</v>
      </c>
      <c r="B432" s="185" t="s">
        <v>834</v>
      </c>
      <c r="C432" s="186">
        <v>41</v>
      </c>
      <c r="D432" s="185" t="s">
        <v>823</v>
      </c>
      <c r="E432" s="89">
        <v>84</v>
      </c>
      <c r="F432" s="187">
        <v>18.399999999999999</v>
      </c>
      <c r="G432" s="188">
        <v>0.06</v>
      </c>
      <c r="H432" s="188">
        <v>0.2</v>
      </c>
      <c r="I432" s="188">
        <v>0.26</v>
      </c>
      <c r="J432" s="188">
        <v>1.65</v>
      </c>
      <c r="K432" s="188">
        <v>0</v>
      </c>
      <c r="L432" s="188">
        <v>0.02</v>
      </c>
      <c r="M432" s="188">
        <v>0</v>
      </c>
      <c r="N432" s="188">
        <v>0</v>
      </c>
      <c r="O432" s="188">
        <v>1.1000000000000001</v>
      </c>
      <c r="P432" s="188">
        <v>0.42</v>
      </c>
      <c r="Q432" s="188">
        <v>0.11</v>
      </c>
      <c r="R432" s="188">
        <v>0.33</v>
      </c>
      <c r="S432" s="188">
        <v>0.01</v>
      </c>
      <c r="T432" s="188">
        <v>0</v>
      </c>
      <c r="U432" s="188">
        <v>0</v>
      </c>
      <c r="V432" s="188">
        <v>0</v>
      </c>
      <c r="W432" s="188"/>
      <c r="X432" s="89"/>
      <c r="Y432" s="187"/>
      <c r="Z432" s="187"/>
      <c r="AA432" s="187"/>
      <c r="AB432" s="187"/>
      <c r="AC432" s="187"/>
      <c r="AD432" s="189"/>
      <c r="AE432" s="188"/>
    </row>
    <row r="433" spans="1:31" ht="21.25" customHeight="1" x14ac:dyDescent="0.15">
      <c r="A433" s="10" t="s">
        <v>367</v>
      </c>
      <c r="B433" s="185" t="s">
        <v>850</v>
      </c>
      <c r="C433" s="186">
        <v>25</v>
      </c>
      <c r="D433" s="185" t="s">
        <v>823</v>
      </c>
      <c r="E433" s="89">
        <v>83</v>
      </c>
      <c r="F433" s="187">
        <v>21.9</v>
      </c>
      <c r="G433" s="188">
        <v>0.04</v>
      </c>
      <c r="H433" s="188">
        <v>0.23</v>
      </c>
      <c r="I433" s="188">
        <v>0.27</v>
      </c>
      <c r="J433" s="188">
        <v>1.1399999999999999</v>
      </c>
      <c r="K433" s="188">
        <v>0</v>
      </c>
      <c r="L433" s="188">
        <v>0</v>
      </c>
      <c r="M433" s="188">
        <v>0</v>
      </c>
      <c r="N433" s="188">
        <v>0.01</v>
      </c>
      <c r="O433" s="188">
        <v>1.66</v>
      </c>
      <c r="P433" s="188">
        <v>0.59</v>
      </c>
      <c r="Q433" s="188">
        <v>-0.14000000000000001</v>
      </c>
      <c r="R433" s="188">
        <v>0.28999999999999998</v>
      </c>
      <c r="S433" s="188">
        <v>0.01</v>
      </c>
      <c r="T433" s="188">
        <v>0</v>
      </c>
      <c r="U433" s="188">
        <v>0</v>
      </c>
      <c r="V433" s="188">
        <v>0</v>
      </c>
      <c r="W433" s="188"/>
      <c r="X433" s="89"/>
      <c r="Y433" s="187"/>
      <c r="Z433" s="187"/>
      <c r="AA433" s="187"/>
      <c r="AB433" s="187"/>
      <c r="AC433" s="187"/>
      <c r="AD433" s="189"/>
      <c r="AE433" s="188"/>
    </row>
    <row r="434" spans="1:31" ht="21.25" customHeight="1" x14ac:dyDescent="0.15">
      <c r="A434" s="10" t="s">
        <v>719</v>
      </c>
      <c r="B434" s="185" t="s">
        <v>836</v>
      </c>
      <c r="C434" s="186">
        <v>29</v>
      </c>
      <c r="D434" s="185" t="s">
        <v>842</v>
      </c>
      <c r="E434" s="89">
        <v>73</v>
      </c>
      <c r="F434" s="187">
        <v>10.5</v>
      </c>
      <c r="G434" s="188">
        <v>0.18</v>
      </c>
      <c r="H434" s="188">
        <v>0.09</v>
      </c>
      <c r="I434" s="188">
        <v>0.27</v>
      </c>
      <c r="J434" s="188">
        <v>1.2</v>
      </c>
      <c r="K434" s="188">
        <v>0</v>
      </c>
      <c r="L434" s="188">
        <v>0</v>
      </c>
      <c r="M434" s="188">
        <v>0</v>
      </c>
      <c r="N434" s="188">
        <v>0</v>
      </c>
      <c r="O434" s="188">
        <v>0.46</v>
      </c>
      <c r="P434" s="188">
        <v>0.97</v>
      </c>
      <c r="Q434" s="188">
        <v>-0.02</v>
      </c>
      <c r="R434" s="188">
        <v>0.25</v>
      </c>
      <c r="S434" s="188">
        <v>0.03</v>
      </c>
      <c r="T434" s="188">
        <v>0</v>
      </c>
      <c r="U434" s="188">
        <v>0</v>
      </c>
      <c r="V434" s="188">
        <v>0.49</v>
      </c>
      <c r="W434" s="188"/>
      <c r="X434" s="89"/>
      <c r="Y434" s="187"/>
      <c r="Z434" s="187"/>
      <c r="AA434" s="187"/>
      <c r="AB434" s="187"/>
      <c r="AC434" s="187"/>
      <c r="AD434" s="189"/>
      <c r="AE434" s="188"/>
    </row>
    <row r="435" spans="1:31" ht="21.25" customHeight="1" x14ac:dyDescent="0.15">
      <c r="A435" s="10" t="s">
        <v>744</v>
      </c>
      <c r="B435" s="185" t="s">
        <v>845</v>
      </c>
      <c r="C435" s="186">
        <v>25</v>
      </c>
      <c r="D435" s="185" t="s">
        <v>835</v>
      </c>
      <c r="E435" s="89">
        <v>72</v>
      </c>
      <c r="F435" s="187">
        <v>10.8</v>
      </c>
      <c r="G435" s="188">
        <v>0.09</v>
      </c>
      <c r="H435" s="188">
        <v>0.19</v>
      </c>
      <c r="I435" s="188">
        <v>0.27</v>
      </c>
      <c r="J435" s="188">
        <v>1.05</v>
      </c>
      <c r="K435" s="188">
        <v>0</v>
      </c>
      <c r="L435" s="188">
        <v>0.01</v>
      </c>
      <c r="M435" s="188">
        <v>0</v>
      </c>
      <c r="N435" s="188">
        <v>0</v>
      </c>
      <c r="O435" s="188">
        <v>0.5</v>
      </c>
      <c r="P435" s="188">
        <v>0.9</v>
      </c>
      <c r="Q435" s="188">
        <v>0</v>
      </c>
      <c r="R435" s="188">
        <v>0.28999999999999998</v>
      </c>
      <c r="S435" s="188">
        <v>0.01</v>
      </c>
      <c r="T435" s="188">
        <v>3.1</v>
      </c>
      <c r="U435" s="188">
        <v>3.16</v>
      </c>
      <c r="V435" s="188">
        <v>0.5</v>
      </c>
      <c r="W435" s="188"/>
      <c r="X435" s="89"/>
      <c r="Y435" s="187"/>
      <c r="Z435" s="187"/>
      <c r="AA435" s="187"/>
      <c r="AB435" s="187"/>
      <c r="AC435" s="187"/>
      <c r="AD435" s="189"/>
      <c r="AE435" s="188"/>
    </row>
    <row r="436" spans="1:31" ht="21.25" customHeight="1" x14ac:dyDescent="0.15">
      <c r="A436" s="10" t="s">
        <v>457</v>
      </c>
      <c r="B436" s="185" t="s">
        <v>858</v>
      </c>
      <c r="C436" s="186">
        <v>25</v>
      </c>
      <c r="D436" s="185" t="s">
        <v>823</v>
      </c>
      <c r="E436" s="89">
        <v>71</v>
      </c>
      <c r="F436" s="187">
        <v>17.3</v>
      </c>
      <c r="G436" s="188">
        <v>0.09</v>
      </c>
      <c r="H436" s="188">
        <v>0.22</v>
      </c>
      <c r="I436" s="188">
        <v>0.31</v>
      </c>
      <c r="J436" s="188">
        <v>1.47</v>
      </c>
      <c r="K436" s="188">
        <v>0</v>
      </c>
      <c r="L436" s="188">
        <v>0</v>
      </c>
      <c r="M436" s="188">
        <v>0.01</v>
      </c>
      <c r="N436" s="188">
        <v>0.02</v>
      </c>
      <c r="O436" s="188">
        <v>1.45</v>
      </c>
      <c r="P436" s="188">
        <v>1.62</v>
      </c>
      <c r="Q436" s="188">
        <v>-0.01</v>
      </c>
      <c r="R436" s="188">
        <v>0.51</v>
      </c>
      <c r="S436" s="188">
        <v>0.01</v>
      </c>
      <c r="T436" s="188">
        <v>0</v>
      </c>
      <c r="U436" s="188">
        <v>0</v>
      </c>
      <c r="V436" s="188">
        <v>0</v>
      </c>
      <c r="W436" s="188"/>
      <c r="X436" s="89"/>
      <c r="Y436" s="187"/>
      <c r="Z436" s="187"/>
      <c r="AA436" s="187"/>
      <c r="AB436" s="187"/>
      <c r="AC436" s="187"/>
      <c r="AD436" s="189"/>
      <c r="AE436" s="188"/>
    </row>
    <row r="437" spans="1:31" ht="21.25" customHeight="1" x14ac:dyDescent="0.15">
      <c r="A437" s="10" t="s">
        <v>739</v>
      </c>
      <c r="B437" s="185" t="s">
        <v>851</v>
      </c>
      <c r="C437" s="186">
        <v>24</v>
      </c>
      <c r="D437" s="185" t="s">
        <v>820</v>
      </c>
      <c r="E437" s="89">
        <v>72</v>
      </c>
      <c r="F437" s="187">
        <v>10.199999999999999</v>
      </c>
      <c r="G437" s="188">
        <v>7.0000000000000007E-2</v>
      </c>
      <c r="H437" s="188">
        <v>0.2</v>
      </c>
      <c r="I437" s="188">
        <v>0.27</v>
      </c>
      <c r="J437" s="188">
        <v>0.86</v>
      </c>
      <c r="K437" s="188">
        <v>0</v>
      </c>
      <c r="L437" s="188">
        <v>0</v>
      </c>
      <c r="M437" s="188">
        <v>0</v>
      </c>
      <c r="N437" s="188">
        <v>0</v>
      </c>
      <c r="O437" s="188">
        <v>0.39</v>
      </c>
      <c r="P437" s="188">
        <v>0.88</v>
      </c>
      <c r="Q437" s="188">
        <v>-0.01</v>
      </c>
      <c r="R437" s="188">
        <v>0.24</v>
      </c>
      <c r="S437" s="188">
        <v>0.01</v>
      </c>
      <c r="T437" s="188">
        <v>1.82</v>
      </c>
      <c r="U437" s="188">
        <v>2.83</v>
      </c>
      <c r="V437" s="188">
        <v>0.39</v>
      </c>
      <c r="W437" s="188"/>
      <c r="X437" s="89"/>
      <c r="Y437" s="187"/>
      <c r="Z437" s="187"/>
      <c r="AA437" s="187"/>
      <c r="AB437" s="187"/>
      <c r="AC437" s="187"/>
      <c r="AD437" s="189"/>
      <c r="AE437" s="188"/>
    </row>
    <row r="438" spans="1:31" ht="21.25" customHeight="1" x14ac:dyDescent="0.15">
      <c r="A438" s="10" t="s">
        <v>727</v>
      </c>
      <c r="B438" s="185" t="s">
        <v>832</v>
      </c>
      <c r="C438" s="186">
        <v>30</v>
      </c>
      <c r="D438" s="185" t="s">
        <v>822</v>
      </c>
      <c r="E438" s="89">
        <v>74</v>
      </c>
      <c r="F438" s="187">
        <v>12</v>
      </c>
      <c r="G438" s="188">
        <v>0.13</v>
      </c>
      <c r="H438" s="188">
        <v>0.18</v>
      </c>
      <c r="I438" s="188">
        <v>0.3</v>
      </c>
      <c r="J438" s="188">
        <v>1.3</v>
      </c>
      <c r="K438" s="188">
        <v>0</v>
      </c>
      <c r="L438" s="188">
        <v>0.01</v>
      </c>
      <c r="M438" s="188">
        <v>0</v>
      </c>
      <c r="N438" s="188">
        <v>0.01</v>
      </c>
      <c r="O438" s="188">
        <v>0.36</v>
      </c>
      <c r="P438" s="188">
        <v>1.43</v>
      </c>
      <c r="Q438" s="188">
        <v>0.04</v>
      </c>
      <c r="R438" s="188">
        <v>0.25</v>
      </c>
      <c r="S438" s="188">
        <v>0.02</v>
      </c>
      <c r="T438" s="188">
        <v>0.1</v>
      </c>
      <c r="U438" s="188">
        <v>0.28000000000000003</v>
      </c>
      <c r="V438" s="188">
        <v>0.26</v>
      </c>
      <c r="W438" s="188"/>
      <c r="X438" s="89"/>
      <c r="Y438" s="187"/>
      <c r="Z438" s="187"/>
      <c r="AA438" s="187"/>
      <c r="AB438" s="187"/>
      <c r="AC438" s="187"/>
      <c r="AD438" s="189"/>
      <c r="AE438" s="188"/>
    </row>
    <row r="439" spans="1:31" ht="21.25" customHeight="1" x14ac:dyDescent="0.15">
      <c r="A439" s="10" t="s">
        <v>768</v>
      </c>
      <c r="B439" s="185" t="s">
        <v>832</v>
      </c>
      <c r="C439" s="186">
        <v>22</v>
      </c>
      <c r="D439" s="185" t="s">
        <v>821</v>
      </c>
      <c r="E439" s="89">
        <v>62</v>
      </c>
      <c r="F439" s="187">
        <v>11.9</v>
      </c>
      <c r="G439" s="188">
        <v>0.15</v>
      </c>
      <c r="H439" s="188">
        <v>0.21</v>
      </c>
      <c r="I439" s="188">
        <v>0.36</v>
      </c>
      <c r="J439" s="188">
        <v>1.66</v>
      </c>
      <c r="K439" s="188">
        <v>0.01</v>
      </c>
      <c r="L439" s="188">
        <v>0.02</v>
      </c>
      <c r="M439" s="188">
        <v>0</v>
      </c>
      <c r="N439" s="188">
        <v>0</v>
      </c>
      <c r="O439" s="188">
        <v>0.32</v>
      </c>
      <c r="P439" s="188">
        <v>0.57999999999999996</v>
      </c>
      <c r="Q439" s="188">
        <v>0.05</v>
      </c>
      <c r="R439" s="188">
        <v>0.34</v>
      </c>
      <c r="S439" s="188">
        <v>0.03</v>
      </c>
      <c r="T439" s="188">
        <v>0</v>
      </c>
      <c r="U439" s="188">
        <v>0</v>
      </c>
      <c r="V439" s="188">
        <v>0</v>
      </c>
      <c r="W439" s="188"/>
      <c r="X439" s="89"/>
      <c r="Y439" s="187"/>
      <c r="Z439" s="187"/>
      <c r="AA439" s="187"/>
      <c r="AB439" s="187"/>
      <c r="AC439" s="187"/>
      <c r="AD439" s="189"/>
      <c r="AE439" s="188"/>
    </row>
    <row r="440" spans="1:31" ht="21.25" customHeight="1" x14ac:dyDescent="0.15">
      <c r="A440" s="10" t="s">
        <v>399</v>
      </c>
      <c r="B440" s="185" t="s">
        <v>845</v>
      </c>
      <c r="C440" s="186">
        <v>27</v>
      </c>
      <c r="D440" s="185" t="s">
        <v>823</v>
      </c>
      <c r="E440" s="89">
        <v>82</v>
      </c>
      <c r="F440" s="187">
        <v>20.6</v>
      </c>
      <c r="G440" s="188">
        <v>0.05</v>
      </c>
      <c r="H440" s="188">
        <v>0.22</v>
      </c>
      <c r="I440" s="188">
        <v>0.27</v>
      </c>
      <c r="J440" s="188">
        <v>0.91</v>
      </c>
      <c r="K440" s="188">
        <v>0</v>
      </c>
      <c r="L440" s="188">
        <v>0</v>
      </c>
      <c r="M440" s="188">
        <v>0</v>
      </c>
      <c r="N440" s="188">
        <v>0</v>
      </c>
      <c r="O440" s="188">
        <v>1.61</v>
      </c>
      <c r="P440" s="188">
        <v>1.34</v>
      </c>
      <c r="Q440" s="188">
        <v>0</v>
      </c>
      <c r="R440" s="188">
        <v>0.32</v>
      </c>
      <c r="S440" s="188">
        <v>0.01</v>
      </c>
      <c r="T440" s="188">
        <v>0</v>
      </c>
      <c r="U440" s="188">
        <v>0</v>
      </c>
      <c r="V440" s="188">
        <v>0</v>
      </c>
      <c r="W440" s="188"/>
      <c r="X440" s="89"/>
      <c r="Y440" s="187"/>
      <c r="Z440" s="187"/>
      <c r="AA440" s="187"/>
      <c r="AB440" s="187"/>
      <c r="AC440" s="187"/>
      <c r="AD440" s="189"/>
      <c r="AE440" s="188"/>
    </row>
    <row r="441" spans="1:31" ht="21.25" customHeight="1" x14ac:dyDescent="0.15">
      <c r="A441" s="10" t="s">
        <v>668</v>
      </c>
      <c r="B441" s="185" t="s">
        <v>837</v>
      </c>
      <c r="C441" s="186">
        <v>30</v>
      </c>
      <c r="D441" s="185" t="s">
        <v>821</v>
      </c>
      <c r="E441" s="89">
        <v>79</v>
      </c>
      <c r="F441" s="187">
        <v>11.8</v>
      </c>
      <c r="G441" s="188">
        <v>0.13</v>
      </c>
      <c r="H441" s="188">
        <v>0.14000000000000001</v>
      </c>
      <c r="I441" s="188">
        <v>0.27</v>
      </c>
      <c r="J441" s="188">
        <v>1.87</v>
      </c>
      <c r="K441" s="188">
        <v>0</v>
      </c>
      <c r="L441" s="188">
        <v>0.01</v>
      </c>
      <c r="M441" s="188">
        <v>0</v>
      </c>
      <c r="N441" s="188">
        <v>0</v>
      </c>
      <c r="O441" s="188">
        <v>0.4</v>
      </c>
      <c r="P441" s="188">
        <v>1.26</v>
      </c>
      <c r="Q441" s="188">
        <v>-0.02</v>
      </c>
      <c r="R441" s="188">
        <v>0.65</v>
      </c>
      <c r="S441" s="188">
        <v>0.02</v>
      </c>
      <c r="T441" s="188">
        <v>0.06</v>
      </c>
      <c r="U441" s="188">
        <v>0.09</v>
      </c>
      <c r="V441" s="188">
        <v>0.43</v>
      </c>
      <c r="W441" s="188"/>
      <c r="X441" s="89"/>
      <c r="Y441" s="187"/>
      <c r="Z441" s="187"/>
      <c r="AA441" s="187"/>
      <c r="AB441" s="187"/>
      <c r="AC441" s="187"/>
      <c r="AD441" s="189"/>
      <c r="AE441" s="188"/>
    </row>
    <row r="442" spans="1:31" ht="21.25" customHeight="1" x14ac:dyDescent="0.15">
      <c r="A442" s="10" t="s">
        <v>759</v>
      </c>
      <c r="B442" s="185" t="s">
        <v>851</v>
      </c>
      <c r="C442" s="186">
        <v>25</v>
      </c>
      <c r="D442" s="185" t="s">
        <v>844</v>
      </c>
      <c r="E442" s="89">
        <v>68</v>
      </c>
      <c r="F442" s="187">
        <v>11</v>
      </c>
      <c r="G442" s="188">
        <v>0.12</v>
      </c>
      <c r="H442" s="188">
        <v>0.15</v>
      </c>
      <c r="I442" s="188">
        <v>0.27</v>
      </c>
      <c r="J442" s="188">
        <v>1.18</v>
      </c>
      <c r="K442" s="188">
        <v>0</v>
      </c>
      <c r="L442" s="188">
        <v>0</v>
      </c>
      <c r="M442" s="188">
        <v>0</v>
      </c>
      <c r="N442" s="188">
        <v>0</v>
      </c>
      <c r="O442" s="188">
        <v>0.35</v>
      </c>
      <c r="P442" s="188">
        <v>1.62</v>
      </c>
      <c r="Q442" s="188">
        <v>0</v>
      </c>
      <c r="R442" s="188">
        <v>0.3</v>
      </c>
      <c r="S442" s="188">
        <v>0.02</v>
      </c>
      <c r="T442" s="188">
        <v>0.06</v>
      </c>
      <c r="U442" s="188">
        <v>0.11</v>
      </c>
      <c r="V442" s="188">
        <v>0.34</v>
      </c>
      <c r="W442" s="188"/>
      <c r="X442" s="89"/>
      <c r="Y442" s="187"/>
      <c r="Z442" s="187"/>
      <c r="AA442" s="187"/>
      <c r="AB442" s="187"/>
      <c r="AC442" s="187"/>
      <c r="AD442" s="189"/>
      <c r="AE442" s="188"/>
    </row>
    <row r="443" spans="1:31" ht="21.25" customHeight="1" x14ac:dyDescent="0.15">
      <c r="A443" s="10" t="s">
        <v>407</v>
      </c>
      <c r="B443" s="185" t="s">
        <v>867</v>
      </c>
      <c r="C443" s="186">
        <v>26</v>
      </c>
      <c r="D443" s="185" t="s">
        <v>823</v>
      </c>
      <c r="E443" s="89">
        <v>82</v>
      </c>
      <c r="F443" s="187">
        <v>22.2</v>
      </c>
      <c r="G443" s="188">
        <v>0.05</v>
      </c>
      <c r="H443" s="188">
        <v>0.22</v>
      </c>
      <c r="I443" s="188">
        <v>0.27</v>
      </c>
      <c r="J443" s="188">
        <v>0.95</v>
      </c>
      <c r="K443" s="188">
        <v>0</v>
      </c>
      <c r="L443" s="188">
        <v>0.01</v>
      </c>
      <c r="M443" s="188">
        <v>0</v>
      </c>
      <c r="N443" s="188">
        <v>0.01</v>
      </c>
      <c r="O443" s="188">
        <v>1.49</v>
      </c>
      <c r="P443" s="188">
        <v>1.45</v>
      </c>
      <c r="Q443" s="188">
        <v>-0.12</v>
      </c>
      <c r="R443" s="188">
        <v>0.63</v>
      </c>
      <c r="S443" s="188">
        <v>0.01</v>
      </c>
      <c r="T443" s="188">
        <v>0</v>
      </c>
      <c r="U443" s="188">
        <v>0</v>
      </c>
      <c r="V443" s="188">
        <v>0</v>
      </c>
      <c r="W443" s="188"/>
      <c r="X443" s="89"/>
      <c r="Y443" s="187"/>
      <c r="Z443" s="187"/>
      <c r="AA443" s="187"/>
      <c r="AB443" s="187"/>
      <c r="AC443" s="187"/>
      <c r="AD443" s="189"/>
      <c r="AE443" s="188"/>
    </row>
    <row r="444" spans="1:31" ht="21.25" customHeight="1" x14ac:dyDescent="0.15">
      <c r="A444" s="10" t="s">
        <v>686</v>
      </c>
      <c r="B444" s="185" t="s">
        <v>846</v>
      </c>
      <c r="C444" s="186">
        <v>32</v>
      </c>
      <c r="D444" s="185" t="s">
        <v>822</v>
      </c>
      <c r="E444" s="89">
        <v>82</v>
      </c>
      <c r="F444" s="187">
        <v>13.2</v>
      </c>
      <c r="G444" s="188">
        <v>0.15</v>
      </c>
      <c r="H444" s="188">
        <v>0.12</v>
      </c>
      <c r="I444" s="188">
        <v>0.28000000000000003</v>
      </c>
      <c r="J444" s="188">
        <v>1.25</v>
      </c>
      <c r="K444" s="188">
        <v>0</v>
      </c>
      <c r="L444" s="188">
        <v>0</v>
      </c>
      <c r="M444" s="188">
        <v>0.02</v>
      </c>
      <c r="N444" s="188">
        <v>0.03</v>
      </c>
      <c r="O444" s="188">
        <v>0.54</v>
      </c>
      <c r="P444" s="188">
        <v>1.77</v>
      </c>
      <c r="Q444" s="188">
        <v>0.01</v>
      </c>
      <c r="R444" s="188">
        <v>0.77</v>
      </c>
      <c r="S444" s="188">
        <v>0.03</v>
      </c>
      <c r="T444" s="188">
        <v>0.26</v>
      </c>
      <c r="U444" s="188">
        <v>0.17</v>
      </c>
      <c r="V444" s="188">
        <v>0.6</v>
      </c>
      <c r="W444" s="188"/>
      <c r="X444" s="89"/>
      <c r="Y444" s="187"/>
      <c r="Z444" s="187"/>
      <c r="AA444" s="187"/>
      <c r="AB444" s="187"/>
      <c r="AC444" s="187"/>
      <c r="AD444" s="189"/>
      <c r="AE444" s="188"/>
    </row>
    <row r="445" spans="1:31" ht="21.25" customHeight="1" x14ac:dyDescent="0.15">
      <c r="A445" s="10" t="s">
        <v>741</v>
      </c>
      <c r="B445" s="185" t="s">
        <v>862</v>
      </c>
      <c r="C445" s="186">
        <v>31</v>
      </c>
      <c r="D445" s="185" t="s">
        <v>821</v>
      </c>
      <c r="E445" s="89">
        <v>74</v>
      </c>
      <c r="F445" s="187">
        <v>11</v>
      </c>
      <c r="G445" s="188">
        <v>0.13</v>
      </c>
      <c r="H445" s="188">
        <v>0.14000000000000001</v>
      </c>
      <c r="I445" s="188">
        <v>0.27</v>
      </c>
      <c r="J445" s="188">
        <v>0.97</v>
      </c>
      <c r="K445" s="188">
        <v>0.02</v>
      </c>
      <c r="L445" s="188">
        <v>0.03</v>
      </c>
      <c r="M445" s="188">
        <v>0</v>
      </c>
      <c r="N445" s="188">
        <v>0</v>
      </c>
      <c r="O445" s="188">
        <v>0.5</v>
      </c>
      <c r="P445" s="188">
        <v>0.46</v>
      </c>
      <c r="Q445" s="188">
        <v>-0.05</v>
      </c>
      <c r="R445" s="188">
        <v>0.21</v>
      </c>
      <c r="S445" s="188">
        <v>0.02</v>
      </c>
      <c r="T445" s="188">
        <v>0.05</v>
      </c>
      <c r="U445" s="188">
        <v>0.13</v>
      </c>
      <c r="V445" s="188">
        <v>0.28000000000000003</v>
      </c>
      <c r="W445" s="188"/>
      <c r="X445" s="89"/>
      <c r="Y445" s="187"/>
      <c r="Z445" s="187"/>
      <c r="AA445" s="187"/>
      <c r="AB445" s="187"/>
      <c r="AC445" s="187"/>
      <c r="AD445" s="189"/>
      <c r="AE445" s="188"/>
    </row>
    <row r="446" spans="1:31" ht="21.25" customHeight="1" x14ac:dyDescent="0.15">
      <c r="A446" s="10" t="s">
        <v>736</v>
      </c>
      <c r="B446" s="185" t="s">
        <v>867</v>
      </c>
      <c r="C446" s="186">
        <v>26</v>
      </c>
      <c r="D446" s="185" t="s">
        <v>842</v>
      </c>
      <c r="E446" s="89">
        <v>71</v>
      </c>
      <c r="F446" s="187">
        <v>11.9</v>
      </c>
      <c r="G446" s="188">
        <v>0.08</v>
      </c>
      <c r="H446" s="188">
        <v>0.19</v>
      </c>
      <c r="I446" s="188">
        <v>0.26</v>
      </c>
      <c r="J446" s="188">
        <v>1.25</v>
      </c>
      <c r="K446" s="188">
        <v>0</v>
      </c>
      <c r="L446" s="188">
        <v>0</v>
      </c>
      <c r="M446" s="188">
        <v>0</v>
      </c>
      <c r="N446" s="188">
        <v>0</v>
      </c>
      <c r="O446" s="188">
        <v>0.36</v>
      </c>
      <c r="P446" s="188">
        <v>3.17</v>
      </c>
      <c r="Q446" s="188">
        <v>-0.09</v>
      </c>
      <c r="R446" s="188">
        <v>0.68</v>
      </c>
      <c r="S446" s="188">
        <v>0.01</v>
      </c>
      <c r="T446" s="188">
        <v>0.67</v>
      </c>
      <c r="U446" s="188">
        <v>0.89</v>
      </c>
      <c r="V446" s="188">
        <v>0.43</v>
      </c>
      <c r="W446" s="188"/>
      <c r="X446" s="89"/>
      <c r="Y446" s="187"/>
      <c r="Z446" s="187"/>
      <c r="AA446" s="187"/>
      <c r="AB446" s="187"/>
      <c r="AC446" s="187"/>
      <c r="AD446" s="189"/>
      <c r="AE446" s="188"/>
    </row>
    <row r="447" spans="1:31" ht="21.25" customHeight="1" x14ac:dyDescent="0.15">
      <c r="A447" s="10" t="s">
        <v>726</v>
      </c>
      <c r="B447" s="185" t="s">
        <v>850</v>
      </c>
      <c r="C447" s="186">
        <v>30</v>
      </c>
      <c r="D447" s="185" t="s">
        <v>844</v>
      </c>
      <c r="E447" s="89">
        <v>80</v>
      </c>
      <c r="F447" s="187">
        <v>11.5</v>
      </c>
      <c r="G447" s="188">
        <v>0.12</v>
      </c>
      <c r="H447" s="188">
        <v>0.14000000000000001</v>
      </c>
      <c r="I447" s="188">
        <v>0.26</v>
      </c>
      <c r="J447" s="188">
        <v>0.93</v>
      </c>
      <c r="K447" s="188">
        <v>0</v>
      </c>
      <c r="L447" s="188">
        <v>0</v>
      </c>
      <c r="M447" s="188">
        <v>0.01</v>
      </c>
      <c r="N447" s="188">
        <v>0.02</v>
      </c>
      <c r="O447" s="188">
        <v>0.42</v>
      </c>
      <c r="P447" s="188">
        <v>0.99</v>
      </c>
      <c r="Q447" s="188">
        <v>-0.09</v>
      </c>
      <c r="R447" s="188">
        <v>0.3</v>
      </c>
      <c r="S447" s="188">
        <v>0.02</v>
      </c>
      <c r="T447" s="188">
        <v>0.05</v>
      </c>
      <c r="U447" s="188">
        <v>7.0000000000000007E-2</v>
      </c>
      <c r="V447" s="188">
        <v>0.43</v>
      </c>
      <c r="W447" s="188"/>
      <c r="X447" s="89"/>
      <c r="Y447" s="187"/>
      <c r="Z447" s="187"/>
      <c r="AA447" s="187"/>
      <c r="AB447" s="187"/>
      <c r="AC447" s="187"/>
      <c r="AD447" s="189"/>
      <c r="AE447" s="188"/>
    </row>
    <row r="448" spans="1:31" ht="21.25" customHeight="1" x14ac:dyDescent="0.15">
      <c r="A448" s="10" t="s">
        <v>740</v>
      </c>
      <c r="B448" s="185" t="s">
        <v>834</v>
      </c>
      <c r="C448" s="186">
        <v>23</v>
      </c>
      <c r="D448" s="185" t="s">
        <v>821</v>
      </c>
      <c r="E448" s="89">
        <v>69</v>
      </c>
      <c r="F448" s="187">
        <v>13</v>
      </c>
      <c r="G448" s="188">
        <v>0.12</v>
      </c>
      <c r="H448" s="188">
        <v>0.14000000000000001</v>
      </c>
      <c r="I448" s="188">
        <v>0.26</v>
      </c>
      <c r="J448" s="188">
        <v>1.22</v>
      </c>
      <c r="K448" s="188">
        <v>0.01</v>
      </c>
      <c r="L448" s="188">
        <v>0.02</v>
      </c>
      <c r="M448" s="188">
        <v>0</v>
      </c>
      <c r="N448" s="188">
        <v>0.01</v>
      </c>
      <c r="O448" s="188">
        <v>0.53</v>
      </c>
      <c r="P448" s="188">
        <v>2.54</v>
      </c>
      <c r="Q448" s="188">
        <v>0.08</v>
      </c>
      <c r="R448" s="188">
        <v>0.53</v>
      </c>
      <c r="S448" s="188">
        <v>0.02</v>
      </c>
      <c r="T448" s="188">
        <v>0.03</v>
      </c>
      <c r="U448" s="188">
        <v>0.18</v>
      </c>
      <c r="V448" s="188">
        <v>0.15</v>
      </c>
      <c r="W448" s="188"/>
      <c r="X448" s="89"/>
      <c r="Y448" s="187"/>
      <c r="Z448" s="187"/>
      <c r="AA448" s="187"/>
      <c r="AB448" s="187"/>
      <c r="AC448" s="187"/>
      <c r="AD448" s="189"/>
      <c r="AE448" s="188"/>
    </row>
    <row r="449" spans="1:31" ht="21.25" customHeight="1" x14ac:dyDescent="0.15">
      <c r="A449" s="10" t="s">
        <v>688</v>
      </c>
      <c r="B449" s="185" t="s">
        <v>832</v>
      </c>
      <c r="C449" s="186">
        <v>31</v>
      </c>
      <c r="D449" s="185" t="s">
        <v>820</v>
      </c>
      <c r="E449" s="89">
        <v>78</v>
      </c>
      <c r="F449" s="187">
        <v>13.6</v>
      </c>
      <c r="G449" s="188">
        <v>0.13</v>
      </c>
      <c r="H449" s="188">
        <v>0.14000000000000001</v>
      </c>
      <c r="I449" s="188">
        <v>0.27</v>
      </c>
      <c r="J449" s="188">
        <v>1.06</v>
      </c>
      <c r="K449" s="188">
        <v>0</v>
      </c>
      <c r="L449" s="188">
        <v>0</v>
      </c>
      <c r="M449" s="188">
        <v>0.01</v>
      </c>
      <c r="N449" s="188">
        <v>0.02</v>
      </c>
      <c r="O449" s="188">
        <v>0.71</v>
      </c>
      <c r="P449" s="188">
        <v>1.27</v>
      </c>
      <c r="Q449" s="188">
        <v>0.06</v>
      </c>
      <c r="R449" s="188">
        <v>0.33</v>
      </c>
      <c r="S449" s="188">
        <v>0.02</v>
      </c>
      <c r="T449" s="188">
        <v>6.12</v>
      </c>
      <c r="U449" s="188">
        <v>6.23</v>
      </c>
      <c r="V449" s="188">
        <v>0.5</v>
      </c>
      <c r="W449" s="188"/>
      <c r="X449" s="89"/>
      <c r="Y449" s="187"/>
      <c r="Z449" s="187"/>
      <c r="AA449" s="187"/>
      <c r="AB449" s="187"/>
      <c r="AC449" s="187"/>
      <c r="AD449" s="189"/>
      <c r="AE449" s="188"/>
    </row>
    <row r="450" spans="1:31" ht="21.25" customHeight="1" x14ac:dyDescent="0.15">
      <c r="A450" s="10" t="s">
        <v>454</v>
      </c>
      <c r="B450" s="185" t="s">
        <v>863</v>
      </c>
      <c r="C450" s="186">
        <v>31</v>
      </c>
      <c r="D450" s="185" t="s">
        <v>823</v>
      </c>
      <c r="E450" s="89">
        <v>70</v>
      </c>
      <c r="F450" s="187">
        <v>21</v>
      </c>
      <c r="G450" s="188">
        <v>0.03</v>
      </c>
      <c r="H450" s="188">
        <v>0.22</v>
      </c>
      <c r="I450" s="188">
        <v>0.25</v>
      </c>
      <c r="J450" s="188">
        <v>1.24</v>
      </c>
      <c r="K450" s="188">
        <v>0</v>
      </c>
      <c r="L450" s="188">
        <v>0.01</v>
      </c>
      <c r="M450" s="188">
        <v>0</v>
      </c>
      <c r="N450" s="188">
        <v>0.01</v>
      </c>
      <c r="O450" s="188">
        <v>1.51</v>
      </c>
      <c r="P450" s="188">
        <v>1.22</v>
      </c>
      <c r="Q450" s="188">
        <v>0.01</v>
      </c>
      <c r="R450" s="188">
        <v>0.35</v>
      </c>
      <c r="S450" s="188">
        <v>0</v>
      </c>
      <c r="T450" s="188">
        <v>0</v>
      </c>
      <c r="U450" s="188">
        <v>0</v>
      </c>
      <c r="V450" s="188">
        <v>0</v>
      </c>
      <c r="W450" s="188"/>
      <c r="X450" s="89"/>
      <c r="Y450" s="187"/>
      <c r="Z450" s="187"/>
      <c r="AA450" s="187"/>
      <c r="AB450" s="187"/>
      <c r="AC450" s="187"/>
      <c r="AD450" s="189"/>
      <c r="AE450" s="188"/>
    </row>
    <row r="451" spans="1:31" ht="21.25" customHeight="1" x14ac:dyDescent="0.15">
      <c r="A451" s="10" t="s">
        <v>761</v>
      </c>
      <c r="B451" s="185" t="s">
        <v>839</v>
      </c>
      <c r="C451" s="186">
        <v>24</v>
      </c>
      <c r="D451" s="185" t="s">
        <v>822</v>
      </c>
      <c r="E451" s="89">
        <v>70</v>
      </c>
      <c r="F451" s="187">
        <v>10.6</v>
      </c>
      <c r="G451" s="188">
        <v>0.1</v>
      </c>
      <c r="H451" s="188">
        <v>0.15</v>
      </c>
      <c r="I451" s="188">
        <v>0.26</v>
      </c>
      <c r="J451" s="188">
        <v>1.1200000000000001</v>
      </c>
      <c r="K451" s="188">
        <v>0</v>
      </c>
      <c r="L451" s="188">
        <v>0</v>
      </c>
      <c r="M451" s="188">
        <v>0</v>
      </c>
      <c r="N451" s="188">
        <v>0</v>
      </c>
      <c r="O451" s="188">
        <v>0.35</v>
      </c>
      <c r="P451" s="188">
        <v>1</v>
      </c>
      <c r="Q451" s="188">
        <v>0.04</v>
      </c>
      <c r="R451" s="188">
        <v>0.22</v>
      </c>
      <c r="S451" s="188">
        <v>0.02</v>
      </c>
      <c r="T451" s="188">
        <v>0.09</v>
      </c>
      <c r="U451" s="188">
        <v>0.27</v>
      </c>
      <c r="V451" s="188">
        <v>0.25</v>
      </c>
      <c r="W451" s="188"/>
      <c r="X451" s="89"/>
      <c r="Y451" s="187"/>
      <c r="Z451" s="187"/>
      <c r="AA451" s="187"/>
      <c r="AB451" s="187"/>
      <c r="AC451" s="187"/>
      <c r="AD451" s="189"/>
      <c r="AE451" s="188"/>
    </row>
    <row r="452" spans="1:31" ht="21.25" customHeight="1" x14ac:dyDescent="0.15">
      <c r="A452" s="10" t="s">
        <v>500</v>
      </c>
      <c r="B452" s="185" t="s">
        <v>861</v>
      </c>
      <c r="C452" s="186">
        <v>26</v>
      </c>
      <c r="D452" s="185" t="s">
        <v>823</v>
      </c>
      <c r="E452" s="89">
        <v>74</v>
      </c>
      <c r="F452" s="187">
        <v>17.399999999999999</v>
      </c>
      <c r="G452" s="188">
        <v>0.04</v>
      </c>
      <c r="H452" s="188">
        <v>0.22</v>
      </c>
      <c r="I452" s="188">
        <v>0.26</v>
      </c>
      <c r="J452" s="188">
        <v>1.07</v>
      </c>
      <c r="K452" s="188">
        <v>0</v>
      </c>
      <c r="L452" s="188">
        <v>0</v>
      </c>
      <c r="M452" s="188">
        <v>0</v>
      </c>
      <c r="N452" s="188">
        <v>0</v>
      </c>
      <c r="O452" s="188">
        <v>1</v>
      </c>
      <c r="P452" s="188">
        <v>0.76</v>
      </c>
      <c r="Q452" s="188">
        <v>-0.03</v>
      </c>
      <c r="R452" s="188">
        <v>0.45</v>
      </c>
      <c r="S452" s="188">
        <v>0</v>
      </c>
      <c r="T452" s="188">
        <v>0</v>
      </c>
      <c r="U452" s="188">
        <v>0</v>
      </c>
      <c r="V452" s="188">
        <v>0</v>
      </c>
      <c r="W452" s="188"/>
      <c r="X452" s="89"/>
      <c r="Y452" s="187"/>
      <c r="Z452" s="187"/>
      <c r="AA452" s="187"/>
      <c r="AB452" s="187"/>
      <c r="AC452" s="187"/>
      <c r="AD452" s="189"/>
      <c r="AE452" s="188"/>
    </row>
    <row r="453" spans="1:31" ht="21.25" customHeight="1" x14ac:dyDescent="0.15">
      <c r="A453" s="10" t="s">
        <v>379</v>
      </c>
      <c r="B453" s="185" t="s">
        <v>862</v>
      </c>
      <c r="C453" s="186">
        <v>31</v>
      </c>
      <c r="D453" s="185" t="s">
        <v>823</v>
      </c>
      <c r="E453" s="89">
        <v>79</v>
      </c>
      <c r="F453" s="187">
        <v>20.7</v>
      </c>
      <c r="G453" s="188">
        <v>0.03</v>
      </c>
      <c r="H453" s="188">
        <v>0.23</v>
      </c>
      <c r="I453" s="188">
        <v>0.26</v>
      </c>
      <c r="J453" s="188">
        <v>1.04</v>
      </c>
      <c r="K453" s="188">
        <v>0</v>
      </c>
      <c r="L453" s="188">
        <v>0</v>
      </c>
      <c r="M453" s="188">
        <v>0</v>
      </c>
      <c r="N453" s="188">
        <v>0.01</v>
      </c>
      <c r="O453" s="188">
        <v>1.93</v>
      </c>
      <c r="P453" s="188">
        <v>0.9</v>
      </c>
      <c r="Q453" s="188">
        <v>-0.04</v>
      </c>
      <c r="R453" s="188">
        <v>0.26</v>
      </c>
      <c r="S453" s="188">
        <v>0</v>
      </c>
      <c r="T453" s="188">
        <v>0</v>
      </c>
      <c r="U453" s="188">
        <v>0</v>
      </c>
      <c r="V453" s="188">
        <v>0</v>
      </c>
      <c r="W453" s="188"/>
      <c r="X453" s="89"/>
      <c r="Y453" s="187"/>
      <c r="Z453" s="187"/>
      <c r="AA453" s="187"/>
      <c r="AB453" s="187"/>
      <c r="AC453" s="187"/>
      <c r="AD453" s="189"/>
      <c r="AE453" s="188"/>
    </row>
    <row r="454" spans="1:31" ht="21.25" customHeight="1" x14ac:dyDescent="0.15">
      <c r="A454" s="10" t="s">
        <v>731</v>
      </c>
      <c r="B454" s="185" t="s">
        <v>856</v>
      </c>
      <c r="C454" s="186">
        <v>31</v>
      </c>
      <c r="D454" s="185" t="s">
        <v>844</v>
      </c>
      <c r="E454" s="89">
        <v>78</v>
      </c>
      <c r="F454" s="187">
        <v>11.3</v>
      </c>
      <c r="G454" s="188">
        <v>0.13</v>
      </c>
      <c r="H454" s="188">
        <v>0.12</v>
      </c>
      <c r="I454" s="188">
        <v>0.26</v>
      </c>
      <c r="J454" s="188">
        <v>1.2</v>
      </c>
      <c r="K454" s="188">
        <v>0</v>
      </c>
      <c r="L454" s="188">
        <v>0</v>
      </c>
      <c r="M454" s="188">
        <v>0</v>
      </c>
      <c r="N454" s="188">
        <v>0.01</v>
      </c>
      <c r="O454" s="188">
        <v>0.24</v>
      </c>
      <c r="P454" s="188">
        <v>1.4</v>
      </c>
      <c r="Q454" s="188">
        <v>0.08</v>
      </c>
      <c r="R454" s="188">
        <v>0.17</v>
      </c>
      <c r="S454" s="188">
        <v>0.02</v>
      </c>
      <c r="T454" s="188">
        <v>0.05</v>
      </c>
      <c r="U454" s="188">
        <v>0.17</v>
      </c>
      <c r="V454" s="188">
        <v>0.21</v>
      </c>
      <c r="W454" s="188"/>
      <c r="X454" s="89"/>
      <c r="Y454" s="187"/>
      <c r="Z454" s="187"/>
      <c r="AA454" s="187"/>
      <c r="AB454" s="187"/>
      <c r="AC454" s="187"/>
      <c r="AD454" s="189"/>
      <c r="AE454" s="188"/>
    </row>
    <row r="455" spans="1:31" ht="21.25" customHeight="1" x14ac:dyDescent="0.15">
      <c r="A455" s="10" t="s">
        <v>433</v>
      </c>
      <c r="B455" s="185" t="s">
        <v>861</v>
      </c>
      <c r="C455" s="186">
        <v>28</v>
      </c>
      <c r="D455" s="185" t="s">
        <v>823</v>
      </c>
      <c r="E455" s="89">
        <v>82</v>
      </c>
      <c r="F455" s="187">
        <v>19.2</v>
      </c>
      <c r="G455" s="188">
        <v>0.05</v>
      </c>
      <c r="H455" s="188">
        <v>0.2</v>
      </c>
      <c r="I455" s="188">
        <v>0.26</v>
      </c>
      <c r="J455" s="188">
        <v>0.99</v>
      </c>
      <c r="K455" s="188">
        <v>0</v>
      </c>
      <c r="L455" s="188">
        <v>0</v>
      </c>
      <c r="M455" s="188">
        <v>0</v>
      </c>
      <c r="N455" s="188">
        <v>0.02</v>
      </c>
      <c r="O455" s="188">
        <v>1.31</v>
      </c>
      <c r="P455" s="188">
        <v>0.71</v>
      </c>
      <c r="Q455" s="188">
        <v>-0.06</v>
      </c>
      <c r="R455" s="188">
        <v>0.28999999999999998</v>
      </c>
      <c r="S455" s="188">
        <v>0.01</v>
      </c>
      <c r="T455" s="188">
        <v>0</v>
      </c>
      <c r="U455" s="188">
        <v>0</v>
      </c>
      <c r="V455" s="188">
        <v>0</v>
      </c>
      <c r="W455" s="188"/>
      <c r="X455" s="89"/>
      <c r="Y455" s="187"/>
      <c r="Z455" s="187"/>
      <c r="AA455" s="187"/>
      <c r="AB455" s="187"/>
      <c r="AC455" s="187"/>
      <c r="AD455" s="189"/>
      <c r="AE455" s="188"/>
    </row>
    <row r="456" spans="1:31" ht="21.25" customHeight="1" x14ac:dyDescent="0.15">
      <c r="A456" s="10" t="s">
        <v>711</v>
      </c>
      <c r="B456" s="185" t="s">
        <v>845</v>
      </c>
      <c r="C456" s="186">
        <v>33</v>
      </c>
      <c r="D456" s="185" t="s">
        <v>822</v>
      </c>
      <c r="E456" s="89">
        <v>80</v>
      </c>
      <c r="F456" s="187">
        <v>11.5</v>
      </c>
      <c r="G456" s="188">
        <v>0.12</v>
      </c>
      <c r="H456" s="188">
        <v>0.14000000000000001</v>
      </c>
      <c r="I456" s="188">
        <v>0.26</v>
      </c>
      <c r="J456" s="188">
        <v>1.1100000000000001</v>
      </c>
      <c r="K456" s="188">
        <v>0</v>
      </c>
      <c r="L456" s="188">
        <v>0</v>
      </c>
      <c r="M456" s="188">
        <v>0.01</v>
      </c>
      <c r="N456" s="188">
        <v>0.02</v>
      </c>
      <c r="O456" s="188">
        <v>0.47</v>
      </c>
      <c r="P456" s="188">
        <v>1.02</v>
      </c>
      <c r="Q456" s="188">
        <v>-0.02</v>
      </c>
      <c r="R456" s="188">
        <v>0.28999999999999998</v>
      </c>
      <c r="S456" s="188">
        <v>0.02</v>
      </c>
      <c r="T456" s="188">
        <v>0.24</v>
      </c>
      <c r="U456" s="188">
        <v>0.56000000000000005</v>
      </c>
      <c r="V456" s="188">
        <v>0.3</v>
      </c>
      <c r="W456" s="188"/>
      <c r="X456" s="89"/>
      <c r="Y456" s="187"/>
      <c r="Z456" s="187"/>
      <c r="AA456" s="187"/>
      <c r="AB456" s="187"/>
      <c r="AC456" s="187"/>
      <c r="AD456" s="189"/>
      <c r="AE456" s="188"/>
    </row>
    <row r="457" spans="1:31" ht="21.25" customHeight="1" x14ac:dyDescent="0.15">
      <c r="A457" s="10" t="s">
        <v>747</v>
      </c>
      <c r="B457" s="185" t="s">
        <v>864</v>
      </c>
      <c r="C457" s="186">
        <v>23</v>
      </c>
      <c r="D457" s="185" t="s">
        <v>820</v>
      </c>
      <c r="E457" s="89">
        <v>71</v>
      </c>
      <c r="F457" s="187">
        <v>12.4</v>
      </c>
      <c r="G457" s="188">
        <v>0.11</v>
      </c>
      <c r="H457" s="188">
        <v>0.15</v>
      </c>
      <c r="I457" s="188">
        <v>0.26</v>
      </c>
      <c r="J457" s="188">
        <v>1.01</v>
      </c>
      <c r="K457" s="188">
        <v>0</v>
      </c>
      <c r="L457" s="188">
        <v>0</v>
      </c>
      <c r="M457" s="188">
        <v>0</v>
      </c>
      <c r="N457" s="188">
        <v>0.01</v>
      </c>
      <c r="O457" s="188">
        <v>0.32</v>
      </c>
      <c r="P457" s="188">
        <v>2.23</v>
      </c>
      <c r="Q457" s="188">
        <v>-0.12</v>
      </c>
      <c r="R457" s="188">
        <v>0.34</v>
      </c>
      <c r="S457" s="188">
        <v>0.01</v>
      </c>
      <c r="T457" s="188">
        <v>7.19</v>
      </c>
      <c r="U457" s="188">
        <v>4.8899999999999997</v>
      </c>
      <c r="V457" s="188">
        <v>0.6</v>
      </c>
      <c r="W457" s="188"/>
      <c r="X457" s="89"/>
      <c r="Y457" s="187"/>
      <c r="Z457" s="187"/>
      <c r="AA457" s="187"/>
      <c r="AB457" s="187"/>
      <c r="AC457" s="187"/>
      <c r="AD457" s="189"/>
      <c r="AE457" s="188"/>
    </row>
    <row r="458" spans="1:31" ht="21.25" customHeight="1" x14ac:dyDescent="0.15">
      <c r="A458" s="10" t="s">
        <v>523</v>
      </c>
      <c r="B458" s="185" t="s">
        <v>832</v>
      </c>
      <c r="C458" s="186">
        <v>29</v>
      </c>
      <c r="D458" s="185" t="s">
        <v>823</v>
      </c>
      <c r="E458" s="89">
        <v>73</v>
      </c>
      <c r="F458" s="187">
        <v>17.5</v>
      </c>
      <c r="G458" s="188">
        <v>0.06</v>
      </c>
      <c r="H458" s="188">
        <v>0.25</v>
      </c>
      <c r="I458" s="188">
        <v>0.3</v>
      </c>
      <c r="J458" s="188">
        <v>0.91</v>
      </c>
      <c r="K458" s="188">
        <v>0</v>
      </c>
      <c r="L458" s="188">
        <v>0</v>
      </c>
      <c r="M458" s="188">
        <v>0</v>
      </c>
      <c r="N458" s="188">
        <v>0</v>
      </c>
      <c r="O458" s="188">
        <v>1.3</v>
      </c>
      <c r="P458" s="188">
        <v>0.65</v>
      </c>
      <c r="Q458" s="188">
        <v>7.0000000000000007E-2</v>
      </c>
      <c r="R458" s="188">
        <v>0.26</v>
      </c>
      <c r="S458" s="188">
        <v>0.01</v>
      </c>
      <c r="T458" s="188">
        <v>0</v>
      </c>
      <c r="U458" s="188">
        <v>0</v>
      </c>
      <c r="V458" s="188">
        <v>0</v>
      </c>
      <c r="W458" s="188"/>
      <c r="X458" s="89"/>
      <c r="Y458" s="187"/>
      <c r="Z458" s="187"/>
      <c r="AA458" s="187"/>
      <c r="AB458" s="187"/>
      <c r="AC458" s="187"/>
      <c r="AD458" s="189"/>
      <c r="AE458" s="188"/>
    </row>
    <row r="459" spans="1:31" ht="21.25" customHeight="1" x14ac:dyDescent="0.15">
      <c r="A459" s="10" t="s">
        <v>389</v>
      </c>
      <c r="B459" s="185" t="s">
        <v>862</v>
      </c>
      <c r="C459" s="186">
        <v>26</v>
      </c>
      <c r="D459" s="185" t="s">
        <v>823</v>
      </c>
      <c r="E459" s="89">
        <v>76</v>
      </c>
      <c r="F459" s="187">
        <v>18.899999999999999</v>
      </c>
      <c r="G459" s="188">
        <v>0.06</v>
      </c>
      <c r="H459" s="188">
        <v>0.19</v>
      </c>
      <c r="I459" s="188">
        <v>0.25</v>
      </c>
      <c r="J459" s="188">
        <v>1.26</v>
      </c>
      <c r="K459" s="188">
        <v>0</v>
      </c>
      <c r="L459" s="188">
        <v>0</v>
      </c>
      <c r="M459" s="188">
        <v>0</v>
      </c>
      <c r="N459" s="188">
        <v>0.01</v>
      </c>
      <c r="O459" s="188">
        <v>1.83</v>
      </c>
      <c r="P459" s="188">
        <v>1.57</v>
      </c>
      <c r="Q459" s="188">
        <v>-0.06</v>
      </c>
      <c r="R459" s="188">
        <v>0.31</v>
      </c>
      <c r="S459" s="188">
        <v>0.01</v>
      </c>
      <c r="T459" s="188">
        <v>0</v>
      </c>
      <c r="U459" s="188">
        <v>0</v>
      </c>
      <c r="V459" s="188">
        <v>0</v>
      </c>
      <c r="W459" s="188"/>
      <c r="X459" s="89"/>
      <c r="Y459" s="187"/>
      <c r="Z459" s="187"/>
      <c r="AA459" s="187"/>
      <c r="AB459" s="187"/>
      <c r="AC459" s="187"/>
      <c r="AD459" s="189"/>
      <c r="AE459" s="188"/>
    </row>
    <row r="460" spans="1:31" ht="21.25" customHeight="1" x14ac:dyDescent="0.15">
      <c r="A460" s="10" t="s">
        <v>750</v>
      </c>
      <c r="B460" s="185" t="s">
        <v>832</v>
      </c>
      <c r="C460" s="186">
        <v>23</v>
      </c>
      <c r="D460" s="185" t="s">
        <v>835</v>
      </c>
      <c r="E460" s="89">
        <v>75</v>
      </c>
      <c r="F460" s="187">
        <v>11.5</v>
      </c>
      <c r="G460" s="188">
        <v>0.1</v>
      </c>
      <c r="H460" s="188">
        <v>0.16</v>
      </c>
      <c r="I460" s="188">
        <v>0.25</v>
      </c>
      <c r="J460" s="188">
        <v>1</v>
      </c>
      <c r="K460" s="188">
        <v>0.01</v>
      </c>
      <c r="L460" s="188">
        <v>0.02</v>
      </c>
      <c r="M460" s="188">
        <v>0</v>
      </c>
      <c r="N460" s="188">
        <v>0</v>
      </c>
      <c r="O460" s="188">
        <v>0.48</v>
      </c>
      <c r="P460" s="188">
        <v>3.09</v>
      </c>
      <c r="Q460" s="188">
        <v>0.05</v>
      </c>
      <c r="R460" s="188">
        <v>0.49</v>
      </c>
      <c r="S460" s="188">
        <v>0.02</v>
      </c>
      <c r="T460" s="188">
        <v>0.47</v>
      </c>
      <c r="U460" s="188">
        <v>0.64</v>
      </c>
      <c r="V460" s="188">
        <v>0.42</v>
      </c>
      <c r="W460" s="188"/>
      <c r="X460" s="89"/>
      <c r="Y460" s="187"/>
      <c r="Z460" s="187"/>
      <c r="AA460" s="187"/>
      <c r="AB460" s="187"/>
      <c r="AC460" s="187"/>
      <c r="AD460" s="189"/>
      <c r="AE460" s="188"/>
    </row>
    <row r="461" spans="1:31" ht="21.25" customHeight="1" x14ac:dyDescent="0.15">
      <c r="A461" s="10" t="s">
        <v>729</v>
      </c>
      <c r="B461" s="185" t="s">
        <v>860</v>
      </c>
      <c r="C461" s="186">
        <v>28</v>
      </c>
      <c r="D461" s="185" t="s">
        <v>822</v>
      </c>
      <c r="E461" s="89">
        <v>80</v>
      </c>
      <c r="F461" s="187">
        <v>11.4</v>
      </c>
      <c r="G461" s="188">
        <v>0.1</v>
      </c>
      <c r="H461" s="188">
        <v>0.15</v>
      </c>
      <c r="I461" s="188">
        <v>0.25</v>
      </c>
      <c r="J461" s="188">
        <v>0.91</v>
      </c>
      <c r="K461" s="188">
        <v>0</v>
      </c>
      <c r="L461" s="188">
        <v>0.01</v>
      </c>
      <c r="M461" s="188">
        <v>0</v>
      </c>
      <c r="N461" s="188">
        <v>0.01</v>
      </c>
      <c r="O461" s="188">
        <v>0.47</v>
      </c>
      <c r="P461" s="188">
        <v>0.85</v>
      </c>
      <c r="Q461" s="188">
        <v>-0.01</v>
      </c>
      <c r="R461" s="188">
        <v>0.22</v>
      </c>
      <c r="S461" s="188">
        <v>0.02</v>
      </c>
      <c r="T461" s="188">
        <v>0.08</v>
      </c>
      <c r="U461" s="188">
        <v>0.22</v>
      </c>
      <c r="V461" s="188">
        <v>0.28000000000000003</v>
      </c>
      <c r="W461" s="188"/>
      <c r="X461" s="89"/>
      <c r="Y461" s="187"/>
      <c r="Z461" s="187"/>
      <c r="AA461" s="187"/>
      <c r="AB461" s="187"/>
      <c r="AC461" s="187"/>
      <c r="AD461" s="189"/>
      <c r="AE461" s="188"/>
    </row>
    <row r="462" spans="1:31" ht="21.25" customHeight="1" x14ac:dyDescent="0.15">
      <c r="A462" s="10" t="s">
        <v>697</v>
      </c>
      <c r="B462" s="185" t="s">
        <v>857</v>
      </c>
      <c r="C462" s="186">
        <v>27</v>
      </c>
      <c r="D462" s="185" t="s">
        <v>835</v>
      </c>
      <c r="E462" s="89">
        <v>79</v>
      </c>
      <c r="F462" s="187">
        <v>12.6</v>
      </c>
      <c r="G462" s="188">
        <v>0.11</v>
      </c>
      <c r="H462" s="188">
        <v>0.13</v>
      </c>
      <c r="I462" s="188">
        <v>0.24</v>
      </c>
      <c r="J462" s="188">
        <v>1.03</v>
      </c>
      <c r="K462" s="188">
        <v>0</v>
      </c>
      <c r="L462" s="188">
        <v>0.01</v>
      </c>
      <c r="M462" s="188">
        <v>0.01</v>
      </c>
      <c r="N462" s="188">
        <v>0.01</v>
      </c>
      <c r="O462" s="188">
        <v>0.82</v>
      </c>
      <c r="P462" s="188">
        <v>1.26</v>
      </c>
      <c r="Q462" s="188">
        <v>-0.03</v>
      </c>
      <c r="R462" s="188">
        <v>0.3</v>
      </c>
      <c r="S462" s="188">
        <v>0.02</v>
      </c>
      <c r="T462" s="188">
        <v>1.65</v>
      </c>
      <c r="U462" s="188">
        <v>1.87</v>
      </c>
      <c r="V462" s="188">
        <v>0.47</v>
      </c>
      <c r="W462" s="188"/>
      <c r="X462" s="89"/>
      <c r="Y462" s="187"/>
      <c r="Z462" s="187"/>
      <c r="AA462" s="187"/>
      <c r="AB462" s="187"/>
      <c r="AC462" s="187"/>
      <c r="AD462" s="189"/>
      <c r="AE462" s="188"/>
    </row>
    <row r="463" spans="1:31" ht="21.25" customHeight="1" x14ac:dyDescent="0.15">
      <c r="A463" s="10" t="s">
        <v>461</v>
      </c>
      <c r="B463" s="185" t="s">
        <v>860</v>
      </c>
      <c r="C463" s="186">
        <v>25</v>
      </c>
      <c r="D463" s="185" t="s">
        <v>823</v>
      </c>
      <c r="E463" s="89">
        <v>80</v>
      </c>
      <c r="F463" s="187">
        <v>17.399999999999999</v>
      </c>
      <c r="G463" s="188">
        <v>7.0000000000000007E-2</v>
      </c>
      <c r="H463" s="188">
        <v>0.18</v>
      </c>
      <c r="I463" s="188">
        <v>0.25</v>
      </c>
      <c r="J463" s="188">
        <v>1.08</v>
      </c>
      <c r="K463" s="188">
        <v>0</v>
      </c>
      <c r="L463" s="188">
        <v>0</v>
      </c>
      <c r="M463" s="188">
        <v>0</v>
      </c>
      <c r="N463" s="188">
        <v>0</v>
      </c>
      <c r="O463" s="188">
        <v>1.17</v>
      </c>
      <c r="P463" s="188">
        <v>1.38</v>
      </c>
      <c r="Q463" s="188">
        <v>-0.01</v>
      </c>
      <c r="R463" s="188">
        <v>0.48</v>
      </c>
      <c r="S463" s="188">
        <v>0.01</v>
      </c>
      <c r="T463" s="188">
        <v>0</v>
      </c>
      <c r="U463" s="188">
        <v>0</v>
      </c>
      <c r="V463" s="188">
        <v>0</v>
      </c>
      <c r="W463" s="188"/>
      <c r="X463" s="89"/>
      <c r="Y463" s="187"/>
      <c r="Z463" s="187"/>
      <c r="AA463" s="187"/>
      <c r="AB463" s="187"/>
      <c r="AC463" s="187"/>
      <c r="AD463" s="189"/>
      <c r="AE463" s="188"/>
    </row>
    <row r="464" spans="1:31" ht="21.25" customHeight="1" x14ac:dyDescent="0.15">
      <c r="A464" s="10" t="s">
        <v>548</v>
      </c>
      <c r="B464" s="185" t="s">
        <v>867</v>
      </c>
      <c r="C464" s="186">
        <v>21</v>
      </c>
      <c r="D464" s="185" t="s">
        <v>823</v>
      </c>
      <c r="E464" s="89">
        <v>64</v>
      </c>
      <c r="F464" s="187">
        <v>16.8</v>
      </c>
      <c r="G464" s="188">
        <v>0.06</v>
      </c>
      <c r="H464" s="188">
        <v>0.18</v>
      </c>
      <c r="I464" s="188">
        <v>0.24</v>
      </c>
      <c r="J464" s="188">
        <v>1.02</v>
      </c>
      <c r="K464" s="188">
        <v>0</v>
      </c>
      <c r="L464" s="188">
        <v>0.04</v>
      </c>
      <c r="M464" s="188">
        <v>0</v>
      </c>
      <c r="N464" s="188">
        <v>0</v>
      </c>
      <c r="O464" s="188">
        <v>0.96</v>
      </c>
      <c r="P464" s="188">
        <v>0.93</v>
      </c>
      <c r="Q464" s="188">
        <v>-0.09</v>
      </c>
      <c r="R464" s="188">
        <v>0.31</v>
      </c>
      <c r="S464" s="188">
        <v>0.01</v>
      </c>
      <c r="T464" s="188">
        <v>0</v>
      </c>
      <c r="U464" s="188">
        <v>0</v>
      </c>
      <c r="V464" s="188">
        <v>0</v>
      </c>
      <c r="W464" s="188"/>
      <c r="X464" s="89"/>
      <c r="Y464" s="187"/>
      <c r="Z464" s="187"/>
      <c r="AA464" s="187"/>
      <c r="AB464" s="187"/>
      <c r="AC464" s="187"/>
      <c r="AD464" s="189"/>
      <c r="AE464" s="188"/>
    </row>
    <row r="465" spans="1:31" ht="21.25" customHeight="1" x14ac:dyDescent="0.15">
      <c r="A465" s="10" t="s">
        <v>743</v>
      </c>
      <c r="B465" s="185" t="s">
        <v>847</v>
      </c>
      <c r="C465" s="186">
        <v>28</v>
      </c>
      <c r="D465" s="185" t="s">
        <v>821</v>
      </c>
      <c r="E465" s="89">
        <v>73</v>
      </c>
      <c r="F465" s="187">
        <v>11.5</v>
      </c>
      <c r="G465" s="188">
        <v>0.12</v>
      </c>
      <c r="H465" s="188">
        <v>0.13</v>
      </c>
      <c r="I465" s="188">
        <v>0.25</v>
      </c>
      <c r="J465" s="188">
        <v>1.31</v>
      </c>
      <c r="K465" s="188">
        <v>0</v>
      </c>
      <c r="L465" s="188">
        <v>0</v>
      </c>
      <c r="M465" s="188">
        <v>0.01</v>
      </c>
      <c r="N465" s="188">
        <v>0.01</v>
      </c>
      <c r="O465" s="188">
        <v>0.36</v>
      </c>
      <c r="P465" s="188">
        <v>2.66</v>
      </c>
      <c r="Q465" s="188">
        <v>0.01</v>
      </c>
      <c r="R465" s="188">
        <v>0.2</v>
      </c>
      <c r="S465" s="188">
        <v>0.02</v>
      </c>
      <c r="T465" s="188">
        <v>0</v>
      </c>
      <c r="U465" s="188">
        <v>0.03</v>
      </c>
      <c r="V465" s="188">
        <v>0</v>
      </c>
      <c r="W465" s="188"/>
      <c r="X465" s="89"/>
      <c r="Y465" s="187"/>
      <c r="Z465" s="187"/>
      <c r="AA465" s="187"/>
      <c r="AB465" s="187"/>
      <c r="AC465" s="187"/>
      <c r="AD465" s="189"/>
      <c r="AE465" s="188"/>
    </row>
    <row r="466" spans="1:31" ht="21.25" customHeight="1" x14ac:dyDescent="0.15">
      <c r="A466" s="10" t="s">
        <v>478</v>
      </c>
      <c r="B466" s="185" t="s">
        <v>850</v>
      </c>
      <c r="C466" s="186">
        <v>24</v>
      </c>
      <c r="D466" s="185" t="s">
        <v>823</v>
      </c>
      <c r="E466" s="89">
        <v>75</v>
      </c>
      <c r="F466" s="187">
        <v>19.8</v>
      </c>
      <c r="G466" s="188">
        <v>0.08</v>
      </c>
      <c r="H466" s="188">
        <v>0.17</v>
      </c>
      <c r="I466" s="188">
        <v>0.25</v>
      </c>
      <c r="J466" s="188">
        <v>1.1000000000000001</v>
      </c>
      <c r="K466" s="188">
        <v>0</v>
      </c>
      <c r="L466" s="188">
        <v>0</v>
      </c>
      <c r="M466" s="188">
        <v>0</v>
      </c>
      <c r="N466" s="188">
        <v>0</v>
      </c>
      <c r="O466" s="188">
        <v>1.22</v>
      </c>
      <c r="P466" s="188">
        <v>0.75</v>
      </c>
      <c r="Q466" s="188">
        <v>-0.11</v>
      </c>
      <c r="R466" s="188">
        <v>0.45</v>
      </c>
      <c r="S466" s="188">
        <v>0.01</v>
      </c>
      <c r="T466" s="188">
        <v>0</v>
      </c>
      <c r="U466" s="188">
        <v>0</v>
      </c>
      <c r="V466" s="188">
        <v>0</v>
      </c>
      <c r="W466" s="188"/>
      <c r="X466" s="89"/>
      <c r="Y466" s="188"/>
      <c r="Z466" s="188"/>
      <c r="AA466" s="188"/>
      <c r="AB466" s="188"/>
      <c r="AC466" s="187"/>
      <c r="AD466" s="189"/>
      <c r="AE466" s="188"/>
    </row>
    <row r="467" spans="1:31" ht="21.25" customHeight="1" x14ac:dyDescent="0.15">
      <c r="A467" s="10" t="s">
        <v>413</v>
      </c>
      <c r="B467" s="185" t="s">
        <v>837</v>
      </c>
      <c r="C467" s="186">
        <v>31</v>
      </c>
      <c r="D467" s="185" t="s">
        <v>823</v>
      </c>
      <c r="E467" s="89">
        <v>83</v>
      </c>
      <c r="F467" s="187">
        <v>20.5</v>
      </c>
      <c r="G467" s="188">
        <v>0.03</v>
      </c>
      <c r="H467" s="188">
        <v>0.22</v>
      </c>
      <c r="I467" s="188">
        <v>0.25</v>
      </c>
      <c r="J467" s="188">
        <v>1.1599999999999999</v>
      </c>
      <c r="K467" s="188">
        <v>0</v>
      </c>
      <c r="L467" s="188">
        <v>0</v>
      </c>
      <c r="M467" s="188">
        <v>0</v>
      </c>
      <c r="N467" s="188">
        <v>0</v>
      </c>
      <c r="O467" s="188">
        <v>1.32</v>
      </c>
      <c r="P467" s="188">
        <v>2.19</v>
      </c>
      <c r="Q467" s="188">
        <v>-0.02</v>
      </c>
      <c r="R467" s="188">
        <v>1.26</v>
      </c>
      <c r="S467" s="188">
        <v>0</v>
      </c>
      <c r="T467" s="188">
        <v>0</v>
      </c>
      <c r="U467" s="188">
        <v>0</v>
      </c>
      <c r="V467" s="188">
        <v>0</v>
      </c>
      <c r="W467" s="188"/>
      <c r="X467" s="89"/>
      <c r="Y467" s="187"/>
      <c r="Z467" s="187"/>
      <c r="AA467" s="187"/>
      <c r="AB467" s="187"/>
      <c r="AC467" s="187"/>
      <c r="AD467" s="189"/>
      <c r="AE467" s="188"/>
    </row>
    <row r="468" spans="1:31" ht="21.25" customHeight="1" x14ac:dyDescent="0.15">
      <c r="A468" s="10" t="s">
        <v>779</v>
      </c>
      <c r="B468" s="185" t="s">
        <v>866</v>
      </c>
      <c r="C468" s="186">
        <v>27</v>
      </c>
      <c r="D468" s="185" t="s">
        <v>835</v>
      </c>
      <c r="E468" s="89">
        <v>63</v>
      </c>
      <c r="F468" s="187">
        <v>12.1</v>
      </c>
      <c r="G468" s="188">
        <v>0.11</v>
      </c>
      <c r="H468" s="188">
        <v>0.14000000000000001</v>
      </c>
      <c r="I468" s="188">
        <v>0.25</v>
      </c>
      <c r="J468" s="188">
        <v>1.1100000000000001</v>
      </c>
      <c r="K468" s="188">
        <v>0</v>
      </c>
      <c r="L468" s="188">
        <v>0</v>
      </c>
      <c r="M468" s="188">
        <v>0</v>
      </c>
      <c r="N468" s="188">
        <v>0.01</v>
      </c>
      <c r="O468" s="188">
        <v>0.33</v>
      </c>
      <c r="P468" s="188">
        <v>1.35</v>
      </c>
      <c r="Q468" s="188">
        <v>-0.09</v>
      </c>
      <c r="R468" s="188">
        <v>0.31</v>
      </c>
      <c r="S468" s="188">
        <v>0.02</v>
      </c>
      <c r="T468" s="188">
        <v>3.43</v>
      </c>
      <c r="U468" s="188">
        <v>3.05</v>
      </c>
      <c r="V468" s="188">
        <v>0.53</v>
      </c>
      <c r="W468" s="188"/>
      <c r="X468" s="89"/>
      <c r="Y468" s="187"/>
      <c r="Z468" s="187"/>
      <c r="AA468" s="187"/>
      <c r="AB468" s="187"/>
      <c r="AC468" s="187"/>
      <c r="AD468" s="189"/>
      <c r="AE468" s="188"/>
    </row>
    <row r="469" spans="1:31" ht="21.25" customHeight="1" x14ac:dyDescent="0.15">
      <c r="A469" s="10" t="s">
        <v>690</v>
      </c>
      <c r="B469" s="185" t="s">
        <v>837</v>
      </c>
      <c r="C469" s="186">
        <v>27</v>
      </c>
      <c r="D469" s="185" t="s">
        <v>842</v>
      </c>
      <c r="E469" s="89">
        <v>79</v>
      </c>
      <c r="F469" s="187">
        <v>12.3</v>
      </c>
      <c r="G469" s="188">
        <v>0.12</v>
      </c>
      <c r="H469" s="188">
        <v>0.13</v>
      </c>
      <c r="I469" s="188">
        <v>0.25</v>
      </c>
      <c r="J469" s="188">
        <v>1.22</v>
      </c>
      <c r="K469" s="188">
        <v>0</v>
      </c>
      <c r="L469" s="188">
        <v>0</v>
      </c>
      <c r="M469" s="188">
        <v>0.01</v>
      </c>
      <c r="N469" s="188">
        <v>0.01</v>
      </c>
      <c r="O469" s="188">
        <v>0.72</v>
      </c>
      <c r="P469" s="188">
        <v>2.63</v>
      </c>
      <c r="Q469" s="188">
        <v>-0.03</v>
      </c>
      <c r="R469" s="188">
        <v>1.04</v>
      </c>
      <c r="S469" s="188">
        <v>0.02</v>
      </c>
      <c r="T469" s="188">
        <v>3.99</v>
      </c>
      <c r="U469" s="188">
        <v>2.91</v>
      </c>
      <c r="V469" s="188">
        <v>0.57999999999999996</v>
      </c>
      <c r="W469" s="188"/>
      <c r="X469" s="89"/>
      <c r="Y469" s="187"/>
      <c r="Z469" s="187"/>
      <c r="AA469" s="187"/>
      <c r="AB469" s="187"/>
      <c r="AC469" s="187"/>
      <c r="AD469" s="189"/>
      <c r="AE469" s="188"/>
    </row>
    <row r="470" spans="1:31" ht="21.25" customHeight="1" x14ac:dyDescent="0.15">
      <c r="A470" s="10" t="s">
        <v>394</v>
      </c>
      <c r="B470" s="185" t="s">
        <v>846</v>
      </c>
      <c r="C470" s="186">
        <v>29</v>
      </c>
      <c r="D470" s="185" t="s">
        <v>823</v>
      </c>
      <c r="E470" s="89">
        <v>81</v>
      </c>
      <c r="F470" s="187">
        <v>19</v>
      </c>
      <c r="G470" s="188">
        <v>0.04</v>
      </c>
      <c r="H470" s="188">
        <v>0.2</v>
      </c>
      <c r="I470" s="188">
        <v>0.25</v>
      </c>
      <c r="J470" s="188">
        <v>0.79</v>
      </c>
      <c r="K470" s="188">
        <v>0</v>
      </c>
      <c r="L470" s="188">
        <v>0</v>
      </c>
      <c r="M470" s="188">
        <v>0</v>
      </c>
      <c r="N470" s="188">
        <v>0.01</v>
      </c>
      <c r="O470" s="188">
        <v>1.96</v>
      </c>
      <c r="P470" s="188">
        <v>0.76</v>
      </c>
      <c r="Q470" s="188">
        <v>0.02</v>
      </c>
      <c r="R470" s="188">
        <v>0.49</v>
      </c>
      <c r="S470" s="188">
        <v>0.01</v>
      </c>
      <c r="T470" s="188">
        <v>0</v>
      </c>
      <c r="U470" s="188">
        <v>0</v>
      </c>
      <c r="V470" s="188">
        <v>0</v>
      </c>
      <c r="W470" s="188"/>
      <c r="X470" s="89"/>
      <c r="Y470" s="187"/>
      <c r="Z470" s="187"/>
      <c r="AA470" s="187"/>
      <c r="AB470" s="187"/>
      <c r="AC470" s="187"/>
      <c r="AD470" s="189"/>
      <c r="AE470" s="188"/>
    </row>
    <row r="471" spans="1:31" ht="21.25" customHeight="1" x14ac:dyDescent="0.15">
      <c r="A471" s="10" t="s">
        <v>700</v>
      </c>
      <c r="B471" s="185" t="s">
        <v>865</v>
      </c>
      <c r="C471" s="186">
        <v>29</v>
      </c>
      <c r="D471" s="185" t="s">
        <v>821</v>
      </c>
      <c r="E471" s="89">
        <v>82</v>
      </c>
      <c r="F471" s="187">
        <v>12.1</v>
      </c>
      <c r="G471" s="188">
        <v>0.12</v>
      </c>
      <c r="H471" s="188">
        <v>0.12</v>
      </c>
      <c r="I471" s="188">
        <v>0.24</v>
      </c>
      <c r="J471" s="188">
        <v>1.37</v>
      </c>
      <c r="K471" s="188">
        <v>0</v>
      </c>
      <c r="L471" s="188">
        <v>0</v>
      </c>
      <c r="M471" s="188">
        <v>0.01</v>
      </c>
      <c r="N471" s="188">
        <v>0.02</v>
      </c>
      <c r="O471" s="188">
        <v>0.47</v>
      </c>
      <c r="P471" s="188">
        <v>1.0900000000000001</v>
      </c>
      <c r="Q471" s="188">
        <v>0.04</v>
      </c>
      <c r="R471" s="188">
        <v>0.23</v>
      </c>
      <c r="S471" s="188">
        <v>0.02</v>
      </c>
      <c r="T471" s="188">
        <v>0.38</v>
      </c>
      <c r="U471" s="188">
        <v>0.39</v>
      </c>
      <c r="V471" s="188">
        <v>0.49</v>
      </c>
      <c r="W471" s="188"/>
      <c r="X471" s="89"/>
      <c r="Y471" s="187"/>
      <c r="Z471" s="187"/>
      <c r="AA471" s="187"/>
      <c r="AB471" s="187"/>
      <c r="AC471" s="187"/>
      <c r="AD471" s="189"/>
      <c r="AE471" s="188"/>
    </row>
    <row r="472" spans="1:31" ht="21.25" customHeight="1" x14ac:dyDescent="0.15">
      <c r="A472" s="10" t="s">
        <v>717</v>
      </c>
      <c r="B472" s="185" t="s">
        <v>857</v>
      </c>
      <c r="C472" s="186">
        <v>29</v>
      </c>
      <c r="D472" s="185" t="s">
        <v>822</v>
      </c>
      <c r="E472" s="89">
        <v>84</v>
      </c>
      <c r="F472" s="187">
        <v>11.6</v>
      </c>
      <c r="G472" s="188">
        <v>0.09</v>
      </c>
      <c r="H472" s="188">
        <v>0.15</v>
      </c>
      <c r="I472" s="188">
        <v>0.24</v>
      </c>
      <c r="J472" s="188">
        <v>0.89</v>
      </c>
      <c r="K472" s="188">
        <v>0</v>
      </c>
      <c r="L472" s="188">
        <v>0</v>
      </c>
      <c r="M472" s="188">
        <v>0</v>
      </c>
      <c r="N472" s="188">
        <v>0.01</v>
      </c>
      <c r="O472" s="188">
        <v>0.52</v>
      </c>
      <c r="P472" s="188">
        <v>2.87</v>
      </c>
      <c r="Q472" s="188">
        <v>-0.04</v>
      </c>
      <c r="R472" s="188">
        <v>0.5</v>
      </c>
      <c r="S472" s="188">
        <v>0.01</v>
      </c>
      <c r="T472" s="188">
        <v>0.12</v>
      </c>
      <c r="U472" s="188">
        <v>0.21</v>
      </c>
      <c r="V472" s="188">
        <v>0.36</v>
      </c>
      <c r="W472" s="188"/>
      <c r="X472" s="89"/>
      <c r="Y472" s="187"/>
      <c r="Z472" s="187"/>
      <c r="AA472" s="187"/>
      <c r="AB472" s="187"/>
      <c r="AC472" s="187"/>
      <c r="AD472" s="189"/>
      <c r="AE472" s="188"/>
    </row>
    <row r="473" spans="1:31" ht="21.25" customHeight="1" x14ac:dyDescent="0.15">
      <c r="A473" s="10" t="s">
        <v>728</v>
      </c>
      <c r="B473" s="185" t="s">
        <v>840</v>
      </c>
      <c r="C473" s="186">
        <v>35</v>
      </c>
      <c r="D473" s="185" t="s">
        <v>821</v>
      </c>
      <c r="E473" s="89">
        <v>76</v>
      </c>
      <c r="F473" s="187">
        <v>12.7</v>
      </c>
      <c r="G473" s="188">
        <v>0.12</v>
      </c>
      <c r="H473" s="188">
        <v>0.13</v>
      </c>
      <c r="I473" s="188">
        <v>0.24</v>
      </c>
      <c r="J473" s="188">
        <v>1.02</v>
      </c>
      <c r="K473" s="188">
        <v>0</v>
      </c>
      <c r="L473" s="188">
        <v>0</v>
      </c>
      <c r="M473" s="188">
        <v>0</v>
      </c>
      <c r="N473" s="188">
        <v>0</v>
      </c>
      <c r="O473" s="188">
        <v>0.7</v>
      </c>
      <c r="P473" s="188">
        <v>2.86</v>
      </c>
      <c r="Q473" s="188">
        <v>0.03</v>
      </c>
      <c r="R473" s="188">
        <v>0.75</v>
      </c>
      <c r="S473" s="188">
        <v>0.02</v>
      </c>
      <c r="T473" s="188">
        <v>0.13</v>
      </c>
      <c r="U473" s="188">
        <v>0.19</v>
      </c>
      <c r="V473" s="188">
        <v>0.4</v>
      </c>
      <c r="W473" s="188"/>
      <c r="X473" s="89"/>
      <c r="Y473" s="188"/>
      <c r="Z473" s="188"/>
      <c r="AA473" s="188"/>
      <c r="AB473" s="188"/>
      <c r="AC473" s="187"/>
      <c r="AD473" s="189"/>
      <c r="AE473" s="188"/>
    </row>
    <row r="474" spans="1:31" ht="21.25" customHeight="1" x14ac:dyDescent="0.15">
      <c r="A474" s="10" t="s">
        <v>758</v>
      </c>
      <c r="B474" s="185" t="s">
        <v>840</v>
      </c>
      <c r="C474" s="186">
        <v>38</v>
      </c>
      <c r="D474" s="185" t="s">
        <v>835</v>
      </c>
      <c r="E474" s="89">
        <v>78</v>
      </c>
      <c r="F474" s="187">
        <v>11.1</v>
      </c>
      <c r="G474" s="188">
        <v>0.1</v>
      </c>
      <c r="H474" s="188">
        <v>0.15</v>
      </c>
      <c r="I474" s="188">
        <v>0.24</v>
      </c>
      <c r="J474" s="188">
        <v>0.93</v>
      </c>
      <c r="K474" s="188">
        <v>0.01</v>
      </c>
      <c r="L474" s="188">
        <v>0.01</v>
      </c>
      <c r="M474" s="188">
        <v>0</v>
      </c>
      <c r="N474" s="188">
        <v>0</v>
      </c>
      <c r="O474" s="188">
        <v>0.45</v>
      </c>
      <c r="P474" s="188">
        <v>2.0499999999999998</v>
      </c>
      <c r="Q474" s="188">
        <v>0.03</v>
      </c>
      <c r="R474" s="188">
        <v>0.46</v>
      </c>
      <c r="S474" s="188">
        <v>0.02</v>
      </c>
      <c r="T474" s="188">
        <v>2.96</v>
      </c>
      <c r="U474" s="188">
        <v>2.97</v>
      </c>
      <c r="V474" s="188">
        <v>0.5</v>
      </c>
      <c r="W474" s="188"/>
      <c r="X474" s="89"/>
      <c r="Y474" s="187"/>
      <c r="Z474" s="187"/>
      <c r="AA474" s="187"/>
      <c r="AB474" s="187"/>
      <c r="AC474" s="187"/>
      <c r="AD474" s="189"/>
      <c r="AE474" s="188"/>
    </row>
    <row r="475" spans="1:31" ht="21.25" customHeight="1" x14ac:dyDescent="0.15">
      <c r="A475" s="10" t="s">
        <v>513</v>
      </c>
      <c r="B475" s="185" t="s">
        <v>852</v>
      </c>
      <c r="C475" s="186">
        <v>22</v>
      </c>
      <c r="D475" s="185" t="s">
        <v>823</v>
      </c>
      <c r="E475" s="89">
        <v>72</v>
      </c>
      <c r="F475" s="187">
        <v>15.5</v>
      </c>
      <c r="G475" s="188">
        <v>0.06</v>
      </c>
      <c r="H475" s="188">
        <v>0.18</v>
      </c>
      <c r="I475" s="188">
        <v>0.24</v>
      </c>
      <c r="J475" s="188">
        <v>1.03</v>
      </c>
      <c r="K475" s="188">
        <v>0</v>
      </c>
      <c r="L475" s="188">
        <v>0</v>
      </c>
      <c r="M475" s="188">
        <v>0</v>
      </c>
      <c r="N475" s="188">
        <v>0</v>
      </c>
      <c r="O475" s="188">
        <v>1.1599999999999999</v>
      </c>
      <c r="P475" s="188">
        <v>1.24</v>
      </c>
      <c r="Q475" s="188">
        <v>0.02</v>
      </c>
      <c r="R475" s="188">
        <v>0.69</v>
      </c>
      <c r="S475" s="188">
        <v>0.01</v>
      </c>
      <c r="T475" s="188">
        <v>0</v>
      </c>
      <c r="U475" s="188">
        <v>0</v>
      </c>
      <c r="V475" s="188">
        <v>0</v>
      </c>
      <c r="W475" s="188"/>
      <c r="X475" s="89"/>
      <c r="Y475" s="187"/>
      <c r="Z475" s="187"/>
      <c r="AA475" s="187"/>
      <c r="AB475" s="187"/>
      <c r="AC475" s="187"/>
      <c r="AD475" s="189"/>
      <c r="AE475" s="188"/>
    </row>
    <row r="476" spans="1:31" ht="21.25" customHeight="1" x14ac:dyDescent="0.15">
      <c r="A476" s="10" t="s">
        <v>525</v>
      </c>
      <c r="B476" s="185" t="s">
        <v>843</v>
      </c>
      <c r="C476" s="186">
        <v>26</v>
      </c>
      <c r="D476" s="185" t="s">
        <v>823</v>
      </c>
      <c r="E476" s="89">
        <v>70</v>
      </c>
      <c r="F476" s="187">
        <v>16.399999999999999</v>
      </c>
      <c r="G476" s="188">
        <v>0.04</v>
      </c>
      <c r="H476" s="188">
        <v>0.2</v>
      </c>
      <c r="I476" s="188">
        <v>0.24</v>
      </c>
      <c r="J476" s="188">
        <v>1.06</v>
      </c>
      <c r="K476" s="188">
        <v>0</v>
      </c>
      <c r="L476" s="188">
        <v>0</v>
      </c>
      <c r="M476" s="188">
        <v>0</v>
      </c>
      <c r="N476" s="188">
        <v>0</v>
      </c>
      <c r="O476" s="188">
        <v>1.02</v>
      </c>
      <c r="P476" s="188">
        <v>0.76</v>
      </c>
      <c r="Q476" s="188">
        <v>0.08</v>
      </c>
      <c r="R476" s="188">
        <v>0.38</v>
      </c>
      <c r="S476" s="188">
        <v>0.01</v>
      </c>
      <c r="T476" s="188">
        <v>0</v>
      </c>
      <c r="U476" s="188">
        <v>0</v>
      </c>
      <c r="V476" s="188">
        <v>0</v>
      </c>
      <c r="W476" s="188"/>
      <c r="X476" s="89"/>
      <c r="Y476" s="187"/>
      <c r="Z476" s="187"/>
      <c r="AA476" s="187"/>
      <c r="AB476" s="187"/>
      <c r="AC476" s="187"/>
      <c r="AD476" s="189"/>
      <c r="AE476" s="188"/>
    </row>
    <row r="477" spans="1:31" ht="21.25" customHeight="1" x14ac:dyDescent="0.15">
      <c r="A477" s="10" t="s">
        <v>432</v>
      </c>
      <c r="B477" s="185" t="s">
        <v>840</v>
      </c>
      <c r="C477" s="186">
        <v>36</v>
      </c>
      <c r="D477" s="185" t="s">
        <v>823</v>
      </c>
      <c r="E477" s="89">
        <v>75</v>
      </c>
      <c r="F477" s="187">
        <v>19.2</v>
      </c>
      <c r="G477" s="188">
        <v>0.03</v>
      </c>
      <c r="H477" s="188">
        <v>0.19</v>
      </c>
      <c r="I477" s="188">
        <v>0.23</v>
      </c>
      <c r="J477" s="188">
        <v>1.01</v>
      </c>
      <c r="K477" s="188">
        <v>0</v>
      </c>
      <c r="L477" s="188">
        <v>0.03</v>
      </c>
      <c r="M477" s="188">
        <v>0</v>
      </c>
      <c r="N477" s="188">
        <v>0</v>
      </c>
      <c r="O477" s="188">
        <v>1.67</v>
      </c>
      <c r="P477" s="188">
        <v>1.03</v>
      </c>
      <c r="Q477" s="188">
        <v>0.04</v>
      </c>
      <c r="R477" s="188">
        <v>0.24</v>
      </c>
      <c r="S477" s="188">
        <v>0.01</v>
      </c>
      <c r="T477" s="188">
        <v>0</v>
      </c>
      <c r="U477" s="188">
        <v>0</v>
      </c>
      <c r="V477" s="188">
        <v>0</v>
      </c>
      <c r="W477" s="188"/>
      <c r="X477" s="89"/>
      <c r="Y477" s="187"/>
      <c r="Z477" s="187"/>
      <c r="AA477" s="187"/>
      <c r="AB477" s="187"/>
      <c r="AC477" s="187"/>
      <c r="AD477" s="189"/>
      <c r="AE477" s="188"/>
    </row>
    <row r="478" spans="1:31" ht="21.25" customHeight="1" x14ac:dyDescent="0.15">
      <c r="A478" s="10" t="s">
        <v>777</v>
      </c>
      <c r="B478" s="185" t="s">
        <v>863</v>
      </c>
      <c r="C478" s="186">
        <v>23</v>
      </c>
      <c r="D478" s="185" t="s">
        <v>844</v>
      </c>
      <c r="E478" s="89">
        <v>73</v>
      </c>
      <c r="F478" s="187">
        <v>10.8</v>
      </c>
      <c r="G478" s="188">
        <v>0.08</v>
      </c>
      <c r="H478" s="188">
        <v>0.16</v>
      </c>
      <c r="I478" s="188">
        <v>0.24</v>
      </c>
      <c r="J478" s="188">
        <v>0.68</v>
      </c>
      <c r="K478" s="188">
        <v>0</v>
      </c>
      <c r="L478" s="188">
        <v>0</v>
      </c>
      <c r="M478" s="188">
        <v>0</v>
      </c>
      <c r="N478" s="188">
        <v>0</v>
      </c>
      <c r="O478" s="188">
        <v>0.33</v>
      </c>
      <c r="P478" s="188">
        <v>1.53</v>
      </c>
      <c r="Q478" s="188">
        <v>-0.01</v>
      </c>
      <c r="R478" s="188">
        <v>0.34</v>
      </c>
      <c r="S478" s="188">
        <v>0.01</v>
      </c>
      <c r="T478" s="188">
        <v>7.0000000000000007E-2</v>
      </c>
      <c r="U478" s="188">
        <v>0.03</v>
      </c>
      <c r="V478" s="188">
        <v>0.69</v>
      </c>
      <c r="W478" s="188"/>
      <c r="X478" s="89"/>
      <c r="Y478" s="187"/>
      <c r="Z478" s="187"/>
      <c r="AA478" s="187"/>
      <c r="AB478" s="187"/>
      <c r="AC478" s="187"/>
      <c r="AD478" s="189"/>
      <c r="AE478" s="188"/>
    </row>
    <row r="479" spans="1:31" ht="21.25" customHeight="1" x14ac:dyDescent="0.15">
      <c r="A479" s="10" t="s">
        <v>709</v>
      </c>
      <c r="B479" s="185" t="s">
        <v>840</v>
      </c>
      <c r="C479" s="186">
        <v>29</v>
      </c>
      <c r="D479" s="185" t="s">
        <v>848</v>
      </c>
      <c r="E479" s="89">
        <v>83</v>
      </c>
      <c r="F479" s="187">
        <v>12.5</v>
      </c>
      <c r="G479" s="188">
        <v>0.1</v>
      </c>
      <c r="H479" s="188">
        <v>0.15</v>
      </c>
      <c r="I479" s="188">
        <v>0.24</v>
      </c>
      <c r="J479" s="188">
        <v>1.1599999999999999</v>
      </c>
      <c r="K479" s="188">
        <v>0</v>
      </c>
      <c r="L479" s="188">
        <v>0</v>
      </c>
      <c r="M479" s="188">
        <v>0</v>
      </c>
      <c r="N479" s="188">
        <v>0.01</v>
      </c>
      <c r="O479" s="188">
        <v>0.45</v>
      </c>
      <c r="P479" s="188">
        <v>3.82</v>
      </c>
      <c r="Q479" s="188">
        <v>0.04</v>
      </c>
      <c r="R479" s="188">
        <v>0.41</v>
      </c>
      <c r="S479" s="188">
        <v>0.02</v>
      </c>
      <c r="T479" s="188">
        <v>0.61</v>
      </c>
      <c r="U479" s="188">
        <v>0.85</v>
      </c>
      <c r="V479" s="188">
        <v>0.42</v>
      </c>
      <c r="W479" s="188"/>
      <c r="X479" s="89"/>
      <c r="Y479" s="187"/>
      <c r="Z479" s="187"/>
      <c r="AA479" s="187"/>
      <c r="AB479" s="187"/>
      <c r="AC479" s="187"/>
      <c r="AD479" s="189"/>
      <c r="AE479" s="188"/>
    </row>
    <row r="480" spans="1:31" ht="21.25" customHeight="1" x14ac:dyDescent="0.15">
      <c r="A480" s="10" t="s">
        <v>391</v>
      </c>
      <c r="B480" s="185" t="s">
        <v>860</v>
      </c>
      <c r="C480" s="186">
        <v>25</v>
      </c>
      <c r="D480" s="185" t="s">
        <v>823</v>
      </c>
      <c r="E480" s="89">
        <v>84</v>
      </c>
      <c r="F480" s="187">
        <v>17.899999999999999</v>
      </c>
      <c r="G480" s="188">
        <v>0.05</v>
      </c>
      <c r="H480" s="188">
        <v>0.19</v>
      </c>
      <c r="I480" s="188">
        <v>0.24</v>
      </c>
      <c r="J480" s="188">
        <v>1.1399999999999999</v>
      </c>
      <c r="K480" s="188">
        <v>0</v>
      </c>
      <c r="L480" s="188">
        <v>0</v>
      </c>
      <c r="M480" s="188">
        <v>0.01</v>
      </c>
      <c r="N480" s="188">
        <v>0.01</v>
      </c>
      <c r="O480" s="188">
        <v>1.56</v>
      </c>
      <c r="P480" s="188">
        <v>1.65</v>
      </c>
      <c r="Q480" s="188">
        <v>-0.03</v>
      </c>
      <c r="R480" s="188">
        <v>0.28000000000000003</v>
      </c>
      <c r="S480" s="188">
        <v>0.01</v>
      </c>
      <c r="T480" s="188">
        <v>0</v>
      </c>
      <c r="U480" s="188">
        <v>0</v>
      </c>
      <c r="V480" s="188">
        <v>0</v>
      </c>
      <c r="W480" s="188"/>
      <c r="X480" s="89"/>
      <c r="Y480" s="187"/>
      <c r="Z480" s="187"/>
      <c r="AA480" s="187"/>
      <c r="AB480" s="187"/>
      <c r="AC480" s="187"/>
      <c r="AD480" s="189"/>
      <c r="AE480" s="188"/>
    </row>
    <row r="481" spans="1:31" ht="21.25" customHeight="1" x14ac:dyDescent="0.15">
      <c r="A481" s="10" t="s">
        <v>724</v>
      </c>
      <c r="B481" s="185" t="s">
        <v>856</v>
      </c>
      <c r="C481" s="186">
        <v>32</v>
      </c>
      <c r="D481" s="185" t="s">
        <v>820</v>
      </c>
      <c r="E481" s="89">
        <v>74</v>
      </c>
      <c r="F481" s="187">
        <v>10.9</v>
      </c>
      <c r="G481" s="188">
        <v>0.14000000000000001</v>
      </c>
      <c r="H481" s="188">
        <v>0.1</v>
      </c>
      <c r="I481" s="188">
        <v>0.24</v>
      </c>
      <c r="J481" s="188">
        <v>0.96</v>
      </c>
      <c r="K481" s="188">
        <v>0</v>
      </c>
      <c r="L481" s="188">
        <v>0</v>
      </c>
      <c r="M481" s="188">
        <v>0</v>
      </c>
      <c r="N481" s="188">
        <v>0</v>
      </c>
      <c r="O481" s="188">
        <v>0.57999999999999996</v>
      </c>
      <c r="P481" s="188">
        <v>0.83</v>
      </c>
      <c r="Q481" s="188">
        <v>0.09</v>
      </c>
      <c r="R481" s="188">
        <v>0.27</v>
      </c>
      <c r="S481" s="188">
        <v>0.02</v>
      </c>
      <c r="T481" s="188">
        <v>4.6100000000000003</v>
      </c>
      <c r="U481" s="188">
        <v>4.43</v>
      </c>
      <c r="V481" s="188">
        <v>0.51</v>
      </c>
      <c r="W481" s="188"/>
      <c r="X481" s="89"/>
      <c r="Y481" s="187"/>
      <c r="Z481" s="187"/>
      <c r="AA481" s="187"/>
      <c r="AB481" s="187"/>
      <c r="AC481" s="187"/>
      <c r="AD481" s="189"/>
      <c r="AE481" s="188"/>
    </row>
    <row r="482" spans="1:31" ht="21.25" customHeight="1" x14ac:dyDescent="0.15">
      <c r="A482" s="10" t="s">
        <v>767</v>
      </c>
      <c r="B482" s="185" t="s">
        <v>856</v>
      </c>
      <c r="C482" s="186">
        <v>31</v>
      </c>
      <c r="D482" s="185" t="s">
        <v>821</v>
      </c>
      <c r="E482" s="89">
        <v>72</v>
      </c>
      <c r="F482" s="187">
        <v>10.8</v>
      </c>
      <c r="G482" s="188">
        <v>0.1</v>
      </c>
      <c r="H482" s="188">
        <v>0.14000000000000001</v>
      </c>
      <c r="I482" s="188">
        <v>0.24</v>
      </c>
      <c r="J482" s="188">
        <v>1.1599999999999999</v>
      </c>
      <c r="K482" s="188">
        <v>0</v>
      </c>
      <c r="L482" s="188">
        <v>0</v>
      </c>
      <c r="M482" s="188">
        <v>0</v>
      </c>
      <c r="N482" s="188">
        <v>0</v>
      </c>
      <c r="O482" s="188">
        <v>0.28999999999999998</v>
      </c>
      <c r="P482" s="188">
        <v>2.42</v>
      </c>
      <c r="Q482" s="188">
        <v>0.08</v>
      </c>
      <c r="R482" s="188">
        <v>0.28999999999999998</v>
      </c>
      <c r="S482" s="188">
        <v>0.02</v>
      </c>
      <c r="T482" s="188">
        <v>0.12</v>
      </c>
      <c r="U482" s="188">
        <v>0.15</v>
      </c>
      <c r="V482" s="188">
        <v>0.44</v>
      </c>
      <c r="W482" s="188"/>
      <c r="X482" s="89"/>
      <c r="Y482" s="187"/>
      <c r="Z482" s="187"/>
      <c r="AA482" s="187"/>
      <c r="AB482" s="187"/>
      <c r="AC482" s="187"/>
      <c r="AD482" s="189"/>
      <c r="AE482" s="188"/>
    </row>
    <row r="483" spans="1:31" ht="21.25" customHeight="1" x14ac:dyDescent="0.15">
      <c r="A483" s="10" t="s">
        <v>737</v>
      </c>
      <c r="B483" s="185" t="s">
        <v>834</v>
      </c>
      <c r="C483" s="186">
        <v>23</v>
      </c>
      <c r="D483" s="185" t="s">
        <v>820</v>
      </c>
      <c r="E483" s="89">
        <v>75</v>
      </c>
      <c r="F483" s="187">
        <v>11</v>
      </c>
      <c r="G483" s="188">
        <v>0.08</v>
      </c>
      <c r="H483" s="188">
        <v>0.16</v>
      </c>
      <c r="I483" s="188">
        <v>0.24</v>
      </c>
      <c r="J483" s="188">
        <v>0.95</v>
      </c>
      <c r="K483" s="188">
        <v>0</v>
      </c>
      <c r="L483" s="188">
        <v>0.01</v>
      </c>
      <c r="M483" s="188">
        <v>0</v>
      </c>
      <c r="N483" s="188">
        <v>0</v>
      </c>
      <c r="O483" s="188">
        <v>0.4</v>
      </c>
      <c r="P483" s="188">
        <v>0.87</v>
      </c>
      <c r="Q483" s="188">
        <v>0.06</v>
      </c>
      <c r="R483" s="188">
        <v>0.27</v>
      </c>
      <c r="S483" s="188">
        <v>0.01</v>
      </c>
      <c r="T483" s="188">
        <v>2.77</v>
      </c>
      <c r="U483" s="188">
        <v>4.1100000000000003</v>
      </c>
      <c r="V483" s="188">
        <v>0.4</v>
      </c>
      <c r="W483" s="188"/>
      <c r="X483" s="89"/>
      <c r="Y483" s="187"/>
      <c r="Z483" s="187"/>
      <c r="AA483" s="187"/>
      <c r="AB483" s="187"/>
      <c r="AC483" s="187"/>
      <c r="AD483" s="189"/>
      <c r="AE483" s="188"/>
    </row>
    <row r="484" spans="1:31" ht="21.25" customHeight="1" x14ac:dyDescent="0.15">
      <c r="A484" s="10" t="s">
        <v>554</v>
      </c>
      <c r="B484" s="185" t="s">
        <v>854</v>
      </c>
      <c r="C484" s="186">
        <v>23</v>
      </c>
      <c r="D484" s="185" t="s">
        <v>823</v>
      </c>
      <c r="E484" s="89">
        <v>63</v>
      </c>
      <c r="F484" s="187">
        <v>16.399999999999999</v>
      </c>
      <c r="G484" s="188">
        <v>0.1</v>
      </c>
      <c r="H484" s="188">
        <v>0.22</v>
      </c>
      <c r="I484" s="188">
        <v>0.32</v>
      </c>
      <c r="J484" s="188">
        <v>1.41</v>
      </c>
      <c r="K484" s="188">
        <v>0.01</v>
      </c>
      <c r="L484" s="188">
        <v>0.05</v>
      </c>
      <c r="M484" s="188">
        <v>0</v>
      </c>
      <c r="N484" s="188">
        <v>0</v>
      </c>
      <c r="O484" s="188">
        <v>1.0900000000000001</v>
      </c>
      <c r="P484" s="188">
        <v>1.36</v>
      </c>
      <c r="Q484" s="188">
        <v>-0.06</v>
      </c>
      <c r="R484" s="188">
        <v>0.59</v>
      </c>
      <c r="S484" s="188">
        <v>0.01</v>
      </c>
      <c r="T484" s="188">
        <v>0</v>
      </c>
      <c r="U484" s="188">
        <v>0</v>
      </c>
      <c r="V484" s="188">
        <v>0</v>
      </c>
      <c r="W484" s="188"/>
      <c r="X484" s="89"/>
      <c r="Y484" s="187"/>
      <c r="Z484" s="187"/>
      <c r="AA484" s="187"/>
      <c r="AB484" s="187"/>
      <c r="AC484" s="187"/>
      <c r="AD484" s="189"/>
      <c r="AE484" s="188"/>
    </row>
    <row r="485" spans="1:31" ht="21.25" customHeight="1" x14ac:dyDescent="0.15">
      <c r="A485" s="10" t="s">
        <v>417</v>
      </c>
      <c r="B485" s="185" t="s">
        <v>837</v>
      </c>
      <c r="C485" s="186">
        <v>29</v>
      </c>
      <c r="D485" s="185" t="s">
        <v>823</v>
      </c>
      <c r="E485" s="89">
        <v>83</v>
      </c>
      <c r="F485" s="187">
        <v>19.100000000000001</v>
      </c>
      <c r="G485" s="188">
        <v>0.06</v>
      </c>
      <c r="H485" s="188">
        <v>0.18</v>
      </c>
      <c r="I485" s="188">
        <v>0.24</v>
      </c>
      <c r="J485" s="188">
        <v>1.05</v>
      </c>
      <c r="K485" s="188">
        <v>0</v>
      </c>
      <c r="L485" s="188">
        <v>0</v>
      </c>
      <c r="M485" s="188">
        <v>0</v>
      </c>
      <c r="N485" s="188">
        <v>0</v>
      </c>
      <c r="O485" s="188">
        <v>1.45</v>
      </c>
      <c r="P485" s="188">
        <v>1.48</v>
      </c>
      <c r="Q485" s="188">
        <v>-0.03</v>
      </c>
      <c r="R485" s="188">
        <v>0.55000000000000004</v>
      </c>
      <c r="S485" s="188">
        <v>0.01</v>
      </c>
      <c r="T485" s="188">
        <v>0</v>
      </c>
      <c r="U485" s="188">
        <v>0</v>
      </c>
      <c r="V485" s="188">
        <v>0</v>
      </c>
      <c r="W485" s="188"/>
      <c r="X485" s="89"/>
      <c r="Y485" s="187"/>
      <c r="Z485" s="187"/>
      <c r="AA485" s="187"/>
      <c r="AB485" s="187"/>
      <c r="AC485" s="187"/>
      <c r="AD485" s="189"/>
      <c r="AE485" s="188"/>
    </row>
    <row r="486" spans="1:31" ht="21.25" customHeight="1" x14ac:dyDescent="0.15">
      <c r="A486" s="10" t="s">
        <v>745</v>
      </c>
      <c r="B486" s="185" t="s">
        <v>838</v>
      </c>
      <c r="C486" s="186">
        <v>33</v>
      </c>
      <c r="D486" s="185" t="s">
        <v>822</v>
      </c>
      <c r="E486" s="89">
        <v>76</v>
      </c>
      <c r="F486" s="187">
        <v>10.6</v>
      </c>
      <c r="G486" s="188">
        <v>0.1</v>
      </c>
      <c r="H486" s="188">
        <v>0.12</v>
      </c>
      <c r="I486" s="188">
        <v>0.21</v>
      </c>
      <c r="J486" s="188">
        <v>1.05</v>
      </c>
      <c r="K486" s="188">
        <v>0</v>
      </c>
      <c r="L486" s="188">
        <v>0</v>
      </c>
      <c r="M486" s="188">
        <v>0</v>
      </c>
      <c r="N486" s="188">
        <v>0</v>
      </c>
      <c r="O486" s="188">
        <v>0.32</v>
      </c>
      <c r="P486" s="188">
        <v>1.21</v>
      </c>
      <c r="Q486" s="188">
        <v>0</v>
      </c>
      <c r="R486" s="188">
        <v>0.41</v>
      </c>
      <c r="S486" s="188">
        <v>0.02</v>
      </c>
      <c r="T486" s="188">
        <v>0.41</v>
      </c>
      <c r="U486" s="188">
        <v>0.45</v>
      </c>
      <c r="V486" s="188">
        <v>0.47</v>
      </c>
      <c r="W486" s="188"/>
      <c r="X486" s="89"/>
      <c r="Y486" s="187"/>
      <c r="Z486" s="187"/>
      <c r="AA486" s="187"/>
      <c r="AB486" s="187"/>
      <c r="AC486" s="187"/>
      <c r="AD486" s="189"/>
      <c r="AE486" s="188"/>
    </row>
    <row r="487" spans="1:31" ht="21.25" customHeight="1" x14ac:dyDescent="0.15">
      <c r="A487" s="10" t="s">
        <v>722</v>
      </c>
      <c r="B487" s="185" t="s">
        <v>837</v>
      </c>
      <c r="C487" s="186">
        <v>29</v>
      </c>
      <c r="D487" s="185" t="s">
        <v>844</v>
      </c>
      <c r="E487" s="89">
        <v>78</v>
      </c>
      <c r="F487" s="187">
        <v>12</v>
      </c>
      <c r="G487" s="188">
        <v>0.09</v>
      </c>
      <c r="H487" s="188">
        <v>0.14000000000000001</v>
      </c>
      <c r="I487" s="188">
        <v>0.24</v>
      </c>
      <c r="J487" s="188">
        <v>0.96</v>
      </c>
      <c r="K487" s="188">
        <v>0</v>
      </c>
      <c r="L487" s="188">
        <v>0</v>
      </c>
      <c r="M487" s="188">
        <v>0</v>
      </c>
      <c r="N487" s="188">
        <v>0</v>
      </c>
      <c r="O487" s="188">
        <v>0.66</v>
      </c>
      <c r="P487" s="188">
        <v>2.79</v>
      </c>
      <c r="Q487" s="188">
        <v>-0.03</v>
      </c>
      <c r="R487" s="188">
        <v>0.8</v>
      </c>
      <c r="S487" s="188">
        <v>0.01</v>
      </c>
      <c r="T487" s="188">
        <v>0.14000000000000001</v>
      </c>
      <c r="U487" s="188">
        <v>0.19</v>
      </c>
      <c r="V487" s="188">
        <v>0.43</v>
      </c>
      <c r="W487" s="188"/>
      <c r="X487" s="89"/>
      <c r="Y487" s="187"/>
      <c r="Z487" s="187"/>
      <c r="AA487" s="187"/>
      <c r="AB487" s="187"/>
      <c r="AC487" s="187"/>
      <c r="AD487" s="189"/>
      <c r="AE487" s="188"/>
    </row>
    <row r="488" spans="1:31" ht="21.25" customHeight="1" x14ac:dyDescent="0.15">
      <c r="A488" s="10" t="s">
        <v>733</v>
      </c>
      <c r="B488" s="185" t="s">
        <v>857</v>
      </c>
      <c r="C488" s="186">
        <v>30</v>
      </c>
      <c r="D488" s="185" t="s">
        <v>822</v>
      </c>
      <c r="E488" s="89">
        <v>80</v>
      </c>
      <c r="F488" s="187">
        <v>12.6</v>
      </c>
      <c r="G488" s="188">
        <v>0.1</v>
      </c>
      <c r="H488" s="188">
        <v>0.14000000000000001</v>
      </c>
      <c r="I488" s="188">
        <v>0.24</v>
      </c>
      <c r="J488" s="188">
        <v>1.03</v>
      </c>
      <c r="K488" s="188">
        <v>0</v>
      </c>
      <c r="L488" s="188">
        <v>0</v>
      </c>
      <c r="M488" s="188">
        <v>0</v>
      </c>
      <c r="N488" s="188">
        <v>0.01</v>
      </c>
      <c r="O488" s="188">
        <v>0.44</v>
      </c>
      <c r="P488" s="188">
        <v>1.21</v>
      </c>
      <c r="Q488" s="188">
        <v>-0.03</v>
      </c>
      <c r="R488" s="188">
        <v>0.28999999999999998</v>
      </c>
      <c r="S488" s="188">
        <v>0.02</v>
      </c>
      <c r="T488" s="188">
        <v>0.12</v>
      </c>
      <c r="U488" s="188">
        <v>0.16</v>
      </c>
      <c r="V488" s="188">
        <v>0.41</v>
      </c>
      <c r="W488" s="188"/>
      <c r="X488" s="89"/>
      <c r="Y488" s="187"/>
      <c r="Z488" s="187"/>
      <c r="AA488" s="187"/>
      <c r="AB488" s="187"/>
      <c r="AC488" s="187"/>
      <c r="AD488" s="189"/>
      <c r="AE488" s="188"/>
    </row>
    <row r="489" spans="1:31" ht="21.25" customHeight="1" x14ac:dyDescent="0.15">
      <c r="A489" s="10" t="s">
        <v>751</v>
      </c>
      <c r="B489" s="185" t="s">
        <v>859</v>
      </c>
      <c r="C489" s="186">
        <v>33</v>
      </c>
      <c r="D489" s="185" t="s">
        <v>821</v>
      </c>
      <c r="E489" s="89">
        <v>78</v>
      </c>
      <c r="F489" s="187">
        <v>10.9</v>
      </c>
      <c r="G489" s="188">
        <v>0.09</v>
      </c>
      <c r="H489" s="188">
        <v>0.14000000000000001</v>
      </c>
      <c r="I489" s="188">
        <v>0.23</v>
      </c>
      <c r="J489" s="188">
        <v>1.04</v>
      </c>
      <c r="K489" s="188">
        <v>0</v>
      </c>
      <c r="L489" s="188">
        <v>0</v>
      </c>
      <c r="M489" s="188">
        <v>0</v>
      </c>
      <c r="N489" s="188">
        <v>0</v>
      </c>
      <c r="O489" s="188">
        <v>0.47</v>
      </c>
      <c r="P489" s="188">
        <v>1.85</v>
      </c>
      <c r="Q489" s="188">
        <v>0.03</v>
      </c>
      <c r="R489" s="188">
        <v>0.56999999999999995</v>
      </c>
      <c r="S489" s="188">
        <v>0.02</v>
      </c>
      <c r="T489" s="188">
        <v>0.13</v>
      </c>
      <c r="U489" s="188">
        <v>0.19</v>
      </c>
      <c r="V489" s="188">
        <v>0.4</v>
      </c>
      <c r="W489" s="188"/>
      <c r="X489" s="89"/>
      <c r="Y489" s="187"/>
      <c r="Z489" s="187"/>
      <c r="AA489" s="187"/>
      <c r="AB489" s="187"/>
      <c r="AC489" s="187"/>
      <c r="AD489" s="189"/>
      <c r="AE489" s="188"/>
    </row>
    <row r="490" spans="1:31" ht="21.25" customHeight="1" x14ac:dyDescent="0.15">
      <c r="A490" s="10" t="s">
        <v>748</v>
      </c>
      <c r="B490" s="185" t="s">
        <v>853</v>
      </c>
      <c r="C490" s="186">
        <v>31</v>
      </c>
      <c r="D490" s="185" t="s">
        <v>821</v>
      </c>
      <c r="E490" s="89">
        <v>72</v>
      </c>
      <c r="F490" s="187">
        <v>11.5</v>
      </c>
      <c r="G490" s="188">
        <v>0.11</v>
      </c>
      <c r="H490" s="188">
        <v>0.13</v>
      </c>
      <c r="I490" s="188">
        <v>0.23</v>
      </c>
      <c r="J490" s="188">
        <v>1.38</v>
      </c>
      <c r="K490" s="188">
        <v>0</v>
      </c>
      <c r="L490" s="188">
        <v>0</v>
      </c>
      <c r="M490" s="188">
        <v>0</v>
      </c>
      <c r="N490" s="188">
        <v>0.01</v>
      </c>
      <c r="O490" s="188">
        <v>0.38</v>
      </c>
      <c r="P490" s="188">
        <v>1.24</v>
      </c>
      <c r="Q490" s="188">
        <v>0</v>
      </c>
      <c r="R490" s="188">
        <v>0.53</v>
      </c>
      <c r="S490" s="188">
        <v>0.02</v>
      </c>
      <c r="T490" s="188">
        <v>0.09</v>
      </c>
      <c r="U490" s="188">
        <v>0.23</v>
      </c>
      <c r="V490" s="188">
        <v>0.28999999999999998</v>
      </c>
      <c r="W490" s="188"/>
      <c r="X490" s="89"/>
      <c r="Y490" s="187"/>
      <c r="Z490" s="187"/>
      <c r="AA490" s="187"/>
      <c r="AB490" s="187"/>
      <c r="AC490" s="187"/>
      <c r="AD490" s="189"/>
      <c r="AE490" s="188"/>
    </row>
    <row r="491" spans="1:31" ht="21.25" customHeight="1" x14ac:dyDescent="0.15">
      <c r="A491" s="10" t="s">
        <v>373</v>
      </c>
      <c r="B491" s="185" t="s">
        <v>866</v>
      </c>
      <c r="C491" s="186">
        <v>33</v>
      </c>
      <c r="D491" s="185" t="s">
        <v>823</v>
      </c>
      <c r="E491" s="89">
        <v>84</v>
      </c>
      <c r="F491" s="187">
        <v>20.7</v>
      </c>
      <c r="G491" s="188">
        <v>0.04</v>
      </c>
      <c r="H491" s="188">
        <v>0.19</v>
      </c>
      <c r="I491" s="188">
        <v>0.23</v>
      </c>
      <c r="J491" s="188">
        <v>1.1399999999999999</v>
      </c>
      <c r="K491" s="188">
        <v>0</v>
      </c>
      <c r="L491" s="188">
        <v>0</v>
      </c>
      <c r="M491" s="188">
        <v>0</v>
      </c>
      <c r="N491" s="188">
        <v>0</v>
      </c>
      <c r="O491" s="188">
        <v>1.83</v>
      </c>
      <c r="P491" s="188">
        <v>1.25</v>
      </c>
      <c r="Q491" s="188">
        <v>-0.1</v>
      </c>
      <c r="R491" s="188">
        <v>0.47</v>
      </c>
      <c r="S491" s="188">
        <v>0.01</v>
      </c>
      <c r="T491" s="188">
        <v>0</v>
      </c>
      <c r="U491" s="188">
        <v>0</v>
      </c>
      <c r="V491" s="188">
        <v>0</v>
      </c>
      <c r="W491" s="188"/>
      <c r="X491" s="89"/>
      <c r="Y491" s="187"/>
      <c r="Z491" s="187"/>
      <c r="AA491" s="187"/>
      <c r="AB491" s="187"/>
      <c r="AC491" s="187"/>
      <c r="AD491" s="189"/>
      <c r="AE491" s="188"/>
    </row>
    <row r="492" spans="1:31" ht="21.25" customHeight="1" x14ac:dyDescent="0.15">
      <c r="A492" s="10" t="s">
        <v>763</v>
      </c>
      <c r="B492" s="185" t="s">
        <v>867</v>
      </c>
      <c r="C492" s="186">
        <v>28</v>
      </c>
      <c r="D492" s="185" t="s">
        <v>844</v>
      </c>
      <c r="E492" s="89">
        <v>76</v>
      </c>
      <c r="F492" s="187">
        <v>10.5</v>
      </c>
      <c r="G492" s="188">
        <v>0.08</v>
      </c>
      <c r="H492" s="188">
        <v>0.15</v>
      </c>
      <c r="I492" s="188">
        <v>0.23</v>
      </c>
      <c r="J492" s="188">
        <v>1.03</v>
      </c>
      <c r="K492" s="188">
        <v>0</v>
      </c>
      <c r="L492" s="188">
        <v>0</v>
      </c>
      <c r="M492" s="188">
        <v>0</v>
      </c>
      <c r="N492" s="188">
        <v>0</v>
      </c>
      <c r="O492" s="188">
        <v>0.32</v>
      </c>
      <c r="P492" s="188">
        <v>1.64</v>
      </c>
      <c r="Q492" s="188">
        <v>-0.09</v>
      </c>
      <c r="R492" s="188">
        <v>0.27</v>
      </c>
      <c r="S492" s="188">
        <v>0.01</v>
      </c>
      <c r="T492" s="188">
        <v>0.17</v>
      </c>
      <c r="U492" s="188">
        <v>0.21</v>
      </c>
      <c r="V492" s="188">
        <v>0.44</v>
      </c>
      <c r="W492" s="188"/>
      <c r="X492" s="89"/>
      <c r="Y492" s="187"/>
      <c r="Z492" s="187"/>
      <c r="AA492" s="187"/>
      <c r="AB492" s="187"/>
      <c r="AC492" s="187"/>
      <c r="AD492" s="189"/>
      <c r="AE492" s="188"/>
    </row>
    <row r="493" spans="1:31" ht="21.25" customHeight="1" x14ac:dyDescent="0.15">
      <c r="A493" s="10" t="s">
        <v>406</v>
      </c>
      <c r="B493" s="185" t="s">
        <v>867</v>
      </c>
      <c r="C493" s="186">
        <v>30</v>
      </c>
      <c r="D493" s="185" t="s">
        <v>823</v>
      </c>
      <c r="E493" s="89">
        <v>81</v>
      </c>
      <c r="F493" s="187">
        <v>19.3</v>
      </c>
      <c r="G493" s="188">
        <v>0.06</v>
      </c>
      <c r="H493" s="188">
        <v>0.2</v>
      </c>
      <c r="I493" s="188">
        <v>0.25</v>
      </c>
      <c r="J493" s="188">
        <v>1.02</v>
      </c>
      <c r="K493" s="188">
        <v>0</v>
      </c>
      <c r="L493" s="188">
        <v>0</v>
      </c>
      <c r="M493" s="188">
        <v>0</v>
      </c>
      <c r="N493" s="188">
        <v>0</v>
      </c>
      <c r="O493" s="188">
        <v>1.88</v>
      </c>
      <c r="P493" s="188">
        <v>1.29</v>
      </c>
      <c r="Q493" s="188">
        <v>-0.1</v>
      </c>
      <c r="R493" s="188">
        <v>0.75</v>
      </c>
      <c r="S493" s="188">
        <v>0.01</v>
      </c>
      <c r="T493" s="188">
        <v>0</v>
      </c>
      <c r="U493" s="188">
        <v>0</v>
      </c>
      <c r="V493" s="188">
        <v>0</v>
      </c>
      <c r="W493" s="188"/>
      <c r="X493" s="89"/>
      <c r="Y493" s="187"/>
      <c r="Z493" s="187"/>
      <c r="AA493" s="187"/>
      <c r="AB493" s="187"/>
      <c r="AC493" s="187"/>
      <c r="AD493" s="189"/>
      <c r="AE493" s="188"/>
    </row>
    <row r="494" spans="1:31" ht="21.25" customHeight="1" x14ac:dyDescent="0.15">
      <c r="A494" s="10" t="s">
        <v>439</v>
      </c>
      <c r="B494" s="185" t="s">
        <v>853</v>
      </c>
      <c r="C494" s="186">
        <v>28</v>
      </c>
      <c r="D494" s="185" t="s">
        <v>823</v>
      </c>
      <c r="E494" s="89">
        <v>78</v>
      </c>
      <c r="F494" s="187">
        <v>17.5</v>
      </c>
      <c r="G494" s="188">
        <v>7.0000000000000007E-2</v>
      </c>
      <c r="H494" s="188">
        <v>0.16</v>
      </c>
      <c r="I494" s="188">
        <v>0.23</v>
      </c>
      <c r="J494" s="188">
        <v>1</v>
      </c>
      <c r="K494" s="188">
        <v>0</v>
      </c>
      <c r="L494" s="188">
        <v>0</v>
      </c>
      <c r="M494" s="188">
        <v>0</v>
      </c>
      <c r="N494" s="188">
        <v>0</v>
      </c>
      <c r="O494" s="188">
        <v>1.64</v>
      </c>
      <c r="P494" s="188">
        <v>0.97</v>
      </c>
      <c r="Q494" s="188">
        <v>0</v>
      </c>
      <c r="R494" s="188">
        <v>0.46</v>
      </c>
      <c r="S494" s="188">
        <v>0.01</v>
      </c>
      <c r="T494" s="188">
        <v>0</v>
      </c>
      <c r="U494" s="188">
        <v>0</v>
      </c>
      <c r="V494" s="188">
        <v>0</v>
      </c>
      <c r="W494" s="188"/>
      <c r="X494" s="89"/>
      <c r="Y494" s="187"/>
      <c r="Z494" s="187"/>
      <c r="AA494" s="187"/>
      <c r="AB494" s="187"/>
      <c r="AC494" s="187"/>
      <c r="AD494" s="189"/>
      <c r="AE494" s="188"/>
    </row>
    <row r="495" spans="1:31" ht="21.25" customHeight="1" x14ac:dyDescent="0.15">
      <c r="A495" s="10" t="s">
        <v>463</v>
      </c>
      <c r="B495" s="185" t="s">
        <v>856</v>
      </c>
      <c r="C495" s="186">
        <v>30</v>
      </c>
      <c r="D495" s="185" t="s">
        <v>823</v>
      </c>
      <c r="E495" s="89">
        <v>81</v>
      </c>
      <c r="F495" s="187">
        <v>19.100000000000001</v>
      </c>
      <c r="G495" s="188">
        <v>0.05</v>
      </c>
      <c r="H495" s="188">
        <v>0.18</v>
      </c>
      <c r="I495" s="188">
        <v>0.23</v>
      </c>
      <c r="J495" s="188">
        <v>1.26</v>
      </c>
      <c r="K495" s="188">
        <v>0</v>
      </c>
      <c r="L495" s="188">
        <v>0</v>
      </c>
      <c r="M495" s="188">
        <v>0</v>
      </c>
      <c r="N495" s="188">
        <v>0.01</v>
      </c>
      <c r="O495" s="188">
        <v>1.01</v>
      </c>
      <c r="P495" s="188">
        <v>0.67</v>
      </c>
      <c r="Q495" s="188">
        <v>0.08</v>
      </c>
      <c r="R495" s="188">
        <v>0.4</v>
      </c>
      <c r="S495" s="188">
        <v>0.01</v>
      </c>
      <c r="T495" s="188">
        <v>0</v>
      </c>
      <c r="U495" s="188">
        <v>0</v>
      </c>
      <c r="V495" s="188">
        <v>0</v>
      </c>
      <c r="W495" s="188"/>
      <c r="X495" s="89"/>
      <c r="Y495" s="187"/>
      <c r="Z495" s="187"/>
      <c r="AA495" s="187"/>
      <c r="AB495" s="187"/>
      <c r="AC495" s="187"/>
      <c r="AD495" s="189"/>
      <c r="AE495" s="188"/>
    </row>
    <row r="496" spans="1:31" ht="21.25" customHeight="1" x14ac:dyDescent="0.15">
      <c r="A496" s="10" t="s">
        <v>505</v>
      </c>
      <c r="B496" s="185" t="s">
        <v>864</v>
      </c>
      <c r="C496" s="186">
        <v>22</v>
      </c>
      <c r="D496" s="185" t="s">
        <v>823</v>
      </c>
      <c r="E496" s="89">
        <v>71</v>
      </c>
      <c r="F496" s="187">
        <v>18.100000000000001</v>
      </c>
      <c r="G496" s="188">
        <v>7.0000000000000007E-2</v>
      </c>
      <c r="H496" s="188">
        <v>0.16</v>
      </c>
      <c r="I496" s="188">
        <v>0.23</v>
      </c>
      <c r="J496" s="188">
        <v>0.96</v>
      </c>
      <c r="K496" s="188">
        <v>0</v>
      </c>
      <c r="L496" s="188">
        <v>0</v>
      </c>
      <c r="M496" s="188">
        <v>0</v>
      </c>
      <c r="N496" s="188">
        <v>0</v>
      </c>
      <c r="O496" s="188">
        <v>1.38</v>
      </c>
      <c r="P496" s="188">
        <v>1.82</v>
      </c>
      <c r="Q496" s="188">
        <v>-0.15</v>
      </c>
      <c r="R496" s="188">
        <v>0.52</v>
      </c>
      <c r="S496" s="188">
        <v>0.01</v>
      </c>
      <c r="T496" s="188">
        <v>0</v>
      </c>
      <c r="U496" s="188">
        <v>0</v>
      </c>
      <c r="V496" s="188">
        <v>0</v>
      </c>
      <c r="W496" s="188"/>
      <c r="X496" s="89"/>
      <c r="Y496" s="187"/>
      <c r="Z496" s="187"/>
      <c r="AA496" s="187"/>
      <c r="AB496" s="187"/>
      <c r="AC496" s="187"/>
      <c r="AD496" s="189"/>
      <c r="AE496" s="188"/>
    </row>
    <row r="497" spans="1:31" ht="21.25" customHeight="1" x14ac:dyDescent="0.15">
      <c r="A497" s="10" t="s">
        <v>365</v>
      </c>
      <c r="B497" s="185" t="s">
        <v>839</v>
      </c>
      <c r="C497" s="186">
        <v>35</v>
      </c>
      <c r="D497" s="185" t="s">
        <v>823</v>
      </c>
      <c r="E497" s="89">
        <v>81</v>
      </c>
      <c r="F497" s="187">
        <v>20.3</v>
      </c>
      <c r="G497" s="188">
        <v>0.05</v>
      </c>
      <c r="H497" s="188">
        <v>0.18</v>
      </c>
      <c r="I497" s="188">
        <v>0.23</v>
      </c>
      <c r="J497" s="188">
        <v>1.17</v>
      </c>
      <c r="K497" s="188">
        <v>0</v>
      </c>
      <c r="L497" s="188">
        <v>0</v>
      </c>
      <c r="M497" s="188">
        <v>0</v>
      </c>
      <c r="N497" s="188">
        <v>0.01</v>
      </c>
      <c r="O497" s="188">
        <v>2.06</v>
      </c>
      <c r="P497" s="188">
        <v>1.55</v>
      </c>
      <c r="Q497" s="188">
        <v>7.0000000000000007E-2</v>
      </c>
      <c r="R497" s="188">
        <v>0.43</v>
      </c>
      <c r="S497" s="188">
        <v>0.01</v>
      </c>
      <c r="T497" s="188">
        <v>0</v>
      </c>
      <c r="U497" s="188">
        <v>0</v>
      </c>
      <c r="V497" s="188">
        <v>0</v>
      </c>
      <c r="W497" s="188"/>
      <c r="X497" s="89"/>
      <c r="Y497" s="187"/>
      <c r="Z497" s="187"/>
      <c r="AA497" s="187"/>
      <c r="AB497" s="187"/>
      <c r="AC497" s="187"/>
      <c r="AD497" s="189"/>
      <c r="AE497" s="188"/>
    </row>
    <row r="498" spans="1:31" ht="21.25" customHeight="1" x14ac:dyDescent="0.15">
      <c r="A498" s="10" t="s">
        <v>429</v>
      </c>
      <c r="B498" s="185" t="s">
        <v>859</v>
      </c>
      <c r="C498" s="186">
        <v>24</v>
      </c>
      <c r="D498" s="185" t="s">
        <v>823</v>
      </c>
      <c r="E498" s="89">
        <v>80</v>
      </c>
      <c r="F498" s="187">
        <v>17.3</v>
      </c>
      <c r="G498" s="188">
        <v>0.05</v>
      </c>
      <c r="H498" s="188">
        <v>0.18</v>
      </c>
      <c r="I498" s="188">
        <v>0.23</v>
      </c>
      <c r="J498" s="188">
        <v>1.2</v>
      </c>
      <c r="K498" s="188">
        <v>0</v>
      </c>
      <c r="L498" s="188">
        <v>0</v>
      </c>
      <c r="M498" s="188">
        <v>0</v>
      </c>
      <c r="N498" s="188">
        <v>0.02</v>
      </c>
      <c r="O498" s="188">
        <v>1.38</v>
      </c>
      <c r="P498" s="188">
        <v>1.57</v>
      </c>
      <c r="Q498" s="188">
        <v>0.01</v>
      </c>
      <c r="R498" s="188">
        <v>0.51</v>
      </c>
      <c r="S498" s="188">
        <v>0.01</v>
      </c>
      <c r="T498" s="188">
        <v>0</v>
      </c>
      <c r="U498" s="188">
        <v>0</v>
      </c>
      <c r="V498" s="188">
        <v>0</v>
      </c>
      <c r="W498" s="188"/>
      <c r="X498" s="89"/>
      <c r="Y498" s="187"/>
      <c r="Z498" s="187"/>
      <c r="AA498" s="187"/>
      <c r="AB498" s="187"/>
      <c r="AC498" s="187"/>
      <c r="AD498" s="189"/>
      <c r="AE498" s="188"/>
    </row>
    <row r="499" spans="1:31" ht="21.25" customHeight="1" x14ac:dyDescent="0.15">
      <c r="A499" s="10" t="s">
        <v>723</v>
      </c>
      <c r="B499" s="185" t="s">
        <v>841</v>
      </c>
      <c r="C499" s="186">
        <v>30</v>
      </c>
      <c r="D499" s="185" t="s">
        <v>844</v>
      </c>
      <c r="E499" s="89">
        <v>77</v>
      </c>
      <c r="F499" s="187">
        <v>11.8</v>
      </c>
      <c r="G499" s="188">
        <v>0.1</v>
      </c>
      <c r="H499" s="188">
        <v>0.13</v>
      </c>
      <c r="I499" s="188">
        <v>0.23</v>
      </c>
      <c r="J499" s="188">
        <v>0.99</v>
      </c>
      <c r="K499" s="188">
        <v>0</v>
      </c>
      <c r="L499" s="188">
        <v>0</v>
      </c>
      <c r="M499" s="188">
        <v>0.02</v>
      </c>
      <c r="N499" s="188">
        <v>0.02</v>
      </c>
      <c r="O499" s="188">
        <v>0.67</v>
      </c>
      <c r="P499" s="188">
        <v>2.23</v>
      </c>
      <c r="Q499" s="188">
        <v>0</v>
      </c>
      <c r="R499" s="188">
        <v>0.18</v>
      </c>
      <c r="S499" s="188">
        <v>0.01</v>
      </c>
      <c r="T499" s="188">
        <v>0.73</v>
      </c>
      <c r="U499" s="188">
        <v>0.99</v>
      </c>
      <c r="V499" s="188">
        <v>0.42</v>
      </c>
      <c r="W499" s="188"/>
      <c r="X499" s="89"/>
      <c r="Y499" s="187"/>
      <c r="Z499" s="187"/>
      <c r="AA499" s="187"/>
      <c r="AB499" s="187"/>
      <c r="AC499" s="187"/>
      <c r="AD499" s="189"/>
      <c r="AE499" s="188"/>
    </row>
    <row r="500" spans="1:31" ht="21.25" customHeight="1" x14ac:dyDescent="0.15">
      <c r="A500" s="10" t="s">
        <v>515</v>
      </c>
      <c r="B500" s="185" t="s">
        <v>838</v>
      </c>
      <c r="C500" s="186">
        <v>29</v>
      </c>
      <c r="D500" s="185" t="s">
        <v>823</v>
      </c>
      <c r="E500" s="89">
        <v>73</v>
      </c>
      <c r="F500" s="187">
        <v>19.2</v>
      </c>
      <c r="G500" s="188">
        <v>0.03</v>
      </c>
      <c r="H500" s="188">
        <v>0.2</v>
      </c>
      <c r="I500" s="188">
        <v>0.23</v>
      </c>
      <c r="J500" s="188">
        <v>0.9</v>
      </c>
      <c r="K500" s="188">
        <v>0</v>
      </c>
      <c r="L500" s="188">
        <v>0</v>
      </c>
      <c r="M500" s="188">
        <v>0</v>
      </c>
      <c r="N500" s="188">
        <v>0</v>
      </c>
      <c r="O500" s="188">
        <v>1.3</v>
      </c>
      <c r="P500" s="188">
        <v>1.32</v>
      </c>
      <c r="Q500" s="188">
        <v>0</v>
      </c>
      <c r="R500" s="188">
        <v>0.76</v>
      </c>
      <c r="S500" s="188">
        <v>0</v>
      </c>
      <c r="T500" s="188">
        <v>0</v>
      </c>
      <c r="U500" s="188">
        <v>0</v>
      </c>
      <c r="V500" s="188">
        <v>0</v>
      </c>
      <c r="W500" s="188"/>
      <c r="X500" s="89"/>
      <c r="Y500" s="187"/>
      <c r="Z500" s="187"/>
      <c r="AA500" s="187"/>
      <c r="AB500" s="187"/>
      <c r="AC500" s="187"/>
      <c r="AD500" s="189"/>
      <c r="AE500" s="188"/>
    </row>
    <row r="501" spans="1:31" ht="21.25" customHeight="1" x14ac:dyDescent="0.15">
      <c r="A501" s="10" t="s">
        <v>464</v>
      </c>
      <c r="B501" s="185" t="s">
        <v>847</v>
      </c>
      <c r="C501" s="186">
        <v>33</v>
      </c>
      <c r="D501" s="185" t="s">
        <v>823</v>
      </c>
      <c r="E501" s="89">
        <v>84</v>
      </c>
      <c r="F501" s="187">
        <v>21.4</v>
      </c>
      <c r="G501" s="188">
        <v>0.01</v>
      </c>
      <c r="H501" s="188">
        <v>0.21</v>
      </c>
      <c r="I501" s="188">
        <v>0.23</v>
      </c>
      <c r="J501" s="188">
        <v>0.73</v>
      </c>
      <c r="K501" s="188">
        <v>0</v>
      </c>
      <c r="L501" s="188">
        <v>0</v>
      </c>
      <c r="M501" s="188">
        <v>0</v>
      </c>
      <c r="N501" s="188">
        <v>0.01</v>
      </c>
      <c r="O501" s="188">
        <v>1.41</v>
      </c>
      <c r="P501" s="188">
        <v>1.41</v>
      </c>
      <c r="Q501" s="188">
        <v>0.04</v>
      </c>
      <c r="R501" s="188">
        <v>0.47</v>
      </c>
      <c r="S501" s="188">
        <v>0</v>
      </c>
      <c r="T501" s="188">
        <v>0</v>
      </c>
      <c r="U501" s="188">
        <v>0</v>
      </c>
      <c r="V501" s="188">
        <v>0</v>
      </c>
      <c r="W501" s="188"/>
      <c r="X501" s="89"/>
      <c r="Y501" s="187"/>
      <c r="Z501" s="187"/>
      <c r="AA501" s="187"/>
      <c r="AB501" s="187"/>
      <c r="AC501" s="187"/>
      <c r="AD501" s="189"/>
      <c r="AE501" s="188"/>
    </row>
    <row r="502" spans="1:31" ht="21.25" customHeight="1" x14ac:dyDescent="0.15">
      <c r="A502" s="10" t="s">
        <v>557</v>
      </c>
      <c r="B502" s="185" t="s">
        <v>833</v>
      </c>
      <c r="C502" s="186">
        <v>25</v>
      </c>
      <c r="D502" s="185" t="s">
        <v>823</v>
      </c>
      <c r="E502" s="89">
        <v>73</v>
      </c>
      <c r="F502" s="187">
        <v>15.6</v>
      </c>
      <c r="G502" s="188">
        <v>0.04</v>
      </c>
      <c r="H502" s="188">
        <v>0.19</v>
      </c>
      <c r="I502" s="188">
        <v>0.23</v>
      </c>
      <c r="J502" s="188">
        <v>0.78</v>
      </c>
      <c r="K502" s="188">
        <v>0</v>
      </c>
      <c r="L502" s="188">
        <v>0</v>
      </c>
      <c r="M502" s="188">
        <v>0</v>
      </c>
      <c r="N502" s="188">
        <v>0</v>
      </c>
      <c r="O502" s="188">
        <v>0.93</v>
      </c>
      <c r="P502" s="188">
        <v>1.51</v>
      </c>
      <c r="Q502" s="188">
        <v>0.08</v>
      </c>
      <c r="R502" s="188">
        <v>0.86</v>
      </c>
      <c r="S502" s="188">
        <v>0.01</v>
      </c>
      <c r="T502" s="188">
        <v>0</v>
      </c>
      <c r="U502" s="188">
        <v>0</v>
      </c>
      <c r="V502" s="188">
        <v>0</v>
      </c>
      <c r="W502" s="188"/>
      <c r="X502" s="89"/>
      <c r="Y502" s="187"/>
      <c r="Z502" s="187"/>
      <c r="AA502" s="187"/>
      <c r="AB502" s="187"/>
      <c r="AC502" s="187"/>
      <c r="AD502" s="189"/>
      <c r="AE502" s="188"/>
    </row>
    <row r="503" spans="1:31" ht="21.25" customHeight="1" x14ac:dyDescent="0.15">
      <c r="A503" s="10" t="s">
        <v>408</v>
      </c>
      <c r="B503" s="185" t="s">
        <v>862</v>
      </c>
      <c r="C503" s="186">
        <v>32</v>
      </c>
      <c r="D503" s="185" t="s">
        <v>823</v>
      </c>
      <c r="E503" s="89">
        <v>79</v>
      </c>
      <c r="F503" s="187">
        <v>20.9</v>
      </c>
      <c r="G503" s="188">
        <v>0.02</v>
      </c>
      <c r="H503" s="188">
        <v>0.22</v>
      </c>
      <c r="I503" s="188">
        <v>0.24</v>
      </c>
      <c r="J503" s="188">
        <v>1.36</v>
      </c>
      <c r="K503" s="188">
        <v>0</v>
      </c>
      <c r="L503" s="188">
        <v>0</v>
      </c>
      <c r="M503" s="188">
        <v>0</v>
      </c>
      <c r="N503" s="188">
        <v>0.01</v>
      </c>
      <c r="O503" s="188">
        <v>1.6</v>
      </c>
      <c r="P503" s="188">
        <v>0.96</v>
      </c>
      <c r="Q503" s="188">
        <v>-0.04</v>
      </c>
      <c r="R503" s="188">
        <v>0.55000000000000004</v>
      </c>
      <c r="S503" s="188">
        <v>0</v>
      </c>
      <c r="T503" s="188">
        <v>0</v>
      </c>
      <c r="U503" s="188">
        <v>0</v>
      </c>
      <c r="V503" s="188">
        <v>0</v>
      </c>
      <c r="W503" s="188"/>
      <c r="X503" s="89"/>
      <c r="Y503" s="187"/>
      <c r="Z503" s="187"/>
      <c r="AA503" s="187"/>
      <c r="AB503" s="187"/>
      <c r="AC503" s="187"/>
      <c r="AD503" s="189"/>
      <c r="AE503" s="188"/>
    </row>
    <row r="504" spans="1:31" ht="21.25" customHeight="1" x14ac:dyDescent="0.15">
      <c r="A504" s="10" t="s">
        <v>512</v>
      </c>
      <c r="B504" s="185" t="s">
        <v>855</v>
      </c>
      <c r="C504" s="186">
        <v>36</v>
      </c>
      <c r="D504" s="185" t="s">
        <v>823</v>
      </c>
      <c r="E504" s="89">
        <v>78</v>
      </c>
      <c r="F504" s="187">
        <v>19.5</v>
      </c>
      <c r="G504" s="188">
        <v>0.01</v>
      </c>
      <c r="H504" s="188">
        <v>0.17</v>
      </c>
      <c r="I504" s="188">
        <v>0.18</v>
      </c>
      <c r="J504" s="188">
        <v>0.53</v>
      </c>
      <c r="K504" s="188">
        <v>0</v>
      </c>
      <c r="L504" s="188">
        <v>0</v>
      </c>
      <c r="M504" s="188">
        <v>0</v>
      </c>
      <c r="N504" s="188">
        <v>0</v>
      </c>
      <c r="O504" s="188">
        <v>1.2</v>
      </c>
      <c r="P504" s="188">
        <v>0.81</v>
      </c>
      <c r="Q504" s="188">
        <v>-0.04</v>
      </c>
      <c r="R504" s="188">
        <v>0.21</v>
      </c>
      <c r="S504" s="188">
        <v>0</v>
      </c>
      <c r="T504" s="188">
        <v>0</v>
      </c>
      <c r="U504" s="188">
        <v>0</v>
      </c>
      <c r="V504" s="188">
        <v>0</v>
      </c>
      <c r="W504" s="188"/>
      <c r="X504" s="89"/>
      <c r="Y504" s="187"/>
      <c r="Z504" s="187"/>
      <c r="AA504" s="187"/>
      <c r="AB504" s="187"/>
      <c r="AC504" s="187"/>
      <c r="AD504" s="189"/>
      <c r="AE504" s="188"/>
    </row>
    <row r="505" spans="1:31" ht="21.25" customHeight="1" x14ac:dyDescent="0.15">
      <c r="A505" s="10" t="s">
        <v>465</v>
      </c>
      <c r="B505" s="185" t="s">
        <v>855</v>
      </c>
      <c r="C505" s="186">
        <v>24</v>
      </c>
      <c r="D505" s="185" t="s">
        <v>823</v>
      </c>
      <c r="E505" s="89">
        <v>78</v>
      </c>
      <c r="F505" s="187">
        <v>16</v>
      </c>
      <c r="G505" s="188">
        <v>0.06</v>
      </c>
      <c r="H505" s="188">
        <v>0.16</v>
      </c>
      <c r="I505" s="188">
        <v>0.22</v>
      </c>
      <c r="J505" s="188">
        <v>1.1200000000000001</v>
      </c>
      <c r="K505" s="188">
        <v>0</v>
      </c>
      <c r="L505" s="188">
        <v>0</v>
      </c>
      <c r="M505" s="188">
        <v>0</v>
      </c>
      <c r="N505" s="188">
        <v>0.01</v>
      </c>
      <c r="O505" s="188">
        <v>1.3</v>
      </c>
      <c r="P505" s="188">
        <v>0.88</v>
      </c>
      <c r="Q505" s="188">
        <v>-0.05</v>
      </c>
      <c r="R505" s="188">
        <v>0.39</v>
      </c>
      <c r="S505" s="188">
        <v>0.01</v>
      </c>
      <c r="T505" s="188">
        <v>0</v>
      </c>
      <c r="U505" s="188">
        <v>0.03</v>
      </c>
      <c r="V505" s="188">
        <v>0</v>
      </c>
      <c r="W505" s="188"/>
      <c r="X505" s="89"/>
      <c r="Y505" s="187"/>
      <c r="Z505" s="187"/>
      <c r="AA505" s="187"/>
      <c r="AB505" s="187"/>
      <c r="AC505" s="187"/>
      <c r="AD505" s="189"/>
      <c r="AE505" s="188"/>
    </row>
    <row r="506" spans="1:31" ht="21.25" customHeight="1" x14ac:dyDescent="0.15">
      <c r="A506" s="10" t="s">
        <v>560</v>
      </c>
      <c r="B506" s="185" t="s">
        <v>832</v>
      </c>
      <c r="C506" s="186">
        <v>24</v>
      </c>
      <c r="D506" s="185" t="s">
        <v>823</v>
      </c>
      <c r="E506" s="89">
        <v>63</v>
      </c>
      <c r="F506" s="187">
        <v>16</v>
      </c>
      <c r="G506" s="188">
        <v>7.0000000000000007E-2</v>
      </c>
      <c r="H506" s="188">
        <v>0.15</v>
      </c>
      <c r="I506" s="188">
        <v>0.22</v>
      </c>
      <c r="J506" s="188">
        <v>0.93</v>
      </c>
      <c r="K506" s="188">
        <v>0</v>
      </c>
      <c r="L506" s="188">
        <v>0</v>
      </c>
      <c r="M506" s="188">
        <v>0</v>
      </c>
      <c r="N506" s="188">
        <v>0</v>
      </c>
      <c r="O506" s="188">
        <v>1.23</v>
      </c>
      <c r="P506" s="188">
        <v>0.84</v>
      </c>
      <c r="Q506" s="188">
        <v>0.05</v>
      </c>
      <c r="R506" s="188">
        <v>0.38</v>
      </c>
      <c r="S506" s="188">
        <v>0.01</v>
      </c>
      <c r="T506" s="188">
        <v>0</v>
      </c>
      <c r="U506" s="188">
        <v>0</v>
      </c>
      <c r="V506" s="188">
        <v>0</v>
      </c>
      <c r="W506" s="188"/>
      <c r="X506" s="89"/>
      <c r="Y506" s="187"/>
      <c r="Z506" s="187"/>
      <c r="AA506" s="187"/>
      <c r="AB506" s="187"/>
      <c r="AC506" s="187"/>
      <c r="AD506" s="189"/>
      <c r="AE506" s="188"/>
    </row>
    <row r="507" spans="1:31" ht="21.25" customHeight="1" x14ac:dyDescent="0.15">
      <c r="A507" s="10" t="s">
        <v>687</v>
      </c>
      <c r="B507" s="185" t="s">
        <v>863</v>
      </c>
      <c r="C507" s="186">
        <v>34</v>
      </c>
      <c r="D507" s="185" t="s">
        <v>842</v>
      </c>
      <c r="E507" s="89">
        <v>78</v>
      </c>
      <c r="F507" s="187">
        <v>13.5</v>
      </c>
      <c r="G507" s="188">
        <v>0.11</v>
      </c>
      <c r="H507" s="188">
        <v>0.12</v>
      </c>
      <c r="I507" s="188">
        <v>0.22</v>
      </c>
      <c r="J507" s="188">
        <v>1.19</v>
      </c>
      <c r="K507" s="188">
        <v>0</v>
      </c>
      <c r="L507" s="188">
        <v>0</v>
      </c>
      <c r="M507" s="188">
        <v>0</v>
      </c>
      <c r="N507" s="188">
        <v>0.01</v>
      </c>
      <c r="O507" s="188">
        <v>0.99</v>
      </c>
      <c r="P507" s="188">
        <v>1.46</v>
      </c>
      <c r="Q507" s="188">
        <v>0</v>
      </c>
      <c r="R507" s="188">
        <v>0.24</v>
      </c>
      <c r="S507" s="188">
        <v>0.02</v>
      </c>
      <c r="T507" s="188">
        <v>4.66</v>
      </c>
      <c r="U507" s="188">
        <v>4.12</v>
      </c>
      <c r="V507" s="188">
        <v>0.53</v>
      </c>
      <c r="W507" s="188"/>
      <c r="X507" s="89"/>
      <c r="Y507" s="187"/>
      <c r="Z507" s="187"/>
      <c r="AA507" s="187"/>
      <c r="AB507" s="187"/>
      <c r="AC507" s="187"/>
      <c r="AD507" s="189"/>
      <c r="AE507" s="188"/>
    </row>
    <row r="508" spans="1:31" ht="21.25" customHeight="1" x14ac:dyDescent="0.15">
      <c r="A508" s="10" t="s">
        <v>772</v>
      </c>
      <c r="B508" s="185" t="s">
        <v>834</v>
      </c>
      <c r="C508" s="186">
        <v>30</v>
      </c>
      <c r="D508" s="185" t="s">
        <v>822</v>
      </c>
      <c r="E508" s="89">
        <v>69</v>
      </c>
      <c r="F508" s="187">
        <v>11.5</v>
      </c>
      <c r="G508" s="188">
        <v>0.1</v>
      </c>
      <c r="H508" s="188">
        <v>0.12</v>
      </c>
      <c r="I508" s="188">
        <v>0.22</v>
      </c>
      <c r="J508" s="188">
        <v>1</v>
      </c>
      <c r="K508" s="188">
        <v>0</v>
      </c>
      <c r="L508" s="188">
        <v>0</v>
      </c>
      <c r="M508" s="188">
        <v>0.01</v>
      </c>
      <c r="N508" s="188">
        <v>0.01</v>
      </c>
      <c r="O508" s="188">
        <v>0.46</v>
      </c>
      <c r="P508" s="188">
        <v>0.95</v>
      </c>
      <c r="Q508" s="188">
        <v>7.0000000000000007E-2</v>
      </c>
      <c r="R508" s="188">
        <v>0.32</v>
      </c>
      <c r="S508" s="188">
        <v>0.02</v>
      </c>
      <c r="T508" s="188">
        <v>0.22</v>
      </c>
      <c r="U508" s="188">
        <v>0.37</v>
      </c>
      <c r="V508" s="188">
        <v>0.37</v>
      </c>
      <c r="W508" s="188"/>
      <c r="X508" s="89"/>
      <c r="Y508" s="187"/>
      <c r="Z508" s="187"/>
      <c r="AA508" s="187"/>
      <c r="AB508" s="187"/>
      <c r="AC508" s="187"/>
      <c r="AD508" s="189"/>
      <c r="AE508" s="188"/>
    </row>
    <row r="509" spans="1:31" ht="21.25" customHeight="1" x14ac:dyDescent="0.15">
      <c r="A509" s="10" t="s">
        <v>471</v>
      </c>
      <c r="B509" s="185" t="s">
        <v>852</v>
      </c>
      <c r="C509" s="186">
        <v>35</v>
      </c>
      <c r="D509" s="185" t="s">
        <v>823</v>
      </c>
      <c r="E509" s="89">
        <v>82</v>
      </c>
      <c r="F509" s="187">
        <v>19.2</v>
      </c>
      <c r="G509" s="188">
        <v>0.05</v>
      </c>
      <c r="H509" s="188">
        <v>0.17</v>
      </c>
      <c r="I509" s="188">
        <v>0.22</v>
      </c>
      <c r="J509" s="188">
        <v>0.97</v>
      </c>
      <c r="K509" s="188">
        <v>0</v>
      </c>
      <c r="L509" s="188">
        <v>0</v>
      </c>
      <c r="M509" s="188">
        <v>0</v>
      </c>
      <c r="N509" s="188">
        <v>0</v>
      </c>
      <c r="O509" s="188">
        <v>1.24</v>
      </c>
      <c r="P509" s="188">
        <v>1.02</v>
      </c>
      <c r="Q509" s="188">
        <v>0.05</v>
      </c>
      <c r="R509" s="188">
        <v>0.35</v>
      </c>
      <c r="S509" s="188">
        <v>0.01</v>
      </c>
      <c r="T509" s="188">
        <v>0</v>
      </c>
      <c r="U509" s="188">
        <v>0</v>
      </c>
      <c r="V509" s="188">
        <v>0</v>
      </c>
      <c r="W509" s="188"/>
      <c r="X509" s="89"/>
      <c r="Y509" s="187"/>
      <c r="Z509" s="187"/>
      <c r="AA509" s="187"/>
      <c r="AB509" s="187"/>
      <c r="AC509" s="187"/>
      <c r="AD509" s="189"/>
      <c r="AE509" s="188"/>
    </row>
    <row r="510" spans="1:31" ht="21.25" customHeight="1" x14ac:dyDescent="0.15">
      <c r="A510" s="10" t="s">
        <v>466</v>
      </c>
      <c r="B510" s="185" t="s">
        <v>832</v>
      </c>
      <c r="C510" s="186">
        <v>26</v>
      </c>
      <c r="D510" s="185" t="s">
        <v>823</v>
      </c>
      <c r="E510" s="89">
        <v>80</v>
      </c>
      <c r="F510" s="187">
        <v>17.3</v>
      </c>
      <c r="G510" s="188">
        <v>0.04</v>
      </c>
      <c r="H510" s="188">
        <v>0.18</v>
      </c>
      <c r="I510" s="188">
        <v>0.22</v>
      </c>
      <c r="J510" s="188">
        <v>0.84</v>
      </c>
      <c r="K510" s="188">
        <v>0</v>
      </c>
      <c r="L510" s="188">
        <v>0</v>
      </c>
      <c r="M510" s="188">
        <v>0</v>
      </c>
      <c r="N510" s="188">
        <v>0</v>
      </c>
      <c r="O510" s="188">
        <v>1.48</v>
      </c>
      <c r="P510" s="188">
        <v>1.62</v>
      </c>
      <c r="Q510" s="188">
        <v>0.06</v>
      </c>
      <c r="R510" s="188">
        <v>0.33</v>
      </c>
      <c r="S510" s="188">
        <v>0.01</v>
      </c>
      <c r="T510" s="188">
        <v>0</v>
      </c>
      <c r="U510" s="188">
        <v>0</v>
      </c>
      <c r="V510" s="188">
        <v>0</v>
      </c>
      <c r="W510" s="188"/>
      <c r="X510" s="89"/>
      <c r="Y510" s="187"/>
      <c r="Z510" s="187"/>
      <c r="AA510" s="187"/>
      <c r="AB510" s="187"/>
      <c r="AC510" s="187"/>
      <c r="AD510" s="189"/>
      <c r="AE510" s="188"/>
    </row>
    <row r="511" spans="1:31" ht="21.25" customHeight="1" x14ac:dyDescent="0.15">
      <c r="A511" s="10" t="s">
        <v>534</v>
      </c>
      <c r="B511" s="185" t="s">
        <v>839</v>
      </c>
      <c r="C511" s="186">
        <v>29</v>
      </c>
      <c r="D511" s="185" t="s">
        <v>823</v>
      </c>
      <c r="E511" s="89">
        <v>76</v>
      </c>
      <c r="F511" s="187">
        <v>16.899999999999999</v>
      </c>
      <c r="G511" s="188">
        <v>0.02</v>
      </c>
      <c r="H511" s="188">
        <v>0.2</v>
      </c>
      <c r="I511" s="188">
        <v>0.22</v>
      </c>
      <c r="J511" s="188">
        <v>0.67</v>
      </c>
      <c r="K511" s="188">
        <v>0</v>
      </c>
      <c r="L511" s="188">
        <v>0</v>
      </c>
      <c r="M511" s="188">
        <v>0</v>
      </c>
      <c r="N511" s="188">
        <v>0.01</v>
      </c>
      <c r="O511" s="188">
        <v>1.18</v>
      </c>
      <c r="P511" s="188">
        <v>1.51</v>
      </c>
      <c r="Q511" s="188">
        <v>0.04</v>
      </c>
      <c r="R511" s="188">
        <v>0.43</v>
      </c>
      <c r="S511" s="188">
        <v>0</v>
      </c>
      <c r="T511" s="188">
        <v>0</v>
      </c>
      <c r="U511" s="188">
        <v>0</v>
      </c>
      <c r="V511" s="188">
        <v>0</v>
      </c>
      <c r="W511" s="188"/>
      <c r="X511" s="89"/>
      <c r="Y511" s="187"/>
      <c r="Z511" s="187"/>
      <c r="AA511" s="187"/>
      <c r="AB511" s="187"/>
      <c r="AC511" s="187"/>
      <c r="AD511" s="189"/>
      <c r="AE511" s="188"/>
    </row>
    <row r="512" spans="1:31" ht="21.25" customHeight="1" x14ac:dyDescent="0.15">
      <c r="A512" s="10" t="s">
        <v>581</v>
      </c>
      <c r="B512" s="185" t="s">
        <v>843</v>
      </c>
      <c r="C512" s="186">
        <v>22</v>
      </c>
      <c r="D512" s="185" t="s">
        <v>823</v>
      </c>
      <c r="E512" s="89">
        <v>69</v>
      </c>
      <c r="F512" s="187">
        <v>15.2</v>
      </c>
      <c r="G512" s="188">
        <v>0.09</v>
      </c>
      <c r="H512" s="188">
        <v>0.13</v>
      </c>
      <c r="I512" s="188">
        <v>0.22</v>
      </c>
      <c r="J512" s="188">
        <v>0.76</v>
      </c>
      <c r="K512" s="188">
        <v>0</v>
      </c>
      <c r="L512" s="188">
        <v>0</v>
      </c>
      <c r="M512" s="188">
        <v>0</v>
      </c>
      <c r="N512" s="188">
        <v>0</v>
      </c>
      <c r="O512" s="188">
        <v>0.91</v>
      </c>
      <c r="P512" s="188">
        <v>2.3199999999999998</v>
      </c>
      <c r="Q512" s="188">
        <v>0.06</v>
      </c>
      <c r="R512" s="188">
        <v>0.66</v>
      </c>
      <c r="S512" s="188">
        <v>0.01</v>
      </c>
      <c r="T512" s="188">
        <v>0</v>
      </c>
      <c r="U512" s="188">
        <v>0</v>
      </c>
      <c r="V512" s="188">
        <v>0</v>
      </c>
      <c r="W512" s="188"/>
      <c r="X512" s="89"/>
      <c r="Y512" s="187"/>
      <c r="Z512" s="187"/>
      <c r="AA512" s="187"/>
      <c r="AB512" s="187"/>
      <c r="AC512" s="187"/>
      <c r="AD512" s="189"/>
      <c r="AE512" s="188"/>
    </row>
    <row r="513" spans="1:31" ht="21.25" customHeight="1" x14ac:dyDescent="0.15">
      <c r="A513" s="10" t="s">
        <v>720</v>
      </c>
      <c r="B513" s="185" t="s">
        <v>839</v>
      </c>
      <c r="C513" s="186">
        <v>36</v>
      </c>
      <c r="D513" s="185" t="s">
        <v>820</v>
      </c>
      <c r="E513" s="89">
        <v>81</v>
      </c>
      <c r="F513" s="187">
        <v>12.6</v>
      </c>
      <c r="G513" s="188">
        <v>0.08</v>
      </c>
      <c r="H513" s="188">
        <v>0.14000000000000001</v>
      </c>
      <c r="I513" s="188">
        <v>0.22</v>
      </c>
      <c r="J513" s="188">
        <v>0.78</v>
      </c>
      <c r="K513" s="188">
        <v>0</v>
      </c>
      <c r="L513" s="188">
        <v>0</v>
      </c>
      <c r="M513" s="188">
        <v>0.01</v>
      </c>
      <c r="N513" s="188">
        <v>0.01</v>
      </c>
      <c r="O513" s="188">
        <v>0.65</v>
      </c>
      <c r="P513" s="188">
        <v>1.55</v>
      </c>
      <c r="Q513" s="188">
        <v>0.03</v>
      </c>
      <c r="R513" s="188">
        <v>0.51</v>
      </c>
      <c r="S513" s="188">
        <v>0.02</v>
      </c>
      <c r="T513" s="188">
        <v>5.69</v>
      </c>
      <c r="U513" s="188">
        <v>5.94</v>
      </c>
      <c r="V513" s="188">
        <v>0.49</v>
      </c>
      <c r="W513" s="188"/>
      <c r="X513" s="89"/>
      <c r="Y513" s="187"/>
      <c r="Z513" s="187"/>
      <c r="AA513" s="187"/>
      <c r="AB513" s="187"/>
      <c r="AC513" s="187"/>
      <c r="AD513" s="189"/>
      <c r="AE513" s="188"/>
    </row>
    <row r="514" spans="1:31" ht="21.25" customHeight="1" x14ac:dyDescent="0.15">
      <c r="A514" s="10" t="s">
        <v>774</v>
      </c>
      <c r="B514" s="185" t="s">
        <v>861</v>
      </c>
      <c r="C514" s="186">
        <v>25</v>
      </c>
      <c r="D514" s="185" t="s">
        <v>835</v>
      </c>
      <c r="E514" s="89">
        <v>64</v>
      </c>
      <c r="F514" s="187">
        <v>11.3</v>
      </c>
      <c r="G514" s="188">
        <v>0.12</v>
      </c>
      <c r="H514" s="188">
        <v>0.1</v>
      </c>
      <c r="I514" s="188">
        <v>0.22</v>
      </c>
      <c r="J514" s="188">
        <v>1.02</v>
      </c>
      <c r="K514" s="188">
        <v>0</v>
      </c>
      <c r="L514" s="188">
        <v>0</v>
      </c>
      <c r="M514" s="188">
        <v>0</v>
      </c>
      <c r="N514" s="188">
        <v>0.01</v>
      </c>
      <c r="O514" s="188">
        <v>0.67</v>
      </c>
      <c r="P514" s="188">
        <v>1.97</v>
      </c>
      <c r="Q514" s="188">
        <v>-0.04</v>
      </c>
      <c r="R514" s="188">
        <v>0.25</v>
      </c>
      <c r="S514" s="188">
        <v>0.02</v>
      </c>
      <c r="T514" s="188">
        <v>0.08</v>
      </c>
      <c r="U514" s="188">
        <v>0.47</v>
      </c>
      <c r="V514" s="188">
        <v>0.14000000000000001</v>
      </c>
      <c r="W514" s="188"/>
      <c r="X514" s="89"/>
      <c r="Y514" s="187"/>
      <c r="Z514" s="187"/>
      <c r="AA514" s="187"/>
      <c r="AB514" s="187"/>
      <c r="AC514" s="187"/>
      <c r="AD514" s="189"/>
      <c r="AE514" s="188"/>
    </row>
    <row r="515" spans="1:31" ht="21.25" customHeight="1" x14ac:dyDescent="0.15">
      <c r="A515" s="10" t="s">
        <v>550</v>
      </c>
      <c r="B515" s="185" t="s">
        <v>837</v>
      </c>
      <c r="C515" s="186">
        <v>27</v>
      </c>
      <c r="D515" s="185" t="s">
        <v>823</v>
      </c>
      <c r="E515" s="89">
        <v>73</v>
      </c>
      <c r="F515" s="187">
        <v>15.9</v>
      </c>
      <c r="G515" s="188">
        <v>0.04</v>
      </c>
      <c r="H515" s="188">
        <v>0.18</v>
      </c>
      <c r="I515" s="188">
        <v>0.22</v>
      </c>
      <c r="J515" s="188">
        <v>0.87</v>
      </c>
      <c r="K515" s="188">
        <v>0</v>
      </c>
      <c r="L515" s="188">
        <v>0.01</v>
      </c>
      <c r="M515" s="188">
        <v>0</v>
      </c>
      <c r="N515" s="188">
        <v>0</v>
      </c>
      <c r="O515" s="188">
        <v>0.94</v>
      </c>
      <c r="P515" s="188">
        <v>0.82</v>
      </c>
      <c r="Q515" s="188">
        <v>-0.02</v>
      </c>
      <c r="R515" s="188">
        <v>0.28999999999999998</v>
      </c>
      <c r="S515" s="188">
        <v>0.01</v>
      </c>
      <c r="T515" s="188">
        <v>0</v>
      </c>
      <c r="U515" s="188">
        <v>0</v>
      </c>
      <c r="V515" s="188">
        <v>0</v>
      </c>
      <c r="W515" s="188"/>
      <c r="X515" s="89"/>
      <c r="Y515" s="187"/>
      <c r="Z515" s="187"/>
      <c r="AA515" s="187"/>
      <c r="AB515" s="187"/>
      <c r="AC515" s="187"/>
      <c r="AD515" s="189"/>
      <c r="AE515" s="188"/>
    </row>
    <row r="516" spans="1:31" ht="21.25" customHeight="1" x14ac:dyDescent="0.15">
      <c r="A516" s="10" t="s">
        <v>491</v>
      </c>
      <c r="B516" s="185" t="s">
        <v>861</v>
      </c>
      <c r="C516" s="186">
        <v>27</v>
      </c>
      <c r="D516" s="185" t="s">
        <v>823</v>
      </c>
      <c r="E516" s="89">
        <v>78</v>
      </c>
      <c r="F516" s="187">
        <v>19.5</v>
      </c>
      <c r="G516" s="188">
        <v>0.05</v>
      </c>
      <c r="H516" s="188">
        <v>0.17</v>
      </c>
      <c r="I516" s="188">
        <v>0.22</v>
      </c>
      <c r="J516" s="188">
        <v>1.08</v>
      </c>
      <c r="K516" s="188">
        <v>0</v>
      </c>
      <c r="L516" s="188">
        <v>0</v>
      </c>
      <c r="M516" s="188">
        <v>0</v>
      </c>
      <c r="N516" s="188">
        <v>0.01</v>
      </c>
      <c r="O516" s="188">
        <v>1.1299999999999999</v>
      </c>
      <c r="P516" s="188">
        <v>1.23</v>
      </c>
      <c r="Q516" s="188">
        <v>-0.05</v>
      </c>
      <c r="R516" s="188">
        <v>0.65</v>
      </c>
      <c r="S516" s="188">
        <v>0.01</v>
      </c>
      <c r="T516" s="188">
        <v>0</v>
      </c>
      <c r="U516" s="188">
        <v>0</v>
      </c>
      <c r="V516" s="188">
        <v>0</v>
      </c>
      <c r="W516" s="188"/>
      <c r="X516" s="89"/>
      <c r="Y516" s="187"/>
      <c r="Z516" s="187"/>
      <c r="AA516" s="187"/>
      <c r="AB516" s="187"/>
      <c r="AC516" s="187"/>
      <c r="AD516" s="189"/>
      <c r="AE516" s="188"/>
    </row>
    <row r="517" spans="1:31" ht="21.25" customHeight="1" x14ac:dyDescent="0.15">
      <c r="A517" s="10" t="s">
        <v>786</v>
      </c>
      <c r="B517" s="185" t="s">
        <v>861</v>
      </c>
      <c r="C517" s="186">
        <v>24</v>
      </c>
      <c r="D517" s="185" t="s">
        <v>822</v>
      </c>
      <c r="E517" s="89">
        <v>60</v>
      </c>
      <c r="F517" s="187">
        <v>12.2</v>
      </c>
      <c r="G517" s="188">
        <v>7.0000000000000007E-2</v>
      </c>
      <c r="H517" s="188">
        <v>0.14000000000000001</v>
      </c>
      <c r="I517" s="188">
        <v>0.22</v>
      </c>
      <c r="J517" s="188">
        <v>0.87</v>
      </c>
      <c r="K517" s="188">
        <v>0</v>
      </c>
      <c r="L517" s="188">
        <v>0</v>
      </c>
      <c r="M517" s="188">
        <v>0</v>
      </c>
      <c r="N517" s="188">
        <v>0.01</v>
      </c>
      <c r="O517" s="188">
        <v>0.54</v>
      </c>
      <c r="P517" s="188">
        <v>2.4300000000000002</v>
      </c>
      <c r="Q517" s="188">
        <v>-0.04</v>
      </c>
      <c r="R517" s="188">
        <v>0.57999999999999996</v>
      </c>
      <c r="S517" s="188">
        <v>0.01</v>
      </c>
      <c r="T517" s="188">
        <v>0.05</v>
      </c>
      <c r="U517" s="188">
        <v>0.15</v>
      </c>
      <c r="V517" s="188">
        <v>0.26</v>
      </c>
      <c r="W517" s="188"/>
      <c r="X517" s="89"/>
      <c r="Y517" s="187"/>
      <c r="Z517" s="187"/>
      <c r="AA517" s="187"/>
      <c r="AB517" s="187"/>
      <c r="AC517" s="187"/>
      <c r="AD517" s="189"/>
      <c r="AE517" s="188"/>
    </row>
    <row r="518" spans="1:31" ht="21.25" customHeight="1" x14ac:dyDescent="0.15">
      <c r="A518" s="10" t="s">
        <v>770</v>
      </c>
      <c r="B518" s="185" t="s">
        <v>864</v>
      </c>
      <c r="C518" s="186">
        <v>26</v>
      </c>
      <c r="D518" s="185" t="s">
        <v>821</v>
      </c>
      <c r="E518" s="89">
        <v>82</v>
      </c>
      <c r="F518" s="187">
        <v>10.6</v>
      </c>
      <c r="G518" s="188">
        <v>0.13</v>
      </c>
      <c r="H518" s="188">
        <v>0.11</v>
      </c>
      <c r="I518" s="188">
        <v>0.24</v>
      </c>
      <c r="J518" s="188">
        <v>0.95</v>
      </c>
      <c r="K518" s="188">
        <v>0</v>
      </c>
      <c r="L518" s="188">
        <v>0</v>
      </c>
      <c r="M518" s="188">
        <v>0</v>
      </c>
      <c r="N518" s="188">
        <v>0</v>
      </c>
      <c r="O518" s="188">
        <v>0.35</v>
      </c>
      <c r="P518" s="188">
        <v>2.54</v>
      </c>
      <c r="Q518" s="188">
        <v>-0.14000000000000001</v>
      </c>
      <c r="R518" s="188">
        <v>0.34</v>
      </c>
      <c r="S518" s="188">
        <v>0.02</v>
      </c>
      <c r="T518" s="188">
        <v>0.69</v>
      </c>
      <c r="U518" s="188">
        <v>0.65</v>
      </c>
      <c r="V518" s="188">
        <v>0.51</v>
      </c>
      <c r="W518" s="188"/>
      <c r="X518" s="89"/>
      <c r="Y518" s="188"/>
      <c r="Z518" s="188"/>
      <c r="AA518" s="188"/>
      <c r="AB518" s="188"/>
      <c r="AC518" s="187"/>
      <c r="AD518" s="189"/>
      <c r="AE518" s="188"/>
    </row>
    <row r="519" spans="1:31" ht="21.25" customHeight="1" x14ac:dyDescent="0.15">
      <c r="A519" s="10" t="s">
        <v>783</v>
      </c>
      <c r="B519" s="185" t="s">
        <v>833</v>
      </c>
      <c r="C519" s="186">
        <v>29</v>
      </c>
      <c r="D519" s="185" t="s">
        <v>821</v>
      </c>
      <c r="E519" s="89">
        <v>61</v>
      </c>
      <c r="F519" s="187">
        <v>10.9</v>
      </c>
      <c r="G519" s="188">
        <v>0.08</v>
      </c>
      <c r="H519" s="188">
        <v>0.14000000000000001</v>
      </c>
      <c r="I519" s="188">
        <v>0.22</v>
      </c>
      <c r="J519" s="188">
        <v>1.18</v>
      </c>
      <c r="K519" s="188">
        <v>0</v>
      </c>
      <c r="L519" s="188">
        <v>0</v>
      </c>
      <c r="M519" s="188">
        <v>0</v>
      </c>
      <c r="N519" s="188">
        <v>0</v>
      </c>
      <c r="O519" s="188">
        <v>0.44</v>
      </c>
      <c r="P519" s="188">
        <v>2.2200000000000002</v>
      </c>
      <c r="Q519" s="188">
        <v>0.08</v>
      </c>
      <c r="R519" s="188">
        <v>0.79</v>
      </c>
      <c r="S519" s="188">
        <v>0.01</v>
      </c>
      <c r="T519" s="188">
        <v>0.03</v>
      </c>
      <c r="U519" s="188">
        <v>0.08</v>
      </c>
      <c r="V519" s="188">
        <v>0.24</v>
      </c>
      <c r="W519" s="188"/>
      <c r="X519" s="89"/>
      <c r="Y519" s="187"/>
      <c r="Z519" s="187"/>
      <c r="AA519" s="187"/>
      <c r="AB519" s="187"/>
      <c r="AC519" s="187"/>
      <c r="AD519" s="189"/>
      <c r="AE519" s="188"/>
    </row>
    <row r="520" spans="1:31" ht="21.25" customHeight="1" x14ac:dyDescent="0.15">
      <c r="A520" s="10" t="s">
        <v>536</v>
      </c>
      <c r="B520" s="185" t="s">
        <v>866</v>
      </c>
      <c r="C520" s="186">
        <v>28</v>
      </c>
      <c r="D520" s="185" t="s">
        <v>823</v>
      </c>
      <c r="E520" s="89">
        <v>66</v>
      </c>
      <c r="F520" s="187">
        <v>17.899999999999999</v>
      </c>
      <c r="G520" s="188">
        <v>0.02</v>
      </c>
      <c r="H520" s="188">
        <v>0.2</v>
      </c>
      <c r="I520" s="188">
        <v>0.21</v>
      </c>
      <c r="J520" s="188">
        <v>0.91</v>
      </c>
      <c r="K520" s="188">
        <v>0</v>
      </c>
      <c r="L520" s="188">
        <v>0</v>
      </c>
      <c r="M520" s="188">
        <v>0</v>
      </c>
      <c r="N520" s="188">
        <v>0.01</v>
      </c>
      <c r="O520" s="188">
        <v>1.44</v>
      </c>
      <c r="P520" s="188">
        <v>1.4</v>
      </c>
      <c r="Q520" s="188">
        <v>-0.08</v>
      </c>
      <c r="R520" s="188">
        <v>0.45</v>
      </c>
      <c r="S520" s="188">
        <v>0</v>
      </c>
      <c r="T520" s="188">
        <v>0</v>
      </c>
      <c r="U520" s="188">
        <v>0</v>
      </c>
      <c r="V520" s="188">
        <v>0</v>
      </c>
      <c r="W520" s="188"/>
      <c r="X520" s="89"/>
      <c r="Y520" s="187"/>
      <c r="Z520" s="187"/>
      <c r="AA520" s="187"/>
      <c r="AB520" s="187"/>
      <c r="AC520" s="187"/>
      <c r="AD520" s="189"/>
      <c r="AE520" s="188"/>
    </row>
    <row r="521" spans="1:31" ht="21.25" customHeight="1" x14ac:dyDescent="0.15">
      <c r="A521" s="10" t="s">
        <v>501</v>
      </c>
      <c r="B521" s="185" t="s">
        <v>858</v>
      </c>
      <c r="C521" s="186">
        <v>28</v>
      </c>
      <c r="D521" s="185" t="s">
        <v>823</v>
      </c>
      <c r="E521" s="89">
        <v>69</v>
      </c>
      <c r="F521" s="187">
        <v>17.7</v>
      </c>
      <c r="G521" s="188">
        <v>0.03</v>
      </c>
      <c r="H521" s="188">
        <v>0.19</v>
      </c>
      <c r="I521" s="188">
        <v>0.21</v>
      </c>
      <c r="J521" s="188">
        <v>0.96</v>
      </c>
      <c r="K521" s="188">
        <v>0</v>
      </c>
      <c r="L521" s="188">
        <v>0</v>
      </c>
      <c r="M521" s="188">
        <v>0</v>
      </c>
      <c r="N521" s="188">
        <v>0</v>
      </c>
      <c r="O521" s="188">
        <v>1.65</v>
      </c>
      <c r="P521" s="188">
        <v>0.91</v>
      </c>
      <c r="Q521" s="188">
        <v>0.01</v>
      </c>
      <c r="R521" s="188">
        <v>0.48</v>
      </c>
      <c r="S521" s="188">
        <v>0</v>
      </c>
      <c r="T521" s="188">
        <v>0</v>
      </c>
      <c r="U521" s="188">
        <v>0</v>
      </c>
      <c r="V521" s="188">
        <v>0</v>
      </c>
      <c r="W521" s="188"/>
      <c r="X521" s="89"/>
      <c r="Y521" s="187"/>
      <c r="Z521" s="187"/>
      <c r="AA521" s="187"/>
      <c r="AB521" s="187"/>
      <c r="AC521" s="187"/>
      <c r="AD521" s="189"/>
      <c r="AE521" s="188"/>
    </row>
    <row r="522" spans="1:31" ht="21.25" customHeight="1" x14ac:dyDescent="0.15">
      <c r="A522" s="10" t="s">
        <v>673</v>
      </c>
      <c r="B522" s="185" t="s">
        <v>840</v>
      </c>
      <c r="C522" s="186">
        <v>31</v>
      </c>
      <c r="D522" s="185" t="s">
        <v>820</v>
      </c>
      <c r="E522" s="89">
        <v>81</v>
      </c>
      <c r="F522" s="187">
        <v>13.3</v>
      </c>
      <c r="G522" s="188">
        <v>0.1</v>
      </c>
      <c r="H522" s="188">
        <v>0.12</v>
      </c>
      <c r="I522" s="188">
        <v>0.22</v>
      </c>
      <c r="J522" s="188">
        <v>1.24</v>
      </c>
      <c r="K522" s="188">
        <v>0</v>
      </c>
      <c r="L522" s="188">
        <v>0</v>
      </c>
      <c r="M522" s="188">
        <v>0.01</v>
      </c>
      <c r="N522" s="188">
        <v>0.01</v>
      </c>
      <c r="O522" s="188">
        <v>0.84</v>
      </c>
      <c r="P522" s="188">
        <v>2.2200000000000002</v>
      </c>
      <c r="Q522" s="188">
        <v>0.01</v>
      </c>
      <c r="R522" s="188">
        <v>0.85</v>
      </c>
      <c r="S522" s="188">
        <v>0.02</v>
      </c>
      <c r="T522" s="188">
        <v>6.22</v>
      </c>
      <c r="U522" s="188">
        <v>5.45</v>
      </c>
      <c r="V522" s="188">
        <v>0.53</v>
      </c>
      <c r="W522" s="188"/>
      <c r="X522" s="89"/>
      <c r="Y522" s="187"/>
      <c r="Z522" s="187"/>
      <c r="AA522" s="187"/>
      <c r="AB522" s="187"/>
      <c r="AC522" s="187"/>
      <c r="AD522" s="189"/>
      <c r="AE522" s="188"/>
    </row>
    <row r="523" spans="1:31" ht="21.25" customHeight="1" x14ac:dyDescent="0.15">
      <c r="A523" s="10" t="s">
        <v>447</v>
      </c>
      <c r="B523" s="185" t="s">
        <v>843</v>
      </c>
      <c r="C523" s="186">
        <v>36</v>
      </c>
      <c r="D523" s="185" t="s">
        <v>823</v>
      </c>
      <c r="E523" s="89">
        <v>80</v>
      </c>
      <c r="F523" s="187">
        <v>18</v>
      </c>
      <c r="G523" s="188">
        <v>0.04</v>
      </c>
      <c r="H523" s="188">
        <v>0.18</v>
      </c>
      <c r="I523" s="188">
        <v>0.21</v>
      </c>
      <c r="J523" s="188">
        <v>1</v>
      </c>
      <c r="K523" s="188">
        <v>0</v>
      </c>
      <c r="L523" s="188">
        <v>0</v>
      </c>
      <c r="M523" s="188">
        <v>0.01</v>
      </c>
      <c r="N523" s="188">
        <v>0.01</v>
      </c>
      <c r="O523" s="188">
        <v>1.52</v>
      </c>
      <c r="P523" s="188">
        <v>1.1200000000000001</v>
      </c>
      <c r="Q523" s="188">
        <v>0.04</v>
      </c>
      <c r="R523" s="188">
        <v>0.69</v>
      </c>
      <c r="S523" s="188">
        <v>0.01</v>
      </c>
      <c r="T523" s="188">
        <v>0</v>
      </c>
      <c r="U523" s="188">
        <v>0</v>
      </c>
      <c r="V523" s="188">
        <v>0</v>
      </c>
      <c r="W523" s="188"/>
      <c r="X523" s="89"/>
      <c r="Y523" s="187"/>
      <c r="Z523" s="187"/>
      <c r="AA523" s="187"/>
      <c r="AB523" s="187"/>
      <c r="AC523" s="187"/>
      <c r="AD523" s="189"/>
      <c r="AE523" s="188"/>
    </row>
    <row r="524" spans="1:31" ht="21.25" customHeight="1" x14ac:dyDescent="0.15">
      <c r="A524" s="10" t="s">
        <v>732</v>
      </c>
      <c r="B524" s="185" t="s">
        <v>843</v>
      </c>
      <c r="C524" s="186">
        <v>32</v>
      </c>
      <c r="D524" s="185" t="s">
        <v>820</v>
      </c>
      <c r="E524" s="89">
        <v>77</v>
      </c>
      <c r="F524" s="187">
        <v>11.5</v>
      </c>
      <c r="G524" s="188">
        <v>0.05</v>
      </c>
      <c r="H524" s="188">
        <v>0.17</v>
      </c>
      <c r="I524" s="188">
        <v>0.21</v>
      </c>
      <c r="J524" s="188">
        <v>0.72</v>
      </c>
      <c r="K524" s="188">
        <v>0</v>
      </c>
      <c r="L524" s="188">
        <v>0</v>
      </c>
      <c r="M524" s="188">
        <v>0.01</v>
      </c>
      <c r="N524" s="188">
        <v>0.03</v>
      </c>
      <c r="O524" s="188">
        <v>0.7</v>
      </c>
      <c r="P524" s="188">
        <v>1.44</v>
      </c>
      <c r="Q524" s="188">
        <v>0.05</v>
      </c>
      <c r="R524" s="188">
        <v>0.31</v>
      </c>
      <c r="S524" s="188">
        <v>0.01</v>
      </c>
      <c r="T524" s="188">
        <v>4.22</v>
      </c>
      <c r="U524" s="188">
        <v>3.39</v>
      </c>
      <c r="V524" s="188">
        <v>0.55000000000000004</v>
      </c>
      <c r="W524" s="188"/>
      <c r="X524" s="89"/>
      <c r="Y524" s="187"/>
      <c r="Z524" s="187"/>
      <c r="AA524" s="187"/>
      <c r="AB524" s="187"/>
      <c r="AC524" s="187"/>
      <c r="AD524" s="189"/>
      <c r="AE524" s="188"/>
    </row>
    <row r="525" spans="1:31" ht="21.25" customHeight="1" x14ac:dyDescent="0.15">
      <c r="A525" s="10" t="s">
        <v>735</v>
      </c>
      <c r="B525" s="185" t="s">
        <v>862</v>
      </c>
      <c r="C525" s="186">
        <v>35</v>
      </c>
      <c r="D525" s="185" t="s">
        <v>821</v>
      </c>
      <c r="E525" s="89">
        <v>82</v>
      </c>
      <c r="F525" s="187">
        <v>11.1</v>
      </c>
      <c r="G525" s="188">
        <v>0.09</v>
      </c>
      <c r="H525" s="188">
        <v>0.12</v>
      </c>
      <c r="I525" s="188">
        <v>0.21</v>
      </c>
      <c r="J525" s="188">
        <v>0.95</v>
      </c>
      <c r="K525" s="188">
        <v>0</v>
      </c>
      <c r="L525" s="188">
        <v>0.01</v>
      </c>
      <c r="M525" s="188">
        <v>0</v>
      </c>
      <c r="N525" s="188">
        <v>0</v>
      </c>
      <c r="O525" s="188">
        <v>0.67</v>
      </c>
      <c r="P525" s="188">
        <v>1.43</v>
      </c>
      <c r="Q525" s="188">
        <v>-0.05</v>
      </c>
      <c r="R525" s="188">
        <v>0.2</v>
      </c>
      <c r="S525" s="188">
        <v>0.01</v>
      </c>
      <c r="T525" s="188">
        <v>0.05</v>
      </c>
      <c r="U525" s="188">
        <v>0.12</v>
      </c>
      <c r="V525" s="188">
        <v>0.3</v>
      </c>
      <c r="W525" s="188"/>
      <c r="X525" s="89"/>
      <c r="Y525" s="187"/>
      <c r="Z525" s="187"/>
      <c r="AA525" s="187"/>
      <c r="AB525" s="187"/>
      <c r="AC525" s="187"/>
      <c r="AD525" s="189"/>
      <c r="AE525" s="188"/>
    </row>
    <row r="526" spans="1:31" ht="21.25" customHeight="1" x14ac:dyDescent="0.15">
      <c r="A526" s="10" t="s">
        <v>710</v>
      </c>
      <c r="B526" s="185" t="s">
        <v>837</v>
      </c>
      <c r="C526" s="186">
        <v>33</v>
      </c>
      <c r="D526" s="185" t="s">
        <v>842</v>
      </c>
      <c r="E526" s="89">
        <v>82</v>
      </c>
      <c r="F526" s="187">
        <v>12.9</v>
      </c>
      <c r="G526" s="188">
        <v>7.0000000000000007E-2</v>
      </c>
      <c r="H526" s="188">
        <v>0.15</v>
      </c>
      <c r="I526" s="188">
        <v>0.21</v>
      </c>
      <c r="J526" s="188">
        <v>1.22</v>
      </c>
      <c r="K526" s="188">
        <v>0</v>
      </c>
      <c r="L526" s="188">
        <v>0</v>
      </c>
      <c r="M526" s="188">
        <v>0</v>
      </c>
      <c r="N526" s="188">
        <v>0</v>
      </c>
      <c r="O526" s="188">
        <v>0.56999999999999995</v>
      </c>
      <c r="P526" s="188">
        <v>1.4</v>
      </c>
      <c r="Q526" s="188">
        <v>-0.03</v>
      </c>
      <c r="R526" s="188">
        <v>0.39</v>
      </c>
      <c r="S526" s="188">
        <v>0.01</v>
      </c>
      <c r="T526" s="188">
        <v>4.07</v>
      </c>
      <c r="U526" s="188">
        <v>3.82</v>
      </c>
      <c r="V526" s="188">
        <v>0.52</v>
      </c>
      <c r="W526" s="188"/>
      <c r="X526" s="89"/>
      <c r="Y526" s="187"/>
      <c r="Z526" s="187"/>
      <c r="AA526" s="187"/>
      <c r="AB526" s="187"/>
      <c r="AC526" s="187"/>
      <c r="AD526" s="189"/>
      <c r="AE526" s="188"/>
    </row>
    <row r="527" spans="1:31" ht="21.25" customHeight="1" x14ac:dyDescent="0.15">
      <c r="A527" s="10" t="s">
        <v>437</v>
      </c>
      <c r="B527" s="185" t="s">
        <v>867</v>
      </c>
      <c r="C527" s="186">
        <v>29</v>
      </c>
      <c r="D527" s="185" t="s">
        <v>823</v>
      </c>
      <c r="E527" s="89">
        <v>80</v>
      </c>
      <c r="F527" s="187">
        <v>20.9</v>
      </c>
      <c r="G527" s="188">
        <v>0.03</v>
      </c>
      <c r="H527" s="188">
        <v>0.17</v>
      </c>
      <c r="I527" s="188">
        <v>0.19</v>
      </c>
      <c r="J527" s="188">
        <v>0.79</v>
      </c>
      <c r="K527" s="188">
        <v>0</v>
      </c>
      <c r="L527" s="188">
        <v>0</v>
      </c>
      <c r="M527" s="188">
        <v>0</v>
      </c>
      <c r="N527" s="188">
        <v>0</v>
      </c>
      <c r="O527" s="188">
        <v>1.71</v>
      </c>
      <c r="P527" s="188">
        <v>1.46</v>
      </c>
      <c r="Q527" s="188">
        <v>-0.12</v>
      </c>
      <c r="R527" s="188">
        <v>0.46</v>
      </c>
      <c r="S527" s="188">
        <v>0</v>
      </c>
      <c r="T527" s="188">
        <v>0</v>
      </c>
      <c r="U527" s="188">
        <v>0</v>
      </c>
      <c r="V527" s="188">
        <v>0</v>
      </c>
      <c r="W527" s="188"/>
      <c r="X527" s="89"/>
      <c r="Y527" s="187"/>
      <c r="Z527" s="187"/>
      <c r="AA527" s="187"/>
      <c r="AB527" s="187"/>
      <c r="AC527" s="187"/>
      <c r="AD527" s="189"/>
      <c r="AE527" s="188"/>
    </row>
    <row r="528" spans="1:31" ht="21.25" customHeight="1" x14ac:dyDescent="0.15">
      <c r="A528" s="10" t="s">
        <v>488</v>
      </c>
      <c r="B528" s="185" t="s">
        <v>865</v>
      </c>
      <c r="C528" s="186">
        <v>27</v>
      </c>
      <c r="D528" s="185" t="s">
        <v>823</v>
      </c>
      <c r="E528" s="89">
        <v>73</v>
      </c>
      <c r="F528" s="187">
        <v>17.5</v>
      </c>
      <c r="G528" s="188">
        <v>0.04</v>
      </c>
      <c r="H528" s="188">
        <v>0.17</v>
      </c>
      <c r="I528" s="188">
        <v>0.21</v>
      </c>
      <c r="J528" s="188">
        <v>0.91</v>
      </c>
      <c r="K528" s="188">
        <v>0</v>
      </c>
      <c r="L528" s="188">
        <v>0</v>
      </c>
      <c r="M528" s="188">
        <v>0</v>
      </c>
      <c r="N528" s="188">
        <v>0</v>
      </c>
      <c r="O528" s="188">
        <v>1.6</v>
      </c>
      <c r="P528" s="188">
        <v>0.94</v>
      </c>
      <c r="Q528" s="188">
        <v>0.04</v>
      </c>
      <c r="R528" s="188">
        <v>0.46</v>
      </c>
      <c r="S528" s="188">
        <v>0.01</v>
      </c>
      <c r="T528" s="188">
        <v>0</v>
      </c>
      <c r="U528" s="188">
        <v>0</v>
      </c>
      <c r="V528" s="188">
        <v>0</v>
      </c>
      <c r="W528" s="188"/>
      <c r="X528" s="89"/>
      <c r="Y528" s="187"/>
      <c r="Z528" s="187"/>
      <c r="AA528" s="187"/>
      <c r="AB528" s="187"/>
      <c r="AC528" s="187"/>
      <c r="AD528" s="189"/>
      <c r="AE528" s="188"/>
    </row>
    <row r="529" spans="1:31" ht="21.25" customHeight="1" x14ac:dyDescent="0.15">
      <c r="A529" s="10" t="s">
        <v>423</v>
      </c>
      <c r="B529" s="185" t="s">
        <v>838</v>
      </c>
      <c r="C529" s="186">
        <v>31</v>
      </c>
      <c r="D529" s="185" t="s">
        <v>823</v>
      </c>
      <c r="E529" s="89">
        <v>73</v>
      </c>
      <c r="F529" s="187">
        <v>20.3</v>
      </c>
      <c r="G529" s="188">
        <v>0.04</v>
      </c>
      <c r="H529" s="188">
        <v>0.17</v>
      </c>
      <c r="I529" s="188">
        <v>0.21</v>
      </c>
      <c r="J529" s="188">
        <v>1.24</v>
      </c>
      <c r="K529" s="188">
        <v>0</v>
      </c>
      <c r="L529" s="188">
        <v>0</v>
      </c>
      <c r="M529" s="188">
        <v>0</v>
      </c>
      <c r="N529" s="188">
        <v>0.01</v>
      </c>
      <c r="O529" s="188">
        <v>1.87</v>
      </c>
      <c r="P529" s="188">
        <v>0.52</v>
      </c>
      <c r="Q529" s="188">
        <v>-0.01</v>
      </c>
      <c r="R529" s="188">
        <v>0.33</v>
      </c>
      <c r="S529" s="188">
        <v>0.01</v>
      </c>
      <c r="T529" s="188">
        <v>0</v>
      </c>
      <c r="U529" s="188">
        <v>0</v>
      </c>
      <c r="V529" s="188">
        <v>0</v>
      </c>
      <c r="W529" s="188"/>
      <c r="X529" s="89"/>
      <c r="Y529" s="187"/>
      <c r="Z529" s="187"/>
      <c r="AA529" s="187"/>
      <c r="AB529" s="187"/>
      <c r="AC529" s="187"/>
      <c r="AD529" s="189"/>
      <c r="AE529" s="188"/>
    </row>
    <row r="530" spans="1:31" ht="21.25" customHeight="1" x14ac:dyDescent="0.15">
      <c r="A530" s="10" t="s">
        <v>752</v>
      </c>
      <c r="B530" s="185" t="s">
        <v>832</v>
      </c>
      <c r="C530" s="186">
        <v>28</v>
      </c>
      <c r="D530" s="185" t="s">
        <v>848</v>
      </c>
      <c r="E530" s="89">
        <v>79</v>
      </c>
      <c r="F530" s="187">
        <v>11.5</v>
      </c>
      <c r="G530" s="188">
        <v>0.1</v>
      </c>
      <c r="H530" s="188">
        <v>0.11</v>
      </c>
      <c r="I530" s="188">
        <v>0.21</v>
      </c>
      <c r="J530" s="188">
        <v>1.1100000000000001</v>
      </c>
      <c r="K530" s="188">
        <v>0</v>
      </c>
      <c r="L530" s="188">
        <v>0</v>
      </c>
      <c r="M530" s="188">
        <v>0</v>
      </c>
      <c r="N530" s="188">
        <v>0</v>
      </c>
      <c r="O530" s="188">
        <v>0.39</v>
      </c>
      <c r="P530" s="188">
        <v>2.34</v>
      </c>
      <c r="Q530" s="188">
        <v>0.05</v>
      </c>
      <c r="R530" s="188">
        <v>0.52</v>
      </c>
      <c r="S530" s="188">
        <v>0.02</v>
      </c>
      <c r="T530" s="188">
        <v>1.21</v>
      </c>
      <c r="U530" s="188">
        <v>1.25</v>
      </c>
      <c r="V530" s="188">
        <v>0.49</v>
      </c>
      <c r="W530" s="188"/>
      <c r="X530" s="89"/>
      <c r="Y530" s="187"/>
      <c r="Z530" s="187"/>
      <c r="AA530" s="187"/>
      <c r="AB530" s="187"/>
      <c r="AC530" s="187"/>
      <c r="AD530" s="189"/>
      <c r="AE530" s="188"/>
    </row>
    <row r="531" spans="1:31" ht="21.25" customHeight="1" x14ac:dyDescent="0.15">
      <c r="A531" s="10" t="s">
        <v>507</v>
      </c>
      <c r="B531" s="185" t="s">
        <v>845</v>
      </c>
      <c r="C531" s="186">
        <v>35</v>
      </c>
      <c r="D531" s="185" t="s">
        <v>823</v>
      </c>
      <c r="E531" s="89">
        <v>84</v>
      </c>
      <c r="F531" s="187">
        <v>17.7</v>
      </c>
      <c r="G531" s="188">
        <v>0.04</v>
      </c>
      <c r="H531" s="188">
        <v>0.17</v>
      </c>
      <c r="I531" s="188">
        <v>0.21</v>
      </c>
      <c r="J531" s="188">
        <v>0.75</v>
      </c>
      <c r="K531" s="188">
        <v>0</v>
      </c>
      <c r="L531" s="188">
        <v>0</v>
      </c>
      <c r="M531" s="188">
        <v>0</v>
      </c>
      <c r="N531" s="188">
        <v>0</v>
      </c>
      <c r="O531" s="188">
        <v>1.17</v>
      </c>
      <c r="P531" s="188">
        <v>0.72</v>
      </c>
      <c r="Q531" s="188">
        <v>-0.02</v>
      </c>
      <c r="R531" s="188">
        <v>0.27</v>
      </c>
      <c r="S531" s="188">
        <v>0.01</v>
      </c>
      <c r="T531" s="188">
        <v>0</v>
      </c>
      <c r="U531" s="188">
        <v>0</v>
      </c>
      <c r="V531" s="188">
        <v>0</v>
      </c>
      <c r="W531" s="188"/>
      <c r="X531" s="89"/>
      <c r="Y531" s="187"/>
      <c r="Z531" s="187"/>
      <c r="AA531" s="187"/>
      <c r="AB531" s="187"/>
      <c r="AC531" s="187"/>
      <c r="AD531" s="189"/>
      <c r="AE531" s="188"/>
    </row>
    <row r="532" spans="1:31" ht="21.25" customHeight="1" x14ac:dyDescent="0.15">
      <c r="A532" s="10" t="s">
        <v>484</v>
      </c>
      <c r="B532" s="185" t="s">
        <v>833</v>
      </c>
      <c r="C532" s="186">
        <v>29</v>
      </c>
      <c r="D532" s="185" t="s">
        <v>823</v>
      </c>
      <c r="E532" s="89">
        <v>78</v>
      </c>
      <c r="F532" s="187">
        <v>18.3</v>
      </c>
      <c r="G532" s="188">
        <v>0.03</v>
      </c>
      <c r="H532" s="188">
        <v>0.18</v>
      </c>
      <c r="I532" s="188">
        <v>0.21</v>
      </c>
      <c r="J532" s="188">
        <v>0.81</v>
      </c>
      <c r="K532" s="188">
        <v>0</v>
      </c>
      <c r="L532" s="188">
        <v>0</v>
      </c>
      <c r="M532" s="188">
        <v>0</v>
      </c>
      <c r="N532" s="188">
        <v>0.01</v>
      </c>
      <c r="O532" s="188">
        <v>1.52</v>
      </c>
      <c r="P532" s="188">
        <v>1.81</v>
      </c>
      <c r="Q532" s="188">
        <v>0.08</v>
      </c>
      <c r="R532" s="188">
        <v>0.7</v>
      </c>
      <c r="S532" s="188">
        <v>0.01</v>
      </c>
      <c r="T532" s="188">
        <v>0</v>
      </c>
      <c r="U532" s="188">
        <v>0</v>
      </c>
      <c r="V532" s="188">
        <v>0</v>
      </c>
      <c r="W532" s="188"/>
      <c r="X532" s="89"/>
      <c r="Y532" s="187"/>
      <c r="Z532" s="187"/>
      <c r="AA532" s="187"/>
      <c r="AB532" s="187"/>
      <c r="AC532" s="187"/>
      <c r="AD532" s="189"/>
      <c r="AE532" s="188"/>
    </row>
    <row r="533" spans="1:31" ht="21.25" customHeight="1" x14ac:dyDescent="0.15">
      <c r="A533" s="10" t="s">
        <v>712</v>
      </c>
      <c r="B533" s="185" t="s">
        <v>854</v>
      </c>
      <c r="C533" s="186">
        <v>27</v>
      </c>
      <c r="D533" s="185" t="s">
        <v>844</v>
      </c>
      <c r="E533" s="89">
        <v>81</v>
      </c>
      <c r="F533" s="187">
        <v>11.7</v>
      </c>
      <c r="G533" s="188">
        <v>0.08</v>
      </c>
      <c r="H533" s="188">
        <v>0.12</v>
      </c>
      <c r="I533" s="188">
        <v>0.21</v>
      </c>
      <c r="J533" s="188">
        <v>1.0900000000000001</v>
      </c>
      <c r="K533" s="188">
        <v>0</v>
      </c>
      <c r="L533" s="188">
        <v>0</v>
      </c>
      <c r="M533" s="188">
        <v>0.01</v>
      </c>
      <c r="N533" s="188">
        <v>0.02</v>
      </c>
      <c r="O533" s="188">
        <v>0.72</v>
      </c>
      <c r="P533" s="188">
        <v>2.1</v>
      </c>
      <c r="Q533" s="188">
        <v>-0.04</v>
      </c>
      <c r="R533" s="188">
        <v>0.28999999999999998</v>
      </c>
      <c r="S533" s="188">
        <v>0.01</v>
      </c>
      <c r="T533" s="188">
        <v>0.04</v>
      </c>
      <c r="U533" s="188">
        <v>0.05</v>
      </c>
      <c r="V533" s="188">
        <v>0.41</v>
      </c>
      <c r="W533" s="188"/>
      <c r="X533" s="89"/>
      <c r="Y533" s="187"/>
      <c r="Z533" s="187"/>
      <c r="AA533" s="187"/>
      <c r="AB533" s="187"/>
      <c r="AC533" s="187"/>
      <c r="AD533" s="189"/>
      <c r="AE533" s="188"/>
    </row>
    <row r="534" spans="1:31" ht="21.25" customHeight="1" x14ac:dyDescent="0.15">
      <c r="A534" s="10" t="s">
        <v>522</v>
      </c>
      <c r="B534" s="185" t="s">
        <v>837</v>
      </c>
      <c r="C534" s="186">
        <v>27</v>
      </c>
      <c r="D534" s="185" t="s">
        <v>823</v>
      </c>
      <c r="E534" s="89">
        <v>75</v>
      </c>
      <c r="F534" s="187">
        <v>16.600000000000001</v>
      </c>
      <c r="G534" s="188">
        <v>0.05</v>
      </c>
      <c r="H534" s="188">
        <v>0.16</v>
      </c>
      <c r="I534" s="188">
        <v>0.21</v>
      </c>
      <c r="J534" s="188">
        <v>0.79</v>
      </c>
      <c r="K534" s="188">
        <v>0</v>
      </c>
      <c r="L534" s="188">
        <v>0</v>
      </c>
      <c r="M534" s="188">
        <v>0</v>
      </c>
      <c r="N534" s="188">
        <v>0</v>
      </c>
      <c r="O534" s="188">
        <v>1.32</v>
      </c>
      <c r="P534" s="188">
        <v>1.31</v>
      </c>
      <c r="Q534" s="188">
        <v>0</v>
      </c>
      <c r="R534" s="188">
        <v>0.57999999999999996</v>
      </c>
      <c r="S534" s="188">
        <v>0.01</v>
      </c>
      <c r="T534" s="188">
        <v>0</v>
      </c>
      <c r="U534" s="188">
        <v>0</v>
      </c>
      <c r="V534" s="188">
        <v>0</v>
      </c>
      <c r="W534" s="188"/>
      <c r="X534" s="89"/>
      <c r="Y534" s="187"/>
      <c r="Z534" s="187"/>
      <c r="AA534" s="187"/>
      <c r="AB534" s="187"/>
      <c r="AC534" s="187"/>
      <c r="AD534" s="189"/>
      <c r="AE534" s="188"/>
    </row>
    <row r="535" spans="1:31" ht="21.25" customHeight="1" x14ac:dyDescent="0.15">
      <c r="A535" s="10" t="s">
        <v>445</v>
      </c>
      <c r="B535" s="185" t="s">
        <v>847</v>
      </c>
      <c r="C535" s="186">
        <v>28</v>
      </c>
      <c r="D535" s="185" t="s">
        <v>823</v>
      </c>
      <c r="E535" s="89">
        <v>83</v>
      </c>
      <c r="F535" s="187">
        <v>18.100000000000001</v>
      </c>
      <c r="G535" s="188">
        <v>0.05</v>
      </c>
      <c r="H535" s="188">
        <v>0.16</v>
      </c>
      <c r="I535" s="188">
        <v>0.21</v>
      </c>
      <c r="J535" s="188">
        <v>0.95</v>
      </c>
      <c r="K535" s="188">
        <v>0</v>
      </c>
      <c r="L535" s="188">
        <v>0</v>
      </c>
      <c r="M535" s="188">
        <v>0</v>
      </c>
      <c r="N535" s="188">
        <v>0</v>
      </c>
      <c r="O535" s="188">
        <v>1.53</v>
      </c>
      <c r="P535" s="188">
        <v>1.42</v>
      </c>
      <c r="Q535" s="188">
        <v>0</v>
      </c>
      <c r="R535" s="188">
        <v>0.43</v>
      </c>
      <c r="S535" s="188">
        <v>0.01</v>
      </c>
      <c r="T535" s="188">
        <v>0</v>
      </c>
      <c r="U535" s="188">
        <v>0</v>
      </c>
      <c r="V535" s="188">
        <v>0</v>
      </c>
      <c r="W535" s="188"/>
      <c r="X535" s="89"/>
      <c r="Y535" s="187"/>
      <c r="Z535" s="187"/>
      <c r="AA535" s="187"/>
      <c r="AB535" s="187"/>
      <c r="AC535" s="187"/>
      <c r="AD535" s="189"/>
      <c r="AE535" s="188"/>
    </row>
    <row r="536" spans="1:31" ht="21.25" customHeight="1" x14ac:dyDescent="0.15">
      <c r="A536" s="10" t="s">
        <v>716</v>
      </c>
      <c r="B536" s="185" t="s">
        <v>841</v>
      </c>
      <c r="C536" s="186">
        <v>32</v>
      </c>
      <c r="D536" s="185" t="s">
        <v>842</v>
      </c>
      <c r="E536" s="89">
        <v>80</v>
      </c>
      <c r="F536" s="187">
        <v>12.9</v>
      </c>
      <c r="G536" s="188">
        <v>0.09</v>
      </c>
      <c r="H536" s="188">
        <v>0.12</v>
      </c>
      <c r="I536" s="188">
        <v>0.21</v>
      </c>
      <c r="J536" s="188">
        <v>1.1399999999999999</v>
      </c>
      <c r="K536" s="188">
        <v>0</v>
      </c>
      <c r="L536" s="188">
        <v>0</v>
      </c>
      <c r="M536" s="188">
        <v>0.01</v>
      </c>
      <c r="N536" s="188">
        <v>0.01</v>
      </c>
      <c r="O536" s="188">
        <v>0.74</v>
      </c>
      <c r="P536" s="188">
        <v>1.4</v>
      </c>
      <c r="Q536" s="188">
        <v>0</v>
      </c>
      <c r="R536" s="188">
        <v>0.35</v>
      </c>
      <c r="S536" s="188">
        <v>0.01</v>
      </c>
      <c r="T536" s="188">
        <v>5.28</v>
      </c>
      <c r="U536" s="188">
        <v>4.37</v>
      </c>
      <c r="V536" s="188">
        <v>0.55000000000000004</v>
      </c>
      <c r="W536" s="188"/>
      <c r="X536" s="89"/>
      <c r="Y536" s="187"/>
      <c r="Z536" s="187"/>
      <c r="AA536" s="187"/>
      <c r="AB536" s="187"/>
      <c r="AC536" s="187"/>
      <c r="AD536" s="189"/>
      <c r="AE536" s="188"/>
    </row>
    <row r="537" spans="1:31" ht="21.25" customHeight="1" x14ac:dyDescent="0.15">
      <c r="A537" s="10" t="s">
        <v>605</v>
      </c>
      <c r="B537" s="185" t="s">
        <v>846</v>
      </c>
      <c r="C537" s="186">
        <v>25</v>
      </c>
      <c r="D537" s="185" t="s">
        <v>823</v>
      </c>
      <c r="E537" s="89">
        <v>74</v>
      </c>
      <c r="F537" s="187">
        <v>13.9</v>
      </c>
      <c r="G537" s="188">
        <v>0.04</v>
      </c>
      <c r="H537" s="188">
        <v>0.16</v>
      </c>
      <c r="I537" s="188">
        <v>0.2</v>
      </c>
      <c r="J537" s="188">
        <v>0.64</v>
      </c>
      <c r="K537" s="188">
        <v>0</v>
      </c>
      <c r="L537" s="188">
        <v>0</v>
      </c>
      <c r="M537" s="188">
        <v>0</v>
      </c>
      <c r="N537" s="188">
        <v>0</v>
      </c>
      <c r="O537" s="188">
        <v>0.75</v>
      </c>
      <c r="P537" s="188">
        <v>1.73</v>
      </c>
      <c r="Q537" s="188">
        <v>0.03</v>
      </c>
      <c r="R537" s="188">
        <v>0.56000000000000005</v>
      </c>
      <c r="S537" s="188">
        <v>0.01</v>
      </c>
      <c r="T537" s="188">
        <v>0</v>
      </c>
      <c r="U537" s="188">
        <v>0</v>
      </c>
      <c r="V537" s="188">
        <v>0</v>
      </c>
      <c r="W537" s="188"/>
      <c r="X537" s="89"/>
      <c r="Y537" s="187"/>
      <c r="Z537" s="187"/>
      <c r="AA537" s="187"/>
      <c r="AB537" s="187"/>
      <c r="AC537" s="187"/>
      <c r="AD537" s="189"/>
      <c r="AE537" s="188"/>
    </row>
    <row r="538" spans="1:31" ht="21.25" customHeight="1" x14ac:dyDescent="0.15">
      <c r="A538" s="10" t="s">
        <v>544</v>
      </c>
      <c r="B538" s="185" t="s">
        <v>840</v>
      </c>
      <c r="C538" s="186">
        <v>32</v>
      </c>
      <c r="D538" s="185" t="s">
        <v>823</v>
      </c>
      <c r="E538" s="89">
        <v>75</v>
      </c>
      <c r="F538" s="187">
        <v>15.8</v>
      </c>
      <c r="G538" s="188">
        <v>0.02</v>
      </c>
      <c r="H538" s="188">
        <v>0.18</v>
      </c>
      <c r="I538" s="188">
        <v>0.2</v>
      </c>
      <c r="J538" s="188">
        <v>0.65</v>
      </c>
      <c r="K538" s="188">
        <v>0</v>
      </c>
      <c r="L538" s="188">
        <v>0</v>
      </c>
      <c r="M538" s="188">
        <v>0</v>
      </c>
      <c r="N538" s="188">
        <v>0</v>
      </c>
      <c r="O538" s="188">
        <v>1.24</v>
      </c>
      <c r="P538" s="188">
        <v>0.47</v>
      </c>
      <c r="Q538" s="188">
        <v>0.03</v>
      </c>
      <c r="R538" s="188">
        <v>0.2</v>
      </c>
      <c r="S538" s="188">
        <v>0</v>
      </c>
      <c r="T538" s="188">
        <v>0</v>
      </c>
      <c r="U538" s="188">
        <v>0</v>
      </c>
      <c r="V538" s="188">
        <v>0</v>
      </c>
      <c r="W538" s="188"/>
      <c r="X538" s="89"/>
      <c r="Y538" s="187"/>
      <c r="Z538" s="187"/>
      <c r="AA538" s="187"/>
      <c r="AB538" s="187"/>
      <c r="AC538" s="187"/>
      <c r="AD538" s="189"/>
      <c r="AE538" s="188"/>
    </row>
    <row r="539" spans="1:31" ht="21.25" customHeight="1" x14ac:dyDescent="0.15">
      <c r="A539" s="10" t="s">
        <v>734</v>
      </c>
      <c r="B539" s="185" t="s">
        <v>833</v>
      </c>
      <c r="C539" s="186">
        <v>32</v>
      </c>
      <c r="D539" s="185" t="s">
        <v>821</v>
      </c>
      <c r="E539" s="89">
        <v>81</v>
      </c>
      <c r="F539" s="187">
        <v>13.3</v>
      </c>
      <c r="G539" s="188">
        <v>0.09</v>
      </c>
      <c r="H539" s="188">
        <v>0.11</v>
      </c>
      <c r="I539" s="188">
        <v>0.19</v>
      </c>
      <c r="J539" s="188">
        <v>1.1100000000000001</v>
      </c>
      <c r="K539" s="188">
        <v>0</v>
      </c>
      <c r="L539" s="188">
        <v>0</v>
      </c>
      <c r="M539" s="188">
        <v>0</v>
      </c>
      <c r="N539" s="188">
        <v>0</v>
      </c>
      <c r="O539" s="188">
        <v>0.56000000000000005</v>
      </c>
      <c r="P539" s="188">
        <v>2.2400000000000002</v>
      </c>
      <c r="Q539" s="188">
        <v>0.06</v>
      </c>
      <c r="R539" s="188">
        <v>0.39</v>
      </c>
      <c r="S539" s="188">
        <v>0.02</v>
      </c>
      <c r="T539" s="188">
        <v>1.25</v>
      </c>
      <c r="U539" s="188">
        <v>1.44</v>
      </c>
      <c r="V539" s="188">
        <v>0.46</v>
      </c>
      <c r="W539" s="188"/>
      <c r="X539" s="89"/>
      <c r="Y539" s="187"/>
      <c r="Z539" s="187"/>
      <c r="AA539" s="187"/>
      <c r="AB539" s="187"/>
      <c r="AC539" s="187"/>
      <c r="AD539" s="189"/>
      <c r="AE539" s="188"/>
    </row>
    <row r="540" spans="1:31" ht="21.25" customHeight="1" x14ac:dyDescent="0.15">
      <c r="A540" s="10" t="s">
        <v>561</v>
      </c>
      <c r="B540" s="185" t="s">
        <v>841</v>
      </c>
      <c r="C540" s="186">
        <v>24</v>
      </c>
      <c r="D540" s="185" t="s">
        <v>823</v>
      </c>
      <c r="E540" s="89">
        <v>71</v>
      </c>
      <c r="F540" s="187">
        <v>16.100000000000001</v>
      </c>
      <c r="G540" s="188">
        <v>0.04</v>
      </c>
      <c r="H540" s="188">
        <v>0.16</v>
      </c>
      <c r="I540" s="188">
        <v>0.2</v>
      </c>
      <c r="J540" s="188">
        <v>0.8</v>
      </c>
      <c r="K540" s="188">
        <v>0</v>
      </c>
      <c r="L540" s="188">
        <v>0</v>
      </c>
      <c r="M540" s="188">
        <v>0</v>
      </c>
      <c r="N540" s="188">
        <v>0</v>
      </c>
      <c r="O540" s="188">
        <v>1.1100000000000001</v>
      </c>
      <c r="P540" s="188">
        <v>1.1599999999999999</v>
      </c>
      <c r="Q540" s="188">
        <v>0.03</v>
      </c>
      <c r="R540" s="188">
        <v>0.37</v>
      </c>
      <c r="S540" s="188">
        <v>0.01</v>
      </c>
      <c r="T540" s="188">
        <v>0.02</v>
      </c>
      <c r="U540" s="188">
        <v>0.03</v>
      </c>
      <c r="V540" s="188">
        <v>0.4</v>
      </c>
      <c r="W540" s="188"/>
      <c r="X540" s="89"/>
      <c r="Y540" s="187"/>
      <c r="Z540" s="187"/>
      <c r="AA540" s="187"/>
      <c r="AB540" s="187"/>
      <c r="AC540" s="187"/>
      <c r="AD540" s="189"/>
      <c r="AE540" s="188"/>
    </row>
    <row r="541" spans="1:31" ht="21.25" customHeight="1" x14ac:dyDescent="0.15">
      <c r="A541" s="10" t="s">
        <v>477</v>
      </c>
      <c r="B541" s="185" t="s">
        <v>849</v>
      </c>
      <c r="C541" s="186">
        <v>30</v>
      </c>
      <c r="D541" s="185" t="s">
        <v>823</v>
      </c>
      <c r="E541" s="89">
        <v>81</v>
      </c>
      <c r="F541" s="187">
        <v>19.899999999999999</v>
      </c>
      <c r="G541" s="188">
        <v>0.04</v>
      </c>
      <c r="H541" s="188">
        <v>0.16</v>
      </c>
      <c r="I541" s="188">
        <v>0.2</v>
      </c>
      <c r="J541" s="188">
        <v>1.05</v>
      </c>
      <c r="K541" s="188">
        <v>0</v>
      </c>
      <c r="L541" s="188">
        <v>0</v>
      </c>
      <c r="M541" s="188">
        <v>0</v>
      </c>
      <c r="N541" s="188">
        <v>0</v>
      </c>
      <c r="O541" s="188">
        <v>1.26</v>
      </c>
      <c r="P541" s="188">
        <v>1.59</v>
      </c>
      <c r="Q541" s="188">
        <v>0.04</v>
      </c>
      <c r="R541" s="188">
        <v>0.65</v>
      </c>
      <c r="S541" s="188">
        <v>0.01</v>
      </c>
      <c r="T541" s="188">
        <v>0</v>
      </c>
      <c r="U541" s="188">
        <v>0</v>
      </c>
      <c r="V541" s="188">
        <v>0</v>
      </c>
      <c r="W541" s="188"/>
      <c r="X541" s="89"/>
      <c r="Y541" s="187"/>
      <c r="Z541" s="187"/>
      <c r="AA541" s="187"/>
      <c r="AB541" s="187"/>
      <c r="AC541" s="187"/>
      <c r="AD541" s="189"/>
      <c r="AE541" s="188"/>
    </row>
    <row r="542" spans="1:31" ht="21.25" customHeight="1" x14ac:dyDescent="0.15">
      <c r="A542" s="10" t="s">
        <v>474</v>
      </c>
      <c r="B542" s="185" t="s">
        <v>838</v>
      </c>
      <c r="C542" s="186">
        <v>29</v>
      </c>
      <c r="D542" s="185" t="s">
        <v>823</v>
      </c>
      <c r="E542" s="89">
        <v>78</v>
      </c>
      <c r="F542" s="187">
        <v>19.600000000000001</v>
      </c>
      <c r="G542" s="188">
        <v>0.02</v>
      </c>
      <c r="H542" s="188">
        <v>0.18</v>
      </c>
      <c r="I542" s="188">
        <v>0.2</v>
      </c>
      <c r="J542" s="188">
        <v>0.85</v>
      </c>
      <c r="K542" s="188">
        <v>0</v>
      </c>
      <c r="L542" s="188">
        <v>0</v>
      </c>
      <c r="M542" s="188">
        <v>0</v>
      </c>
      <c r="N542" s="188">
        <v>0.01</v>
      </c>
      <c r="O542" s="188">
        <v>1.62</v>
      </c>
      <c r="P542" s="188">
        <v>1.1399999999999999</v>
      </c>
      <c r="Q542" s="188">
        <v>-0.02</v>
      </c>
      <c r="R542" s="188">
        <v>0.48</v>
      </c>
      <c r="S542" s="188">
        <v>0</v>
      </c>
      <c r="T542" s="188">
        <v>0</v>
      </c>
      <c r="U542" s="188">
        <v>0</v>
      </c>
      <c r="V542" s="188">
        <v>0</v>
      </c>
      <c r="W542" s="188"/>
      <c r="X542" s="89"/>
      <c r="Y542" s="187"/>
      <c r="Z542" s="187"/>
      <c r="AA542" s="187"/>
      <c r="AB542" s="187"/>
      <c r="AC542" s="187"/>
      <c r="AD542" s="189"/>
      <c r="AE542" s="188"/>
    </row>
    <row r="543" spans="1:31" ht="21.25" customHeight="1" x14ac:dyDescent="0.15">
      <c r="A543" s="10" t="s">
        <v>790</v>
      </c>
      <c r="B543" s="185" t="s">
        <v>839</v>
      </c>
      <c r="C543" s="186">
        <v>27</v>
      </c>
      <c r="D543" s="185" t="s">
        <v>822</v>
      </c>
      <c r="E543" s="89">
        <v>54</v>
      </c>
      <c r="F543" s="187">
        <v>11.3</v>
      </c>
      <c r="G543" s="188">
        <v>0.08</v>
      </c>
      <c r="H543" s="188">
        <v>0.12</v>
      </c>
      <c r="I543" s="188">
        <v>0.2</v>
      </c>
      <c r="J543" s="188">
        <v>1.1299999999999999</v>
      </c>
      <c r="K543" s="188">
        <v>0</v>
      </c>
      <c r="L543" s="188">
        <v>0</v>
      </c>
      <c r="M543" s="188">
        <v>0</v>
      </c>
      <c r="N543" s="188">
        <v>0.01</v>
      </c>
      <c r="O543" s="188">
        <v>0.4</v>
      </c>
      <c r="P543" s="188">
        <v>1.0900000000000001</v>
      </c>
      <c r="Q543" s="188">
        <v>0.04</v>
      </c>
      <c r="R543" s="188">
        <v>0.21</v>
      </c>
      <c r="S543" s="188">
        <v>0.01</v>
      </c>
      <c r="T543" s="188">
        <v>0.01</v>
      </c>
      <c r="U543" s="188">
        <v>0.11</v>
      </c>
      <c r="V543" s="188">
        <v>7.0000000000000007E-2</v>
      </c>
      <c r="W543" s="188"/>
      <c r="X543" s="89"/>
      <c r="Y543" s="187"/>
      <c r="Z543" s="187"/>
      <c r="AA543" s="187"/>
      <c r="AB543" s="187"/>
      <c r="AC543" s="187"/>
      <c r="AD543" s="189"/>
      <c r="AE543" s="188"/>
    </row>
    <row r="544" spans="1:31" ht="21.25" customHeight="1" x14ac:dyDescent="0.15">
      <c r="A544" s="10" t="s">
        <v>776</v>
      </c>
      <c r="B544" s="185" t="s">
        <v>843</v>
      </c>
      <c r="C544" s="186">
        <v>26</v>
      </c>
      <c r="D544" s="185" t="s">
        <v>835</v>
      </c>
      <c r="E544" s="89">
        <v>80</v>
      </c>
      <c r="F544" s="187">
        <v>12</v>
      </c>
      <c r="G544" s="188">
        <v>7.0000000000000007E-2</v>
      </c>
      <c r="H544" s="188">
        <v>0.13</v>
      </c>
      <c r="I544" s="188">
        <v>0.2</v>
      </c>
      <c r="J544" s="188">
        <v>0.66</v>
      </c>
      <c r="K544" s="188">
        <v>0</v>
      </c>
      <c r="L544" s="188">
        <v>0</v>
      </c>
      <c r="M544" s="188">
        <v>0.01</v>
      </c>
      <c r="N544" s="188">
        <v>0.01</v>
      </c>
      <c r="O544" s="188">
        <v>0.5</v>
      </c>
      <c r="P544" s="188">
        <v>0.59</v>
      </c>
      <c r="Q544" s="188">
        <v>0.06</v>
      </c>
      <c r="R544" s="188">
        <v>0.19</v>
      </c>
      <c r="S544" s="188">
        <v>0.01</v>
      </c>
      <c r="T544" s="188">
        <v>0.56000000000000005</v>
      </c>
      <c r="U544" s="188">
        <v>0.63</v>
      </c>
      <c r="V544" s="188">
        <v>0.47</v>
      </c>
      <c r="W544" s="188"/>
      <c r="X544" s="89"/>
      <c r="Y544" s="187"/>
      <c r="Z544" s="187"/>
      <c r="AA544" s="187"/>
      <c r="AB544" s="187"/>
      <c r="AC544" s="187"/>
      <c r="AD544" s="189"/>
      <c r="AE544" s="188"/>
    </row>
    <row r="545" spans="1:31" ht="21.25" customHeight="1" x14ac:dyDescent="0.15">
      <c r="A545" s="10" t="s">
        <v>780</v>
      </c>
      <c r="B545" s="185" t="s">
        <v>866</v>
      </c>
      <c r="C545" s="186">
        <v>23</v>
      </c>
      <c r="D545" s="185" t="s">
        <v>822</v>
      </c>
      <c r="E545" s="89">
        <v>65</v>
      </c>
      <c r="F545" s="187">
        <v>10.4</v>
      </c>
      <c r="G545" s="188">
        <v>0.06</v>
      </c>
      <c r="H545" s="188">
        <v>0.14000000000000001</v>
      </c>
      <c r="I545" s="188">
        <v>0.2</v>
      </c>
      <c r="J545" s="188">
        <v>1.04</v>
      </c>
      <c r="K545" s="188">
        <v>0</v>
      </c>
      <c r="L545" s="188">
        <v>0</v>
      </c>
      <c r="M545" s="188">
        <v>0</v>
      </c>
      <c r="N545" s="188">
        <v>0.01</v>
      </c>
      <c r="O545" s="188">
        <v>0.45</v>
      </c>
      <c r="P545" s="188">
        <v>1.1499999999999999</v>
      </c>
      <c r="Q545" s="188">
        <v>-0.09</v>
      </c>
      <c r="R545" s="188">
        <v>0.21</v>
      </c>
      <c r="S545" s="188">
        <v>0.01</v>
      </c>
      <c r="T545" s="188">
        <v>0</v>
      </c>
      <c r="U545" s="188">
        <v>0.08</v>
      </c>
      <c r="V545" s="188">
        <v>0.06</v>
      </c>
      <c r="W545" s="188"/>
      <c r="X545" s="89"/>
      <c r="Y545" s="187"/>
      <c r="Z545" s="187"/>
      <c r="AA545" s="187"/>
      <c r="AB545" s="187"/>
      <c r="AC545" s="187"/>
      <c r="AD545" s="189"/>
      <c r="AE545" s="188"/>
    </row>
    <row r="546" spans="1:31" ht="21.25" customHeight="1" x14ac:dyDescent="0.15">
      <c r="A546" s="10" t="s">
        <v>781</v>
      </c>
      <c r="B546" s="185" t="s">
        <v>861</v>
      </c>
      <c r="C546" s="186">
        <v>23</v>
      </c>
      <c r="D546" s="185" t="s">
        <v>821</v>
      </c>
      <c r="E546" s="89">
        <v>69</v>
      </c>
      <c r="F546" s="187">
        <v>10</v>
      </c>
      <c r="G546" s="188">
        <v>0.12</v>
      </c>
      <c r="H546" s="188">
        <v>0.08</v>
      </c>
      <c r="I546" s="188">
        <v>0.2</v>
      </c>
      <c r="J546" s="188">
        <v>0.85</v>
      </c>
      <c r="K546" s="188">
        <v>0</v>
      </c>
      <c r="L546" s="188">
        <v>0</v>
      </c>
      <c r="M546" s="188">
        <v>0</v>
      </c>
      <c r="N546" s="188">
        <v>0.01</v>
      </c>
      <c r="O546" s="188">
        <v>0.6</v>
      </c>
      <c r="P546" s="188">
        <v>2.15</v>
      </c>
      <c r="Q546" s="188">
        <v>-0.06</v>
      </c>
      <c r="R546" s="188">
        <v>0.28999999999999998</v>
      </c>
      <c r="S546" s="188">
        <v>0.02</v>
      </c>
      <c r="T546" s="188">
        <v>0.02</v>
      </c>
      <c r="U546" s="188">
        <v>0.15</v>
      </c>
      <c r="V546" s="188">
        <v>0.13</v>
      </c>
      <c r="W546" s="188"/>
      <c r="X546" s="89"/>
      <c r="Y546" s="187"/>
      <c r="Z546" s="187"/>
      <c r="AA546" s="187"/>
      <c r="AB546" s="187"/>
      <c r="AC546" s="187"/>
      <c r="AD546" s="189"/>
      <c r="AE546" s="188"/>
    </row>
    <row r="547" spans="1:31" ht="21.25" customHeight="1" x14ac:dyDescent="0.15">
      <c r="A547" s="10" t="s">
        <v>757</v>
      </c>
      <c r="B547" s="185" t="s">
        <v>853</v>
      </c>
      <c r="C547" s="186">
        <v>26</v>
      </c>
      <c r="D547" s="185" t="s">
        <v>820</v>
      </c>
      <c r="E547" s="89">
        <v>78</v>
      </c>
      <c r="F547" s="187">
        <v>12.4</v>
      </c>
      <c r="G547" s="188">
        <v>7.0000000000000007E-2</v>
      </c>
      <c r="H547" s="188">
        <v>0.13</v>
      </c>
      <c r="I547" s="188">
        <v>0.2</v>
      </c>
      <c r="J547" s="188">
        <v>0.78</v>
      </c>
      <c r="K547" s="188">
        <v>0</v>
      </c>
      <c r="L547" s="188">
        <v>0</v>
      </c>
      <c r="M547" s="188">
        <v>0</v>
      </c>
      <c r="N547" s="188">
        <v>0</v>
      </c>
      <c r="O547" s="188">
        <v>0.57999999999999996</v>
      </c>
      <c r="P547" s="188">
        <v>0.73</v>
      </c>
      <c r="Q547" s="188">
        <v>0</v>
      </c>
      <c r="R547" s="188">
        <v>0.14000000000000001</v>
      </c>
      <c r="S547" s="188">
        <v>0.01</v>
      </c>
      <c r="T547" s="188">
        <v>2.64</v>
      </c>
      <c r="U547" s="188">
        <v>2.82</v>
      </c>
      <c r="V547" s="188">
        <v>0.48</v>
      </c>
      <c r="W547" s="188"/>
      <c r="X547" s="89"/>
      <c r="Y547" s="187"/>
      <c r="Z547" s="187"/>
      <c r="AA547" s="187"/>
      <c r="AB547" s="187"/>
      <c r="AC547" s="187"/>
      <c r="AD547" s="189"/>
      <c r="AE547" s="188"/>
    </row>
    <row r="548" spans="1:31" ht="21.25" customHeight="1" x14ac:dyDescent="0.15">
      <c r="A548" s="10" t="s">
        <v>487</v>
      </c>
      <c r="B548" s="185" t="s">
        <v>866</v>
      </c>
      <c r="C548" s="186">
        <v>28</v>
      </c>
      <c r="D548" s="185" t="s">
        <v>823</v>
      </c>
      <c r="E548" s="89">
        <v>81</v>
      </c>
      <c r="F548" s="187">
        <v>18.5</v>
      </c>
      <c r="G548" s="188">
        <v>0.03</v>
      </c>
      <c r="H548" s="188">
        <v>0.16</v>
      </c>
      <c r="I548" s="188">
        <v>0.2</v>
      </c>
      <c r="J548" s="188">
        <v>0.68</v>
      </c>
      <c r="K548" s="188">
        <v>0</v>
      </c>
      <c r="L548" s="188">
        <v>0</v>
      </c>
      <c r="M548" s="188">
        <v>0</v>
      </c>
      <c r="N548" s="188">
        <v>0.01</v>
      </c>
      <c r="O548" s="188">
        <v>1.55</v>
      </c>
      <c r="P548" s="188">
        <v>0.9</v>
      </c>
      <c r="Q548" s="188">
        <v>-0.11</v>
      </c>
      <c r="R548" s="188">
        <v>0.55000000000000004</v>
      </c>
      <c r="S548" s="188">
        <v>0</v>
      </c>
      <c r="T548" s="188">
        <v>0</v>
      </c>
      <c r="U548" s="188">
        <v>0.01</v>
      </c>
      <c r="V548" s="188">
        <v>0</v>
      </c>
      <c r="W548" s="188"/>
      <c r="X548" s="89"/>
      <c r="Y548" s="187"/>
      <c r="Z548" s="187"/>
      <c r="AA548" s="187"/>
      <c r="AB548" s="187"/>
      <c r="AC548" s="187"/>
      <c r="AD548" s="189"/>
      <c r="AE548" s="188"/>
    </row>
    <row r="549" spans="1:31" ht="21.25" customHeight="1" x14ac:dyDescent="0.15">
      <c r="A549" s="10" t="s">
        <v>769</v>
      </c>
      <c r="B549" s="185" t="s">
        <v>843</v>
      </c>
      <c r="C549" s="186">
        <v>33</v>
      </c>
      <c r="D549" s="185" t="s">
        <v>842</v>
      </c>
      <c r="E549" s="89">
        <v>75</v>
      </c>
      <c r="F549" s="187">
        <v>11.5</v>
      </c>
      <c r="G549" s="188">
        <v>0.06</v>
      </c>
      <c r="H549" s="188">
        <v>0.13</v>
      </c>
      <c r="I549" s="188">
        <v>0.2</v>
      </c>
      <c r="J549" s="188">
        <v>0.94</v>
      </c>
      <c r="K549" s="188">
        <v>0</v>
      </c>
      <c r="L549" s="188">
        <v>0</v>
      </c>
      <c r="M549" s="188">
        <v>0.01</v>
      </c>
      <c r="N549" s="188">
        <v>0.01</v>
      </c>
      <c r="O549" s="188">
        <v>0.48</v>
      </c>
      <c r="P549" s="188">
        <v>1.57</v>
      </c>
      <c r="Q549" s="188">
        <v>0.05</v>
      </c>
      <c r="R549" s="188">
        <v>0.31</v>
      </c>
      <c r="S549" s="188">
        <v>0.01</v>
      </c>
      <c r="T549" s="188">
        <v>1.73</v>
      </c>
      <c r="U549" s="188">
        <v>2.0499999999999998</v>
      </c>
      <c r="V549" s="188">
        <v>0.46</v>
      </c>
      <c r="W549" s="188"/>
      <c r="X549" s="89"/>
      <c r="Y549" s="187"/>
      <c r="Z549" s="187"/>
      <c r="AA549" s="187"/>
      <c r="AB549" s="187"/>
      <c r="AC549" s="187"/>
      <c r="AD549" s="189"/>
      <c r="AE549" s="188"/>
    </row>
    <row r="550" spans="1:31" ht="21.25" customHeight="1" x14ac:dyDescent="0.15">
      <c r="A550" s="10" t="s">
        <v>453</v>
      </c>
      <c r="B550" s="185" t="s">
        <v>832</v>
      </c>
      <c r="C550" s="186">
        <v>33</v>
      </c>
      <c r="D550" s="185" t="s">
        <v>823</v>
      </c>
      <c r="E550" s="89">
        <v>78</v>
      </c>
      <c r="F550" s="187">
        <v>19.2</v>
      </c>
      <c r="G550" s="188">
        <v>0.03</v>
      </c>
      <c r="H550" s="188">
        <v>0.18</v>
      </c>
      <c r="I550" s="188">
        <v>0.21</v>
      </c>
      <c r="J550" s="188">
        <v>0.96</v>
      </c>
      <c r="K550" s="188">
        <v>0</v>
      </c>
      <c r="L550" s="188">
        <v>0</v>
      </c>
      <c r="M550" s="188">
        <v>0</v>
      </c>
      <c r="N550" s="188">
        <v>0.01</v>
      </c>
      <c r="O550" s="188">
        <v>1.95</v>
      </c>
      <c r="P550" s="188">
        <v>1.37</v>
      </c>
      <c r="Q550" s="188">
        <v>7.0000000000000007E-2</v>
      </c>
      <c r="R550" s="188">
        <v>0.78</v>
      </c>
      <c r="S550" s="188">
        <v>0</v>
      </c>
      <c r="T550" s="188">
        <v>0</v>
      </c>
      <c r="U550" s="188">
        <v>0</v>
      </c>
      <c r="V550" s="188">
        <v>0</v>
      </c>
      <c r="W550" s="188"/>
      <c r="X550" s="89"/>
      <c r="Y550" s="187"/>
      <c r="Z550" s="187"/>
      <c r="AA550" s="187"/>
      <c r="AB550" s="187"/>
      <c r="AC550" s="187"/>
      <c r="AD550" s="189"/>
      <c r="AE550" s="188"/>
    </row>
    <row r="551" spans="1:31" ht="21.25" customHeight="1" x14ac:dyDescent="0.15">
      <c r="A551" s="10" t="s">
        <v>789</v>
      </c>
      <c r="B551" s="185" t="s">
        <v>860</v>
      </c>
      <c r="C551" s="186">
        <v>23</v>
      </c>
      <c r="D551" s="185" t="s">
        <v>822</v>
      </c>
      <c r="E551" s="89">
        <v>62</v>
      </c>
      <c r="F551" s="187">
        <v>9.1999999999999993</v>
      </c>
      <c r="G551" s="188">
        <v>0.1</v>
      </c>
      <c r="H551" s="188">
        <v>0.09</v>
      </c>
      <c r="I551" s="188">
        <v>0.19</v>
      </c>
      <c r="J551" s="188">
        <v>0.81</v>
      </c>
      <c r="K551" s="188">
        <v>0</v>
      </c>
      <c r="L551" s="188">
        <v>0</v>
      </c>
      <c r="M551" s="188">
        <v>0</v>
      </c>
      <c r="N551" s="188">
        <v>0</v>
      </c>
      <c r="O551" s="188">
        <v>0.5</v>
      </c>
      <c r="P551" s="188">
        <v>1.82</v>
      </c>
      <c r="Q551" s="188">
        <v>0</v>
      </c>
      <c r="R551" s="188">
        <v>0.27</v>
      </c>
      <c r="S551" s="188">
        <v>0.02</v>
      </c>
      <c r="T551" s="188">
        <v>0</v>
      </c>
      <c r="U551" s="188">
        <v>0.14000000000000001</v>
      </c>
      <c r="V551" s="188">
        <v>0</v>
      </c>
      <c r="W551" s="188"/>
      <c r="X551" s="89"/>
      <c r="Y551" s="187"/>
      <c r="Z551" s="187"/>
      <c r="AA551" s="187"/>
      <c r="AB551" s="187"/>
      <c r="AC551" s="187"/>
      <c r="AD551" s="189"/>
      <c r="AE551" s="188"/>
    </row>
    <row r="552" spans="1:31" ht="21.25" customHeight="1" x14ac:dyDescent="0.15">
      <c r="A552" s="10" t="s">
        <v>483</v>
      </c>
      <c r="B552" s="185" t="s">
        <v>845</v>
      </c>
      <c r="C552" s="186">
        <v>32</v>
      </c>
      <c r="D552" s="185" t="s">
        <v>823</v>
      </c>
      <c r="E552" s="89">
        <v>84</v>
      </c>
      <c r="F552" s="187">
        <v>17.7</v>
      </c>
      <c r="G552" s="188">
        <v>0.03</v>
      </c>
      <c r="H552" s="188">
        <v>0.16</v>
      </c>
      <c r="I552" s="188">
        <v>0.19</v>
      </c>
      <c r="J552" s="188">
        <v>0.78</v>
      </c>
      <c r="K552" s="188">
        <v>0</v>
      </c>
      <c r="L552" s="188">
        <v>0</v>
      </c>
      <c r="M552" s="188">
        <v>0</v>
      </c>
      <c r="N552" s="188">
        <v>0.01</v>
      </c>
      <c r="O552" s="188">
        <v>1.41</v>
      </c>
      <c r="P552" s="188">
        <v>0.72</v>
      </c>
      <c r="Q552" s="188">
        <v>-0.03</v>
      </c>
      <c r="R552" s="188">
        <v>0.24</v>
      </c>
      <c r="S552" s="188">
        <v>0</v>
      </c>
      <c r="T552" s="188">
        <v>0</v>
      </c>
      <c r="U552" s="188">
        <v>0</v>
      </c>
      <c r="V552" s="188">
        <v>0</v>
      </c>
      <c r="W552" s="188"/>
      <c r="X552" s="89"/>
      <c r="Y552" s="187"/>
      <c r="Z552" s="187"/>
      <c r="AA552" s="187"/>
      <c r="AB552" s="187"/>
      <c r="AC552" s="187"/>
      <c r="AD552" s="189"/>
      <c r="AE552" s="188"/>
    </row>
    <row r="553" spans="1:31" ht="21.25" customHeight="1" x14ac:dyDescent="0.15">
      <c r="A553" s="10" t="s">
        <v>721</v>
      </c>
      <c r="B553" s="185" t="s">
        <v>838</v>
      </c>
      <c r="C553" s="186">
        <v>34</v>
      </c>
      <c r="D553" s="185" t="s">
        <v>820</v>
      </c>
      <c r="E553" s="89">
        <v>78</v>
      </c>
      <c r="F553" s="187">
        <v>10.9</v>
      </c>
      <c r="G553" s="188">
        <v>0.09</v>
      </c>
      <c r="H553" s="188">
        <v>0.1</v>
      </c>
      <c r="I553" s="188">
        <v>0.19</v>
      </c>
      <c r="J553" s="188">
        <v>1.25</v>
      </c>
      <c r="K553" s="188">
        <v>0</v>
      </c>
      <c r="L553" s="188">
        <v>0</v>
      </c>
      <c r="M553" s="188">
        <v>0.01</v>
      </c>
      <c r="N553" s="188">
        <v>0.01</v>
      </c>
      <c r="O553" s="188">
        <v>0.48</v>
      </c>
      <c r="P553" s="188">
        <v>1.57</v>
      </c>
      <c r="Q553" s="188">
        <v>-0.01</v>
      </c>
      <c r="R553" s="188">
        <v>0.36</v>
      </c>
      <c r="S553" s="188">
        <v>0.02</v>
      </c>
      <c r="T553" s="188">
        <v>3.35</v>
      </c>
      <c r="U553" s="188">
        <v>3.51</v>
      </c>
      <c r="V553" s="188">
        <v>0.49</v>
      </c>
      <c r="W553" s="188"/>
      <c r="X553" s="89"/>
      <c r="Y553" s="187"/>
      <c r="Z553" s="187"/>
      <c r="AA553" s="187"/>
      <c r="AB553" s="187"/>
      <c r="AC553" s="187"/>
      <c r="AD553" s="189"/>
      <c r="AE553" s="188"/>
    </row>
    <row r="554" spans="1:31" ht="21.25" customHeight="1" x14ac:dyDescent="0.15">
      <c r="A554" s="10" t="s">
        <v>771</v>
      </c>
      <c r="B554" s="185" t="s">
        <v>840</v>
      </c>
      <c r="C554" s="186">
        <v>31</v>
      </c>
      <c r="D554" s="185" t="s">
        <v>820</v>
      </c>
      <c r="E554" s="89">
        <v>74</v>
      </c>
      <c r="F554" s="187">
        <v>10.5</v>
      </c>
      <c r="G554" s="188">
        <v>0.09</v>
      </c>
      <c r="H554" s="188">
        <v>0.11</v>
      </c>
      <c r="I554" s="188">
        <v>0.2</v>
      </c>
      <c r="J554" s="188">
        <v>0.81</v>
      </c>
      <c r="K554" s="188">
        <v>0</v>
      </c>
      <c r="L554" s="188">
        <v>0</v>
      </c>
      <c r="M554" s="188">
        <v>0.01</v>
      </c>
      <c r="N554" s="188">
        <v>0.01</v>
      </c>
      <c r="O554" s="188">
        <v>0.45</v>
      </c>
      <c r="P554" s="188">
        <v>1.38</v>
      </c>
      <c r="Q554" s="188">
        <v>0.02</v>
      </c>
      <c r="R554" s="188">
        <v>0.26</v>
      </c>
      <c r="S554" s="188">
        <v>0.01</v>
      </c>
      <c r="T554" s="188">
        <v>4.47</v>
      </c>
      <c r="U554" s="188">
        <v>3.25</v>
      </c>
      <c r="V554" s="188">
        <v>0.57999999999999996</v>
      </c>
      <c r="W554" s="188"/>
      <c r="X554" s="89"/>
      <c r="Y554" s="187"/>
      <c r="Z554" s="187"/>
      <c r="AA554" s="187"/>
      <c r="AB554" s="187"/>
      <c r="AC554" s="187"/>
      <c r="AD554" s="189"/>
      <c r="AE554" s="188"/>
    </row>
    <row r="555" spans="1:31" ht="21.25" customHeight="1" x14ac:dyDescent="0.15">
      <c r="A555" s="10" t="s">
        <v>775</v>
      </c>
      <c r="B555" s="185" t="s">
        <v>845</v>
      </c>
      <c r="C555" s="186">
        <v>23</v>
      </c>
      <c r="D555" s="185" t="s">
        <v>820</v>
      </c>
      <c r="E555" s="89">
        <v>71</v>
      </c>
      <c r="F555" s="187">
        <v>9.4</v>
      </c>
      <c r="G555" s="188">
        <v>0.1</v>
      </c>
      <c r="H555" s="188">
        <v>0.09</v>
      </c>
      <c r="I555" s="188">
        <v>0.19</v>
      </c>
      <c r="J555" s="188">
        <v>0.81</v>
      </c>
      <c r="K555" s="188">
        <v>0</v>
      </c>
      <c r="L555" s="188">
        <v>0</v>
      </c>
      <c r="M555" s="188">
        <v>0</v>
      </c>
      <c r="N555" s="188">
        <v>0</v>
      </c>
      <c r="O555" s="188">
        <v>0.39</v>
      </c>
      <c r="P555" s="188">
        <v>2.83</v>
      </c>
      <c r="Q555" s="188">
        <v>-0.02</v>
      </c>
      <c r="R555" s="188">
        <v>0.49</v>
      </c>
      <c r="S555" s="188">
        <v>0.02</v>
      </c>
      <c r="T555" s="188">
        <v>2.61</v>
      </c>
      <c r="U555" s="188">
        <v>3.08</v>
      </c>
      <c r="V555" s="188">
        <v>0.46</v>
      </c>
      <c r="W555" s="188"/>
      <c r="X555" s="89"/>
      <c r="Y555" s="187"/>
      <c r="Z555" s="187"/>
      <c r="AA555" s="187"/>
      <c r="AB555" s="187"/>
      <c r="AC555" s="187"/>
      <c r="AD555" s="189"/>
      <c r="AE555" s="188"/>
    </row>
    <row r="556" spans="1:31" ht="21.25" customHeight="1" x14ac:dyDescent="0.15">
      <c r="A556" s="10" t="s">
        <v>583</v>
      </c>
      <c r="B556" s="185" t="s">
        <v>854</v>
      </c>
      <c r="C556" s="186">
        <v>26</v>
      </c>
      <c r="D556" s="185" t="s">
        <v>823</v>
      </c>
      <c r="E556" s="89">
        <v>70</v>
      </c>
      <c r="F556" s="187">
        <v>14.2</v>
      </c>
      <c r="G556" s="188">
        <v>0.05</v>
      </c>
      <c r="H556" s="188">
        <v>0.14000000000000001</v>
      </c>
      <c r="I556" s="188">
        <v>0.19</v>
      </c>
      <c r="J556" s="188">
        <v>0.9</v>
      </c>
      <c r="K556" s="188">
        <v>0</v>
      </c>
      <c r="L556" s="188">
        <v>0</v>
      </c>
      <c r="M556" s="188">
        <v>0</v>
      </c>
      <c r="N556" s="188">
        <v>0</v>
      </c>
      <c r="O556" s="188">
        <v>0.87</v>
      </c>
      <c r="P556" s="188">
        <v>1.46</v>
      </c>
      <c r="Q556" s="188">
        <v>-0.03</v>
      </c>
      <c r="R556" s="188">
        <v>0.92</v>
      </c>
      <c r="S556" s="188">
        <v>0.01</v>
      </c>
      <c r="T556" s="188">
        <v>0</v>
      </c>
      <c r="U556" s="188">
        <v>0</v>
      </c>
      <c r="V556" s="188">
        <v>0</v>
      </c>
      <c r="W556" s="188"/>
      <c r="X556" s="89"/>
      <c r="Y556" s="187"/>
      <c r="Z556" s="187"/>
      <c r="AA556" s="187"/>
      <c r="AB556" s="187"/>
      <c r="AC556" s="187"/>
      <c r="AD556" s="189"/>
      <c r="AE556" s="188"/>
    </row>
    <row r="557" spans="1:31" ht="21.25" customHeight="1" x14ac:dyDescent="0.15">
      <c r="A557" s="10" t="s">
        <v>456</v>
      </c>
      <c r="B557" s="185" t="s">
        <v>834</v>
      </c>
      <c r="C557" s="186">
        <v>32</v>
      </c>
      <c r="D557" s="185" t="s">
        <v>823</v>
      </c>
      <c r="E557" s="89">
        <v>84</v>
      </c>
      <c r="F557" s="187">
        <v>18.8</v>
      </c>
      <c r="G557" s="188">
        <v>0.03</v>
      </c>
      <c r="H557" s="188">
        <v>0.16</v>
      </c>
      <c r="I557" s="188">
        <v>0.19</v>
      </c>
      <c r="J557" s="188">
        <v>1.1399999999999999</v>
      </c>
      <c r="K557" s="188">
        <v>0</v>
      </c>
      <c r="L557" s="188">
        <v>0</v>
      </c>
      <c r="M557" s="188">
        <v>0</v>
      </c>
      <c r="N557" s="188">
        <v>0</v>
      </c>
      <c r="O557" s="188">
        <v>1.3</v>
      </c>
      <c r="P557" s="188">
        <v>0.44</v>
      </c>
      <c r="Q557" s="188">
        <v>0.05</v>
      </c>
      <c r="R557" s="188">
        <v>0.39</v>
      </c>
      <c r="S557" s="188">
        <v>0</v>
      </c>
      <c r="T557" s="188">
        <v>0</v>
      </c>
      <c r="U557" s="188">
        <v>0</v>
      </c>
      <c r="V557" s="188">
        <v>0</v>
      </c>
      <c r="W557" s="188"/>
      <c r="X557" s="89"/>
      <c r="Y557" s="187"/>
      <c r="Z557" s="187"/>
      <c r="AA557" s="187"/>
      <c r="AB557" s="187"/>
      <c r="AC557" s="187"/>
      <c r="AD557" s="189"/>
      <c r="AE557" s="188"/>
    </row>
    <row r="558" spans="1:31" ht="21.25" customHeight="1" x14ac:dyDescent="0.15">
      <c r="A558" s="10" t="s">
        <v>586</v>
      </c>
      <c r="B558" s="185" t="s">
        <v>838</v>
      </c>
      <c r="C558" s="186">
        <v>26</v>
      </c>
      <c r="D558" s="185" t="s">
        <v>823</v>
      </c>
      <c r="E558" s="89">
        <v>67</v>
      </c>
      <c r="F558" s="187">
        <v>15.3</v>
      </c>
      <c r="G558" s="188">
        <v>0.03</v>
      </c>
      <c r="H558" s="188">
        <v>0.16</v>
      </c>
      <c r="I558" s="188">
        <v>0.19</v>
      </c>
      <c r="J558" s="188">
        <v>0.86</v>
      </c>
      <c r="K558" s="188">
        <v>0</v>
      </c>
      <c r="L558" s="188">
        <v>0</v>
      </c>
      <c r="M558" s="188">
        <v>0</v>
      </c>
      <c r="N558" s="188">
        <v>0</v>
      </c>
      <c r="O558" s="188">
        <v>1.05</v>
      </c>
      <c r="P558" s="188">
        <v>0.72</v>
      </c>
      <c r="Q558" s="188">
        <v>-0.01</v>
      </c>
      <c r="R558" s="188">
        <v>0.24</v>
      </c>
      <c r="S558" s="188">
        <v>0</v>
      </c>
      <c r="T558" s="188">
        <v>0</v>
      </c>
      <c r="U558" s="188">
        <v>0</v>
      </c>
      <c r="V558" s="188">
        <v>0</v>
      </c>
      <c r="W558" s="188"/>
      <c r="X558" s="89"/>
      <c r="Y558" s="187"/>
      <c r="Z558" s="187"/>
      <c r="AA558" s="187"/>
      <c r="AB558" s="187"/>
      <c r="AC558" s="187"/>
      <c r="AD558" s="189"/>
      <c r="AE558" s="188"/>
    </row>
    <row r="559" spans="1:31" ht="21.25" customHeight="1" x14ac:dyDescent="0.15">
      <c r="A559" s="10" t="s">
        <v>411</v>
      </c>
      <c r="B559" s="185" t="s">
        <v>864</v>
      </c>
      <c r="C559" s="186">
        <v>33</v>
      </c>
      <c r="D559" s="185" t="s">
        <v>823</v>
      </c>
      <c r="E559" s="89">
        <v>83</v>
      </c>
      <c r="F559" s="187">
        <v>20.9</v>
      </c>
      <c r="G559" s="188">
        <v>0.03</v>
      </c>
      <c r="H559" s="188">
        <v>0.17</v>
      </c>
      <c r="I559" s="188">
        <v>0.2</v>
      </c>
      <c r="J559" s="188">
        <v>1.06</v>
      </c>
      <c r="K559" s="188">
        <v>0</v>
      </c>
      <c r="L559" s="188">
        <v>0</v>
      </c>
      <c r="M559" s="188">
        <v>0</v>
      </c>
      <c r="N559" s="188">
        <v>0</v>
      </c>
      <c r="O559" s="188">
        <v>1.88</v>
      </c>
      <c r="P559" s="188">
        <v>1.45</v>
      </c>
      <c r="Q559" s="188">
        <v>-0.11</v>
      </c>
      <c r="R559" s="188">
        <v>0.48</v>
      </c>
      <c r="S559" s="188">
        <v>0</v>
      </c>
      <c r="T559" s="188">
        <v>0</v>
      </c>
      <c r="U559" s="188">
        <v>0</v>
      </c>
      <c r="V559" s="188">
        <v>0</v>
      </c>
      <c r="W559" s="188"/>
      <c r="X559" s="89"/>
      <c r="Y559" s="187"/>
      <c r="Z559" s="187"/>
      <c r="AA559" s="187"/>
      <c r="AB559" s="187"/>
      <c r="AC559" s="187"/>
      <c r="AD559" s="189"/>
      <c r="AE559" s="188"/>
    </row>
    <row r="560" spans="1:31" ht="21.25" customHeight="1" x14ac:dyDescent="0.15">
      <c r="A560" s="10" t="s">
        <v>562</v>
      </c>
      <c r="B560" s="185" t="s">
        <v>861</v>
      </c>
      <c r="C560" s="186">
        <v>24</v>
      </c>
      <c r="D560" s="185" t="s">
        <v>823</v>
      </c>
      <c r="E560" s="89">
        <v>73</v>
      </c>
      <c r="F560" s="187">
        <v>14.6</v>
      </c>
      <c r="G560" s="188">
        <v>0.05</v>
      </c>
      <c r="H560" s="188">
        <v>0.14000000000000001</v>
      </c>
      <c r="I560" s="188">
        <v>0.19</v>
      </c>
      <c r="J560" s="188">
        <v>0.8</v>
      </c>
      <c r="K560" s="188">
        <v>0</v>
      </c>
      <c r="L560" s="188">
        <v>0.01</v>
      </c>
      <c r="M560" s="188">
        <v>0</v>
      </c>
      <c r="N560" s="188">
        <v>0</v>
      </c>
      <c r="O560" s="188">
        <v>1.1200000000000001</v>
      </c>
      <c r="P560" s="188">
        <v>0.97</v>
      </c>
      <c r="Q560" s="188">
        <v>-0.04</v>
      </c>
      <c r="R560" s="188">
        <v>0.32</v>
      </c>
      <c r="S560" s="188">
        <v>0.01</v>
      </c>
      <c r="T560" s="188">
        <v>0</v>
      </c>
      <c r="U560" s="188">
        <v>0</v>
      </c>
      <c r="V560" s="188">
        <v>0</v>
      </c>
      <c r="W560" s="188"/>
      <c r="X560" s="89"/>
      <c r="Y560" s="187"/>
      <c r="Z560" s="187"/>
      <c r="AA560" s="187"/>
      <c r="AB560" s="187"/>
      <c r="AC560" s="187"/>
      <c r="AD560" s="189"/>
      <c r="AE560" s="188"/>
    </row>
    <row r="561" spans="1:31" ht="21.25" customHeight="1" x14ac:dyDescent="0.15">
      <c r="A561" s="10" t="s">
        <v>725</v>
      </c>
      <c r="B561" s="185" t="s">
        <v>858</v>
      </c>
      <c r="C561" s="186">
        <v>34</v>
      </c>
      <c r="D561" s="185" t="s">
        <v>820</v>
      </c>
      <c r="E561" s="89">
        <v>82</v>
      </c>
      <c r="F561" s="187">
        <v>11.1</v>
      </c>
      <c r="G561" s="188">
        <v>0.08</v>
      </c>
      <c r="H561" s="188">
        <v>0.1</v>
      </c>
      <c r="I561" s="188">
        <v>0.19</v>
      </c>
      <c r="J561" s="188">
        <v>1.01</v>
      </c>
      <c r="K561" s="188">
        <v>0</v>
      </c>
      <c r="L561" s="188">
        <v>0</v>
      </c>
      <c r="M561" s="188">
        <v>0.01</v>
      </c>
      <c r="N561" s="188">
        <v>0.02</v>
      </c>
      <c r="O561" s="188">
        <v>0.51</v>
      </c>
      <c r="P561" s="188">
        <v>1.58</v>
      </c>
      <c r="Q561" s="188">
        <v>0.01</v>
      </c>
      <c r="R561" s="188">
        <v>0.7</v>
      </c>
      <c r="S561" s="188">
        <v>0.01</v>
      </c>
      <c r="T561" s="188">
        <v>4.41</v>
      </c>
      <c r="U561" s="188">
        <v>3.72</v>
      </c>
      <c r="V561" s="188">
        <v>0.54</v>
      </c>
      <c r="W561" s="188"/>
      <c r="X561" s="89"/>
      <c r="Y561" s="187"/>
      <c r="Z561" s="187"/>
      <c r="AA561" s="187"/>
      <c r="AB561" s="187"/>
      <c r="AC561" s="187"/>
      <c r="AD561" s="189"/>
      <c r="AE561" s="188"/>
    </row>
    <row r="562" spans="1:31" ht="21.25" customHeight="1" x14ac:dyDescent="0.15">
      <c r="A562" s="10" t="s">
        <v>546</v>
      </c>
      <c r="B562" s="185" t="s">
        <v>847</v>
      </c>
      <c r="C562" s="186">
        <v>22</v>
      </c>
      <c r="D562" s="185" t="s">
        <v>823</v>
      </c>
      <c r="E562" s="89">
        <v>74</v>
      </c>
      <c r="F562" s="187">
        <v>16.100000000000001</v>
      </c>
      <c r="G562" s="188">
        <v>0.04</v>
      </c>
      <c r="H562" s="188">
        <v>0.15</v>
      </c>
      <c r="I562" s="188">
        <v>0.19</v>
      </c>
      <c r="J562" s="188">
        <v>1.03</v>
      </c>
      <c r="K562" s="188">
        <v>0</v>
      </c>
      <c r="L562" s="188">
        <v>0.02</v>
      </c>
      <c r="M562" s="188">
        <v>0</v>
      </c>
      <c r="N562" s="188">
        <v>0</v>
      </c>
      <c r="O562" s="188">
        <v>0.96</v>
      </c>
      <c r="P562" s="188">
        <v>1.23</v>
      </c>
      <c r="Q562" s="188">
        <v>0.01</v>
      </c>
      <c r="R562" s="188">
        <v>0.36</v>
      </c>
      <c r="S562" s="188">
        <v>0.01</v>
      </c>
      <c r="T562" s="188">
        <v>0</v>
      </c>
      <c r="U562" s="188">
        <v>0</v>
      </c>
      <c r="V562" s="188">
        <v>0</v>
      </c>
      <c r="W562" s="188"/>
      <c r="X562" s="89"/>
      <c r="Y562" s="187"/>
      <c r="Z562" s="187"/>
      <c r="AA562" s="187"/>
      <c r="AB562" s="187"/>
      <c r="AC562" s="187"/>
      <c r="AD562" s="189"/>
      <c r="AE562" s="188"/>
    </row>
    <row r="563" spans="1:31" ht="21.25" customHeight="1" x14ac:dyDescent="0.15">
      <c r="A563" s="10" t="s">
        <v>486</v>
      </c>
      <c r="B563" s="185" t="s">
        <v>845</v>
      </c>
      <c r="C563" s="186">
        <v>33</v>
      </c>
      <c r="D563" s="185" t="s">
        <v>823</v>
      </c>
      <c r="E563" s="89">
        <v>80</v>
      </c>
      <c r="F563" s="187">
        <v>18.600000000000001</v>
      </c>
      <c r="G563" s="188">
        <v>0.02</v>
      </c>
      <c r="H563" s="188">
        <v>0.16</v>
      </c>
      <c r="I563" s="188">
        <v>0.18</v>
      </c>
      <c r="J563" s="188">
        <v>1</v>
      </c>
      <c r="K563" s="188">
        <v>0</v>
      </c>
      <c r="L563" s="188">
        <v>0</v>
      </c>
      <c r="M563" s="188">
        <v>0</v>
      </c>
      <c r="N563" s="188">
        <v>0</v>
      </c>
      <c r="O563" s="188">
        <v>1.38</v>
      </c>
      <c r="P563" s="188">
        <v>1.22</v>
      </c>
      <c r="Q563" s="188">
        <v>0</v>
      </c>
      <c r="R563" s="188">
        <v>0.36</v>
      </c>
      <c r="S563" s="188">
        <v>0</v>
      </c>
      <c r="T563" s="188">
        <v>0</v>
      </c>
      <c r="U563" s="188">
        <v>0</v>
      </c>
      <c r="V563" s="188">
        <v>0</v>
      </c>
      <c r="W563" s="188"/>
      <c r="X563" s="89"/>
      <c r="Y563" s="187"/>
      <c r="Z563" s="187"/>
      <c r="AA563" s="187"/>
      <c r="AB563" s="187"/>
      <c r="AC563" s="187"/>
      <c r="AD563" s="189"/>
      <c r="AE563" s="188"/>
    </row>
    <row r="564" spans="1:31" ht="21.25" customHeight="1" x14ac:dyDescent="0.15">
      <c r="A564" s="10" t="s">
        <v>785</v>
      </c>
      <c r="B564" s="185" t="s">
        <v>838</v>
      </c>
      <c r="C564" s="186">
        <v>27</v>
      </c>
      <c r="D564" s="185" t="s">
        <v>835</v>
      </c>
      <c r="E564" s="89">
        <v>78</v>
      </c>
      <c r="F564" s="187">
        <v>9.6</v>
      </c>
      <c r="G564" s="188">
        <v>0.08</v>
      </c>
      <c r="H564" s="188">
        <v>0.11</v>
      </c>
      <c r="I564" s="188">
        <v>0.18</v>
      </c>
      <c r="J564" s="188">
        <v>0.76</v>
      </c>
      <c r="K564" s="188">
        <v>0</v>
      </c>
      <c r="L564" s="188">
        <v>0</v>
      </c>
      <c r="M564" s="188">
        <v>0</v>
      </c>
      <c r="N564" s="188">
        <v>0</v>
      </c>
      <c r="O564" s="188">
        <v>0.35</v>
      </c>
      <c r="P564" s="188">
        <v>1.71</v>
      </c>
      <c r="Q564" s="188">
        <v>-0.01</v>
      </c>
      <c r="R564" s="188">
        <v>0.18</v>
      </c>
      <c r="S564" s="188">
        <v>0.01</v>
      </c>
      <c r="T564" s="188">
        <v>0.55000000000000004</v>
      </c>
      <c r="U564" s="188">
        <v>0.95</v>
      </c>
      <c r="V564" s="188">
        <v>0.37</v>
      </c>
      <c r="W564" s="188"/>
      <c r="X564" s="89"/>
      <c r="Y564" s="187"/>
      <c r="Z564" s="187"/>
      <c r="AA564" s="187"/>
      <c r="AB564" s="187"/>
      <c r="AC564" s="187"/>
      <c r="AD564" s="189"/>
      <c r="AE564" s="188"/>
    </row>
    <row r="565" spans="1:31" ht="21.25" customHeight="1" x14ac:dyDescent="0.15">
      <c r="A565" s="10" t="s">
        <v>520</v>
      </c>
      <c r="B565" s="185" t="s">
        <v>841</v>
      </c>
      <c r="C565" s="186">
        <v>36</v>
      </c>
      <c r="D565" s="185" t="s">
        <v>823</v>
      </c>
      <c r="E565" s="89">
        <v>70</v>
      </c>
      <c r="F565" s="187">
        <v>19.600000000000001</v>
      </c>
      <c r="G565" s="188">
        <v>0</v>
      </c>
      <c r="H565" s="188">
        <v>0.18</v>
      </c>
      <c r="I565" s="188">
        <v>0.18</v>
      </c>
      <c r="J565" s="188">
        <v>0.5</v>
      </c>
      <c r="K565" s="188">
        <v>0</v>
      </c>
      <c r="L565" s="188">
        <v>0</v>
      </c>
      <c r="M565" s="188">
        <v>0</v>
      </c>
      <c r="N565" s="188">
        <v>0.01</v>
      </c>
      <c r="O565" s="188">
        <v>2.02</v>
      </c>
      <c r="P565" s="188">
        <v>0.56999999999999995</v>
      </c>
      <c r="Q565" s="188">
        <v>0.03</v>
      </c>
      <c r="R565" s="188">
        <v>0.35</v>
      </c>
      <c r="S565" s="188">
        <v>0</v>
      </c>
      <c r="T565" s="188">
        <v>0</v>
      </c>
      <c r="U565" s="188">
        <v>0</v>
      </c>
      <c r="V565" s="188">
        <v>0</v>
      </c>
      <c r="W565" s="188"/>
      <c r="X565" s="89"/>
      <c r="Y565" s="187"/>
      <c r="Z565" s="187"/>
      <c r="AA565" s="187"/>
      <c r="AB565" s="187"/>
      <c r="AC565" s="187"/>
      <c r="AD565" s="189"/>
      <c r="AE565" s="188"/>
    </row>
    <row r="566" spans="1:31" ht="21.25" customHeight="1" x14ac:dyDescent="0.15">
      <c r="A566" s="10" t="s">
        <v>778</v>
      </c>
      <c r="B566" s="185" t="s">
        <v>855</v>
      </c>
      <c r="C566" s="186">
        <v>25</v>
      </c>
      <c r="D566" s="185" t="s">
        <v>820</v>
      </c>
      <c r="E566" s="89">
        <v>61</v>
      </c>
      <c r="F566" s="187">
        <v>12.2</v>
      </c>
      <c r="G566" s="188">
        <v>0.08</v>
      </c>
      <c r="H566" s="188">
        <v>0.1</v>
      </c>
      <c r="I566" s="188">
        <v>0.18</v>
      </c>
      <c r="J566" s="188">
        <v>0.91</v>
      </c>
      <c r="K566" s="188">
        <v>0</v>
      </c>
      <c r="L566" s="188">
        <v>0</v>
      </c>
      <c r="M566" s="188">
        <v>0</v>
      </c>
      <c r="N566" s="188">
        <v>0.01</v>
      </c>
      <c r="O566" s="188">
        <v>0.61</v>
      </c>
      <c r="P566" s="188">
        <v>2.06</v>
      </c>
      <c r="Q566" s="188">
        <v>-0.05</v>
      </c>
      <c r="R566" s="188">
        <v>0.32</v>
      </c>
      <c r="S566" s="188">
        <v>0.01</v>
      </c>
      <c r="T566" s="188">
        <v>5.75</v>
      </c>
      <c r="U566" s="188">
        <v>4.24</v>
      </c>
      <c r="V566" s="188">
        <v>0.57999999999999996</v>
      </c>
      <c r="W566" s="188"/>
      <c r="X566" s="89"/>
      <c r="Y566" s="187"/>
      <c r="Z566" s="187"/>
      <c r="AA566" s="187"/>
      <c r="AB566" s="187"/>
      <c r="AC566" s="187"/>
      <c r="AD566" s="189"/>
      <c r="AE566" s="188"/>
    </row>
    <row r="567" spans="1:31" ht="21.25" customHeight="1" x14ac:dyDescent="0.15">
      <c r="A567" s="10" t="s">
        <v>549</v>
      </c>
      <c r="B567" s="185" t="s">
        <v>849</v>
      </c>
      <c r="C567" s="186">
        <v>35</v>
      </c>
      <c r="D567" s="185" t="s">
        <v>823</v>
      </c>
      <c r="E567" s="89">
        <v>78</v>
      </c>
      <c r="F567" s="187">
        <v>17.3</v>
      </c>
      <c r="G567" s="188">
        <v>0.03</v>
      </c>
      <c r="H567" s="188">
        <v>0.15</v>
      </c>
      <c r="I567" s="188">
        <v>0.18</v>
      </c>
      <c r="J567" s="188">
        <v>0.84</v>
      </c>
      <c r="K567" s="188">
        <v>0</v>
      </c>
      <c r="L567" s="188">
        <v>0</v>
      </c>
      <c r="M567" s="188">
        <v>0</v>
      </c>
      <c r="N567" s="188">
        <v>0</v>
      </c>
      <c r="O567" s="188">
        <v>1.05</v>
      </c>
      <c r="P567" s="188">
        <v>1.33</v>
      </c>
      <c r="Q567" s="188">
        <v>0.04</v>
      </c>
      <c r="R567" s="188">
        <v>0.45</v>
      </c>
      <c r="S567" s="188">
        <v>0.01</v>
      </c>
      <c r="T567" s="188">
        <v>0</v>
      </c>
      <c r="U567" s="188">
        <v>0</v>
      </c>
      <c r="V567" s="188">
        <v>0</v>
      </c>
      <c r="W567" s="188"/>
      <c r="X567" s="89"/>
      <c r="Y567" s="187"/>
      <c r="Z567" s="187"/>
      <c r="AA567" s="187"/>
      <c r="AB567" s="187"/>
      <c r="AC567" s="187"/>
      <c r="AD567" s="189"/>
      <c r="AE567" s="188"/>
    </row>
    <row r="568" spans="1:31" ht="21.25" customHeight="1" x14ac:dyDescent="0.15">
      <c r="A568" s="10" t="s">
        <v>755</v>
      </c>
      <c r="B568" s="185" t="s">
        <v>862</v>
      </c>
      <c r="C568" s="186">
        <v>35</v>
      </c>
      <c r="D568" s="185" t="s">
        <v>835</v>
      </c>
      <c r="E568" s="89">
        <v>83</v>
      </c>
      <c r="F568" s="187">
        <v>11.7</v>
      </c>
      <c r="G568" s="188">
        <v>0.09</v>
      </c>
      <c r="H568" s="188">
        <v>0.09</v>
      </c>
      <c r="I568" s="188">
        <v>0.18</v>
      </c>
      <c r="J568" s="188">
        <v>0.97</v>
      </c>
      <c r="K568" s="188">
        <v>0</v>
      </c>
      <c r="L568" s="188">
        <v>0</v>
      </c>
      <c r="M568" s="188">
        <v>0.01</v>
      </c>
      <c r="N568" s="188">
        <v>0.02</v>
      </c>
      <c r="O568" s="188">
        <v>0.69</v>
      </c>
      <c r="P568" s="188">
        <v>1.88</v>
      </c>
      <c r="Q568" s="188">
        <v>-0.05</v>
      </c>
      <c r="R568" s="188">
        <v>0.31</v>
      </c>
      <c r="S568" s="188">
        <v>0.01</v>
      </c>
      <c r="T568" s="188">
        <v>4.18</v>
      </c>
      <c r="U568" s="188">
        <v>3.49</v>
      </c>
      <c r="V568" s="188">
        <v>0.55000000000000004</v>
      </c>
      <c r="W568" s="188"/>
      <c r="X568" s="89"/>
      <c r="Y568" s="187"/>
      <c r="Z568" s="187"/>
      <c r="AA568" s="187"/>
      <c r="AB568" s="187"/>
      <c r="AC568" s="187"/>
      <c r="AD568" s="189"/>
      <c r="AE568" s="188"/>
    </row>
    <row r="569" spans="1:31" ht="21.25" customHeight="1" x14ac:dyDescent="0.15">
      <c r="A569" s="10" t="s">
        <v>492</v>
      </c>
      <c r="B569" s="185" t="s">
        <v>849</v>
      </c>
      <c r="C569" s="186">
        <v>36</v>
      </c>
      <c r="D569" s="185" t="s">
        <v>823</v>
      </c>
      <c r="E569" s="89">
        <v>78</v>
      </c>
      <c r="F569" s="187">
        <v>16.100000000000001</v>
      </c>
      <c r="G569" s="188">
        <v>0.03</v>
      </c>
      <c r="H569" s="188">
        <v>0.15</v>
      </c>
      <c r="I569" s="188">
        <v>0.17</v>
      </c>
      <c r="J569" s="188">
        <v>0.95</v>
      </c>
      <c r="K569" s="188">
        <v>0</v>
      </c>
      <c r="L569" s="188">
        <v>0</v>
      </c>
      <c r="M569" s="188">
        <v>0</v>
      </c>
      <c r="N569" s="188">
        <v>0</v>
      </c>
      <c r="O569" s="188">
        <v>1.53</v>
      </c>
      <c r="P569" s="188">
        <v>2.34</v>
      </c>
      <c r="Q569" s="188">
        <v>0.04</v>
      </c>
      <c r="R569" s="188">
        <v>0.8</v>
      </c>
      <c r="S569" s="188">
        <v>0</v>
      </c>
      <c r="T569" s="188">
        <v>0</v>
      </c>
      <c r="U569" s="188">
        <v>0</v>
      </c>
      <c r="V569" s="188">
        <v>0</v>
      </c>
      <c r="W569" s="188"/>
      <c r="X569" s="89"/>
      <c r="Y569" s="187"/>
      <c r="Z569" s="187"/>
      <c r="AA569" s="187"/>
      <c r="AB569" s="187"/>
      <c r="AC569" s="187"/>
      <c r="AD569" s="189"/>
      <c r="AE569" s="188"/>
    </row>
    <row r="570" spans="1:31" ht="21.25" customHeight="1" x14ac:dyDescent="0.15">
      <c r="A570" s="10" t="s">
        <v>760</v>
      </c>
      <c r="B570" s="185" t="s">
        <v>849</v>
      </c>
      <c r="C570" s="186">
        <v>37</v>
      </c>
      <c r="D570" s="185" t="s">
        <v>820</v>
      </c>
      <c r="E570" s="89">
        <v>81</v>
      </c>
      <c r="F570" s="187">
        <v>10.4</v>
      </c>
      <c r="G570" s="188">
        <v>7.0000000000000007E-2</v>
      </c>
      <c r="H570" s="188">
        <v>0.11</v>
      </c>
      <c r="I570" s="188">
        <v>0.17</v>
      </c>
      <c r="J570" s="188">
        <v>0.93</v>
      </c>
      <c r="K570" s="188">
        <v>0</v>
      </c>
      <c r="L570" s="188">
        <v>0</v>
      </c>
      <c r="M570" s="188">
        <v>0</v>
      </c>
      <c r="N570" s="188">
        <v>0.01</v>
      </c>
      <c r="O570" s="188">
        <v>0.43</v>
      </c>
      <c r="P570" s="188">
        <v>0.83</v>
      </c>
      <c r="Q570" s="188">
        <v>0.02</v>
      </c>
      <c r="R570" s="188">
        <v>0.26</v>
      </c>
      <c r="S570" s="188">
        <v>0.01</v>
      </c>
      <c r="T570" s="188">
        <v>4.16</v>
      </c>
      <c r="U570" s="188">
        <v>3.71</v>
      </c>
      <c r="V570" s="188">
        <v>0.53</v>
      </c>
      <c r="W570" s="188"/>
      <c r="X570" s="89"/>
      <c r="Y570" s="187"/>
      <c r="Z570" s="187"/>
      <c r="AA570" s="187"/>
      <c r="AB570" s="187"/>
      <c r="AC570" s="187"/>
      <c r="AD570" s="189"/>
      <c r="AE570" s="188"/>
    </row>
    <row r="571" spans="1:31" ht="21.25" customHeight="1" x14ac:dyDescent="0.15">
      <c r="A571" s="10" t="s">
        <v>787</v>
      </c>
      <c r="B571" s="185" t="s">
        <v>850</v>
      </c>
      <c r="C571" s="186">
        <v>24</v>
      </c>
      <c r="D571" s="185" t="s">
        <v>844</v>
      </c>
      <c r="E571" s="89">
        <v>66</v>
      </c>
      <c r="F571" s="187">
        <v>11.2</v>
      </c>
      <c r="G571" s="188">
        <v>7.0000000000000007E-2</v>
      </c>
      <c r="H571" s="188">
        <v>0.1</v>
      </c>
      <c r="I571" s="188">
        <v>0.17</v>
      </c>
      <c r="J571" s="188">
        <v>0.94</v>
      </c>
      <c r="K571" s="188">
        <v>0</v>
      </c>
      <c r="L571" s="188">
        <v>0</v>
      </c>
      <c r="M571" s="188">
        <v>0</v>
      </c>
      <c r="N571" s="188">
        <v>0.01</v>
      </c>
      <c r="O571" s="188">
        <v>0.47</v>
      </c>
      <c r="P571" s="188">
        <v>1.44</v>
      </c>
      <c r="Q571" s="188">
        <v>-0.1</v>
      </c>
      <c r="R571" s="188">
        <v>0.28999999999999998</v>
      </c>
      <c r="S571" s="188">
        <v>0.01</v>
      </c>
      <c r="T571" s="188">
        <v>0.01</v>
      </c>
      <c r="U571" s="188">
        <v>0.06</v>
      </c>
      <c r="V571" s="188">
        <v>0.19</v>
      </c>
      <c r="W571" s="188"/>
      <c r="X571" s="89"/>
      <c r="Y571" s="187"/>
      <c r="Z571" s="187"/>
      <c r="AA571" s="187"/>
      <c r="AB571" s="187"/>
      <c r="AC571" s="187"/>
      <c r="AD571" s="189"/>
      <c r="AE571" s="188"/>
    </row>
    <row r="572" spans="1:31" ht="21.25" customHeight="1" x14ac:dyDescent="0.15">
      <c r="A572" s="10" t="s">
        <v>577</v>
      </c>
      <c r="B572" s="185" t="s">
        <v>849</v>
      </c>
      <c r="C572" s="186">
        <v>30</v>
      </c>
      <c r="D572" s="185" t="s">
        <v>823</v>
      </c>
      <c r="E572" s="89">
        <v>73</v>
      </c>
      <c r="F572" s="187">
        <v>14.7</v>
      </c>
      <c r="G572" s="188">
        <v>0.04</v>
      </c>
      <c r="H572" s="188">
        <v>0.13</v>
      </c>
      <c r="I572" s="188">
        <v>0.17</v>
      </c>
      <c r="J572" s="188">
        <v>1.02</v>
      </c>
      <c r="K572" s="188">
        <v>0</v>
      </c>
      <c r="L572" s="188">
        <v>0</v>
      </c>
      <c r="M572" s="188">
        <v>0</v>
      </c>
      <c r="N572" s="188">
        <v>0</v>
      </c>
      <c r="O572" s="188">
        <v>0.82</v>
      </c>
      <c r="P572" s="188">
        <v>1.18</v>
      </c>
      <c r="Q572" s="188">
        <v>0.02</v>
      </c>
      <c r="R572" s="188">
        <v>0.4</v>
      </c>
      <c r="S572" s="188">
        <v>0.01</v>
      </c>
      <c r="T572" s="188">
        <v>0</v>
      </c>
      <c r="U572" s="188">
        <v>0.01</v>
      </c>
      <c r="V572" s="188">
        <v>0</v>
      </c>
      <c r="W572" s="188"/>
      <c r="X572" s="89"/>
      <c r="Y572" s="187"/>
      <c r="Z572" s="187"/>
      <c r="AA572" s="187"/>
      <c r="AB572" s="187"/>
      <c r="AC572" s="187"/>
      <c r="AD572" s="189"/>
      <c r="AE572" s="188"/>
    </row>
    <row r="573" spans="1:31" ht="21.25" customHeight="1" x14ac:dyDescent="0.15">
      <c r="A573" s="10" t="s">
        <v>629</v>
      </c>
      <c r="B573" s="185" t="s">
        <v>862</v>
      </c>
      <c r="C573" s="186">
        <v>26</v>
      </c>
      <c r="D573" s="185" t="s">
        <v>823</v>
      </c>
      <c r="E573" s="89">
        <v>63</v>
      </c>
      <c r="F573" s="187">
        <v>12.8</v>
      </c>
      <c r="G573" s="188">
        <v>0.04</v>
      </c>
      <c r="H573" s="188">
        <v>0.13</v>
      </c>
      <c r="I573" s="188">
        <v>0.17</v>
      </c>
      <c r="J573" s="188">
        <v>0.74</v>
      </c>
      <c r="K573" s="188">
        <v>0</v>
      </c>
      <c r="L573" s="188">
        <v>0.01</v>
      </c>
      <c r="M573" s="188">
        <v>0</v>
      </c>
      <c r="N573" s="188">
        <v>0</v>
      </c>
      <c r="O573" s="188">
        <v>0.83</v>
      </c>
      <c r="P573" s="188">
        <v>0.73</v>
      </c>
      <c r="Q573" s="188">
        <v>-0.06</v>
      </c>
      <c r="R573" s="188">
        <v>0.23</v>
      </c>
      <c r="S573" s="188">
        <v>0.01</v>
      </c>
      <c r="T573" s="188">
        <v>0</v>
      </c>
      <c r="U573" s="188">
        <v>0</v>
      </c>
      <c r="V573" s="188">
        <v>0</v>
      </c>
      <c r="W573" s="188"/>
      <c r="X573" s="89"/>
      <c r="Y573" s="187"/>
      <c r="Z573" s="187"/>
      <c r="AA573" s="187"/>
      <c r="AB573" s="187"/>
      <c r="AC573" s="187"/>
      <c r="AD573" s="189"/>
      <c r="AE573" s="188"/>
    </row>
    <row r="574" spans="1:31" ht="21.25" customHeight="1" x14ac:dyDescent="0.15">
      <c r="A574" s="10" t="s">
        <v>526</v>
      </c>
      <c r="B574" s="185" t="s">
        <v>851</v>
      </c>
      <c r="C574" s="186">
        <v>35</v>
      </c>
      <c r="D574" s="185" t="s">
        <v>823</v>
      </c>
      <c r="E574" s="89">
        <v>80</v>
      </c>
      <c r="F574" s="187">
        <v>17.5</v>
      </c>
      <c r="G574" s="188">
        <v>0</v>
      </c>
      <c r="H574" s="188">
        <v>0.19</v>
      </c>
      <c r="I574" s="188">
        <v>0.19</v>
      </c>
      <c r="J574" s="188">
        <v>0.64</v>
      </c>
      <c r="K574" s="188">
        <v>0</v>
      </c>
      <c r="L574" s="188">
        <v>0</v>
      </c>
      <c r="M574" s="188">
        <v>0</v>
      </c>
      <c r="N574" s="188">
        <v>0</v>
      </c>
      <c r="O574" s="188">
        <v>1.66</v>
      </c>
      <c r="P574" s="188">
        <v>0.38</v>
      </c>
      <c r="Q574" s="188">
        <v>0</v>
      </c>
      <c r="R574" s="188">
        <v>0.31</v>
      </c>
      <c r="S574" s="188">
        <v>0</v>
      </c>
      <c r="T574" s="188">
        <v>0</v>
      </c>
      <c r="U574" s="188">
        <v>0</v>
      </c>
      <c r="V574" s="188">
        <v>0</v>
      </c>
      <c r="W574" s="188"/>
      <c r="X574" s="89"/>
      <c r="Y574" s="187"/>
      <c r="Z574" s="187"/>
      <c r="AA574" s="187"/>
      <c r="AB574" s="187"/>
      <c r="AC574" s="187"/>
      <c r="AD574" s="189"/>
      <c r="AE574" s="188"/>
    </row>
    <row r="575" spans="1:31" ht="21.25" customHeight="1" x14ac:dyDescent="0.15">
      <c r="A575" s="10" t="s">
        <v>623</v>
      </c>
      <c r="B575" s="185" t="s">
        <v>860</v>
      </c>
      <c r="C575" s="186">
        <v>23</v>
      </c>
      <c r="D575" s="185" t="s">
        <v>823</v>
      </c>
      <c r="E575" s="89">
        <v>56</v>
      </c>
      <c r="F575" s="187">
        <v>15.5</v>
      </c>
      <c r="G575" s="188">
        <v>0.03</v>
      </c>
      <c r="H575" s="188">
        <v>0.14000000000000001</v>
      </c>
      <c r="I575" s="188">
        <v>0.16</v>
      </c>
      <c r="J575" s="188">
        <v>0.75</v>
      </c>
      <c r="K575" s="188">
        <v>0</v>
      </c>
      <c r="L575" s="188">
        <v>0</v>
      </c>
      <c r="M575" s="188">
        <v>0</v>
      </c>
      <c r="N575" s="188">
        <v>0</v>
      </c>
      <c r="O575" s="188">
        <v>1.26</v>
      </c>
      <c r="P575" s="188">
        <v>0.86</v>
      </c>
      <c r="Q575" s="188">
        <v>-0.02</v>
      </c>
      <c r="R575" s="188">
        <v>0.38</v>
      </c>
      <c r="S575" s="188">
        <v>0</v>
      </c>
      <c r="T575" s="188">
        <v>0</v>
      </c>
      <c r="U575" s="188">
        <v>0</v>
      </c>
      <c r="V575" s="188">
        <v>0</v>
      </c>
      <c r="W575" s="188"/>
      <c r="X575" s="89"/>
      <c r="Y575" s="187"/>
      <c r="Z575" s="187"/>
      <c r="AA575" s="187"/>
      <c r="AB575" s="187"/>
      <c r="AC575" s="187"/>
      <c r="AD575" s="189"/>
      <c r="AE575" s="188"/>
    </row>
    <row r="576" spans="1:31" ht="21.25" customHeight="1" x14ac:dyDescent="0.15">
      <c r="A576" s="10" t="s">
        <v>607</v>
      </c>
      <c r="B576" s="185" t="s">
        <v>852</v>
      </c>
      <c r="C576" s="186">
        <v>21</v>
      </c>
      <c r="D576" s="185" t="s">
        <v>823</v>
      </c>
      <c r="E576" s="89">
        <v>62</v>
      </c>
      <c r="F576" s="187">
        <v>15.2</v>
      </c>
      <c r="G576" s="188">
        <v>0.04</v>
      </c>
      <c r="H576" s="188">
        <v>0.14000000000000001</v>
      </c>
      <c r="I576" s="188">
        <v>0.18</v>
      </c>
      <c r="J576" s="188">
        <v>1.1000000000000001</v>
      </c>
      <c r="K576" s="188">
        <v>0</v>
      </c>
      <c r="L576" s="188">
        <v>0</v>
      </c>
      <c r="M576" s="188">
        <v>0</v>
      </c>
      <c r="N576" s="188">
        <v>0</v>
      </c>
      <c r="O576" s="188">
        <v>1.1200000000000001</v>
      </c>
      <c r="P576" s="188">
        <v>0.88</v>
      </c>
      <c r="Q576" s="188">
        <v>-0.02</v>
      </c>
      <c r="R576" s="188">
        <v>0.4</v>
      </c>
      <c r="S576" s="188">
        <v>0.01</v>
      </c>
      <c r="T576" s="188">
        <v>0</v>
      </c>
      <c r="U576" s="188">
        <v>0</v>
      </c>
      <c r="V576" s="188">
        <v>0</v>
      </c>
      <c r="W576" s="188"/>
      <c r="X576" s="89"/>
      <c r="Y576" s="187"/>
      <c r="Z576" s="187"/>
      <c r="AA576" s="187"/>
      <c r="AB576" s="187"/>
      <c r="AC576" s="187"/>
      <c r="AD576" s="189"/>
      <c r="AE576" s="188"/>
    </row>
    <row r="577" spans="1:31" ht="21.25" customHeight="1" x14ac:dyDescent="0.15">
      <c r="A577" s="10" t="s">
        <v>611</v>
      </c>
      <c r="B577" s="185" t="s">
        <v>832</v>
      </c>
      <c r="C577" s="186">
        <v>26</v>
      </c>
      <c r="D577" s="185" t="s">
        <v>823</v>
      </c>
      <c r="E577" s="89">
        <v>67</v>
      </c>
      <c r="F577" s="187">
        <v>15.2</v>
      </c>
      <c r="G577" s="188">
        <v>0.03</v>
      </c>
      <c r="H577" s="188">
        <v>0.13</v>
      </c>
      <c r="I577" s="188">
        <v>0.16</v>
      </c>
      <c r="J577" s="188">
        <v>0.81</v>
      </c>
      <c r="K577" s="188">
        <v>0</v>
      </c>
      <c r="L577" s="188">
        <v>0</v>
      </c>
      <c r="M577" s="188">
        <v>0</v>
      </c>
      <c r="N577" s="188">
        <v>0.01</v>
      </c>
      <c r="O577" s="188">
        <v>1.01</v>
      </c>
      <c r="P577" s="188">
        <v>0.49</v>
      </c>
      <c r="Q577" s="188">
        <v>0.06</v>
      </c>
      <c r="R577" s="188">
        <v>0.3</v>
      </c>
      <c r="S577" s="188">
        <v>0.01</v>
      </c>
      <c r="T577" s="188">
        <v>0</v>
      </c>
      <c r="U577" s="188">
        <v>0</v>
      </c>
      <c r="V577" s="188">
        <v>0</v>
      </c>
      <c r="W577" s="188"/>
      <c r="X577" s="89"/>
      <c r="Y577" s="187"/>
      <c r="Z577" s="187"/>
      <c r="AA577" s="187"/>
      <c r="AB577" s="187"/>
      <c r="AC577" s="187"/>
      <c r="AD577" s="189"/>
      <c r="AE577" s="188"/>
    </row>
    <row r="578" spans="1:31" ht="21.25" customHeight="1" x14ac:dyDescent="0.15">
      <c r="A578" s="10" t="s">
        <v>762</v>
      </c>
      <c r="B578" s="185" t="s">
        <v>841</v>
      </c>
      <c r="C578" s="186">
        <v>29</v>
      </c>
      <c r="D578" s="185" t="s">
        <v>844</v>
      </c>
      <c r="E578" s="89">
        <v>84</v>
      </c>
      <c r="F578" s="187">
        <v>11.4</v>
      </c>
      <c r="G578" s="188">
        <v>7.0000000000000007E-2</v>
      </c>
      <c r="H578" s="188">
        <v>0.09</v>
      </c>
      <c r="I578" s="188">
        <v>0.16</v>
      </c>
      <c r="J578" s="188">
        <v>0.86</v>
      </c>
      <c r="K578" s="188">
        <v>0</v>
      </c>
      <c r="L578" s="188">
        <v>0</v>
      </c>
      <c r="M578" s="188">
        <v>0.01</v>
      </c>
      <c r="N578" s="188">
        <v>0.01</v>
      </c>
      <c r="O578" s="188">
        <v>0.67</v>
      </c>
      <c r="P578" s="188">
        <v>1.95</v>
      </c>
      <c r="Q578" s="188">
        <v>0</v>
      </c>
      <c r="R578" s="188">
        <v>0.73</v>
      </c>
      <c r="S578" s="188">
        <v>0.01</v>
      </c>
      <c r="T578" s="188">
        <v>0.18</v>
      </c>
      <c r="U578" s="188">
        <v>0.28999999999999998</v>
      </c>
      <c r="V578" s="188">
        <v>0.38</v>
      </c>
      <c r="W578" s="188"/>
      <c r="X578" s="89"/>
      <c r="Y578" s="187"/>
      <c r="Z578" s="187"/>
      <c r="AA578" s="187"/>
      <c r="AB578" s="187"/>
      <c r="AC578" s="187"/>
      <c r="AD578" s="189"/>
      <c r="AE578" s="188"/>
    </row>
    <row r="579" spans="1:31" ht="21.25" customHeight="1" x14ac:dyDescent="0.15">
      <c r="A579" s="10" t="s">
        <v>791</v>
      </c>
      <c r="B579" s="185" t="s">
        <v>841</v>
      </c>
      <c r="C579" s="186">
        <v>24</v>
      </c>
      <c r="D579" s="185" t="s">
        <v>820</v>
      </c>
      <c r="E579" s="89">
        <v>60</v>
      </c>
      <c r="F579" s="187">
        <v>10</v>
      </c>
      <c r="G579" s="188">
        <v>7.0000000000000007E-2</v>
      </c>
      <c r="H579" s="188">
        <v>0.09</v>
      </c>
      <c r="I579" s="188">
        <v>0.16</v>
      </c>
      <c r="J579" s="188">
        <v>0.72</v>
      </c>
      <c r="K579" s="188">
        <v>0</v>
      </c>
      <c r="L579" s="188">
        <v>0</v>
      </c>
      <c r="M579" s="188">
        <v>0</v>
      </c>
      <c r="N579" s="188">
        <v>0.01</v>
      </c>
      <c r="O579" s="188">
        <v>0.52</v>
      </c>
      <c r="P579" s="188">
        <v>1.85</v>
      </c>
      <c r="Q579" s="188">
        <v>0</v>
      </c>
      <c r="R579" s="188">
        <v>0.21</v>
      </c>
      <c r="S579" s="188">
        <v>0.01</v>
      </c>
      <c r="T579" s="188">
        <v>2.82</v>
      </c>
      <c r="U579" s="188">
        <v>4.0199999999999996</v>
      </c>
      <c r="V579" s="188">
        <v>0.41</v>
      </c>
      <c r="W579" s="188"/>
      <c r="X579" s="89"/>
      <c r="Y579" s="187"/>
      <c r="Z579" s="187"/>
      <c r="AA579" s="187"/>
      <c r="AB579" s="187"/>
      <c r="AC579" s="187"/>
      <c r="AD579" s="189"/>
      <c r="AE579" s="188"/>
    </row>
    <row r="580" spans="1:31" ht="21.25" customHeight="1" x14ac:dyDescent="0.15">
      <c r="A580" s="10" t="s">
        <v>773</v>
      </c>
      <c r="B580" s="185" t="s">
        <v>860</v>
      </c>
      <c r="C580" s="186">
        <v>26</v>
      </c>
      <c r="D580" s="185" t="s">
        <v>820</v>
      </c>
      <c r="E580" s="89">
        <v>79</v>
      </c>
      <c r="F580" s="187">
        <v>10.6</v>
      </c>
      <c r="G580" s="188">
        <v>7.0000000000000007E-2</v>
      </c>
      <c r="H580" s="188">
        <v>0.09</v>
      </c>
      <c r="I580" s="188">
        <v>0.16</v>
      </c>
      <c r="J580" s="188">
        <v>0.79</v>
      </c>
      <c r="K580" s="188">
        <v>0</v>
      </c>
      <c r="L580" s="188">
        <v>0</v>
      </c>
      <c r="M580" s="188">
        <v>0</v>
      </c>
      <c r="N580" s="188">
        <v>0</v>
      </c>
      <c r="O580" s="188">
        <v>0.47</v>
      </c>
      <c r="P580" s="188">
        <v>1.94</v>
      </c>
      <c r="Q580" s="188">
        <v>-0.03</v>
      </c>
      <c r="R580" s="188">
        <v>0.24</v>
      </c>
      <c r="S580" s="188">
        <v>0.01</v>
      </c>
      <c r="T580" s="188">
        <v>2.4</v>
      </c>
      <c r="U580" s="188">
        <v>2.48</v>
      </c>
      <c r="V580" s="188">
        <v>0.49</v>
      </c>
      <c r="W580" s="188"/>
      <c r="X580" s="89"/>
      <c r="Y580" s="187"/>
      <c r="Z580" s="187"/>
      <c r="AA580" s="187"/>
      <c r="AB580" s="187"/>
      <c r="AC580" s="187"/>
      <c r="AD580" s="189"/>
      <c r="AE580" s="188"/>
    </row>
    <row r="581" spans="1:31" ht="21.25" customHeight="1" x14ac:dyDescent="0.15">
      <c r="A581" s="10" t="s">
        <v>793</v>
      </c>
      <c r="B581" s="185" t="s">
        <v>840</v>
      </c>
      <c r="C581" s="186">
        <v>30</v>
      </c>
      <c r="D581" s="185" t="s">
        <v>820</v>
      </c>
      <c r="E581" s="89">
        <v>57</v>
      </c>
      <c r="F581" s="187">
        <v>8.6999999999999993</v>
      </c>
      <c r="G581" s="188">
        <v>0.06</v>
      </c>
      <c r="H581" s="188">
        <v>0.1</v>
      </c>
      <c r="I581" s="188">
        <v>0.16</v>
      </c>
      <c r="J581" s="188">
        <v>0.59</v>
      </c>
      <c r="K581" s="188">
        <v>0</v>
      </c>
      <c r="L581" s="188">
        <v>0</v>
      </c>
      <c r="M581" s="188">
        <v>0</v>
      </c>
      <c r="N581" s="188">
        <v>0</v>
      </c>
      <c r="O581" s="188">
        <v>0.48</v>
      </c>
      <c r="P581" s="188">
        <v>1.58</v>
      </c>
      <c r="Q581" s="188">
        <v>0.03</v>
      </c>
      <c r="R581" s="188">
        <v>0.23</v>
      </c>
      <c r="S581" s="188">
        <v>0.01</v>
      </c>
      <c r="T581" s="188">
        <v>2.6</v>
      </c>
      <c r="U581" s="188">
        <v>2.95</v>
      </c>
      <c r="V581" s="188">
        <v>0.47</v>
      </c>
      <c r="W581" s="188"/>
      <c r="X581" s="89"/>
      <c r="Y581" s="187"/>
      <c r="Z581" s="187"/>
      <c r="AA581" s="187"/>
      <c r="AB581" s="187"/>
      <c r="AC581" s="187"/>
      <c r="AD581" s="189"/>
      <c r="AE581" s="188"/>
    </row>
    <row r="582" spans="1:31" ht="21.25" customHeight="1" x14ac:dyDescent="0.15">
      <c r="A582" s="10" t="s">
        <v>556</v>
      </c>
      <c r="B582" s="185" t="s">
        <v>857</v>
      </c>
      <c r="C582" s="186">
        <v>25</v>
      </c>
      <c r="D582" s="185" t="s">
        <v>823</v>
      </c>
      <c r="E582" s="89">
        <v>79</v>
      </c>
      <c r="F582" s="187">
        <v>15.3</v>
      </c>
      <c r="G582" s="188">
        <v>0.04</v>
      </c>
      <c r="H582" s="188">
        <v>0.11</v>
      </c>
      <c r="I582" s="188">
        <v>0.15</v>
      </c>
      <c r="J582" s="188">
        <v>0.76</v>
      </c>
      <c r="K582" s="188">
        <v>0</v>
      </c>
      <c r="L582" s="188">
        <v>0</v>
      </c>
      <c r="M582" s="188">
        <v>0.01</v>
      </c>
      <c r="N582" s="188">
        <v>0.01</v>
      </c>
      <c r="O582" s="188">
        <v>1.1299999999999999</v>
      </c>
      <c r="P582" s="188">
        <v>0.83</v>
      </c>
      <c r="Q582" s="188">
        <v>-0.04</v>
      </c>
      <c r="R582" s="188">
        <v>0.27</v>
      </c>
      <c r="S582" s="188">
        <v>0.01</v>
      </c>
      <c r="T582" s="188">
        <v>0</v>
      </c>
      <c r="U582" s="188">
        <v>0</v>
      </c>
      <c r="V582" s="188">
        <v>0</v>
      </c>
      <c r="W582" s="188"/>
      <c r="X582" s="89"/>
      <c r="Y582" s="187"/>
      <c r="Z582" s="187"/>
      <c r="AA582" s="187"/>
      <c r="AB582" s="187"/>
      <c r="AC582" s="187"/>
      <c r="AD582" s="189"/>
      <c r="AE582" s="188"/>
    </row>
    <row r="583" spans="1:31" ht="21.25" customHeight="1" x14ac:dyDescent="0.15">
      <c r="A583" s="10" t="s">
        <v>543</v>
      </c>
      <c r="B583" s="185" t="s">
        <v>839</v>
      </c>
      <c r="C583" s="186">
        <v>29</v>
      </c>
      <c r="D583" s="185" t="s">
        <v>823</v>
      </c>
      <c r="E583" s="89">
        <v>74</v>
      </c>
      <c r="F583" s="187">
        <v>16.899999999999999</v>
      </c>
      <c r="G583" s="188">
        <v>0.03</v>
      </c>
      <c r="H583" s="188">
        <v>0.13</v>
      </c>
      <c r="I583" s="188">
        <v>0.15</v>
      </c>
      <c r="J583" s="188">
        <v>0.97</v>
      </c>
      <c r="K583" s="188">
        <v>0</v>
      </c>
      <c r="L583" s="188">
        <v>0</v>
      </c>
      <c r="M583" s="188">
        <v>0</v>
      </c>
      <c r="N583" s="188">
        <v>0</v>
      </c>
      <c r="O583" s="188">
        <v>1.31</v>
      </c>
      <c r="P583" s="188">
        <v>3.04</v>
      </c>
      <c r="Q583" s="188">
        <v>0.03</v>
      </c>
      <c r="R583" s="188">
        <v>0.97</v>
      </c>
      <c r="S583" s="188">
        <v>0</v>
      </c>
      <c r="T583" s="188">
        <v>0</v>
      </c>
      <c r="U583" s="188">
        <v>0</v>
      </c>
      <c r="V583" s="188">
        <v>0</v>
      </c>
      <c r="W583" s="188"/>
      <c r="X583" s="89"/>
      <c r="Y583" s="187"/>
      <c r="Z583" s="187"/>
      <c r="AA583" s="187"/>
      <c r="AB583" s="187"/>
      <c r="AC583" s="187"/>
      <c r="AD583" s="189"/>
      <c r="AE583" s="188"/>
    </row>
    <row r="584" spans="1:31" ht="21.25" customHeight="1" x14ac:dyDescent="0.15">
      <c r="A584" s="10" t="s">
        <v>436</v>
      </c>
      <c r="B584" s="185" t="s">
        <v>863</v>
      </c>
      <c r="C584" s="186">
        <v>33</v>
      </c>
      <c r="D584" s="185" t="s">
        <v>823</v>
      </c>
      <c r="E584" s="89">
        <v>82</v>
      </c>
      <c r="F584" s="187">
        <v>17.600000000000001</v>
      </c>
      <c r="G584" s="188">
        <v>0.02</v>
      </c>
      <c r="H584" s="188">
        <v>0.14000000000000001</v>
      </c>
      <c r="I584" s="188">
        <v>0.15</v>
      </c>
      <c r="J584" s="188">
        <v>0.99</v>
      </c>
      <c r="K584" s="188">
        <v>0</v>
      </c>
      <c r="L584" s="188">
        <v>0</v>
      </c>
      <c r="M584" s="188">
        <v>0</v>
      </c>
      <c r="N584" s="188">
        <v>0.01</v>
      </c>
      <c r="O584" s="188">
        <v>1.95</v>
      </c>
      <c r="P584" s="188">
        <v>1.51</v>
      </c>
      <c r="Q584" s="188">
        <v>0.01</v>
      </c>
      <c r="R584" s="188">
        <v>0.5</v>
      </c>
      <c r="S584" s="188">
        <v>0</v>
      </c>
      <c r="T584" s="188">
        <v>0</v>
      </c>
      <c r="U584" s="188">
        <v>0</v>
      </c>
      <c r="V584" s="188">
        <v>0</v>
      </c>
      <c r="W584" s="188"/>
      <c r="X584" s="89"/>
      <c r="Y584" s="187"/>
      <c r="Z584" s="187"/>
      <c r="AA584" s="187"/>
      <c r="AB584" s="187"/>
      <c r="AC584" s="187"/>
      <c r="AD584" s="189"/>
      <c r="AE584" s="188"/>
    </row>
    <row r="585" spans="1:31" ht="21.25" customHeight="1" x14ac:dyDescent="0.15">
      <c r="A585" s="10" t="s">
        <v>572</v>
      </c>
      <c r="B585" s="185" t="s">
        <v>857</v>
      </c>
      <c r="C585" s="186">
        <v>26</v>
      </c>
      <c r="D585" s="185" t="s">
        <v>823</v>
      </c>
      <c r="E585" s="89">
        <v>74</v>
      </c>
      <c r="F585" s="187">
        <v>14.3</v>
      </c>
      <c r="G585" s="188">
        <v>0.04</v>
      </c>
      <c r="H585" s="188">
        <v>0.12</v>
      </c>
      <c r="I585" s="188">
        <v>0.15</v>
      </c>
      <c r="J585" s="188">
        <v>0.7</v>
      </c>
      <c r="K585" s="188">
        <v>0</v>
      </c>
      <c r="L585" s="188">
        <v>0</v>
      </c>
      <c r="M585" s="188">
        <v>0</v>
      </c>
      <c r="N585" s="188">
        <v>0</v>
      </c>
      <c r="O585" s="188">
        <v>1.25</v>
      </c>
      <c r="P585" s="188">
        <v>1.04</v>
      </c>
      <c r="Q585" s="188">
        <v>-0.02</v>
      </c>
      <c r="R585" s="188">
        <v>0.37</v>
      </c>
      <c r="S585" s="188">
        <v>0.01</v>
      </c>
      <c r="T585" s="188">
        <v>0</v>
      </c>
      <c r="U585" s="188">
        <v>0</v>
      </c>
      <c r="V585" s="188">
        <v>0</v>
      </c>
      <c r="W585" s="188"/>
      <c r="X585" s="89"/>
      <c r="Y585" s="187"/>
      <c r="Z585" s="187"/>
      <c r="AA585" s="187"/>
      <c r="AB585" s="187"/>
      <c r="AC585" s="187"/>
      <c r="AD585" s="189"/>
      <c r="AE585" s="188"/>
    </row>
    <row r="586" spans="1:31" ht="21.25" customHeight="1" x14ac:dyDescent="0.15">
      <c r="A586" s="10" t="s">
        <v>509</v>
      </c>
      <c r="B586" s="185" t="s">
        <v>850</v>
      </c>
      <c r="C586" s="186">
        <v>37</v>
      </c>
      <c r="D586" s="185" t="s">
        <v>823</v>
      </c>
      <c r="E586" s="89">
        <v>84</v>
      </c>
      <c r="F586" s="187">
        <v>18.100000000000001</v>
      </c>
      <c r="G586" s="188">
        <v>-0.01</v>
      </c>
      <c r="H586" s="188">
        <v>0.15</v>
      </c>
      <c r="I586" s="188">
        <v>0.15</v>
      </c>
      <c r="J586" s="188">
        <v>0.41</v>
      </c>
      <c r="K586" s="188">
        <v>0</v>
      </c>
      <c r="L586" s="188">
        <v>0</v>
      </c>
      <c r="M586" s="188">
        <v>0</v>
      </c>
      <c r="N586" s="188">
        <v>0</v>
      </c>
      <c r="O586" s="188">
        <v>1.87</v>
      </c>
      <c r="P586" s="188">
        <v>1.02</v>
      </c>
      <c r="Q586" s="188">
        <v>-7.0000000000000007E-2</v>
      </c>
      <c r="R586" s="188">
        <v>0.67</v>
      </c>
      <c r="S586" s="188">
        <v>0</v>
      </c>
      <c r="T586" s="188">
        <v>0</v>
      </c>
      <c r="U586" s="188">
        <v>0</v>
      </c>
      <c r="V586" s="188">
        <v>0</v>
      </c>
      <c r="W586" s="188"/>
      <c r="X586" s="89"/>
      <c r="Y586" s="187"/>
      <c r="Z586" s="187"/>
      <c r="AA586" s="187"/>
      <c r="AB586" s="187"/>
      <c r="AC586" s="187"/>
      <c r="AD586" s="189"/>
      <c r="AE586" s="188"/>
    </row>
    <row r="587" spans="1:31" ht="21.25" customHeight="1" x14ac:dyDescent="0.15">
      <c r="A587" s="10" t="s">
        <v>444</v>
      </c>
      <c r="B587" s="185" t="s">
        <v>857</v>
      </c>
      <c r="C587" s="186">
        <v>35</v>
      </c>
      <c r="D587" s="185" t="s">
        <v>823</v>
      </c>
      <c r="E587" s="89">
        <v>83</v>
      </c>
      <c r="F587" s="187">
        <v>20.2</v>
      </c>
      <c r="G587" s="188">
        <v>0.02</v>
      </c>
      <c r="H587" s="188">
        <v>0.12</v>
      </c>
      <c r="I587" s="188">
        <v>0.14000000000000001</v>
      </c>
      <c r="J587" s="188">
        <v>1.05</v>
      </c>
      <c r="K587" s="188">
        <v>0</v>
      </c>
      <c r="L587" s="188">
        <v>0</v>
      </c>
      <c r="M587" s="188">
        <v>0</v>
      </c>
      <c r="N587" s="188">
        <v>0</v>
      </c>
      <c r="O587" s="188">
        <v>1.8</v>
      </c>
      <c r="P587" s="188">
        <v>1.71</v>
      </c>
      <c r="Q587" s="188">
        <v>-0.06</v>
      </c>
      <c r="R587" s="188">
        <v>0.69</v>
      </c>
      <c r="S587" s="188">
        <v>0</v>
      </c>
      <c r="T587" s="188">
        <v>0</v>
      </c>
      <c r="U587" s="188">
        <v>0</v>
      </c>
      <c r="V587" s="188">
        <v>0</v>
      </c>
      <c r="W587" s="188"/>
      <c r="X587" s="89"/>
      <c r="Y587" s="187"/>
      <c r="Z587" s="187"/>
      <c r="AA587" s="187"/>
      <c r="AB587" s="187"/>
      <c r="AC587" s="187"/>
      <c r="AD587" s="189"/>
      <c r="AE587" s="188"/>
    </row>
    <row r="588" spans="1:31" ht="21.25" customHeight="1" x14ac:dyDescent="0.15">
      <c r="A588" s="10" t="s">
        <v>795</v>
      </c>
      <c r="B588" s="185" t="s">
        <v>860</v>
      </c>
      <c r="C588" s="186">
        <v>24</v>
      </c>
      <c r="D588" s="185" t="s">
        <v>822</v>
      </c>
      <c r="E588" s="89">
        <v>62</v>
      </c>
      <c r="F588" s="187">
        <v>8.5</v>
      </c>
      <c r="G588" s="188">
        <v>0.06</v>
      </c>
      <c r="H588" s="188">
        <v>0.08</v>
      </c>
      <c r="I588" s="188">
        <v>0.14000000000000001</v>
      </c>
      <c r="J588" s="188">
        <v>0.71</v>
      </c>
      <c r="K588" s="188">
        <v>0</v>
      </c>
      <c r="L588" s="188">
        <v>0.01</v>
      </c>
      <c r="M588" s="188">
        <v>0</v>
      </c>
      <c r="N588" s="188">
        <v>0</v>
      </c>
      <c r="O588" s="188">
        <v>0.32</v>
      </c>
      <c r="P588" s="188">
        <v>2.52</v>
      </c>
      <c r="Q588" s="188">
        <v>0</v>
      </c>
      <c r="R588" s="188">
        <v>0.64</v>
      </c>
      <c r="S588" s="188">
        <v>0.01</v>
      </c>
      <c r="T588" s="188">
        <v>0.09</v>
      </c>
      <c r="U588" s="188">
        <v>0.24</v>
      </c>
      <c r="V588" s="188">
        <v>0.27</v>
      </c>
      <c r="W588" s="188"/>
      <c r="X588" s="89"/>
      <c r="Y588" s="187"/>
      <c r="Z588" s="187"/>
      <c r="AA588" s="187"/>
      <c r="AB588" s="187"/>
      <c r="AC588" s="187"/>
      <c r="AD588" s="189"/>
      <c r="AE588" s="188"/>
    </row>
    <row r="589" spans="1:31" ht="21.25" customHeight="1" x14ac:dyDescent="0.15">
      <c r="A589" s="10" t="s">
        <v>517</v>
      </c>
      <c r="B589" s="185" t="s">
        <v>854</v>
      </c>
      <c r="C589" s="186">
        <v>29</v>
      </c>
      <c r="D589" s="185" t="s">
        <v>823</v>
      </c>
      <c r="E589" s="89">
        <v>79</v>
      </c>
      <c r="F589" s="187">
        <v>17.7</v>
      </c>
      <c r="G589" s="188">
        <v>0.01</v>
      </c>
      <c r="H589" s="188">
        <v>0.12</v>
      </c>
      <c r="I589" s="188">
        <v>0.13</v>
      </c>
      <c r="J589" s="188">
        <v>0.83</v>
      </c>
      <c r="K589" s="188">
        <v>0</v>
      </c>
      <c r="L589" s="188">
        <v>0</v>
      </c>
      <c r="M589" s="188">
        <v>0</v>
      </c>
      <c r="N589" s="188">
        <v>0.01</v>
      </c>
      <c r="O589" s="188">
        <v>1.6</v>
      </c>
      <c r="P589" s="188">
        <v>1.1299999999999999</v>
      </c>
      <c r="Q589" s="188">
        <v>-0.03</v>
      </c>
      <c r="R589" s="188">
        <v>0.49</v>
      </c>
      <c r="S589" s="188">
        <v>0</v>
      </c>
      <c r="T589" s="188">
        <v>0</v>
      </c>
      <c r="U589" s="188">
        <v>0</v>
      </c>
      <c r="V589" s="188">
        <v>0</v>
      </c>
      <c r="W589" s="188"/>
      <c r="X589" s="89"/>
      <c r="Y589" s="187"/>
      <c r="Z589" s="187"/>
      <c r="AA589" s="187"/>
      <c r="AB589" s="187"/>
      <c r="AC589" s="187"/>
      <c r="AD589" s="189"/>
      <c r="AE589" s="188"/>
    </row>
    <row r="590" spans="1:31" ht="21.25" customHeight="1" x14ac:dyDescent="0.15">
      <c r="A590" s="10" t="s">
        <v>788</v>
      </c>
      <c r="B590" s="185" t="s">
        <v>836</v>
      </c>
      <c r="C590" s="186">
        <v>23</v>
      </c>
      <c r="D590" s="185" t="s">
        <v>820</v>
      </c>
      <c r="E590" s="89">
        <v>69</v>
      </c>
      <c r="F590" s="187">
        <v>10.4</v>
      </c>
      <c r="G590" s="188">
        <v>0.06</v>
      </c>
      <c r="H590" s="188">
        <v>7.0000000000000007E-2</v>
      </c>
      <c r="I590" s="188">
        <v>0.13</v>
      </c>
      <c r="J590" s="188">
        <v>0.74</v>
      </c>
      <c r="K590" s="188">
        <v>0</v>
      </c>
      <c r="L590" s="188">
        <v>0</v>
      </c>
      <c r="M590" s="188">
        <v>0</v>
      </c>
      <c r="N590" s="188">
        <v>0.01</v>
      </c>
      <c r="O590" s="188">
        <v>0.5</v>
      </c>
      <c r="P590" s="188">
        <v>2.13</v>
      </c>
      <c r="Q590" s="188">
        <v>-0.04</v>
      </c>
      <c r="R590" s="188">
        <v>0.47</v>
      </c>
      <c r="S590" s="188">
        <v>0.01</v>
      </c>
      <c r="T590" s="188">
        <v>3.73</v>
      </c>
      <c r="U590" s="188">
        <v>3.82</v>
      </c>
      <c r="V590" s="188">
        <v>0.49</v>
      </c>
      <c r="W590" s="188"/>
      <c r="X590" s="89"/>
      <c r="Y590" s="187"/>
      <c r="Z590" s="187"/>
      <c r="AA590" s="187"/>
      <c r="AB590" s="187"/>
      <c r="AC590" s="187"/>
      <c r="AD590" s="189"/>
      <c r="AE590" s="188"/>
    </row>
    <row r="591" spans="1:31" ht="21.25" customHeight="1" x14ac:dyDescent="0.15">
      <c r="A591" s="10" t="s">
        <v>792</v>
      </c>
      <c r="B591" s="185" t="s">
        <v>855</v>
      </c>
      <c r="C591" s="186">
        <v>30</v>
      </c>
      <c r="D591" s="185" t="s">
        <v>821</v>
      </c>
      <c r="E591" s="89">
        <v>65</v>
      </c>
      <c r="F591" s="187">
        <v>8.8000000000000007</v>
      </c>
      <c r="G591" s="188">
        <v>0.05</v>
      </c>
      <c r="H591" s="188">
        <v>0.09</v>
      </c>
      <c r="I591" s="188">
        <v>0.13</v>
      </c>
      <c r="J591" s="188">
        <v>0.89</v>
      </c>
      <c r="K591" s="188">
        <v>0</v>
      </c>
      <c r="L591" s="188">
        <v>0</v>
      </c>
      <c r="M591" s="188">
        <v>0</v>
      </c>
      <c r="N591" s="188">
        <v>0</v>
      </c>
      <c r="O591" s="188">
        <v>0.46</v>
      </c>
      <c r="P591" s="188">
        <v>2.4300000000000002</v>
      </c>
      <c r="Q591" s="188">
        <v>-0.04</v>
      </c>
      <c r="R591" s="188">
        <v>0.39</v>
      </c>
      <c r="S591" s="188">
        <v>0.01</v>
      </c>
      <c r="T591" s="188">
        <v>0.08</v>
      </c>
      <c r="U591" s="188">
        <v>0.16</v>
      </c>
      <c r="V591" s="188">
        <v>0.32</v>
      </c>
      <c r="W591" s="188"/>
      <c r="X591" s="89"/>
      <c r="Y591" s="187"/>
      <c r="Z591" s="187"/>
      <c r="AA591" s="187"/>
      <c r="AB591" s="187"/>
      <c r="AC591" s="187"/>
      <c r="AD591" s="189"/>
      <c r="AE591" s="188"/>
    </row>
    <row r="592" spans="1:31" ht="21.25" customHeight="1" x14ac:dyDescent="0.15">
      <c r="A592" s="10" t="s">
        <v>620</v>
      </c>
      <c r="B592" s="185" t="s">
        <v>859</v>
      </c>
      <c r="C592" s="186">
        <v>27</v>
      </c>
      <c r="D592" s="185" t="s">
        <v>823</v>
      </c>
      <c r="E592" s="89">
        <v>65</v>
      </c>
      <c r="F592" s="187">
        <v>15.7</v>
      </c>
      <c r="G592" s="188">
        <v>0.02</v>
      </c>
      <c r="H592" s="188">
        <v>0.11</v>
      </c>
      <c r="I592" s="188">
        <v>0.13</v>
      </c>
      <c r="J592" s="188">
        <v>0.79</v>
      </c>
      <c r="K592" s="188">
        <v>0</v>
      </c>
      <c r="L592" s="188">
        <v>0</v>
      </c>
      <c r="M592" s="188">
        <v>0</v>
      </c>
      <c r="N592" s="188">
        <v>0.01</v>
      </c>
      <c r="O592" s="188">
        <v>1.1399999999999999</v>
      </c>
      <c r="P592" s="188">
        <v>0.98</v>
      </c>
      <c r="Q592" s="188">
        <v>0.01</v>
      </c>
      <c r="R592" s="188">
        <v>0.4</v>
      </c>
      <c r="S592" s="188">
        <v>0</v>
      </c>
      <c r="T592" s="188">
        <v>0</v>
      </c>
      <c r="U592" s="188">
        <v>0</v>
      </c>
      <c r="V592" s="188">
        <v>0</v>
      </c>
      <c r="W592" s="188"/>
      <c r="X592" s="89"/>
      <c r="Y592" s="187"/>
      <c r="Z592" s="187"/>
      <c r="AA592" s="187"/>
      <c r="AB592" s="187"/>
      <c r="AC592" s="187"/>
      <c r="AD592" s="189"/>
      <c r="AE592" s="188"/>
    </row>
    <row r="593" spans="1:31" ht="21.25" customHeight="1" x14ac:dyDescent="0.15">
      <c r="A593" s="10" t="s">
        <v>782</v>
      </c>
      <c r="B593" s="185" t="s">
        <v>852</v>
      </c>
      <c r="C593" s="186">
        <v>34</v>
      </c>
      <c r="D593" s="185" t="s">
        <v>844</v>
      </c>
      <c r="E593" s="89">
        <v>77</v>
      </c>
      <c r="F593" s="187">
        <v>9.4</v>
      </c>
      <c r="G593" s="188">
        <v>0.05</v>
      </c>
      <c r="H593" s="188">
        <v>0.08</v>
      </c>
      <c r="I593" s="188">
        <v>0.13</v>
      </c>
      <c r="J593" s="188">
        <v>0.78</v>
      </c>
      <c r="K593" s="188">
        <v>0</v>
      </c>
      <c r="L593" s="188">
        <v>0</v>
      </c>
      <c r="M593" s="188">
        <v>0</v>
      </c>
      <c r="N593" s="188">
        <v>0</v>
      </c>
      <c r="O593" s="188">
        <v>0.66</v>
      </c>
      <c r="P593" s="188">
        <v>2.15</v>
      </c>
      <c r="Q593" s="188">
        <v>-0.02</v>
      </c>
      <c r="R593" s="188">
        <v>0.37</v>
      </c>
      <c r="S593" s="188">
        <v>0.01</v>
      </c>
      <c r="T593" s="188">
        <v>0.06</v>
      </c>
      <c r="U593" s="188">
        <v>0.21</v>
      </c>
      <c r="V593" s="188">
        <v>0.23</v>
      </c>
      <c r="W593" s="188"/>
      <c r="X593" s="89"/>
      <c r="Y593" s="187"/>
      <c r="Z593" s="187"/>
      <c r="AA593" s="187"/>
      <c r="AB593" s="187"/>
      <c r="AC593" s="187"/>
      <c r="AD593" s="189"/>
      <c r="AE593" s="188"/>
    </row>
    <row r="594" spans="1:31" ht="21.25" customHeight="1" x14ac:dyDescent="0.15">
      <c r="A594" s="10" t="s">
        <v>619</v>
      </c>
      <c r="B594" s="185" t="s">
        <v>840</v>
      </c>
      <c r="C594" s="186">
        <v>36</v>
      </c>
      <c r="D594" s="185" t="s">
        <v>823</v>
      </c>
      <c r="E594" s="89">
        <v>75</v>
      </c>
      <c r="F594" s="187">
        <v>14.2</v>
      </c>
      <c r="G594" s="188">
        <v>0.02</v>
      </c>
      <c r="H594" s="188">
        <v>0.11</v>
      </c>
      <c r="I594" s="188">
        <v>0.13</v>
      </c>
      <c r="J594" s="188">
        <v>0.71</v>
      </c>
      <c r="K594" s="188">
        <v>0</v>
      </c>
      <c r="L594" s="188">
        <v>0</v>
      </c>
      <c r="M594" s="188">
        <v>0</v>
      </c>
      <c r="N594" s="188">
        <v>0</v>
      </c>
      <c r="O594" s="188">
        <v>0.93</v>
      </c>
      <c r="P594" s="188">
        <v>1.1299999999999999</v>
      </c>
      <c r="Q594" s="188">
        <v>0.03</v>
      </c>
      <c r="R594" s="188">
        <v>0.45</v>
      </c>
      <c r="S594" s="188">
        <v>0</v>
      </c>
      <c r="T594" s="188">
        <v>0</v>
      </c>
      <c r="U594" s="188">
        <v>0.01</v>
      </c>
      <c r="V594" s="188">
        <v>0</v>
      </c>
      <c r="W594" s="188"/>
      <c r="X594" s="89"/>
      <c r="Y594" s="187"/>
      <c r="Z594" s="187"/>
      <c r="AA594" s="187"/>
      <c r="AB594" s="187"/>
      <c r="AC594" s="187"/>
      <c r="AD594" s="189"/>
      <c r="AE594" s="188"/>
    </row>
    <row r="595" spans="1:31" ht="21.25" customHeight="1" x14ac:dyDescent="0.15">
      <c r="A595" s="10" t="s">
        <v>590</v>
      </c>
      <c r="B595" s="185" t="s">
        <v>862</v>
      </c>
      <c r="C595" s="186">
        <v>33</v>
      </c>
      <c r="D595" s="185" t="s">
        <v>823</v>
      </c>
      <c r="E595" s="89">
        <v>77</v>
      </c>
      <c r="F595" s="187">
        <v>16.5</v>
      </c>
      <c r="G595" s="188">
        <v>0.01</v>
      </c>
      <c r="H595" s="188">
        <v>0.11</v>
      </c>
      <c r="I595" s="188">
        <v>0.12</v>
      </c>
      <c r="J595" s="188">
        <v>0.62</v>
      </c>
      <c r="K595" s="188">
        <v>0</v>
      </c>
      <c r="L595" s="188">
        <v>0</v>
      </c>
      <c r="M595" s="188">
        <v>0</v>
      </c>
      <c r="N595" s="188">
        <v>0</v>
      </c>
      <c r="O595" s="188">
        <v>1.22</v>
      </c>
      <c r="P595" s="188">
        <v>1.07</v>
      </c>
      <c r="Q595" s="188">
        <v>-0.06</v>
      </c>
      <c r="R595" s="188">
        <v>0.6</v>
      </c>
      <c r="S595" s="188">
        <v>0</v>
      </c>
      <c r="T595" s="188">
        <v>0</v>
      </c>
      <c r="U595" s="188">
        <v>0</v>
      </c>
      <c r="V595" s="188">
        <v>0</v>
      </c>
      <c r="W595" s="188"/>
      <c r="X595" s="89"/>
      <c r="Y595" s="187"/>
      <c r="Z595" s="187"/>
      <c r="AA595" s="187"/>
      <c r="AB595" s="187"/>
      <c r="AC595" s="187"/>
      <c r="AD595" s="189"/>
      <c r="AE595" s="188"/>
    </row>
    <row r="596" spans="1:31" ht="21.25" customHeight="1" x14ac:dyDescent="0.15">
      <c r="A596" s="10" t="s">
        <v>784</v>
      </c>
      <c r="B596" s="185" t="s">
        <v>849</v>
      </c>
      <c r="C596" s="186">
        <v>34</v>
      </c>
      <c r="D596" s="185" t="s">
        <v>822</v>
      </c>
      <c r="E596" s="89">
        <v>79</v>
      </c>
      <c r="F596" s="187">
        <v>9.6999999999999993</v>
      </c>
      <c r="G596" s="188">
        <v>0.05</v>
      </c>
      <c r="H596" s="188">
        <v>7.0000000000000007E-2</v>
      </c>
      <c r="I596" s="188">
        <v>0.12</v>
      </c>
      <c r="J596" s="188">
        <v>0.67</v>
      </c>
      <c r="K596" s="188">
        <v>0</v>
      </c>
      <c r="L596" s="188">
        <v>0</v>
      </c>
      <c r="M596" s="188">
        <v>0.01</v>
      </c>
      <c r="N596" s="188">
        <v>0.01</v>
      </c>
      <c r="O596" s="188">
        <v>0.73</v>
      </c>
      <c r="P596" s="188">
        <v>3.11</v>
      </c>
      <c r="Q596" s="188">
        <v>0.03</v>
      </c>
      <c r="R596" s="188">
        <v>0.57999999999999996</v>
      </c>
      <c r="S596" s="188">
        <v>0.01</v>
      </c>
      <c r="T596" s="188">
        <v>0.18</v>
      </c>
      <c r="U596" s="188">
        <v>0.15</v>
      </c>
      <c r="V596" s="188">
        <v>0.54</v>
      </c>
      <c r="W596" s="188"/>
      <c r="X596" s="89"/>
      <c r="Y596" s="187"/>
      <c r="Z596" s="187"/>
      <c r="AA596" s="187"/>
      <c r="AB596" s="187"/>
      <c r="AC596" s="187"/>
      <c r="AD596" s="189"/>
      <c r="AE596" s="188"/>
    </row>
    <row r="597" spans="1:31" ht="21.25" customHeight="1" x14ac:dyDescent="0.15">
      <c r="A597" s="10" t="s">
        <v>592</v>
      </c>
      <c r="B597" s="185" t="s">
        <v>865</v>
      </c>
      <c r="C597" s="186">
        <v>30</v>
      </c>
      <c r="D597" s="185" t="s">
        <v>823</v>
      </c>
      <c r="E597" s="89">
        <v>74</v>
      </c>
      <c r="F597" s="187">
        <v>17.399999999999999</v>
      </c>
      <c r="G597" s="188">
        <v>0</v>
      </c>
      <c r="H597" s="188">
        <v>0.11</v>
      </c>
      <c r="I597" s="188">
        <v>0.11</v>
      </c>
      <c r="J597" s="188">
        <v>0.45</v>
      </c>
      <c r="K597" s="188">
        <v>0</v>
      </c>
      <c r="L597" s="188">
        <v>0</v>
      </c>
      <c r="M597" s="188">
        <v>0</v>
      </c>
      <c r="N597" s="188">
        <v>0</v>
      </c>
      <c r="O597" s="188">
        <v>1.51</v>
      </c>
      <c r="P597" s="188">
        <v>1.64</v>
      </c>
      <c r="Q597" s="188">
        <v>0.05</v>
      </c>
      <c r="R597" s="188">
        <v>0.7</v>
      </c>
      <c r="S597" s="188">
        <v>0</v>
      </c>
      <c r="T597" s="188">
        <v>0</v>
      </c>
      <c r="U597" s="188">
        <v>0</v>
      </c>
      <c r="V597" s="188">
        <v>0</v>
      </c>
      <c r="W597" s="188"/>
      <c r="X597" s="89"/>
      <c r="Y597" s="187"/>
      <c r="Z597" s="187"/>
      <c r="AA597" s="187"/>
      <c r="AB597" s="187"/>
      <c r="AC597" s="187"/>
      <c r="AD597" s="189"/>
      <c r="AE597" s="188"/>
    </row>
    <row r="598" spans="1:31" ht="21.25" customHeight="1" x14ac:dyDescent="0.15">
      <c r="A598" s="10" t="s">
        <v>565</v>
      </c>
      <c r="B598" s="185" t="s">
        <v>863</v>
      </c>
      <c r="C598" s="186">
        <v>28</v>
      </c>
      <c r="D598" s="185" t="s">
        <v>823</v>
      </c>
      <c r="E598" s="89">
        <v>80</v>
      </c>
      <c r="F598" s="187">
        <v>15.8</v>
      </c>
      <c r="G598" s="188">
        <v>0.01</v>
      </c>
      <c r="H598" s="188">
        <v>0.1</v>
      </c>
      <c r="I598" s="188">
        <v>0.11</v>
      </c>
      <c r="J598" s="188">
        <v>0.72</v>
      </c>
      <c r="K598" s="188">
        <v>0</v>
      </c>
      <c r="L598" s="188">
        <v>0</v>
      </c>
      <c r="M598" s="188">
        <v>0</v>
      </c>
      <c r="N598" s="188">
        <v>0</v>
      </c>
      <c r="O598" s="188">
        <v>1.33</v>
      </c>
      <c r="P598" s="188">
        <v>2.1800000000000002</v>
      </c>
      <c r="Q598" s="188">
        <v>-0.03</v>
      </c>
      <c r="R598" s="188">
        <v>0.59</v>
      </c>
      <c r="S598" s="188">
        <v>0</v>
      </c>
      <c r="T598" s="188">
        <v>0</v>
      </c>
      <c r="U598" s="188">
        <v>0</v>
      </c>
      <c r="V598" s="188">
        <v>0</v>
      </c>
      <c r="W598" s="188"/>
      <c r="X598" s="89"/>
      <c r="Y598" s="187"/>
      <c r="Z598" s="187"/>
      <c r="AA598" s="187"/>
      <c r="AB598" s="187"/>
      <c r="AC598" s="187"/>
      <c r="AD598" s="189"/>
      <c r="AE598" s="188"/>
    </row>
    <row r="599" spans="1:31" ht="21.25" customHeight="1" x14ac:dyDescent="0.15">
      <c r="A599" s="10" t="s">
        <v>599</v>
      </c>
      <c r="B599" s="185" t="s">
        <v>851</v>
      </c>
      <c r="C599" s="186">
        <v>31</v>
      </c>
      <c r="D599" s="185" t="s">
        <v>823</v>
      </c>
      <c r="E599" s="89">
        <v>69</v>
      </c>
      <c r="F599" s="187">
        <v>16</v>
      </c>
      <c r="G599" s="188">
        <v>0.02</v>
      </c>
      <c r="H599" s="188">
        <v>0.09</v>
      </c>
      <c r="I599" s="188">
        <v>0.11</v>
      </c>
      <c r="J599" s="188">
        <v>0.75</v>
      </c>
      <c r="K599" s="188">
        <v>0</v>
      </c>
      <c r="L599" s="188">
        <v>0</v>
      </c>
      <c r="M599" s="188">
        <v>0</v>
      </c>
      <c r="N599" s="188">
        <v>0</v>
      </c>
      <c r="O599" s="188">
        <v>1.41</v>
      </c>
      <c r="P599" s="188">
        <v>1.1299999999999999</v>
      </c>
      <c r="Q599" s="188">
        <v>-0.01</v>
      </c>
      <c r="R599" s="188">
        <v>0.38</v>
      </c>
      <c r="S599" s="188">
        <v>0</v>
      </c>
      <c r="T599" s="188">
        <v>0</v>
      </c>
      <c r="U599" s="188">
        <v>0</v>
      </c>
      <c r="V599" s="188">
        <v>0</v>
      </c>
      <c r="W599" s="188"/>
      <c r="X599" s="89"/>
      <c r="Y599" s="187"/>
      <c r="Z599" s="187"/>
      <c r="AA599" s="187"/>
      <c r="AB599" s="187"/>
      <c r="AC599" s="187"/>
      <c r="AD599" s="189"/>
      <c r="AE599" s="188"/>
    </row>
    <row r="600" spans="1:31" ht="21.25" customHeight="1" x14ac:dyDescent="0.15">
      <c r="A600" s="10" t="s">
        <v>794</v>
      </c>
      <c r="B600" s="185" t="s">
        <v>852</v>
      </c>
      <c r="C600" s="186">
        <v>32</v>
      </c>
      <c r="D600" s="185" t="s">
        <v>844</v>
      </c>
      <c r="E600" s="89">
        <v>68</v>
      </c>
      <c r="F600" s="187">
        <v>9.1</v>
      </c>
      <c r="G600" s="188">
        <v>0.05</v>
      </c>
      <c r="H600" s="188">
        <v>0.05</v>
      </c>
      <c r="I600" s="188">
        <v>0.1</v>
      </c>
      <c r="J600" s="188">
        <v>0.88</v>
      </c>
      <c r="K600" s="188">
        <v>0</v>
      </c>
      <c r="L600" s="188">
        <v>0</v>
      </c>
      <c r="M600" s="188">
        <v>0</v>
      </c>
      <c r="N600" s="188">
        <v>0</v>
      </c>
      <c r="O600" s="188">
        <v>0.39</v>
      </c>
      <c r="P600" s="188">
        <v>2.7</v>
      </c>
      <c r="Q600" s="188">
        <v>0</v>
      </c>
      <c r="R600" s="188">
        <v>0.67</v>
      </c>
      <c r="S600" s="188">
        <v>0.01</v>
      </c>
      <c r="T600" s="188">
        <v>0.1</v>
      </c>
      <c r="U600" s="188">
        <v>0.16</v>
      </c>
      <c r="V600" s="188">
        <v>0.38</v>
      </c>
      <c r="W600" s="188"/>
      <c r="X600" s="89"/>
      <c r="Y600" s="187"/>
      <c r="Z600" s="187"/>
      <c r="AA600" s="187"/>
      <c r="AB600" s="187"/>
      <c r="AC600" s="187"/>
      <c r="AD600" s="189"/>
      <c r="AE600" s="188"/>
    </row>
    <row r="601" spans="1:31" ht="21.25" customHeight="1" x14ac:dyDescent="0.15">
      <c r="A601" s="10" t="s">
        <v>667</v>
      </c>
      <c r="B601" s="185" t="s">
        <v>853</v>
      </c>
      <c r="C601" s="186">
        <v>27</v>
      </c>
      <c r="D601" s="185" t="s">
        <v>823</v>
      </c>
      <c r="E601" s="89">
        <v>68</v>
      </c>
      <c r="F601" s="187">
        <v>10.1</v>
      </c>
      <c r="G601" s="188">
        <v>0.01</v>
      </c>
      <c r="H601" s="188">
        <v>0.08</v>
      </c>
      <c r="I601" s="188">
        <v>0.09</v>
      </c>
      <c r="J601" s="188">
        <v>0.6</v>
      </c>
      <c r="K601" s="188">
        <v>0</v>
      </c>
      <c r="L601" s="188">
        <v>0</v>
      </c>
      <c r="M601" s="188">
        <v>0</v>
      </c>
      <c r="N601" s="188">
        <v>0</v>
      </c>
      <c r="O601" s="188">
        <v>0.68</v>
      </c>
      <c r="P601" s="188">
        <v>0.76</v>
      </c>
      <c r="Q601" s="188">
        <v>0</v>
      </c>
      <c r="R601" s="188">
        <v>0.19</v>
      </c>
      <c r="S601" s="188">
        <v>0</v>
      </c>
      <c r="T601" s="188">
        <v>0</v>
      </c>
      <c r="U601" s="188">
        <v>0</v>
      </c>
      <c r="V601" s="188">
        <v>0</v>
      </c>
      <c r="W601" s="188"/>
      <c r="X601" s="89"/>
      <c r="Y601" s="187"/>
      <c r="Z601" s="187"/>
      <c r="AA601" s="187"/>
      <c r="AB601" s="187"/>
      <c r="AC601" s="187"/>
      <c r="AD601" s="189"/>
      <c r="AE601" s="188"/>
    </row>
    <row r="602" spans="1:31" ht="21.25" customHeight="1" x14ac:dyDescent="0.15">
      <c r="A602" s="10" t="s">
        <v>630</v>
      </c>
      <c r="B602" s="185" t="s">
        <v>867</v>
      </c>
      <c r="C602" s="186">
        <v>35</v>
      </c>
      <c r="D602" s="185" t="s">
        <v>823</v>
      </c>
      <c r="E602" s="89">
        <v>74</v>
      </c>
      <c r="F602" s="187">
        <v>15.4</v>
      </c>
      <c r="G602" s="188">
        <v>0</v>
      </c>
      <c r="H602" s="188">
        <v>0.09</v>
      </c>
      <c r="I602" s="188">
        <v>0.09</v>
      </c>
      <c r="J602" s="188">
        <v>0.35</v>
      </c>
      <c r="K602" s="188">
        <v>0</v>
      </c>
      <c r="L602" s="188">
        <v>0</v>
      </c>
      <c r="M602" s="188">
        <v>0</v>
      </c>
      <c r="N602" s="188">
        <v>0</v>
      </c>
      <c r="O602" s="188">
        <v>1.37</v>
      </c>
      <c r="P602" s="188">
        <v>0.88</v>
      </c>
      <c r="Q602" s="188">
        <v>-0.09</v>
      </c>
      <c r="R602" s="188">
        <v>0.48</v>
      </c>
      <c r="S602" s="188">
        <v>0</v>
      </c>
      <c r="T602" s="188">
        <v>0</v>
      </c>
      <c r="U602" s="188">
        <v>0</v>
      </c>
      <c r="V602" s="188">
        <v>0</v>
      </c>
      <c r="W602" s="188"/>
      <c r="X602" s="89"/>
      <c r="Y602" s="187"/>
      <c r="Z602" s="187"/>
      <c r="AA602" s="187"/>
      <c r="AB602" s="187"/>
      <c r="AC602" s="187"/>
      <c r="AD602" s="189"/>
      <c r="AE602" s="188"/>
    </row>
    <row r="603" spans="1:31" ht="21.25" customHeight="1" x14ac:dyDescent="0.15">
      <c r="A603" s="10" t="s">
        <v>297</v>
      </c>
      <c r="B603" s="185" t="s">
        <v>841</v>
      </c>
      <c r="C603" s="186">
        <v>18</v>
      </c>
      <c r="D603" s="185" t="s">
        <v>821</v>
      </c>
      <c r="E603" s="89">
        <v>80</v>
      </c>
      <c r="F603" s="187">
        <v>17</v>
      </c>
      <c r="G603" s="188">
        <v>0.31</v>
      </c>
      <c r="H603" s="188">
        <v>0.59</v>
      </c>
      <c r="I603" s="188">
        <v>0.9</v>
      </c>
      <c r="J603" s="188">
        <v>2.25</v>
      </c>
      <c r="K603" s="188">
        <v>0.1</v>
      </c>
      <c r="L603" s="188">
        <v>0.27</v>
      </c>
      <c r="M603" s="188">
        <v>0</v>
      </c>
      <c r="N603" s="188">
        <v>0</v>
      </c>
      <c r="O603" s="188">
        <v>0.44</v>
      </c>
      <c r="P603" s="188">
        <v>1.18</v>
      </c>
      <c r="Q603" s="188">
        <v>0</v>
      </c>
      <c r="R603" s="188">
        <v>0.4</v>
      </c>
      <c r="S603" s="188">
        <v>0.04</v>
      </c>
      <c r="T603" s="188">
        <v>0</v>
      </c>
      <c r="U603" s="188">
        <v>0</v>
      </c>
      <c r="V603" s="188">
        <v>0.4</v>
      </c>
      <c r="W603" s="188"/>
      <c r="X603" s="89"/>
      <c r="Y603" s="187"/>
      <c r="Z603" s="187"/>
      <c r="AA603" s="187"/>
      <c r="AB603" s="187"/>
      <c r="AC603" s="187"/>
      <c r="AD603" s="189"/>
      <c r="AE603" s="188"/>
    </row>
    <row r="604" spans="1:31" ht="21.25" customHeight="1" x14ac:dyDescent="0.15">
      <c r="A604" s="10" t="s">
        <v>418</v>
      </c>
      <c r="B604" s="185" t="s">
        <v>836</v>
      </c>
      <c r="C604" s="186">
        <v>18</v>
      </c>
      <c r="D604" s="185" t="s">
        <v>821</v>
      </c>
      <c r="E604" s="89">
        <v>80</v>
      </c>
      <c r="F604" s="187">
        <v>15</v>
      </c>
      <c r="G604" s="188">
        <v>0.28000000000000003</v>
      </c>
      <c r="H604" s="188">
        <v>0.48</v>
      </c>
      <c r="I604" s="188">
        <v>0.75</v>
      </c>
      <c r="J604" s="188">
        <v>2.0699999999999998</v>
      </c>
      <c r="K604" s="188">
        <v>0.08</v>
      </c>
      <c r="L604" s="188">
        <v>0.22</v>
      </c>
      <c r="M604" s="188">
        <v>0</v>
      </c>
      <c r="N604" s="188">
        <v>0</v>
      </c>
      <c r="O604" s="188">
        <v>0.43</v>
      </c>
      <c r="P604" s="188">
        <v>1.18</v>
      </c>
      <c r="Q604" s="188">
        <v>0</v>
      </c>
      <c r="R604" s="188">
        <v>0.4</v>
      </c>
      <c r="S604" s="188">
        <v>0.04</v>
      </c>
      <c r="T604" s="188">
        <v>0</v>
      </c>
      <c r="U604" s="188">
        <v>0</v>
      </c>
      <c r="V604" s="188">
        <v>0.4</v>
      </c>
      <c r="W604" s="188"/>
      <c r="X604" s="89"/>
      <c r="Y604" s="187"/>
      <c r="Z604" s="187"/>
      <c r="AA604" s="187"/>
      <c r="AB604" s="187"/>
      <c r="AC604" s="187"/>
      <c r="AD604" s="189"/>
      <c r="AE604" s="188"/>
    </row>
    <row r="605" spans="1:31" ht="21.25" customHeight="1" x14ac:dyDescent="0.15">
      <c r="A605" s="10" t="s">
        <v>531</v>
      </c>
      <c r="B605" s="185" t="s">
        <v>850</v>
      </c>
      <c r="C605" s="186">
        <v>22</v>
      </c>
      <c r="D605" s="185" t="s">
        <v>822</v>
      </c>
      <c r="E605" s="89">
        <v>77</v>
      </c>
      <c r="F605" s="187">
        <v>15</v>
      </c>
      <c r="G605" s="188">
        <v>0.24</v>
      </c>
      <c r="H605" s="188">
        <v>0.25</v>
      </c>
      <c r="I605" s="188">
        <v>0.49</v>
      </c>
      <c r="J605" s="188">
        <v>1.9</v>
      </c>
      <c r="K605" s="188">
        <v>0.05</v>
      </c>
      <c r="L605" s="188">
        <v>0.11</v>
      </c>
      <c r="M605" s="188">
        <v>0</v>
      </c>
      <c r="N605" s="188">
        <v>0</v>
      </c>
      <c r="O605" s="188">
        <v>0.43</v>
      </c>
      <c r="P605" s="188">
        <v>1.18</v>
      </c>
      <c r="Q605" s="188">
        <v>0</v>
      </c>
      <c r="R605" s="188">
        <v>0.4</v>
      </c>
      <c r="S605" s="188">
        <v>0.03</v>
      </c>
      <c r="T605" s="188">
        <v>0</v>
      </c>
      <c r="U605" s="188">
        <v>0</v>
      </c>
      <c r="V605" s="188">
        <v>0.4</v>
      </c>
      <c r="W605" s="188"/>
      <c r="X605" s="89"/>
      <c r="Y605" s="187"/>
      <c r="Z605" s="187"/>
      <c r="AA605" s="187"/>
      <c r="AB605" s="187"/>
      <c r="AC605" s="187"/>
      <c r="AD605" s="189"/>
      <c r="AE605" s="188"/>
    </row>
    <row r="606" spans="1:31" ht="21.25" customHeight="1" x14ac:dyDescent="0.15">
      <c r="A606" s="10" t="s">
        <v>608</v>
      </c>
      <c r="B606" s="185" t="s">
        <v>865</v>
      </c>
      <c r="C606" s="186">
        <v>20</v>
      </c>
      <c r="D606" s="185" t="s">
        <v>821</v>
      </c>
      <c r="E606" s="89">
        <v>72</v>
      </c>
      <c r="F606" s="187">
        <v>13</v>
      </c>
      <c r="G606" s="188">
        <v>0.2</v>
      </c>
      <c r="H606" s="188">
        <v>0.28000000000000003</v>
      </c>
      <c r="I606" s="188">
        <v>0.48</v>
      </c>
      <c r="J606" s="188">
        <v>1.71</v>
      </c>
      <c r="K606" s="188">
        <v>0.04</v>
      </c>
      <c r="L606" s="188">
        <v>0.11</v>
      </c>
      <c r="M606" s="188">
        <v>0</v>
      </c>
      <c r="N606" s="188">
        <v>0</v>
      </c>
      <c r="O606" s="188">
        <v>0.41</v>
      </c>
      <c r="P606" s="188">
        <v>1.18</v>
      </c>
      <c r="Q606" s="188">
        <v>0</v>
      </c>
      <c r="R606" s="188">
        <v>0.4</v>
      </c>
      <c r="S606" s="188">
        <v>0.03</v>
      </c>
      <c r="T606" s="188">
        <v>1.95</v>
      </c>
      <c r="U606" s="188">
        <v>2.93</v>
      </c>
      <c r="V606" s="188">
        <v>0.4</v>
      </c>
      <c r="W606" s="188"/>
      <c r="X606" s="89"/>
      <c r="Y606" s="187"/>
      <c r="Z606" s="187"/>
      <c r="AA606" s="187"/>
      <c r="AB606" s="187"/>
      <c r="AC606" s="187"/>
      <c r="AD606" s="189"/>
      <c r="AE606" s="188"/>
    </row>
    <row r="607" spans="1:31" ht="21.25" customHeight="1" x14ac:dyDescent="0.15">
      <c r="A607" s="10" t="s">
        <v>426</v>
      </c>
      <c r="B607" s="185" t="s">
        <v>837</v>
      </c>
      <c r="C607" s="186">
        <v>19</v>
      </c>
      <c r="D607" s="185" t="s">
        <v>820</v>
      </c>
      <c r="E607" s="89">
        <v>74</v>
      </c>
      <c r="F607" s="187">
        <v>14</v>
      </c>
      <c r="G607" s="188">
        <v>0.27</v>
      </c>
      <c r="H607" s="188">
        <v>0.35</v>
      </c>
      <c r="I607" s="188">
        <v>0.62</v>
      </c>
      <c r="J607" s="188">
        <v>2.04</v>
      </c>
      <c r="K607" s="188">
        <v>7.0000000000000007E-2</v>
      </c>
      <c r="L607" s="188">
        <v>0.16</v>
      </c>
      <c r="M607" s="188">
        <v>0</v>
      </c>
      <c r="N607" s="188">
        <v>0</v>
      </c>
      <c r="O607" s="188">
        <v>0.42</v>
      </c>
      <c r="P607" s="188">
        <v>1.18</v>
      </c>
      <c r="Q607" s="188">
        <v>0</v>
      </c>
      <c r="R607" s="188">
        <v>0.4</v>
      </c>
      <c r="S607" s="188">
        <v>0.04</v>
      </c>
      <c r="T607" s="188">
        <v>1.22</v>
      </c>
      <c r="U607" s="188">
        <v>1.83</v>
      </c>
      <c r="V607" s="188">
        <v>0.4</v>
      </c>
      <c r="W607" s="188"/>
      <c r="X607" s="89"/>
      <c r="Y607" s="187"/>
      <c r="Z607" s="187"/>
      <c r="AA607" s="187"/>
      <c r="AB607" s="187"/>
      <c r="AC607" s="187"/>
      <c r="AD607" s="189"/>
      <c r="AE607" s="188"/>
    </row>
    <row r="608" spans="1:31" ht="21.25" customHeight="1" x14ac:dyDescent="0.15">
      <c r="A608" s="10" t="s">
        <v>334</v>
      </c>
      <c r="B608" s="185" t="s">
        <v>836</v>
      </c>
      <c r="C608" s="186">
        <v>21</v>
      </c>
      <c r="D608" s="185" t="s">
        <v>823</v>
      </c>
      <c r="E608" s="89">
        <v>78</v>
      </c>
      <c r="F608" s="187">
        <v>18</v>
      </c>
      <c r="G608" s="188">
        <v>7.0000000000000007E-2</v>
      </c>
      <c r="H608" s="188">
        <v>0.28999999999999998</v>
      </c>
      <c r="I608" s="188">
        <v>0.36</v>
      </c>
      <c r="J608" s="188">
        <v>1.51</v>
      </c>
      <c r="K608" s="188">
        <v>0.01</v>
      </c>
      <c r="L608" s="188">
        <v>0.06</v>
      </c>
      <c r="M608" s="188">
        <v>0</v>
      </c>
      <c r="N608" s="188">
        <v>0</v>
      </c>
      <c r="O608" s="188">
        <v>1.2</v>
      </c>
      <c r="P608" s="188">
        <v>1.23</v>
      </c>
      <c r="Q608" s="188">
        <v>0.01</v>
      </c>
      <c r="R608" s="188">
        <v>0.41</v>
      </c>
      <c r="S608" s="188">
        <v>0.01</v>
      </c>
      <c r="T608" s="188">
        <v>0</v>
      </c>
      <c r="U608" s="188">
        <v>0</v>
      </c>
      <c r="V608" s="188">
        <v>0</v>
      </c>
      <c r="W608" s="188"/>
      <c r="X608" s="89"/>
      <c r="Y608" s="187"/>
      <c r="Z608" s="187"/>
      <c r="AA608" s="187"/>
      <c r="AB608" s="187"/>
      <c r="AC608" s="187"/>
      <c r="AD608" s="189"/>
      <c r="AE608" s="188"/>
    </row>
    <row r="609" spans="1:31" ht="21.25" customHeight="1" x14ac:dyDescent="0.15">
      <c r="A609" s="24"/>
      <c r="B609" s="190"/>
      <c r="C609" s="190"/>
      <c r="D609" s="191"/>
      <c r="E609" s="89"/>
      <c r="F609" s="187"/>
      <c r="G609" s="188"/>
      <c r="H609" s="188"/>
      <c r="I609" s="188"/>
      <c r="J609" s="188"/>
      <c r="K609" s="188"/>
      <c r="L609" s="188"/>
      <c r="M609" s="188"/>
      <c r="N609" s="188"/>
      <c r="O609" s="188"/>
      <c r="P609" s="188"/>
      <c r="Q609" s="188"/>
      <c r="R609" s="188"/>
      <c r="S609" s="188"/>
      <c r="T609" s="188"/>
      <c r="U609" s="188"/>
      <c r="V609" s="188"/>
      <c r="W609" s="188"/>
      <c r="X609" s="89"/>
      <c r="Y609" s="188"/>
      <c r="Z609" s="188"/>
      <c r="AA609" s="188"/>
      <c r="AB609" s="188"/>
      <c r="AC609" s="187"/>
      <c r="AD609" s="189"/>
      <c r="AE609" s="188"/>
    </row>
    <row r="610" spans="1:31" ht="21.25" customHeight="1" x14ac:dyDescent="0.15">
      <c r="A610" s="10" t="s">
        <v>222</v>
      </c>
      <c r="B610" s="185" t="s">
        <v>855</v>
      </c>
      <c r="C610" s="186">
        <v>26</v>
      </c>
      <c r="D610" s="185" t="s">
        <v>104</v>
      </c>
      <c r="E610" s="89"/>
      <c r="F610" s="187"/>
      <c r="G610" s="188"/>
      <c r="H610" s="188"/>
      <c r="I610" s="188"/>
      <c r="J610" s="188"/>
      <c r="K610" s="188"/>
      <c r="L610" s="188"/>
      <c r="M610" s="188"/>
      <c r="N610" s="188"/>
      <c r="O610" s="188"/>
      <c r="P610" s="188"/>
      <c r="Q610" s="188"/>
      <c r="R610" s="188"/>
      <c r="S610" s="188"/>
      <c r="T610" s="188"/>
      <c r="U610" s="188"/>
      <c r="V610" s="188"/>
      <c r="W610" s="188"/>
      <c r="X610" s="89">
        <v>55</v>
      </c>
      <c r="Y610" s="188">
        <v>0.47</v>
      </c>
      <c r="Z610" s="188">
        <v>0.4</v>
      </c>
      <c r="AA610" s="188">
        <v>0.13</v>
      </c>
      <c r="AB610" s="188">
        <v>0.04</v>
      </c>
      <c r="AC610" s="187">
        <v>27.4</v>
      </c>
      <c r="AD610" s="189">
        <v>0.9</v>
      </c>
      <c r="AE610" s="188">
        <v>3.06</v>
      </c>
    </row>
    <row r="611" spans="1:31" ht="21.25" customHeight="1" x14ac:dyDescent="0.15">
      <c r="A611" s="10" t="s">
        <v>652</v>
      </c>
      <c r="B611" s="185" t="s">
        <v>855</v>
      </c>
      <c r="C611" s="186">
        <v>31</v>
      </c>
      <c r="D611" s="185" t="s">
        <v>104</v>
      </c>
      <c r="E611" s="89"/>
      <c r="F611" s="187"/>
      <c r="G611" s="188"/>
      <c r="H611" s="188"/>
      <c r="I611" s="188"/>
      <c r="J611" s="188"/>
      <c r="K611" s="188"/>
      <c r="L611" s="188"/>
      <c r="M611" s="188"/>
      <c r="N611" s="188"/>
      <c r="O611" s="188"/>
      <c r="P611" s="188"/>
      <c r="Q611" s="188"/>
      <c r="R611" s="188"/>
      <c r="S611" s="188"/>
      <c r="T611" s="188"/>
      <c r="U611" s="188"/>
      <c r="V611" s="188"/>
      <c r="W611" s="188"/>
      <c r="X611" s="89">
        <v>25</v>
      </c>
      <c r="Y611" s="188">
        <v>0.44</v>
      </c>
      <c r="Z611" s="188">
        <v>0.42</v>
      </c>
      <c r="AA611" s="188">
        <v>0.14000000000000001</v>
      </c>
      <c r="AB611" s="188">
        <v>0.02</v>
      </c>
      <c r="AC611" s="187">
        <v>26.5</v>
      </c>
      <c r="AD611" s="189">
        <v>0.89100000000000001</v>
      </c>
      <c r="AE611" s="188">
        <v>3.22</v>
      </c>
    </row>
    <row r="612" spans="1:31" ht="21.25" customHeight="1" x14ac:dyDescent="0.15">
      <c r="A612" s="10" t="s">
        <v>205</v>
      </c>
      <c r="B612" s="185" t="s">
        <v>837</v>
      </c>
      <c r="C612" s="186">
        <v>27</v>
      </c>
      <c r="D612" s="185" t="s">
        <v>104</v>
      </c>
      <c r="E612" s="89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88"/>
      <c r="V612" s="188"/>
      <c r="W612" s="188"/>
      <c r="X612" s="89">
        <v>55</v>
      </c>
      <c r="Y612" s="188">
        <v>0.49</v>
      </c>
      <c r="Z612" s="188">
        <v>0.38</v>
      </c>
      <c r="AA612" s="188">
        <v>0.13</v>
      </c>
      <c r="AB612" s="188">
        <v>0.05</v>
      </c>
      <c r="AC612" s="187">
        <v>26.8</v>
      </c>
      <c r="AD612" s="189">
        <v>0.90400000000000003</v>
      </c>
      <c r="AE612" s="188">
        <v>2.86</v>
      </c>
    </row>
    <row r="613" spans="1:31" ht="21.25" customHeight="1" x14ac:dyDescent="0.15">
      <c r="A613" s="10" t="s">
        <v>615</v>
      </c>
      <c r="B613" s="185" t="s">
        <v>837</v>
      </c>
      <c r="C613" s="186">
        <v>27</v>
      </c>
      <c r="D613" s="185" t="s">
        <v>104</v>
      </c>
      <c r="E613" s="89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88"/>
      <c r="V613" s="188"/>
      <c r="W613" s="188"/>
      <c r="X613" s="89">
        <v>25</v>
      </c>
      <c r="Y613" s="188">
        <v>0.46</v>
      </c>
      <c r="Z613" s="188">
        <v>0.4</v>
      </c>
      <c r="AA613" s="188">
        <v>0.13</v>
      </c>
      <c r="AB613" s="188">
        <v>0.04</v>
      </c>
      <c r="AC613" s="187">
        <v>26.7</v>
      </c>
      <c r="AD613" s="189">
        <v>0.89900000000000002</v>
      </c>
      <c r="AE613" s="188">
        <v>3</v>
      </c>
    </row>
    <row r="614" spans="1:31" ht="21.25" customHeight="1" x14ac:dyDescent="0.15">
      <c r="A614" s="10" t="s">
        <v>337</v>
      </c>
      <c r="B614" s="185" t="s">
        <v>858</v>
      </c>
      <c r="C614" s="186">
        <v>27</v>
      </c>
      <c r="D614" s="185" t="s">
        <v>104</v>
      </c>
      <c r="E614" s="89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88"/>
      <c r="V614" s="188"/>
      <c r="W614" s="188"/>
      <c r="X614" s="89">
        <v>45</v>
      </c>
      <c r="Y614" s="188">
        <v>0.52</v>
      </c>
      <c r="Z614" s="188">
        <v>0.36</v>
      </c>
      <c r="AA614" s="188">
        <v>0.12</v>
      </c>
      <c r="AB614" s="188">
        <v>0.05</v>
      </c>
      <c r="AC614" s="187">
        <v>25.3</v>
      </c>
      <c r="AD614" s="189">
        <v>0.89800000000000002</v>
      </c>
      <c r="AE614" s="188">
        <v>2.87</v>
      </c>
    </row>
    <row r="615" spans="1:31" ht="21.25" customHeight="1" x14ac:dyDescent="0.15">
      <c r="A615" s="10" t="s">
        <v>449</v>
      </c>
      <c r="B615" s="185" t="s">
        <v>858</v>
      </c>
      <c r="C615" s="186">
        <v>33</v>
      </c>
      <c r="D615" s="185" t="s">
        <v>104</v>
      </c>
      <c r="E615" s="89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88"/>
      <c r="V615" s="188"/>
      <c r="W615" s="188"/>
      <c r="X615" s="89">
        <v>35</v>
      </c>
      <c r="Y615" s="188">
        <v>0.52</v>
      </c>
      <c r="Z615" s="188">
        <v>0.36</v>
      </c>
      <c r="AA615" s="188">
        <v>0.12</v>
      </c>
      <c r="AB615" s="188">
        <v>0.05</v>
      </c>
      <c r="AC615" s="187">
        <v>25.9</v>
      </c>
      <c r="AD615" s="189">
        <v>0.9</v>
      </c>
      <c r="AE615" s="188">
        <v>2.89</v>
      </c>
    </row>
    <row r="616" spans="1:31" ht="21.25" customHeight="1" x14ac:dyDescent="0.15">
      <c r="A616" s="10" t="s">
        <v>396</v>
      </c>
      <c r="B616" s="185" t="s">
        <v>856</v>
      </c>
      <c r="C616" s="186">
        <v>27</v>
      </c>
      <c r="D616" s="185" t="s">
        <v>104</v>
      </c>
      <c r="E616" s="89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88"/>
      <c r="V616" s="188"/>
      <c r="W616" s="188"/>
      <c r="X616" s="89">
        <v>40</v>
      </c>
      <c r="Y616" s="188">
        <v>0.59</v>
      </c>
      <c r="Z616" s="188">
        <v>0.31</v>
      </c>
      <c r="AA616" s="188">
        <v>0.1</v>
      </c>
      <c r="AB616" s="188">
        <v>7.0000000000000007E-2</v>
      </c>
      <c r="AC616" s="187">
        <v>23.6</v>
      </c>
      <c r="AD616" s="189">
        <v>0.89800000000000002</v>
      </c>
      <c r="AE616" s="188">
        <v>2.69</v>
      </c>
    </row>
    <row r="617" spans="1:31" ht="21.25" customHeight="1" x14ac:dyDescent="0.15">
      <c r="A617" s="10" t="s">
        <v>428</v>
      </c>
      <c r="B617" s="185" t="s">
        <v>856</v>
      </c>
      <c r="C617" s="186">
        <v>28</v>
      </c>
      <c r="D617" s="185" t="s">
        <v>104</v>
      </c>
      <c r="E617" s="89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88"/>
      <c r="V617" s="188"/>
      <c r="W617" s="188"/>
      <c r="X617" s="89">
        <v>40</v>
      </c>
      <c r="Y617" s="188">
        <v>0.59</v>
      </c>
      <c r="Z617" s="188">
        <v>0.31</v>
      </c>
      <c r="AA617" s="188">
        <v>0.1</v>
      </c>
      <c r="AB617" s="188">
        <v>0.06</v>
      </c>
      <c r="AC617" s="187">
        <v>23.2</v>
      </c>
      <c r="AD617" s="189">
        <v>0.89600000000000002</v>
      </c>
      <c r="AE617" s="188">
        <v>2.7</v>
      </c>
    </row>
    <row r="618" spans="1:31" ht="21.25" customHeight="1" x14ac:dyDescent="0.15">
      <c r="A618" s="10" t="s">
        <v>170</v>
      </c>
      <c r="B618" s="185" t="s">
        <v>853</v>
      </c>
      <c r="C618" s="186">
        <v>25</v>
      </c>
      <c r="D618" s="185" t="s">
        <v>104</v>
      </c>
      <c r="E618" s="89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88"/>
      <c r="V618" s="188"/>
      <c r="W618" s="188"/>
      <c r="X618" s="89">
        <v>55</v>
      </c>
      <c r="Y618" s="188">
        <v>0.53</v>
      </c>
      <c r="Z618" s="188">
        <v>0.35</v>
      </c>
      <c r="AA618" s="188">
        <v>0.12</v>
      </c>
      <c r="AB618" s="188">
        <v>0.06</v>
      </c>
      <c r="AC618" s="187">
        <v>26.8</v>
      </c>
      <c r="AD618" s="189">
        <v>0.90800000000000003</v>
      </c>
      <c r="AE618" s="188">
        <v>2.7</v>
      </c>
    </row>
    <row r="619" spans="1:31" ht="21.25" customHeight="1" x14ac:dyDescent="0.15">
      <c r="A619" s="10" t="s">
        <v>659</v>
      </c>
      <c r="B619" s="185" t="s">
        <v>853</v>
      </c>
      <c r="C619" s="186">
        <v>32</v>
      </c>
      <c r="D619" s="185" t="s">
        <v>104</v>
      </c>
      <c r="E619" s="89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88"/>
      <c r="V619" s="188"/>
      <c r="W619" s="188"/>
      <c r="X619" s="89">
        <v>25</v>
      </c>
      <c r="Y619" s="188">
        <v>0.49</v>
      </c>
      <c r="Z619" s="188">
        <v>0.38</v>
      </c>
      <c r="AA619" s="188">
        <v>0.13</v>
      </c>
      <c r="AB619" s="188">
        <v>0.05</v>
      </c>
      <c r="AC619" s="187">
        <v>24</v>
      </c>
      <c r="AD619" s="189">
        <v>0.89100000000000001</v>
      </c>
      <c r="AE619" s="188">
        <v>2.93</v>
      </c>
    </row>
    <row r="620" spans="1:31" ht="21.25" customHeight="1" x14ac:dyDescent="0.15">
      <c r="A620" s="10" t="s">
        <v>202</v>
      </c>
      <c r="B620" s="185" t="s">
        <v>867</v>
      </c>
      <c r="C620" s="186">
        <v>25</v>
      </c>
      <c r="D620" s="185" t="s">
        <v>104</v>
      </c>
      <c r="E620" s="89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88"/>
      <c r="V620" s="188"/>
      <c r="W620" s="188"/>
      <c r="X620" s="89">
        <v>55</v>
      </c>
      <c r="Y620" s="188">
        <v>0.36</v>
      </c>
      <c r="Z620" s="188">
        <v>0.48</v>
      </c>
      <c r="AA620" s="188">
        <v>0.16</v>
      </c>
      <c r="AB620" s="188">
        <v>0.04</v>
      </c>
      <c r="AC620" s="187">
        <v>28.5</v>
      </c>
      <c r="AD620" s="189">
        <v>0.90500000000000003</v>
      </c>
      <c r="AE620" s="188">
        <v>2.99</v>
      </c>
    </row>
    <row r="621" spans="1:31" ht="21.25" customHeight="1" x14ac:dyDescent="0.15">
      <c r="A621" s="10" t="s">
        <v>635</v>
      </c>
      <c r="B621" s="185" t="s">
        <v>867</v>
      </c>
      <c r="C621" s="186">
        <v>29</v>
      </c>
      <c r="D621" s="185" t="s">
        <v>104</v>
      </c>
      <c r="E621" s="89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88"/>
      <c r="V621" s="188"/>
      <c r="W621" s="188"/>
      <c r="X621" s="89">
        <v>25</v>
      </c>
      <c r="Y621" s="188">
        <v>0.34</v>
      </c>
      <c r="Z621" s="188">
        <v>0.49</v>
      </c>
      <c r="AA621" s="188">
        <v>0.16</v>
      </c>
      <c r="AB621" s="188">
        <v>0.03</v>
      </c>
      <c r="AC621" s="187">
        <v>27.1</v>
      </c>
      <c r="AD621" s="189">
        <v>0.89700000000000002</v>
      </c>
      <c r="AE621" s="188">
        <v>3.11</v>
      </c>
    </row>
    <row r="622" spans="1:31" ht="21.25" customHeight="1" x14ac:dyDescent="0.15">
      <c r="A622" s="10" t="s">
        <v>196</v>
      </c>
      <c r="B622" s="185" t="s">
        <v>850</v>
      </c>
      <c r="C622" s="186">
        <v>25</v>
      </c>
      <c r="D622" s="185" t="s">
        <v>104</v>
      </c>
      <c r="E622" s="89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88"/>
      <c r="V622" s="188"/>
      <c r="W622" s="188"/>
      <c r="X622" s="89">
        <v>55</v>
      </c>
      <c r="Y622" s="188">
        <v>0.39</v>
      </c>
      <c r="Z622" s="188">
        <v>0.45</v>
      </c>
      <c r="AA622" s="188">
        <v>0.15</v>
      </c>
      <c r="AB622" s="188">
        <v>0.03</v>
      </c>
      <c r="AC622" s="187">
        <v>29.4</v>
      </c>
      <c r="AD622" s="189">
        <v>0.90400000000000003</v>
      </c>
      <c r="AE622" s="188">
        <v>3.12</v>
      </c>
    </row>
    <row r="623" spans="1:31" ht="21.25" customHeight="1" x14ac:dyDescent="0.15">
      <c r="A623" s="10" t="s">
        <v>662</v>
      </c>
      <c r="B623" s="185" t="s">
        <v>850</v>
      </c>
      <c r="C623" s="186">
        <v>27</v>
      </c>
      <c r="D623" s="185" t="s">
        <v>104</v>
      </c>
      <c r="E623" s="89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88"/>
      <c r="V623" s="188"/>
      <c r="W623" s="188"/>
      <c r="X623" s="89">
        <v>25</v>
      </c>
      <c r="Y623" s="188">
        <v>0.37</v>
      </c>
      <c r="Z623" s="188">
        <v>0.48</v>
      </c>
      <c r="AA623" s="188">
        <v>0.16</v>
      </c>
      <c r="AB623" s="188">
        <v>0.02</v>
      </c>
      <c r="AC623" s="187">
        <v>26.9</v>
      </c>
      <c r="AD623" s="189">
        <v>0.89100000000000001</v>
      </c>
      <c r="AE623" s="188">
        <v>3.3</v>
      </c>
    </row>
    <row r="624" spans="1:31" ht="21.25" customHeight="1" x14ac:dyDescent="0.15">
      <c r="A624" s="10" t="s">
        <v>234</v>
      </c>
      <c r="B624" s="185" t="s">
        <v>834</v>
      </c>
      <c r="C624" s="186">
        <v>34</v>
      </c>
      <c r="D624" s="185" t="s">
        <v>104</v>
      </c>
      <c r="E624" s="89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88"/>
      <c r="V624" s="188"/>
      <c r="W624" s="188"/>
      <c r="X624" s="89">
        <v>45</v>
      </c>
      <c r="Y624" s="188">
        <v>0.6</v>
      </c>
      <c r="Z624" s="188">
        <v>0.3</v>
      </c>
      <c r="AA624" s="188">
        <v>0.1</v>
      </c>
      <c r="AB624" s="188">
        <v>7.0000000000000007E-2</v>
      </c>
      <c r="AC624" s="187">
        <v>26.3</v>
      </c>
      <c r="AD624" s="189">
        <v>0.90800000000000003</v>
      </c>
      <c r="AE624" s="188">
        <v>2.66</v>
      </c>
    </row>
    <row r="625" spans="1:31" ht="21.25" customHeight="1" x14ac:dyDescent="0.15">
      <c r="A625" s="10" t="s">
        <v>414</v>
      </c>
      <c r="B625" s="185" t="s">
        <v>834</v>
      </c>
      <c r="C625" s="186">
        <v>29</v>
      </c>
      <c r="D625" s="185" t="s">
        <v>104</v>
      </c>
      <c r="E625" s="89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88"/>
      <c r="V625" s="188"/>
      <c r="W625" s="188"/>
      <c r="X625" s="89">
        <v>35</v>
      </c>
      <c r="Y625" s="188">
        <v>0.6</v>
      </c>
      <c r="Z625" s="188">
        <v>0.3</v>
      </c>
      <c r="AA625" s="188">
        <v>0.1</v>
      </c>
      <c r="AB625" s="188">
        <v>7.0000000000000007E-2</v>
      </c>
      <c r="AC625" s="187">
        <v>24.8</v>
      </c>
      <c r="AD625" s="189">
        <v>0.90200000000000002</v>
      </c>
      <c r="AE625" s="188">
        <v>2.68</v>
      </c>
    </row>
    <row r="626" spans="1:31" ht="21.25" customHeight="1" x14ac:dyDescent="0.15">
      <c r="A626" s="10" t="s">
        <v>191</v>
      </c>
      <c r="B626" s="185" t="s">
        <v>843</v>
      </c>
      <c r="C626" s="186">
        <v>27</v>
      </c>
      <c r="D626" s="185" t="s">
        <v>104</v>
      </c>
      <c r="E626" s="89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88"/>
      <c r="V626" s="188"/>
      <c r="W626" s="188"/>
      <c r="X626" s="89">
        <v>55</v>
      </c>
      <c r="Y626" s="188">
        <v>0.59</v>
      </c>
      <c r="Z626" s="188">
        <v>0.31</v>
      </c>
      <c r="AA626" s="188">
        <v>0.1</v>
      </c>
      <c r="AB626" s="188">
        <v>7.0000000000000007E-2</v>
      </c>
      <c r="AC626" s="187">
        <v>25.4</v>
      </c>
      <c r="AD626" s="189">
        <v>0.90600000000000003</v>
      </c>
      <c r="AE626" s="188">
        <v>2.65</v>
      </c>
    </row>
    <row r="627" spans="1:31" ht="21.25" customHeight="1" x14ac:dyDescent="0.15">
      <c r="A627" s="10" t="s">
        <v>610</v>
      </c>
      <c r="B627" s="185" t="s">
        <v>843</v>
      </c>
      <c r="C627" s="186">
        <v>35</v>
      </c>
      <c r="D627" s="185" t="s">
        <v>104</v>
      </c>
      <c r="E627" s="89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88"/>
      <c r="V627" s="188"/>
      <c r="W627" s="188"/>
      <c r="X627" s="89">
        <v>25</v>
      </c>
      <c r="Y627" s="188">
        <v>0.56999999999999995</v>
      </c>
      <c r="Z627" s="188">
        <v>0.33</v>
      </c>
      <c r="AA627" s="188">
        <v>0.11</v>
      </c>
      <c r="AB627" s="188">
        <v>0.06</v>
      </c>
      <c r="AC627" s="187">
        <v>24.9</v>
      </c>
      <c r="AD627" s="189">
        <v>0.9</v>
      </c>
      <c r="AE627" s="188">
        <v>2.78</v>
      </c>
    </row>
    <row r="628" spans="1:31" ht="21.25" customHeight="1" x14ac:dyDescent="0.15">
      <c r="A628" s="10" t="s">
        <v>206</v>
      </c>
      <c r="B628" s="185" t="s">
        <v>857</v>
      </c>
      <c r="C628" s="186">
        <v>33</v>
      </c>
      <c r="D628" s="185" t="s">
        <v>104</v>
      </c>
      <c r="E628" s="89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88"/>
      <c r="V628" s="188"/>
      <c r="W628" s="188"/>
      <c r="X628" s="89">
        <v>55</v>
      </c>
      <c r="Y628" s="188">
        <v>0.48</v>
      </c>
      <c r="Z628" s="188">
        <v>0.39</v>
      </c>
      <c r="AA628" s="188">
        <v>0.13</v>
      </c>
      <c r="AB628" s="188">
        <v>0.06</v>
      </c>
      <c r="AC628" s="187">
        <v>26.6</v>
      </c>
      <c r="AD628" s="189">
        <v>0.90400000000000003</v>
      </c>
      <c r="AE628" s="188">
        <v>2.82</v>
      </c>
    </row>
    <row r="629" spans="1:31" ht="21.25" customHeight="1" x14ac:dyDescent="0.15">
      <c r="A629" s="10" t="s">
        <v>655</v>
      </c>
      <c r="B629" s="185" t="s">
        <v>857</v>
      </c>
      <c r="C629" s="186">
        <v>27</v>
      </c>
      <c r="D629" s="185" t="s">
        <v>104</v>
      </c>
      <c r="E629" s="89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88"/>
      <c r="V629" s="188"/>
      <c r="W629" s="188"/>
      <c r="X629" s="89">
        <v>25</v>
      </c>
      <c r="Y629" s="188">
        <v>0.46</v>
      </c>
      <c r="Z629" s="188">
        <v>0.41</v>
      </c>
      <c r="AA629" s="188">
        <v>0.14000000000000001</v>
      </c>
      <c r="AB629" s="188">
        <v>0.05</v>
      </c>
      <c r="AC629" s="187">
        <v>24.3</v>
      </c>
      <c r="AD629" s="189">
        <v>0.89300000000000002</v>
      </c>
      <c r="AE629" s="188">
        <v>2.93</v>
      </c>
    </row>
    <row r="630" spans="1:31" ht="21.25" customHeight="1" x14ac:dyDescent="0.15">
      <c r="A630" s="10" t="s">
        <v>510</v>
      </c>
      <c r="B630" s="185" t="s">
        <v>832</v>
      </c>
      <c r="C630" s="186">
        <v>36</v>
      </c>
      <c r="D630" s="185" t="s">
        <v>104</v>
      </c>
      <c r="E630" s="89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88"/>
      <c r="V630" s="188"/>
      <c r="W630" s="188"/>
      <c r="X630" s="89">
        <v>35</v>
      </c>
      <c r="Y630" s="188">
        <v>0.59</v>
      </c>
      <c r="Z630" s="188">
        <v>0.31</v>
      </c>
      <c r="AA630" s="188">
        <v>0.1</v>
      </c>
      <c r="AB630" s="188">
        <v>0.06</v>
      </c>
      <c r="AC630" s="187">
        <v>23.6</v>
      </c>
      <c r="AD630" s="189">
        <v>0.89400000000000002</v>
      </c>
      <c r="AE630" s="188">
        <v>2.79</v>
      </c>
    </row>
    <row r="631" spans="1:31" ht="21.25" customHeight="1" x14ac:dyDescent="0.15">
      <c r="A631" s="10" t="s">
        <v>506</v>
      </c>
      <c r="B631" s="185" t="s">
        <v>832</v>
      </c>
      <c r="C631" s="186">
        <v>31</v>
      </c>
      <c r="D631" s="185" t="s">
        <v>104</v>
      </c>
      <c r="E631" s="89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88"/>
      <c r="V631" s="188"/>
      <c r="W631" s="188"/>
      <c r="X631" s="89">
        <v>35</v>
      </c>
      <c r="Y631" s="188">
        <v>0.57999999999999996</v>
      </c>
      <c r="Z631" s="188">
        <v>0.31</v>
      </c>
      <c r="AA631" s="188">
        <v>0.1</v>
      </c>
      <c r="AB631" s="188">
        <v>0.05</v>
      </c>
      <c r="AC631" s="187">
        <v>24.1</v>
      </c>
      <c r="AD631" s="189">
        <v>0.89400000000000002</v>
      </c>
      <c r="AE631" s="188">
        <v>2.84</v>
      </c>
    </row>
    <row r="632" spans="1:31" ht="21.25" customHeight="1" x14ac:dyDescent="0.15">
      <c r="A632" s="10" t="s">
        <v>271</v>
      </c>
      <c r="B632" s="185" t="s">
        <v>849</v>
      </c>
      <c r="C632" s="186">
        <v>36</v>
      </c>
      <c r="D632" s="185" t="s">
        <v>104</v>
      </c>
      <c r="E632" s="89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88"/>
      <c r="V632" s="188"/>
      <c r="W632" s="188"/>
      <c r="X632" s="89">
        <v>52</v>
      </c>
      <c r="Y632" s="188">
        <v>0.56000000000000005</v>
      </c>
      <c r="Z632" s="188">
        <v>0.33</v>
      </c>
      <c r="AA632" s="188">
        <v>0.11</v>
      </c>
      <c r="AB632" s="188">
        <v>0.06</v>
      </c>
      <c r="AC632" s="187">
        <v>24.5</v>
      </c>
      <c r="AD632" s="189">
        <v>0.89800000000000002</v>
      </c>
      <c r="AE632" s="188">
        <v>2.78</v>
      </c>
    </row>
    <row r="633" spans="1:31" ht="21.25" customHeight="1" x14ac:dyDescent="0.15">
      <c r="A633" s="10" t="s">
        <v>614</v>
      </c>
      <c r="B633" s="185" t="s">
        <v>849</v>
      </c>
      <c r="C633" s="186">
        <v>26</v>
      </c>
      <c r="D633" s="185" t="s">
        <v>104</v>
      </c>
      <c r="E633" s="89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88"/>
      <c r="V633" s="188"/>
      <c r="W633" s="188"/>
      <c r="X633" s="89">
        <v>28</v>
      </c>
      <c r="Y633" s="188">
        <v>0.56000000000000005</v>
      </c>
      <c r="Z633" s="188">
        <v>0.33</v>
      </c>
      <c r="AA633" s="188">
        <v>0.11</v>
      </c>
      <c r="AB633" s="188">
        <v>0.06</v>
      </c>
      <c r="AC633" s="187">
        <v>23.7</v>
      </c>
      <c r="AD633" s="189">
        <v>0.89500000000000002</v>
      </c>
      <c r="AE633" s="188">
        <v>2.79</v>
      </c>
    </row>
    <row r="634" spans="1:31" ht="21.25" customHeight="1" x14ac:dyDescent="0.15">
      <c r="A634" s="10" t="s">
        <v>295</v>
      </c>
      <c r="B634" s="185" t="s">
        <v>845</v>
      </c>
      <c r="C634" s="186">
        <v>33</v>
      </c>
      <c r="D634" s="185" t="s">
        <v>104</v>
      </c>
      <c r="E634" s="89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88"/>
      <c r="V634" s="188"/>
      <c r="W634" s="188"/>
      <c r="X634" s="89">
        <v>45</v>
      </c>
      <c r="Y634" s="188">
        <v>0.49</v>
      </c>
      <c r="Z634" s="188">
        <v>0.38</v>
      </c>
      <c r="AA634" s="188">
        <v>0.13</v>
      </c>
      <c r="AB634" s="188">
        <v>0.06</v>
      </c>
      <c r="AC634" s="187">
        <v>26.2</v>
      </c>
      <c r="AD634" s="189">
        <v>0.90400000000000003</v>
      </c>
      <c r="AE634" s="188">
        <v>2.79</v>
      </c>
    </row>
    <row r="635" spans="1:31" ht="21.25" customHeight="1" x14ac:dyDescent="0.15">
      <c r="A635" s="10" t="s">
        <v>431</v>
      </c>
      <c r="B635" s="185" t="s">
        <v>845</v>
      </c>
      <c r="C635" s="186">
        <v>36</v>
      </c>
      <c r="D635" s="185" t="s">
        <v>104</v>
      </c>
      <c r="E635" s="89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88"/>
      <c r="V635" s="188"/>
      <c r="W635" s="188"/>
      <c r="X635" s="89">
        <v>35</v>
      </c>
      <c r="Y635" s="188">
        <v>0.48</v>
      </c>
      <c r="Z635" s="188">
        <v>0.39</v>
      </c>
      <c r="AA635" s="188">
        <v>0.13</v>
      </c>
      <c r="AB635" s="188">
        <v>0.06</v>
      </c>
      <c r="AC635" s="187">
        <v>26</v>
      </c>
      <c r="AD635" s="189">
        <v>0.90200000000000002</v>
      </c>
      <c r="AE635" s="188">
        <v>2.82</v>
      </c>
    </row>
    <row r="636" spans="1:31" ht="21.25" customHeight="1" x14ac:dyDescent="0.15">
      <c r="A636" s="10" t="s">
        <v>260</v>
      </c>
      <c r="B636" s="185" t="s">
        <v>840</v>
      </c>
      <c r="C636" s="186">
        <v>23</v>
      </c>
      <c r="D636" s="185" t="s">
        <v>104</v>
      </c>
      <c r="E636" s="89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88"/>
      <c r="V636" s="188"/>
      <c r="W636" s="188"/>
      <c r="X636" s="89">
        <v>45</v>
      </c>
      <c r="Y636" s="188">
        <v>0.54</v>
      </c>
      <c r="Z636" s="188">
        <v>0.34</v>
      </c>
      <c r="AA636" s="188">
        <v>0.11</v>
      </c>
      <c r="AB636" s="188">
        <v>0.06</v>
      </c>
      <c r="AC636" s="187">
        <v>25.6</v>
      </c>
      <c r="AD636" s="189">
        <v>0.90400000000000003</v>
      </c>
      <c r="AE636" s="188">
        <v>2.71</v>
      </c>
    </row>
    <row r="637" spans="1:31" ht="21.25" customHeight="1" x14ac:dyDescent="0.15">
      <c r="A637" s="10" t="s">
        <v>424</v>
      </c>
      <c r="B637" s="185" t="s">
        <v>840</v>
      </c>
      <c r="C637" s="186">
        <v>28</v>
      </c>
      <c r="D637" s="185" t="s">
        <v>104</v>
      </c>
      <c r="E637" s="89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88"/>
      <c r="V637" s="188"/>
      <c r="W637" s="188"/>
      <c r="X637" s="89">
        <v>35</v>
      </c>
      <c r="Y637" s="188">
        <v>0.54</v>
      </c>
      <c r="Z637" s="188">
        <v>0.35</v>
      </c>
      <c r="AA637" s="188">
        <v>0.12</v>
      </c>
      <c r="AB637" s="188">
        <v>0.06</v>
      </c>
      <c r="AC637" s="187">
        <v>26</v>
      </c>
      <c r="AD637" s="189">
        <v>0.90500000000000003</v>
      </c>
      <c r="AE637" s="188">
        <v>2.74</v>
      </c>
    </row>
    <row r="638" spans="1:31" ht="21.25" customHeight="1" x14ac:dyDescent="0.15">
      <c r="A638" s="10" t="s">
        <v>233</v>
      </c>
      <c r="B638" s="185" t="s">
        <v>846</v>
      </c>
      <c r="C638" s="186">
        <v>25</v>
      </c>
      <c r="D638" s="185" t="s">
        <v>104</v>
      </c>
      <c r="E638" s="89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88"/>
      <c r="V638" s="188"/>
      <c r="W638" s="188"/>
      <c r="X638" s="89">
        <v>50</v>
      </c>
      <c r="Y638" s="188">
        <v>0.55000000000000004</v>
      </c>
      <c r="Z638" s="188">
        <v>0.34</v>
      </c>
      <c r="AA638" s="188">
        <v>0.11</v>
      </c>
      <c r="AB638" s="188">
        <v>0.06</v>
      </c>
      <c r="AC638" s="187">
        <v>26.1</v>
      </c>
      <c r="AD638" s="189">
        <v>0.90300000000000002</v>
      </c>
      <c r="AE638" s="188">
        <v>2.81</v>
      </c>
    </row>
    <row r="639" spans="1:31" ht="21.25" customHeight="1" x14ac:dyDescent="0.15">
      <c r="A639" s="10" t="s">
        <v>558</v>
      </c>
      <c r="B639" s="185" t="s">
        <v>846</v>
      </c>
      <c r="C639" s="186">
        <v>21</v>
      </c>
      <c r="D639" s="185" t="s">
        <v>104</v>
      </c>
      <c r="E639" s="89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88"/>
      <c r="V639" s="188"/>
      <c r="W639" s="188"/>
      <c r="X639" s="89">
        <v>30</v>
      </c>
      <c r="Y639" s="188">
        <v>0.53</v>
      </c>
      <c r="Z639" s="188">
        <v>0.36</v>
      </c>
      <c r="AA639" s="188">
        <v>0.12</v>
      </c>
      <c r="AB639" s="188">
        <v>0.05</v>
      </c>
      <c r="AC639" s="187">
        <v>25.3</v>
      </c>
      <c r="AD639" s="189">
        <v>0.89600000000000002</v>
      </c>
      <c r="AE639" s="188">
        <v>2.95</v>
      </c>
    </row>
    <row r="640" spans="1:31" ht="21.25" customHeight="1" x14ac:dyDescent="0.15">
      <c r="A640" s="10" t="s">
        <v>305</v>
      </c>
      <c r="B640" s="185" t="s">
        <v>838</v>
      </c>
      <c r="C640" s="186">
        <v>36</v>
      </c>
      <c r="D640" s="185" t="s">
        <v>104</v>
      </c>
      <c r="E640" s="89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88"/>
      <c r="V640" s="188"/>
      <c r="W640" s="188"/>
      <c r="X640" s="89">
        <v>45</v>
      </c>
      <c r="Y640" s="188">
        <v>0.52</v>
      </c>
      <c r="Z640" s="188">
        <v>0.36</v>
      </c>
      <c r="AA640" s="188">
        <v>0.12</v>
      </c>
      <c r="AB640" s="188">
        <v>0.06</v>
      </c>
      <c r="AC640" s="187">
        <v>25.7</v>
      </c>
      <c r="AD640" s="189">
        <v>0.90200000000000002</v>
      </c>
      <c r="AE640" s="188">
        <v>2.78</v>
      </c>
    </row>
    <row r="641" spans="1:31" ht="21.25" customHeight="1" x14ac:dyDescent="0.15">
      <c r="A641" s="10" t="s">
        <v>493</v>
      </c>
      <c r="B641" s="185" t="s">
        <v>838</v>
      </c>
      <c r="C641" s="186">
        <v>25</v>
      </c>
      <c r="D641" s="185" t="s">
        <v>104</v>
      </c>
      <c r="E641" s="89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88"/>
      <c r="V641" s="188"/>
      <c r="W641" s="188"/>
      <c r="X641" s="89">
        <v>35</v>
      </c>
      <c r="Y641" s="188">
        <v>0.51</v>
      </c>
      <c r="Z641" s="188">
        <v>0.36</v>
      </c>
      <c r="AA641" s="188">
        <v>0.12</v>
      </c>
      <c r="AB641" s="188">
        <v>0.05</v>
      </c>
      <c r="AC641" s="187">
        <v>24.7</v>
      </c>
      <c r="AD641" s="189">
        <v>0.89700000000000002</v>
      </c>
      <c r="AE641" s="188">
        <v>2.83</v>
      </c>
    </row>
    <row r="642" spans="1:31" ht="21.25" customHeight="1" x14ac:dyDescent="0.15">
      <c r="A642" s="10" t="s">
        <v>188</v>
      </c>
      <c r="B642" s="185" t="s">
        <v>861</v>
      </c>
      <c r="C642" s="186">
        <v>31</v>
      </c>
      <c r="D642" s="185" t="s">
        <v>104</v>
      </c>
      <c r="E642" s="89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88"/>
      <c r="V642" s="188"/>
      <c r="W642" s="188"/>
      <c r="X642" s="89">
        <v>60</v>
      </c>
      <c r="Y642" s="188">
        <v>0.45</v>
      </c>
      <c r="Z642" s="188">
        <v>0.41</v>
      </c>
      <c r="AA642" s="188">
        <v>0.14000000000000001</v>
      </c>
      <c r="AB642" s="188">
        <v>0.05</v>
      </c>
      <c r="AC642" s="187">
        <v>27.1</v>
      </c>
      <c r="AD642" s="189">
        <v>0.90200000000000002</v>
      </c>
      <c r="AE642" s="188">
        <v>2.95</v>
      </c>
    </row>
    <row r="643" spans="1:31" ht="21.25" customHeight="1" x14ac:dyDescent="0.15">
      <c r="A643" s="10" t="s">
        <v>701</v>
      </c>
      <c r="B643" s="185" t="s">
        <v>861</v>
      </c>
      <c r="C643" s="186">
        <v>26</v>
      </c>
      <c r="D643" s="185" t="s">
        <v>104</v>
      </c>
      <c r="E643" s="89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88"/>
      <c r="V643" s="188"/>
      <c r="W643" s="188"/>
      <c r="X643" s="89">
        <v>20</v>
      </c>
      <c r="Y643" s="188">
        <v>0.44</v>
      </c>
      <c r="Z643" s="188">
        <v>0.42</v>
      </c>
      <c r="AA643" s="188">
        <v>0.14000000000000001</v>
      </c>
      <c r="AB643" s="188">
        <v>0.04</v>
      </c>
      <c r="AC643" s="187">
        <v>24.9</v>
      </c>
      <c r="AD643" s="189">
        <v>0.89200000000000002</v>
      </c>
      <c r="AE643" s="188">
        <v>3.01</v>
      </c>
    </row>
    <row r="644" spans="1:31" ht="21.25" customHeight="1" x14ac:dyDescent="0.15">
      <c r="A644" s="10" t="s">
        <v>172</v>
      </c>
      <c r="B644" s="185" t="s">
        <v>862</v>
      </c>
      <c r="C644" s="186">
        <v>31</v>
      </c>
      <c r="D644" s="185" t="s">
        <v>104</v>
      </c>
      <c r="E644" s="89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88"/>
      <c r="V644" s="188"/>
      <c r="W644" s="188"/>
      <c r="X644" s="89">
        <v>55</v>
      </c>
      <c r="Y644" s="188">
        <v>0.47</v>
      </c>
      <c r="Z644" s="188">
        <v>0.4</v>
      </c>
      <c r="AA644" s="188">
        <v>0.13</v>
      </c>
      <c r="AB644" s="188">
        <v>0.05</v>
      </c>
      <c r="AC644" s="187">
        <v>28.4</v>
      </c>
      <c r="AD644" s="189">
        <v>0.90800000000000003</v>
      </c>
      <c r="AE644" s="188">
        <v>2.89</v>
      </c>
    </row>
    <row r="645" spans="1:31" ht="21.25" customHeight="1" x14ac:dyDescent="0.15">
      <c r="A645" s="10" t="s">
        <v>660</v>
      </c>
      <c r="B645" s="185" t="s">
        <v>862</v>
      </c>
      <c r="C645" s="186">
        <v>30</v>
      </c>
      <c r="D645" s="185" t="s">
        <v>104</v>
      </c>
      <c r="E645" s="89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88"/>
      <c r="V645" s="188"/>
      <c r="W645" s="188"/>
      <c r="X645" s="89">
        <v>25</v>
      </c>
      <c r="Y645" s="188">
        <v>0.43</v>
      </c>
      <c r="Z645" s="188">
        <v>0.43</v>
      </c>
      <c r="AA645" s="188">
        <v>0.14000000000000001</v>
      </c>
      <c r="AB645" s="188">
        <v>0.03</v>
      </c>
      <c r="AC645" s="187">
        <v>25.5</v>
      </c>
      <c r="AD645" s="189">
        <v>0.89200000000000002</v>
      </c>
      <c r="AE645" s="188">
        <v>3.1</v>
      </c>
    </row>
    <row r="646" spans="1:31" ht="21.25" customHeight="1" x14ac:dyDescent="0.15">
      <c r="A646" s="10" t="s">
        <v>175</v>
      </c>
      <c r="B646" s="185" t="s">
        <v>860</v>
      </c>
      <c r="C646" s="186">
        <v>30</v>
      </c>
      <c r="D646" s="185" t="s">
        <v>104</v>
      </c>
      <c r="E646" s="89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88"/>
      <c r="V646" s="188"/>
      <c r="W646" s="188"/>
      <c r="X646" s="89">
        <v>55</v>
      </c>
      <c r="Y646" s="188">
        <v>0.51</v>
      </c>
      <c r="Z646" s="188">
        <v>0.37</v>
      </c>
      <c r="AA646" s="188">
        <v>0.12</v>
      </c>
      <c r="AB646" s="188">
        <v>0.06</v>
      </c>
      <c r="AC646" s="187">
        <v>26.8</v>
      </c>
      <c r="AD646" s="189">
        <v>0.90800000000000003</v>
      </c>
      <c r="AE646" s="188">
        <v>2.7</v>
      </c>
    </row>
    <row r="647" spans="1:31" ht="21.25" customHeight="1" x14ac:dyDescent="0.15">
      <c r="A647" s="10" t="s">
        <v>648</v>
      </c>
      <c r="B647" s="185" t="s">
        <v>860</v>
      </c>
      <c r="C647" s="186">
        <v>32</v>
      </c>
      <c r="D647" s="185" t="s">
        <v>104</v>
      </c>
      <c r="E647" s="89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88"/>
      <c r="V647" s="188"/>
      <c r="W647" s="188"/>
      <c r="X647" s="89">
        <v>25</v>
      </c>
      <c r="Y647" s="188">
        <v>0.47</v>
      </c>
      <c r="Z647" s="188">
        <v>0.4</v>
      </c>
      <c r="AA647" s="188">
        <v>0.13</v>
      </c>
      <c r="AB647" s="188">
        <v>0.05</v>
      </c>
      <c r="AC647" s="187">
        <v>24.3</v>
      </c>
      <c r="AD647" s="189">
        <v>0.89400000000000002</v>
      </c>
      <c r="AE647" s="188">
        <v>2.9</v>
      </c>
    </row>
    <row r="648" spans="1:31" ht="21.25" customHeight="1" x14ac:dyDescent="0.15">
      <c r="A648" s="10" t="s">
        <v>261</v>
      </c>
      <c r="B648" s="185" t="s">
        <v>859</v>
      </c>
      <c r="C648" s="186">
        <v>33</v>
      </c>
      <c r="D648" s="185" t="s">
        <v>104</v>
      </c>
      <c r="E648" s="89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88"/>
      <c r="V648" s="188"/>
      <c r="W648" s="188"/>
      <c r="X648" s="89">
        <v>50</v>
      </c>
      <c r="Y648" s="188">
        <v>0.55000000000000004</v>
      </c>
      <c r="Z648" s="188">
        <v>0.34</v>
      </c>
      <c r="AA648" s="188">
        <v>0.11</v>
      </c>
      <c r="AB648" s="188">
        <v>7.0000000000000007E-2</v>
      </c>
      <c r="AC648" s="187">
        <v>24.4</v>
      </c>
      <c r="AD648" s="189">
        <v>0.90300000000000002</v>
      </c>
      <c r="AE648" s="188">
        <v>2.63</v>
      </c>
    </row>
    <row r="649" spans="1:31" ht="21.25" customHeight="1" x14ac:dyDescent="0.15">
      <c r="A649" s="10" t="s">
        <v>651</v>
      </c>
      <c r="B649" s="185" t="s">
        <v>859</v>
      </c>
      <c r="C649" s="186">
        <v>26</v>
      </c>
      <c r="D649" s="185" t="s">
        <v>104</v>
      </c>
      <c r="E649" s="89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88"/>
      <c r="V649" s="188"/>
      <c r="W649" s="188"/>
      <c r="X649" s="89">
        <v>30</v>
      </c>
      <c r="Y649" s="188">
        <v>0.53</v>
      </c>
      <c r="Z649" s="188">
        <v>0.35</v>
      </c>
      <c r="AA649" s="188">
        <v>0.12</v>
      </c>
      <c r="AB649" s="188">
        <v>0.06</v>
      </c>
      <c r="AC649" s="187">
        <v>21.2</v>
      </c>
      <c r="AD649" s="189">
        <v>0.88600000000000001</v>
      </c>
      <c r="AE649" s="188">
        <v>2.73</v>
      </c>
    </row>
    <row r="650" spans="1:31" ht="21.25" customHeight="1" x14ac:dyDescent="0.15">
      <c r="A650" s="10" t="s">
        <v>315</v>
      </c>
      <c r="B650" s="185" t="s">
        <v>863</v>
      </c>
      <c r="C650" s="186">
        <v>29</v>
      </c>
      <c r="D650" s="185" t="s">
        <v>104</v>
      </c>
      <c r="E650" s="89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88"/>
      <c r="V650" s="188"/>
      <c r="W650" s="188"/>
      <c r="X650" s="89">
        <v>45</v>
      </c>
      <c r="Y650" s="188">
        <v>0.52</v>
      </c>
      <c r="Z650" s="188">
        <v>0.36</v>
      </c>
      <c r="AA650" s="188">
        <v>0.12</v>
      </c>
      <c r="AB650" s="188">
        <v>0.06</v>
      </c>
      <c r="AC650" s="187">
        <v>24.9</v>
      </c>
      <c r="AD650" s="189">
        <v>0.90200000000000002</v>
      </c>
      <c r="AE650" s="188">
        <v>2.7</v>
      </c>
    </row>
    <row r="651" spans="1:31" ht="21.25" customHeight="1" x14ac:dyDescent="0.15">
      <c r="A651" s="10" t="s">
        <v>458</v>
      </c>
      <c r="B651" s="185" t="s">
        <v>863</v>
      </c>
      <c r="C651" s="186">
        <v>28</v>
      </c>
      <c r="D651" s="185" t="s">
        <v>104</v>
      </c>
      <c r="E651" s="89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88"/>
      <c r="V651" s="188"/>
      <c r="W651" s="188"/>
      <c r="X651" s="89">
        <v>35</v>
      </c>
      <c r="Y651" s="188">
        <v>0.52</v>
      </c>
      <c r="Z651" s="188">
        <v>0.36</v>
      </c>
      <c r="AA651" s="188">
        <v>0.12</v>
      </c>
      <c r="AB651" s="188">
        <v>0.06</v>
      </c>
      <c r="AC651" s="187">
        <v>24.8</v>
      </c>
      <c r="AD651" s="189">
        <v>0.90100000000000002</v>
      </c>
      <c r="AE651" s="188">
        <v>2.73</v>
      </c>
    </row>
    <row r="652" spans="1:31" ht="21.25" customHeight="1" x14ac:dyDescent="0.15">
      <c r="A652" s="10" t="s">
        <v>390</v>
      </c>
      <c r="B652" s="185" t="s">
        <v>851</v>
      </c>
      <c r="C652" s="186">
        <v>25</v>
      </c>
      <c r="D652" s="185" t="s">
        <v>104</v>
      </c>
      <c r="E652" s="89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88"/>
      <c r="V652" s="188"/>
      <c r="W652" s="188"/>
      <c r="X652" s="89">
        <v>45</v>
      </c>
      <c r="Y652" s="188">
        <v>0.49</v>
      </c>
      <c r="Z652" s="188">
        <v>0.39</v>
      </c>
      <c r="AA652" s="188">
        <v>0.13</v>
      </c>
      <c r="AB652" s="188">
        <v>0.04</v>
      </c>
      <c r="AC652" s="187">
        <v>24.9</v>
      </c>
      <c r="AD652" s="189">
        <v>0.89300000000000002</v>
      </c>
      <c r="AE652" s="188">
        <v>2.99</v>
      </c>
    </row>
    <row r="653" spans="1:31" ht="21.25" customHeight="1" x14ac:dyDescent="0.15">
      <c r="A653" s="10" t="s">
        <v>504</v>
      </c>
      <c r="B653" s="185" t="s">
        <v>851</v>
      </c>
      <c r="C653" s="186">
        <v>22</v>
      </c>
      <c r="D653" s="185" t="s">
        <v>104</v>
      </c>
      <c r="E653" s="89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88"/>
      <c r="V653" s="188"/>
      <c r="W653" s="188"/>
      <c r="X653" s="89">
        <v>35</v>
      </c>
      <c r="Y653" s="188">
        <v>0.49</v>
      </c>
      <c r="Z653" s="188">
        <v>0.39</v>
      </c>
      <c r="AA653" s="188">
        <v>0.13</v>
      </c>
      <c r="AB653" s="188">
        <v>0.04</v>
      </c>
      <c r="AC653" s="187">
        <v>25.5</v>
      </c>
      <c r="AD653" s="189">
        <v>0.89500000000000002</v>
      </c>
      <c r="AE653" s="188">
        <v>2.99</v>
      </c>
    </row>
    <row r="654" spans="1:31" ht="21.25" customHeight="1" x14ac:dyDescent="0.15">
      <c r="A654" s="10" t="s">
        <v>385</v>
      </c>
      <c r="B654" s="185" t="s">
        <v>836</v>
      </c>
      <c r="C654" s="186">
        <v>24</v>
      </c>
      <c r="D654" s="185" t="s">
        <v>104</v>
      </c>
      <c r="E654" s="89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88"/>
      <c r="V654" s="188"/>
      <c r="W654" s="188"/>
      <c r="X654" s="89">
        <v>45</v>
      </c>
      <c r="Y654" s="188">
        <v>0.48</v>
      </c>
      <c r="Z654" s="188">
        <v>0.39</v>
      </c>
      <c r="AA654" s="188">
        <v>0.13</v>
      </c>
      <c r="AB654" s="188">
        <v>0.03</v>
      </c>
      <c r="AC654" s="187">
        <v>25.9</v>
      </c>
      <c r="AD654" s="189">
        <v>0.89300000000000002</v>
      </c>
      <c r="AE654" s="188">
        <v>3.1</v>
      </c>
    </row>
    <row r="655" spans="1:31" ht="21.25" customHeight="1" x14ac:dyDescent="0.15">
      <c r="A655" s="10" t="s">
        <v>480</v>
      </c>
      <c r="B655" s="185" t="s">
        <v>836</v>
      </c>
      <c r="C655" s="186">
        <v>30</v>
      </c>
      <c r="D655" s="185" t="s">
        <v>104</v>
      </c>
      <c r="E655" s="89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88"/>
      <c r="V655" s="188"/>
      <c r="W655" s="188"/>
      <c r="X655" s="89">
        <v>35</v>
      </c>
      <c r="Y655" s="188">
        <v>0.48</v>
      </c>
      <c r="Z655" s="188">
        <v>0.39</v>
      </c>
      <c r="AA655" s="188">
        <v>0.13</v>
      </c>
      <c r="AB655" s="188">
        <v>0.03</v>
      </c>
      <c r="AC655" s="187">
        <v>26.9</v>
      </c>
      <c r="AD655" s="189">
        <v>0.89600000000000002</v>
      </c>
      <c r="AE655" s="188">
        <v>3.11</v>
      </c>
    </row>
    <row r="656" spans="1:31" ht="21.25" customHeight="1" x14ac:dyDescent="0.15">
      <c r="A656" s="10" t="s">
        <v>308</v>
      </c>
      <c r="B656" s="185" t="s">
        <v>866</v>
      </c>
      <c r="C656" s="186">
        <v>30</v>
      </c>
      <c r="D656" s="185" t="s">
        <v>104</v>
      </c>
      <c r="E656" s="89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88"/>
      <c r="V656" s="188"/>
      <c r="W656" s="188"/>
      <c r="X656" s="89">
        <v>45</v>
      </c>
      <c r="Y656" s="188">
        <v>0.39</v>
      </c>
      <c r="Z656" s="188">
        <v>0.46</v>
      </c>
      <c r="AA656" s="188">
        <v>0.15</v>
      </c>
      <c r="AB656" s="188">
        <v>0.04</v>
      </c>
      <c r="AC656" s="187">
        <v>27.8</v>
      </c>
      <c r="AD656" s="189">
        <v>0.90100000000000002</v>
      </c>
      <c r="AE656" s="188">
        <v>3.03</v>
      </c>
    </row>
    <row r="657" spans="1:31" ht="21.25" customHeight="1" x14ac:dyDescent="0.15">
      <c r="A657" s="10" t="s">
        <v>502</v>
      </c>
      <c r="B657" s="185" t="s">
        <v>866</v>
      </c>
      <c r="C657" s="186">
        <v>34</v>
      </c>
      <c r="D657" s="185" t="s">
        <v>104</v>
      </c>
      <c r="E657" s="89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88"/>
      <c r="V657" s="188"/>
      <c r="W657" s="188"/>
      <c r="X657" s="89">
        <v>35</v>
      </c>
      <c r="Y657" s="188">
        <v>0.38</v>
      </c>
      <c r="Z657" s="188">
        <v>0.47</v>
      </c>
      <c r="AA657" s="188">
        <v>0.16</v>
      </c>
      <c r="AB657" s="188">
        <v>0.03</v>
      </c>
      <c r="AC657" s="187">
        <v>27</v>
      </c>
      <c r="AD657" s="189">
        <v>0.89700000000000002</v>
      </c>
      <c r="AE657" s="188">
        <v>3.11</v>
      </c>
    </row>
    <row r="658" spans="1:31" ht="21.25" customHeight="1" x14ac:dyDescent="0.15">
      <c r="A658" s="10" t="s">
        <v>278</v>
      </c>
      <c r="B658" s="185" t="s">
        <v>854</v>
      </c>
      <c r="C658" s="186">
        <v>26</v>
      </c>
      <c r="D658" s="185" t="s">
        <v>104</v>
      </c>
      <c r="E658" s="89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88"/>
      <c r="V658" s="188"/>
      <c r="W658" s="188"/>
      <c r="X658" s="89">
        <v>45</v>
      </c>
      <c r="Y658" s="188">
        <v>0.48</v>
      </c>
      <c r="Z658" s="188">
        <v>0.39</v>
      </c>
      <c r="AA658" s="188">
        <v>0.13</v>
      </c>
      <c r="AB658" s="188">
        <v>0.05</v>
      </c>
      <c r="AC658" s="187">
        <v>27.1</v>
      </c>
      <c r="AD658" s="189">
        <v>0.90400000000000003</v>
      </c>
      <c r="AE658" s="188">
        <v>2.87</v>
      </c>
    </row>
    <row r="659" spans="1:31" ht="21.25" customHeight="1" x14ac:dyDescent="0.15">
      <c r="A659" s="10" t="s">
        <v>535</v>
      </c>
      <c r="B659" s="185" t="s">
        <v>854</v>
      </c>
      <c r="C659" s="186">
        <v>33</v>
      </c>
      <c r="D659" s="185" t="s">
        <v>104</v>
      </c>
      <c r="E659" s="89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88"/>
      <c r="V659" s="188"/>
      <c r="W659" s="188"/>
      <c r="X659" s="89">
        <v>35</v>
      </c>
      <c r="Y659" s="188">
        <v>0.46</v>
      </c>
      <c r="Z659" s="188">
        <v>0.4</v>
      </c>
      <c r="AA659" s="188">
        <v>0.13</v>
      </c>
      <c r="AB659" s="188">
        <v>0.04</v>
      </c>
      <c r="AC659" s="187">
        <v>25</v>
      </c>
      <c r="AD659" s="189">
        <v>0.89300000000000002</v>
      </c>
      <c r="AE659" s="188">
        <v>2.99</v>
      </c>
    </row>
    <row r="660" spans="1:31" ht="21.25" customHeight="1" x14ac:dyDescent="0.15">
      <c r="A660" s="10" t="s">
        <v>151</v>
      </c>
      <c r="B660" s="185" t="s">
        <v>833</v>
      </c>
      <c r="C660" s="186">
        <v>32</v>
      </c>
      <c r="D660" s="185" t="s">
        <v>104</v>
      </c>
      <c r="E660" s="89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88"/>
      <c r="V660" s="188"/>
      <c r="W660" s="188"/>
      <c r="X660" s="89">
        <v>55</v>
      </c>
      <c r="Y660" s="188">
        <v>0.61</v>
      </c>
      <c r="Z660" s="188">
        <v>0.28999999999999998</v>
      </c>
      <c r="AA660" s="188">
        <v>0.1</v>
      </c>
      <c r="AB660" s="188">
        <v>7.0000000000000007E-2</v>
      </c>
      <c r="AC660" s="187">
        <v>26.7</v>
      </c>
      <c r="AD660" s="189">
        <v>0.91200000000000003</v>
      </c>
      <c r="AE660" s="188">
        <v>2.59</v>
      </c>
    </row>
    <row r="661" spans="1:31" ht="21.25" customHeight="1" x14ac:dyDescent="0.15">
      <c r="A661" s="10" t="s">
        <v>632</v>
      </c>
      <c r="B661" s="185" t="s">
        <v>833</v>
      </c>
      <c r="C661" s="186">
        <v>25</v>
      </c>
      <c r="D661" s="185" t="s">
        <v>104</v>
      </c>
      <c r="E661" s="89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88"/>
      <c r="V661" s="188"/>
      <c r="W661" s="188"/>
      <c r="X661" s="89">
        <v>25</v>
      </c>
      <c r="Y661" s="188">
        <v>0.57999999999999996</v>
      </c>
      <c r="Z661" s="188">
        <v>0.31</v>
      </c>
      <c r="AA661" s="188">
        <v>0.1</v>
      </c>
      <c r="AB661" s="188">
        <v>0.06</v>
      </c>
      <c r="AC661" s="187">
        <v>23.5</v>
      </c>
      <c r="AD661" s="189">
        <v>0.89600000000000002</v>
      </c>
      <c r="AE661" s="188">
        <v>2.74</v>
      </c>
    </row>
    <row r="662" spans="1:31" ht="21.25" customHeight="1" x14ac:dyDescent="0.15">
      <c r="A662" s="10" t="s">
        <v>242</v>
      </c>
      <c r="B662" s="185" t="s">
        <v>841</v>
      </c>
      <c r="C662" s="186">
        <v>37</v>
      </c>
      <c r="D662" s="185" t="s">
        <v>104</v>
      </c>
      <c r="E662" s="89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88"/>
      <c r="V662" s="188"/>
      <c r="W662" s="188"/>
      <c r="X662" s="89">
        <v>52</v>
      </c>
      <c r="Y662" s="188">
        <v>0.52</v>
      </c>
      <c r="Z662" s="188">
        <v>0.36</v>
      </c>
      <c r="AA662" s="188">
        <v>0.12</v>
      </c>
      <c r="AB662" s="188">
        <v>0.05</v>
      </c>
      <c r="AC662" s="187">
        <v>25.7</v>
      </c>
      <c r="AD662" s="189">
        <v>0.89700000000000002</v>
      </c>
      <c r="AE662" s="188">
        <v>2.94</v>
      </c>
    </row>
    <row r="663" spans="1:31" ht="21.25" customHeight="1" x14ac:dyDescent="0.15">
      <c r="A663" s="10" t="s">
        <v>530</v>
      </c>
      <c r="B663" s="185" t="s">
        <v>841</v>
      </c>
      <c r="C663" s="186">
        <v>32</v>
      </c>
      <c r="D663" s="185" t="s">
        <v>104</v>
      </c>
      <c r="E663" s="89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88"/>
      <c r="V663" s="188"/>
      <c r="W663" s="188"/>
      <c r="X663" s="89">
        <v>28</v>
      </c>
      <c r="Y663" s="188">
        <v>0.53</v>
      </c>
      <c r="Z663" s="188">
        <v>0.36</v>
      </c>
      <c r="AA663" s="188">
        <v>0.12</v>
      </c>
      <c r="AB663" s="188">
        <v>0.05</v>
      </c>
      <c r="AC663" s="187">
        <v>26.8</v>
      </c>
      <c r="AD663" s="189">
        <v>0.90200000000000002</v>
      </c>
      <c r="AE663" s="188">
        <v>2.92</v>
      </c>
    </row>
    <row r="664" spans="1:31" ht="21.25" customHeight="1" x14ac:dyDescent="0.15">
      <c r="A664" s="10" t="s">
        <v>216</v>
      </c>
      <c r="B664" s="185" t="s">
        <v>852</v>
      </c>
      <c r="C664" s="186">
        <v>30</v>
      </c>
      <c r="D664" s="185" t="s">
        <v>104</v>
      </c>
      <c r="E664" s="89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88"/>
      <c r="V664" s="188"/>
      <c r="W664" s="188"/>
      <c r="X664" s="89">
        <v>55</v>
      </c>
      <c r="Y664" s="188">
        <v>0.53</v>
      </c>
      <c r="Z664" s="188">
        <v>0.35</v>
      </c>
      <c r="AA664" s="188">
        <v>0.12</v>
      </c>
      <c r="AB664" s="188">
        <v>0.05</v>
      </c>
      <c r="AC664" s="187">
        <v>26</v>
      </c>
      <c r="AD664" s="189">
        <v>0.90200000000000002</v>
      </c>
      <c r="AE664" s="188">
        <v>2.84</v>
      </c>
    </row>
    <row r="665" spans="1:31" ht="21.25" customHeight="1" x14ac:dyDescent="0.15">
      <c r="A665" s="10" t="s">
        <v>604</v>
      </c>
      <c r="B665" s="185" t="s">
        <v>852</v>
      </c>
      <c r="C665" s="186">
        <v>23</v>
      </c>
      <c r="D665" s="185" t="s">
        <v>104</v>
      </c>
      <c r="E665" s="89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88"/>
      <c r="V665" s="188"/>
      <c r="W665" s="188"/>
      <c r="X665" s="89">
        <v>25</v>
      </c>
      <c r="Y665" s="188">
        <v>0.51</v>
      </c>
      <c r="Z665" s="188">
        <v>0.37</v>
      </c>
      <c r="AA665" s="188">
        <v>0.12</v>
      </c>
      <c r="AB665" s="188">
        <v>0.05</v>
      </c>
      <c r="AC665" s="187">
        <v>25.9</v>
      </c>
      <c r="AD665" s="189">
        <v>0.89800000000000002</v>
      </c>
      <c r="AE665" s="188">
        <v>2.95</v>
      </c>
    </row>
    <row r="666" spans="1:31" ht="21.25" customHeight="1" x14ac:dyDescent="0.15">
      <c r="A666" s="10" t="s">
        <v>324</v>
      </c>
      <c r="B666" s="185" t="s">
        <v>864</v>
      </c>
      <c r="C666" s="186">
        <v>30</v>
      </c>
      <c r="D666" s="185" t="s">
        <v>104</v>
      </c>
      <c r="E666" s="89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88"/>
      <c r="V666" s="188"/>
      <c r="W666" s="188"/>
      <c r="X666" s="89">
        <v>45</v>
      </c>
      <c r="Y666" s="188">
        <v>0.36</v>
      </c>
      <c r="Z666" s="188">
        <v>0.48</v>
      </c>
      <c r="AA666" s="188">
        <v>0.16</v>
      </c>
      <c r="AB666" s="188">
        <v>0.03</v>
      </c>
      <c r="AC666" s="187">
        <v>28.6</v>
      </c>
      <c r="AD666" s="189">
        <v>0.9</v>
      </c>
      <c r="AE666" s="188">
        <v>3.19</v>
      </c>
    </row>
    <row r="667" spans="1:31" ht="21.25" customHeight="1" x14ac:dyDescent="0.15">
      <c r="A667" s="10" t="s">
        <v>552</v>
      </c>
      <c r="B667" s="185" t="s">
        <v>864</v>
      </c>
      <c r="C667" s="186">
        <v>31</v>
      </c>
      <c r="D667" s="185" t="s">
        <v>104</v>
      </c>
      <c r="E667" s="89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88"/>
      <c r="V667" s="188"/>
      <c r="W667" s="188"/>
      <c r="X667" s="89">
        <v>35</v>
      </c>
      <c r="Y667" s="188">
        <v>0.35</v>
      </c>
      <c r="Z667" s="188">
        <v>0.49</v>
      </c>
      <c r="AA667" s="188">
        <v>0.16</v>
      </c>
      <c r="AB667" s="188">
        <v>0.02</v>
      </c>
      <c r="AC667" s="187">
        <v>27.1</v>
      </c>
      <c r="AD667" s="189">
        <v>0.89200000000000002</v>
      </c>
      <c r="AE667" s="188">
        <v>3.28</v>
      </c>
    </row>
    <row r="668" spans="1:31" ht="21.25" customHeight="1" x14ac:dyDescent="0.15">
      <c r="A668" s="10" t="s">
        <v>339</v>
      </c>
      <c r="B668" s="185" t="s">
        <v>839</v>
      </c>
      <c r="C668" s="186">
        <v>28</v>
      </c>
      <c r="D668" s="185" t="s">
        <v>104</v>
      </c>
      <c r="E668" s="89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88"/>
      <c r="V668" s="188"/>
      <c r="W668" s="188"/>
      <c r="X668" s="89">
        <v>45</v>
      </c>
      <c r="Y668" s="188">
        <v>0.59</v>
      </c>
      <c r="Z668" s="188">
        <v>0.31</v>
      </c>
      <c r="AA668" s="188">
        <v>0.1</v>
      </c>
      <c r="AB668" s="188">
        <v>7.0000000000000007E-2</v>
      </c>
      <c r="AC668" s="187">
        <v>23.5</v>
      </c>
      <c r="AD668" s="189">
        <v>0.89900000000000002</v>
      </c>
      <c r="AE668" s="188">
        <v>2.63</v>
      </c>
    </row>
    <row r="669" spans="1:31" ht="21.25" customHeight="1" x14ac:dyDescent="0.15">
      <c r="A669" s="10" t="s">
        <v>514</v>
      </c>
      <c r="B669" s="185" t="s">
        <v>839</v>
      </c>
      <c r="C669" s="186">
        <v>30</v>
      </c>
      <c r="D669" s="185" t="s">
        <v>104</v>
      </c>
      <c r="E669" s="89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88"/>
      <c r="V669" s="188"/>
      <c r="W669" s="188"/>
      <c r="X669" s="89">
        <v>35</v>
      </c>
      <c r="Y669" s="188">
        <v>0.57999999999999996</v>
      </c>
      <c r="Z669" s="188">
        <v>0.32</v>
      </c>
      <c r="AA669" s="188">
        <v>0.11</v>
      </c>
      <c r="AB669" s="188">
        <v>7.0000000000000007E-2</v>
      </c>
      <c r="AC669" s="187">
        <v>23.1</v>
      </c>
      <c r="AD669" s="189">
        <v>0.89600000000000002</v>
      </c>
      <c r="AE669" s="188">
        <v>2.68</v>
      </c>
    </row>
    <row r="670" spans="1:31" ht="21.25" customHeight="1" x14ac:dyDescent="0.15">
      <c r="A670" s="10" t="s">
        <v>149</v>
      </c>
      <c r="B670" s="185" t="s">
        <v>847</v>
      </c>
      <c r="C670" s="186">
        <v>33</v>
      </c>
      <c r="D670" s="185" t="s">
        <v>104</v>
      </c>
      <c r="E670" s="89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88"/>
      <c r="V670" s="188"/>
      <c r="W670" s="188"/>
      <c r="X670" s="89">
        <v>55</v>
      </c>
      <c r="Y670" s="188">
        <v>0.53</v>
      </c>
      <c r="Z670" s="188">
        <v>0.36</v>
      </c>
      <c r="AA670" s="188">
        <v>0.12</v>
      </c>
      <c r="AB670" s="188">
        <v>7.0000000000000007E-2</v>
      </c>
      <c r="AC670" s="187">
        <v>26.3</v>
      </c>
      <c r="AD670" s="189">
        <v>0.91</v>
      </c>
      <c r="AE670" s="188">
        <v>2.61</v>
      </c>
    </row>
    <row r="671" spans="1:31" ht="21.25" customHeight="1" x14ac:dyDescent="0.15">
      <c r="A671" s="10" t="s">
        <v>705</v>
      </c>
      <c r="B671" s="185" t="s">
        <v>847</v>
      </c>
      <c r="C671" s="186">
        <v>27</v>
      </c>
      <c r="D671" s="185" t="s">
        <v>104</v>
      </c>
      <c r="E671" s="89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88"/>
      <c r="V671" s="188"/>
      <c r="W671" s="188"/>
      <c r="X671" s="89">
        <v>50</v>
      </c>
      <c r="Y671" s="188">
        <v>0.5</v>
      </c>
      <c r="Z671" s="188">
        <v>0.38</v>
      </c>
      <c r="AA671" s="188">
        <v>0.13</v>
      </c>
      <c r="AB671" s="188">
        <v>0.06</v>
      </c>
      <c r="AC671" s="187">
        <v>23.1</v>
      </c>
      <c r="AD671" s="189">
        <v>0.89200000000000002</v>
      </c>
      <c r="AE671" s="188">
        <v>2.79</v>
      </c>
    </row>
    <row r="672" spans="1:31" ht="21.25" customHeight="1" x14ac:dyDescent="0.15">
      <c r="A672" s="10" t="s">
        <v>164</v>
      </c>
      <c r="B672" s="185" t="s">
        <v>865</v>
      </c>
      <c r="C672" s="186">
        <v>29</v>
      </c>
      <c r="D672" s="185" t="s">
        <v>104</v>
      </c>
      <c r="E672" s="89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88"/>
      <c r="V672" s="188"/>
      <c r="W672" s="188"/>
      <c r="X672" s="89">
        <v>55</v>
      </c>
      <c r="Y672" s="188">
        <v>0.57999999999999996</v>
      </c>
      <c r="Z672" s="188">
        <v>0.32</v>
      </c>
      <c r="AA672" s="188">
        <v>0.11</v>
      </c>
      <c r="AB672" s="188">
        <v>7.0000000000000007E-2</v>
      </c>
      <c r="AC672" s="187">
        <v>26.5</v>
      </c>
      <c r="AD672" s="189">
        <v>0.90900000000000003</v>
      </c>
      <c r="AE672" s="188">
        <v>2.66</v>
      </c>
    </row>
    <row r="673" spans="1:31" ht="21.25" customHeight="1" x14ac:dyDescent="0.15">
      <c r="A673" s="10" t="s">
        <v>650</v>
      </c>
      <c r="B673" s="185" t="s">
        <v>865</v>
      </c>
      <c r="C673" s="186">
        <v>32</v>
      </c>
      <c r="D673" s="185" t="s">
        <v>104</v>
      </c>
      <c r="E673" s="89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88"/>
      <c r="V673" s="188"/>
      <c r="W673" s="188"/>
      <c r="X673" s="89">
        <v>25</v>
      </c>
      <c r="Y673" s="188">
        <v>0.53</v>
      </c>
      <c r="Z673" s="188">
        <v>0.36</v>
      </c>
      <c r="AA673" s="188">
        <v>0.12</v>
      </c>
      <c r="AB673" s="188">
        <v>0.05</v>
      </c>
      <c r="AC673" s="187">
        <v>24</v>
      </c>
      <c r="AD673" s="189">
        <v>0.89200000000000002</v>
      </c>
      <c r="AE673" s="188">
        <v>2.91</v>
      </c>
    </row>
  </sheetData>
  <mergeCells count="2">
    <mergeCell ref="F1:V1"/>
    <mergeCell ref="X1:AE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E672"/>
  <sheetViews>
    <sheetView showGridLines="0" workbookViewId="0">
      <pane ySplit="1" topLeftCell="A2" activePane="bottomLeft" state="frozen"/>
      <selection pane="bottomLeft"/>
    </sheetView>
  </sheetViews>
  <sheetFormatPr baseColWidth="10" defaultColWidth="8" defaultRowHeight="16.25" customHeight="1" x14ac:dyDescent="0.15"/>
  <cols>
    <col min="1" max="1" width="28.33203125" style="1" customWidth="1"/>
    <col min="2" max="3" width="8.33203125" style="1" customWidth="1"/>
    <col min="4" max="21" width="7.1640625" style="1" customWidth="1"/>
    <col min="22" max="22" width="2.33203125" style="1" customWidth="1"/>
    <col min="23" max="30" width="7.1640625" style="1" customWidth="1"/>
    <col min="31" max="31" width="2.33203125" style="1" customWidth="1"/>
    <col min="32" max="32" width="8" style="1" customWidth="1"/>
    <col min="33" max="16384" width="8" style="1"/>
  </cols>
  <sheetData>
    <row r="1" spans="1:31" ht="28.25" customHeight="1" x14ac:dyDescent="0.15">
      <c r="A1" s="41" t="s">
        <v>90</v>
      </c>
      <c r="B1" s="42" t="s">
        <v>93</v>
      </c>
      <c r="C1" s="43" t="s">
        <v>96</v>
      </c>
      <c r="D1" s="46" t="s">
        <v>103</v>
      </c>
      <c r="E1" s="46" t="s">
        <v>56</v>
      </c>
      <c r="F1" s="46" t="s">
        <v>104</v>
      </c>
      <c r="G1" s="46" t="s">
        <v>105</v>
      </c>
      <c r="H1" s="46" t="s">
        <v>106</v>
      </c>
      <c r="I1" s="46" t="s">
        <v>107</v>
      </c>
      <c r="J1" s="46" t="s">
        <v>64</v>
      </c>
      <c r="K1" s="46" t="s">
        <v>67</v>
      </c>
      <c r="L1" s="46" t="s">
        <v>108</v>
      </c>
      <c r="M1" s="46" t="s">
        <v>109</v>
      </c>
      <c r="N1" s="46" t="s">
        <v>110</v>
      </c>
      <c r="O1" s="46" t="s">
        <v>111</v>
      </c>
      <c r="P1" s="46" t="s">
        <v>112</v>
      </c>
      <c r="Q1" s="46" t="s">
        <v>113</v>
      </c>
      <c r="R1" s="46" t="s">
        <v>114</v>
      </c>
      <c r="S1" s="46" t="s">
        <v>115</v>
      </c>
      <c r="T1" s="46" t="s">
        <v>116</v>
      </c>
      <c r="U1" s="46" t="s">
        <v>117</v>
      </c>
      <c r="V1" s="44"/>
      <c r="W1" s="46" t="s">
        <v>103</v>
      </c>
      <c r="X1" s="46" t="s">
        <v>118</v>
      </c>
      <c r="Y1" s="46" t="s">
        <v>119</v>
      </c>
      <c r="Z1" s="46" t="s">
        <v>120</v>
      </c>
      <c r="AA1" s="46" t="s">
        <v>121</v>
      </c>
      <c r="AB1" s="46" t="s">
        <v>122</v>
      </c>
      <c r="AC1" s="46" t="s">
        <v>124</v>
      </c>
      <c r="AD1" s="46" t="s">
        <v>125</v>
      </c>
      <c r="AE1" s="44"/>
    </row>
    <row r="2" spans="1:31" ht="21.25" customHeight="1" x14ac:dyDescent="0.15">
      <c r="A2" s="10" t="s">
        <v>127</v>
      </c>
      <c r="B2" s="18" t="str" cm="1">
        <f t="array" ref="B2">VLOOKUP(A2,'Player Data'!A1:B673,2,FALSE)</f>
        <v>EDM</v>
      </c>
      <c r="C2" s="52" cm="1">
        <f t="array" ref="C2">((E2)*Settings!$C$12)+(F2*Settings!$C$2)+(G2*Settings!$C$3)+(H2*Settings!$C$4)+(I2*Settings!$C$5)+(K2*Settings!$C$9)+(N2*Settings!$C$6)+(J2*Settings!$C$8)+(O2*Settings!$C$7)+(P2*Settings!$C$14)+(Q2*Settings!$C$15)+(R2*Settings!$C$16)+(S2*Settings!$C$17)+(T2*Settings!$C$18)+(U2*Settings!$C$19)+(L2*Settings!$C$10)+(Settings!$C$11*M2)</f>
        <v>15.623746502828114</v>
      </c>
      <c r="D2" s="57" cm="1">
        <f t="array" ref="D2">IF(Settings!$E$12="YES",VLOOKUP(A2,'Player Data'!A1:E673,5,FALSE),82)</f>
        <v>81</v>
      </c>
      <c r="E2" s="55" cm="1">
        <f t="array" ref="E2">(VLOOKUP($A2,'The List'!$B1:$AH671,17,FALSE)-AVERAGE('The List'!R2:R671))/STDEV('The List'!R2:R671)</f>
        <v>1.3603037331251837</v>
      </c>
      <c r="F2" s="55" cm="1">
        <f t="array" ref="F2">(VLOOKUP($A2,'The List'!$B1:$AH671,18,FALSE)-AVERAGE('The List'!S2:S671))/STDEV('The List'!S2:S671)</f>
        <v>2.5883279083406108</v>
      </c>
      <c r="G2" s="55" cm="1">
        <f t="array" ref="G2">(VLOOKUP($A2,'The List'!$B1:$AH671,19,FALSE)-AVERAGE('The List'!T2:T671))/STDEV('The List'!T2:T671)</f>
        <v>4.7128865518109917</v>
      </c>
      <c r="H2" s="55" cm="1">
        <f t="array" ref="H2">(VLOOKUP($A2,'The List'!$B1:$AH671,20,FALSE)-AVERAGE('The List'!U2:U671))/STDEV('The List'!U2:U671)</f>
        <v>4.1113444965147679</v>
      </c>
      <c r="I2" s="55" cm="1">
        <f t="array" ref="I2">(VLOOKUP($A2,'The List'!$B1:$AH671,21,FALSE)-AVERAGE('The List'!V2:V671))/STDEV('The List'!V2:V671)</f>
        <v>2.6860081006289627</v>
      </c>
      <c r="J2" s="55" cm="1">
        <f t="array" ref="J2">(VLOOKUP($A2,'The List'!$B1:$AH671,22,FALSE)-AVERAGE('The List'!W2:W671))/STDEV('The List'!W2:W671)</f>
        <v>2.6172531035673505</v>
      </c>
      <c r="K2" s="55" cm="1">
        <f t="array" ref="K2">(VLOOKUP($A2,'The List'!$B1:$AH671,23,FALSE)-AVERAGE('The List'!X2:X671))/STDEV('The List'!X2:X671)</f>
        <v>4.2452390101729494</v>
      </c>
      <c r="L2" s="55" cm="1">
        <f t="array" ref="L2">(VLOOKUP($A2,'The List'!$B1:$AH671,24,FALSE)-AVERAGE('The List'!Y2:Y671))/STDEV('The List'!Y2:Y671)</f>
        <v>-0.47546929358800777</v>
      </c>
      <c r="M2" s="55" cm="1">
        <f t="array" ref="M2">(VLOOKUP($A2,'The List'!$B1:$AH671,25,FALSE)-AVERAGE('The List'!Z2:Z671))/STDEV('The List'!Z2:Z671)</f>
        <v>-0.64388478613809508</v>
      </c>
      <c r="N2" s="55" cm="1">
        <f t="array" ref="N2">(VLOOKUP($A2,'The List'!$B1:$AH671,26,FALSE)-AVERAGE('The List'!AA2:AA671))/STDEV('The List'!AA2:AA671)</f>
        <v>-0.87819433452209106</v>
      </c>
      <c r="O2" s="55" cm="1">
        <f t="array" ref="O2">(VLOOKUP($A2,'The List'!$B1:$AH671,27,FALSE)-AVERAGE('The List'!AB2:AB671))/STDEV('The List'!AB2:AB671)</f>
        <v>-0.78915732792075888</v>
      </c>
      <c r="P2" s="55" cm="1">
        <f t="array" ref="P2">(VLOOKUP($A2,'The List'!$B1:$AH671,28,FALSE)-AVERAGE('The List'!AC2:AC671))/STDEV('The List'!AC2:AC671)</f>
        <v>2.1804422597953579</v>
      </c>
      <c r="Q2" s="55" cm="1">
        <f t="array" ref="Q2">(VLOOKUP($A2,'The List'!$B1:$AH671,29,FALSE)-AVERAGE('The List'!AD2:AD671))/STDEV('The List'!AD2:AD671)</f>
        <v>0.43896718949779767</v>
      </c>
      <c r="R2" s="55" cm="1">
        <f t="array" ref="R2">(VLOOKUP($A2,'The List'!$B1:$AH671,30,FALSE)-AVERAGE('The List'!AE2:AE671))/STDEV('The List'!AE2:AE671)</f>
        <v>2.6977197317827954</v>
      </c>
      <c r="S2" s="55" cm="1">
        <f t="array" ref="S2">(VLOOKUP($A2,'The List'!$B1:$AH671,31,FALSE)-AVERAGE('The List'!AF2:AF671))/STDEV('The List'!AF2:AF671)</f>
        <v>1.5070801352751209</v>
      </c>
      <c r="T2" s="55" cm="1">
        <f t="array" ref="T2">(VLOOKUP($A2,'The List'!$B1:$AH671,32,FALSE)-AVERAGE('The List'!AG2:AG671))/STDEV('The List'!AG2:AG671)</f>
        <v>1.6515131804909549</v>
      </c>
      <c r="U2" s="55" cm="1">
        <f t="array" ref="U2">(VLOOKUP($A2,'The List'!$B1:$AH671,33,FALSE)-AVERAGE('The List'!AH2:AH671))/STDEV('The List'!AH2:AH671)</f>
        <v>0.99869933650975895</v>
      </c>
      <c r="V2" s="55"/>
      <c r="W2" s="77"/>
      <c r="X2" s="57"/>
      <c r="Y2" s="57"/>
      <c r="Z2" s="57"/>
      <c r="AA2" s="57"/>
      <c r="AB2" s="57"/>
      <c r="AC2" s="60"/>
      <c r="AD2" s="61"/>
      <c r="AE2" s="55"/>
    </row>
    <row r="3" spans="1:31" ht="21.25" customHeight="1" x14ac:dyDescent="0.15">
      <c r="A3" s="10" t="s">
        <v>128</v>
      </c>
      <c r="B3" s="18" t="str" cm="1">
        <f t="array" ref="B3">VLOOKUP(A3,'Player Data'!A1:B673,2,FALSE)</f>
        <v>T.B</v>
      </c>
      <c r="C3" s="52" cm="1">
        <f t="array" ref="C3">((E3)*Settings!$C$12)+(F3*Settings!$C$2)+(G3*Settings!$C$3)+(H3*Settings!$C$4)+(I3*Settings!$C$5)+(K3*Settings!$C$9)+(N3*Settings!$C$6)+(J3*Settings!$C$8)+(O3*Settings!$C$7)+(P3*Settings!$C$14)+(Q3*Settings!$C$15)+(R3*Settings!$C$16)+(S3*Settings!$C$17)+(T3*Settings!$C$18)+(U3*Settings!$C$19)+(L3*Settings!$C$10)+(Settings!$C$11*M3)</f>
        <v>14.596009367605971</v>
      </c>
      <c r="D3" s="57" cm="1">
        <f t="array" ref="D3">IF(Settings!$E$12="YES",VLOOKUP(A3,'Player Data'!A1:E673,5,FALSE),82)</f>
        <v>82</v>
      </c>
      <c r="E3" s="55" cm="1">
        <f t="array" ref="E3">(VLOOKUP($A3,'The List'!$B1:$AH671,17,FALSE)-AVERAGE('The List'!R2:R671))/STDEV('The List'!R2:R671)</f>
        <v>0.91435786013693821</v>
      </c>
      <c r="F3" s="55" cm="1">
        <f t="array" ref="F3">(VLOOKUP($A3,'The List'!$B1:$AH671,18,FALSE)-AVERAGE('The List'!S2:S671))/STDEV('The List'!S2:S671)</f>
        <v>2.7190579566347237</v>
      </c>
      <c r="G3" s="55" cm="1">
        <f t="array" ref="G3">(VLOOKUP($A3,'The List'!$B1:$AH671,19,FALSE)-AVERAGE('The List'!T2:T671))/STDEV('The List'!T2:T671)</f>
        <v>4.3305988564358131</v>
      </c>
      <c r="H3" s="55" cm="1">
        <f t="array" ref="H3">(VLOOKUP($A3,'The List'!$B1:$AH671,20,FALSE)-AVERAGE('The List'!U2:U671))/STDEV('The List'!U2:U671)</f>
        <v>3.9287687145315884</v>
      </c>
      <c r="I3" s="55" cm="1">
        <f t="array" ref="I3">(VLOOKUP($A3,'The List'!$B1:$AH671,21,FALSE)-AVERAGE('The List'!V2:V671))/STDEV('The List'!V2:V671)</f>
        <v>2.2502756610979815</v>
      </c>
      <c r="J3" s="55" cm="1">
        <f t="array" ref="J3">(VLOOKUP($A3,'The List'!$B1:$AH671,22,FALSE)-AVERAGE('The List'!W2:W671))/STDEV('The List'!W2:W671)</f>
        <v>1.7527568445837369</v>
      </c>
      <c r="K3" s="55" cm="1">
        <f t="array" ref="K3">(VLOOKUP($A3,'The List'!$B1:$AH671,23,FALSE)-AVERAGE('The List'!X2:X671))/STDEV('The List'!X2:X671)</f>
        <v>3.5659018137901106</v>
      </c>
      <c r="L3" s="55" cm="1">
        <f t="array" ref="L3">(VLOOKUP($A3,'The List'!$B1:$AH671,24,FALSE)-AVERAGE('The List'!Y2:Y671))/STDEV('The List'!Y2:Y671)</f>
        <v>-0.47546929358800777</v>
      </c>
      <c r="M3" s="55" cm="1">
        <f t="array" ref="M3">(VLOOKUP($A3,'The List'!$B1:$AH671,25,FALSE)-AVERAGE('The List'!Z2:Z671))/STDEV('The List'!Z2:Z671)</f>
        <v>-0.64388478613809508</v>
      </c>
      <c r="N3" s="55" cm="1">
        <f t="array" ref="N3">(VLOOKUP($A3,'The List'!$B1:$AH671,26,FALSE)-AVERAGE('The List'!AA2:AA671))/STDEV('The List'!AA2:AA671)</f>
        <v>-0.76428164837942014</v>
      </c>
      <c r="O3" s="55" cm="1">
        <f t="array" ref="O3">(VLOOKUP($A3,'The List'!$B1:$AH671,27,FALSE)-AVERAGE('The List'!AB2:AB671))/STDEV('The List'!AB2:AB671)</f>
        <v>-1.0123886490587837</v>
      </c>
      <c r="P3" s="55" cm="1">
        <f t="array" ref="P3">(VLOOKUP($A3,'The List'!$B1:$AH671,28,FALSE)-AVERAGE('The List'!AC2:AC671))/STDEV('The List'!AC2:AC671)</f>
        <v>2.7425637287061257</v>
      </c>
      <c r="Q3" s="55" cm="1">
        <f t="array" ref="Q3">(VLOOKUP($A3,'The List'!$B1:$AH671,29,FALSE)-AVERAGE('The List'!AD2:AD671))/STDEV('The List'!AD2:AD671)</f>
        <v>0.23135203780445712</v>
      </c>
      <c r="R3" s="55" cm="1">
        <f t="array" ref="R3">(VLOOKUP($A3,'The List'!$B1:$AH671,30,FALSE)-AVERAGE('The List'!AE2:AE671))/STDEV('The List'!AE2:AE671)</f>
        <v>3.2591387408831967</v>
      </c>
      <c r="S3" s="55" cm="1">
        <f t="array" ref="S3">(VLOOKUP($A3,'The List'!$B1:$AH671,31,FALSE)-AVERAGE('The List'!AF2:AF671))/STDEV('The List'!AF2:AF671)</f>
        <v>-0.59187617055930919</v>
      </c>
      <c r="T3" s="55" cm="1">
        <f t="array" ref="T3">(VLOOKUP($A3,'The List'!$B1:$AH671,32,FALSE)-AVERAGE('The List'!AG2:AG671))/STDEV('The List'!AG2:AG671)</f>
        <v>-0.63847321520735389</v>
      </c>
      <c r="U3" s="55" cm="1">
        <f t="array" ref="U3">(VLOOKUP($A3,'The List'!$B1:$AH671,33,FALSE)-AVERAGE('The List'!AH2:AH671))/STDEV('The List'!AH2:AH671)</f>
        <v>0.12471406930801376</v>
      </c>
      <c r="V3" s="55"/>
      <c r="W3" s="57"/>
      <c r="X3" s="57"/>
      <c r="Y3" s="57"/>
      <c r="Z3" s="57"/>
      <c r="AA3" s="57"/>
      <c r="AB3" s="57"/>
      <c r="AC3" s="60"/>
      <c r="AD3" s="61"/>
      <c r="AE3" s="55"/>
    </row>
    <row r="4" spans="1:31" ht="21.25" customHeight="1" x14ac:dyDescent="0.15">
      <c r="A4" s="10" t="s">
        <v>126</v>
      </c>
      <c r="B4" s="18" t="str" cm="1">
        <f t="array" ref="B4">VLOOKUP(A4,'Player Data'!A1:B673,2,FALSE)</f>
        <v>COL</v>
      </c>
      <c r="C4" s="52" cm="1">
        <f t="array" ref="C4">((E4)*Settings!$C$12)+(F4*Settings!$C$2)+(G4*Settings!$C$3)+(H4*Settings!$C$4)+(I4*Settings!$C$5)+(K4*Settings!$C$9)+(N4*Settings!$C$6)+(J4*Settings!$C$8)+(O4*Settings!$C$7)+(P4*Settings!$C$14)+(Q4*Settings!$C$15)+(R4*Settings!$C$16)+(S4*Settings!$C$17)+(T4*Settings!$C$18)+(U4*Settings!$C$19)+(L4*Settings!$C$10)+(Settings!$C$11*M4)</f>
        <v>15.810473107741965</v>
      </c>
      <c r="D4" s="57" cm="1">
        <f t="array" ref="D4">IF(Settings!$E$12="YES",VLOOKUP(A4,'Player Data'!A1:E673,5,FALSE),82)</f>
        <v>83</v>
      </c>
      <c r="E4" s="55" cm="1">
        <f t="array" ref="E4">(VLOOKUP($A4,'The List'!$B1:$AH671,17,FALSE)-AVERAGE('The List'!R2:R671))/STDEV('The List'!R2:R671)</f>
        <v>1.3603037331251837</v>
      </c>
      <c r="F4" s="55" cm="1">
        <f t="array" ref="F4">(VLOOKUP($A4,'The List'!$B1:$AH671,18,FALSE)-AVERAGE('The List'!S2:S671))/STDEV('The List'!S2:S671)</f>
        <v>3.1830997311138276</v>
      </c>
      <c r="G4" s="55" cm="1">
        <f t="array" ref="G4">(VLOOKUP($A4,'The List'!$B1:$AH671,19,FALSE)-AVERAGE('The List'!T2:T671))/STDEV('The List'!T2:T671)</f>
        <v>3.7620864565120637</v>
      </c>
      <c r="H4" s="55" cm="1">
        <f t="array" ref="H4">(VLOOKUP($A4,'The List'!$B1:$AH671,20,FALSE)-AVERAGE('The List'!U2:U671))/STDEV('The List'!U2:U671)</f>
        <v>3.7766959082308298</v>
      </c>
      <c r="I4" s="55" cm="1">
        <f t="array" ref="I4">(VLOOKUP($A4,'The List'!$B1:$AH671,21,FALSE)-AVERAGE('The List'!V2:V671))/STDEV('The List'!V2:V671)</f>
        <v>3.8674269830686328</v>
      </c>
      <c r="J4" s="55" cm="1">
        <f t="array" ref="J4">(VLOOKUP($A4,'The List'!$B1:$AH671,22,FALSE)-AVERAGE('The List'!W2:W671))/STDEV('The List'!W2:W671)</f>
        <v>2.0123819191666747</v>
      </c>
      <c r="K4" s="55" cm="1">
        <f t="array" ref="K4">(VLOOKUP($A4,'The List'!$B1:$AH671,23,FALSE)-AVERAGE('The List'!X2:X671))/STDEV('The List'!X2:X671)</f>
        <v>2.6182465235696717</v>
      </c>
      <c r="L4" s="55" cm="1">
        <f t="array" ref="L4">(VLOOKUP($A4,'The List'!$B1:$AH671,24,FALSE)-AVERAGE('The List'!Y2:Y671))/STDEV('The List'!Y2:Y671)</f>
        <v>-0.47546929358800777</v>
      </c>
      <c r="M4" s="55" cm="1">
        <f t="array" ref="M4">(VLOOKUP($A4,'The List'!$B1:$AH671,25,FALSE)-AVERAGE('The List'!Z2:Z671))/STDEV('The List'!Z2:Z671)</f>
        <v>-0.64388478613809508</v>
      </c>
      <c r="N4" s="55" cm="1">
        <f t="array" ref="N4">(VLOOKUP($A4,'The List'!$B1:$AH671,26,FALSE)-AVERAGE('The List'!AA2:AA671))/STDEV('The List'!AA2:AA671)</f>
        <v>-0.4782228849718157</v>
      </c>
      <c r="O4" s="55" cm="1">
        <f t="array" ref="O4">(VLOOKUP($A4,'The List'!$B1:$AH671,27,FALSE)-AVERAGE('The List'!AB2:AB671))/STDEV('The List'!AB2:AB671)</f>
        <v>-0.57781527824830392</v>
      </c>
      <c r="P4" s="55" cm="1">
        <f t="array" ref="P4">(VLOOKUP($A4,'The List'!$B1:$AH671,28,FALSE)-AVERAGE('The List'!AC2:AC671))/STDEV('The List'!AC2:AC671)</f>
        <v>2.9574286917260721</v>
      </c>
      <c r="Q4" s="55" cm="1">
        <f t="array" ref="Q4">(VLOOKUP($A4,'The List'!$B1:$AH671,29,FALSE)-AVERAGE('The List'!AD2:AD671))/STDEV('The List'!AD2:AD671)</f>
        <v>0.14047423119135818</v>
      </c>
      <c r="R4" s="55" cm="1">
        <f t="array" ref="R4">(VLOOKUP($A4,'The List'!$B1:$AH671,30,FALSE)-AVERAGE('The List'!AE2:AE671))/STDEV('The List'!AE2:AE671)</f>
        <v>3.8330337279636071</v>
      </c>
      <c r="S4" s="55" cm="1">
        <f t="array" ref="S4">(VLOOKUP($A4,'The List'!$B1:$AH671,31,FALSE)-AVERAGE('The List'!AF2:AF671))/STDEV('The List'!AF2:AF671)</f>
        <v>2.6803091134985304</v>
      </c>
      <c r="T4" s="55" cm="1">
        <f t="array" ref="T4">(VLOOKUP($A4,'The List'!$B1:$AH671,32,FALSE)-AVERAGE('The List'!AG2:AG671))/STDEV('The List'!AG2:AG671)</f>
        <v>2.911230246621662</v>
      </c>
      <c r="U4" s="55" cm="1">
        <f t="array" ref="U4">(VLOOKUP($A4,'The List'!$B1:$AH671,33,FALSE)-AVERAGE('The List'!AH2:AH671))/STDEV('The List'!AH2:AH671)</f>
        <v>0.99869933650975895</v>
      </c>
      <c r="V4" s="55"/>
      <c r="W4" s="77"/>
      <c r="X4" s="57"/>
      <c r="Y4" s="57"/>
      <c r="Z4" s="57"/>
      <c r="AA4" s="57"/>
      <c r="AB4" s="57"/>
      <c r="AC4" s="60"/>
      <c r="AD4" s="61"/>
      <c r="AE4" s="55"/>
    </row>
    <row r="5" spans="1:31" ht="21.25" customHeight="1" x14ac:dyDescent="0.15">
      <c r="A5" s="10" t="s">
        <v>136</v>
      </c>
      <c r="B5" s="18" t="str" cm="1">
        <f t="array" ref="B5">VLOOKUP(A5,'Player Data'!A1:B673,2,FALSE)</f>
        <v>EDM</v>
      </c>
      <c r="C5" s="52" cm="1">
        <f t="array" ref="C5">((E5)*Settings!$C$12)+(F5*Settings!$C$2)+(G5*Settings!$C$3)+(H5*Settings!$C$4)+(I5*Settings!$C$5)+(K5*Settings!$C$9)+(N5*Settings!$C$6)+(J5*Settings!$C$8)+(O5*Settings!$C$7)+(P5*Settings!$C$14)+(Q5*Settings!$C$15)+(R5*Settings!$C$16)+(S5*Settings!$C$17)+(T5*Settings!$C$18)+(U5*Settings!$C$19)+(L5*Settings!$C$10)+(Settings!$C$11*M5)</f>
        <v>12.747492940258208</v>
      </c>
      <c r="D5" s="57" cm="1">
        <f t="array" ref="D5">IF(Settings!$E$12="YES",VLOOKUP(A5,'Player Data'!A1:E673,5,FALSE),82)</f>
        <v>79</v>
      </c>
      <c r="E5" s="55" cm="1">
        <f t="array" ref="E5">(VLOOKUP($A5,'The List'!$B1:$AH671,17,FALSE)-AVERAGE('The List'!R2:R671))/STDEV('The List'!R2:R671)</f>
        <v>1.1242147415431716</v>
      </c>
      <c r="F5" s="55" cm="1">
        <f t="array" ref="F5">(VLOOKUP($A5,'The List'!$B1:$AH671,18,FALSE)-AVERAGE('The List'!S2:S671))/STDEV('The List'!S2:S671)</f>
        <v>3.1212274945166127</v>
      </c>
      <c r="G5" s="55" cm="1">
        <f t="array" ref="G5">(VLOOKUP($A5,'The List'!$B1:$AH671,19,FALSE)-AVERAGE('The List'!T2:T671))/STDEV('The List'!T2:T671)</f>
        <v>3.0010247394324341</v>
      </c>
      <c r="H5" s="55" cm="1">
        <f t="array" ref="H5">(VLOOKUP($A5,'The List'!$B1:$AH671,20,FALSE)-AVERAGE('The List'!U2:U671))/STDEV('The List'!U2:U671)</f>
        <v>3.2705233407471992</v>
      </c>
      <c r="I5" s="55" cm="1">
        <f t="array" ref="I5">(VLOOKUP($A5,'The List'!$B1:$AH671,21,FALSE)-AVERAGE('The List'!V2:V671))/STDEV('The List'!V2:V671)</f>
        <v>1.8287105728919575</v>
      </c>
      <c r="J5" s="55" cm="1">
        <f t="array" ref="J5">(VLOOKUP($A5,'The List'!$B1:$AH671,22,FALSE)-AVERAGE('The List'!W2:W671))/STDEV('The List'!W2:W671)</f>
        <v>4.716349451259191</v>
      </c>
      <c r="K5" s="55" cm="1">
        <f t="array" ref="K5">(VLOOKUP($A5,'The List'!$B1:$AH671,23,FALSE)-AVERAGE('The List'!X2:X671))/STDEV('The List'!X2:X671)</f>
        <v>3.8030668705154804</v>
      </c>
      <c r="L5" s="55" cm="1">
        <f t="array" ref="L5">(VLOOKUP($A5,'The List'!$B1:$AH671,24,FALSE)-AVERAGE('The List'!Y2:Y671))/STDEV('The List'!Y2:Y671)</f>
        <v>-0.47546929358800777</v>
      </c>
      <c r="M5" s="55" cm="1">
        <f t="array" ref="M5">(VLOOKUP($A5,'The List'!$B1:$AH671,25,FALSE)-AVERAGE('The List'!Z2:Z671))/STDEV('The List'!Z2:Z671)</f>
        <v>-0.64388478613809508</v>
      </c>
      <c r="N5" s="55" cm="1">
        <f t="array" ref="N5">(VLOOKUP($A5,'The List'!$B1:$AH671,26,FALSE)-AVERAGE('The List'!AA2:AA671))/STDEV('The List'!AA2:AA671)</f>
        <v>-1.0176479816832984</v>
      </c>
      <c r="O5" s="55" cm="1">
        <f t="array" ref="O5">(VLOOKUP($A5,'The List'!$B1:$AH671,27,FALSE)-AVERAGE('The List'!AB2:AB671))/STDEV('The List'!AB2:AB671)</f>
        <v>-0.95909191490278145</v>
      </c>
      <c r="P5" s="55" cm="1">
        <f t="array" ref="P5">(VLOOKUP($A5,'The List'!$B1:$AH671,28,FALSE)-AVERAGE('The List'!AC2:AC671))/STDEV('The List'!AC2:AC671)</f>
        <v>1.9525551778045056</v>
      </c>
      <c r="Q5" s="55" cm="1">
        <f t="array" ref="Q5">(VLOOKUP($A5,'The List'!$B1:$AH671,29,FALSE)-AVERAGE('The List'!AD2:AD671))/STDEV('The List'!AD2:AD671)</f>
        <v>0.54462187523497796</v>
      </c>
      <c r="R5" s="55" cm="1">
        <f t="array" ref="R5">(VLOOKUP($A5,'The List'!$B1:$AH671,30,FALSE)-AVERAGE('The List'!AE2:AE671))/STDEV('The List'!AE2:AE671)</f>
        <v>3.5835141683634286</v>
      </c>
      <c r="S5" s="55" cm="1">
        <f t="array" ref="S5">(VLOOKUP($A5,'The List'!$B1:$AH671,31,FALSE)-AVERAGE('The List'!AF2:AF671))/STDEV('The List'!AF2:AF671)</f>
        <v>2.9933881245295848</v>
      </c>
      <c r="T5" s="55" cm="1">
        <f t="array" ref="T5">(VLOOKUP($A5,'The List'!$B1:$AH671,32,FALSE)-AVERAGE('The List'!AG2:AG671))/STDEV('The List'!AG2:AG671)</f>
        <v>2.3365902302291905</v>
      </c>
      <c r="U5" s="55" cm="1">
        <f t="array" ref="U5">(VLOOKUP($A5,'The List'!$B1:$AH671,33,FALSE)-AVERAGE('The List'!AH2:AH671))/STDEV('The List'!AH2:AH671)</f>
        <v>1.320693908636718</v>
      </c>
      <c r="V5" s="55"/>
      <c r="W5" s="77"/>
      <c r="X5" s="57"/>
      <c r="Y5" s="57"/>
      <c r="Z5" s="57"/>
      <c r="AA5" s="57"/>
      <c r="AB5" s="57"/>
      <c r="AC5" s="60"/>
      <c r="AD5" s="61"/>
      <c r="AE5" s="55"/>
    </row>
    <row r="6" spans="1:31" ht="21.25" customHeight="1" x14ac:dyDescent="0.15">
      <c r="A6" s="10" t="s">
        <v>132</v>
      </c>
      <c r="B6" s="18" t="str" cm="1">
        <f t="array" ref="B6">VLOOKUP(A6,'Player Data'!A1:B673,2,FALSE)</f>
        <v>S.J</v>
      </c>
      <c r="C6" s="52" cm="1">
        <f t="array" ref="C6">((E6)*Settings!$C$12)+(F6*Settings!$C$2)+(G6*Settings!$C$3)+(H6*Settings!$C$4)+(I6*Settings!$C$5)+(K6*Settings!$C$9)+(N6*Settings!$C$6)+(J6*Settings!$C$8)+(O6*Settings!$C$7)+(P6*Settings!$C$14)+(Q6*Settings!$C$15)+(R6*Settings!$C$16)+(S6*Settings!$C$17)+(T6*Settings!$C$18)+(U6*Settings!$C$19)+(L6*Settings!$C$10)+(Settings!$C$11*M6)</f>
        <v>10.746074224773066</v>
      </c>
      <c r="D6" s="57" cm="1">
        <f t="array" ref="D6">IF(Settings!$E$12="YES",VLOOKUP(A6,'Player Data'!A1:E673,5,FALSE),82)</f>
        <v>82</v>
      </c>
      <c r="E6" s="55" cm="1">
        <f t="array" ref="E6">(VLOOKUP($A6,'The List'!$B1:$AH671,17,FALSE)-AVERAGE('The List'!R2:R671))/STDEV('The List'!R2:R671)</f>
        <v>1.2029110720705083</v>
      </c>
      <c r="F6" s="55" cm="1">
        <f t="array" ref="F6">(VLOOKUP($A6,'The List'!$B1:$AH671,18,FALSE)-AVERAGE('The List'!S2:S671))/STDEV('The List'!S2:S671)</f>
        <v>3.0095580868516421</v>
      </c>
      <c r="G6" s="55" cm="1">
        <f t="array" ref="G6">(VLOOKUP($A6,'The List'!$B1:$AH671,19,FALSE)-AVERAGE('The List'!T2:T671))/STDEV('The List'!T2:T671)</f>
        <v>3.1176084318271813</v>
      </c>
      <c r="H6" s="55" cm="1">
        <f t="array" ref="H6">(VLOOKUP($A6,'The List'!$B1:$AH671,20,FALSE)-AVERAGE('The List'!U2:U671))/STDEV('The List'!U2:U671)</f>
        <v>3.2943952347595284</v>
      </c>
      <c r="I6" s="55" cm="1">
        <f t="array" ref="I6">(VLOOKUP($A6,'The List'!$B1:$AH671,21,FALSE)-AVERAGE('The List'!V2:V671))/STDEV('The List'!V2:V671)</f>
        <v>2.9274750544309045</v>
      </c>
      <c r="J6" s="55" cm="1">
        <f t="array" ref="J6">(VLOOKUP($A6,'The List'!$B1:$AH671,22,FALSE)-AVERAGE('The List'!W2:W671))/STDEV('The List'!W2:W671)</f>
        <v>2.1151271614484339</v>
      </c>
      <c r="K6" s="55" cm="1">
        <f t="array" ref="K6">(VLOOKUP($A6,'The List'!$B1:$AH671,23,FALSE)-AVERAGE('The List'!X2:X671))/STDEV('The List'!X2:X671)</f>
        <v>2.6594489274922997</v>
      </c>
      <c r="L6" s="55" cm="1">
        <f t="array" ref="L6">(VLOOKUP($A6,'The List'!$B1:$AH671,24,FALSE)-AVERAGE('The List'!Y2:Y671))/STDEV('The List'!Y2:Y671)</f>
        <v>-0.47546929358800777</v>
      </c>
      <c r="M6" s="55" cm="1">
        <f t="array" ref="M6">(VLOOKUP($A6,'The List'!$B1:$AH671,25,FALSE)-AVERAGE('The List'!Z2:Z671))/STDEV('The List'!Z2:Z671)</f>
        <v>-0.64388478613809508</v>
      </c>
      <c r="N6" s="55" cm="1">
        <f t="array" ref="N6">(VLOOKUP($A6,'The List'!$B1:$AH671,26,FALSE)-AVERAGE('The List'!AA2:AA671))/STDEV('The List'!AA2:AA671)</f>
        <v>-0.19880477142903061</v>
      </c>
      <c r="O6" s="55" cm="1">
        <f t="array" ref="O6">(VLOOKUP($A6,'The List'!$B1:$AH671,27,FALSE)-AVERAGE('The List'!AB2:AB671))/STDEV('The List'!AB2:AB671)</f>
        <v>-0.67620924899784629</v>
      </c>
      <c r="P6" s="55" cm="1">
        <f t="array" ref="P6">(VLOOKUP($A6,'The List'!$B1:$AH671,28,FALSE)-AVERAGE('The List'!AC2:AC671))/STDEV('The List'!AC2:AC671)</f>
        <v>-0.29180702683111376</v>
      </c>
      <c r="Q6" s="55" cm="1">
        <f t="array" ref="Q6">(VLOOKUP($A6,'The List'!$B1:$AH671,29,FALSE)-AVERAGE('The List'!AD2:AD671))/STDEV('The List'!AD2:AD671)</f>
        <v>0.71603367307431953</v>
      </c>
      <c r="R6" s="55" cm="1">
        <f t="array" ref="R6">(VLOOKUP($A6,'The List'!$B1:$AH671,30,FALSE)-AVERAGE('The List'!AE2:AE671))/STDEV('The List'!AE2:AE671)</f>
        <v>2.4151388305355934</v>
      </c>
      <c r="S6" s="55" cm="1">
        <f t="array" ref="S6">(VLOOKUP($A6,'The List'!$B1:$AH671,31,FALSE)-AVERAGE('The List'!AF2:AF671))/STDEV('The List'!AF2:AF671)</f>
        <v>2.4279516612715626</v>
      </c>
      <c r="T6" s="55" cm="1">
        <f t="array" ref="T6">(VLOOKUP($A6,'The List'!$B1:$AH671,32,FALSE)-AVERAGE('The List'!AG2:AG671))/STDEV('The List'!AG2:AG671)</f>
        <v>2.7679274787681929</v>
      </c>
      <c r="U6" s="55" cm="1">
        <f t="array" ref="U6">(VLOOKUP($A6,'The List'!$B1:$AH671,33,FALSE)-AVERAGE('The List'!AH2:AH671))/STDEV('The List'!AH2:AH671)</f>
        <v>0.95270011192019333</v>
      </c>
      <c r="V6" s="55"/>
      <c r="W6" s="77"/>
      <c r="X6" s="57"/>
      <c r="Y6" s="57"/>
      <c r="Z6" s="57"/>
      <c r="AA6" s="57"/>
      <c r="AB6" s="57"/>
      <c r="AC6" s="60"/>
      <c r="AD6" s="61"/>
      <c r="AE6" s="55"/>
    </row>
    <row r="7" spans="1:31" ht="21.25" customHeight="1" x14ac:dyDescent="0.15">
      <c r="A7" s="10" t="s">
        <v>134</v>
      </c>
      <c r="B7" s="18" t="str" cm="1">
        <f t="array" ref="B7">VLOOKUP(A7,'Player Data'!A1:B673,2,FALSE)</f>
        <v>BOS</v>
      </c>
      <c r="C7" s="52" cm="1">
        <f t="array" ref="C7">((E7)*Settings!$C$12)+(F7*Settings!$C$2)+(G7*Settings!$C$3)+(H7*Settings!$C$4)+(I7*Settings!$C$5)+(K7*Settings!$C$9)+(N7*Settings!$C$6)+(J7*Settings!$C$8)+(O7*Settings!$C$7)+(P7*Settings!$C$14)+(Q7*Settings!$C$15)+(R7*Settings!$C$16)+(S7*Settings!$C$17)+(T7*Settings!$C$18)+(U7*Settings!$C$19)+(L7*Settings!$C$10)+(Settings!$C$11*M7)</f>
        <v>10.639311884464874</v>
      </c>
      <c r="D7" s="57" cm="1">
        <f t="array" ref="D7">IF(Settings!$E$12="YES",VLOOKUP(A7,'Player Data'!A1:E673,5,FALSE),82)</f>
        <v>83</v>
      </c>
      <c r="E7" s="55" cm="1">
        <f t="array" ref="E7">(VLOOKUP($A7,'The List'!$B1:$AH671,17,FALSE)-AVERAGE('The List'!R2:R671))/STDEV('The List'!R2:R671)</f>
        <v>0.9930541906642758</v>
      </c>
      <c r="F7" s="55" cm="1">
        <f t="array" ref="F7">(VLOOKUP($A7,'The List'!$B1:$AH671,18,FALSE)-AVERAGE('The List'!S2:S671))/STDEV('The List'!S2:S671)</f>
        <v>2.3548101121511271</v>
      </c>
      <c r="G7" s="55" cm="1">
        <f t="array" ref="G7">(VLOOKUP($A7,'The List'!$B1:$AH671,19,FALSE)-AVERAGE('The List'!T2:T671))/STDEV('The List'!T2:T671)</f>
        <v>3.0621626613030974</v>
      </c>
      <c r="H7" s="55" cm="1">
        <f t="array" ref="H7">(VLOOKUP($A7,'The List'!$B1:$AH671,20,FALSE)-AVERAGE('The List'!U2:U671))/STDEV('The List'!U2:U671)</f>
        <v>2.9694722329250585</v>
      </c>
      <c r="I7" s="55" cm="1">
        <f t="array" ref="I7">(VLOOKUP($A7,'The List'!$B1:$AH671,21,FALSE)-AVERAGE('The List'!V2:V671))/STDEV('The List'!V2:V671)</f>
        <v>3.0643800445515836</v>
      </c>
      <c r="J7" s="55" cm="1">
        <f t="array" ref="J7">(VLOOKUP($A7,'The List'!$B1:$AH671,22,FALSE)-AVERAGE('The List'!W2:W671))/STDEV('The List'!W2:W671)</f>
        <v>2.0123819191666747</v>
      </c>
      <c r="K7" s="55" cm="1">
        <f t="array" ref="K7">(VLOOKUP($A7,'The List'!$B1:$AH671,23,FALSE)-AVERAGE('The List'!X2:X671))/STDEV('The List'!X2:X671)</f>
        <v>2.2011978009381954</v>
      </c>
      <c r="L7" s="55" cm="1">
        <f t="array" ref="L7">(VLOOKUP($A7,'The List'!$B1:$AH671,24,FALSE)-AVERAGE('The List'!Y2:Y671))/STDEV('The List'!Y2:Y671)</f>
        <v>-0.47546929358800777</v>
      </c>
      <c r="M7" s="55" cm="1">
        <f t="array" ref="M7">(VLOOKUP($A7,'The List'!$B1:$AH671,25,FALSE)-AVERAGE('The List'!Z2:Z671))/STDEV('The List'!Z2:Z671)</f>
        <v>-0.64388478613809508</v>
      </c>
      <c r="N7" s="55" cm="1">
        <f t="array" ref="N7">(VLOOKUP($A7,'The List'!$B1:$AH671,26,FALSE)-AVERAGE('The List'!AA2:AA671))/STDEV('The List'!AA2:AA671)</f>
        <v>-0.79620784965259006</v>
      </c>
      <c r="O7" s="55" cm="1">
        <f t="array" ref="O7">(VLOOKUP($A7,'The List'!$B1:$AH671,27,FALSE)-AVERAGE('The List'!AB2:AB671))/STDEV('The List'!AB2:AB671)</f>
        <v>-0.11843842731137688</v>
      </c>
      <c r="P7" s="55" cm="1">
        <f t="array" ref="P7">(VLOOKUP($A7,'The List'!$B1:$AH671,28,FALSE)-AVERAGE('The List'!AC2:AC671))/STDEV('The List'!AC2:AC671)</f>
        <v>7.5199692832248838E-2</v>
      </c>
      <c r="Q7" s="55" cm="1">
        <f t="array" ref="Q7">(VLOOKUP($A7,'The List'!$B1:$AH671,29,FALSE)-AVERAGE('The List'!AD2:AD671))/STDEV('The List'!AD2:AD671)</f>
        <v>1.060334956665411</v>
      </c>
      <c r="R7" s="55" cm="1">
        <f t="array" ref="R7">(VLOOKUP($A7,'The List'!$B1:$AH671,30,FALSE)-AVERAGE('The List'!AE2:AE671))/STDEV('The List'!AE2:AE671)</f>
        <v>1.7620213832821263</v>
      </c>
      <c r="S7" s="55" cm="1">
        <f t="array" ref="S7">(VLOOKUP($A7,'The List'!$B1:$AH671,31,FALSE)-AVERAGE('The List'!AF2:AF671))/STDEV('The List'!AF2:AF671)</f>
        <v>-0.57985685963213407</v>
      </c>
      <c r="T7" s="55" cm="1">
        <f t="array" ref="T7">(VLOOKUP($A7,'The List'!$B1:$AH671,32,FALSE)-AVERAGE('The List'!AG2:AG671))/STDEV('The List'!AG2:AG671)</f>
        <v>-0.60448473821646709</v>
      </c>
      <c r="U7" s="55" cm="1">
        <f t="array" ref="U7">(VLOOKUP($A7,'The List'!$B1:$AH671,33,FALSE)-AVERAGE('The List'!AH2:AH671))/STDEV('The List'!AH2:AH671)</f>
        <v>0.12471406930801376</v>
      </c>
      <c r="V7" s="55"/>
      <c r="W7" s="57"/>
      <c r="X7" s="55"/>
      <c r="Y7" s="55"/>
      <c r="Z7" s="55"/>
      <c r="AA7" s="55"/>
      <c r="AB7" s="55"/>
      <c r="AC7" s="55"/>
      <c r="AD7" s="55"/>
      <c r="AE7" s="55"/>
    </row>
    <row r="8" spans="1:31" ht="21.25" customHeight="1" x14ac:dyDescent="0.15">
      <c r="A8" s="10" t="s">
        <v>140</v>
      </c>
      <c r="B8" s="18" t="str" cm="1">
        <f t="array" ref="B8">VLOOKUP(A8,'Player Data'!A1:B673,2,FALSE)</f>
        <v>N.J</v>
      </c>
      <c r="C8" s="52" cm="1">
        <f t="array" ref="C8">((E8)*Settings!$C$12)+(F8*Settings!$C$2)+(G8*Settings!$C$3)+(H8*Settings!$C$4)+(I8*Settings!$C$5)+(K8*Settings!$C$9)+(N8*Settings!$C$6)+(J8*Settings!$C$8)+(O8*Settings!$C$7)+(P8*Settings!$C$14)+(Q8*Settings!$C$15)+(R8*Settings!$C$16)+(S8*Settings!$C$17)+(T8*Settings!$C$18)+(U8*Settings!$C$19)+(L8*Settings!$C$10)+(Settings!$C$11*M8)</f>
        <v>9.2474854787857712</v>
      </c>
      <c r="D8" s="57" cm="1">
        <f t="array" ref="D8">IF(Settings!$E$12="YES",VLOOKUP(A8,'Player Data'!A1:E673,5,FALSE),82)</f>
        <v>76</v>
      </c>
      <c r="E8" s="55" cm="1">
        <f t="array" ref="E8">(VLOOKUP($A8,'The List'!$B1:$AH671,17,FALSE)-AVERAGE('The List'!R2:R671))/STDEV('The List'!R2:R671)</f>
        <v>1.2816074025978461</v>
      </c>
      <c r="F8" s="55" cm="1">
        <f t="array" ref="F8">(VLOOKUP($A8,'The List'!$B1:$AH671,18,FALSE)-AVERAGE('The List'!S2:S671))/STDEV('The List'!S2:S671)</f>
        <v>2.2111068529575983</v>
      </c>
      <c r="G8" s="55" cm="1">
        <f t="array" ref="G8">(VLOOKUP($A8,'The List'!$B1:$AH671,19,FALSE)-AVERAGE('The List'!T2:T671))/STDEV('The List'!T2:T671)</f>
        <v>2.655700891073312</v>
      </c>
      <c r="H8" s="55" cm="1">
        <f t="array" ref="H8">(VLOOKUP($A8,'The List'!$B1:$AH671,20,FALSE)-AVERAGE('The List'!U2:U671))/STDEV('The List'!U2:U671)</f>
        <v>2.6501193396934646</v>
      </c>
      <c r="I8" s="55" cm="1">
        <f t="array" ref="I8">(VLOOKUP($A8,'The List'!$B1:$AH671,21,FALSE)-AVERAGE('The List'!V2:V671))/STDEV('The List'!V2:V671)</f>
        <v>2.9033905571784779</v>
      </c>
      <c r="J8" s="55" cm="1">
        <f t="array" ref="J8">(VLOOKUP($A8,'The List'!$B1:$AH671,22,FALSE)-AVERAGE('The List'!W2:W671))/STDEV('The List'!W2:W671)</f>
        <v>1.4655120812153803</v>
      </c>
      <c r="K8" s="55" cm="1">
        <f t="array" ref="K8">(VLOOKUP($A8,'The List'!$B1:$AH671,23,FALSE)-AVERAGE('The List'!X2:X671))/STDEV('The List'!X2:X671)</f>
        <v>2.5665927781642308</v>
      </c>
      <c r="L8" s="55" cm="1">
        <f t="array" ref="L8">(VLOOKUP($A8,'The List'!$B1:$AH671,24,FALSE)-AVERAGE('The List'!Y2:Y671))/STDEV('The List'!Y2:Y671)</f>
        <v>0.91772410159517581</v>
      </c>
      <c r="M8" s="55" cm="1">
        <f t="array" ref="M8">(VLOOKUP($A8,'The List'!$B1:$AH671,25,FALSE)-AVERAGE('The List'!Z2:Z671))/STDEV('The List'!Z2:Z671)</f>
        <v>0.18194600030474953</v>
      </c>
      <c r="N8" s="55" cm="1">
        <f t="array" ref="N8">(VLOOKUP($A8,'The List'!$B1:$AH671,26,FALSE)-AVERAGE('The List'!AA2:AA671))/STDEV('The List'!AA2:AA671)</f>
        <v>-0.67182336949231936</v>
      </c>
      <c r="O8" s="55" cm="1">
        <f t="array" ref="O8">(VLOOKUP($A8,'The List'!$B1:$AH671,27,FALSE)-AVERAGE('The List'!AB2:AB671))/STDEV('The List'!AB2:AB671)</f>
        <v>-1.5039485279283737</v>
      </c>
      <c r="P8" s="55" cm="1">
        <f t="array" ref="P8">(VLOOKUP($A8,'The List'!$B1:$AH671,28,FALSE)-AVERAGE('The List'!AC2:AC671))/STDEV('The List'!AC2:AC671)</f>
        <v>0.41464292734052727</v>
      </c>
      <c r="Q8" s="55" cm="1">
        <f t="array" ref="Q8">(VLOOKUP($A8,'The List'!$B1:$AH671,29,FALSE)-AVERAGE('The List'!AD2:AD671))/STDEV('The List'!AD2:AD671)</f>
        <v>-0.80155181296881617</v>
      </c>
      <c r="R8" s="55" cm="1">
        <f t="array" ref="R8">(VLOOKUP($A8,'The List'!$B1:$AH671,30,FALSE)-AVERAGE('The List'!AE2:AE671))/STDEV('The List'!AE2:AE671)</f>
        <v>2.1400435160763971</v>
      </c>
      <c r="S8" s="55" cm="1">
        <f t="array" ref="S8">(VLOOKUP($A8,'The List'!$B1:$AH671,31,FALSE)-AVERAGE('The List'!AF2:AF671))/STDEV('The List'!AF2:AF671)</f>
        <v>0.38341879531538159</v>
      </c>
      <c r="T8" s="55" cm="1">
        <f t="array" ref="T8">(VLOOKUP($A8,'The List'!$B1:$AH671,32,FALSE)-AVERAGE('The List'!AG2:AG671))/STDEV('The List'!AG2:AG671)</f>
        <v>1.1566899479029091</v>
      </c>
      <c r="U8" s="55" cm="1">
        <f t="array" ref="U8">(VLOOKUP($A8,'The List'!$B1:$AH671,33,FALSE)-AVERAGE('The List'!AH2:AH671))/STDEV('The List'!AH2:AH671)</f>
        <v>0.44670864143497252</v>
      </c>
      <c r="V8" s="55"/>
      <c r="W8" s="77"/>
      <c r="X8" s="57"/>
      <c r="Y8" s="57"/>
      <c r="Z8" s="57"/>
      <c r="AA8" s="57"/>
      <c r="AB8" s="57"/>
      <c r="AC8" s="60"/>
      <c r="AD8" s="61"/>
      <c r="AE8" s="55"/>
    </row>
    <row r="9" spans="1:31" ht="21.25" customHeight="1" x14ac:dyDescent="0.15">
      <c r="A9" s="10" t="s">
        <v>137</v>
      </c>
      <c r="B9" s="18" t="str" cm="1">
        <f t="array" ref="B9">VLOOKUP(A9,'Player Data'!A1:B673,2,FALSE)</f>
        <v>VGK</v>
      </c>
      <c r="C9" s="52" cm="1">
        <f t="array" ref="C9">((E9)*Settings!$C$12)+(F9*Settings!$C$2)+(G9*Settings!$C$3)+(H9*Settings!$C$4)+(I9*Settings!$C$5)+(K9*Settings!$C$9)+(N9*Settings!$C$6)+(J9*Settings!$C$8)+(O9*Settings!$C$7)+(P9*Settings!$C$14)+(Q9*Settings!$C$15)+(R9*Settings!$C$16)+(S9*Settings!$C$17)+(T9*Settings!$C$18)+(U9*Settings!$C$19)+(L9*Settings!$C$10)+(Settings!$C$11*M9)</f>
        <v>10.711307408813042</v>
      </c>
      <c r="D9" s="57" cm="1">
        <f t="array" ref="D9">IF(Settings!$E$12="YES",VLOOKUP(A9,'Player Data'!A1:E673,5,FALSE),82)</f>
        <v>80</v>
      </c>
      <c r="E9" s="55" cm="1">
        <f t="array" ref="E9">(VLOOKUP($A9,'The List'!$B1:$AH671,17,FALSE)-AVERAGE('The List'!R2:R671))/STDEV('The List'!R2:R671)</f>
        <v>1.2029110720705083</v>
      </c>
      <c r="F9" s="55" cm="1">
        <f t="array" ref="F9">(VLOOKUP($A9,'The List'!$B1:$AH671,18,FALSE)-AVERAGE('The List'!S2:S671))/STDEV('The List'!S2:S671)</f>
        <v>1.741077442678765</v>
      </c>
      <c r="G9" s="55" cm="1">
        <f t="array" ref="G9">(VLOOKUP($A9,'The List'!$B1:$AH671,19,FALSE)-AVERAGE('The List'!T2:T671))/STDEV('The List'!T2:T671)</f>
        <v>2.9476168996373722</v>
      </c>
      <c r="H9" s="55" cm="1">
        <f t="array" ref="H9">(VLOOKUP($A9,'The List'!$B1:$AH671,20,FALSE)-AVERAGE('The List'!U2:U671))/STDEV('The List'!U2:U671)</f>
        <v>2.6255401303029928</v>
      </c>
      <c r="I9" s="55" cm="1">
        <f t="array" ref="I9">(VLOOKUP($A9,'The List'!$B1:$AH671,21,FALSE)-AVERAGE('The List'!V2:V671))/STDEV('The List'!V2:V671)</f>
        <v>2.7502794993226676</v>
      </c>
      <c r="J9" s="55" cm="1">
        <f t="array" ref="J9">(VLOOKUP($A9,'The List'!$B1:$AH671,22,FALSE)-AVERAGE('The List'!W2:W671))/STDEV('The List'!W2:W671)</f>
        <v>0.8081634881224089</v>
      </c>
      <c r="K9" s="55" cm="1">
        <f t="array" ref="K9">(VLOOKUP($A9,'The List'!$B1:$AH671,23,FALSE)-AVERAGE('The List'!X2:X671))/STDEV('The List'!X2:X671)</f>
        <v>2.6554291807681403</v>
      </c>
      <c r="L9" s="55" cm="1">
        <f t="array" ref="L9">(VLOOKUP($A9,'The List'!$B1:$AH671,24,FALSE)-AVERAGE('The List'!Y2:Y671))/STDEV('The List'!Y2:Y671)</f>
        <v>0.99105006976271182</v>
      </c>
      <c r="M9" s="55" cm="1">
        <f t="array" ref="M9">(VLOOKUP($A9,'The List'!$B1:$AH671,25,FALSE)-AVERAGE('The List'!Z2:Z671))/STDEV('The List'!Z2:Z671)</f>
        <v>1.9640019078919404</v>
      </c>
      <c r="N9" s="55" cm="1">
        <f t="array" ref="N9">(VLOOKUP($A9,'The List'!$B1:$AH671,26,FALSE)-AVERAGE('The List'!AA2:AA671))/STDEV('The List'!AA2:AA671)</f>
        <v>-0.37656986011804211</v>
      </c>
      <c r="O9" s="55" cm="1">
        <f t="array" ref="O9">(VLOOKUP($A9,'The List'!$B1:$AH671,27,FALSE)-AVERAGE('The List'!AB2:AB671))/STDEV('The List'!AB2:AB671)</f>
        <v>-1.0144385234493991</v>
      </c>
      <c r="P9" s="55" cm="1">
        <f t="array" ref="P9">(VLOOKUP($A9,'The List'!$B1:$AH671,28,FALSE)-AVERAGE('The List'!AC2:AC671))/STDEV('The List'!AC2:AC671)</f>
        <v>1.631342909855495</v>
      </c>
      <c r="Q9" s="55" cm="1">
        <f t="array" ref="Q9">(VLOOKUP($A9,'The List'!$B1:$AH671,29,FALSE)-AVERAGE('The List'!AD2:AD671))/STDEV('The List'!AD2:AD671)</f>
        <v>-0.8370163228666111</v>
      </c>
      <c r="R9" s="55" cm="1">
        <f t="array" ref="R9">(VLOOKUP($A9,'The List'!$B1:$AH671,30,FALSE)-AVERAGE('The List'!AE2:AE671))/STDEV('The List'!AE2:AE671)</f>
        <v>2.6478158198627599</v>
      </c>
      <c r="S9" s="55" cm="1">
        <f t="array" ref="S9">(VLOOKUP($A9,'The List'!$B1:$AH671,31,FALSE)-AVERAGE('The List'!AF2:AF671))/STDEV('The List'!AF2:AF671)</f>
        <v>2.2657390409984091</v>
      </c>
      <c r="T9" s="55" cm="1">
        <f t="array" ref="T9">(VLOOKUP($A9,'The List'!$B1:$AH671,32,FALSE)-AVERAGE('The List'!AG2:AG671))/STDEV('The List'!AG2:AG671)</f>
        <v>2.8479483975695605</v>
      </c>
      <c r="U9" s="55" cm="1">
        <f t="array" ref="U9">(VLOOKUP($A9,'The List'!$B1:$AH671,33,FALSE)-AVERAGE('The List'!AH2:AH671))/STDEV('The List'!AH2:AH671)</f>
        <v>0.86070166274106241</v>
      </c>
      <c r="V9" s="55"/>
      <c r="W9" s="57"/>
      <c r="X9" s="57"/>
      <c r="Y9" s="57"/>
      <c r="Z9" s="57"/>
      <c r="AA9" s="57"/>
      <c r="AB9" s="57"/>
      <c r="AC9" s="60"/>
      <c r="AD9" s="61"/>
      <c r="AE9" s="55"/>
    </row>
    <row r="10" spans="1:31" ht="21.25" customHeight="1" x14ac:dyDescent="0.15">
      <c r="A10" s="10" t="s">
        <v>146</v>
      </c>
      <c r="B10" s="18" t="str" cm="1">
        <f t="array" ref="B10">VLOOKUP(A10,'Player Data'!A1:B673,2,FALSE)</f>
        <v>MIN</v>
      </c>
      <c r="C10" s="52" cm="1">
        <f t="array" ref="C10">((E10)*Settings!$C$12)+(F10*Settings!$C$2)+(G10*Settings!$C$3)+(H10*Settings!$C$4)+(I10*Settings!$C$5)+(K10*Settings!$C$9)+(N10*Settings!$C$6)+(J10*Settings!$C$8)+(O10*Settings!$C$7)+(P10*Settings!$C$14)+(Q10*Settings!$C$15)+(R10*Settings!$C$16)+(S10*Settings!$C$17)+(T10*Settings!$C$18)+(U10*Settings!$C$19)+(L10*Settings!$C$10)+(Settings!$C$11*M10)</f>
        <v>10.558311446143982</v>
      </c>
      <c r="D10" s="57" cm="1">
        <f t="array" ref="D10">IF(Settings!$E$12="YES",VLOOKUP(A10,'Player Data'!A1:E673,5,FALSE),82)</f>
        <v>77</v>
      </c>
      <c r="E10" s="55" cm="1">
        <f t="array" ref="E10">(VLOOKUP($A10,'The List'!$B1:$AH671,17,FALSE)-AVERAGE('The List'!R2:R671))/STDEV('The List'!R2:R671)</f>
        <v>1.3865358433009634</v>
      </c>
      <c r="F10" s="55" cm="1">
        <f t="array" ref="F10">(VLOOKUP($A10,'The List'!$B1:$AH671,18,FALSE)-AVERAGE('The List'!S2:S671))/STDEV('The List'!S2:S671)</f>
        <v>3.226460193696874</v>
      </c>
      <c r="G10" s="55" cm="1">
        <f t="array" ref="G10">(VLOOKUP($A10,'The List'!$B1:$AH671,19,FALSE)-AVERAGE('The List'!T2:T671))/STDEV('The List'!T2:T671)</f>
        <v>1.9170915487496323</v>
      </c>
      <c r="H10" s="55" cm="1">
        <f t="array" ref="H10">(VLOOKUP($A10,'The List'!$B1:$AH671,20,FALSE)-AVERAGE('The List'!U2:U671))/STDEV('The List'!U2:U671)</f>
        <v>2.63526571675246</v>
      </c>
      <c r="I10" s="55" cm="1">
        <f t="array" ref="I10">(VLOOKUP($A10,'The List'!$B1:$AH671,21,FALSE)-AVERAGE('The List'!V2:V671))/STDEV('The List'!V2:V671)</f>
        <v>2.5203407957299664</v>
      </c>
      <c r="J10" s="55" cm="1">
        <f t="array" ref="J10">(VLOOKUP($A10,'The List'!$B1:$AH671,22,FALSE)-AVERAGE('The List'!W2:W671))/STDEV('The List'!W2:W671)</f>
        <v>3.9508697765713046</v>
      </c>
      <c r="K10" s="55" cm="1">
        <f t="array" ref="K10">(VLOOKUP($A10,'The List'!$B1:$AH671,23,FALSE)-AVERAGE('The List'!X2:X671))/STDEV('The List'!X2:X671)</f>
        <v>2.5296613551360219</v>
      </c>
      <c r="L10" s="55" cm="1">
        <f t="array" ref="L10">(VLOOKUP($A10,'The List'!$B1:$AH671,24,FALSE)-AVERAGE('The List'!Y2:Y671))/STDEV('The List'!Y2:Y671)</f>
        <v>-0.47546929358800777</v>
      </c>
      <c r="M10" s="55" cm="1">
        <f t="array" ref="M10">(VLOOKUP($A10,'The List'!$B1:$AH671,25,FALSE)-AVERAGE('The List'!Z2:Z671))/STDEV('The List'!Z2:Z671)</f>
        <v>-0.64388478613809508</v>
      </c>
      <c r="N10" s="55" cm="1">
        <f t="array" ref="N10">(VLOOKUP($A10,'The List'!$B1:$AH671,26,FALSE)-AVERAGE('The List'!AA2:AA671))/STDEV('The List'!AA2:AA671)</f>
        <v>-0.85597369843596471</v>
      </c>
      <c r="O10" s="55" cm="1">
        <f t="array" ref="O10">(VLOOKUP($A10,'The List'!$B1:$AH671,27,FALSE)-AVERAGE('The List'!AB2:AB671))/STDEV('The List'!AB2:AB671)</f>
        <v>-0.75861419950058828</v>
      </c>
      <c r="P10" s="55" cm="1">
        <f t="array" ref="P10">(VLOOKUP($A10,'The List'!$B1:$AH671,28,FALSE)-AVERAGE('The List'!AC2:AC671))/STDEV('The List'!AC2:AC671)</f>
        <v>1.123371752332077</v>
      </c>
      <c r="Q10" s="55" cm="1">
        <f t="array" ref="Q10">(VLOOKUP($A10,'The List'!$B1:$AH671,29,FALSE)-AVERAGE('The List'!AD2:AD671))/STDEV('The List'!AD2:AD671)</f>
        <v>1.5609602592871964E-2</v>
      </c>
      <c r="R10" s="55" cm="1">
        <f t="array" ref="R10">(VLOOKUP($A10,'The List'!$B1:$AH671,30,FALSE)-AVERAGE('The List'!AE2:AE671))/STDEV('The List'!AE2:AE671)</f>
        <v>3.1945755548366508</v>
      </c>
      <c r="S10" s="55" cm="1">
        <f t="array" ref="S10">(VLOOKUP($A10,'The List'!$B1:$AH671,31,FALSE)-AVERAGE('The List'!AF2:AF671))/STDEV('The List'!AF2:AF671)</f>
        <v>-0.59581850454342256</v>
      </c>
      <c r="T10" s="55" cm="1">
        <f t="array" ref="T10">(VLOOKUP($A10,'The List'!$B1:$AH671,32,FALSE)-AVERAGE('The List'!AG2:AG671))/STDEV('The List'!AG2:AG671)</f>
        <v>-0.63505395400857101</v>
      </c>
      <c r="U10" s="55" cm="1">
        <f t="array" ref="U10">(VLOOKUP($A10,'The List'!$B1:$AH671,33,FALSE)-AVERAGE('The List'!AH2:AH671))/STDEV('The List'!AH2:AH671)</f>
        <v>-1.2552626683789523</v>
      </c>
      <c r="V10" s="55"/>
      <c r="W10" s="77"/>
      <c r="X10" s="57"/>
      <c r="Y10" s="57"/>
      <c r="Z10" s="57"/>
      <c r="AA10" s="57"/>
      <c r="AB10" s="57"/>
      <c r="AC10" s="60"/>
      <c r="AD10" s="61"/>
      <c r="AE10" s="55"/>
    </row>
    <row r="11" spans="1:31" ht="21.25" customHeight="1" x14ac:dyDescent="0.15">
      <c r="A11" s="10" t="s">
        <v>152</v>
      </c>
      <c r="B11" s="18" t="str" cm="1">
        <f t="array" ref="B11">VLOOKUP(A11,'Player Data'!A1:B673,2,FALSE)</f>
        <v>COL</v>
      </c>
      <c r="C11" s="52" cm="1">
        <f t="array" ref="C11">((E11)*Settings!$C$12)+(F11*Settings!$C$2)+(G11*Settings!$C$3)+(H11*Settings!$C$4)+(I11*Settings!$C$5)+(K11*Settings!$C$9)+(N11*Settings!$C$6)+(J11*Settings!$C$8)+(O11*Settings!$C$7)+(P11*Settings!$C$14)+(Q11*Settings!$C$15)+(R11*Settings!$C$16)+(S11*Settings!$C$17)+(T11*Settings!$C$18)+(U11*Settings!$C$19)+(L11*Settings!$C$10)+(Settings!$C$11*M11)</f>
        <v>10.531693048144161</v>
      </c>
      <c r="D11" s="57" cm="1">
        <f t="array" ref="D11">IF(Settings!$E$12="YES",VLOOKUP(A11,'Player Data'!A1:E673,5,FALSE),82)</f>
        <v>82</v>
      </c>
      <c r="E11" s="55" cm="1">
        <f t="array" ref="E11">(VLOOKUP($A11,'The List'!$B1:$AH671,17,FALSE)-AVERAGE('The List'!R2:R671))/STDEV('The List'!R2:R671)</f>
        <v>1.1504468517189503</v>
      </c>
      <c r="F11" s="55" cm="1">
        <f t="array" ref="F11">(VLOOKUP($A11,'The List'!$B1:$AH671,18,FALSE)-AVERAGE('The List'!S2:S671))/STDEV('The List'!S2:S671)</f>
        <v>2.228071821056834</v>
      </c>
      <c r="G11" s="55" cm="1">
        <f t="array" ref="G11">(VLOOKUP($A11,'The List'!$B1:$AH671,19,FALSE)-AVERAGE('The List'!T2:T671))/STDEV('The List'!T2:T671)</f>
        <v>2.5442471622378275</v>
      </c>
      <c r="H11" s="55" cm="1">
        <f t="array" ref="H11">(VLOOKUP($A11,'The List'!$B1:$AH671,20,FALSE)-AVERAGE('The List'!U2:U671))/STDEV('The List'!U2:U671)</f>
        <v>2.5875219287278033</v>
      </c>
      <c r="I11" s="55" cm="1">
        <f t="array" ref="I11">(VLOOKUP($A11,'The List'!$B1:$AH671,21,FALSE)-AVERAGE('The List'!V2:V671))/STDEV('The List'!V2:V671)</f>
        <v>1.7827530673744156</v>
      </c>
      <c r="J11" s="55" cm="1">
        <f t="array" ref="J11">(VLOOKUP($A11,'The List'!$B1:$AH671,22,FALSE)-AVERAGE('The List'!W2:W671))/STDEV('The List'!W2:W671)</f>
        <v>2.2057197406646081</v>
      </c>
      <c r="K11" s="55" cm="1">
        <f t="array" ref="K11">(VLOOKUP($A11,'The List'!$B1:$AH671,23,FALSE)-AVERAGE('The List'!X2:X671))/STDEV('The List'!X2:X671)</f>
        <v>2.0002104647302552</v>
      </c>
      <c r="L11" s="55" cm="1">
        <f t="array" ref="L11">(VLOOKUP($A11,'The List'!$B1:$AH671,24,FALSE)-AVERAGE('The List'!Y2:Y671))/STDEV('The List'!Y2:Y671)</f>
        <v>-0.47546929358800777</v>
      </c>
      <c r="M11" s="55" cm="1">
        <f t="array" ref="M11">(VLOOKUP($A11,'The List'!$B1:$AH671,25,FALSE)-AVERAGE('The List'!Z2:Z671))/STDEV('The List'!Z2:Z671)</f>
        <v>-0.64388478613809508</v>
      </c>
      <c r="N11" s="55" cm="1">
        <f t="array" ref="N11">(VLOOKUP($A11,'The List'!$B1:$AH671,26,FALSE)-AVERAGE('The List'!AA2:AA671))/STDEV('The List'!AA2:AA671)</f>
        <v>-0.86899958855541803</v>
      </c>
      <c r="O11" s="55" cm="1">
        <f t="array" ref="O11">(VLOOKUP($A11,'The List'!$B1:$AH671,27,FALSE)-AVERAGE('The List'!AB2:AB671))/STDEV('The List'!AB2:AB671)</f>
        <v>-5.4277358885112439E-2</v>
      </c>
      <c r="P11" s="55" cm="1">
        <f t="array" ref="P11">(VLOOKUP($A11,'The List'!$B1:$AH671,28,FALSE)-AVERAGE('The List'!AC2:AC671))/STDEV('The List'!AC2:AC671)</f>
        <v>2.0306878916299405</v>
      </c>
      <c r="Q11" s="55" cm="1">
        <f t="array" ref="Q11">(VLOOKUP($A11,'The List'!$B1:$AH671,29,FALSE)-AVERAGE('The List'!AD2:AD671))/STDEV('The List'!AD2:AD671)</f>
        <v>0.17076683339572432</v>
      </c>
      <c r="R11" s="55" cm="1">
        <f t="array" ref="R11">(VLOOKUP($A11,'The List'!$B1:$AH671,30,FALSE)-AVERAGE('The List'!AE2:AE671))/STDEV('The List'!AE2:AE671)</f>
        <v>2.7476236437028314</v>
      </c>
      <c r="S11" s="55" cm="1">
        <f t="array" ref="S11">(VLOOKUP($A11,'The List'!$B1:$AH671,31,FALSE)-AVERAGE('The List'!AF2:AF671))/STDEV('The List'!AF2:AF671)</f>
        <v>-0.48543315298824713</v>
      </c>
      <c r="T11" s="55" cm="1">
        <f t="array" ref="T11">(VLOOKUP($A11,'The List'!$B1:$AH671,32,FALSE)-AVERAGE('The List'!AG2:AG671))/STDEV('The List'!AG2:AG671)</f>
        <v>-0.46271298284006529</v>
      </c>
      <c r="U11" s="55" cm="1">
        <f t="array" ref="U11">(VLOOKUP($A11,'The List'!$B1:$AH671,33,FALSE)-AVERAGE('The List'!AH2:AH671))/STDEV('The List'!AH2:AH671)</f>
        <v>0.53870709061410371</v>
      </c>
      <c r="V11" s="55"/>
      <c r="W11" s="77"/>
      <c r="X11" s="57"/>
      <c r="Y11" s="57"/>
      <c r="Z11" s="57"/>
      <c r="AA11" s="57"/>
      <c r="AB11" s="57"/>
      <c r="AC11" s="60"/>
      <c r="AD11" s="61"/>
      <c r="AE11" s="55"/>
    </row>
    <row r="12" spans="1:31" ht="21.25" customHeight="1" x14ac:dyDescent="0.15">
      <c r="A12" s="10" t="s">
        <v>157</v>
      </c>
      <c r="B12" s="18" t="str" cm="1">
        <f t="array" ref="B12">VLOOKUP(A12,'Player Data'!A1:B673,2,FALSE)</f>
        <v>TOR</v>
      </c>
      <c r="C12" s="52" cm="1">
        <f t="array" ref="C12">((E12)*Settings!$C$12)+(F12*Settings!$C$2)+(G12*Settings!$C$3)+(H12*Settings!$C$4)+(I12*Settings!$C$5)+(K12*Settings!$C$9)+(N12*Settings!$C$6)+(J12*Settings!$C$8)+(O12*Settings!$C$7)+(P12*Settings!$C$14)+(Q12*Settings!$C$15)+(R12*Settings!$C$16)+(S12*Settings!$C$17)+(T12*Settings!$C$18)+(U12*Settings!$C$19)+(L12*Settings!$C$10)+(Settings!$C$11*M12)</f>
        <v>7.5593186307306963</v>
      </c>
      <c r="D12" s="57" cm="1">
        <f t="array" ref="D12">IF(Settings!$E$12="YES",VLOOKUP(A12,'Player Data'!A1:E673,5,FALSE),82)</f>
        <v>81</v>
      </c>
      <c r="E12" s="55" cm="1">
        <f t="array" ref="E12">(VLOOKUP($A12,'The List'!$B1:$AH671,17,FALSE)-AVERAGE('The List'!R2:R671))/STDEV('The List'!R2:R671)</f>
        <v>0.86189363978538003</v>
      </c>
      <c r="F12" s="55" cm="1">
        <f t="array" ref="F12">(VLOOKUP($A12,'The List'!$B1:$AH671,18,FALSE)-AVERAGE('The List'!S2:S671))/STDEV('The List'!S2:S671)</f>
        <v>2.5074948250442506</v>
      </c>
      <c r="G12" s="55" cm="1">
        <f t="array" ref="G12">(VLOOKUP($A12,'The List'!$B1:$AH671,19,FALSE)-AVERAGE('The List'!T2:T671))/STDEV('The List'!T2:T671)</f>
        <v>2.0944969323846765</v>
      </c>
      <c r="H12" s="55" cm="1">
        <f t="array" ref="H12">(VLOOKUP($A12,'The List'!$B1:$AH671,20,FALSE)-AVERAGE('The List'!U2:U671))/STDEV('The List'!U2:U671)</f>
        <v>2.4283759686456139</v>
      </c>
      <c r="I12" s="55" cm="1">
        <f t="array" ref="I12">(VLOOKUP($A12,'The List'!$B1:$AH671,21,FALSE)-AVERAGE('The List'!V2:V671))/STDEV('The List'!V2:V671)</f>
        <v>1.9023116907508779</v>
      </c>
      <c r="J12" s="55" cm="1">
        <f t="array" ref="J12">(VLOOKUP($A12,'The List'!$B1:$AH671,22,FALSE)-AVERAGE('The List'!W2:W671))/STDEV('The List'!W2:W671)</f>
        <v>2.1698141452435635</v>
      </c>
      <c r="K12" s="55" cm="1">
        <f t="array" ref="K12">(VLOOKUP($A12,'The List'!$B1:$AH671,23,FALSE)-AVERAGE('The List'!X2:X671))/STDEV('The List'!X2:X671)</f>
        <v>2.128842359903337</v>
      </c>
      <c r="L12" s="55" cm="1">
        <f t="array" ref="L12">(VLOOKUP($A12,'The List'!$B1:$AH671,24,FALSE)-AVERAGE('The List'!Y2:Y671))/STDEV('The List'!Y2:Y671)</f>
        <v>-0.47546929358800777</v>
      </c>
      <c r="M12" s="55" cm="1">
        <f t="array" ref="M12">(VLOOKUP($A12,'The List'!$B1:$AH671,25,FALSE)-AVERAGE('The List'!Z2:Z671))/STDEV('The List'!Z2:Z671)</f>
        <v>-0.64388478613809508</v>
      </c>
      <c r="N12" s="55" cm="1">
        <f t="array" ref="N12">(VLOOKUP($A12,'The List'!$B1:$AH671,26,FALSE)-AVERAGE('The List'!AA2:AA671))/STDEV('The List'!AA2:AA671)</f>
        <v>-0.81612979924704843</v>
      </c>
      <c r="O12" s="55" cm="1">
        <f t="array" ref="O12">(VLOOKUP($A12,'The List'!$B1:$AH671,27,FALSE)-AVERAGE('The List'!AB2:AB671))/STDEV('The List'!AB2:AB671)</f>
        <v>-1.3204847699682889</v>
      </c>
      <c r="P12" s="55" cm="1">
        <f t="array" ref="P12">(VLOOKUP($A12,'The List'!$B1:$AH671,28,FALSE)-AVERAGE('The List'!AC2:AC671))/STDEV('The List'!AC2:AC671)</f>
        <v>0.24665759261584222</v>
      </c>
      <c r="Q12" s="55" cm="1">
        <f t="array" ref="Q12">(VLOOKUP($A12,'The List'!$B1:$AH671,29,FALSE)-AVERAGE('The List'!AD2:AD671))/STDEV('The List'!AD2:AD671)</f>
        <v>-0.39888185683760446</v>
      </c>
      <c r="R12" s="55" cm="1">
        <f t="array" ref="R12">(VLOOKUP($A12,'The List'!$B1:$AH671,30,FALSE)-AVERAGE('The List'!AE2:AE671))/STDEV('The List'!AE2:AE671)</f>
        <v>2.1924426235924348</v>
      </c>
      <c r="S12" s="55" cm="1">
        <f t="array" ref="S12">(VLOOKUP($A12,'The List'!$B1:$AH671,31,FALSE)-AVERAGE('The List'!AF2:AF671))/STDEV('The List'!AF2:AF671)</f>
        <v>-0.34269181641711649</v>
      </c>
      <c r="T12" s="55" cm="1">
        <f t="array" ref="T12">(VLOOKUP($A12,'The List'!$B1:$AH671,32,FALSE)-AVERAGE('The List'!AG2:AG671))/STDEV('The List'!AG2:AG671)</f>
        <v>-0.32441152241168192</v>
      </c>
      <c r="U12" s="55" cm="1">
        <f t="array" ref="U12">(VLOOKUP($A12,'The List'!$B1:$AH671,33,FALSE)-AVERAGE('The List'!AH2:AH671))/STDEV('The List'!AH2:AH671)</f>
        <v>0.8147024381514969</v>
      </c>
      <c r="V12" s="55"/>
      <c r="W12" s="77"/>
      <c r="X12" s="57"/>
      <c r="Y12" s="57"/>
      <c r="Z12" s="57"/>
      <c r="AA12" s="57"/>
      <c r="AB12" s="57"/>
      <c r="AC12" s="60"/>
      <c r="AD12" s="61"/>
      <c r="AE12" s="55"/>
    </row>
    <row r="13" spans="1:31" ht="21.25" customHeight="1" x14ac:dyDescent="0.15">
      <c r="A13" s="10" t="s">
        <v>142</v>
      </c>
      <c r="B13" s="18" t="str" cm="1">
        <f t="array" ref="B13">VLOOKUP(A13,'Player Data'!A1:B673,2,FALSE)</f>
        <v>DAL</v>
      </c>
      <c r="C13" s="52" cm="1">
        <f t="array" ref="C13">((E13)*Settings!$C$12)+(F13*Settings!$C$2)+(G13*Settings!$C$3)+(H13*Settings!$C$4)+(I13*Settings!$C$5)+(K13*Settings!$C$9)+(N13*Settings!$C$6)+(J13*Settings!$C$8)+(O13*Settings!$C$7)+(P13*Settings!$C$14)+(Q13*Settings!$C$15)+(R13*Settings!$C$16)+(S13*Settings!$C$17)+(T13*Settings!$C$18)+(U13*Settings!$C$19)+(L13*Settings!$C$10)+(Settings!$C$11*M13)</f>
        <v>11.586552088191054</v>
      </c>
      <c r="D13" s="57" cm="1">
        <f t="array" ref="D13">IF(Settings!$E$12="YES",VLOOKUP(A13,'Player Data'!A1:E673,5,FALSE),82)</f>
        <v>84</v>
      </c>
      <c r="E13" s="55" cm="1">
        <f t="array" ref="E13">(VLOOKUP($A13,'The List'!$B1:$AH671,17,FALSE)-AVERAGE('The List'!R2:R671))/STDEV('The List'!R2:R671)</f>
        <v>0.88812574996115867</v>
      </c>
      <c r="F13" s="55" cm="1">
        <f t="array" ref="F13">(VLOOKUP($A13,'The List'!$B1:$AH671,18,FALSE)-AVERAGE('The List'!S2:S671))/STDEV('The List'!S2:S671)</f>
        <v>2.7350249854340043</v>
      </c>
      <c r="G13" s="55" cm="1">
        <f t="array" ref="G13">(VLOOKUP($A13,'The List'!$B1:$AH671,19,FALSE)-AVERAGE('The List'!T2:T671))/STDEV('The List'!T2:T671)</f>
        <v>2.1155789744090425</v>
      </c>
      <c r="H13" s="55" cm="1">
        <f t="array" ref="H13">(VLOOKUP($A13,'The List'!$B1:$AH671,20,FALSE)-AVERAGE('The List'!U2:U671))/STDEV('The List'!U2:U671)</f>
        <v>2.5424305733711825</v>
      </c>
      <c r="I13" s="55" cm="1">
        <f t="array" ref="I13">(VLOOKUP($A13,'The List'!$B1:$AH671,21,FALSE)-AVERAGE('The List'!V2:V671))/STDEV('The List'!V2:V671)</f>
        <v>2.7067408098849968</v>
      </c>
      <c r="J13" s="55" cm="1">
        <f t="array" ref="J13">(VLOOKUP($A13,'The List'!$B1:$AH671,22,FALSE)-AVERAGE('The List'!W2:W671))/STDEV('The List'!W2:W671)</f>
        <v>2.9735470888992546</v>
      </c>
      <c r="K13" s="55" cm="1">
        <f t="array" ref="K13">(VLOOKUP($A13,'The List'!$B1:$AH671,23,FALSE)-AVERAGE('The List'!X2:X671))/STDEV('The List'!X2:X671)</f>
        <v>2.7438636086996344</v>
      </c>
      <c r="L13" s="55" cm="1">
        <f t="array" ref="L13">(VLOOKUP($A13,'The List'!$B1:$AH671,24,FALSE)-AVERAGE('The List'!Y2:Y671))/STDEV('The List'!Y2:Y671)</f>
        <v>-0.47546929358800777</v>
      </c>
      <c r="M13" s="55" cm="1">
        <f t="array" ref="M13">(VLOOKUP($A13,'The List'!$B1:$AH671,25,FALSE)-AVERAGE('The List'!Z2:Z671))/STDEV('The List'!Z2:Z671)</f>
        <v>-0.64388478613809508</v>
      </c>
      <c r="N13" s="55" cm="1">
        <f t="array" ref="N13">(VLOOKUP($A13,'The List'!$B1:$AH671,26,FALSE)-AVERAGE('The List'!AA2:AA671))/STDEV('The List'!AA2:AA671)</f>
        <v>-0.61461161681079857</v>
      </c>
      <c r="O13" s="55" cm="1">
        <f t="array" ref="O13">(VLOOKUP($A13,'The List'!$B1:$AH671,27,FALSE)-AVERAGE('The List'!AB2:AB671))/STDEV('The List'!AB2:AB671)</f>
        <v>-0.61512299215750532</v>
      </c>
      <c r="P13" s="55" cm="1">
        <f t="array" ref="P13">(VLOOKUP($A13,'The List'!$B1:$AH671,28,FALSE)-AVERAGE('The List'!AC2:AC671))/STDEV('The List'!AC2:AC671)</f>
        <v>1.9004667019208823</v>
      </c>
      <c r="Q13" s="55" cm="1">
        <f t="array" ref="Q13">(VLOOKUP($A13,'The List'!$B1:$AH671,29,FALSE)-AVERAGE('The List'!AD2:AD671))/STDEV('The List'!AD2:AD671)</f>
        <v>-0.20161052053112102</v>
      </c>
      <c r="R13" s="55" cm="1">
        <f t="array" ref="R13">(VLOOKUP($A13,'The List'!$B1:$AH671,30,FALSE)-AVERAGE('The List'!AE2:AE671))/STDEV('The List'!AE2:AE671)</f>
        <v>2.8474314675429024</v>
      </c>
      <c r="S13" s="55" cm="1">
        <f t="array" ref="S13">(VLOOKUP($A13,'The List'!$B1:$AH671,31,FALSE)-AVERAGE('The List'!AF2:AF671))/STDEV('The List'!AF2:AF671)</f>
        <v>-0.58774152760036091</v>
      </c>
      <c r="T13" s="55" cm="1">
        <f t="array" ref="T13">(VLOOKUP($A13,'The List'!$B1:$AH671,32,FALSE)-AVERAGE('The List'!AG2:AG671))/STDEV('The List'!AG2:AG671)</f>
        <v>-0.62540857540304906</v>
      </c>
      <c r="U13" s="55" cm="1">
        <f t="array" ref="U13">(VLOOKUP($A13,'The List'!$B1:$AH671,33,FALSE)-AVERAGE('The List'!AH2:AH671))/STDEV('The List'!AH2:AH671)</f>
        <v>-1.3283604460682703E-2</v>
      </c>
      <c r="V13" s="55"/>
      <c r="W13" s="77"/>
      <c r="X13" s="57"/>
      <c r="Y13" s="57"/>
      <c r="Z13" s="57"/>
      <c r="AA13" s="57"/>
      <c r="AB13" s="57"/>
      <c r="AC13" s="60"/>
      <c r="AD13" s="61"/>
      <c r="AE13" s="55"/>
    </row>
    <row r="14" spans="1:31" ht="21.25" customHeight="1" x14ac:dyDescent="0.15">
      <c r="A14" s="10" t="s">
        <v>180</v>
      </c>
      <c r="B14" s="18" t="str" cm="1">
        <f t="array" ref="B14">VLOOKUP(A14,'Player Data'!A1:B673,2,FALSE)</f>
        <v>L.A</v>
      </c>
      <c r="C14" s="52" cm="1">
        <f t="array" ref="C14">((E14)*Settings!$C$12)+(F14*Settings!$C$2)+(G14*Settings!$C$3)+(H14*Settings!$C$4)+(I14*Settings!$C$5)+(K14*Settings!$C$9)+(N14*Settings!$C$6)+(J14*Settings!$C$8)+(O14*Settings!$C$7)+(P14*Settings!$C$14)+(Q14*Settings!$C$15)+(R14*Settings!$C$16)+(S14*Settings!$C$17)+(T14*Settings!$C$18)+(U14*Settings!$C$19)+(L14*Settings!$C$10)+(Settings!$C$11*M14)</f>
        <v>6.7723564461092902</v>
      </c>
      <c r="D14" s="57" cm="1">
        <f t="array" ref="D14">IF(Settings!$E$12="YES",VLOOKUP(A14,'Player Data'!A1:E673,5,FALSE),82)</f>
        <v>83</v>
      </c>
      <c r="E14" s="55" cm="1">
        <f t="array" ref="E14">(VLOOKUP($A14,'The List'!$B1:$AH671,17,FALSE)-AVERAGE('The List'!R2:R671))/STDEV('The List'!R2:R671)</f>
        <v>1.1504468517189503</v>
      </c>
      <c r="F14" s="55" cm="1">
        <f t="array" ref="F14">(VLOOKUP($A14,'The List'!$B1:$AH671,18,FALSE)-AVERAGE('The List'!S2:S671))/STDEV('The List'!S2:S671)</f>
        <v>1.68389552079134</v>
      </c>
      <c r="G14" s="55" cm="1">
        <f t="array" ref="G14">(VLOOKUP($A14,'The List'!$B1:$AH671,19,FALSE)-AVERAGE('The List'!T2:T671))/STDEV('The List'!T2:T671)</f>
        <v>2.1172655377709919</v>
      </c>
      <c r="H14" s="55" cm="1">
        <f t="array" ref="H14">(VLOOKUP($A14,'The List'!$B1:$AH671,20,FALSE)-AVERAGE('The List'!U2:U671))/STDEV('The List'!U2:U671)</f>
        <v>2.0778569915645919</v>
      </c>
      <c r="I14" s="55" cm="1">
        <f t="array" ref="I14">(VLOOKUP($A14,'The List'!$B1:$AH671,21,FALSE)-AVERAGE('The List'!V2:V671))/STDEV('The List'!V2:V671)</f>
        <v>2.0663074209661074</v>
      </c>
      <c r="J14" s="55" cm="1">
        <f t="array" ref="J14">(VLOOKUP($A14,'The List'!$B1:$AH671,22,FALSE)-AVERAGE('The List'!W2:W671))/STDEV('The List'!W2:W671)</f>
        <v>1.1183325931826638</v>
      </c>
      <c r="K14" s="55" cm="1">
        <f t="array" ref="K14">(VLOOKUP($A14,'The List'!$B1:$AH671,23,FALSE)-AVERAGE('The List'!X2:X671))/STDEV('The List'!X2:X671)</f>
        <v>1.9009227206435326</v>
      </c>
      <c r="L14" s="55" cm="1">
        <f t="array" ref="L14">(VLOOKUP($A14,'The List'!$B1:$AH671,24,FALSE)-AVERAGE('The List'!Y2:Y671))/STDEV('The List'!Y2:Y671)</f>
        <v>-0.47546929358800777</v>
      </c>
      <c r="M14" s="55" cm="1">
        <f t="array" ref="M14">(VLOOKUP($A14,'The List'!$B1:$AH671,25,FALSE)-AVERAGE('The List'!Z2:Z671))/STDEV('The List'!Z2:Z671)</f>
        <v>-0.64388478613809508</v>
      </c>
      <c r="N14" s="55" cm="1">
        <f t="array" ref="N14">(VLOOKUP($A14,'The List'!$B1:$AH671,26,FALSE)-AVERAGE('The List'!AA2:AA671))/STDEV('The List'!AA2:AA671)</f>
        <v>-1.1353918119787498</v>
      </c>
      <c r="O14" s="55" cm="1">
        <f t="array" ref="O14">(VLOOKUP($A14,'The List'!$B1:$AH671,27,FALSE)-AVERAGE('The List'!AB2:AB671))/STDEV('The List'!AB2:AB671)</f>
        <v>-1.377471278027399</v>
      </c>
      <c r="P14" s="55" cm="1">
        <f t="array" ref="P14">(VLOOKUP($A14,'The List'!$B1:$AH671,28,FALSE)-AVERAGE('The List'!AC2:AC671))/STDEV('The List'!AC2:AC671)</f>
        <v>0.38143652396471744</v>
      </c>
      <c r="Q14" s="55" cm="1">
        <f t="array" ref="Q14">(VLOOKUP($A14,'The List'!$B1:$AH671,29,FALSE)-AVERAGE('The List'!AD2:AD671))/STDEV('The List'!AD2:AD671)</f>
        <v>-0.47276625245801029</v>
      </c>
      <c r="R14" s="55" cm="1">
        <f t="array" ref="R14">(VLOOKUP($A14,'The List'!$B1:$AH671,30,FALSE)-AVERAGE('The List'!AE2:AE671))/STDEV('The List'!AE2:AE671)</f>
        <v>1.9173473091332383</v>
      </c>
      <c r="S14" s="55" cm="1">
        <f t="array" ref="S14">(VLOOKUP($A14,'The List'!$B1:$AH671,31,FALSE)-AVERAGE('The List'!AF2:AF671))/STDEV('The List'!AF2:AF671)</f>
        <v>-0.59182809331560049</v>
      </c>
      <c r="T14" s="55" cm="1">
        <f t="array" ref="T14">(VLOOKUP($A14,'The List'!$B1:$AH671,32,FALSE)-AVERAGE('The List'!AG2:AG671))/STDEV('The List'!AG2:AG671)</f>
        <v>-0.63837114770888281</v>
      </c>
      <c r="U14" s="55" cm="1">
        <f t="array" ref="U14">(VLOOKUP($A14,'The List'!$B1:$AH671,33,FALSE)-AVERAGE('The List'!AH2:AH671))/STDEV('The List'!AH2:AH671)</f>
        <v>0.76870321356193128</v>
      </c>
      <c r="V14" s="55"/>
      <c r="W14" s="77"/>
      <c r="X14" s="57"/>
      <c r="Y14" s="57"/>
      <c r="Z14" s="57"/>
      <c r="AA14" s="57"/>
      <c r="AB14" s="57"/>
      <c r="AC14" s="60"/>
      <c r="AD14" s="61"/>
      <c r="AE14" s="55"/>
    </row>
    <row r="15" spans="1:31" ht="21.25" customHeight="1" x14ac:dyDescent="0.15">
      <c r="A15" s="10" t="s">
        <v>162</v>
      </c>
      <c r="B15" s="18" t="str" cm="1">
        <f t="array" ref="B15">VLOOKUP(A15,'Player Data'!A1:B673,2,FALSE)</f>
        <v>DAL</v>
      </c>
      <c r="C15" s="52" cm="1">
        <f t="array" ref="C15">((E15)*Settings!$C$12)+(F15*Settings!$C$2)+(G15*Settings!$C$3)+(H15*Settings!$C$4)+(I15*Settings!$C$5)+(K15*Settings!$C$9)+(N15*Settings!$C$6)+(J15*Settings!$C$8)+(O15*Settings!$C$7)+(P15*Settings!$C$14)+(Q15*Settings!$C$15)+(R15*Settings!$C$16)+(S15*Settings!$C$17)+(T15*Settings!$C$18)+(U15*Settings!$C$19)+(L15*Settings!$C$10)+(Settings!$C$11*M15)</f>
        <v>9.1685176421004204</v>
      </c>
      <c r="D15" s="57" cm="1">
        <f t="array" ref="D15">IF(Settings!$E$12="YES",VLOOKUP(A15,'Player Data'!A1:E673,5,FALSE),82)</f>
        <v>81</v>
      </c>
      <c r="E15" s="55" cm="1">
        <f t="array" ref="E15">(VLOOKUP($A15,'The List'!$B1:$AH671,17,FALSE)-AVERAGE('The List'!R2:R671))/STDEV('The List'!R2:R671)</f>
        <v>0.91435786013693821</v>
      </c>
      <c r="F15" s="55" cm="1">
        <f t="array" ref="F15">(VLOOKUP($A15,'The List'!$B1:$AH671,18,FALSE)-AVERAGE('The List'!S2:S671))/STDEV('The List'!S2:S671)</f>
        <v>1.779997075377012</v>
      </c>
      <c r="G15" s="55" cm="1">
        <f t="array" ref="G15">(VLOOKUP($A15,'The List'!$B1:$AH671,19,FALSE)-AVERAGE('The List'!T2:T671))/STDEV('The List'!T2:T671)</f>
        <v>2.6067905535767815</v>
      </c>
      <c r="H15" s="55" cm="1">
        <f t="array" ref="H15">(VLOOKUP($A15,'The List'!$B1:$AH671,20,FALSE)-AVERAGE('The List'!U2:U671))/STDEV('The List'!U2:U671)</f>
        <v>2.4283759686456139</v>
      </c>
      <c r="I15" s="55" cm="1">
        <f t="array" ref="I15">(VLOOKUP($A15,'The List'!$B1:$AH671,21,FALSE)-AVERAGE('The List'!V2:V671))/STDEV('The List'!V2:V671)</f>
        <v>1.2585610683510229</v>
      </c>
      <c r="J15" s="55" cm="1">
        <f t="array" ref="J15">(VLOOKUP($A15,'The List'!$B1:$AH671,22,FALSE)-AVERAGE('The List'!W2:W671))/STDEV('The List'!W2:W671)</f>
        <v>2.1698141452435635</v>
      </c>
      <c r="K15" s="55" cm="1">
        <f t="array" ref="K15">(VLOOKUP($A15,'The List'!$B1:$AH671,23,FALSE)-AVERAGE('The List'!X2:X671))/STDEV('The List'!X2:X671)</f>
        <v>2.8614412003812797</v>
      </c>
      <c r="L15" s="55" cm="1">
        <f t="array" ref="L15">(VLOOKUP($A15,'The List'!$B1:$AH671,24,FALSE)-AVERAGE('The List'!Y2:Y671))/STDEV('The List'!Y2:Y671)</f>
        <v>-0.47546929358800777</v>
      </c>
      <c r="M15" s="55" cm="1">
        <f t="array" ref="M15">(VLOOKUP($A15,'The List'!$B1:$AH671,25,FALSE)-AVERAGE('The List'!Z2:Z671))/STDEV('The List'!Z2:Z671)</f>
        <v>-0.64388478613809508</v>
      </c>
      <c r="N15" s="55" cm="1">
        <f t="array" ref="N15">(VLOOKUP($A15,'The List'!$B1:$AH671,26,FALSE)-AVERAGE('The List'!AA2:AA671))/STDEV('The List'!AA2:AA671)</f>
        <v>-0.60924801499690595</v>
      </c>
      <c r="O15" s="55" cm="1">
        <f t="array" ref="O15">(VLOOKUP($A15,'The List'!$B1:$AH671,27,FALSE)-AVERAGE('The List'!AB2:AB671))/STDEV('The List'!AB2:AB671)</f>
        <v>-0.63972148484489089</v>
      </c>
      <c r="P15" s="55" cm="1">
        <f t="array" ref="P15">(VLOOKUP($A15,'The List'!$B1:$AH671,28,FALSE)-AVERAGE('The List'!AC2:AC671))/STDEV('The List'!AC2:AC671)</f>
        <v>1.3014492292592141</v>
      </c>
      <c r="Q15" s="55" cm="1">
        <f t="array" ref="Q15">(VLOOKUP($A15,'The List'!$B1:$AH671,29,FALSE)-AVERAGE('The List'!AD2:AD671))/STDEV('The List'!AD2:AD671)</f>
        <v>1.9351262008110159</v>
      </c>
      <c r="R15" s="55" cm="1">
        <f t="array" ref="R15">(VLOOKUP($A15,'The List'!$B1:$AH671,30,FALSE)-AVERAGE('The List'!AE2:AE671))/STDEV('The List'!AE2:AE671)</f>
        <v>2.1924426235924348</v>
      </c>
      <c r="S15" s="55" cm="1">
        <f t="array" ref="S15">(VLOOKUP($A15,'The List'!$B1:$AH671,31,FALSE)-AVERAGE('The List'!AF2:AF671))/STDEV('The List'!AF2:AF671)</f>
        <v>-0.1246134389544527</v>
      </c>
      <c r="T15" s="55" cm="1">
        <f t="array" ref="T15">(VLOOKUP($A15,'The List'!$B1:$AH671,32,FALSE)-AVERAGE('The List'!AG2:AG671))/STDEV('The List'!AG2:AG671)</f>
        <v>-0.14666097382420623</v>
      </c>
      <c r="U15" s="55" cm="1">
        <f t="array" ref="U15">(VLOOKUP($A15,'The List'!$B1:$AH671,33,FALSE)-AVERAGE('The List'!AH2:AH671))/STDEV('The List'!AH2:AH671)</f>
        <v>1.0446985610993245</v>
      </c>
      <c r="V15" s="55"/>
      <c r="W15" s="77"/>
      <c r="X15" s="57"/>
      <c r="Y15" s="57"/>
      <c r="Z15" s="57"/>
      <c r="AA15" s="57"/>
      <c r="AB15" s="57"/>
      <c r="AC15" s="60"/>
      <c r="AD15" s="61"/>
      <c r="AE15" s="55"/>
    </row>
    <row r="16" spans="1:31" ht="21.25" customHeight="1" x14ac:dyDescent="0.15">
      <c r="A16" s="10" t="s">
        <v>131</v>
      </c>
      <c r="B16" s="18" t="str" cm="1">
        <f t="array" ref="B16">VLOOKUP(A16,'Player Data'!A1:B673,2,FALSE)</f>
        <v>MIN</v>
      </c>
      <c r="C16" s="52" cm="1">
        <f t="array" ref="C16">((E16)*Settings!$C$12)+(F16*Settings!$C$2)+(G16*Settings!$C$3)+(H16*Settings!$C$4)+(I16*Settings!$C$5)+(K16*Settings!$C$9)+(N16*Settings!$C$6)+(J16*Settings!$C$8)+(O16*Settings!$C$7)+(P16*Settings!$C$14)+(Q16*Settings!$C$15)+(R16*Settings!$C$16)+(S16*Settings!$C$17)+(T16*Settings!$C$18)+(U16*Settings!$C$19)+(L16*Settings!$C$10)+(Settings!$C$11*M16)</f>
        <v>8.3682050026701251</v>
      </c>
      <c r="D16" s="57" cm="1">
        <f t="array" ref="D16">IF(Settings!$E$12="YES",VLOOKUP(A16,'Player Data'!A1:E673,5,FALSE),82)</f>
        <v>81</v>
      </c>
      <c r="E16" s="55" cm="1">
        <f t="array" ref="E16">(VLOOKUP($A16,'The List'!$B1:$AH671,17,FALSE)-AVERAGE('The List'!R2:R671))/STDEV('The List'!R2:R671)</f>
        <v>2.8555340131445957</v>
      </c>
      <c r="F16" s="55" cm="1">
        <f t="array" ref="F16">(VLOOKUP($A16,'The List'!$B1:$AH671,18,FALSE)-AVERAGE('The List'!S2:S671))/STDEV('The List'!S2:S671)</f>
        <v>0.16333540944981423</v>
      </c>
      <c r="G16" s="55" cm="1">
        <f t="array" ref="G16">(VLOOKUP($A16,'The List'!$B1:$AH671,19,FALSE)-AVERAGE('The List'!T2:T671))/STDEV('The List'!T2:T671)</f>
        <v>3.7452208228925707</v>
      </c>
      <c r="H16" s="55" cm="1">
        <f t="array" ref="H16">(VLOOKUP($A16,'The List'!$B1:$AH671,20,FALSE)-AVERAGE('The List'!U2:U671))/STDEV('The List'!U2:U671)</f>
        <v>2.4283759686456139</v>
      </c>
      <c r="I16" s="55" cm="1">
        <f t="array" ref="I16">(VLOOKUP($A16,'The List'!$B1:$AH671,21,FALSE)-AVERAGE('The List'!V2:V671))/STDEV('The List'!V2:V671)</f>
        <v>1.5524472220553045</v>
      </c>
      <c r="J16" s="55" cm="1">
        <f t="array" ref="J16">(VLOOKUP($A16,'The List'!$B1:$AH671,22,FALSE)-AVERAGE('The List'!W2:W671))/STDEV('The List'!W2:W671)</f>
        <v>0.38005831194841494</v>
      </c>
      <c r="K16" s="55" cm="1">
        <f t="array" ref="K16">(VLOOKUP($A16,'The List'!$B1:$AH671,23,FALSE)-AVERAGE('The List'!X2:X671))/STDEV('The List'!X2:X671)</f>
        <v>2.9428410715454958</v>
      </c>
      <c r="L16" s="55" cm="1">
        <f t="array" ref="L16">(VLOOKUP($A16,'The List'!$B1:$AH671,24,FALSE)-AVERAGE('The List'!Y2:Y671))/STDEV('The List'!Y2:Y671)</f>
        <v>-0.47546929358800777</v>
      </c>
      <c r="M16" s="55" cm="1">
        <f t="array" ref="M16">(VLOOKUP($A16,'The List'!$B1:$AH671,25,FALSE)-AVERAGE('The List'!Z2:Z671))/STDEV('The List'!Z2:Z671)</f>
        <v>-0.64388478613809508</v>
      </c>
      <c r="N16" s="55" cm="1">
        <f t="array" ref="N16">(VLOOKUP($A16,'The List'!$B1:$AH671,26,FALSE)-AVERAGE('The List'!AA2:AA671))/STDEV('The List'!AA2:AA671)</f>
        <v>0.88030083160411943</v>
      </c>
      <c r="O16" s="55" cm="1">
        <f t="array" ref="O16">(VLOOKUP($A16,'The List'!$B1:$AH671,27,FALSE)-AVERAGE('The List'!AB2:AB671))/STDEV('The List'!AB2:AB671)</f>
        <v>-1.3370887525322743</v>
      </c>
      <c r="P16" s="55" cm="1">
        <f t="array" ref="P16">(VLOOKUP($A16,'The List'!$B1:$AH671,28,FALSE)-AVERAGE('The List'!AC2:AC671))/STDEV('The List'!AC2:AC671)</f>
        <v>1.3014492292592141</v>
      </c>
      <c r="Q16" s="55" cm="1">
        <f t="array" ref="Q16">(VLOOKUP($A16,'The List'!$B1:$AH671,29,FALSE)-AVERAGE('The List'!AD2:AD671))/STDEV('The List'!AD2:AD671)</f>
        <v>0.37912082904526934</v>
      </c>
      <c r="R16" s="55" cm="1">
        <f t="array" ref="R16">(VLOOKUP($A16,'The List'!$B1:$AH671,30,FALSE)-AVERAGE('The List'!AE2:AE671))/STDEV('The List'!AE2:AE671)</f>
        <v>0.17133419083098952</v>
      </c>
      <c r="S16" s="55" cm="1">
        <f t="array" ref="S16">(VLOOKUP($A16,'The List'!$B1:$AH671,31,FALSE)-AVERAGE('The List'!AF2:AF671))/STDEV('The List'!AF2:AF671)</f>
        <v>-0.59581850454342256</v>
      </c>
      <c r="T16" s="55" cm="1">
        <f t="array" ref="T16">(VLOOKUP($A16,'The List'!$B1:$AH671,32,FALSE)-AVERAGE('The List'!AG2:AG671))/STDEV('The List'!AG2:AG671)</f>
        <v>-0.64684275008198677</v>
      </c>
      <c r="U16" s="55" cm="1">
        <f t="array" ref="U16">(VLOOKUP($A16,'The List'!$B1:$AH671,33,FALSE)-AVERAGE('The List'!AH2:AH671))/STDEV('The List'!AH2:AH671)</f>
        <v>-1.2552626683789523</v>
      </c>
      <c r="V16" s="55"/>
      <c r="W16" s="57"/>
      <c r="X16" s="57"/>
      <c r="Y16" s="57"/>
      <c r="Z16" s="57"/>
      <c r="AA16" s="57"/>
      <c r="AB16" s="57"/>
      <c r="AC16" s="60"/>
      <c r="AD16" s="61"/>
      <c r="AE16" s="55"/>
    </row>
    <row r="17" spans="1:31" ht="21.25" customHeight="1" x14ac:dyDescent="0.15">
      <c r="A17" s="10" t="s">
        <v>147</v>
      </c>
      <c r="B17" s="18" t="str" cm="1">
        <f t="array" ref="B17">VLOOKUP(A17,'Player Data'!A1:B673,2,FALSE)</f>
        <v>MTL</v>
      </c>
      <c r="C17" s="52" cm="1">
        <f t="array" ref="C17">((E17)*Settings!$C$12)+(F17*Settings!$C$2)+(G17*Settings!$C$3)+(H17*Settings!$C$4)+(I17*Settings!$C$5)+(K17*Settings!$C$9)+(N17*Settings!$C$6)+(J17*Settings!$C$8)+(O17*Settings!$C$7)+(P17*Settings!$C$14)+(Q17*Settings!$C$15)+(R17*Settings!$C$16)+(S17*Settings!$C$17)+(T17*Settings!$C$18)+(U17*Settings!$C$19)+(L17*Settings!$C$10)+(Settings!$C$11*M17)</f>
        <v>9.3877295099022167</v>
      </c>
      <c r="D17" s="57" cm="1">
        <f t="array" ref="D17">IF(Settings!$E$12="YES",VLOOKUP(A17,'Player Data'!A1:E673,5,FALSE),82)</f>
        <v>84</v>
      </c>
      <c r="E17" s="55" cm="1">
        <f t="array" ref="E17">(VLOOKUP($A17,'The List'!$B1:$AH671,17,FALSE)-AVERAGE('The List'!R2:R671))/STDEV('The List'!R2:R671)</f>
        <v>1.045518411015834</v>
      </c>
      <c r="F17" s="55" cm="1">
        <f t="array" ref="F17">(VLOOKUP($A17,'The List'!$B1:$AH671,18,FALSE)-AVERAGE('The List'!S2:S671))/STDEV('The List'!S2:S671)</f>
        <v>1.7291021710793038</v>
      </c>
      <c r="G17" s="55" cm="1">
        <f t="array" ref="G17">(VLOOKUP($A17,'The List'!$B1:$AH671,19,FALSE)-AVERAGE('The List'!T2:T671))/STDEV('The List'!T2:T671)</f>
        <v>2.8239355864277562</v>
      </c>
      <c r="H17" s="55" cm="1">
        <f t="array" ref="H17">(VLOOKUP($A17,'The List'!$B1:$AH671,20,FALSE)-AVERAGE('The List'!U2:U671))/STDEV('The List'!U2:U671)</f>
        <v>2.5424305733711829</v>
      </c>
      <c r="I17" s="55" cm="1">
        <f t="array" ref="I17">(VLOOKUP($A17,'The List'!$B1:$AH671,21,FALSE)-AVERAGE('The List'!V2:V671))/STDEV('The List'!V2:V671)</f>
        <v>1.0958093006911558</v>
      </c>
      <c r="J17" s="55" cm="1">
        <f t="array" ref="J17">(VLOOKUP($A17,'The List'!$B1:$AH671,22,FALSE)-AVERAGE('The List'!W2:W671))/STDEV('The List'!W2:W671)</f>
        <v>1.8135201599116588</v>
      </c>
      <c r="K17" s="55" cm="1">
        <f t="array" ref="K17">(VLOOKUP($A17,'The List'!$B1:$AH671,23,FALSE)-AVERAGE('The List'!X2:X671))/STDEV('The List'!X2:X671)</f>
        <v>2.8282782899069692</v>
      </c>
      <c r="L17" s="55" cm="1">
        <f t="array" ref="L17">(VLOOKUP($A17,'The List'!$B1:$AH671,24,FALSE)-AVERAGE('The List'!Y2:Y671))/STDEV('The List'!Y2:Y671)</f>
        <v>1.0643760379302476</v>
      </c>
      <c r="M17" s="55" cm="1">
        <f t="array" ref="M17">(VLOOKUP($A17,'The List'!$B1:$AH671,25,FALSE)-AVERAGE('The List'!Z2:Z671))/STDEV('The List'!Z2:Z671)</f>
        <v>0.26887555677241731</v>
      </c>
      <c r="N17" s="55" cm="1">
        <f t="array" ref="N17">(VLOOKUP($A17,'The List'!$B1:$AH671,26,FALSE)-AVERAGE('The List'!AA2:AA671))/STDEV('The List'!AA2:AA671)</f>
        <v>-1.3888213654829342E-2</v>
      </c>
      <c r="O17" s="55" cm="1">
        <f t="array" ref="O17">(VLOOKUP($A17,'The List'!$B1:$AH671,27,FALSE)-AVERAGE('The List'!AB2:AB671))/STDEV('The List'!AB2:AB671)</f>
        <v>-0.44293354334580565</v>
      </c>
      <c r="P17" s="55" cm="1">
        <f t="array" ref="P17">(VLOOKUP($A17,'The List'!$B1:$AH671,28,FALSE)-AVERAGE('The List'!AC2:AC671))/STDEV('The List'!AC2:AC671)</f>
        <v>1.3535377051428372</v>
      </c>
      <c r="Q17" s="55" cm="1">
        <f t="array" ref="Q17">(VLOOKUP($A17,'The List'!$B1:$AH671,29,FALSE)-AVERAGE('The List'!AD2:AD671))/STDEV('The List'!AD2:AD671)</f>
        <v>-0.5739878744579664</v>
      </c>
      <c r="R17" s="55" cm="1">
        <f t="array" ref="R17">(VLOOKUP($A17,'The List'!$B1:$AH671,30,FALSE)-AVERAGE('The List'!AE2:AE671))/STDEV('The List'!AE2:AE671)</f>
        <v>1.7994493172221533</v>
      </c>
      <c r="S17" s="55" cm="1">
        <f t="array" ref="S17">(VLOOKUP($A17,'The List'!$B1:$AH671,31,FALSE)-AVERAGE('The List'!AF2:AF671))/STDEV('The List'!AF2:AF671)</f>
        <v>2.970166815818283</v>
      </c>
      <c r="T17" s="55" cm="1">
        <f t="array" ref="T17">(VLOOKUP($A17,'The List'!$B1:$AH671,32,FALSE)-AVERAGE('The List'!AG2:AG671))/STDEV('The List'!AG2:AG671)</f>
        <v>2.9412380911721741</v>
      </c>
      <c r="U17" s="55" cm="1">
        <f t="array" ref="U17">(VLOOKUP($A17,'The List'!$B1:$AH671,33,FALSE)-AVERAGE('The List'!AH2:AH671))/STDEV('The List'!AH2:AH671)</f>
        <v>1.09069778568889</v>
      </c>
      <c r="V17" s="55"/>
      <c r="W17" s="77"/>
      <c r="X17" s="57"/>
      <c r="Y17" s="57"/>
      <c r="Z17" s="57"/>
      <c r="AA17" s="57"/>
      <c r="AB17" s="57"/>
      <c r="AC17" s="60"/>
      <c r="AD17" s="61"/>
      <c r="AE17" s="55"/>
    </row>
    <row r="18" spans="1:31" ht="21.25" customHeight="1" x14ac:dyDescent="0.15">
      <c r="A18" s="10" t="s">
        <v>179</v>
      </c>
      <c r="B18" s="18" t="str" cm="1">
        <f t="array" ref="B18">VLOOKUP(A18,'Player Data'!A1:B673,2,FALSE)</f>
        <v>WPG</v>
      </c>
      <c r="C18" s="52" cm="1">
        <f t="array" ref="C18">((E18)*Settings!$C$12)+(F18*Settings!$C$2)+(G18*Settings!$C$3)+(H18*Settings!$C$4)+(I18*Settings!$C$5)+(K18*Settings!$C$9)+(N18*Settings!$C$6)+(J18*Settings!$C$8)+(O18*Settings!$C$7)+(P18*Settings!$C$14)+(Q18*Settings!$C$15)+(R18*Settings!$C$16)+(S18*Settings!$C$17)+(T18*Settings!$C$18)+(U18*Settings!$C$19)+(L18*Settings!$C$10)+(Settings!$C$11*M18)</f>
        <v>5.8234709054452694</v>
      </c>
      <c r="D18" s="57" cm="1">
        <f t="array" ref="D18">IF(Settings!$E$12="YES",VLOOKUP(A18,'Player Data'!A1:E673,5,FALSE),82)</f>
        <v>83</v>
      </c>
      <c r="E18" s="55" cm="1">
        <f t="array" ref="E18">(VLOOKUP($A18,'The List'!$B1:$AH671,17,FALSE)-AVERAGE('The List'!R2:R671))/STDEV('The List'!R2:R671)</f>
        <v>1.2291431822462879</v>
      </c>
      <c r="F18" s="55" cm="1">
        <f t="array" ref="F18">(VLOOKUP($A18,'The List'!$B1:$AH671,18,FALSE)-AVERAGE('The List'!S2:S671))/STDEV('The List'!S2:S671)</f>
        <v>1.9323824064801494</v>
      </c>
      <c r="G18" s="55" cm="1">
        <f t="array" ref="G18">(VLOOKUP($A18,'The List'!$B1:$AH671,19,FALSE)-AVERAGE('The List'!T2:T671))/STDEV('The List'!T2:T671)</f>
        <v>2.1610107749715519</v>
      </c>
      <c r="H18" s="55" cm="1">
        <f t="array" ref="H18">(VLOOKUP($A18,'The List'!$B1:$AH671,20,FALSE)-AVERAGE('The List'!U2:U671))/STDEV('The List'!U2:U671)</f>
        <v>2.215451936218984</v>
      </c>
      <c r="I18" s="55" cm="1">
        <f t="array" ref="I18">(VLOOKUP($A18,'The List'!$B1:$AH671,21,FALSE)-AVERAGE('The List'!V2:V671))/STDEV('The List'!V2:V671)</f>
        <v>0.91981451499399791</v>
      </c>
      <c r="J18" s="55" cm="1">
        <f t="array" ref="J18">(VLOOKUP($A18,'The List'!$B1:$AH671,22,FALSE)-AVERAGE('The List'!W2:W671))/STDEV('The List'!W2:W671)</f>
        <v>1.4392733768692323</v>
      </c>
      <c r="K18" s="55" cm="1">
        <f t="array" ref="K18">(VLOOKUP($A18,'The List'!$B1:$AH671,23,FALSE)-AVERAGE('The List'!X2:X671))/STDEV('The List'!X2:X671)</f>
        <v>1.3379069450910395</v>
      </c>
      <c r="L18" s="55" cm="1">
        <f t="array" ref="L18">(VLOOKUP($A18,'The List'!$B1:$AH671,24,FALSE)-AVERAGE('The List'!Y2:Y671))/STDEV('The List'!Y2:Y671)</f>
        <v>-0.47546929358800777</v>
      </c>
      <c r="M18" s="55" cm="1">
        <f t="array" ref="M18">(VLOOKUP($A18,'The List'!$B1:$AH671,25,FALSE)-AVERAGE('The List'!Z2:Z671))/STDEV('The List'!Z2:Z671)</f>
        <v>-0.64388478613809508</v>
      </c>
      <c r="N18" s="55" cm="1">
        <f t="array" ref="N18">(VLOOKUP($A18,'The List'!$B1:$AH671,26,FALSE)-AVERAGE('The List'!AA2:AA671))/STDEV('The List'!AA2:AA671)</f>
        <v>-0.32982990145412105</v>
      </c>
      <c r="O18" s="55" cm="1">
        <f t="array" ref="O18">(VLOOKUP($A18,'The List'!$B1:$AH671,27,FALSE)-AVERAGE('The List'!AB2:AB671))/STDEV('The List'!AB2:AB671)</f>
        <v>-0.76496881011149631</v>
      </c>
      <c r="P18" s="55" cm="1">
        <f t="array" ref="P18">(VLOOKUP($A18,'The List'!$B1:$AH671,28,FALSE)-AVERAGE('The List'!AC2:AC671))/STDEV('The List'!AC2:AC671)</f>
        <v>0.23732507402002634</v>
      </c>
      <c r="Q18" s="55" cm="1">
        <f t="array" ref="Q18">(VLOOKUP($A18,'The List'!$B1:$AH671,29,FALSE)-AVERAGE('The List'!AD2:AD671))/STDEV('The List'!AD2:AD671)</f>
        <v>0.75371471484072639</v>
      </c>
      <c r="R18" s="55" cm="1">
        <f t="array" ref="R18">(VLOOKUP($A18,'The List'!$B1:$AH671,30,FALSE)-AVERAGE('The List'!AE2:AE671))/STDEV('The List'!AE2:AE671)</f>
        <v>2.0985608892928669</v>
      </c>
      <c r="S18" s="55" cm="1">
        <f t="array" ref="S18">(VLOOKUP($A18,'The List'!$B1:$AH671,31,FALSE)-AVERAGE('The List'!AF2:AF671))/STDEV('The List'!AF2:AF671)</f>
        <v>2.4528556735126696</v>
      </c>
      <c r="T18" s="55" cm="1">
        <f t="array" ref="T18">(VLOOKUP($A18,'The List'!$B1:$AH671,32,FALSE)-AVERAGE('The List'!AG2:AG671))/STDEV('The List'!AG2:AG671)</f>
        <v>2.8604006323830378</v>
      </c>
      <c r="U18" s="55" cm="1">
        <f t="array" ref="U18">(VLOOKUP($A18,'The List'!$B1:$AH671,33,FALSE)-AVERAGE('The List'!AH2:AH671))/STDEV('The List'!AH2:AH671)</f>
        <v>0.95270011192019333</v>
      </c>
      <c r="V18" s="55"/>
      <c r="W18" s="77"/>
      <c r="X18" s="57"/>
      <c r="Y18" s="57"/>
      <c r="Z18" s="57"/>
      <c r="AA18" s="57"/>
      <c r="AB18" s="57"/>
      <c r="AC18" s="60"/>
      <c r="AD18" s="61"/>
      <c r="AE18" s="55"/>
    </row>
    <row r="19" spans="1:31" ht="21.25" customHeight="1" x14ac:dyDescent="0.15">
      <c r="A19" s="10" t="s">
        <v>153</v>
      </c>
      <c r="B19" s="18" t="str" cm="1">
        <f t="array" ref="B19">VLOOKUP(A19,'Player Data'!A1:B673,2,FALSE)</f>
        <v>WPG</v>
      </c>
      <c r="C19" s="52" cm="1">
        <f t="array" ref="C19">((E19)*Settings!$C$12)+(F19*Settings!$C$2)+(G19*Settings!$C$3)+(H19*Settings!$C$4)+(I19*Settings!$C$5)+(K19*Settings!$C$9)+(N19*Settings!$C$6)+(J19*Settings!$C$8)+(O19*Settings!$C$7)+(P19*Settings!$C$14)+(Q19*Settings!$C$15)+(R19*Settings!$C$16)+(S19*Settings!$C$17)+(T19*Settings!$C$18)+(U19*Settings!$C$19)+(L19*Settings!$C$10)+(Settings!$C$11*M19)</f>
        <v>7.7793223394578721</v>
      </c>
      <c r="D19" s="57" cm="1">
        <f t="array" ref="D19">IF(Settings!$E$12="YES",VLOOKUP(A19,'Player Data'!A1:E673,5,FALSE),82)</f>
        <v>82</v>
      </c>
      <c r="E19" s="55" cm="1">
        <f t="array" ref="E19">(VLOOKUP($A19,'The List'!$B1:$AH671,17,FALSE)-AVERAGE('The List'!R2:R671))/STDEV('The List'!R2:R671)</f>
        <v>1.2291431822462879</v>
      </c>
      <c r="F19" s="55" cm="1">
        <f t="array" ref="F19">(VLOOKUP($A19,'The List'!$B1:$AH671,18,FALSE)-AVERAGE('The List'!S2:S671))/STDEV('The List'!S2:S671)</f>
        <v>2.5553959114420937</v>
      </c>
      <c r="G19" s="55" cm="1">
        <f t="array" ref="G19">(VLOOKUP($A19,'The List'!$B1:$AH671,19,FALSE)-AVERAGE('The List'!T2:T671))/STDEV('The List'!T2:T671)</f>
        <v>1.9680046802384776</v>
      </c>
      <c r="H19" s="55" cm="1">
        <f t="array" ref="H19">(VLOOKUP($A19,'The List'!$B1:$AH671,20,FALSE)-AVERAGE('The List'!U2:U671))/STDEV('The List'!U2:U671)</f>
        <v>2.3700224499488116</v>
      </c>
      <c r="I19" s="55" cm="1">
        <f t="array" ref="I19">(VLOOKUP($A19,'The List'!$B1:$AH671,21,FALSE)-AVERAGE('The List'!V2:V671))/STDEV('The List'!V2:V671)</f>
        <v>2.5619573902470258</v>
      </c>
      <c r="J19" s="55" cm="1">
        <f t="array" ref="J19">(VLOOKUP($A19,'The List'!$B1:$AH671,22,FALSE)-AVERAGE('The List'!W2:W671))/STDEV('The List'!W2:W671)</f>
        <v>1.0733125004624309</v>
      </c>
      <c r="K19" s="55" cm="1">
        <f t="array" ref="K19">(VLOOKUP($A19,'The List'!$B1:$AH671,23,FALSE)-AVERAGE('The List'!X2:X671))/STDEV('The List'!X2:X671)</f>
        <v>1.5057816176587218</v>
      </c>
      <c r="L19" s="55" cm="1">
        <f t="array" ref="L19">(VLOOKUP($A19,'The List'!$B1:$AH671,24,FALSE)-AVERAGE('The List'!Y2:Y671))/STDEV('The List'!Y2:Y671)</f>
        <v>1.0277130538464798</v>
      </c>
      <c r="M19" s="55" cm="1">
        <f t="array" ref="M19">(VLOOKUP($A19,'The List'!$B1:$AH671,25,FALSE)-AVERAGE('The List'!Z2:Z671))/STDEV('The List'!Z2:Z671)</f>
        <v>1.1381711214490962</v>
      </c>
      <c r="N19" s="55" cm="1">
        <f t="array" ref="N19">(VLOOKUP($A19,'The List'!$B1:$AH671,26,FALSE)-AVERAGE('The List'!AA2:AA671))/STDEV('The List'!AA2:AA671)</f>
        <v>-0.86899958855541803</v>
      </c>
      <c r="O19" s="55" cm="1">
        <f t="array" ref="O19">(VLOOKUP($A19,'The List'!$B1:$AH671,27,FALSE)-AVERAGE('The List'!AB2:AB671))/STDEV('The List'!AB2:AB671)</f>
        <v>-1.0628155590679242</v>
      </c>
      <c r="P19" s="55" cm="1">
        <f t="array" ref="P19">(VLOOKUP($A19,'The List'!$B1:$AH671,28,FALSE)-AVERAGE('The List'!AC2:AC671))/STDEV('The List'!AC2:AC671)</f>
        <v>0.2509982989394775</v>
      </c>
      <c r="Q19" s="55" cm="1">
        <f t="array" ref="Q19">(VLOOKUP($A19,'The List'!$B1:$AH671,29,FALSE)-AVERAGE('The List'!AD2:AD671))/STDEV('The List'!AD2:AD671)</f>
        <v>-0.73801123273526725</v>
      </c>
      <c r="R19" s="55" cm="1">
        <f t="array" ref="R19">(VLOOKUP($A19,'The List'!$B1:$AH671,30,FALSE)-AVERAGE('The List'!AE2:AE671))/STDEV('The List'!AE2:AE671)</f>
        <v>2.7476236437028314</v>
      </c>
      <c r="S19" s="55" cm="1">
        <f t="array" ref="S19">(VLOOKUP($A19,'The List'!$B1:$AH671,31,FALSE)-AVERAGE('The List'!AF2:AF671))/STDEV('The List'!AF2:AF671)</f>
        <v>-0.59581850454342256</v>
      </c>
      <c r="T19" s="55" cm="1">
        <f t="array" ref="T19">(VLOOKUP($A19,'The List'!$B1:$AH671,32,FALSE)-AVERAGE('The List'!AG2:AG671))/STDEV('The List'!AG2:AG671)</f>
        <v>-0.63428844777003757</v>
      </c>
      <c r="U19" s="55" cm="1">
        <f t="array" ref="U19">(VLOOKUP($A19,'The List'!$B1:$AH671,33,FALSE)-AVERAGE('The List'!AH2:AH671))/STDEV('The List'!AH2:AH671)</f>
        <v>-0.79527042248329682</v>
      </c>
      <c r="V19" s="55"/>
      <c r="W19" s="57"/>
      <c r="X19" s="55"/>
      <c r="Y19" s="55"/>
      <c r="Z19" s="55"/>
      <c r="AA19" s="55"/>
      <c r="AB19" s="55"/>
      <c r="AC19" s="55"/>
      <c r="AD19" s="55"/>
      <c r="AE19" s="55"/>
    </row>
    <row r="20" spans="1:31" ht="21.25" customHeight="1" x14ac:dyDescent="0.15">
      <c r="A20" s="10" t="s">
        <v>138</v>
      </c>
      <c r="B20" s="18" t="str" cm="1">
        <f t="array" ref="B20">VLOOKUP(A20,'Player Data'!A1:B673,2,FALSE)</f>
        <v>TOR</v>
      </c>
      <c r="C20" s="52" cm="1">
        <f t="array" ref="C20">((E20)*Settings!$C$12)+(F20*Settings!$C$2)+(G20*Settings!$C$3)+(H20*Settings!$C$4)+(I20*Settings!$C$5)+(K20*Settings!$C$9)+(N20*Settings!$C$6)+(J20*Settings!$C$8)+(O20*Settings!$C$7)+(P20*Settings!$C$14)+(Q20*Settings!$C$15)+(R20*Settings!$C$16)+(S20*Settings!$C$17)+(T20*Settings!$C$18)+(U20*Settings!$C$19)+(L20*Settings!$C$10)+(Settings!$C$11*M20)</f>
        <v>9.6959346747623361</v>
      </c>
      <c r="D20" s="57" cm="1">
        <f t="array" ref="D20">IF(Settings!$E$12="YES",VLOOKUP(A20,'Player Data'!A1:E673,5,FALSE),82)</f>
        <v>78</v>
      </c>
      <c r="E20" s="55" cm="1">
        <f t="array" ref="E20">(VLOOKUP($A20,'The List'!$B1:$AH671,17,FALSE)-AVERAGE('The List'!R2:R671))/STDEV('The List'!R2:R671)</f>
        <v>0.9930541906642758</v>
      </c>
      <c r="F20" s="55" cm="1">
        <f t="array" ref="F20">(VLOOKUP($A20,'The List'!$B1:$AH671,18,FALSE)-AVERAGE('The List'!S2:S671))/STDEV('The List'!S2:S671)</f>
        <v>3.040993174800227</v>
      </c>
      <c r="G20" s="55" cm="1">
        <f t="array" ref="G20">(VLOOKUP($A20,'The List'!$B1:$AH671,19,FALSE)-AVERAGE('The List'!T2:T671))/STDEV('The List'!T2:T671)</f>
        <v>1.5031456536011973</v>
      </c>
      <c r="H20" s="55" cm="1">
        <f t="array" ref="H20">(VLOOKUP($A20,'The List'!$B1:$AH671,20,FALSE)-AVERAGE('The List'!U2:U671))/STDEV('The List'!U2:U671)</f>
        <v>2.2927040376755481</v>
      </c>
      <c r="I20" s="55" cm="1">
        <f t="array" ref="I20">(VLOOKUP($A20,'The List'!$B1:$AH671,21,FALSE)-AVERAGE('The List'!V2:V671))/STDEV('The List'!V2:V671)</f>
        <v>3.2168432052431424</v>
      </c>
      <c r="J20" s="55" cm="1">
        <f t="array" ref="J20">(VLOOKUP($A20,'The List'!$B1:$AH671,22,FALSE)-AVERAGE('The List'!W2:W671))/STDEV('The List'!W2:W671)</f>
        <v>2.6545396834276658</v>
      </c>
      <c r="K20" s="55" cm="1">
        <f t="array" ref="K20">(VLOOKUP($A20,'The List'!$B1:$AH671,23,FALSE)-AVERAGE('The List'!X2:X671))/STDEV('The List'!X2:X671)</f>
        <v>1.914489365837569</v>
      </c>
      <c r="L20" s="55" cm="1">
        <f t="array" ref="L20">(VLOOKUP($A20,'The List'!$B1:$AH671,24,FALSE)-AVERAGE('The List'!Y2:Y671))/STDEV('The List'!Y2:Y671)</f>
        <v>-0.47546929358800777</v>
      </c>
      <c r="M20" s="55" cm="1">
        <f t="array" ref="M20">(VLOOKUP($A20,'The List'!$B1:$AH671,25,FALSE)-AVERAGE('The List'!Z2:Z671))/STDEV('The List'!Z2:Z671)</f>
        <v>-0.64388478613809508</v>
      </c>
      <c r="N20" s="55" cm="1">
        <f t="array" ref="N20">(VLOOKUP($A20,'The List'!$B1:$AH671,26,FALSE)-AVERAGE('The List'!AA2:AA671))/STDEV('The List'!AA2:AA671)</f>
        <v>0.62821154635116794</v>
      </c>
      <c r="O20" s="55" cm="1">
        <f t="array" ref="O20">(VLOOKUP($A20,'The List'!$B1:$AH671,27,FALSE)-AVERAGE('The List'!AB2:AB671))/STDEV('The List'!AB2:AB671)</f>
        <v>-0.58560480093264267</v>
      </c>
      <c r="P20" s="55" cm="1">
        <f t="array" ref="P20">(VLOOKUP($A20,'The List'!$B1:$AH671,28,FALSE)-AVERAGE('The List'!AC2:AC671))/STDEV('The List'!AC2:AC671)</f>
        <v>0.60606807621284298</v>
      </c>
      <c r="Q20" s="55" cm="1">
        <f t="array" ref="Q20">(VLOOKUP($A20,'The List'!$B1:$AH671,29,FALSE)-AVERAGE('The List'!AD2:AD671))/STDEV('The List'!AD2:AD671)</f>
        <v>-0.70254672283747266</v>
      </c>
      <c r="R20" s="55" cm="1">
        <f t="array" ref="R20">(VLOOKUP($A20,'The List'!$B1:$AH671,30,FALSE)-AVERAGE('The List'!AE2:AE671))/STDEV('The List'!AE2:AE671)</f>
        <v>2.2317419542294634</v>
      </c>
      <c r="S20" s="55" cm="1">
        <f t="array" ref="S20">(VLOOKUP($A20,'The List'!$B1:$AH671,31,FALSE)-AVERAGE('The List'!AF2:AF671))/STDEV('The List'!AF2:AF671)</f>
        <v>2.8954547790949632</v>
      </c>
      <c r="T20" s="55" cm="1">
        <f t="array" ref="T20">(VLOOKUP($A20,'The List'!$B1:$AH671,32,FALSE)-AVERAGE('The List'!AG2:AG671))/STDEV('The List'!AG2:AG671)</f>
        <v>2.1595031203817769</v>
      </c>
      <c r="U20" s="55" cm="1">
        <f t="array" ref="U20">(VLOOKUP($A20,'The List'!$B1:$AH671,33,FALSE)-AVERAGE('The List'!AH2:AH671))/STDEV('The List'!AH2:AH671)</f>
        <v>1.3666931332262831</v>
      </c>
      <c r="V20" s="55"/>
      <c r="W20" s="77"/>
      <c r="X20" s="57"/>
      <c r="Y20" s="57"/>
      <c r="Z20" s="57"/>
      <c r="AA20" s="57"/>
      <c r="AB20" s="57"/>
      <c r="AC20" s="60"/>
      <c r="AD20" s="61"/>
      <c r="AE20" s="55"/>
    </row>
    <row r="21" spans="1:31" ht="21.25" customHeight="1" x14ac:dyDescent="0.15">
      <c r="A21" s="10" t="s">
        <v>185</v>
      </c>
      <c r="B21" s="18" t="str" cm="1">
        <f t="array" ref="B21">VLOOKUP(A21,'Player Data'!A1:B673,2,FALSE)</f>
        <v>VGK</v>
      </c>
      <c r="C21" s="52" cm="1">
        <f t="array" ref="C21">((E21)*Settings!$C$12)+(F21*Settings!$C$2)+(G21*Settings!$C$3)+(H21*Settings!$C$4)+(I21*Settings!$C$5)+(K21*Settings!$C$9)+(N21*Settings!$C$6)+(J21*Settings!$C$8)+(O21*Settings!$C$7)+(P21*Settings!$C$14)+(Q21*Settings!$C$15)+(R21*Settings!$C$16)+(S21*Settings!$C$17)+(T21*Settings!$C$18)+(U21*Settings!$C$19)+(L21*Settings!$C$10)+(Settings!$C$11*M21)</f>
        <v>7.452029453130919</v>
      </c>
      <c r="D21" s="57" cm="1">
        <f t="array" ref="D21">IF(Settings!$E$12="YES",VLOOKUP(A21,'Player Data'!A1:E673,5,FALSE),82)</f>
        <v>82</v>
      </c>
      <c r="E21" s="55" cm="1">
        <f t="array" ref="E21">(VLOOKUP($A21,'The List'!$B1:$AH671,17,FALSE)-AVERAGE('The List'!R2:R671))/STDEV('The List'!R2:R671)</f>
        <v>0.80942941943382096</v>
      </c>
      <c r="F21" s="55" cm="1">
        <f t="array" ref="F21">(VLOOKUP($A21,'The List'!$B1:$AH671,18,FALSE)-AVERAGE('The List'!S2:S671))/STDEV('The List'!S2:S671)</f>
        <v>1.1642685273047395</v>
      </c>
      <c r="G21" s="55" cm="1">
        <f t="array" ref="G21">(VLOOKUP($A21,'The List'!$B1:$AH671,19,FALSE)-AVERAGE('The List'!T2:T671))/STDEV('The List'!T2:T671)</f>
        <v>2.7171199068376324</v>
      </c>
      <c r="H21" s="55" cm="1">
        <f t="array" ref="H21">(VLOOKUP($A21,'The List'!$B1:$AH671,20,FALSE)-AVERAGE('The List'!U2:U671))/STDEV('The List'!U2:U671)</f>
        <v>2.2250227974294829</v>
      </c>
      <c r="I21" s="55" cm="1">
        <f t="array" ref="I21">(VLOOKUP($A21,'The List'!$B1:$AH671,21,FALSE)-AVERAGE('The List'!V2:V671))/STDEV('The List'!V2:V671)</f>
        <v>0.80520582595241297</v>
      </c>
      <c r="J21" s="55" cm="1">
        <f t="array" ref="J21">(VLOOKUP($A21,'The List'!$B1:$AH671,22,FALSE)-AVERAGE('The List'!W2:W671))/STDEV('The List'!W2:W671)</f>
        <v>1.0733125004624309</v>
      </c>
      <c r="K21" s="55" cm="1">
        <f t="array" ref="K21">(VLOOKUP($A21,'The List'!$B1:$AH671,23,FALSE)-AVERAGE('The List'!X2:X671))/STDEV('The List'!X2:X671)</f>
        <v>2.2474248882660217</v>
      </c>
      <c r="L21" s="55" cm="1">
        <f t="array" ref="L21">(VLOOKUP($A21,'The List'!$B1:$AH671,24,FALSE)-AVERAGE('The List'!Y2:Y671))/STDEV('The List'!Y2:Y671)</f>
        <v>-0.47546929358800777</v>
      </c>
      <c r="M21" s="55" cm="1">
        <f t="array" ref="M21">(VLOOKUP($A21,'The List'!$B1:$AH671,25,FALSE)-AVERAGE('The List'!Z2:Z671))/STDEV('The List'!Z2:Z671)</f>
        <v>0.24714316765550046</v>
      </c>
      <c r="N21" s="55" cm="1">
        <f t="array" ref="N21">(VLOOKUP($A21,'The List'!$B1:$AH671,26,FALSE)-AVERAGE('The List'!AA2:AA671))/STDEV('The List'!AA2:AA671)</f>
        <v>-0.49201500392182518</v>
      </c>
      <c r="O21" s="55" cm="1">
        <f t="array" ref="O21">(VLOOKUP($A21,'The List'!$B1:$AH671,27,FALSE)-AVERAGE('The List'!AB2:AB671))/STDEV('The List'!AB2:AB671)</f>
        <v>-0.97877070905269004</v>
      </c>
      <c r="P21" s="55" cm="1">
        <f t="array" ref="P21">(VLOOKUP($A21,'The List'!$B1:$AH671,28,FALSE)-AVERAGE('The List'!AC2:AC671))/STDEV('The List'!AC2:AC671)</f>
        <v>1.4967810138228015</v>
      </c>
      <c r="Q21" s="55" cm="1">
        <f t="array" ref="Q21">(VLOOKUP($A21,'The List'!$B1:$AH671,29,FALSE)-AVERAGE('The List'!AD2:AD671))/STDEV('The List'!AD2:AD671)</f>
        <v>-0.67742602832653442</v>
      </c>
      <c r="R21" s="55" cm="1">
        <f t="array" ref="R21">(VLOOKUP($A21,'The List'!$B1:$AH671,30,FALSE)-AVERAGE('The List'!AE2:AE671))/STDEV('The List'!AE2:AE671)</f>
        <v>1.7245934493420998</v>
      </c>
      <c r="S21" s="55" cm="1">
        <f t="array" ref="S21">(VLOOKUP($A21,'The List'!$B1:$AH671,31,FALSE)-AVERAGE('The List'!AF2:AF671))/STDEV('The List'!AF2:AF671)</f>
        <v>-0.17398876824328766</v>
      </c>
      <c r="T21" s="55" cm="1">
        <f t="array" ref="T21">(VLOOKUP($A21,'The List'!$B1:$AH671,32,FALSE)-AVERAGE('The List'!AG2:AG671))/STDEV('The List'!AG2:AG671)</f>
        <v>0.3072842256261516</v>
      </c>
      <c r="U21" s="55" cm="1">
        <f t="array" ref="U21">(VLOOKUP($A21,'The List'!$B1:$AH671,33,FALSE)-AVERAGE('The List'!AH2:AH671))/STDEV('The List'!AH2:AH671)</f>
        <v>0.21671251848714493</v>
      </c>
      <c r="V21" s="55"/>
      <c r="W21" s="77"/>
      <c r="X21" s="57"/>
      <c r="Y21" s="57"/>
      <c r="Z21" s="57"/>
      <c r="AA21" s="57"/>
      <c r="AB21" s="57"/>
      <c r="AC21" s="60"/>
      <c r="AD21" s="61"/>
      <c r="AE21" s="55"/>
    </row>
    <row r="22" spans="1:31" ht="21.25" customHeight="1" x14ac:dyDescent="0.15">
      <c r="A22" s="10" t="s">
        <v>182</v>
      </c>
      <c r="B22" s="18" t="str" cm="1">
        <f t="array" ref="B22">VLOOKUP(A22,'Player Data'!A1:B673,2,FALSE)</f>
        <v>FLA</v>
      </c>
      <c r="C22" s="52" cm="1">
        <f t="array" ref="C22">((E22)*Settings!$C$12)+(F22*Settings!$C$2)+(G22*Settings!$C$3)+(H22*Settings!$C$4)+(I22*Settings!$C$5)+(K22*Settings!$C$9)+(N22*Settings!$C$6)+(J22*Settings!$C$8)+(O22*Settings!$C$7)+(P22*Settings!$C$14)+(Q22*Settings!$C$15)+(R22*Settings!$C$16)+(S22*Settings!$C$17)+(T22*Settings!$C$18)+(U22*Settings!$C$19)+(L22*Settings!$C$10)+(Settings!$C$11*M22)</f>
        <v>9.0948975523192228</v>
      </c>
      <c r="D22" s="57" cm="1">
        <f t="array" ref="D22">IF(Settings!$E$12="YES",VLOOKUP(A22,'Player Data'!A1:E673,5,FALSE),82)</f>
        <v>77</v>
      </c>
      <c r="E22" s="55" cm="1">
        <f t="array" ref="E22">(VLOOKUP($A22,'The List'!$B1:$AH671,17,FALSE)-AVERAGE('The List'!R2:R671))/STDEV('The List'!R2:R671)</f>
        <v>0.52087620750025077</v>
      </c>
      <c r="F22" s="55" cm="1">
        <f t="array" ref="F22">(VLOOKUP($A22,'The List'!$B1:$AH671,18,FALSE)-AVERAGE('The List'!S2:S671))/STDEV('The List'!S2:S671)</f>
        <v>1.547477218487483</v>
      </c>
      <c r="G22" s="55" cm="1">
        <f t="array" ref="G22">(VLOOKUP($A22,'The List'!$B1:$AH671,19,FALSE)-AVERAGE('The List'!T2:T671))/STDEV('The List'!T2:T671)</f>
        <v>2.0713066861578726</v>
      </c>
      <c r="H22" s="55" cm="1">
        <f t="array" ref="H22">(VLOOKUP($A22,'The List'!$B1:$AH671,20,FALSE)-AVERAGE('The List'!U2:U671))/STDEV('The List'!U2:U671)</f>
        <v>1.9885142178628961</v>
      </c>
      <c r="I22" s="55" cm="1">
        <f t="array" ref="I22">(VLOOKUP($A22,'The List'!$B1:$AH671,21,FALSE)-AVERAGE('The List'!V2:V671))/STDEV('The List'!V2:V671)</f>
        <v>1.9133691356874296</v>
      </c>
      <c r="J22" s="55" cm="1">
        <f t="array" ref="J22">(VLOOKUP($A22,'The List'!$B1:$AH671,22,FALSE)-AVERAGE('The List'!W2:W671))/STDEV('The List'!W2:W671)</f>
        <v>2.0261917635593845</v>
      </c>
      <c r="K22" s="55" cm="1">
        <f t="array" ref="K22">(VLOOKUP($A22,'The List'!$B1:$AH671,23,FALSE)-AVERAGE('The List'!X2:X671))/STDEV('The List'!X2:X671)</f>
        <v>2.2936519755938485</v>
      </c>
      <c r="L22" s="55" cm="1">
        <f t="array" ref="L22">(VLOOKUP($A22,'The List'!$B1:$AH671,24,FALSE)-AVERAGE('The List'!Y2:Y671))/STDEV('The List'!Y2:Y671)</f>
        <v>-0.47546929358800777</v>
      </c>
      <c r="M22" s="55" cm="1">
        <f t="array" ref="M22">(VLOOKUP($A22,'The List'!$B1:$AH671,25,FALSE)-AVERAGE('The List'!Z2:Z671))/STDEV('The List'!Z2:Z671)</f>
        <v>-0.64388478613809508</v>
      </c>
      <c r="N22" s="55" cm="1">
        <f t="array" ref="N22">(VLOOKUP($A22,'The List'!$B1:$AH671,26,FALSE)-AVERAGE('The List'!AA2:AA671))/STDEV('The List'!AA2:AA671)</f>
        <v>-1.0329725582944198</v>
      </c>
      <c r="O22" s="55" cm="1">
        <f t="array" ref="O22">(VLOOKUP($A22,'The List'!$B1:$AH671,27,FALSE)-AVERAGE('The List'!AB2:AB671))/STDEV('The List'!AB2:AB671)</f>
        <v>0.20421180177149847</v>
      </c>
      <c r="P22" s="55" cm="1">
        <f t="array" ref="P22">(VLOOKUP($A22,'The List'!$B1:$AH671,28,FALSE)-AVERAGE('The List'!AC2:AC671))/STDEV('The List'!AC2:AC671)</f>
        <v>1.0648807346210916</v>
      </c>
      <c r="Q22" s="55" cm="1">
        <f t="array" ref="Q22">(VLOOKUP($A22,'The List'!$B1:$AH671,29,FALSE)-AVERAGE('The List'!AD2:AD671))/STDEV('The List'!AD2:AD671)</f>
        <v>2.3481399723290841</v>
      </c>
      <c r="R22" s="55" cm="1">
        <f t="array" ref="R22">(VLOOKUP($A22,'The List'!$B1:$AH671,30,FALSE)-AVERAGE('The List'!AE2:AE671))/STDEV('The List'!AE2:AE671)</f>
        <v>1.5374537796419663</v>
      </c>
      <c r="S22" s="55" cm="1">
        <f t="array" ref="S22">(VLOOKUP($A22,'The List'!$B1:$AH671,31,FALSE)-AVERAGE('The List'!AF2:AF671))/STDEV('The List'!AF2:AF671)</f>
        <v>-0.56990487018443325</v>
      </c>
      <c r="T22" s="55" cm="1">
        <f t="array" ref="T22">(VLOOKUP($A22,'The List'!$B1:$AH671,32,FALSE)-AVERAGE('The List'!AG2:AG671))/STDEV('The List'!AG2:AG671)</f>
        <v>-0.57218037495035401</v>
      </c>
      <c r="U22" s="55" cm="1">
        <f t="array" ref="U22">(VLOOKUP($A22,'The List'!$B1:$AH671,33,FALSE)-AVERAGE('The List'!AH2:AH671))/STDEV('The List'!AH2:AH671)</f>
        <v>7.8714844718448196E-2</v>
      </c>
      <c r="V22" s="55"/>
      <c r="W22" s="57"/>
      <c r="X22" s="55"/>
      <c r="Y22" s="55"/>
      <c r="Z22" s="55"/>
      <c r="AA22" s="55"/>
      <c r="AB22" s="55"/>
      <c r="AC22" s="55"/>
      <c r="AD22" s="55"/>
      <c r="AE22" s="55"/>
    </row>
    <row r="23" spans="1:31" ht="21.25" customHeight="1" x14ac:dyDescent="0.15">
      <c r="A23" s="10" t="s">
        <v>141</v>
      </c>
      <c r="B23" s="18" t="str" cm="1">
        <f t="array" ref="B23">VLOOKUP(A23,'Player Data'!A1:B673,2,FALSE)</f>
        <v>MIN</v>
      </c>
      <c r="C23" s="52" cm="1">
        <f t="array" ref="C23">((E23)*Settings!$C$12)+(F23*Settings!$C$2)+(G23*Settings!$C$3)+(H23*Settings!$C$4)+(I23*Settings!$C$5)+(K23*Settings!$C$9)+(N23*Settings!$C$6)+(J23*Settings!$C$8)+(O23*Settings!$C$7)+(P23*Settings!$C$14)+(Q23*Settings!$C$15)+(R23*Settings!$C$16)+(S23*Settings!$C$17)+(T23*Settings!$C$18)+(U23*Settings!$C$19)+(L23*Settings!$C$10)+(Settings!$C$11*M23)</f>
        <v>10.069150958221819</v>
      </c>
      <c r="D23" s="57" cm="1">
        <f t="array" ref="D23">IF(Settings!$E$12="YES",VLOOKUP(A23,'Player Data'!A1:E673,5,FALSE),82)</f>
        <v>82</v>
      </c>
      <c r="E23" s="55" cm="1">
        <f t="array" ref="E23">(VLOOKUP($A23,'The List'!$B1:$AH671,17,FALSE)-AVERAGE('The List'!R2:R671))/STDEV('The List'!R2:R671)</f>
        <v>1.2291431822462879</v>
      </c>
      <c r="F23" s="55" cm="1">
        <f t="array" ref="F23">(VLOOKUP($A23,'The List'!$B1:$AH671,18,FALSE)-AVERAGE('The List'!S2:S671))/STDEV('The List'!S2:S671)</f>
        <v>2.665867791947119</v>
      </c>
      <c r="G23" s="55" cm="1">
        <f t="array" ref="G23">(VLOOKUP($A23,'The List'!$B1:$AH671,19,FALSE)-AVERAGE('The List'!T2:T671))/STDEV('The List'!T2:T671)</f>
        <v>1.9680046802384772</v>
      </c>
      <c r="H23" s="55" cm="1">
        <f t="array" ref="H23">(VLOOKUP($A23,'The List'!$B1:$AH671,20,FALSE)-AVERAGE('The List'!U2:U671))/STDEV('The List'!U2:U671)</f>
        <v>2.418959832674084</v>
      </c>
      <c r="I23" s="55" cm="1">
        <f t="array" ref="I23">(VLOOKUP($A23,'The List'!$B1:$AH671,21,FALSE)-AVERAGE('The List'!V2:V671))/STDEV('The List'!V2:V671)</f>
        <v>2.7532166331339396</v>
      </c>
      <c r="J23" s="55" cm="1">
        <f t="array" ref="J23">(VLOOKUP($A23,'The List'!$B1:$AH671,22,FALSE)-AVERAGE('The List'!W2:W671))/STDEV('The List'!W2:W671)</f>
        <v>2.1151271614484339</v>
      </c>
      <c r="K23" s="55" cm="1">
        <f t="array" ref="K23">(VLOOKUP($A23,'The List'!$B1:$AH671,23,FALSE)-AVERAGE('The List'!X2:X671))/STDEV('The List'!X2:X671)</f>
        <v>2.1402986380671902</v>
      </c>
      <c r="L23" s="55" cm="1">
        <f t="array" ref="L23">(VLOOKUP($A23,'The List'!$B1:$AH671,24,FALSE)-AVERAGE('The List'!Y2:Y671))/STDEV('The List'!Y2:Y671)</f>
        <v>2.5308954012809677</v>
      </c>
      <c r="M23" s="55" cm="1">
        <f t="array" ref="M23">(VLOOKUP($A23,'The List'!$B1:$AH671,25,FALSE)-AVERAGE('The List'!Z2:Z671))/STDEV('The List'!Z2:Z671)</f>
        <v>2.0291990752426914</v>
      </c>
      <c r="N23" s="55" cm="1">
        <f t="array" ref="N23">(VLOOKUP($A23,'The List'!$B1:$AH671,26,FALSE)-AVERAGE('The List'!AA2:AA671))/STDEV('The List'!AA2:AA671)</f>
        <v>3.1574696958164949E-2</v>
      </c>
      <c r="O23" s="55" cm="1">
        <f t="array" ref="O23">(VLOOKUP($A23,'The List'!$B1:$AH671,27,FALSE)-AVERAGE('The List'!AB2:AB671))/STDEV('The List'!AB2:AB671)</f>
        <v>-0.47450160896128402</v>
      </c>
      <c r="P23" s="55" cm="1">
        <f t="array" ref="P23">(VLOOKUP($A23,'The List'!$B1:$AH671,28,FALSE)-AVERAGE('The List'!AC2:AC671))/STDEV('The List'!AC2:AC671)</f>
        <v>1.0162648237963765</v>
      </c>
      <c r="Q23" s="55" cm="1">
        <f t="array" ref="Q23">(VLOOKUP($A23,'The List'!$B1:$AH671,29,FALSE)-AVERAGE('The List'!AD2:AD671))/STDEV('The List'!AD2:AD671)</f>
        <v>1.0189596951179836</v>
      </c>
      <c r="R23" s="55" cm="1">
        <f t="array" ref="R23">(VLOOKUP($A23,'The List'!$B1:$AH671,30,FALSE)-AVERAGE('The List'!AE2:AE671))/STDEV('The List'!AE2:AE671)</f>
        <v>2.9522296825749779</v>
      </c>
      <c r="S23" s="55" cm="1">
        <f t="array" ref="S23">(VLOOKUP($A23,'The List'!$B1:$AH671,31,FALSE)-AVERAGE('The List'!AF2:AF671))/STDEV('The List'!AF2:AF671)</f>
        <v>-0.30802812370314364</v>
      </c>
      <c r="T23" s="55" cm="1">
        <f t="array" ref="T23">(VLOOKUP($A23,'The List'!$B1:$AH671,32,FALSE)-AVERAGE('The List'!AG2:AG671))/STDEV('The List'!AG2:AG671)</f>
        <v>-0.2660289132861946</v>
      </c>
      <c r="U23" s="55" cm="1">
        <f t="array" ref="U23">(VLOOKUP($A23,'The List'!$B1:$AH671,33,FALSE)-AVERAGE('The List'!AH2:AH671))/STDEV('The List'!AH2:AH671)</f>
        <v>0.8147024381514969</v>
      </c>
      <c r="V23" s="55"/>
      <c r="W23" s="77"/>
      <c r="X23" s="57"/>
      <c r="Y23" s="57"/>
      <c r="Z23" s="57"/>
      <c r="AA23" s="57"/>
      <c r="AB23" s="57"/>
      <c r="AC23" s="60"/>
      <c r="AD23" s="61"/>
      <c r="AE23" s="55"/>
    </row>
    <row r="24" spans="1:31" ht="21.25" customHeight="1" x14ac:dyDescent="0.15">
      <c r="A24" s="10" t="s">
        <v>154</v>
      </c>
      <c r="B24" s="18" t="str" cm="1">
        <f t="array" ref="B24">VLOOKUP(A24,'Player Data'!A1:B673,2,FALSE)</f>
        <v>DAL</v>
      </c>
      <c r="C24" s="52" cm="1">
        <f t="array" ref="C24">((E24)*Settings!$C$12)+(F24*Settings!$C$2)+(G24*Settings!$C$3)+(H24*Settings!$C$4)+(I24*Settings!$C$5)+(K24*Settings!$C$9)+(N24*Settings!$C$6)+(J24*Settings!$C$8)+(O24*Settings!$C$7)+(P24*Settings!$C$14)+(Q24*Settings!$C$15)+(R24*Settings!$C$16)+(S24*Settings!$C$17)+(T24*Settings!$C$18)+(U24*Settings!$C$19)+(L24*Settings!$C$10)+(Settings!$C$11*M24)</f>
        <v>9.3644110030371781</v>
      </c>
      <c r="D24" s="57" cm="1">
        <f t="array" ref="D24">IF(Settings!$E$12="YES",VLOOKUP(A24,'Player Data'!A1:E673,5,FALSE),82)</f>
        <v>84</v>
      </c>
      <c r="E24" s="55" cm="1">
        <f t="array" ref="E24">(VLOOKUP($A24,'The List'!$B1:$AH671,17,FALSE)-AVERAGE('The List'!R2:R671))/STDEV('The List'!R2:R671)</f>
        <v>0.80942941943382096</v>
      </c>
      <c r="F24" s="55" cm="1">
        <f t="array" ref="F24">(VLOOKUP($A24,'The List'!$B1:$AH671,18,FALSE)-AVERAGE('The List'!S2:S671))/STDEV('The List'!S2:S671)</f>
        <v>2.9026787878264551</v>
      </c>
      <c r="G24" s="55" cm="1">
        <f t="array" ref="G24">(VLOOKUP($A24,'The List'!$B1:$AH671,19,FALSE)-AVERAGE('The List'!T2:T671))/STDEV('The List'!T2:T671)</f>
        <v>1.5252817977267816</v>
      </c>
      <c r="H24" s="55" cm="1">
        <f t="array" ref="H24">(VLOOKUP($A24,'The List'!$B1:$AH671,20,FALSE)-AVERAGE('The List'!U2:U671))/STDEV('The List'!U2:U671)</f>
        <v>2.2453581145510961</v>
      </c>
      <c r="I24" s="55" cm="1">
        <f t="array" ref="I24">(VLOOKUP($A24,'The List'!$B1:$AH671,21,FALSE)-AVERAGE('The List'!V2:V671))/STDEV('The List'!V2:V671)</f>
        <v>1.7343767457770032</v>
      </c>
      <c r="J24" s="55" cm="1">
        <f t="array" ref="J24">(VLOOKUP($A24,'The List'!$B1:$AH671,22,FALSE)-AVERAGE('The List'!W2:W671))/STDEV('The List'!W2:W671)</f>
        <v>4.59758478948189</v>
      </c>
      <c r="K24" s="55" cm="1">
        <f t="array" ref="K24">(VLOOKUP($A24,'The List'!$B1:$AH671,23,FALSE)-AVERAGE('The List'!X2:X671))/STDEV('The List'!X2:X671)</f>
        <v>2.8282782899069692</v>
      </c>
      <c r="L24" s="55" cm="1">
        <f t="array" ref="L24">(VLOOKUP($A24,'The List'!$B1:$AH671,24,FALSE)-AVERAGE('The List'!Y2:Y671))/STDEV('The List'!Y2:Y671)</f>
        <v>-0.47546929358800777</v>
      </c>
      <c r="M24" s="55" cm="1">
        <f t="array" ref="M24">(VLOOKUP($A24,'The List'!$B1:$AH671,25,FALSE)-AVERAGE('The List'!Z2:Z671))/STDEV('The List'!Z2:Z671)</f>
        <v>-0.64388478613809508</v>
      </c>
      <c r="N24" s="55" cm="1">
        <f t="array" ref="N24">(VLOOKUP($A24,'The List'!$B1:$AH671,26,FALSE)-AVERAGE('The List'!AA2:AA671))/STDEV('The List'!AA2:AA671)</f>
        <v>-0.24988669346610298</v>
      </c>
      <c r="O24" s="55" cm="1">
        <f t="array" ref="O24">(VLOOKUP($A24,'The List'!$B1:$AH671,27,FALSE)-AVERAGE('The List'!AB2:AB671))/STDEV('The List'!AB2:AB671)</f>
        <v>-0.61512299215750532</v>
      </c>
      <c r="P24" s="55" cm="1">
        <f t="array" ref="P24">(VLOOKUP($A24,'The List'!$B1:$AH671,28,FALSE)-AVERAGE('The List'!AC2:AC671))/STDEV('The List'!AC2:AC671)</f>
        <v>0.98891837395747428</v>
      </c>
      <c r="Q24" s="55" cm="1">
        <f t="array" ref="Q24">(VLOOKUP($A24,'The List'!$B1:$AH671,29,FALSE)-AVERAGE('The List'!AD2:AD671))/STDEV('The List'!AD2:AD671)</f>
        <v>-1.5421843567698088E-2</v>
      </c>
      <c r="R24" s="55" cm="1">
        <f t="array" ref="R24">(VLOOKUP($A24,'The List'!$B1:$AH671,30,FALSE)-AVERAGE('The List'!AE2:AE671))/STDEV('The List'!AE2:AE671)</f>
        <v>3.3714225427032765</v>
      </c>
      <c r="S24" s="55" cm="1">
        <f t="array" ref="S24">(VLOOKUP($A24,'The List'!$B1:$AH671,31,FALSE)-AVERAGE('The List'!AF2:AF671))/STDEV('The List'!AF2:AF671)</f>
        <v>1.4476566620511673</v>
      </c>
      <c r="T24" s="55" cm="1">
        <f t="array" ref="T24">(VLOOKUP($A24,'The List'!$B1:$AH671,32,FALSE)-AVERAGE('The List'!AG2:AG671))/STDEV('The List'!AG2:AG671)</f>
        <v>1.5780245815917406</v>
      </c>
      <c r="U24" s="55" cm="1">
        <f t="array" ref="U24">(VLOOKUP($A24,'The List'!$B1:$AH671,33,FALSE)-AVERAGE('The List'!AH2:AH671))/STDEV('The List'!AH2:AH671)</f>
        <v>0.99869933650975895</v>
      </c>
      <c r="V24" s="55"/>
      <c r="W24" s="77"/>
      <c r="X24" s="57"/>
      <c r="Y24" s="57"/>
      <c r="Z24" s="57"/>
      <c r="AA24" s="57"/>
      <c r="AB24" s="57"/>
      <c r="AC24" s="60"/>
      <c r="AD24" s="61"/>
      <c r="AE24" s="55"/>
    </row>
    <row r="25" spans="1:31" ht="21.25" customHeight="1" x14ac:dyDescent="0.15">
      <c r="A25" s="10" t="s">
        <v>212</v>
      </c>
      <c r="B25" s="18" t="str" cm="1">
        <f t="array" ref="B25">VLOOKUP(A25,'Player Data'!A1:B673,2,FALSE)</f>
        <v>CHI</v>
      </c>
      <c r="C25" s="52" cm="1">
        <f t="array" ref="C25">((E25)*Settings!$C$12)+(F25*Settings!$C$2)+(G25*Settings!$C$3)+(H25*Settings!$C$4)+(I25*Settings!$C$5)+(K25*Settings!$C$9)+(N25*Settings!$C$6)+(J25*Settings!$C$8)+(O25*Settings!$C$7)+(P25*Settings!$C$14)+(Q25*Settings!$C$15)+(R25*Settings!$C$16)+(S25*Settings!$C$17)+(T25*Settings!$C$18)+(U25*Settings!$C$19)+(L25*Settings!$C$10)+(Settings!$C$11*M25)</f>
        <v>3.3407085925006084</v>
      </c>
      <c r="D25" s="57" cm="1">
        <f t="array" ref="D25">IF(Settings!$E$12="YES",VLOOKUP(A25,'Player Data'!A1:E673,5,FALSE),82)</f>
        <v>66</v>
      </c>
      <c r="E25" s="55" cm="1">
        <f t="array" ref="E25">(VLOOKUP($A25,'The List'!$B1:$AH671,17,FALSE)-AVERAGE('The List'!R2:R671))/STDEV('The List'!R2:R671)</f>
        <v>1.0717505211916125</v>
      </c>
      <c r="F25" s="55" cm="1">
        <f t="array" ref="F25">(VLOOKUP($A25,'The List'!$B1:$AH671,18,FALSE)-AVERAGE('The List'!S2:S671))/STDEV('The List'!S2:S671)</f>
        <v>1.5255225538884722</v>
      </c>
      <c r="G25" s="55" cm="1">
        <f t="array" ref="G25">(VLOOKUP($A25,'The List'!$B1:$AH671,19,FALSE)-AVERAGE('The List'!T2:T671))/STDEV('The List'!T2:T671)</f>
        <v>1.6538822540754174</v>
      </c>
      <c r="H25" s="55" cm="1">
        <f t="array" ref="H25">(VLOOKUP($A25,'The List'!$B1:$AH671,20,FALSE)-AVERAGE('The List'!U2:U671))/STDEV('The List'!U2:U671)</f>
        <v>1.7161977972778173</v>
      </c>
      <c r="I25" s="55" cm="1">
        <f t="array" ref="I25">(VLOOKUP($A25,'The List'!$B1:$AH671,21,FALSE)-AVERAGE('The List'!V2:V671))/STDEV('The List'!V2:V671)</f>
        <v>1.5395411105434236</v>
      </c>
      <c r="J25" s="55" cm="1">
        <f t="array" ref="J25">(VLOOKUP($A25,'The List'!$B1:$AH671,22,FALSE)-AVERAGE('The List'!W2:W671))/STDEV('The List'!W2:W671)</f>
        <v>1.8682071437067884</v>
      </c>
      <c r="K25" s="55" cm="1">
        <f t="array" ref="K25">(VLOOKUP($A25,'The List'!$B1:$AH671,23,FALSE)-AVERAGE('The List'!X2:X671))/STDEV('The List'!X2:X671)</f>
        <v>1.9708663136438964</v>
      </c>
      <c r="L25" s="55" cm="1">
        <f t="array" ref="L25">(VLOOKUP($A25,'The List'!$B1:$AH671,24,FALSE)-AVERAGE('The List'!Y2:Y671))/STDEV('The List'!Y2:Y671)</f>
        <v>-0.47546929358800777</v>
      </c>
      <c r="M25" s="55" cm="1">
        <f t="array" ref="M25">(VLOOKUP($A25,'The List'!$B1:$AH671,25,FALSE)-AVERAGE('The List'!Z2:Z671))/STDEV('The List'!Z2:Z671)</f>
        <v>-0.64388478613809508</v>
      </c>
      <c r="N25" s="55" cm="1">
        <f t="array" ref="N25">(VLOOKUP($A25,'The List'!$B1:$AH671,26,FALSE)-AVERAGE('The List'!AA2:AA671))/STDEV('The List'!AA2:AA671)</f>
        <v>-0.8981162841165492</v>
      </c>
      <c r="O25" s="55" cm="1">
        <f t="array" ref="O25">(VLOOKUP($A25,'The List'!$B1:$AH671,27,FALSE)-AVERAGE('The List'!AB2:AB671))/STDEV('The List'!AB2:AB671)</f>
        <v>-1.0382170663805386</v>
      </c>
      <c r="P25" s="55" cm="1">
        <f t="array" ref="P25">(VLOOKUP($A25,'The List'!$B1:$AH671,28,FALSE)-AVERAGE('The List'!AC2:AC671))/STDEV('The List'!AC2:AC671)</f>
        <v>-2.3108865732700621</v>
      </c>
      <c r="Q25" s="55" cm="1">
        <f t="array" ref="Q25">(VLOOKUP($A25,'The List'!$B1:$AH671,29,FALSE)-AVERAGE('The List'!AD2:AD671))/STDEV('The List'!AD2:AD671)</f>
        <v>0.60077401590648627</v>
      </c>
      <c r="R25" s="55" cm="1">
        <f t="array" ref="R25">(VLOOKUP($A25,'The List'!$B1:$AH671,30,FALSE)-AVERAGE('The List'!AE2:AE671))/STDEV('The List'!AE2:AE671)</f>
        <v>0.91989286963152517</v>
      </c>
      <c r="S25" s="55" cm="1">
        <f t="array" ref="S25">(VLOOKUP($A25,'The List'!$B1:$AH671,31,FALSE)-AVERAGE('The List'!AF2:AF671))/STDEV('The List'!AF2:AF671)</f>
        <v>0.63851665043374439</v>
      </c>
      <c r="T25" s="55" cm="1">
        <f t="array" ref="T25">(VLOOKUP($A25,'The List'!$B1:$AH671,32,FALSE)-AVERAGE('The List'!AG2:AG671))/STDEV('The List'!AG2:AG671)</f>
        <v>1.1686318452240312</v>
      </c>
      <c r="U25" s="55" cm="1">
        <f t="array" ref="U25">(VLOOKUP($A25,'The List'!$B1:$AH671,33,FALSE)-AVERAGE('The List'!AH2:AH671))/STDEV('The List'!AH2:AH671)</f>
        <v>0.67670476438280014</v>
      </c>
      <c r="V25" s="55"/>
      <c r="W25" s="77"/>
      <c r="X25" s="57"/>
      <c r="Y25" s="57"/>
      <c r="Z25" s="57"/>
      <c r="AA25" s="57"/>
      <c r="AB25" s="57"/>
      <c r="AC25" s="60"/>
      <c r="AD25" s="61"/>
      <c r="AE25" s="55"/>
    </row>
    <row r="26" spans="1:31" ht="21.25" customHeight="1" x14ac:dyDescent="0.15">
      <c r="A26" s="10" t="s">
        <v>130</v>
      </c>
      <c r="B26" s="18" t="str" cm="1">
        <f t="array" ref="B26">VLOOKUP(A26,'Player Data'!A1:B673,2,FALSE)</f>
        <v>COL</v>
      </c>
      <c r="C26" s="52" cm="1">
        <f t="array" ref="C26">((E26)*Settings!$C$12)+(F26*Settings!$C$2)+(G26*Settings!$C$3)+(H26*Settings!$C$4)+(I26*Settings!$C$5)+(K26*Settings!$C$9)+(N26*Settings!$C$6)+(J26*Settings!$C$8)+(O26*Settings!$C$7)+(P26*Settings!$C$14)+(Q26*Settings!$C$15)+(R26*Settings!$C$16)+(S26*Settings!$C$17)+(T26*Settings!$C$18)+(U26*Settings!$C$19)+(L26*Settings!$C$10)+(Settings!$C$11*M26)</f>
        <v>9.2791339731796594</v>
      </c>
      <c r="D26" s="57" cm="1">
        <f t="array" ref="D26">IF(Settings!$E$12="YES",VLOOKUP(A26,'Player Data'!A1:E673,5,FALSE),82)</f>
        <v>82</v>
      </c>
      <c r="E26" s="55" cm="1">
        <f t="array" ref="E26">(VLOOKUP($A26,'The List'!$B1:$AH671,17,FALSE)-AVERAGE('The List'!R2:R671))/STDEV('The List'!R2:R671)</f>
        <v>2.2259633689258962</v>
      </c>
      <c r="F26" s="55" cm="1">
        <f t="array" ref="F26">(VLOOKUP($A26,'The List'!$B1:$AH671,18,FALSE)-AVERAGE('The List'!S2:S671))/STDEV('The List'!S2:S671)</f>
        <v>0.83694443691947995</v>
      </c>
      <c r="G26" s="55" cm="1">
        <f t="array" ref="G26">(VLOOKUP($A26,'The List'!$B1:$AH671,19,FALSE)-AVERAGE('The List'!T2:T671))/STDEV('The List'!T2:T671)</f>
        <v>2.8323684032375027</v>
      </c>
      <c r="H26" s="55" cm="1">
        <f t="array" ref="H26">(VLOOKUP($A26,'The List'!$B1:$AH671,20,FALSE)-AVERAGE('The List'!U2:U671))/STDEV('The List'!U2:U671)</f>
        <v>2.1525229711698186</v>
      </c>
      <c r="I26" s="55" cm="1">
        <f t="array" ref="I26">(VLOOKUP($A26,'The List'!$B1:$AH671,21,FALSE)-AVERAGE('The List'!V2:V671))/STDEV('The List'!V2:V671)</f>
        <v>1.7119163107496329</v>
      </c>
      <c r="J26" s="55" cm="1">
        <f t="array" ref="J26">(VLOOKUP($A26,'The List'!$B1:$AH671,22,FALSE)-AVERAGE('The List'!W2:W671))/STDEV('The List'!W2:W671)</f>
        <v>1.0733125004624309</v>
      </c>
      <c r="K26" s="55" cm="1">
        <f t="array" ref="K26">(VLOOKUP($A26,'The List'!$B1:$AH671,23,FALSE)-AVERAGE('The List'!X2:X671))/STDEV('The List'!X2:X671)</f>
        <v>2.5770441196470437</v>
      </c>
      <c r="L26" s="55" cm="1">
        <f t="array" ref="L26">(VLOOKUP($A26,'The List'!$B1:$AH671,24,FALSE)-AVERAGE('The List'!Y2:Y671))/STDEV('The List'!Y2:Y671)</f>
        <v>1.0277130538464798</v>
      </c>
      <c r="M26" s="55" cm="1">
        <f t="array" ref="M26">(VLOOKUP($A26,'The List'!$B1:$AH671,25,FALSE)-AVERAGE('The List'!Z2:Z671))/STDEV('The List'!Z2:Z671)</f>
        <v>1.1381711214490962</v>
      </c>
      <c r="N26" s="55" cm="1">
        <f t="array" ref="N26">(VLOOKUP($A26,'The List'!$B1:$AH671,26,FALSE)-AVERAGE('The List'!AA2:AA671))/STDEV('The List'!AA2:AA671)</f>
        <v>1.7698925038797322</v>
      </c>
      <c r="O26" s="55" cm="1">
        <f t="array" ref="O26">(VLOOKUP($A26,'The List'!$B1:$AH671,27,FALSE)-AVERAGE('The List'!AB2:AB671))/STDEV('The List'!AB2:AB671)</f>
        <v>-0.70982718900394004</v>
      </c>
      <c r="P26" s="55" cm="1">
        <f t="array" ref="P26">(VLOOKUP($A26,'The List'!$B1:$AH671,28,FALSE)-AVERAGE('The List'!AC2:AC671))/STDEV('The List'!AC2:AC671)</f>
        <v>2.0306878916299405</v>
      </c>
      <c r="Q26" s="55" cm="1">
        <f t="array" ref="Q26">(VLOOKUP($A26,'The List'!$B1:$AH671,29,FALSE)-AVERAGE('The List'!AD2:AD671))/STDEV('The List'!AD2:AD671)</f>
        <v>-0.5562556195090691</v>
      </c>
      <c r="R26" s="55" cm="1">
        <f t="array" ref="R26">(VLOOKUP($A26,'The List'!$B1:$AH671,30,FALSE)-AVERAGE('The List'!AE2:AE671))/STDEV('The List'!AE2:AE671)</f>
        <v>1.2130783521617345</v>
      </c>
      <c r="S26" s="55" cm="1">
        <f t="array" ref="S26">(VLOOKUP($A26,'The List'!$B1:$AH671,31,FALSE)-AVERAGE('The List'!AF2:AF671))/STDEV('The List'!AF2:AF671)</f>
        <v>-0.59581850454342256</v>
      </c>
      <c r="T26" s="55" cm="1">
        <f t="array" ref="T26">(VLOOKUP($A26,'The List'!$B1:$AH671,32,FALSE)-AVERAGE('The List'!AG2:AG671))/STDEV('The List'!AG2:AG671)</f>
        <v>-0.64684275008198677</v>
      </c>
      <c r="U26" s="55" cm="1">
        <f t="array" ref="U26">(VLOOKUP($A26,'The List'!$B1:$AH671,33,FALSE)-AVERAGE('The List'!AH2:AH671))/STDEV('The List'!AH2:AH671)</f>
        <v>-1.2552626683789523</v>
      </c>
      <c r="V26" s="55"/>
      <c r="W26" s="57"/>
      <c r="X26" s="57"/>
      <c r="Y26" s="57"/>
      <c r="Z26" s="57"/>
      <c r="AA26" s="57"/>
      <c r="AB26" s="57"/>
      <c r="AC26" s="60"/>
      <c r="AD26" s="61"/>
      <c r="AE26" s="55"/>
    </row>
    <row r="27" spans="1:31" ht="21.25" customHeight="1" x14ac:dyDescent="0.15">
      <c r="A27" s="10" t="s">
        <v>173</v>
      </c>
      <c r="B27" s="18" t="str" cm="1">
        <f t="array" ref="B27">VLOOKUP(A27,'Player Data'!A1:B673,2,FALSE)</f>
        <v>PIT</v>
      </c>
      <c r="C27" s="52" cm="1">
        <f t="array" ref="C27">((E27)*Settings!$C$12)+(F27*Settings!$C$2)+(G27*Settings!$C$3)+(H27*Settings!$C$4)+(I27*Settings!$C$5)+(K27*Settings!$C$9)+(N27*Settings!$C$6)+(J27*Settings!$C$8)+(O27*Settings!$C$7)+(P27*Settings!$C$14)+(Q27*Settings!$C$15)+(R27*Settings!$C$16)+(S27*Settings!$C$17)+(T27*Settings!$C$18)+(U27*Settings!$C$19)+(L27*Settings!$C$10)+(Settings!$C$11*M27)</f>
        <v>7.0849097889380364</v>
      </c>
      <c r="D27" s="57" cm="1">
        <f t="array" ref="D27">IF(Settings!$E$12="YES",VLOOKUP(A27,'Player Data'!A1:E673,5,FALSE),82)</f>
        <v>81</v>
      </c>
      <c r="E27" s="55" cm="1">
        <f t="array" ref="E27">(VLOOKUP($A27,'The List'!$B1:$AH671,17,FALSE)-AVERAGE('The List'!R2:R671))/STDEV('The List'!R2:R671)</f>
        <v>0.67826886855492519</v>
      </c>
      <c r="F27" s="55" cm="1">
        <f t="array" ref="F27">(VLOOKUP($A27,'The List'!$B1:$AH671,18,FALSE)-AVERAGE('The List'!S2:S671))/STDEV('The List'!S2:S671)</f>
        <v>1.9416632419697319</v>
      </c>
      <c r="G27" s="55" cm="1">
        <f t="array" ref="G27">(VLOOKUP($A27,'The List'!$B1:$AH671,19,FALSE)-AVERAGE('The List'!T2:T671))/STDEV('The List'!T2:T671)</f>
        <v>1.9237323919873079</v>
      </c>
      <c r="H27" s="55" cm="1">
        <f t="array" ref="H27">(VLOOKUP($A27,'The List'!$B1:$AH671,20,FALSE)-AVERAGE('The List'!U2:U671))/STDEV('The List'!U2:U671)</f>
        <v>2.070297558460688</v>
      </c>
      <c r="I27" s="55" cm="1">
        <f t="array" ref="I27">(VLOOKUP($A27,'The List'!$B1:$AH671,21,FALSE)-AVERAGE('The List'!V2:V671))/STDEV('The List'!V2:V671)</f>
        <v>1.510463485811836</v>
      </c>
      <c r="J27" s="55" cm="1">
        <f t="array" ref="J27">(VLOOKUP($A27,'The List'!$B1:$AH671,22,FALSE)-AVERAGE('The List'!W2:W671))/STDEV('The List'!W2:W671)</f>
        <v>2.3935336244054572</v>
      </c>
      <c r="K27" s="55" cm="1">
        <f t="array" ref="K27">(VLOOKUP($A27,'The List'!$B1:$AH671,23,FALSE)-AVERAGE('The List'!X2:X671))/STDEV('The List'!X2:X671)</f>
        <v>1.8032428752464735</v>
      </c>
      <c r="L27" s="55" cm="1">
        <f t="array" ref="L27">(VLOOKUP($A27,'The List'!$B1:$AH671,24,FALSE)-AVERAGE('The List'!Y2:Y671))/STDEV('The List'!Y2:Y671)</f>
        <v>-0.47546929358800777</v>
      </c>
      <c r="M27" s="55" cm="1">
        <f t="array" ref="M27">(VLOOKUP($A27,'The List'!$B1:$AH671,25,FALSE)-AVERAGE('The List'!Z2:Z671))/STDEV('The List'!Z2:Z671)</f>
        <v>-0.64388478613809508</v>
      </c>
      <c r="N27" s="55" cm="1">
        <f t="array" ref="N27">(VLOOKUP($A27,'The List'!$B1:$AH671,26,FALSE)-AVERAGE('The List'!AA2:AA671))/STDEV('The List'!AA2:AA671)</f>
        <v>-0.67131255027194858</v>
      </c>
      <c r="O27" s="55" cm="1">
        <f t="array" ref="O27">(VLOOKUP($A27,'The List'!$B1:$AH671,27,FALSE)-AVERAGE('The List'!AB2:AB671))/STDEV('The List'!AB2:AB671)</f>
        <v>-0.3408497986931554</v>
      </c>
      <c r="P27" s="55" cm="1">
        <f t="array" ref="P27">(VLOOKUP($A27,'The List'!$B1:$AH671,28,FALSE)-AVERAGE('The List'!AC2:AC671))/STDEV('The List'!AC2:AC671)</f>
        <v>0.24665759261584222</v>
      </c>
      <c r="Q27" s="55" cm="1">
        <f t="array" ref="Q27">(VLOOKUP($A27,'The List'!$B1:$AH671,29,FALSE)-AVERAGE('The List'!AD2:AD671))/STDEV('The List'!AD2:AD671)</f>
        <v>0.31927446859274045</v>
      </c>
      <c r="R27" s="55" cm="1">
        <f t="array" ref="R27">(VLOOKUP($A27,'The List'!$B1:$AH671,30,FALSE)-AVERAGE('The List'!AE2:AE671))/STDEV('The List'!AE2:AE671)</f>
        <v>1.6871655154020728</v>
      </c>
      <c r="S27" s="55" cm="1">
        <f t="array" ref="S27">(VLOOKUP($A27,'The List'!$B1:$AH671,31,FALSE)-AVERAGE('The List'!AF2:AF671))/STDEV('The List'!AF2:AF671)</f>
        <v>4.0695010704614196</v>
      </c>
      <c r="T27" s="55" cm="1">
        <f t="array" ref="T27">(VLOOKUP($A27,'The List'!$B1:$AH671,32,FALSE)-AVERAGE('The List'!AG2:AG671))/STDEV('The List'!AG2:AG671)</f>
        <v>3.1355235745119732</v>
      </c>
      <c r="U27" s="55" cm="1">
        <f t="array" ref="U27">(VLOOKUP($A27,'The List'!$B1:$AH671,33,FALSE)-AVERAGE('The List'!AH2:AH671))/STDEV('The List'!AH2:AH671)</f>
        <v>1.3666931332262831</v>
      </c>
      <c r="V27" s="55"/>
      <c r="W27" s="57"/>
      <c r="X27" s="55"/>
      <c r="Y27" s="55"/>
      <c r="Z27" s="55"/>
      <c r="AA27" s="55"/>
      <c r="AB27" s="55"/>
      <c r="AC27" s="55"/>
      <c r="AD27" s="55"/>
      <c r="AE27" s="55"/>
    </row>
    <row r="28" spans="1:31" ht="21.25" customHeight="1" x14ac:dyDescent="0.15">
      <c r="A28" s="10" t="s">
        <v>257</v>
      </c>
      <c r="B28" s="18" t="str" cm="1">
        <f t="array" ref="B28">VLOOKUP(A28,'Player Data'!A1:B673,2,FALSE)</f>
        <v>VGK</v>
      </c>
      <c r="C28" s="52" cm="1">
        <f t="array" ref="C28">((E28)*Settings!$C$12)+(F28*Settings!$C$2)+(G28*Settings!$C$3)+(H28*Settings!$C$4)+(I28*Settings!$C$5)+(K28*Settings!$C$9)+(N28*Settings!$C$6)+(J28*Settings!$C$8)+(O28*Settings!$C$7)+(P28*Settings!$C$14)+(Q28*Settings!$C$15)+(R28*Settings!$C$16)+(S28*Settings!$C$17)+(T28*Settings!$C$18)+(U28*Settings!$C$19)+(L28*Settings!$C$10)+(Settings!$C$11*M28)</f>
        <v>5.1742099973617437</v>
      </c>
      <c r="D28" s="57" cm="1">
        <f t="array" ref="D28">IF(Settings!$E$12="YES",VLOOKUP(A28,'Player Data'!A1:E673,5,FALSE),82)</f>
        <v>68</v>
      </c>
      <c r="E28" s="55" cm="1">
        <f t="array" ref="E28">(VLOOKUP($A28,'The List'!$B1:$AH671,17,FALSE)-AVERAGE('The List'!R2:R671))/STDEV('The List'!R2:R671)</f>
        <v>0.70450097873070472</v>
      </c>
      <c r="F28" s="55" cm="1">
        <f t="array" ref="F28">(VLOOKUP($A28,'The List'!$B1:$AH671,18,FALSE)-AVERAGE('The List'!S2:S671))/STDEV('The List'!S2:S671)</f>
        <v>1.0026023607120196</v>
      </c>
      <c r="G28" s="55" cm="1">
        <f t="array" ref="G28">(VLOOKUP($A28,'The List'!$B1:$AH671,19,FALSE)-AVERAGE('The List'!T2:T671))/STDEV('The List'!T2:T671)</f>
        <v>1.6349084162534868</v>
      </c>
      <c r="H28" s="55" cm="1">
        <f t="array" ref="H28">(VLOOKUP($A28,'The List'!$B1:$AH671,20,FALSE)-AVERAGE('The List'!U2:U671))/STDEV('The List'!U2:U671)</f>
        <v>1.4726160639297987</v>
      </c>
      <c r="I28" s="55" cm="1">
        <f t="array" ref="I28">(VLOOKUP($A28,'The List'!$B1:$AH671,21,FALSE)-AVERAGE('The List'!V2:V671))/STDEV('The List'!V2:V671)</f>
        <v>0.34182977408005349</v>
      </c>
      <c r="J28" s="55" cm="1">
        <f t="array" ref="J28">(VLOOKUP($A28,'The List'!$B1:$AH671,22,FALSE)-AVERAGE('The List'!W2:W671))/STDEV('The List'!W2:W671)</f>
        <v>1.5152275210291339</v>
      </c>
      <c r="K28" s="55" cm="1">
        <f t="array" ref="K28">(VLOOKUP($A28,'The List'!$B1:$AH671,23,FALSE)-AVERAGE('The List'!X2:X671))/STDEV('The List'!X2:X671)</f>
        <v>1.9318747704195554</v>
      </c>
      <c r="L28" s="55" cm="1">
        <f t="array" ref="L28">(VLOOKUP($A28,'The List'!$B1:$AH671,24,FALSE)-AVERAGE('The List'!Y2:Y671))/STDEV('The List'!Y2:Y671)</f>
        <v>0.77107216526010391</v>
      </c>
      <c r="M28" s="55" cm="1">
        <f t="array" ref="M28">(VLOOKUP($A28,'The List'!$B1:$AH671,25,FALSE)-AVERAGE('The List'!Z2:Z671))/STDEV('The List'!Z2:Z671)</f>
        <v>1.5728189037874352</v>
      </c>
      <c r="N28" s="55" cm="1">
        <f t="array" ref="N28">(VLOOKUP($A28,'The List'!$B1:$AH671,26,FALSE)-AVERAGE('The List'!AA2:AA671))/STDEV('The List'!AA2:AA671)</f>
        <v>-0.3724833063550762</v>
      </c>
      <c r="O28" s="55" cm="1">
        <f t="array" ref="O28">(VLOOKUP($A28,'The List'!$B1:$AH671,27,FALSE)-AVERAGE('The List'!AB2:AB671))/STDEV('The List'!AB2:AB671)</f>
        <v>-0.96032183953715078</v>
      </c>
      <c r="P28" s="55" cm="1">
        <f t="array" ref="P28">(VLOOKUP($A28,'The List'!$B1:$AH671,28,FALSE)-AVERAGE('The List'!AC2:AC671))/STDEV('The List'!AC2:AC671)</f>
        <v>1.2233165154337791</v>
      </c>
      <c r="Q28" s="55" cm="1">
        <f t="array" ref="Q28">(VLOOKUP($A28,'The List'!$B1:$AH671,29,FALSE)-AVERAGE('The List'!AD2:AD671))/STDEV('The List'!AD2:AD671)</f>
        <v>-0.96705285915852512</v>
      </c>
      <c r="R28" s="55" cm="1">
        <f t="array" ref="R28">(VLOOKUP($A28,'The List'!$B1:$AH671,30,FALSE)-AVERAGE('The List'!AE2:AE671))/STDEV('The List'!AE2:AE671)</f>
        <v>1.624785625502029</v>
      </c>
      <c r="S28" s="55" cm="1">
        <f t="array" ref="S28">(VLOOKUP($A28,'The List'!$B1:$AH671,31,FALSE)-AVERAGE('The List'!AF2:AF671))/STDEV('The List'!AF2:AF671)</f>
        <v>-0.57947224168246447</v>
      </c>
      <c r="T28" s="55" cm="1">
        <f t="array" ref="T28">(VLOOKUP($A28,'The List'!$B1:$AH671,32,FALSE)-AVERAGE('The List'!AG2:AG671))/STDEV('The List'!AG2:AG671)</f>
        <v>-0.59131803091369117</v>
      </c>
      <c r="U28" s="55" cm="1">
        <f t="array" ref="U28">(VLOOKUP($A28,'The List'!$B1:$AH671,33,FALSE)-AVERAGE('The List'!AH2:AH671))/STDEV('The List'!AH2:AH671)</f>
        <v>-0.15128127822937942</v>
      </c>
      <c r="V28" s="55"/>
      <c r="W28" s="57"/>
      <c r="X28" s="55"/>
      <c r="Y28" s="55"/>
      <c r="Z28" s="55"/>
      <c r="AA28" s="55"/>
      <c r="AB28" s="55"/>
      <c r="AC28" s="55"/>
      <c r="AD28" s="55"/>
      <c r="AE28" s="55"/>
    </row>
    <row r="29" spans="1:31" ht="21.25" customHeight="1" x14ac:dyDescent="0.15">
      <c r="A29" s="10" t="s">
        <v>167</v>
      </c>
      <c r="B29" s="18" t="str" cm="1">
        <f t="array" ref="B29">VLOOKUP(A29,'Player Data'!A1:B673,2,FALSE)</f>
        <v>UTA</v>
      </c>
      <c r="C29" s="52" cm="1">
        <f t="array" ref="C29">((E29)*Settings!$C$12)+(F29*Settings!$C$2)+(G29*Settings!$C$3)+(H29*Settings!$C$4)+(I29*Settings!$C$5)+(K29*Settings!$C$9)+(N29*Settings!$C$6)+(J29*Settings!$C$8)+(O29*Settings!$C$7)+(P29*Settings!$C$14)+(Q29*Settings!$C$15)+(R29*Settings!$C$16)+(S29*Settings!$C$17)+(T29*Settings!$C$18)+(U29*Settings!$C$19)+(L29*Settings!$C$10)+(Settings!$C$11*M29)</f>
        <v>6.9196335326727603</v>
      </c>
      <c r="D29" s="57" cm="1">
        <f t="array" ref="D29">IF(Settings!$E$12="YES",VLOOKUP(A29,'Player Data'!A1:E673,5,FALSE),82)</f>
        <v>83</v>
      </c>
      <c r="E29" s="55" cm="1">
        <f t="array" ref="E29">(VLOOKUP($A29,'The List'!$B1:$AH671,17,FALSE)-AVERAGE('The List'!R2:R671))/STDEV('The List'!R2:R671)</f>
        <v>0.59957253802758848</v>
      </c>
      <c r="F29" s="55" cm="1">
        <f t="array" ref="F29">(VLOOKUP($A29,'The List'!$B1:$AH671,18,FALSE)-AVERAGE('The List'!S2:S671))/STDEV('The List'!S2:S671)</f>
        <v>1.443691531292157</v>
      </c>
      <c r="G29" s="55" cm="1">
        <f t="array" ref="G29">(VLOOKUP($A29,'The List'!$B1:$AH671,19,FALSE)-AVERAGE('The List'!T2:T671))/STDEV('The List'!T2:T671)</f>
        <v>2.3622388660941303</v>
      </c>
      <c r="H29" s="55" cm="1">
        <f t="array" ref="H29">(VLOOKUP($A29,'The List'!$B1:$AH671,20,FALSE)-AVERAGE('The List'!U2:U671))/STDEV('The List'!U2:U671)</f>
        <v>2.1255565723781142</v>
      </c>
      <c r="I29" s="55" cm="1">
        <f t="array" ref="I29">(VLOOKUP($A29,'The List'!$B1:$AH671,21,FALSE)-AVERAGE('The List'!V2:V671))/STDEV('The List'!V2:V671)</f>
        <v>1.7594287694613775</v>
      </c>
      <c r="J29" s="55" cm="1">
        <f t="array" ref="J29">(VLOOKUP($A29,'The List'!$B1:$AH671,22,FALSE)-AVERAGE('The List'!W2:W671))/STDEV('The List'!W2:W671)</f>
        <v>1.0954082514907661</v>
      </c>
      <c r="K29" s="55" cm="1">
        <f t="array" ref="K29">(VLOOKUP($A29,'The List'!$B1:$AH671,23,FALSE)-AVERAGE('The List'!X2:X671))/STDEV('The List'!X2:X671)</f>
        <v>2.2011978009381954</v>
      </c>
      <c r="L29" s="55" cm="1">
        <f t="array" ref="L29">(VLOOKUP($A29,'The List'!$B1:$AH671,24,FALSE)-AVERAGE('The List'!Y2:Y671))/STDEV('The List'!Y2:Y671)</f>
        <v>-0.47546929358800777</v>
      </c>
      <c r="M29" s="55" cm="1">
        <f t="array" ref="M29">(VLOOKUP($A29,'The List'!$B1:$AH671,25,FALSE)-AVERAGE('The List'!Z2:Z671))/STDEV('The List'!Z2:Z671)</f>
        <v>-0.64388478613809508</v>
      </c>
      <c r="N29" s="55" cm="1">
        <f t="array" ref="N29">(VLOOKUP($A29,'The List'!$B1:$AH671,26,FALSE)-AVERAGE('The List'!AA2:AA671))/STDEV('The List'!AA2:AA671)</f>
        <v>-0.77500885200720515</v>
      </c>
      <c r="O29" s="55" cm="1">
        <f t="array" ref="O29">(VLOOKUP($A29,'The List'!$B1:$AH671,27,FALSE)-AVERAGE('The List'!AB2:AB671))/STDEV('The List'!AB2:AB671)</f>
        <v>-1.4625410652379411</v>
      </c>
      <c r="P29" s="55" cm="1">
        <f t="array" ref="P29">(VLOOKUP($A29,'The List'!$B1:$AH671,28,FALSE)-AVERAGE('The List'!AC2:AC671))/STDEV('The List'!AC2:AC671)</f>
        <v>0.61561763012484061</v>
      </c>
      <c r="Q29" s="55" cm="1">
        <f t="array" ref="Q29">(VLOOKUP($A29,'The List'!$B1:$AH671,29,FALSE)-AVERAGE('The List'!AD2:AD671))/STDEV('The List'!AD2:AD671)</f>
        <v>0.2017982795562949</v>
      </c>
      <c r="R29" s="55" cm="1">
        <f t="array" ref="R29">(VLOOKUP($A29,'The List'!$B1:$AH671,30,FALSE)-AVERAGE('The List'!AE2:AE671))/STDEV('The List'!AE2:AE671)</f>
        <v>1.7620213832821263</v>
      </c>
      <c r="S29" s="55" cm="1">
        <f t="array" ref="S29">(VLOOKUP($A29,'The List'!$B1:$AH671,31,FALSE)-AVERAGE('The List'!AF2:AF671))/STDEV('The List'!AF2:AF671)</f>
        <v>-0.52399110244262459</v>
      </c>
      <c r="T29" s="55" cm="1">
        <f t="array" ref="T29">(VLOOKUP($A29,'The List'!$B1:$AH671,32,FALSE)-AVERAGE('The List'!AG2:AG671))/STDEV('The List'!AG2:AG671)</f>
        <v>-0.52400451567197981</v>
      </c>
      <c r="U29" s="55" cm="1">
        <f t="array" ref="U29">(VLOOKUP($A29,'The List'!$B1:$AH671,33,FALSE)-AVERAGE('The List'!AH2:AH671))/STDEV('The List'!AH2:AH671)</f>
        <v>0.49270786602453809</v>
      </c>
      <c r="V29" s="55"/>
      <c r="W29" s="57"/>
      <c r="X29" s="55"/>
      <c r="Y29" s="55"/>
      <c r="Z29" s="55"/>
      <c r="AA29" s="55"/>
      <c r="AB29" s="55"/>
      <c r="AC29" s="55"/>
      <c r="AD29" s="55"/>
      <c r="AE29" s="55"/>
    </row>
    <row r="30" spans="1:31" ht="21.25" customHeight="1" x14ac:dyDescent="0.15">
      <c r="A30" s="10" t="s">
        <v>171</v>
      </c>
      <c r="B30" s="18" t="str" cm="1">
        <f t="array" ref="B30">VLOOKUP(A30,'Player Data'!A1:B673,2,FALSE)</f>
        <v>FLA</v>
      </c>
      <c r="C30" s="52" cm="1">
        <f t="array" ref="C30">((E30)*Settings!$C$12)+(F30*Settings!$C$2)+(G30*Settings!$C$3)+(H30*Settings!$C$4)+(I30*Settings!$C$5)+(K30*Settings!$C$9)+(N30*Settings!$C$6)+(J30*Settings!$C$8)+(O30*Settings!$C$7)+(P30*Settings!$C$14)+(Q30*Settings!$C$15)+(R30*Settings!$C$16)+(S30*Settings!$C$17)+(T30*Settings!$C$18)+(U30*Settings!$C$19)+(L30*Settings!$C$10)+(Settings!$C$11*M30)</f>
        <v>8.4487396570364766</v>
      </c>
      <c r="D30" s="57" cm="1">
        <f t="array" ref="D30">IF(Settings!$E$12="YES",VLOOKUP(A30,'Player Data'!A1:E673,5,FALSE),82)</f>
        <v>79</v>
      </c>
      <c r="E30" s="55" cm="1">
        <f t="array" ref="E30">(VLOOKUP($A30,'The List'!$B1:$AH671,17,FALSE)-AVERAGE('The List'!R2:R671))/STDEV('The List'!R2:R671)</f>
        <v>0.96682208048849627</v>
      </c>
      <c r="F30" s="55" cm="1">
        <f t="array" ref="F30">(VLOOKUP($A30,'The List'!$B1:$AH671,18,FALSE)-AVERAGE('The List'!S2:S671))/STDEV('The List'!S2:S671)</f>
        <v>1.071460172408919</v>
      </c>
      <c r="G30" s="55" cm="1">
        <f t="array" ref="G30">(VLOOKUP($A30,'The List'!$B1:$AH671,19,FALSE)-AVERAGE('The List'!T2:T671))/STDEV('The List'!T2:T671)</f>
        <v>2.3348322114624538</v>
      </c>
      <c r="H30" s="55" cm="1">
        <f t="array" ref="H30">(VLOOKUP($A30,'The List'!$B1:$AH671,20,FALSE)-AVERAGE('The List'!U2:U671))/STDEV('The List'!U2:U671)</f>
        <v>1.9434228625062753</v>
      </c>
      <c r="I30" s="55" cm="1">
        <f t="array" ref="I30">(VLOOKUP($A30,'The List'!$B1:$AH671,21,FALSE)-AVERAGE('The List'!V2:V671))/STDEV('The List'!V2:V671)</f>
        <v>1.2418021283690621</v>
      </c>
      <c r="J30" s="55" cm="1">
        <f t="array" ref="J30">(VLOOKUP($A30,'The List'!$B1:$AH671,22,FALSE)-AVERAGE('The List'!W2:W671))/STDEV('The List'!W2:W671)</f>
        <v>1.4434163301870448</v>
      </c>
      <c r="K30" s="55" cm="1">
        <f t="array" ref="K30">(VLOOKUP($A30,'The List'!$B1:$AH671,23,FALSE)-AVERAGE('The List'!X2:X671))/STDEV('The List'!X2:X671)</f>
        <v>2.2946569122748879</v>
      </c>
      <c r="L30" s="55" cm="1">
        <f t="array" ref="L30">(VLOOKUP($A30,'The List'!$B1:$AH671,24,FALSE)-AVERAGE('The List'!Y2:Y671))/STDEV('The List'!Y2:Y671)</f>
        <v>0.97271857772082782</v>
      </c>
      <c r="M30" s="55" cm="1">
        <f t="array" ref="M30">(VLOOKUP($A30,'The List'!$B1:$AH671,25,FALSE)-AVERAGE('The List'!Z2:Z671))/STDEV('The List'!Z2:Z671)</f>
        <v>2.7898326943347853</v>
      </c>
      <c r="N30" s="55" cm="1">
        <f t="array" ref="N30">(VLOOKUP($A30,'The List'!$B1:$AH671,26,FALSE)-AVERAGE('The List'!AA2:AA671))/STDEV('The List'!AA2:AA671)</f>
        <v>-0.15002153588362674</v>
      </c>
      <c r="O30" s="55" cm="1">
        <f t="array" ref="O30">(VLOOKUP($A30,'The List'!$B1:$AH671,27,FALSE)-AVERAGE('The List'!AB2:AB671))/STDEV('The List'!AB2:AB671)</f>
        <v>0.23926465385102288</v>
      </c>
      <c r="P30" s="55" cm="1">
        <f t="array" ref="P30">(VLOOKUP($A30,'The List'!$B1:$AH671,28,FALSE)-AVERAGE('The List'!AC2:AC671))/STDEV('The List'!AC2:AC671)</f>
        <v>1.2667235786701319</v>
      </c>
      <c r="Q30" s="55" cm="1">
        <f t="array" ref="Q30">(VLOOKUP($A30,'The List'!$B1:$AH671,29,FALSE)-AVERAGE('The List'!AD2:AD671))/STDEV('The List'!AD2:AD671)</f>
        <v>-0.33090821286683125</v>
      </c>
      <c r="R30" s="55" cm="1">
        <f t="array" ref="R30">(VLOOKUP($A30,'The List'!$B1:$AH671,30,FALSE)-AVERAGE('The List'!AE2:AE671))/STDEV('The List'!AE2:AE671)</f>
        <v>1.1195085173116675</v>
      </c>
      <c r="S30" s="55" cm="1">
        <f t="array" ref="S30">(VLOOKUP($A30,'The List'!$B1:$AH671,31,FALSE)-AVERAGE('The List'!AF2:AF671))/STDEV('The List'!AF2:AF671)</f>
        <v>2.7693000916033337</v>
      </c>
      <c r="T30" s="55" cm="1">
        <f t="array" ref="T30">(VLOOKUP($A30,'The List'!$B1:$AH671,32,FALSE)-AVERAGE('The List'!AG2:AG671))/STDEV('The List'!AG2:AG671)</f>
        <v>2.062436929335731</v>
      </c>
      <c r="U30" s="55" cm="1">
        <f t="array" ref="U30">(VLOOKUP($A30,'The List'!$B1:$AH671,33,FALSE)-AVERAGE('The List'!AH2:AH671))/STDEV('The List'!AH2:AH671)</f>
        <v>1.3666931332262831</v>
      </c>
      <c r="V30" s="55"/>
      <c r="W30" s="57"/>
      <c r="X30" s="55"/>
      <c r="Y30" s="55"/>
      <c r="Z30" s="55"/>
      <c r="AA30" s="55"/>
      <c r="AB30" s="55"/>
      <c r="AC30" s="55"/>
      <c r="AD30" s="55"/>
      <c r="AE30" s="55"/>
    </row>
    <row r="31" spans="1:31" ht="21.25" customHeight="1" x14ac:dyDescent="0.15">
      <c r="A31" s="10" t="s">
        <v>129</v>
      </c>
      <c r="B31" s="18" t="str" cm="1">
        <f t="array" ref="B31">VLOOKUP(A31,'Player Data'!A1:B673,2,FALSE)</f>
        <v>CBJ</v>
      </c>
      <c r="C31" s="52" cm="1">
        <f t="array" ref="C31">((E31)*Settings!$C$12)+(F31*Settings!$C$2)+(G31*Settings!$C$3)+(H31*Settings!$C$4)+(I31*Settings!$C$5)+(K31*Settings!$C$9)+(N31*Settings!$C$6)+(J31*Settings!$C$8)+(O31*Settings!$C$7)+(P31*Settings!$C$14)+(Q31*Settings!$C$15)+(R31*Settings!$C$16)+(S31*Settings!$C$17)+(T31*Settings!$C$18)+(U31*Settings!$C$19)+(L31*Settings!$C$10)+(Settings!$C$11*M31)</f>
        <v>7.5895482954025129</v>
      </c>
      <c r="D31" s="57" cm="1">
        <f t="array" ref="D31">IF(Settings!$E$12="YES",VLOOKUP(A31,'Player Data'!A1:E673,5,FALSE),82)</f>
        <v>81</v>
      </c>
      <c r="E31" s="55" cm="1">
        <f t="array" ref="E31">(VLOOKUP($A31,'The List'!$B1:$AH671,17,FALSE)-AVERAGE('The List'!R2:R671))/STDEV('The List'!R2:R671)</f>
        <v>2.6981413520899213</v>
      </c>
      <c r="F31" s="55" cm="1">
        <f t="array" ref="F31">(VLOOKUP($A31,'The List'!$B1:$AH671,18,FALSE)-AVERAGE('The List'!S2:S671))/STDEV('The List'!S2:S671)</f>
        <v>0.64833390922797351</v>
      </c>
      <c r="G31" s="55" cm="1">
        <f t="array" ref="G31">(VLOOKUP($A31,'The List'!$B1:$AH671,19,FALSE)-AVERAGE('The List'!T2:T671))/STDEV('The List'!T2:T671)</f>
        <v>2.6637120670425709</v>
      </c>
      <c r="H31" s="55" cm="1">
        <f t="array" ref="H31">(VLOOKUP($A31,'The List'!$B1:$AH671,20,FALSE)-AVERAGE('The List'!U2:U671))/STDEV('The List'!U2:U671)</f>
        <v>1.9628740354052101</v>
      </c>
      <c r="I31" s="55" cm="1">
        <f t="array" ref="I31">(VLOOKUP($A31,'The List'!$B1:$AH671,21,FALSE)-AVERAGE('The List'!V2:V671))/STDEV('The List'!V2:V671)</f>
        <v>2.6440243643854937</v>
      </c>
      <c r="J31" s="55" cm="1">
        <f t="array" ref="J31">(VLOOKUP($A31,'The List'!$B1:$AH671,22,FALSE)-AVERAGE('The List'!W2:W671))/STDEV('The List'!W2:W671)</f>
        <v>0.60377779111030838</v>
      </c>
      <c r="K31" s="55" cm="1">
        <f t="array" ref="K31">(VLOOKUP($A31,'The List'!$B1:$AH671,23,FALSE)-AVERAGE('The List'!X2:X671))/STDEV('The List'!X2:X671)</f>
        <v>1.7218430040822574</v>
      </c>
      <c r="L31" s="55" cm="1">
        <f t="array" ref="L31">(VLOOKUP($A31,'The List'!$B1:$AH671,24,FALSE)-AVERAGE('The List'!Y2:Y671))/STDEV('The List'!Y2:Y671)</f>
        <v>-0.47546929358800777</v>
      </c>
      <c r="M31" s="55" cm="1">
        <f t="array" ref="M31">(VLOOKUP($A31,'The List'!$B1:$AH671,25,FALSE)-AVERAGE('The List'!Z2:Z671))/STDEV('The List'!Z2:Z671)</f>
        <v>1.1164387323321792</v>
      </c>
      <c r="N31" s="55" cm="1">
        <f t="array" ref="N31">(VLOOKUP($A31,'The List'!$B1:$AH671,26,FALSE)-AVERAGE('The List'!AA2:AA671))/STDEV('The List'!AA2:AA671)</f>
        <v>1.3768171138044616</v>
      </c>
      <c r="O31" s="55" cm="1">
        <f t="array" ref="O31">(VLOOKUP($A31,'The List'!$B1:$AH671,27,FALSE)-AVERAGE('The List'!AB2:AB671))/STDEV('The List'!AB2:AB671)</f>
        <v>-1.0382170663805386</v>
      </c>
      <c r="P31" s="55" cm="1">
        <f t="array" ref="P31">(VLOOKUP($A31,'The List'!$B1:$AH671,28,FALSE)-AVERAGE('The List'!AC2:AC671))/STDEV('The List'!AC2:AC671)</f>
        <v>0.94985201704475664</v>
      </c>
      <c r="Q31" s="55" cm="1">
        <f t="array" ref="Q31">(VLOOKUP($A31,'The List'!$B1:$AH671,29,FALSE)-AVERAGE('The List'!AD2:AD671))/STDEV('The List'!AD2:AD671)</f>
        <v>-0.21934277548001832</v>
      </c>
      <c r="R31" s="55" cm="1">
        <f t="array" ref="R31">(VLOOKUP($A31,'The List'!$B1:$AH671,30,FALSE)-AVERAGE('The List'!AE2:AE671))/STDEV('The List'!AE2:AE671)</f>
        <v>0.67661129902135098</v>
      </c>
      <c r="S31" s="55" cm="1">
        <f t="array" ref="S31">(VLOOKUP($A31,'The List'!$B1:$AH671,31,FALSE)-AVERAGE('The List'!AF2:AF671))/STDEV('The List'!AF2:AF671)</f>
        <v>-0.59581850454342256</v>
      </c>
      <c r="T31" s="55" cm="1">
        <f t="array" ref="T31">(VLOOKUP($A31,'The List'!$B1:$AH671,32,FALSE)-AVERAGE('The List'!AG2:AG671))/STDEV('The List'!AG2:AG671)</f>
        <v>-0.64684275008198677</v>
      </c>
      <c r="U31" s="55" cm="1">
        <f t="array" ref="U31">(VLOOKUP($A31,'The List'!$B1:$AH671,33,FALSE)-AVERAGE('The List'!AH2:AH671))/STDEV('The List'!AH2:AH671)</f>
        <v>-1.2552626683789523</v>
      </c>
      <c r="V31" s="55"/>
      <c r="W31" s="77"/>
      <c r="X31" s="57"/>
      <c r="Y31" s="57"/>
      <c r="Z31" s="57"/>
      <c r="AA31" s="57"/>
      <c r="AB31" s="57"/>
      <c r="AC31" s="60"/>
      <c r="AD31" s="61"/>
      <c r="AE31" s="55"/>
    </row>
    <row r="32" spans="1:31" ht="21.25" customHeight="1" x14ac:dyDescent="0.15">
      <c r="A32" s="10" t="s">
        <v>219</v>
      </c>
      <c r="B32" s="18" t="str" cm="1">
        <f t="array" ref="B32">VLOOKUP(A32,'Player Data'!A1:B673,2,FALSE)</f>
        <v>STL</v>
      </c>
      <c r="C32" s="52" cm="1">
        <f t="array" ref="C32">((E32)*Settings!$C$12)+(F32*Settings!$C$2)+(G32*Settings!$C$3)+(H32*Settings!$C$4)+(I32*Settings!$C$5)+(K32*Settings!$C$9)+(N32*Settings!$C$6)+(J32*Settings!$C$8)+(O32*Settings!$C$7)+(P32*Settings!$C$14)+(Q32*Settings!$C$15)+(R32*Settings!$C$16)+(S32*Settings!$C$17)+(T32*Settings!$C$18)+(U32*Settings!$C$19)+(L32*Settings!$C$10)+(Settings!$C$11*M32)</f>
        <v>4.0355525585880336</v>
      </c>
      <c r="D32" s="57" cm="1">
        <f t="array" ref="D32">IF(Settings!$E$12="YES",VLOOKUP(A32,'Player Data'!A1:E673,5,FALSE),82)</f>
        <v>79</v>
      </c>
      <c r="E32" s="55" cm="1">
        <f t="array" ref="E32">(VLOOKUP($A32,'The List'!$B1:$AH671,17,FALSE)-AVERAGE('The List'!R2:R671))/STDEV('The List'!R2:R671)</f>
        <v>0.59957253802758848</v>
      </c>
      <c r="F32" s="55" cm="1">
        <f t="array" ref="F32">(VLOOKUP($A32,'The List'!$B1:$AH671,18,FALSE)-AVERAGE('The List'!S2:S671))/STDEV('The List'!S2:S671)</f>
        <v>1.3079717864982687</v>
      </c>
      <c r="G32" s="55" cm="1">
        <f t="array" ref="G32">(VLOOKUP($A32,'The List'!$B1:$AH671,19,FALSE)-AVERAGE('The List'!T2:T671))/STDEV('The List'!T2:T671)</f>
        <v>2.0572519914749621</v>
      </c>
      <c r="H32" s="55" cm="1">
        <f t="array" ref="H32">(VLOOKUP($A32,'The List'!$B1:$AH671,20,FALSE)-AVERAGE('The List'!U2:U671))/STDEV('The List'!U2:U671)</f>
        <v>1.8735754689146484</v>
      </c>
      <c r="I32" s="55" cm="1">
        <f t="array" ref="I32">(VLOOKUP($A32,'The List'!$B1:$AH671,21,FALSE)-AVERAGE('The List'!V2:V671))/STDEV('The List'!V2:V671)</f>
        <v>0.3136678440072741</v>
      </c>
      <c r="J32" s="55" cm="1">
        <f t="array" ref="J32">(VLOOKUP($A32,'The List'!$B1:$AH671,22,FALSE)-AVERAGE('The List'!W2:W671))/STDEV('The List'!W2:W671)</f>
        <v>0.5706341645678058</v>
      </c>
      <c r="K32" s="55" cm="1">
        <f t="array" ref="K32">(VLOOKUP($A32,'The List'!$B1:$AH671,23,FALSE)-AVERAGE('The List'!X2:X671))/STDEV('The List'!X2:X671)</f>
        <v>1.2625869408471138</v>
      </c>
      <c r="L32" s="55" cm="1">
        <f t="array" ref="L32">(VLOOKUP($A32,'The List'!$B1:$AH671,24,FALSE)-AVERAGE('The List'!Y2:Y671))/STDEV('The List'!Y2:Y671)</f>
        <v>0.97271857772082782</v>
      </c>
      <c r="M32" s="55" cm="1">
        <f t="array" ref="M32">(VLOOKUP($A32,'The List'!$B1:$AH671,25,FALSE)-AVERAGE('The List'!Z2:Z671))/STDEV('The List'!Z2:Z671)</f>
        <v>1.072973954098345</v>
      </c>
      <c r="N32" s="55" cm="1">
        <f t="array" ref="N32">(VLOOKUP($A32,'The List'!$B1:$AH671,26,FALSE)-AVERAGE('The List'!AA2:AA671))/STDEV('The List'!AA2:AA671)</f>
        <v>-0.43250456474863608</v>
      </c>
      <c r="O32" s="55" cm="1">
        <f t="array" ref="O32">(VLOOKUP($A32,'The List'!$B1:$AH671,27,FALSE)-AVERAGE('The List'!AB2:AB671))/STDEV('The List'!AB2:AB671)</f>
        <v>-1.3153600839917503</v>
      </c>
      <c r="P32" s="55" cm="1">
        <f t="array" ref="P32">(VLOOKUP($A32,'The List'!$B1:$AH671,28,FALSE)-AVERAGE('The List'!AC2:AC671))/STDEV('The List'!AC2:AC671)</f>
        <v>0.40943407975216506</v>
      </c>
      <c r="Q32" s="55" cm="1">
        <f t="array" ref="Q32">(VLOOKUP($A32,'The List'!$B1:$AH671,29,FALSE)-AVERAGE('The List'!AD2:AD671))/STDEV('The List'!AD2:AD671)</f>
        <v>-0.15580219524646932</v>
      </c>
      <c r="R32" s="55" cm="1">
        <f t="array" ref="R32">(VLOOKUP($A32,'The List'!$B1:$AH671,30,FALSE)-AVERAGE('The List'!AE2:AE671))/STDEV('The List'!AE2:AE671)</f>
        <v>1.1195085173116675</v>
      </c>
      <c r="S32" s="55" cm="1">
        <f t="array" ref="S32">(VLOOKUP($A32,'The List'!$B1:$AH671,31,FALSE)-AVERAGE('The List'!AF2:AF671))/STDEV('The List'!AF2:AF671)</f>
        <v>2.8300697276511304</v>
      </c>
      <c r="T32" s="55" cm="1">
        <f t="array" ref="T32">(VLOOKUP($A32,'The List'!$B1:$AH671,32,FALSE)-AVERAGE('The List'!AG2:AG671))/STDEV('The List'!AG2:AG671)</f>
        <v>2.5543002044681145</v>
      </c>
      <c r="U32" s="55" cm="1">
        <f t="array" ref="U32">(VLOOKUP($A32,'The List'!$B1:$AH671,33,FALSE)-AVERAGE('The List'!AH2:AH671))/STDEV('The List'!AH2:AH671)</f>
        <v>1.1826962348680212</v>
      </c>
      <c r="V32" s="55"/>
      <c r="W32" s="57"/>
      <c r="X32" s="55"/>
      <c r="Y32" s="55"/>
      <c r="Z32" s="55"/>
      <c r="AA32" s="55"/>
      <c r="AB32" s="55"/>
      <c r="AC32" s="55"/>
      <c r="AD32" s="55"/>
      <c r="AE32" s="55"/>
    </row>
    <row r="33" spans="1:31" ht="21.25" customHeight="1" x14ac:dyDescent="0.15">
      <c r="A33" s="10" t="s">
        <v>133</v>
      </c>
      <c r="B33" s="18" t="str" cm="1">
        <f t="array" ref="B33">VLOOKUP(A33,'Player Data'!A1:B673,2,FALSE)</f>
        <v>EDM</v>
      </c>
      <c r="C33" s="52" cm="1">
        <f t="array" ref="C33">((E33)*Settings!$C$12)+(F33*Settings!$C$2)+(G33*Settings!$C$3)+(H33*Settings!$C$4)+(I33*Settings!$C$5)+(K33*Settings!$C$9)+(N33*Settings!$C$6)+(J33*Settings!$C$8)+(O33*Settings!$C$7)+(P33*Settings!$C$14)+(Q33*Settings!$C$15)+(R33*Settings!$C$16)+(S33*Settings!$C$17)+(T33*Settings!$C$18)+(U33*Settings!$C$19)+(L33*Settings!$C$10)+(Settings!$C$11*M33)</f>
        <v>8.8388074941457138</v>
      </c>
      <c r="D33" s="57" cm="1">
        <f t="array" ref="D33">IF(Settings!$E$12="YES",VLOOKUP(A33,'Player Data'!A1:E673,5,FALSE),82)</f>
        <v>84</v>
      </c>
      <c r="E33" s="55" cm="1">
        <f t="array" ref="E33">(VLOOKUP($A33,'The List'!$B1:$AH671,17,FALSE)-AVERAGE('The List'!R2:R671))/STDEV('The List'!R2:R671)</f>
        <v>2.1210349282227789</v>
      </c>
      <c r="F33" s="55" cm="1">
        <f t="array" ref="F33">(VLOOKUP($A33,'The List'!$B1:$AH671,18,FALSE)-AVERAGE('The List'!S2:S671))/STDEV('The List'!S2:S671)</f>
        <v>0.3878717519397028</v>
      </c>
      <c r="G33" s="55" cm="1">
        <f t="array" ref="G33">(VLOOKUP($A33,'The List'!$B1:$AH671,19,FALSE)-AVERAGE('The List'!T2:T671))/STDEV('The List'!T2:T671)</f>
        <v>3.0010247394324341</v>
      </c>
      <c r="H33" s="55" cm="1">
        <f t="array" ref="H33">(VLOOKUP($A33,'The List'!$B1:$AH671,20,FALSE)-AVERAGE('The List'!U2:U671))/STDEV('The List'!U2:U671)</f>
        <v>2.059687827788542</v>
      </c>
      <c r="I33" s="55" cm="1">
        <f t="array" ref="I33">(VLOOKUP($A33,'The List'!$B1:$AH671,21,FALSE)-AVERAGE('The List'!V2:V671))/STDEV('The List'!V2:V671)</f>
        <v>1.7634025387354508</v>
      </c>
      <c r="J33" s="55" cm="1">
        <f t="array" ref="J33">(VLOOKUP($A33,'The List'!$B1:$AH671,22,FALSE)-AVERAGE('The List'!W2:W671))/STDEV('The List'!W2:W671)</f>
        <v>0.88549861672158203</v>
      </c>
      <c r="K33" s="55" cm="1">
        <f t="array" ref="K33">(VLOOKUP($A33,'The List'!$B1:$AH671,23,FALSE)-AVERAGE('The List'!X2:X671))/STDEV('The List'!X2:X671)</f>
        <v>2.6594489274922992</v>
      </c>
      <c r="L33" s="55" cm="1">
        <f t="array" ref="L33">(VLOOKUP($A33,'The List'!$B1:$AH671,24,FALSE)-AVERAGE('The List'!Y2:Y671))/STDEV('The List'!Y2:Y671)</f>
        <v>-0.47546929358800777</v>
      </c>
      <c r="M33" s="55" cm="1">
        <f t="array" ref="M33">(VLOOKUP($A33,'The List'!$B1:$AH671,25,FALSE)-AVERAGE('The List'!Z2:Z671))/STDEV('The List'!Z2:Z671)</f>
        <v>1.1816358996829295</v>
      </c>
      <c r="N33" s="55" cm="1">
        <f t="array" ref="N33">(VLOOKUP($A33,'The List'!$B1:$AH671,26,FALSE)-AVERAGE('The List'!AA2:AA671))/STDEV('The List'!AA2:AA671)</f>
        <v>1.3162850361905314</v>
      </c>
      <c r="O33" s="55" cm="1">
        <f t="array" ref="O33">(VLOOKUP($A33,'The List'!$B1:$AH671,27,FALSE)-AVERAGE('The List'!AB2:AB671))/STDEV('The List'!AB2:AB671)</f>
        <v>-0.87340716537505481</v>
      </c>
      <c r="P33" s="55" cm="1">
        <f t="array" ref="P33">(VLOOKUP($A33,'The List'!$B1:$AH671,28,FALSE)-AVERAGE('The List'!AC2:AC671))/STDEV('The List'!AC2:AC671)</f>
        <v>1.9004667019208823</v>
      </c>
      <c r="Q33" s="55" cm="1">
        <f t="array" ref="Q33">(VLOOKUP($A33,'The List'!$B1:$AH671,29,FALSE)-AVERAGE('The List'!AD2:AD671))/STDEV('The List'!AD2:AD671)</f>
        <v>0.29489261803800609</v>
      </c>
      <c r="R33" s="55" cm="1">
        <f t="array" ref="R33">(VLOOKUP($A33,'The List'!$B1:$AH671,30,FALSE)-AVERAGE('The List'!AE2:AE671))/STDEV('The List'!AE2:AE671)</f>
        <v>0.75146716690140425</v>
      </c>
      <c r="S33" s="55" cm="1">
        <f t="array" ref="S33">(VLOOKUP($A33,'The List'!$B1:$AH671,31,FALSE)-AVERAGE('The List'!AF2:AF671))/STDEV('The List'!AF2:AF671)</f>
        <v>-0.59581850454342256</v>
      </c>
      <c r="T33" s="55" cm="1">
        <f t="array" ref="T33">(VLOOKUP($A33,'The List'!$B1:$AH671,32,FALSE)-AVERAGE('The List'!AG2:AG671))/STDEV('The List'!AG2:AG671)</f>
        <v>-0.64684275008198677</v>
      </c>
      <c r="U33" s="55" cm="1">
        <f t="array" ref="U33">(VLOOKUP($A33,'The List'!$B1:$AH671,33,FALSE)-AVERAGE('The List'!AH2:AH671))/STDEV('The List'!AH2:AH671)</f>
        <v>-1.2552626683789523</v>
      </c>
      <c r="V33" s="55"/>
      <c r="W33" s="57"/>
      <c r="X33" s="57"/>
      <c r="Y33" s="57"/>
      <c r="Z33" s="57"/>
      <c r="AA33" s="57"/>
      <c r="AB33" s="57"/>
      <c r="AC33" s="60"/>
      <c r="AD33" s="61"/>
      <c r="AE33" s="55"/>
    </row>
    <row r="34" spans="1:31" ht="21.25" customHeight="1" x14ac:dyDescent="0.15">
      <c r="A34" s="10" t="s">
        <v>163</v>
      </c>
      <c r="B34" s="18" t="str" cm="1">
        <f t="array" ref="B34">VLOOKUP(A34,'Player Data'!A1:B673,2,FALSE)</f>
        <v>ANA</v>
      </c>
      <c r="C34" s="52" cm="1">
        <f t="array" ref="C34">((E34)*Settings!$C$12)+(F34*Settings!$C$2)+(G34*Settings!$C$3)+(H34*Settings!$C$4)+(I34*Settings!$C$5)+(K34*Settings!$C$9)+(N34*Settings!$C$6)+(J34*Settings!$C$8)+(O34*Settings!$C$7)+(P34*Settings!$C$14)+(Q34*Settings!$C$15)+(R34*Settings!$C$16)+(S34*Settings!$C$17)+(T34*Settings!$C$18)+(U34*Settings!$C$19)+(L34*Settings!$C$10)+(Settings!$C$11*M34)</f>
        <v>5.5113339978520228</v>
      </c>
      <c r="D34" s="57" cm="1">
        <f t="array" ref="D34">IF(Settings!$E$12="YES",VLOOKUP(A34,'Player Data'!A1:E673,5,FALSE),82)</f>
        <v>78</v>
      </c>
      <c r="E34" s="55" cm="1">
        <f t="array" ref="E34">(VLOOKUP($A34,'The List'!$B1:$AH671,17,FALSE)-AVERAGE('The List'!R2:R671))/STDEV('The List'!R2:R671)</f>
        <v>1.2816074025978461</v>
      </c>
      <c r="F34" s="55" cm="1">
        <f t="array" ref="F34">(VLOOKUP($A34,'The List'!$B1:$AH671,18,FALSE)-AVERAGE('The List'!S2:S671))/STDEV('The List'!S2:S671)</f>
        <v>2.3093040800731766</v>
      </c>
      <c r="G34" s="55" cm="1">
        <f t="array" ref="G34">(VLOOKUP($A34,'The List'!$B1:$AH671,19,FALSE)-AVERAGE('The List'!T2:T671))/STDEV('The List'!T2:T671)</f>
        <v>1.7141768942651059</v>
      </c>
      <c r="H34" s="55" cm="1">
        <f t="array" ref="H34">(VLOOKUP($A34,'The List'!$B1:$AH671,20,FALSE)-AVERAGE('The List'!U2:U671))/STDEV('The List'!U2:U671)</f>
        <v>2.1013310206767151</v>
      </c>
      <c r="I34" s="55" cm="1">
        <f t="array" ref="I34">(VLOOKUP($A34,'The List'!$B1:$AH671,21,FALSE)-AVERAGE('The List'!V2:V671))/STDEV('The List'!V2:V671)</f>
        <v>1.8203656574164042</v>
      </c>
      <c r="J34" s="55" cm="1">
        <f t="array" ref="J34">(VLOOKUP($A34,'The List'!$B1:$AH671,22,FALSE)-AVERAGE('The List'!W2:W671))/STDEV('The List'!W2:W671)</f>
        <v>1.1572763543701046</v>
      </c>
      <c r="K34" s="55" cm="1">
        <f t="array" ref="K34">(VLOOKUP($A34,'The List'!$B1:$AH671,23,FALSE)-AVERAGE('The List'!X2:X671))/STDEV('The List'!X2:X671)</f>
        <v>1.354036178821727</v>
      </c>
      <c r="L34" s="55" cm="1">
        <f t="array" ref="L34">(VLOOKUP($A34,'The List'!$B1:$AH671,24,FALSE)-AVERAGE('The List'!Y2:Y671))/STDEV('The List'!Y2:Y671)</f>
        <v>3.814099844212846</v>
      </c>
      <c r="M34" s="55" cm="1">
        <f t="array" ref="M34">(VLOOKUP($A34,'The List'!$B1:$AH671,25,FALSE)-AVERAGE('The List'!Z2:Z671))/STDEV('The List'!Z2:Z671)</f>
        <v>3.5939310916607132</v>
      </c>
      <c r="N34" s="55" cm="1">
        <f t="array" ref="N34">(VLOOKUP($A34,'The List'!$B1:$AH671,26,FALSE)-AVERAGE('The List'!AA2:AA671))/STDEV('The List'!AA2:AA671)</f>
        <v>-0.56710542931632124</v>
      </c>
      <c r="O34" s="55" cm="1">
        <f t="array" ref="O34">(VLOOKUP($A34,'The List'!$B1:$AH671,27,FALSE)-AVERAGE('The List'!AB2:AB671))/STDEV('The List'!AB2:AB671)</f>
        <v>-1.2091765905578691</v>
      </c>
      <c r="P34" s="55" cm="1">
        <f t="array" ref="P34">(VLOOKUP($A34,'The List'!$B1:$AH671,28,FALSE)-AVERAGE('The List'!AC2:AC671))/STDEV('The List'!AC2:AC671)</f>
        <v>-0.47737222216652181</v>
      </c>
      <c r="Q34" s="55" cm="1">
        <f t="array" ref="Q34">(VLOOKUP($A34,'The List'!$B1:$AH671,29,FALSE)-AVERAGE('The List'!AD2:AD671))/STDEV('The List'!AD2:AD671)</f>
        <v>-0.24150809416614011</v>
      </c>
      <c r="R34" s="55" cm="1">
        <f t="array" ref="R34">(VLOOKUP($A34,'The List'!$B1:$AH671,30,FALSE)-AVERAGE('The List'!AE2:AE671))/STDEV('The List'!AE2:AE671)</f>
        <v>1.8668195983142013</v>
      </c>
      <c r="S34" s="55" cm="1">
        <f t="array" ref="S34">(VLOOKUP($A34,'The List'!$B1:$AH671,31,FALSE)-AVERAGE('The List'!AF2:AF671))/STDEV('The List'!AF2:AF671)</f>
        <v>1.7254469762000371</v>
      </c>
      <c r="T34" s="55" cm="1">
        <f t="array" ref="T34">(VLOOKUP($A34,'The List'!$B1:$AH671,32,FALSE)-AVERAGE('The List'!AG2:AG671))/STDEV('The List'!AG2:AG671)</f>
        <v>2.8481525325665018</v>
      </c>
      <c r="U34" s="55" cm="1">
        <f t="array" ref="U34">(VLOOKUP($A34,'The List'!$B1:$AH671,33,FALSE)-AVERAGE('The List'!AH2:AH671))/STDEV('The List'!AH2:AH671)</f>
        <v>0.63070553979323463</v>
      </c>
      <c r="V34" s="55"/>
      <c r="W34" s="57"/>
      <c r="X34" s="55"/>
      <c r="Y34" s="55"/>
      <c r="Z34" s="55"/>
      <c r="AA34" s="55"/>
      <c r="AB34" s="55"/>
      <c r="AC34" s="55"/>
      <c r="AD34" s="55"/>
      <c r="AE34" s="55"/>
    </row>
    <row r="35" spans="1:31" ht="21.25" customHeight="1" x14ac:dyDescent="0.15">
      <c r="A35" s="10" t="s">
        <v>192</v>
      </c>
      <c r="B35" s="18" t="str" cm="1">
        <f t="array" ref="B35">VLOOKUP(A35,'Player Data'!A1:B673,2,FALSE)</f>
        <v>T.B</v>
      </c>
      <c r="C35" s="52" cm="1">
        <f t="array" ref="C35">((E35)*Settings!$C$12)+(F35*Settings!$C$2)+(G35*Settings!$C$3)+(H35*Settings!$C$4)+(I35*Settings!$C$5)+(K35*Settings!$C$9)+(N35*Settings!$C$6)+(J35*Settings!$C$8)+(O35*Settings!$C$7)+(P35*Settings!$C$14)+(Q35*Settings!$C$15)+(R35*Settings!$C$16)+(S35*Settings!$C$17)+(T35*Settings!$C$18)+(U35*Settings!$C$19)+(L35*Settings!$C$10)+(Settings!$C$11*M35)</f>
        <v>8.5733122429739819</v>
      </c>
      <c r="D35" s="57" cm="1">
        <f t="array" ref="D35">IF(Settings!$E$12="YES",VLOOKUP(A35,'Player Data'!A1:E673,5,FALSE),82)</f>
        <v>82</v>
      </c>
      <c r="E35" s="55" cm="1">
        <f t="array" ref="E35">(VLOOKUP($A35,'The List'!$B1:$AH671,17,FALSE)-AVERAGE('The List'!R2:R671))/STDEV('The List'!R2:R671)</f>
        <v>0.8356615296096005</v>
      </c>
      <c r="F35" s="55" cm="1">
        <f t="array" ref="F35">(VLOOKUP($A35,'The List'!$B1:$AH671,18,FALSE)-AVERAGE('The List'!S2:S671))/STDEV('The List'!S2:S671)</f>
        <v>2.1462407984605192</v>
      </c>
      <c r="G35" s="55" cm="1">
        <f t="array" ref="G35">(VLOOKUP($A35,'The List'!$B1:$AH671,19,FALSE)-AVERAGE('The List'!T2:T671))/STDEV('The List'!T2:T671)</f>
        <v>1.8527561838386071</v>
      </c>
      <c r="H35" s="55" cm="1">
        <f t="array" ref="H35">(VLOOKUP($A35,'The List'!$B1:$AH671,20,FALSE)-AVERAGE('The List'!U2:U671))/STDEV('The List'!U2:U671)</f>
        <v>2.1162730580399871</v>
      </c>
      <c r="I35" s="55" cm="1">
        <f t="array" ref="I35">(VLOOKUP($A35,'The List'!$B1:$AH671,21,FALSE)-AVERAGE('The List'!V2:V671))/STDEV('The List'!V2:V671)</f>
        <v>1.9669286345988513</v>
      </c>
      <c r="J35" s="55" cm="1">
        <f t="array" ref="J35">(VLOOKUP($A35,'The List'!$B1:$AH671,22,FALSE)-AVERAGE('The List'!W2:W671))/STDEV('The List'!W2:W671)</f>
        <v>0.62034960438155984</v>
      </c>
      <c r="K35" s="55" cm="1">
        <f t="array" ref="K35">(VLOOKUP($A35,'The List'!$B1:$AH671,23,FALSE)-AVERAGE('The List'!X2:X671))/STDEV('The List'!X2:X671)</f>
        <v>0.84654315489667742</v>
      </c>
      <c r="L35" s="55" cm="1">
        <f t="array" ref="L35">(VLOOKUP($A35,'The List'!$B1:$AH671,24,FALSE)-AVERAGE('The List'!Y2:Y671))/STDEV('The List'!Y2:Y671)</f>
        <v>2.5308954012809677</v>
      </c>
      <c r="M35" s="55" cm="1">
        <f t="array" ref="M35">(VLOOKUP($A35,'The List'!$B1:$AH671,25,FALSE)-AVERAGE('The List'!Z2:Z671))/STDEV('The List'!Z2:Z671)</f>
        <v>2.0291990752426914</v>
      </c>
      <c r="N35" s="55" cm="1">
        <f t="array" ref="N35">(VLOOKUP($A35,'The List'!$B1:$AH671,26,FALSE)-AVERAGE('The List'!AA2:AA671))/STDEV('The List'!AA2:AA671)</f>
        <v>-0.36635347571062771</v>
      </c>
      <c r="O35" s="55" cm="1">
        <f t="array" ref="O35">(VLOOKUP($A35,'The List'!$B1:$AH671,27,FALSE)-AVERAGE('The List'!AB2:AB671))/STDEV('The List'!AB2:AB671)</f>
        <v>-0.62578233898870572</v>
      </c>
      <c r="P35" s="55" cm="1">
        <f t="array" ref="P35">(VLOOKUP($A35,'The List'!$B1:$AH671,28,FALSE)-AVERAGE('The List'!AC2:AC671))/STDEV('The List'!AC2:AC671)</f>
        <v>2.3866258101680331</v>
      </c>
      <c r="Q35" s="55" cm="1">
        <f t="array" ref="Q35">(VLOOKUP($A35,'The List'!$B1:$AH671,29,FALSE)-AVERAGE('The List'!AD2:AD671))/STDEV('The List'!AD2:AD671)</f>
        <v>1.7459821480227773</v>
      </c>
      <c r="R35" s="55" cm="1">
        <f t="array" ref="R35">(VLOOKUP($A35,'The List'!$B1:$AH671,30,FALSE)-AVERAGE('The List'!AE2:AE671))/STDEV('The List'!AE2:AE671)</f>
        <v>2.2361085465224657</v>
      </c>
      <c r="S35" s="55" cm="1">
        <f t="array" ref="S35">(VLOOKUP($A35,'The List'!$B1:$AH671,31,FALSE)-AVERAGE('The List'!AF2:AF671))/STDEV('The List'!AF2:AF671)</f>
        <v>-0.47754848502002029</v>
      </c>
      <c r="T35" s="55" cm="1">
        <f t="array" ref="T35">(VLOOKUP($A35,'The List'!$B1:$AH671,32,FALSE)-AVERAGE('The List'!AG2:AG671))/STDEV('The List'!AG2:AG671)</f>
        <v>-0.45015868052811603</v>
      </c>
      <c r="U35" s="55" cm="1">
        <f t="array" ref="U35">(VLOOKUP($A35,'The List'!$B1:$AH671,33,FALSE)-AVERAGE('The List'!AH2:AH671))/STDEV('The List'!AH2:AH671)</f>
        <v>0.53870709061410371</v>
      </c>
      <c r="V35" s="55"/>
      <c r="W35" s="77"/>
      <c r="X35" s="57"/>
      <c r="Y35" s="57"/>
      <c r="Z35" s="57"/>
      <c r="AA35" s="57"/>
      <c r="AB35" s="57"/>
      <c r="AC35" s="60"/>
      <c r="AD35" s="61"/>
      <c r="AE35" s="55"/>
    </row>
    <row r="36" spans="1:31" ht="21.25" customHeight="1" x14ac:dyDescent="0.15">
      <c r="A36" s="10" t="s">
        <v>189</v>
      </c>
      <c r="B36" s="18" t="str" cm="1">
        <f t="array" ref="B36">VLOOKUP(A36,'Player Data'!A1:B673,2,FALSE)</f>
        <v>T.B</v>
      </c>
      <c r="C36" s="52" cm="1">
        <f t="array" ref="C36">((E36)*Settings!$C$12)+(F36*Settings!$C$2)+(G36*Settings!$C$3)+(H36*Settings!$C$4)+(I36*Settings!$C$5)+(K36*Settings!$C$9)+(N36*Settings!$C$6)+(J36*Settings!$C$8)+(O36*Settings!$C$7)+(P36*Settings!$C$14)+(Q36*Settings!$C$15)+(R36*Settings!$C$16)+(S36*Settings!$C$17)+(T36*Settings!$C$18)+(U36*Settings!$C$19)+(L36*Settings!$C$10)+(Settings!$C$11*M36)</f>
        <v>8.4293905540180667</v>
      </c>
      <c r="D36" s="57" cm="1">
        <f t="array" ref="D36">IF(Settings!$E$12="YES",VLOOKUP(A36,'Player Data'!A1:E673,5,FALSE),82)</f>
        <v>82</v>
      </c>
      <c r="E36" s="55" cm="1">
        <f t="array" ref="E36">(VLOOKUP($A36,'The List'!$B1:$AH671,17,FALSE)-AVERAGE('The List'!R2:R671))/STDEV('The List'!R2:R671)</f>
        <v>0.57334042785180894</v>
      </c>
      <c r="F36" s="55" cm="1">
        <f t="array" ref="F36">(VLOOKUP($A36,'The List'!$B1:$AH671,18,FALSE)-AVERAGE('The List'!S2:S671))/STDEV('The List'!S2:S671)</f>
        <v>2.0644097758642039</v>
      </c>
      <c r="G36" s="55" cm="1">
        <f t="array" ref="G36">(VLOOKUP($A36,'The List'!$B1:$AH671,19,FALSE)-AVERAGE('The List'!T2:T671))/STDEV('The List'!T2:T671)</f>
        <v>1.5646349428389326</v>
      </c>
      <c r="H36" s="55" cm="1">
        <f t="array" ref="H36">(VLOOKUP($A36,'The List'!$B1:$AH671,20,FALSE)-AVERAGE('The List'!U2:U671))/STDEV('The List'!U2:U671)</f>
        <v>1.8987735792609948</v>
      </c>
      <c r="I36" s="55" cm="1">
        <f t="array" ref="I36">(VLOOKUP($A36,'The List'!$B1:$AH671,21,FALSE)-AVERAGE('The List'!V2:V671))/STDEV('The List'!V2:V671)</f>
        <v>1.5985775001499805</v>
      </c>
      <c r="J36" s="55" cm="1">
        <f t="array" ref="J36">(VLOOKUP($A36,'The List'!$B1:$AH671,22,FALSE)-AVERAGE('The List'!W2:W671))/STDEV('The List'!W2:W671)</f>
        <v>1.9792382926241723</v>
      </c>
      <c r="K36" s="55" cm="1">
        <f t="array" ref="K36">(VLOOKUP($A36,'The List'!$B1:$AH671,23,FALSE)-AVERAGE('The List'!X2:X671))/STDEV('The List'!X2:X671)</f>
        <v>2.0826152725755107</v>
      </c>
      <c r="L36" s="55" cm="1">
        <f t="array" ref="L36">(VLOOKUP($A36,'The List'!$B1:$AH671,24,FALSE)-AVERAGE('The List'!Y2:Y671))/STDEV('The List'!Y2:Y671)</f>
        <v>-0.47546929358800777</v>
      </c>
      <c r="M36" s="55" cm="1">
        <f t="array" ref="M36">(VLOOKUP($A36,'The List'!$B1:$AH671,25,FALSE)-AVERAGE('The List'!Z2:Z671))/STDEV('The List'!Z2:Z671)</f>
        <v>-0.64388478613809508</v>
      </c>
      <c r="N36" s="55" cm="1">
        <f t="array" ref="N36">(VLOOKUP($A36,'The List'!$B1:$AH671,26,FALSE)-AVERAGE('The List'!AA2:AA671))/STDEV('The List'!AA2:AA671)</f>
        <v>-0.61767653213302287</v>
      </c>
      <c r="O36" s="55" cm="1">
        <f t="array" ref="O36">(VLOOKUP($A36,'The List'!$B1:$AH671,27,FALSE)-AVERAGE('The List'!AB2:AB671))/STDEV('The List'!AB2:AB671)</f>
        <v>-0.91153482904050254</v>
      </c>
      <c r="P36" s="55" cm="1">
        <f t="array" ref="P36">(VLOOKUP($A36,'The List'!$B1:$AH671,28,FALSE)-AVERAGE('The List'!AC2:AC671))/STDEV('The List'!AC2:AC671)</f>
        <v>2.0306878916299405</v>
      </c>
      <c r="Q36" s="55" cm="1">
        <f t="array" ref="Q36">(VLOOKUP($A36,'The List'!$B1:$AH671,29,FALSE)-AVERAGE('The List'!AD2:AD671))/STDEV('The List'!AD2:AD671)</f>
        <v>-1.0988779830473833E-2</v>
      </c>
      <c r="R36" s="55" cm="1">
        <f t="array" ref="R36">(VLOOKUP($A36,'The List'!$B1:$AH671,30,FALSE)-AVERAGE('The List'!AE2:AE671))/STDEV('The List'!AE2:AE671)</f>
        <v>2.2361085465224657</v>
      </c>
      <c r="S36" s="55" cm="1">
        <f t="array" ref="S36">(VLOOKUP($A36,'The List'!$B1:$AH671,31,FALSE)-AVERAGE('The List'!AF2:AF671))/STDEV('The List'!AF2:AF671)</f>
        <v>0.14534028446989852</v>
      </c>
      <c r="T36" s="55" cm="1">
        <f t="array" ref="T36">(VLOOKUP($A36,'The List'!$B1:$AH671,32,FALSE)-AVERAGE('The List'!AG2:AG671))/STDEV('The List'!AG2:AG671)</f>
        <v>0.41190341155906152</v>
      </c>
      <c r="U36" s="55" cm="1">
        <f t="array" ref="U36">(VLOOKUP($A36,'The List'!$B1:$AH671,33,FALSE)-AVERAGE('The List'!AH2:AH671))/STDEV('The List'!AH2:AH671)</f>
        <v>0.72270398897236576</v>
      </c>
      <c r="V36" s="55"/>
      <c r="W36" s="77"/>
      <c r="X36" s="57"/>
      <c r="Y36" s="57"/>
      <c r="Z36" s="57"/>
      <c r="AA36" s="57"/>
      <c r="AB36" s="57"/>
      <c r="AC36" s="60"/>
      <c r="AD36" s="61"/>
      <c r="AE36" s="55"/>
    </row>
    <row r="37" spans="1:31" ht="21.25" customHeight="1" x14ac:dyDescent="0.15">
      <c r="A37" s="10" t="s">
        <v>194</v>
      </c>
      <c r="B37" s="18" t="str" cm="1">
        <f t="array" ref="B37">VLOOKUP(A37,'Player Data'!A1:B673,2,FALSE)</f>
        <v>CAR</v>
      </c>
      <c r="C37" s="52" cm="1">
        <f t="array" ref="C37">((E37)*Settings!$C$12)+(F37*Settings!$C$2)+(G37*Settings!$C$3)+(H37*Settings!$C$4)+(I37*Settings!$C$5)+(K37*Settings!$C$9)+(N37*Settings!$C$6)+(J37*Settings!$C$8)+(O37*Settings!$C$7)+(P37*Settings!$C$14)+(Q37*Settings!$C$15)+(R37*Settings!$C$16)+(S37*Settings!$C$17)+(T37*Settings!$C$18)+(U37*Settings!$C$19)+(L37*Settings!$C$10)+(Settings!$C$11*M37)</f>
        <v>7.7126021183076503</v>
      </c>
      <c r="D37" s="57" cm="1">
        <f t="array" ref="D37">IF(Settings!$E$12="YES",VLOOKUP(A37,'Player Data'!A1:E673,5,FALSE),82)</f>
        <v>83</v>
      </c>
      <c r="E37" s="55" cm="1">
        <f t="array" ref="E37">(VLOOKUP($A37,'The List'!$B1:$AH671,17,FALSE)-AVERAGE('The List'!R2:R671))/STDEV('The List'!R2:R671)</f>
        <v>0.70450097873070472</v>
      </c>
      <c r="F37" s="55" cm="1">
        <f t="array" ref="F37">(VLOOKUP($A37,'The List'!$B1:$AH671,18,FALSE)-AVERAGE('The List'!S2:S671))/STDEV('The List'!S2:S671)</f>
        <v>1.6093494550846965</v>
      </c>
      <c r="G37" s="55" cm="1">
        <f t="array" ref="G37">(VLOOKUP($A37,'The List'!$B1:$AH671,19,FALSE)-AVERAGE('The List'!T2:T671))/STDEV('The List'!T2:T671)</f>
        <v>1.8956230026214855</v>
      </c>
      <c r="H37" s="55" cm="1">
        <f t="array" ref="H37">(VLOOKUP($A37,'The List'!$B1:$AH671,20,FALSE)-AVERAGE('The List'!U2:U671))/STDEV('The List'!U2:U671)</f>
        <v>1.9054046609310855</v>
      </c>
      <c r="I37" s="55" cm="1">
        <f t="array" ref="I37">(VLOOKUP($A37,'The List'!$B1:$AH671,21,FALSE)-AVERAGE('The List'!V2:V671))/STDEV('The List'!V2:V671)</f>
        <v>1.4152657958112129</v>
      </c>
      <c r="J37" s="55" cm="1">
        <f t="array" ref="J37">(VLOOKUP($A37,'The List'!$B1:$AH671,22,FALSE)-AVERAGE('The List'!W2:W671))/STDEV('The List'!W2:W671)</f>
        <v>1.3246516684097434</v>
      </c>
      <c r="K37" s="55" cm="1">
        <f t="array" ref="K37">(VLOOKUP($A37,'The List'!$B1:$AH671,23,FALSE)-AVERAGE('The List'!X2:X671))/STDEV('The List'!X2:X671)</f>
        <v>1.7007393337804235</v>
      </c>
      <c r="L37" s="55" cm="1">
        <f t="array" ref="L37">(VLOOKUP($A37,'The List'!$B1:$AH671,24,FALSE)-AVERAGE('The List'!Y2:Y671))/STDEV('The List'!Y2:Y671)</f>
        <v>2.5675583853647357</v>
      </c>
      <c r="M37" s="55" cm="1">
        <f t="array" ref="M37">(VLOOKUP($A37,'The List'!$B1:$AH671,25,FALSE)-AVERAGE('The List'!Z2:Z671))/STDEV('The List'!Z2:Z671)</f>
        <v>4.7674801039742283</v>
      </c>
      <c r="N37" s="55" cm="1">
        <f t="array" ref="N37">(VLOOKUP($A37,'The List'!$B1:$AH671,26,FALSE)-AVERAGE('The List'!AA2:AA671))/STDEV('The List'!AA2:AA671)</f>
        <v>-0.90220283787951494</v>
      </c>
      <c r="O37" s="55" cm="1">
        <f t="array" ref="O37">(VLOOKUP($A37,'The List'!$B1:$AH671,27,FALSE)-AVERAGE('The List'!AB2:AB671))/STDEV('The List'!AB2:AB671)</f>
        <v>-0.42468966126932794</v>
      </c>
      <c r="P37" s="55" cm="1">
        <f t="array" ref="P37">(VLOOKUP($A37,'The List'!$B1:$AH671,28,FALSE)-AVERAGE('The List'!AC2:AC671))/STDEV('The List'!AC2:AC671)</f>
        <v>1.5163141922791601</v>
      </c>
      <c r="Q37" s="55" cm="1">
        <f t="array" ref="Q37">(VLOOKUP($A37,'The List'!$B1:$AH671,29,FALSE)-AVERAGE('The List'!AD2:AD671))/STDEV('The List'!AD2:AD671)</f>
        <v>0.63106661811085296</v>
      </c>
      <c r="R37" s="55" cm="1">
        <f t="array" ref="R37">(VLOOKUP($A37,'The List'!$B1:$AH671,30,FALSE)-AVERAGE('The List'!AE2:AE671))/STDEV('The List'!AE2:AE671)</f>
        <v>1.7620213832821263</v>
      </c>
      <c r="S37" s="55" cm="1">
        <f t="array" ref="S37">(VLOOKUP($A37,'The List'!$B1:$AH671,31,FALSE)-AVERAGE('The List'!AF2:AF671))/STDEV('The List'!AF2:AF671)</f>
        <v>2.5007406082465344</v>
      </c>
      <c r="T37" s="55" cm="1">
        <f t="array" ref="T37">(VLOOKUP($A37,'The List'!$B1:$AH671,32,FALSE)-AVERAGE('The List'!AG2:AG671))/STDEV('The List'!AG2:AG671)</f>
        <v>2.2673884662657633</v>
      </c>
      <c r="U37" s="55" cm="1">
        <f t="array" ref="U37">(VLOOKUP($A37,'The List'!$B1:$AH671,33,FALSE)-AVERAGE('The List'!AH2:AH671))/STDEV('The List'!AH2:AH671)</f>
        <v>1.1826962348680212</v>
      </c>
      <c r="V37" s="55"/>
      <c r="W37" s="57"/>
      <c r="X37" s="55"/>
      <c r="Y37" s="55"/>
      <c r="Z37" s="55"/>
      <c r="AA37" s="55"/>
      <c r="AB37" s="55"/>
      <c r="AC37" s="55"/>
      <c r="AD37" s="55"/>
      <c r="AE37" s="55"/>
    </row>
    <row r="38" spans="1:31" ht="21.25" customHeight="1" x14ac:dyDescent="0.15">
      <c r="A38" s="10" t="s">
        <v>190</v>
      </c>
      <c r="B38" s="18" t="str" cm="1">
        <f t="array" ref="B38">VLOOKUP(A38,'Player Data'!A1:B673,2,FALSE)</f>
        <v>DET</v>
      </c>
      <c r="C38" s="52" cm="1">
        <f t="array" ref="C38">((E38)*Settings!$C$12)+(F38*Settings!$C$2)+(G38*Settings!$C$3)+(H38*Settings!$C$4)+(I38*Settings!$C$5)+(K38*Settings!$C$9)+(N38*Settings!$C$6)+(J38*Settings!$C$8)+(O38*Settings!$C$7)+(P38*Settings!$C$14)+(Q38*Settings!$C$15)+(R38*Settings!$C$16)+(S38*Settings!$C$17)+(T38*Settings!$C$18)+(U38*Settings!$C$19)+(L38*Settings!$C$10)+(Settings!$C$11*M38)</f>
        <v>6.1616765000049849</v>
      </c>
      <c r="D38" s="57" cm="1">
        <f t="array" ref="D38">IF(Settings!$E$12="YES",VLOOKUP(A38,'Player Data'!A1:E673,5,FALSE),82)</f>
        <v>84</v>
      </c>
      <c r="E38" s="55" cm="1">
        <f t="array" ref="E38">(VLOOKUP($A38,'The List'!$B1:$AH671,17,FALSE)-AVERAGE('The List'!R2:R671))/STDEV('The List'!R2:R671)</f>
        <v>0.52087620750025077</v>
      </c>
      <c r="F38" s="55" cm="1">
        <f t="array" ref="F38">(VLOOKUP($A38,'The List'!$B1:$AH671,18,FALSE)-AVERAGE('The List'!S2:S671))/STDEV('The List'!S2:S671)</f>
        <v>1.6201271995242117</v>
      </c>
      <c r="G38" s="55" cm="1">
        <f t="array" ref="G38">(VLOOKUP($A38,'The List'!$B1:$AH671,19,FALSE)-AVERAGE('The List'!T2:T671))/STDEV('The List'!T2:T671)</f>
        <v>2.242492867395729</v>
      </c>
      <c r="H38" s="55" cm="1">
        <f t="array" ref="H38">(VLOOKUP($A38,'The List'!$B1:$AH671,20,FALSE)-AVERAGE('The List'!U2:U671))/STDEV('The List'!U2:U671)</f>
        <v>2.1283858338906869</v>
      </c>
      <c r="I38" s="55" cm="1">
        <f t="array" ref="I38">(VLOOKUP($A38,'The List'!$B1:$AH671,21,FALSE)-AVERAGE('The List'!V2:V671))/STDEV('The List'!V2:V671)</f>
        <v>1.1331800091251574</v>
      </c>
      <c r="J38" s="55" cm="1">
        <f t="array" ref="J38">(VLOOKUP($A38,'The List'!$B1:$AH671,22,FALSE)-AVERAGE('The List'!W2:W671))/STDEV('The List'!W2:W671)</f>
        <v>1.4539118119255041</v>
      </c>
      <c r="K38" s="55" cm="1">
        <f t="array" ref="K38">(VLOOKUP($A38,'The List'!$B1:$AH671,23,FALSE)-AVERAGE('The List'!X2:X671))/STDEV('The List'!X2:X671)</f>
        <v>2.3893219476288277</v>
      </c>
      <c r="L38" s="55" cm="1">
        <f t="array" ref="L38">(VLOOKUP($A38,'The List'!$B1:$AH671,24,FALSE)-AVERAGE('The List'!Y2:Y671))/STDEV('The List'!Y2:Y671)</f>
        <v>-0.47546929358800777</v>
      </c>
      <c r="M38" s="55" cm="1">
        <f t="array" ref="M38">(VLOOKUP($A38,'The List'!$B1:$AH671,25,FALSE)-AVERAGE('The List'!Z2:Z671))/STDEV('The List'!Z2:Z671)</f>
        <v>-0.64388478613809508</v>
      </c>
      <c r="N38" s="55" cm="1">
        <f t="array" ref="N38">(VLOOKUP($A38,'The List'!$B1:$AH671,26,FALSE)-AVERAGE('The List'!AA2:AA671))/STDEV('The List'!AA2:AA671)</f>
        <v>-0.78624687485536116</v>
      </c>
      <c r="O38" s="55" cm="1">
        <f t="array" ref="O38">(VLOOKUP($A38,'The List'!$B1:$AH671,27,FALSE)-AVERAGE('The List'!AB2:AB671))/STDEV('The List'!AB2:AB671)</f>
        <v>-0.73565560632569515</v>
      </c>
      <c r="P38" s="55" cm="1">
        <f t="array" ref="P38">(VLOOKUP($A38,'The List'!$B1:$AH671,28,FALSE)-AVERAGE('The List'!AC2:AC671))/STDEV('The List'!AC2:AC671)</f>
        <v>-0.48778991734324639</v>
      </c>
      <c r="Q38" s="55" cm="1">
        <f t="array" ref="Q38">(VLOOKUP($A38,'The List'!$B1:$AH671,29,FALSE)-AVERAGE('The List'!AD2:AD671))/STDEV('The List'!AD2:AD671)</f>
        <v>-0.38779919749454367</v>
      </c>
      <c r="R38" s="55" cm="1">
        <f t="array" ref="R38">(VLOOKUP($A38,'The List'!$B1:$AH671,30,FALSE)-AVERAGE('The List'!AE2:AE671))/STDEV('The List'!AE2:AE671)</f>
        <v>1.4064560108518727</v>
      </c>
      <c r="S38" s="55" cm="1">
        <f t="array" ref="S38">(VLOOKUP($A38,'The List'!$B1:$AH671,31,FALSE)-AVERAGE('The List'!AF2:AF671))/STDEV('The List'!AF2:AF671)</f>
        <v>-0.58774152760036091</v>
      </c>
      <c r="T38" s="55" cm="1">
        <f t="array" ref="T38">(VLOOKUP($A38,'The List'!$B1:$AH671,32,FALSE)-AVERAGE('The List'!AG2:AG671))/STDEV('The List'!AG2:AG671)</f>
        <v>-0.63826908021041162</v>
      </c>
      <c r="U38" s="55" cm="1">
        <f t="array" ref="U38">(VLOOKUP($A38,'The List'!$B1:$AH671,33,FALSE)-AVERAGE('The List'!AH2:AH671))/STDEV('The List'!AH2:AH671)</f>
        <v>1.2746946840471525</v>
      </c>
      <c r="V38" s="55"/>
      <c r="W38" s="77"/>
      <c r="X38" s="57"/>
      <c r="Y38" s="57"/>
      <c r="Z38" s="57"/>
      <c r="AA38" s="57"/>
      <c r="AB38" s="57"/>
      <c r="AC38" s="60"/>
      <c r="AD38" s="61"/>
      <c r="AE38" s="55"/>
    </row>
    <row r="39" spans="1:31" ht="21.25" customHeight="1" x14ac:dyDescent="0.15">
      <c r="A39" s="10" t="s">
        <v>169</v>
      </c>
      <c r="B39" s="18" t="str" cm="1">
        <f t="array" ref="B39">VLOOKUP(A39,'Player Data'!A1:B673,2,FALSE)</f>
        <v>BUF</v>
      </c>
      <c r="C39" s="52" cm="1">
        <f t="array" ref="C39">((E39)*Settings!$C$12)+(F39*Settings!$C$2)+(G39*Settings!$C$3)+(H39*Settings!$C$4)+(I39*Settings!$C$5)+(K39*Settings!$C$9)+(N39*Settings!$C$6)+(J39*Settings!$C$8)+(O39*Settings!$C$7)+(P39*Settings!$C$14)+(Q39*Settings!$C$15)+(R39*Settings!$C$16)+(S39*Settings!$C$17)+(T39*Settings!$C$18)+(U39*Settings!$C$19)+(L39*Settings!$C$10)+(Settings!$C$11*M39)</f>
        <v>8.0469109376480308</v>
      </c>
      <c r="D39" s="57" cm="1">
        <f t="array" ref="D39">IF(Settings!$E$12="YES",VLOOKUP(A39,'Player Data'!A1:E673,5,FALSE),82)</f>
        <v>82</v>
      </c>
      <c r="E39" s="55" cm="1">
        <f t="array" ref="E39">(VLOOKUP($A39,'The List'!$B1:$AH671,17,FALSE)-AVERAGE('The List'!R2:R671))/STDEV('The List'!R2:R671)</f>
        <v>0.59957253802758848</v>
      </c>
      <c r="F39" s="55" cm="1">
        <f t="array" ref="F39">(VLOOKUP($A39,'The List'!$B1:$AH671,18,FALSE)-AVERAGE('The List'!S2:S671))/STDEV('The List'!S2:S671)</f>
        <v>2.6372269340384089</v>
      </c>
      <c r="G39" s="55" cm="1">
        <f t="array" ref="G39">(VLOOKUP($A39,'The List'!$B1:$AH671,19,FALSE)-AVERAGE('The List'!T2:T671))/STDEV('The List'!T2:T671)</f>
        <v>1.0460167090395172</v>
      </c>
      <c r="H39" s="55" cm="1">
        <f t="array" ref="H39">(VLOOKUP($A39,'The List'!$B1:$AH671,20,FALSE)-AVERAGE('The List'!U2:U671))/STDEV('The List'!U2:U671)</f>
        <v>1.8262737530013307</v>
      </c>
      <c r="I39" s="55" cm="1">
        <f t="array" ref="I39">(VLOOKUP($A39,'The List'!$B1:$AH671,21,FALSE)-AVERAGE('The List'!V2:V671))/STDEV('The List'!V2:V671)</f>
        <v>2.5336226875971133</v>
      </c>
      <c r="J39" s="55" cm="1">
        <f t="array" ref="J39">(VLOOKUP($A39,'The List'!$B1:$AH671,22,FALSE)-AVERAGE('The List'!W2:W671))/STDEV('The List'!W2:W671)</f>
        <v>1.5262753965433018</v>
      </c>
      <c r="K39" s="55" cm="1">
        <f t="array" ref="K39">(VLOOKUP($A39,'The List'!$B1:$AH671,23,FALSE)-AVERAGE('The List'!X2:X671))/STDEV('The List'!X2:X671)</f>
        <v>1.5057816176587218</v>
      </c>
      <c r="L39" s="55" cm="1">
        <f t="array" ref="L39">(VLOOKUP($A39,'The List'!$B1:$AH671,24,FALSE)-AVERAGE('The List'!Y2:Y671))/STDEV('The List'!Y2:Y671)</f>
        <v>-0.47546929358800777</v>
      </c>
      <c r="M39" s="55" cm="1">
        <f t="array" ref="M39">(VLOOKUP($A39,'The List'!$B1:$AH671,25,FALSE)-AVERAGE('The List'!Z2:Z671))/STDEV('The List'!Z2:Z671)</f>
        <v>-0.64388478613809508</v>
      </c>
      <c r="N39" s="55" cm="1">
        <f t="array" ref="N39">(VLOOKUP($A39,'The List'!$B1:$AH671,26,FALSE)-AVERAGE('The List'!AA2:AA671))/STDEV('The List'!AA2:AA671)</f>
        <v>-0.51295859195702476</v>
      </c>
      <c r="O39" s="55" cm="1">
        <f t="array" ref="O39">(VLOOKUP($A39,'The List'!$B1:$AH671,27,FALSE)-AVERAGE('The List'!AB2:AB671))/STDEV('The List'!AB2:AB671)</f>
        <v>-0.1047042688942532</v>
      </c>
      <c r="P39" s="55" cm="1">
        <f t="array" ref="P39">(VLOOKUP($A39,'The List'!$B1:$AH671,28,FALSE)-AVERAGE('The List'!AC2:AC671))/STDEV('The List'!AC2:AC671)</f>
        <v>0.42896725820852377</v>
      </c>
      <c r="Q39" s="55" cm="1">
        <f t="array" ref="Q39">(VLOOKUP($A39,'The List'!$B1:$AH671,29,FALSE)-AVERAGE('The List'!AD2:AD671))/STDEV('The List'!AD2:AD671)</f>
        <v>0.23135203780445712</v>
      </c>
      <c r="R39" s="55" cm="1">
        <f t="array" ref="R39">(VLOOKUP($A39,'The List'!$B1:$AH671,30,FALSE)-AVERAGE('The List'!AE2:AE671))/STDEV('The List'!AE2:AE671)</f>
        <v>2.2361085465224657</v>
      </c>
      <c r="S39" s="55" cm="1">
        <f t="array" ref="S39">(VLOOKUP($A39,'The List'!$B1:$AH671,31,FALSE)-AVERAGE('The List'!AF2:AF671))/STDEV('The List'!AF2:AF671)</f>
        <v>1.253136134005767</v>
      </c>
      <c r="T39" s="55" cm="1">
        <f t="array" ref="T39">(VLOOKUP($A39,'The List'!$B1:$AH671,32,FALSE)-AVERAGE('The List'!AG2:AG671))/STDEV('The List'!AG2:AG671)</f>
        <v>1.8514634099959018</v>
      </c>
      <c r="U39" s="55" cm="1">
        <f t="array" ref="U39">(VLOOKUP($A39,'The List'!$B1:$AH671,33,FALSE)-AVERAGE('The List'!AH2:AH671))/STDEV('The List'!AH2:AH671)</f>
        <v>0.76870321356193128</v>
      </c>
      <c r="V39" s="55"/>
      <c r="W39" s="77"/>
      <c r="X39" s="57"/>
      <c r="Y39" s="57"/>
      <c r="Z39" s="57"/>
      <c r="AA39" s="57"/>
      <c r="AB39" s="57"/>
      <c r="AC39" s="60"/>
      <c r="AD39" s="61"/>
      <c r="AE39" s="55"/>
    </row>
    <row r="40" spans="1:31" ht="21.25" customHeight="1" x14ac:dyDescent="0.15">
      <c r="A40" s="10" t="s">
        <v>198</v>
      </c>
      <c r="B40" s="18" t="str" cm="1">
        <f t="array" ref="B40">VLOOKUP(A40,'Player Data'!A1:B673,2,FALSE)</f>
        <v>FLA</v>
      </c>
      <c r="C40" s="52" cm="1">
        <f t="array" ref="C40">((E40)*Settings!$C$12)+(F40*Settings!$C$2)+(G40*Settings!$C$3)+(H40*Settings!$C$4)+(I40*Settings!$C$5)+(K40*Settings!$C$9)+(N40*Settings!$C$6)+(J40*Settings!$C$8)+(O40*Settings!$C$7)+(P40*Settings!$C$14)+(Q40*Settings!$C$15)+(R40*Settings!$C$16)+(S40*Settings!$C$17)+(T40*Settings!$C$18)+(U40*Settings!$C$19)+(L40*Settings!$C$10)+(Settings!$C$11*M40)</f>
        <v>7.7014084091085007</v>
      </c>
      <c r="D40" s="57" cm="1">
        <f t="array" ref="D40">IF(Settings!$E$12="YES",VLOOKUP(A40,'Player Data'!A1:E673,5,FALSE),82)</f>
        <v>80</v>
      </c>
      <c r="E40" s="55" cm="1">
        <f t="array" ref="E40">(VLOOKUP($A40,'The List'!$B1:$AH671,17,FALSE)-AVERAGE('The List'!R2:R671))/STDEV('The List'!R2:R671)</f>
        <v>0.88812574996115867</v>
      </c>
      <c r="F40" s="55" cm="1">
        <f t="array" ref="F40">(VLOOKUP($A40,'The List'!$B1:$AH671,18,FALSE)-AVERAGE('The List'!S2:S671))/STDEV('The List'!S2:S671)</f>
        <v>2.459593738646408</v>
      </c>
      <c r="G40" s="55" cm="1">
        <f t="array" ref="G40">(VLOOKUP($A40,'The List'!$B1:$AH671,19,FALSE)-AVERAGE('The List'!T2:T671))/STDEV('The List'!T2:T671)</f>
        <v>1.0923972014931238</v>
      </c>
      <c r="H40" s="55" cm="1">
        <f t="array" ref="H40">(VLOOKUP($A40,'The List'!$B1:$AH671,20,FALSE)-AVERAGE('The List'!U2:U671))/STDEV('The List'!U2:U671)</f>
        <v>1.7767616765313161</v>
      </c>
      <c r="I40" s="55" cm="1">
        <f t="array" ref="I40">(VLOOKUP($A40,'The List'!$B1:$AH671,21,FALSE)-AVERAGE('The List'!V2:V671))/STDEV('The List'!V2:V671)</f>
        <v>1.3128116575709783</v>
      </c>
      <c r="J40" s="55" cm="1">
        <f t="array" ref="J40">(VLOOKUP($A40,'The List'!$B1:$AH671,22,FALSE)-AVERAGE('The List'!W2:W671))/STDEV('The List'!W2:W671)</f>
        <v>3.2386961012392765</v>
      </c>
      <c r="K40" s="55" cm="1">
        <f t="array" ref="K40">(VLOOKUP($A40,'The List'!$B1:$AH671,23,FALSE)-AVERAGE('The List'!X2:X671))/STDEV('The List'!X2:X671)</f>
        <v>2.0122697049027312</v>
      </c>
      <c r="L40" s="55" cm="1">
        <f t="array" ref="L40">(VLOOKUP($A40,'The List'!$B1:$AH671,24,FALSE)-AVERAGE('The List'!Y2:Y671))/STDEV('The List'!Y2:Y671)</f>
        <v>5.3906081598148701</v>
      </c>
      <c r="M40" s="55" cm="1">
        <f t="array" ref="M40">(VLOOKUP($A40,'The List'!$B1:$AH671,25,FALSE)-AVERAGE('The List'!Z2:Z671))/STDEV('The List'!Z2:Z671)</f>
        <v>3.7025930372452973</v>
      </c>
      <c r="N40" s="55" cm="1">
        <f t="array" ref="N40">(VLOOKUP($A40,'The List'!$B1:$AH671,26,FALSE)-AVERAGE('The List'!AA2:AA671))/STDEV('The List'!AA2:AA671)</f>
        <v>-0.2948387848587265</v>
      </c>
      <c r="O40" s="55" cm="1">
        <f t="array" ref="O40">(VLOOKUP($A40,'The List'!$B1:$AH671,27,FALSE)-AVERAGE('The List'!AB2:AB671))/STDEV('The List'!AB2:AB671)</f>
        <v>-0.11249379157859189</v>
      </c>
      <c r="P40" s="55" cm="1">
        <f t="array" ref="P40">(VLOOKUP($A40,'The List'!$B1:$AH671,28,FALSE)-AVERAGE('The List'!AC2:AC671))/STDEV('The List'!AC2:AC671)</f>
        <v>0.93682989807385086</v>
      </c>
      <c r="Q40" s="55" cm="1">
        <f t="array" ref="Q40">(VLOOKUP($A40,'The List'!$B1:$AH671,29,FALSE)-AVERAGE('The List'!AD2:AD671))/STDEV('The List'!AD2:AD671)</f>
        <v>-0.71880128987396164</v>
      </c>
      <c r="R40" s="55" cm="1">
        <f t="array" ref="R40">(VLOOKUP($A40,'The List'!$B1:$AH671,30,FALSE)-AVERAGE('The List'!AE2:AE671))/STDEV('The List'!AE2:AE671)</f>
        <v>2.6478158198627599</v>
      </c>
      <c r="S40" s="55" cm="1">
        <f t="array" ref="S40">(VLOOKUP($A40,'The List'!$B1:$AH671,31,FALSE)-AVERAGE('The List'!AF2:AF671))/STDEV('The List'!AF2:AF671)</f>
        <v>-3.4276298025805139E-2</v>
      </c>
      <c r="T40" s="55" cm="1">
        <f t="array" ref="T40">(VLOOKUP($A40,'The List'!$B1:$AH671,32,FALSE)-AVERAGE('The List'!AG2:AG671))/STDEV('The List'!AG2:AG671)</f>
        <v>0.21868963695320959</v>
      </c>
      <c r="U40" s="55" cm="1">
        <f t="array" ref="U40">(VLOOKUP($A40,'The List'!$B1:$AH671,33,FALSE)-AVERAGE('The List'!AH2:AH671))/STDEV('The List'!AH2:AH671)</f>
        <v>0.63070553979323463</v>
      </c>
      <c r="V40" s="55"/>
      <c r="W40" s="77"/>
      <c r="X40" s="57"/>
      <c r="Y40" s="57"/>
      <c r="Z40" s="57"/>
      <c r="AA40" s="57"/>
      <c r="AB40" s="57"/>
      <c r="AC40" s="60"/>
      <c r="AD40" s="61"/>
      <c r="AE40" s="55"/>
    </row>
    <row r="41" spans="1:31" ht="21.25" customHeight="1" x14ac:dyDescent="0.15">
      <c r="A41" s="10" t="s">
        <v>207</v>
      </c>
      <c r="B41" s="18" t="str" cm="1">
        <f t="array" ref="B41">VLOOKUP(A41,'Player Data'!A1:B673,2,FALSE)</f>
        <v>N.J</v>
      </c>
      <c r="C41" s="52" cm="1">
        <f t="array" ref="C41">((E41)*Settings!$C$12)+(F41*Settings!$C$2)+(G41*Settings!$C$3)+(H41*Settings!$C$4)+(I41*Settings!$C$5)+(K41*Settings!$C$9)+(N41*Settings!$C$6)+(J41*Settings!$C$8)+(O41*Settings!$C$7)+(P41*Settings!$C$14)+(Q41*Settings!$C$15)+(R41*Settings!$C$16)+(S41*Settings!$C$17)+(T41*Settings!$C$18)+(U41*Settings!$C$19)+(L41*Settings!$C$10)+(Settings!$C$11*M41)</f>
        <v>6.7986408508846496</v>
      </c>
      <c r="D41" s="57" cm="1">
        <f t="array" ref="D41">IF(Settings!$E$12="YES",VLOOKUP(A41,'Player Data'!A1:E673,5,FALSE),82)</f>
        <v>84</v>
      </c>
      <c r="E41" s="55" cm="1">
        <f t="array" ref="E41">(VLOOKUP($A41,'The List'!$B1:$AH671,17,FALSE)-AVERAGE('The List'!R2:R671))/STDEV('The List'!R2:R671)</f>
        <v>0.57334042785180894</v>
      </c>
      <c r="F41" s="55" cm="1">
        <f t="array" ref="F41">(VLOOKUP($A41,'The List'!$B1:$AH671,18,FALSE)-AVERAGE('The List'!S2:S671))/STDEV('The List'!S2:S671)</f>
        <v>0.97466006031327856</v>
      </c>
      <c r="G41" s="55" cm="1">
        <f t="array" ref="G41">(VLOOKUP($A41,'The List'!$B1:$AH671,19,FALSE)-AVERAGE('The List'!T2:T671))/STDEV('The List'!T2:T671)</f>
        <v>2.3516978450819472</v>
      </c>
      <c r="H41" s="55" cm="1">
        <f t="array" ref="H41">(VLOOKUP($A41,'The List'!$B1:$AH671,20,FALSE)-AVERAGE('The List'!U2:U671))/STDEV('The List'!U2:U671)</f>
        <v>1.911151598378499</v>
      </c>
      <c r="I41" s="55" cm="1">
        <f t="array" ref="I41">(VLOOKUP($A41,'The List'!$B1:$AH671,21,FALSE)-AVERAGE('The List'!V2:V671))/STDEV('The List'!V2:V671)</f>
        <v>1.2119124725249466</v>
      </c>
      <c r="J41" s="55" cm="1">
        <f t="array" ref="J41">(VLOOKUP($A41,'The List'!$B1:$AH671,22,FALSE)-AVERAGE('The List'!W2:W671))/STDEV('The List'!W2:W671)</f>
        <v>0.88549861672158203</v>
      </c>
      <c r="K41" s="55" cm="1">
        <f t="array" ref="K41">(VLOOKUP($A41,'The List'!$B1:$AH671,23,FALSE)-AVERAGE('The List'!X2:X671))/STDEV('The List'!X2:X671)</f>
        <v>1.8997167966262849</v>
      </c>
      <c r="L41" s="55" cm="1">
        <f t="array" ref="L41">(VLOOKUP($A41,'The List'!$B1:$AH671,24,FALSE)-AVERAGE('The List'!Y2:Y671))/STDEV('The List'!Y2:Y671)</f>
        <v>1.0643760379302476</v>
      </c>
      <c r="M41" s="55" cm="1">
        <f t="array" ref="M41">(VLOOKUP($A41,'The List'!$B1:$AH671,25,FALSE)-AVERAGE('The List'!Z2:Z671))/STDEV('The List'!Z2:Z671)</f>
        <v>1.1816358996829295</v>
      </c>
      <c r="N41" s="55" cm="1">
        <f t="array" ref="N41">(VLOOKUP($A41,'The List'!$B1:$AH671,26,FALSE)-AVERAGE('The List'!AA2:AA671))/STDEV('The List'!AA2:AA671)</f>
        <v>-0.8077012821109314</v>
      </c>
      <c r="O41" s="55" cm="1">
        <f t="array" ref="O41">(VLOOKUP($A41,'The List'!$B1:$AH671,27,FALSE)-AVERAGE('The List'!AB2:AB671))/STDEV('The List'!AB2:AB671)</f>
        <v>-8.1335700841236813E-2</v>
      </c>
      <c r="P41" s="55" cm="1">
        <f t="array" ref="P41">(VLOOKUP($A41,'The List'!$B1:$AH671,28,FALSE)-AVERAGE('The List'!AC2:AC671))/STDEV('The List'!AC2:AC671)</f>
        <v>0.44198937717942954</v>
      </c>
      <c r="Q41" s="55" cm="1">
        <f t="array" ref="Q41">(VLOOKUP($A41,'The List'!$B1:$AH671,29,FALSE)-AVERAGE('The List'!AD2:AD671))/STDEV('The List'!AD2:AD671)</f>
        <v>-1.0084281207059527</v>
      </c>
      <c r="R41" s="55" cm="1">
        <f t="array" ref="R41">(VLOOKUP($A41,'The List'!$B1:$AH671,30,FALSE)-AVERAGE('The List'!AE2:AE671))/STDEV('The List'!AE2:AE671)</f>
        <v>1.275458242061779</v>
      </c>
      <c r="S41" s="55" cm="1">
        <f t="array" ref="S41">(VLOOKUP($A41,'The List'!$B1:$AH671,31,FALSE)-AVERAGE('The List'!AF2:AF671))/STDEV('The List'!AF2:AF671)</f>
        <v>-0.58370303912883015</v>
      </c>
      <c r="T41" s="55" cm="1">
        <f t="array" ref="T41">(VLOOKUP($A41,'The List'!$B1:$AH671,32,FALSE)-AVERAGE('The List'!AG2:AG671))/STDEV('The List'!AG2:AG671)</f>
        <v>-0.59968756578832394</v>
      </c>
      <c r="U41" s="55" cm="1">
        <f t="array" ref="U41">(VLOOKUP($A41,'The List'!$B1:$AH671,33,FALSE)-AVERAGE('The List'!AH2:AH671))/STDEV('The List'!AH2:AH671)</f>
        <v>-0.33527817658764147</v>
      </c>
      <c r="V41" s="55"/>
      <c r="W41" s="57"/>
      <c r="X41" s="55"/>
      <c r="Y41" s="55"/>
      <c r="Z41" s="55"/>
      <c r="AA41" s="55"/>
      <c r="AB41" s="55"/>
      <c r="AC41" s="55"/>
      <c r="AD41" s="55"/>
      <c r="AE41" s="55"/>
    </row>
    <row r="42" spans="1:31" ht="21.25" customHeight="1" x14ac:dyDescent="0.15">
      <c r="A42" s="10" t="s">
        <v>177</v>
      </c>
      <c r="B42" s="18" t="str" cm="1">
        <f t="array" ref="B42">VLOOKUP(A42,'Player Data'!A1:B673,2,FALSE)</f>
        <v>MTL</v>
      </c>
      <c r="C42" s="52" cm="1">
        <f t="array" ref="C42">((E42)*Settings!$C$12)+(F42*Settings!$C$2)+(G42*Settings!$C$3)+(H42*Settings!$C$4)+(I42*Settings!$C$5)+(K42*Settings!$C$9)+(N42*Settings!$C$6)+(J42*Settings!$C$8)+(O42*Settings!$C$7)+(P42*Settings!$C$14)+(Q42*Settings!$C$15)+(R42*Settings!$C$16)+(S42*Settings!$C$17)+(T42*Settings!$C$18)+(U42*Settings!$C$19)+(L42*Settings!$C$10)+(Settings!$C$11*M42)</f>
        <v>8.89104643795757</v>
      </c>
      <c r="D42" s="57" cm="1">
        <f t="array" ref="D42">IF(Settings!$E$12="YES",VLOOKUP(A42,'Player Data'!A1:E673,5,FALSE),82)</f>
        <v>84</v>
      </c>
      <c r="E42" s="55" cm="1">
        <f t="array" ref="E42">(VLOOKUP($A42,'The List'!$B1:$AH671,17,FALSE)-AVERAGE('The List'!R2:R671))/STDEV('The List'!R2:R671)</f>
        <v>0.3634835464455754</v>
      </c>
      <c r="F42" s="55" cm="1">
        <f t="array" ref="F42">(VLOOKUP($A42,'The List'!$B1:$AH671,18,FALSE)-AVERAGE('The List'!S2:S671))/STDEV('The List'!S2:S671)</f>
        <v>2.8188518866302297</v>
      </c>
      <c r="G42" s="55" cm="1">
        <f t="array" ref="G42">(VLOOKUP($A42,'The List'!$B1:$AH671,19,FALSE)-AVERAGE('The List'!T2:T671))/STDEV('The List'!T2:T671)</f>
        <v>1.0530440563809729</v>
      </c>
      <c r="H42" s="55" cm="1">
        <f t="array" ref="H42">(VLOOKUP($A42,'The List'!$B1:$AH671,20,FALSE)-AVERAGE('The List'!U2:U671))/STDEV('The List'!U2:U671)</f>
        <v>1.9111515983784984</v>
      </c>
      <c r="I42" s="55" cm="1">
        <f t="array" ref="I42">(VLOOKUP($A42,'The List'!$B1:$AH671,21,FALSE)-AVERAGE('The List'!V2:V671))/STDEV('The List'!V2:V671)</f>
        <v>2.4309957767797448</v>
      </c>
      <c r="J42" s="55" cm="1">
        <f t="array" ref="J42">(VLOOKUP($A42,'The List'!$B1:$AH671,22,FALSE)-AVERAGE('The List'!W2:W671))/STDEV('The List'!W2:W671)</f>
        <v>2.2775309315066972</v>
      </c>
      <c r="K42" s="55" cm="1">
        <f t="array" ref="K42">(VLOOKUP($A42,'The List'!$B1:$AH671,23,FALSE)-AVERAGE('The List'!X2:X671))/STDEV('The List'!X2:X671)</f>
        <v>1.8153021154189497</v>
      </c>
      <c r="L42" s="55" cm="1">
        <f t="array" ref="L42">(VLOOKUP($A42,'The List'!$B1:$AH671,24,FALSE)-AVERAGE('The List'!Y2:Y671))/STDEV('The List'!Y2:Y671)</f>
        <v>-0.47546929358800777</v>
      </c>
      <c r="M42" s="55" cm="1">
        <f t="array" ref="M42">(VLOOKUP($A42,'The List'!$B1:$AH671,25,FALSE)-AVERAGE('The List'!Z2:Z671))/STDEV('The List'!Z2:Z671)</f>
        <v>-0.64388478613809508</v>
      </c>
      <c r="N42" s="55" cm="1">
        <f t="array" ref="N42">(VLOOKUP($A42,'The List'!$B1:$AH671,26,FALSE)-AVERAGE('The List'!AA2:AA671))/STDEV('The List'!AA2:AA671)</f>
        <v>-0.95788213289992374</v>
      </c>
      <c r="O42" s="55" cm="1">
        <f t="array" ref="O42">(VLOOKUP($A42,'The List'!$B1:$AH671,27,FALSE)-AVERAGE('The List'!AB2:AB671))/STDEV('The List'!AB2:AB671)</f>
        <v>-0.58068510239516558</v>
      </c>
      <c r="P42" s="55" cm="1">
        <f t="array" ref="P42">(VLOOKUP($A42,'The List'!$B1:$AH671,28,FALSE)-AVERAGE('The List'!AC2:AC671))/STDEV('The List'!AC2:AC671)</f>
        <v>1.3535377051428372</v>
      </c>
      <c r="Q42" s="55" cm="1">
        <f t="array" ref="Q42">(VLOOKUP($A42,'The List'!$B1:$AH671,29,FALSE)-AVERAGE('The List'!AD2:AD671))/STDEV('The List'!AD2:AD671)</f>
        <v>-1.0084281207059527</v>
      </c>
      <c r="R42" s="55" cm="1">
        <f t="array" ref="R42">(VLOOKUP($A42,'The List'!$B1:$AH671,30,FALSE)-AVERAGE('The List'!AE2:AE671))/STDEV('The List'!AE2:AE671)</f>
        <v>2.8474314675429024</v>
      </c>
      <c r="S42" s="55" cm="1">
        <f t="array" ref="S42">(VLOOKUP($A42,'The List'!$B1:$AH671,31,FALSE)-AVERAGE('The List'!AF2:AF671))/STDEV('The List'!AF2:AF671)</f>
        <v>-0.5635105967711761</v>
      </c>
      <c r="T42" s="55" cm="1">
        <f t="array" ref="T42">(VLOOKUP($A42,'The List'!$B1:$AH671,32,FALSE)-AVERAGE('The List'!AG2:AG671))/STDEV('The List'!AG2:AG671)</f>
        <v>-0.5911138959167489</v>
      </c>
      <c r="U42" s="55" cm="1">
        <f t="array" ref="U42">(VLOOKUP($A42,'The List'!$B1:$AH671,33,FALSE)-AVERAGE('The List'!AH2:AH671))/STDEV('The List'!AH2:AH671)</f>
        <v>0.49270786602453809</v>
      </c>
      <c r="V42" s="55"/>
      <c r="W42" s="77"/>
      <c r="X42" s="57"/>
      <c r="Y42" s="57"/>
      <c r="Z42" s="57"/>
      <c r="AA42" s="57"/>
      <c r="AB42" s="57"/>
      <c r="AC42" s="60"/>
      <c r="AD42" s="61"/>
      <c r="AE42" s="55"/>
    </row>
    <row r="43" spans="1:31" ht="21.25" customHeight="1" x14ac:dyDescent="0.15">
      <c r="A43" s="10" t="s">
        <v>208</v>
      </c>
      <c r="B43" s="18" t="str" cm="1">
        <f t="array" ref="B43">VLOOKUP(A43,'Player Data'!A1:B673,2,FALSE)</f>
        <v>OTT</v>
      </c>
      <c r="C43" s="52" cm="1">
        <f t="array" ref="C43">((E43)*Settings!$C$12)+(F43*Settings!$C$2)+(G43*Settings!$C$3)+(H43*Settings!$C$4)+(I43*Settings!$C$5)+(K43*Settings!$C$9)+(N43*Settings!$C$6)+(J43*Settings!$C$8)+(O43*Settings!$C$7)+(P43*Settings!$C$14)+(Q43*Settings!$C$15)+(R43*Settings!$C$16)+(S43*Settings!$C$17)+(T43*Settings!$C$18)+(U43*Settings!$C$19)+(L43*Settings!$C$10)+(Settings!$C$11*M43)</f>
        <v>7.7123335151329222</v>
      </c>
      <c r="D43" s="57" cm="1">
        <f t="array" ref="D43">IF(Settings!$E$12="YES",VLOOKUP(A43,'Player Data'!A1:E673,5,FALSE),82)</f>
        <v>83</v>
      </c>
      <c r="E43" s="55" cm="1">
        <f t="array" ref="E43">(VLOOKUP($A43,'The List'!$B1:$AH671,17,FALSE)-AVERAGE('The List'!R2:R671))/STDEV('The List'!R2:R671)</f>
        <v>0.8356615296096005</v>
      </c>
      <c r="F43" s="55" cm="1">
        <f t="array" ref="F43">(VLOOKUP($A43,'The List'!$B1:$AH671,18,FALSE)-AVERAGE('The List'!S2:S671))/STDEV('The List'!S2:S671)</f>
        <v>1.5265204931884264</v>
      </c>
      <c r="G43" s="55" cm="1">
        <f t="array" ref="G43">(VLOOKUP($A43,'The List'!$B1:$AH671,19,FALSE)-AVERAGE('The List'!T2:T671))/STDEV('The List'!T2:T671)</f>
        <v>1.8956230026214855</v>
      </c>
      <c r="H43" s="55" cm="1">
        <f t="array" ref="H43">(VLOOKUP($A43,'The List'!$B1:$AH671,20,FALSE)-AVERAGE('The List'!U2:U671))/STDEV('The List'!U2:U671)</f>
        <v>1.8687126756899142</v>
      </c>
      <c r="I43" s="55" cm="1">
        <f t="array" ref="I43">(VLOOKUP($A43,'The List'!$B1:$AH671,21,FALSE)-AVERAGE('The List'!V2:V671))/STDEV('The List'!V2:V671)</f>
        <v>1.1714836894756804</v>
      </c>
      <c r="J43" s="55" cm="1">
        <f t="array" ref="J43">(VLOOKUP($A43,'The List'!$B1:$AH671,22,FALSE)-AVERAGE('The List'!W2:W671))/STDEV('The List'!W2:W671)</f>
        <v>1.0954082514907661</v>
      </c>
      <c r="K43" s="55" cm="1">
        <f t="array" ref="K43">(VLOOKUP($A43,'The List'!$B1:$AH671,23,FALSE)-AVERAGE('The List'!X2:X671))/STDEV('The List'!X2:X671)</f>
        <v>1.9509685673593096</v>
      </c>
      <c r="L43" s="55" cm="1">
        <f t="array" ref="L43">(VLOOKUP($A43,'The List'!$B1:$AH671,24,FALSE)-AVERAGE('The List'!Y2:Y671))/STDEV('The List'!Y2:Y671)</f>
        <v>1.0460445458883638</v>
      </c>
      <c r="M43" s="55" cm="1">
        <f t="array" ref="M43">(VLOOKUP($A43,'The List'!$B1:$AH671,25,FALSE)-AVERAGE('The List'!Z2:Z671))/STDEV('The List'!Z2:Z671)</f>
        <v>0.25800936221395893</v>
      </c>
      <c r="N43" s="55" cm="1">
        <f t="array" ref="N43">(VLOOKUP($A43,'The List'!$B1:$AH671,26,FALSE)-AVERAGE('The List'!AA2:AA671))/STDEV('The List'!AA2:AA671)</f>
        <v>-0.45702388732643062</v>
      </c>
      <c r="O43" s="55" cm="1">
        <f t="array" ref="O43">(VLOOKUP($A43,'The List'!$B1:$AH671,27,FALSE)-AVERAGE('The List'!AB2:AB671))/STDEV('The List'!AB2:AB671)</f>
        <v>0.7322594447940437</v>
      </c>
      <c r="P43" s="55" cm="1">
        <f t="array" ref="P43">(VLOOKUP($A43,'The List'!$B1:$AH671,28,FALSE)-AVERAGE('The List'!AC2:AC671))/STDEV('The List'!AC2:AC671)</f>
        <v>0.4354783176939766</v>
      </c>
      <c r="Q43" s="55" cm="1">
        <f t="array" ref="Q43">(VLOOKUP($A43,'The List'!$B1:$AH671,29,FALSE)-AVERAGE('The List'!AD2:AD671))/STDEV('The List'!AD2:AD671)</f>
        <v>0.44709447301604227</v>
      </c>
      <c r="R43" s="55" cm="1">
        <f t="array" ref="R43">(VLOOKUP($A43,'The List'!$B1:$AH671,30,FALSE)-AVERAGE('The List'!AE2:AE671))/STDEV('The List'!AE2:AE671)</f>
        <v>1.7620213832821263</v>
      </c>
      <c r="S43" s="55" cm="1">
        <f t="array" ref="S43">(VLOOKUP($A43,'The List'!$B1:$AH671,31,FALSE)-AVERAGE('The List'!AF2:AF671))/STDEV('The List'!AF2:AF671)</f>
        <v>0.8367391262447148</v>
      </c>
      <c r="T43" s="55" cm="1">
        <f t="array" ref="T43">(VLOOKUP($A43,'The List'!$B1:$AH671,32,FALSE)-AVERAGE('The List'!AG2:AG671))/STDEV('The List'!AG2:AG671)</f>
        <v>0.89922468300947944</v>
      </c>
      <c r="U43" s="55" cm="1">
        <f t="array" ref="U43">(VLOOKUP($A43,'The List'!$B1:$AH671,33,FALSE)-AVERAGE('The List'!AH2:AH671))/STDEV('The List'!AH2:AH671)</f>
        <v>1.0446985610993245</v>
      </c>
      <c r="V43" s="55"/>
      <c r="W43" s="77"/>
      <c r="X43" s="57"/>
      <c r="Y43" s="57"/>
      <c r="Z43" s="57"/>
      <c r="AA43" s="57"/>
      <c r="AB43" s="57"/>
      <c r="AC43" s="60"/>
      <c r="AD43" s="61"/>
      <c r="AE43" s="55"/>
    </row>
    <row r="44" spans="1:31" ht="21.25" customHeight="1" x14ac:dyDescent="0.15">
      <c r="A44" s="10" t="s">
        <v>160</v>
      </c>
      <c r="B44" s="18" t="str" cm="1">
        <f t="array" ref="B44">VLOOKUP(A44,'Player Data'!A1:B673,2,FALSE)</f>
        <v>ANA</v>
      </c>
      <c r="C44" s="52" cm="1">
        <f t="array" ref="C44">((E44)*Settings!$C$12)+(F44*Settings!$C$2)+(G44*Settings!$C$3)+(H44*Settings!$C$4)+(I44*Settings!$C$5)+(K44*Settings!$C$9)+(N44*Settings!$C$6)+(J44*Settings!$C$8)+(O44*Settings!$C$7)+(P44*Settings!$C$14)+(Q44*Settings!$C$15)+(R44*Settings!$C$16)+(S44*Settings!$C$17)+(T44*Settings!$C$18)+(U44*Settings!$C$19)+(L44*Settings!$C$10)+(Settings!$C$11*M44)</f>
        <v>8.0044150915522536</v>
      </c>
      <c r="D44" s="57" cm="1">
        <f t="array" ref="D44">IF(Settings!$E$12="YES",VLOOKUP(A44,'Player Data'!A1:E673,5,FALSE),82)</f>
        <v>82</v>
      </c>
      <c r="E44" s="55" cm="1">
        <f t="array" ref="E44">(VLOOKUP($A44,'The List'!$B1:$AH671,17,FALSE)-AVERAGE('The List'!R2:R671))/STDEV('The List'!R2:R671)</f>
        <v>0.52087620750025077</v>
      </c>
      <c r="F44" s="55" cm="1">
        <f t="array" ref="F44">(VLOOKUP($A44,'The List'!$B1:$AH671,18,FALSE)-AVERAGE('The List'!S2:S671))/STDEV('The List'!S2:S671)</f>
        <v>2.800888979231039</v>
      </c>
      <c r="G44" s="55" cm="1">
        <f t="array" ref="G44">(VLOOKUP($A44,'The List'!$B1:$AH671,19,FALSE)-AVERAGE('The List'!T2:T671))/STDEV('The List'!T2:T671)</f>
        <v>0.98839246083958221</v>
      </c>
      <c r="H44" s="55" cm="1">
        <f t="array" ref="H44">(VLOOKUP($A44,'The List'!$B1:$AH671,20,FALSE)-AVERAGE('The List'!U2:U671))/STDEV('The List'!U2:U671)</f>
        <v>1.8625236661311624</v>
      </c>
      <c r="I44" s="55" cm="1">
        <f t="array" ref="I44">(VLOOKUP($A44,'The List'!$B1:$AH671,21,FALSE)-AVERAGE('The List'!V2:V671))/STDEV('The List'!V2:V671)</f>
        <v>3.3553290644445934</v>
      </c>
      <c r="J44" s="55" cm="1">
        <f t="array" ref="J44">(VLOOKUP($A44,'The List'!$B1:$AH671,22,FALSE)-AVERAGE('The List'!W2:W671))/STDEV('The List'!W2:W671)</f>
        <v>2.6586826367454783</v>
      </c>
      <c r="K44" s="55" cm="1">
        <f t="array" ref="K44">(VLOOKUP($A44,'The List'!$B1:$AH671,23,FALSE)-AVERAGE('The List'!X2:X671))/STDEV('The List'!X2:X671)</f>
        <v>1.6705912333492328</v>
      </c>
      <c r="L44" s="55" cm="1">
        <f t="array" ref="L44">(VLOOKUP($A44,'The List'!$B1:$AH671,24,FALSE)-AVERAGE('The List'!Y2:Y671))/STDEV('The List'!Y2:Y671)</f>
        <v>-0.47546929358800777</v>
      </c>
      <c r="M44" s="55" cm="1">
        <f t="array" ref="M44">(VLOOKUP($A44,'The List'!$B1:$AH671,25,FALSE)-AVERAGE('The List'!Z2:Z671))/STDEV('The List'!Z2:Z671)</f>
        <v>-0.64388478613809508</v>
      </c>
      <c r="N44" s="55" cm="1">
        <f t="array" ref="N44">(VLOOKUP($A44,'The List'!$B1:$AH671,26,FALSE)-AVERAGE('The List'!AA2:AA671))/STDEV('The List'!AA2:AA671)</f>
        <v>-0.7014508842738213</v>
      </c>
      <c r="O44" s="55" cm="1">
        <f t="array" ref="O44">(VLOOKUP($A44,'The List'!$B1:$AH671,27,FALSE)-AVERAGE('The List'!AB2:AB671))/STDEV('The List'!AB2:AB671)</f>
        <v>-0.17194014890644069</v>
      </c>
      <c r="P44" s="55" cm="1">
        <f t="array" ref="P44">(VLOOKUP($A44,'The List'!$B1:$AH671,28,FALSE)-AVERAGE('The List'!AC2:AC671))/STDEV('The List'!AC2:AC671)</f>
        <v>-0.63884649740575394</v>
      </c>
      <c r="Q44" s="55" cm="1">
        <f t="array" ref="Q44">(VLOOKUP($A44,'The List'!$B1:$AH671,29,FALSE)-AVERAGE('The List'!AD2:AD671))/STDEV('The List'!AD2:AD671)</f>
        <v>-1.0988779830473833E-2</v>
      </c>
      <c r="R44" s="55" cm="1">
        <f t="array" ref="R44">(VLOOKUP($A44,'The List'!$B1:$AH671,30,FALSE)-AVERAGE('The List'!AE2:AE671))/STDEV('The List'!AE2:AE671)</f>
        <v>2.2361085465224657</v>
      </c>
      <c r="S44" s="55" cm="1">
        <f t="array" ref="S44">(VLOOKUP($A44,'The List'!$B1:$AH671,31,FALSE)-AVERAGE('The List'!AF2:AF671))/STDEV('The List'!AF2:AF671)</f>
        <v>-0.1345654284021536</v>
      </c>
      <c r="T44" s="55" cm="1">
        <f t="array" ref="T44">(VLOOKUP($A44,'The List'!$B1:$AH671,32,FALSE)-AVERAGE('The List'!AG2:AG671))/STDEV('The List'!AG2:AG671)</f>
        <v>-2.3312401921843664E-2</v>
      </c>
      <c r="U44" s="55" cm="1">
        <f t="array" ref="U44">(VLOOKUP($A44,'The List'!$B1:$AH671,33,FALSE)-AVERAGE('The List'!AH2:AH671))/STDEV('The List'!AH2:AH671)</f>
        <v>0.76870321356193128</v>
      </c>
      <c r="V44" s="55"/>
      <c r="W44" s="57"/>
      <c r="X44" s="55"/>
      <c r="Y44" s="55"/>
      <c r="Z44" s="55"/>
      <c r="AA44" s="55"/>
      <c r="AB44" s="55"/>
      <c r="AC44" s="55"/>
      <c r="AD44" s="55"/>
      <c r="AE44" s="55"/>
    </row>
    <row r="45" spans="1:31" ht="21.25" customHeight="1" x14ac:dyDescent="0.15">
      <c r="A45" s="10" t="s">
        <v>143</v>
      </c>
      <c r="B45" s="18" t="str" cm="1">
        <f t="array" ref="B45">VLOOKUP(A45,'Player Data'!A1:B673,2,FALSE)</f>
        <v>MTL</v>
      </c>
      <c r="C45" s="52" cm="1">
        <f t="array" ref="C45">((E45)*Settings!$C$12)+(F45*Settings!$C$2)+(G45*Settings!$C$3)+(H45*Settings!$C$4)+(I45*Settings!$C$5)+(K45*Settings!$C$9)+(N45*Settings!$C$6)+(J45*Settings!$C$8)+(O45*Settings!$C$7)+(P45*Settings!$C$14)+(Q45*Settings!$C$15)+(R45*Settings!$C$16)+(S45*Settings!$C$17)+(T45*Settings!$C$18)+(U45*Settings!$C$19)+(L45*Settings!$C$10)+(Settings!$C$11*M45)</f>
        <v>5.4796290389987927</v>
      </c>
      <c r="D45" s="57" cm="1">
        <f t="array" ref="D45">IF(Settings!$E$12="YES",VLOOKUP(A45,'Player Data'!A1:E673,5,FALSE),82)</f>
        <v>84</v>
      </c>
      <c r="E45" s="55" cm="1">
        <f t="array" ref="E45">(VLOOKUP($A45,'The List'!$B1:$AH671,17,FALSE)-AVERAGE('The List'!R2:R671))/STDEV('The List'!R2:R671)</f>
        <v>1.8062496061134292</v>
      </c>
      <c r="F45" s="55" cm="1">
        <f t="array" ref="F45">(VLOOKUP($A45,'The List'!$B1:$AH671,18,FALSE)-AVERAGE('The List'!S2:S671))/STDEV('The List'!S2:S671)</f>
        <v>-0.19891655643387257</v>
      </c>
      <c r="G45" s="55" cm="1">
        <f t="array" ref="G45">(VLOOKUP($A45,'The List'!$B1:$AH671,19,FALSE)-AVERAGE('The List'!T2:T671))/STDEV('The List'!T2:T671)</f>
        <v>3.0010247394324341</v>
      </c>
      <c r="H45" s="55" cm="1">
        <f t="array" ref="H45">(VLOOKUP($A45,'The List'!$B1:$AH671,20,FALSE)-AVERAGE('The List'!U2:U671))/STDEV('The List'!U2:U671)</f>
        <v>1.7997494263209661</v>
      </c>
      <c r="I45" s="55" cm="1">
        <f t="array" ref="I45">(VLOOKUP($A45,'The List'!$B1:$AH671,21,FALSE)-AVERAGE('The List'!V2:V671))/STDEV('The List'!V2:V671)</f>
        <v>3.6367857707819848E-2</v>
      </c>
      <c r="J45" s="55" cm="1">
        <f t="array" ref="J45">(VLOOKUP($A45,'The List'!$B1:$AH671,22,FALSE)-AVERAGE('The List'!W2:W671))/STDEV('The List'!W2:W671)</f>
        <v>-4.2522926468495044E-2</v>
      </c>
      <c r="K45" s="55" cm="1">
        <f t="array" ref="K45">(VLOOKUP($A45,'The List'!$B1:$AH671,23,FALSE)-AVERAGE('The List'!X2:X671))/STDEV('The List'!X2:X671)</f>
        <v>1.8997167966262849</v>
      </c>
      <c r="L45" s="55" cm="1">
        <f t="array" ref="L45">(VLOOKUP($A45,'The List'!$B1:$AH671,24,FALSE)-AVERAGE('The List'!Y2:Y671))/STDEV('The List'!Y2:Y671)</f>
        <v>-0.47546929358800777</v>
      </c>
      <c r="M45" s="55" cm="1">
        <f t="array" ref="M45">(VLOOKUP($A45,'The List'!$B1:$AH671,25,FALSE)-AVERAGE('The List'!Z2:Z671))/STDEV('The List'!Z2:Z671)</f>
        <v>-0.64388478613809508</v>
      </c>
      <c r="N45" s="55" cm="1">
        <f t="array" ref="N45">(VLOOKUP($A45,'The List'!$B1:$AH671,26,FALSE)-AVERAGE('The List'!AA2:AA671))/STDEV('The List'!AA2:AA671)</f>
        <v>1.7453731813019373</v>
      </c>
      <c r="O45" s="55" cm="1">
        <f t="array" ref="O45">(VLOOKUP($A45,'The List'!$B1:$AH671,27,FALSE)-AVERAGE('The List'!AB2:AB671))/STDEV('The List'!AB2:AB671)</f>
        <v>-0.97672083466207449</v>
      </c>
      <c r="P45" s="55" cm="1">
        <f t="array" ref="P45">(VLOOKUP($A45,'The List'!$B1:$AH671,28,FALSE)-AVERAGE('The List'!AC2:AC671))/STDEV('The List'!AC2:AC671)</f>
        <v>1.7181570363282006</v>
      </c>
      <c r="Q45" s="55" cm="1">
        <f t="array" ref="Q45">(VLOOKUP($A45,'The List'!$B1:$AH671,29,FALSE)-AVERAGE('The List'!AD2:AD671))/STDEV('The List'!AD2:AD671)</f>
        <v>0.41901840268028839</v>
      </c>
      <c r="R45" s="55" cm="1">
        <f t="array" ref="R45">(VLOOKUP($A45,'The List'!$B1:$AH671,30,FALSE)-AVERAGE('The List'!AE2:AE671))/STDEV('The List'!AE2:AE671)</f>
        <v>-0.29651498341934474</v>
      </c>
      <c r="S45" s="55" cm="1">
        <f t="array" ref="S45">(VLOOKUP($A45,'The List'!$B1:$AH671,31,FALSE)-AVERAGE('The List'!AF2:AF671))/STDEV('The List'!AF2:AF671)</f>
        <v>-0.59581850454342256</v>
      </c>
      <c r="T45" s="55" cm="1">
        <f t="array" ref="T45">(VLOOKUP($A45,'The List'!$B1:$AH671,32,FALSE)-AVERAGE('The List'!AG2:AG671))/STDEV('The List'!AG2:AG671)</f>
        <v>-0.64684275008198677</v>
      </c>
      <c r="U45" s="55" cm="1">
        <f t="array" ref="U45">(VLOOKUP($A45,'The List'!$B1:$AH671,33,FALSE)-AVERAGE('The List'!AH2:AH671))/STDEV('The List'!AH2:AH671)</f>
        <v>-1.2552626683789523</v>
      </c>
      <c r="V45" s="55"/>
      <c r="W45" s="57"/>
      <c r="X45" s="55"/>
      <c r="Y45" s="55"/>
      <c r="Z45" s="55"/>
      <c r="AA45" s="55"/>
      <c r="AB45" s="55"/>
      <c r="AC45" s="55"/>
      <c r="AD45" s="55"/>
      <c r="AE45" s="55"/>
    </row>
    <row r="46" spans="1:31" ht="21.25" customHeight="1" x14ac:dyDescent="0.15">
      <c r="A46" s="10" t="s">
        <v>240</v>
      </c>
      <c r="B46" s="18" t="str" cm="1">
        <f t="array" ref="B46">VLOOKUP(A46,'Player Data'!A1:B673,2,FALSE)</f>
        <v>STL</v>
      </c>
      <c r="C46" s="52" cm="1">
        <f t="array" ref="C46">((E46)*Settings!$C$12)+(F46*Settings!$C$2)+(G46*Settings!$C$3)+(H46*Settings!$C$4)+(I46*Settings!$C$5)+(K46*Settings!$C$9)+(N46*Settings!$C$6)+(J46*Settings!$C$8)+(O46*Settings!$C$7)+(P46*Settings!$C$14)+(Q46*Settings!$C$15)+(R46*Settings!$C$16)+(S46*Settings!$C$17)+(T46*Settings!$C$18)+(U46*Settings!$C$19)+(L46*Settings!$C$10)+(Settings!$C$11*M46)</f>
        <v>6.8566941417719347</v>
      </c>
      <c r="D46" s="57" cm="1">
        <f t="array" ref="D46">IF(Settings!$E$12="YES",VLOOKUP(A46,'Player Data'!A1:E673,5,FALSE),82)</f>
        <v>75</v>
      </c>
      <c r="E46" s="55" cm="1">
        <f t="array" ref="E46">(VLOOKUP($A46,'The List'!$B1:$AH671,17,FALSE)-AVERAGE('The List'!R2:R671))/STDEV('The List'!R2:R671)</f>
        <v>0.49464409732447123</v>
      </c>
      <c r="F46" s="55" cm="1">
        <f t="array" ref="F46">(VLOOKUP($A46,'The List'!$B1:$AH671,18,FALSE)-AVERAGE('The List'!S2:S671))/STDEV('The List'!S2:S671)</f>
        <v>1.6213247266841575</v>
      </c>
      <c r="G46" s="55" cm="1">
        <f t="array" ref="G46">(VLOOKUP($A46,'The List'!$B1:$AH671,19,FALSE)-AVERAGE('The List'!T2:T671))/STDEV('The List'!T2:T671)</f>
        <v>1.1837527169320448</v>
      </c>
      <c r="H46" s="55" cm="1">
        <f t="array" ref="H46">(VLOOKUP($A46,'The List'!$B1:$AH671,20,FALSE)-AVERAGE('The List'!U2:U671))/STDEV('The List'!U2:U671)</f>
        <v>1.4628904774803317</v>
      </c>
      <c r="I46" s="55" cm="1">
        <f t="array" ref="I46">(VLOOKUP($A46,'The List'!$B1:$AH671,21,FALSE)-AVERAGE('The List'!V2:V671))/STDEV('The List'!V2:V671)</f>
        <v>1.4441188161925271</v>
      </c>
      <c r="J46" s="55" cm="1">
        <f t="array" ref="J46">(VLOOKUP($A46,'The List'!$B1:$AH671,22,FALSE)-AVERAGE('The List'!W2:W671))/STDEV('The List'!W2:W671)</f>
        <v>1.3329375750453689</v>
      </c>
      <c r="K46" s="55" cm="1">
        <f t="array" ref="K46">(VLOOKUP($A46,'The List'!$B1:$AH671,23,FALSE)-AVERAGE('The List'!X2:X671))/STDEV('The List'!X2:X671)</f>
        <v>0.85659252170707423</v>
      </c>
      <c r="L46" s="55" cm="1">
        <f t="array" ref="L46">(VLOOKUP($A46,'The List'!$B1:$AH671,24,FALSE)-AVERAGE('The List'!Y2:Y671))/STDEV('The List'!Y2:Y671)</f>
        <v>-0.47546929358800777</v>
      </c>
      <c r="M46" s="55" cm="1">
        <f t="array" ref="M46">(VLOOKUP($A46,'The List'!$B1:$AH671,25,FALSE)-AVERAGE('The List'!Z2:Z671))/STDEV('The List'!Z2:Z671)</f>
        <v>-0.64388478613809508</v>
      </c>
      <c r="N46" s="55" cm="1">
        <f t="array" ref="N46">(VLOOKUP($A46,'The List'!$B1:$AH671,26,FALSE)-AVERAGE('The List'!AA2:AA671))/STDEV('The List'!AA2:AA671)</f>
        <v>-0.33953546664116468</v>
      </c>
      <c r="O46" s="55" cm="1">
        <f t="array" ref="O46">(VLOOKUP($A46,'The List'!$B1:$AH671,27,FALSE)-AVERAGE('The List'!AB2:AB671))/STDEV('The List'!AB2:AB671)</f>
        <v>1.3675155184457783</v>
      </c>
      <c r="P46" s="55" cm="1">
        <f t="array" ref="P46">(VLOOKUP($A46,'The List'!$B1:$AH671,28,FALSE)-AVERAGE('The List'!AC2:AC671))/STDEV('The List'!AC2:AC671)</f>
        <v>0.38338984181035335</v>
      </c>
      <c r="Q46" s="55" cm="1">
        <f t="array" ref="Q46">(VLOOKUP($A46,'The List'!$B1:$AH671,29,FALSE)-AVERAGE('The List'!AD2:AD671))/STDEV('The List'!AD2:AD671)</f>
        <v>-0.43434636673539928</v>
      </c>
      <c r="R46" s="55" cm="1">
        <f t="array" ref="R46">(VLOOKUP($A46,'The List'!$B1:$AH671,30,FALSE)-AVERAGE('The List'!AE2:AE671))/STDEV('The List'!AE2:AE671)</f>
        <v>1.4625979117619126</v>
      </c>
      <c r="S46" s="55" cm="1">
        <f t="array" ref="S46">(VLOOKUP($A46,'The List'!$B1:$AH671,31,FALSE)-AVERAGE('The List'!AF2:AF671))/STDEV('The List'!AF2:AF671)</f>
        <v>-0.39749987424503458</v>
      </c>
      <c r="T46" s="55" cm="1">
        <f t="array" ref="T46">(VLOOKUP($A46,'The List'!$B1:$AH671,32,FALSE)-AVERAGE('The List'!AG2:AG671))/STDEV('The List'!AG2:AG671)</f>
        <v>-0.42484594090727545</v>
      </c>
      <c r="U46" s="55" cm="1">
        <f t="array" ref="U46">(VLOOKUP($A46,'The List'!$B1:$AH671,33,FALSE)-AVERAGE('The List'!AH2:AH671))/STDEV('The List'!AH2:AH671)</f>
        <v>0.99869933650975895</v>
      </c>
      <c r="V46" s="55"/>
      <c r="W46" s="77"/>
      <c r="X46" s="57"/>
      <c r="Y46" s="57"/>
      <c r="Z46" s="57"/>
      <c r="AA46" s="57"/>
      <c r="AB46" s="57"/>
      <c r="AC46" s="60"/>
      <c r="AD46" s="61"/>
      <c r="AE46" s="55"/>
    </row>
    <row r="47" spans="1:31" ht="21.25" customHeight="1" x14ac:dyDescent="0.15">
      <c r="A47" s="10" t="s">
        <v>148</v>
      </c>
      <c r="B47" s="18" t="str" cm="1">
        <f t="array" ref="B47">VLOOKUP(A47,'Player Data'!A1:B673,2,FALSE)</f>
        <v>NYR</v>
      </c>
      <c r="C47" s="52" cm="1">
        <f t="array" ref="C47">((E47)*Settings!$C$12)+(F47*Settings!$C$2)+(G47*Settings!$C$3)+(H47*Settings!$C$4)+(I47*Settings!$C$5)+(K47*Settings!$C$9)+(N47*Settings!$C$6)+(J47*Settings!$C$8)+(O47*Settings!$C$7)+(P47*Settings!$C$14)+(Q47*Settings!$C$15)+(R47*Settings!$C$16)+(S47*Settings!$C$17)+(T47*Settings!$C$18)+(U47*Settings!$C$19)+(L47*Settings!$C$10)+(Settings!$C$11*M47)</f>
        <v>4.6954541293942746</v>
      </c>
      <c r="D47" s="57" cm="1">
        <f t="array" ref="D47">IF(Settings!$E$12="YES",VLOOKUP(A47,'Player Data'!A1:E673,5,FALSE),82)</f>
        <v>77</v>
      </c>
      <c r="E47" s="55" cm="1">
        <f t="array" ref="E47">(VLOOKUP($A47,'The List'!$B1:$AH671,17,FALSE)-AVERAGE('The List'!R2:R671))/STDEV('The List'!R2:R671)</f>
        <v>1.8324817162892089</v>
      </c>
      <c r="F47" s="55" cm="1">
        <f t="array" ref="F47">(VLOOKUP($A47,'The List'!$B1:$AH671,18,FALSE)-AVERAGE('The List'!S2:S671))/STDEV('The List'!S2:S671)</f>
        <v>-6.6190629539849541E-2</v>
      </c>
      <c r="G47" s="55" cm="1">
        <f t="array" ref="G47">(VLOOKUP($A47,'The List'!$B1:$AH671,19,FALSE)-AVERAGE('The List'!T2:T671))/STDEV('The List'!T2:T671)</f>
        <v>2.4500807078623241</v>
      </c>
      <c r="H47" s="55" cm="1">
        <f t="array" ref="H47">(VLOOKUP($A47,'The List'!$B1:$AH671,20,FALSE)-AVERAGE('The List'!U2:U671))/STDEV('The List'!U2:U671)</f>
        <v>1.5119604818390067</v>
      </c>
      <c r="I47" s="55" cm="1">
        <f t="array" ref="I47">(VLOOKUP($A47,'The List'!$B1:$AH671,21,FALSE)-AVERAGE('The List'!V2:V671))/STDEV('The List'!V2:V671)</f>
        <v>0.17061215014063957</v>
      </c>
      <c r="J47" s="55" cm="1">
        <f t="array" ref="J47">(VLOOKUP($A47,'The List'!$B1:$AH671,22,FALSE)-AVERAGE('The List'!W2:W671))/STDEV('The List'!W2:W671)</f>
        <v>0.537490538025303</v>
      </c>
      <c r="K47" s="55" cm="1">
        <f t="array" ref="K47">(VLOOKUP($A47,'The List'!$B1:$AH671,23,FALSE)-AVERAGE('The List'!X2:X671))/STDEV('The List'!X2:X671)</f>
        <v>2.2162718511537909</v>
      </c>
      <c r="L47" s="55" cm="1">
        <f t="array" ref="L47">(VLOOKUP($A47,'The List'!$B1:$AH671,24,FALSE)-AVERAGE('The List'!Y2:Y671))/STDEV('The List'!Y2:Y671)</f>
        <v>-0.47546929358800777</v>
      </c>
      <c r="M47" s="55" cm="1">
        <f t="array" ref="M47">(VLOOKUP($A47,'The List'!$B1:$AH671,25,FALSE)-AVERAGE('The List'!Z2:Z671))/STDEV('The List'!Z2:Z671)</f>
        <v>0.192812194863208</v>
      </c>
      <c r="N47" s="55" cm="1">
        <f t="array" ref="N47">(VLOOKUP($A47,'The List'!$B1:$AH671,26,FALSE)-AVERAGE('The List'!AA2:AA671))/STDEV('The List'!AA2:AA671)</f>
        <v>1.1893464599284065</v>
      </c>
      <c r="O47" s="55" cm="1">
        <f t="array" ref="O47">(VLOOKUP($A47,'The List'!$B1:$AH671,27,FALSE)-AVERAGE('The List'!AB2:AB671))/STDEV('The List'!AB2:AB671)</f>
        <v>-0.80596629792380581</v>
      </c>
      <c r="P47" s="55" cm="1">
        <f t="array" ref="P47">(VLOOKUP($A47,'The List'!$B1:$AH671,28,FALSE)-AVERAGE('The List'!AC2:AC671))/STDEV('The List'!AC2:AC671)</f>
        <v>0.73064634770117531</v>
      </c>
      <c r="Q47" s="55" cm="1">
        <f t="array" ref="Q47">(VLOOKUP($A47,'The List'!$B1:$AH671,29,FALSE)-AVERAGE('The List'!AD2:AD671))/STDEV('The List'!AD2:AD671)</f>
        <v>0.30006452573143455</v>
      </c>
      <c r="R47" s="55" cm="1">
        <f t="array" ref="R47">(VLOOKUP($A47,'The List'!$B1:$AH671,30,FALSE)-AVERAGE('The List'!AE2:AE671))/STDEV('The List'!AE2:AE671)</f>
        <v>9.6478322950936238E-2</v>
      </c>
      <c r="S47" s="55" cm="1">
        <f t="array" ref="S47">(VLOOKUP($A47,'The List'!$B1:$AH671,31,FALSE)-AVERAGE('The List'!AF2:AF671))/STDEV('The List'!AF2:AF671)</f>
        <v>-0.59581850454342256</v>
      </c>
      <c r="T47" s="55" cm="1">
        <f t="array" ref="T47">(VLOOKUP($A47,'The List'!$B1:$AH671,32,FALSE)-AVERAGE('The List'!AG2:AG671))/STDEV('The List'!AG2:AG671)</f>
        <v>-0.64684275008198677</v>
      </c>
      <c r="U47" s="55" cm="1">
        <f t="array" ref="U47">(VLOOKUP($A47,'The List'!$B1:$AH671,33,FALSE)-AVERAGE('The List'!AH2:AH671))/STDEV('The List'!AH2:AH671)</f>
        <v>-1.2552626683789523</v>
      </c>
      <c r="V47" s="55"/>
      <c r="W47" s="57"/>
      <c r="X47" s="55"/>
      <c r="Y47" s="55"/>
      <c r="Z47" s="55"/>
      <c r="AA47" s="55"/>
      <c r="AB47" s="55"/>
      <c r="AC47" s="55"/>
      <c r="AD47" s="55"/>
      <c r="AE47" s="55"/>
    </row>
    <row r="48" spans="1:31" ht="21.25" customHeight="1" x14ac:dyDescent="0.15">
      <c r="A48" s="10" t="s">
        <v>316</v>
      </c>
      <c r="B48" s="18" t="str" cm="1">
        <f t="array" ref="B48">VLOOKUP(A48,'Player Data'!A1:B673,2,FALSE)</f>
        <v>CAR</v>
      </c>
      <c r="C48" s="52" cm="1">
        <f t="array" ref="C48">((E48)*Settings!$C$12)+(F48*Settings!$C$2)+(G48*Settings!$C$3)+(H48*Settings!$C$4)+(I48*Settings!$C$5)+(K48*Settings!$C$9)+(N48*Settings!$C$6)+(J48*Settings!$C$8)+(O48*Settings!$C$7)+(P48*Settings!$C$14)+(Q48*Settings!$C$15)+(R48*Settings!$C$16)+(S48*Settings!$C$17)+(T48*Settings!$C$18)+(U48*Settings!$C$19)+(L48*Settings!$C$10)+(Settings!$C$11*M48)</f>
        <v>6.0248230104492233</v>
      </c>
      <c r="D48" s="57" cm="1">
        <f t="array" ref="D48">IF(Settings!$E$12="YES",VLOOKUP(A48,'Player Data'!A1:E673,5,FALSE),82)</f>
        <v>67</v>
      </c>
      <c r="E48" s="55" cm="1">
        <f t="array" ref="E48">(VLOOKUP($A48,'The List'!$B1:$AH671,17,FALSE)-AVERAGE('The List'!R2:R671))/STDEV('The List'!R2:R671)</f>
        <v>0.67826886855492519</v>
      </c>
      <c r="F48" s="55" cm="1">
        <f t="array" ref="F48">(VLOOKUP($A48,'The List'!$B1:$AH671,18,FALSE)-AVERAGE('The List'!S2:S671))/STDEV('The List'!S2:S671)</f>
        <v>1.7165281358998703</v>
      </c>
      <c r="G48" s="55" cm="1">
        <f t="array" ref="G48">(VLOOKUP($A48,'The List'!$B1:$AH671,19,FALSE)-AVERAGE('The List'!T2:T671))/STDEV('The List'!T2:T671)</f>
        <v>0.76010908245240061</v>
      </c>
      <c r="H48" s="55" cm="1">
        <f t="array" ref="H48">(VLOOKUP($A48,'The List'!$B1:$AH671,20,FALSE)-AVERAGE('The List'!U2:U671))/STDEV('The List'!U2:U671)</f>
        <v>1.2385609845811456</v>
      </c>
      <c r="I48" s="55" cm="1">
        <f t="array" ref="I48">(VLOOKUP($A48,'The List'!$B1:$AH671,21,FALSE)-AVERAGE('The List'!V2:V671))/STDEV('The List'!V2:V671)</f>
        <v>1.2923856196393568</v>
      </c>
      <c r="J48" s="55" cm="1">
        <f t="array" ref="J48">(VLOOKUP($A48,'The List'!$B1:$AH671,22,FALSE)-AVERAGE('The List'!W2:W671))/STDEV('The List'!W2:W671)</f>
        <v>1.0102015115877483</v>
      </c>
      <c r="K48" s="55" cm="1">
        <f t="array" ref="K48">(VLOOKUP($A48,'The List'!$B1:$AH671,23,FALSE)-AVERAGE('The List'!X2:X671))/STDEV('The List'!X2:X671)</f>
        <v>1.107273976792428</v>
      </c>
      <c r="L48" s="55" cm="1">
        <f t="array" ref="L48">(VLOOKUP($A48,'The List'!$B1:$AH671,24,FALSE)-AVERAGE('The List'!Y2:Y671))/STDEV('The List'!Y2:Y671)</f>
        <v>4.4373705736369038</v>
      </c>
      <c r="M48" s="55" cm="1">
        <f t="array" ref="M48">(VLOOKUP($A48,'The List'!$B1:$AH671,25,FALSE)-AVERAGE('The List'!Z2:Z671))/STDEV('The List'!Z2:Z671)</f>
        <v>3.7243254263622139</v>
      </c>
      <c r="N48" s="55" cm="1">
        <f t="array" ref="N48">(VLOOKUP($A48,'The List'!$B1:$AH671,26,FALSE)-AVERAGE('The List'!AA2:AA671))/STDEV('The List'!AA2:AA671)</f>
        <v>-0.75023411981922516</v>
      </c>
      <c r="O48" s="55" cm="1">
        <f t="array" ref="O48">(VLOOKUP($A48,'The List'!$B1:$AH671,27,FALSE)-AVERAGE('The List'!AB2:AB671))/STDEV('The List'!AB2:AB671)</f>
        <v>-0.1206932891410539</v>
      </c>
      <c r="P48" s="55" cm="1">
        <f t="array" ref="P48">(VLOOKUP($A48,'The List'!$B1:$AH671,28,FALSE)-AVERAGE('The List'!AC2:AC671))/STDEV('The List'!AC2:AC671)</f>
        <v>1.2692194848062219</v>
      </c>
      <c r="Q48" s="55" cm="1">
        <f t="array" ref="Q48">(VLOOKUP($A48,'The List'!$B1:$AH671,29,FALSE)-AVERAGE('The List'!AD2:AD671))/STDEV('The List'!AD2:AD671)</f>
        <v>-0.88873539980089533</v>
      </c>
      <c r="R48" s="55" cm="1">
        <f t="array" ref="R48">(VLOOKUP($A48,'The List'!$B1:$AH671,30,FALSE)-AVERAGE('The List'!AE2:AE671))/STDEV('The List'!AE2:AE671)</f>
        <v>2.1662430698344162</v>
      </c>
      <c r="S48" s="55" cm="1">
        <f t="array" ref="S48">(VLOOKUP($A48,'The List'!$B1:$AH671,31,FALSE)-AVERAGE('The List'!AF2:AF671))/STDEV('The List'!AF2:AF671)</f>
        <v>-0.36389388089265323</v>
      </c>
      <c r="T48" s="55" cm="1">
        <f t="array" ref="T48">(VLOOKUP($A48,'The List'!$B1:$AH671,32,FALSE)-AVERAGE('The List'!AG2:AG671))/STDEV('The List'!AG2:AG671)</f>
        <v>-0.27072401821586667</v>
      </c>
      <c r="U48" s="55" cm="1">
        <f t="array" ref="U48">(VLOOKUP($A48,'The List'!$B1:$AH671,33,FALSE)-AVERAGE('The List'!AH2:AH671))/STDEV('The List'!AH2:AH671)</f>
        <v>0.58470631520366922</v>
      </c>
      <c r="V48" s="55"/>
      <c r="W48" s="77"/>
      <c r="X48" s="57"/>
      <c r="Y48" s="57"/>
      <c r="Z48" s="57"/>
      <c r="AA48" s="57"/>
      <c r="AB48" s="57"/>
      <c r="AC48" s="60"/>
      <c r="AD48" s="61"/>
      <c r="AE48" s="55"/>
    </row>
    <row r="49" spans="1:31" ht="21.25" customHeight="1" x14ac:dyDescent="0.15">
      <c r="A49" s="10" t="s">
        <v>174</v>
      </c>
      <c r="B49" s="18" t="str" cm="1">
        <f t="array" ref="B49">VLOOKUP(A49,'Player Data'!A1:B673,2,FALSE)</f>
        <v>DET</v>
      </c>
      <c r="C49" s="52" cm="1">
        <f t="array" ref="C49">((E49)*Settings!$C$12)+(F49*Settings!$C$2)+(G49*Settings!$C$3)+(H49*Settings!$C$4)+(I49*Settings!$C$5)+(K49*Settings!$C$9)+(N49*Settings!$C$6)+(J49*Settings!$C$8)+(O49*Settings!$C$7)+(P49*Settings!$C$14)+(Q49*Settings!$C$15)+(R49*Settings!$C$16)+(S49*Settings!$C$17)+(T49*Settings!$C$18)+(U49*Settings!$C$19)+(L49*Settings!$C$10)+(Settings!$C$11*M49)</f>
        <v>6.8872346018090775</v>
      </c>
      <c r="D49" s="57" cm="1">
        <f t="array" ref="D49">IF(Settings!$E$12="YES",VLOOKUP(A49,'Player Data'!A1:E673,5,FALSE),82)</f>
        <v>84</v>
      </c>
      <c r="E49" s="55" cm="1">
        <f t="array" ref="E49">(VLOOKUP($A49,'The List'!$B1:$AH671,17,FALSE)-AVERAGE('The List'!R2:R671))/STDEV('The List'!R2:R671)</f>
        <v>0.41594776679713352</v>
      </c>
      <c r="F49" s="55" cm="1">
        <f t="array" ref="F49">(VLOOKUP($A49,'The List'!$B1:$AH671,18,FALSE)-AVERAGE('The List'!S2:S671))/STDEV('The List'!S2:S671)</f>
        <v>2.3158904794528796</v>
      </c>
      <c r="G49" s="55" cm="1">
        <f t="array" ref="G49">(VLOOKUP($A49,'The List'!$B1:$AH671,19,FALSE)-AVERAGE('The List'!T2:T671))/STDEV('The List'!T2:T671)</f>
        <v>1.171103491717425</v>
      </c>
      <c r="H49" s="55" cm="1">
        <f t="array" ref="H49">(VLOOKUP($A49,'The List'!$B1:$AH671,20,FALSE)-AVERAGE('The List'!U2:U671))/STDEV('The List'!U2:U671)</f>
        <v>1.7626153689684549</v>
      </c>
      <c r="I49" s="55" cm="1">
        <f t="array" ref="I49">(VLOOKUP($A49,'The List'!$B1:$AH671,21,FALSE)-AVERAGE('The List'!V2:V671))/STDEV('The List'!V2:V671)</f>
        <v>2.5325860521343113</v>
      </c>
      <c r="J49" s="55" cm="1">
        <f t="array" ref="J49">(VLOOKUP($A49,'The List'!$B1:$AH671,22,FALSE)-AVERAGE('The List'!W2:W671))/STDEV('The List'!W2:W671)</f>
        <v>2.9735470888992546</v>
      </c>
      <c r="K49" s="55" cm="1">
        <f t="array" ref="K49">(VLOOKUP($A49,'The List'!$B1:$AH671,23,FALSE)-AVERAGE('The List'!X2:X671))/STDEV('The List'!X2:X671)</f>
        <v>1.6464727530042798</v>
      </c>
      <c r="L49" s="55" cm="1">
        <f t="array" ref="L49">(VLOOKUP($A49,'The List'!$B1:$AH671,24,FALSE)-AVERAGE('The List'!Y2:Y671))/STDEV('The List'!Y2:Y671)</f>
        <v>-0.47546929358800777</v>
      </c>
      <c r="M49" s="55" cm="1">
        <f t="array" ref="M49">(VLOOKUP($A49,'The List'!$B1:$AH671,25,FALSE)-AVERAGE('The List'!Z2:Z671))/STDEV('The List'!Z2:Z671)</f>
        <v>-0.64388478613809508</v>
      </c>
      <c r="N49" s="55" cm="1">
        <f t="array" ref="N49">(VLOOKUP($A49,'The List'!$B1:$AH671,26,FALSE)-AVERAGE('The List'!AA2:AA671))/STDEV('The List'!AA2:AA671)</f>
        <v>-0.59315720955522822</v>
      </c>
      <c r="O49" s="55" cm="1">
        <f t="array" ref="O49">(VLOOKUP($A49,'The List'!$B1:$AH671,27,FALSE)-AVERAGE('The List'!AB2:AB671))/STDEV('The List'!AB2:AB671)</f>
        <v>-0.85618822049388477</v>
      </c>
      <c r="P49" s="55" cm="1">
        <f t="array" ref="P49">(VLOOKUP($A49,'The List'!$B1:$AH671,28,FALSE)-AVERAGE('The List'!AC2:AC671))/STDEV('The List'!AC2:AC671)</f>
        <v>7.7370045994066453E-2</v>
      </c>
      <c r="Q49" s="55" cm="1">
        <f t="array" ref="Q49">(VLOOKUP($A49,'The List'!$B1:$AH671,29,FALSE)-AVERAGE('The List'!AD2:AD671))/STDEV('The List'!AD2:AD671)</f>
        <v>-0.20161052053112102</v>
      </c>
      <c r="R49" s="55" cm="1">
        <f t="array" ref="R49">(VLOOKUP($A49,'The List'!$B1:$AH671,30,FALSE)-AVERAGE('The List'!AE2:AE671))/STDEV('The List'!AE2:AE671)</f>
        <v>2.3234403923825284</v>
      </c>
      <c r="S49" s="55" cm="1">
        <f t="array" ref="S49">(VLOOKUP($A49,'The List'!$B1:$AH671,31,FALSE)-AVERAGE('The List'!AF2:AF671))/STDEV('The List'!AF2:AF671)</f>
        <v>-0.4948562927551523</v>
      </c>
      <c r="T49" s="55" cm="1">
        <f t="array" ref="T49">(VLOOKUP($A49,'The List'!$B1:$AH671,32,FALSE)-AVERAGE('The List'!AG2:AG671))/STDEV('The List'!AG2:AG671)</f>
        <v>-0.49251669239363571</v>
      </c>
      <c r="U49" s="55" cm="1">
        <f t="array" ref="U49">(VLOOKUP($A49,'The List'!$B1:$AH671,33,FALSE)-AVERAGE('The List'!AH2:AH671))/STDEV('The List'!AH2:AH671)</f>
        <v>0.63070553979323463</v>
      </c>
      <c r="V49" s="55"/>
      <c r="W49" s="77"/>
      <c r="X49" s="57"/>
      <c r="Y49" s="57"/>
      <c r="Z49" s="57"/>
      <c r="AA49" s="57"/>
      <c r="AB49" s="57"/>
      <c r="AC49" s="60"/>
      <c r="AD49" s="61"/>
      <c r="AE49" s="55"/>
    </row>
    <row r="50" spans="1:31" ht="21.25" customHeight="1" x14ac:dyDescent="0.15">
      <c r="A50" s="10" t="s">
        <v>166</v>
      </c>
      <c r="B50" s="18" t="str" cm="1">
        <f t="array" ref="B50">VLOOKUP(A50,'Player Data'!A1:B673,2,FALSE)</f>
        <v>UTA</v>
      </c>
      <c r="C50" s="52" cm="1">
        <f t="array" ref="C50">((E50)*Settings!$C$12)+(F50*Settings!$C$2)+(G50*Settings!$C$3)+(H50*Settings!$C$4)+(I50*Settings!$C$5)+(K50*Settings!$C$9)+(N50*Settings!$C$6)+(J50*Settings!$C$8)+(O50*Settings!$C$7)+(P50*Settings!$C$14)+(Q50*Settings!$C$15)+(R50*Settings!$C$16)+(S50*Settings!$C$17)+(T50*Settings!$C$18)+(U50*Settings!$C$19)+(L50*Settings!$C$10)+(Settings!$C$11*M50)</f>
        <v>8.5418971934080048</v>
      </c>
      <c r="D50" s="57" cm="1">
        <f t="array" ref="D50">IF(Settings!$E$12="YES",VLOOKUP(A50,'Player Data'!A1:E673,5,FALSE),82)</f>
        <v>81</v>
      </c>
      <c r="E50" s="55" cm="1">
        <f t="array" ref="E50">(VLOOKUP($A50,'The List'!$B1:$AH671,17,FALSE)-AVERAGE('The List'!R2:R671))/STDEV('The List'!R2:R671)</f>
        <v>0.25855510574245916</v>
      </c>
      <c r="F50" s="55" cm="1">
        <f t="array" ref="F50">(VLOOKUP($A50,'The List'!$B1:$AH671,18,FALSE)-AVERAGE('The List'!S2:S671))/STDEV('The List'!S2:S671)</f>
        <v>2.6287444499887913</v>
      </c>
      <c r="G50" s="55" cm="1">
        <f t="array" ref="G50">(VLOOKUP($A50,'The List'!$B1:$AH671,19,FALSE)-AVERAGE('The List'!T2:T671))/STDEV('The List'!T2:T671)</f>
        <v>1.2805192898238871</v>
      </c>
      <c r="H50" s="55" cm="1">
        <f t="array" ref="H50">(VLOOKUP($A50,'The List'!$B1:$AH671,20,FALSE)-AVERAGE('The List'!U2:U671))/STDEV('The List'!U2:U671)</f>
        <v>1.9700356036089088</v>
      </c>
      <c r="I50" s="55" cm="1">
        <f t="array" ref="I50">(VLOOKUP($A50,'The List'!$B1:$AH671,21,FALSE)-AVERAGE('The List'!V2:V671))/STDEV('The List'!V2:V671)</f>
        <v>2.2388813096360196</v>
      </c>
      <c r="J50" s="55" cm="1">
        <f t="array" ref="J50">(VLOOKUP($A50,'The List'!$B1:$AH671,22,FALSE)-AVERAGE('The List'!W2:W671))/STDEV('The List'!W2:W671)</f>
        <v>2.7067408952321084</v>
      </c>
      <c r="K50" s="55" cm="1">
        <f t="array" ref="K50">(VLOOKUP($A50,'The List'!$B1:$AH671,23,FALSE)-AVERAGE('The List'!X2:X671))/STDEV('The List'!X2:X671)</f>
        <v>2.2428021795332391</v>
      </c>
      <c r="L50" s="55" cm="1">
        <f t="array" ref="L50">(VLOOKUP($A50,'The List'!$B1:$AH671,24,FALSE)-AVERAGE('The List'!Y2:Y671))/STDEV('The List'!Y2:Y671)</f>
        <v>-0.47546929358800777</v>
      </c>
      <c r="M50" s="55" cm="1">
        <f t="array" ref="M50">(VLOOKUP($A50,'The List'!$B1:$AH671,25,FALSE)-AVERAGE('The List'!Z2:Z671))/STDEV('The List'!Z2:Z671)</f>
        <v>-0.64388478613809508</v>
      </c>
      <c r="N50" s="55" cm="1">
        <f t="array" ref="N50">(VLOOKUP($A50,'The List'!$B1:$AH671,26,FALSE)-AVERAGE('The List'!AA2:AA671))/STDEV('The List'!AA2:AA671)</f>
        <v>-0.71268890712197719</v>
      </c>
      <c r="O50" s="55" cm="1">
        <f t="array" ref="O50">(VLOOKUP($A50,'The List'!$B1:$AH671,27,FALSE)-AVERAGE('The List'!AB2:AB671))/STDEV('The List'!AB2:AB671)</f>
        <v>-0.32424581612917003</v>
      </c>
      <c r="P50" s="55" cm="1">
        <f t="array" ref="P50">(VLOOKUP($A50,'The List'!$B1:$AH671,28,FALSE)-AVERAGE('The List'!AC2:AC671))/STDEV('The List'!AC2:AC671)</f>
        <v>0.47519578055523942</v>
      </c>
      <c r="Q50" s="55" cm="1">
        <f t="array" ref="Q50">(VLOOKUP($A50,'The List'!$B1:$AH671,29,FALSE)-AVERAGE('The List'!AD2:AD671))/STDEV('The List'!AD2:AD671)</f>
        <v>-9.9650054574960775E-2</v>
      </c>
      <c r="R50" s="55" cm="1">
        <f t="array" ref="R50">(VLOOKUP($A50,'The List'!$B1:$AH671,30,FALSE)-AVERAGE('The List'!AE2:AE671))/STDEV('The List'!AE2:AE671)</f>
        <v>2.5461365993256875</v>
      </c>
      <c r="S50" s="55" cm="1">
        <f t="array" ref="S50">(VLOOKUP($A50,'The List'!$B1:$AH671,31,FALSE)-AVERAGE('The List'!AF2:AF671))/STDEV('The List'!AF2:AF671)</f>
        <v>-0.49067357255249539</v>
      </c>
      <c r="T50" s="55" cm="1">
        <f t="array" ref="T50">(VLOOKUP($A50,'The List'!$B1:$AH671,32,FALSE)-AVERAGE('The List'!AG2:AG671))/STDEV('The List'!AG2:AG671)</f>
        <v>-0.44842353305410687</v>
      </c>
      <c r="U50" s="55" cm="1">
        <f t="array" ref="U50">(VLOOKUP($A50,'The List'!$B1:$AH671,33,FALSE)-AVERAGE('The List'!AH2:AH671))/STDEV('The List'!AH2:AH671)</f>
        <v>0.40070941684540695</v>
      </c>
      <c r="V50" s="55"/>
      <c r="W50" s="77"/>
      <c r="X50" s="57"/>
      <c r="Y50" s="57"/>
      <c r="Z50" s="57"/>
      <c r="AA50" s="57"/>
      <c r="AB50" s="57"/>
      <c r="AC50" s="60"/>
      <c r="AD50" s="61"/>
      <c r="AE50" s="55"/>
    </row>
    <row r="51" spans="1:31" ht="21.25" customHeight="1" x14ac:dyDescent="0.15">
      <c r="A51" s="10" t="s">
        <v>209</v>
      </c>
      <c r="B51" s="18" t="str" cm="1">
        <f t="array" ref="B51">VLOOKUP(A51,'Player Data'!A1:B673,2,FALSE)</f>
        <v>UTA</v>
      </c>
      <c r="C51" s="52" cm="1">
        <f t="array" ref="C51">((E51)*Settings!$C$12)+(F51*Settings!$C$2)+(G51*Settings!$C$3)+(H51*Settings!$C$4)+(I51*Settings!$C$5)+(K51*Settings!$C$9)+(N51*Settings!$C$6)+(J51*Settings!$C$8)+(O51*Settings!$C$7)+(P51*Settings!$C$14)+(Q51*Settings!$C$15)+(R51*Settings!$C$16)+(S51*Settings!$C$17)+(T51*Settings!$C$18)+(U51*Settings!$C$19)+(L51*Settings!$C$10)+(Settings!$C$11*M51)</f>
        <v>6.498822946941254</v>
      </c>
      <c r="D51" s="57" cm="1">
        <f t="array" ref="D51">IF(Settings!$E$12="YES",VLOOKUP(A51,'Player Data'!A1:E673,5,FALSE),82)</f>
        <v>78</v>
      </c>
      <c r="E51" s="55" cm="1">
        <f t="array" ref="E51">(VLOOKUP($A51,'The List'!$B1:$AH671,17,FALSE)-AVERAGE('The List'!R2:R671))/STDEV('The List'!R2:R671)</f>
        <v>0.62580464820336701</v>
      </c>
      <c r="F51" s="55" cm="1">
        <f t="array" ref="F51">(VLOOKUP($A51,'The List'!$B1:$AH671,18,FALSE)-AVERAGE('The List'!S2:S671))/STDEV('The List'!S2:S671)</f>
        <v>2.1380576962008875</v>
      </c>
      <c r="G51" s="55" cm="1">
        <f t="array" ref="G51">(VLOOKUP($A51,'The List'!$B1:$AH671,19,FALSE)-AVERAGE('The List'!T2:T671))/STDEV('The List'!T2:T671)</f>
        <v>1.352409053126977</v>
      </c>
      <c r="H51" s="55" cm="1">
        <f t="array" ref="H51">(VLOOKUP($A51,'The List'!$B1:$AH671,20,FALSE)-AVERAGE('The List'!U2:U671))/STDEV('The List'!U2:U671)</f>
        <v>1.7978927234533404</v>
      </c>
      <c r="I51" s="55" cm="1">
        <f t="array" ref="I51">(VLOOKUP($A51,'The List'!$B1:$AH671,21,FALSE)-AVERAGE('The List'!V2:V671))/STDEV('The List'!V2:V671)</f>
        <v>0.97136121338181225</v>
      </c>
      <c r="J51" s="55" cm="1">
        <f t="array" ref="J51">(VLOOKUP($A51,'The List'!$B1:$AH671,22,FALSE)-AVERAGE('The List'!W2:W671))/STDEV('The List'!W2:W671)</f>
        <v>2.1051840734856828</v>
      </c>
      <c r="K51" s="55" cm="1">
        <f t="array" ref="K51">(VLOOKUP($A51,'The List'!$B1:$AH671,23,FALSE)-AVERAGE('The List'!X2:X671))/STDEV('The List'!X2:X671)</f>
        <v>1.7851540149877589</v>
      </c>
      <c r="L51" s="55" cm="1">
        <f t="array" ref="L51">(VLOOKUP($A51,'The List'!$B1:$AH671,24,FALSE)-AVERAGE('The List'!Y2:Y671))/STDEV('The List'!Y2:Y671)</f>
        <v>0.95438708567894381</v>
      </c>
      <c r="M51" s="55" cm="1">
        <f t="array" ref="M51">(VLOOKUP($A51,'The List'!$B1:$AH671,25,FALSE)-AVERAGE('The List'!Z2:Z671))/STDEV('The List'!Z2:Z671)</f>
        <v>0.20367838942166649</v>
      </c>
      <c r="N51" s="55" cm="1">
        <f t="array" ref="N51">(VLOOKUP($A51,'The List'!$B1:$AH671,26,FALSE)-AVERAGE('The List'!AA2:AA671))/STDEV('The List'!AA2:AA671)</f>
        <v>-0.62687127809969589</v>
      </c>
      <c r="O51" s="55" cm="1">
        <f t="array" ref="O51">(VLOOKUP($A51,'The List'!$B1:$AH671,27,FALSE)-AVERAGE('The List'!AB2:AB671))/STDEV('The List'!AB2:AB671)</f>
        <v>-0.20186831500942642</v>
      </c>
      <c r="P51" s="55" cm="1">
        <f t="array" ref="P51">(VLOOKUP($A51,'The List'!$B1:$AH671,28,FALSE)-AVERAGE('The List'!AC2:AC671))/STDEV('The List'!AC2:AC671)</f>
        <v>0.45370928425324475</v>
      </c>
      <c r="Q51" s="55" cm="1">
        <f t="array" ref="Q51">(VLOOKUP($A51,'The List'!$B1:$AH671,29,FALSE)-AVERAGE('The List'!AD2:AD671))/STDEV('The List'!AD2:AD671)</f>
        <v>0.56530950600869179</v>
      </c>
      <c r="R51" s="55" cm="1">
        <f t="array" ref="R51">(VLOOKUP($A51,'The List'!$B1:$AH671,30,FALSE)-AVERAGE('The List'!AE2:AE671))/STDEV('The List'!AE2:AE671)</f>
        <v>2.4020390536565848</v>
      </c>
      <c r="S51" s="55" cm="1">
        <f t="array" ref="S51">(VLOOKUP($A51,'The List'!$B1:$AH671,31,FALSE)-AVERAGE('The List'!AF2:AF671))/STDEV('The List'!AF2:AF671)</f>
        <v>1.3091942001701111</v>
      </c>
      <c r="T51" s="55" cm="1">
        <f t="array" ref="T51">(VLOOKUP($A51,'The List'!$B1:$AH671,32,FALSE)-AVERAGE('The List'!AG2:AG671))/STDEV('The List'!AG2:AG671)</f>
        <v>2.05600667693205</v>
      </c>
      <c r="U51" s="55" cm="1">
        <f t="array" ref="U51">(VLOOKUP($A51,'The List'!$B1:$AH671,33,FALSE)-AVERAGE('The List'!AH2:AH671))/STDEV('The List'!AH2:AH671)</f>
        <v>0.72270398897236576</v>
      </c>
      <c r="V51" s="55"/>
      <c r="W51" s="77"/>
      <c r="X51" s="57"/>
      <c r="Y51" s="57"/>
      <c r="Z51" s="57"/>
      <c r="AA51" s="57"/>
      <c r="AB51" s="57"/>
      <c r="AC51" s="60"/>
      <c r="AD51" s="61"/>
      <c r="AE51" s="55"/>
    </row>
    <row r="52" spans="1:31" ht="21.25" customHeight="1" x14ac:dyDescent="0.15">
      <c r="A52" s="10" t="s">
        <v>187</v>
      </c>
      <c r="B52" s="18" t="str" cm="1">
        <f t="array" ref="B52">VLOOKUP(A52,'Player Data'!A1:B673,2,FALSE)</f>
        <v>NSH</v>
      </c>
      <c r="C52" s="52" cm="1">
        <f t="array" ref="C52">((E52)*Settings!$C$12)+(F52*Settings!$C$2)+(G52*Settings!$C$3)+(H52*Settings!$C$4)+(I52*Settings!$C$5)+(K52*Settings!$C$9)+(N52*Settings!$C$6)+(J52*Settings!$C$8)+(O52*Settings!$C$7)+(P52*Settings!$C$14)+(Q52*Settings!$C$15)+(R52*Settings!$C$16)+(S52*Settings!$C$17)+(T52*Settings!$C$18)+(U52*Settings!$C$19)+(L52*Settings!$C$10)+(Settings!$C$11*M52)</f>
        <v>7.8369395181287853</v>
      </c>
      <c r="D52" s="57" cm="1">
        <f t="array" ref="D52">IF(Settings!$E$12="YES",VLOOKUP(A52,'Player Data'!A1:E673,5,FALSE),82)</f>
        <v>84</v>
      </c>
      <c r="E52" s="55" cm="1">
        <f t="array" ref="E52">(VLOOKUP($A52,'The List'!$B1:$AH671,17,FALSE)-AVERAGE('The List'!R2:R671))/STDEV('The List'!R2:R671)</f>
        <v>0.5471083176760293</v>
      </c>
      <c r="F52" s="55" cm="1">
        <f t="array" ref="F52">(VLOOKUP($A52,'The List'!$B1:$AH671,18,FALSE)-AVERAGE('The List'!S2:S671))/STDEV('The List'!S2:S671)</f>
        <v>2.2320635782566542</v>
      </c>
      <c r="G52" s="55" cm="1">
        <f t="array" ref="G52">(VLOOKUP($A52,'The List'!$B1:$AH671,19,FALSE)-AVERAGE('The List'!T2:T671))/STDEV('The List'!T2:T671)</f>
        <v>1.171103491717425</v>
      </c>
      <c r="H52" s="55" cm="1">
        <f t="array" ref="H52">(VLOOKUP($A52,'The List'!$B1:$AH671,20,FALSE)-AVERAGE('The List'!U2:U671))/STDEV('The List'!U2:U671)</f>
        <v>1.725481311615944</v>
      </c>
      <c r="I52" s="55" cm="1">
        <f t="array" ref="I52">(VLOOKUP($A52,'The List'!$B1:$AH671,21,FALSE)-AVERAGE('The List'!V2:V671))/STDEV('The List'!V2:V671)</f>
        <v>2.4890473626966405</v>
      </c>
      <c r="J52" s="55" cm="1">
        <f t="array" ref="J52">(VLOOKUP($A52,'The List'!$B1:$AH671,22,FALSE)-AVERAGE('The List'!W2:W671))/STDEV('The List'!W2:W671)</f>
        <v>2.0455255457091779</v>
      </c>
      <c r="K52" s="55" cm="1">
        <f t="array" ref="K52">(VLOOKUP($A52,'The List'!$B1:$AH671,23,FALSE)-AVERAGE('The List'!X2:X671))/STDEV('The List'!X2:X671)</f>
        <v>1.730887434211615</v>
      </c>
      <c r="L52" s="55" cm="1">
        <f t="array" ref="L52">(VLOOKUP($A52,'The List'!$B1:$AH671,24,FALSE)-AVERAGE('The List'!Y2:Y671))/STDEV('The List'!Y2:Y671)</f>
        <v>-0.47546929358800777</v>
      </c>
      <c r="M52" s="55" cm="1">
        <f t="array" ref="M52">(VLOOKUP($A52,'The List'!$B1:$AH671,25,FALSE)-AVERAGE('The List'!Z2:Z671))/STDEV('The List'!Z2:Z671)</f>
        <v>-0.64388478613809508</v>
      </c>
      <c r="N52" s="55" cm="1">
        <f t="array" ref="N52">(VLOOKUP($A52,'The List'!$B1:$AH671,26,FALSE)-AVERAGE('The List'!AA2:AA671))/STDEV('The List'!AA2:AA671)</f>
        <v>-0.59315720955522822</v>
      </c>
      <c r="O52" s="55" cm="1">
        <f t="array" ref="O52">(VLOOKUP($A52,'The List'!$B1:$AH671,27,FALSE)-AVERAGE('The List'!AB2:AB671))/STDEV('The List'!AB2:AB671)</f>
        <v>0.8657062676231112</v>
      </c>
      <c r="P52" s="55" cm="1">
        <f t="array" ref="P52">(VLOOKUP($A52,'The List'!$B1:$AH671,28,FALSE)-AVERAGE('The List'!AC2:AC671))/STDEV('The List'!AC2:AC671)</f>
        <v>-0.65186861637665983</v>
      </c>
      <c r="Q52" s="55" cm="1">
        <f t="array" ref="Q52">(VLOOKUP($A52,'The List'!$B1:$AH671,29,FALSE)-AVERAGE('The List'!AD2:AD671))/STDEV('The List'!AD2:AD671)</f>
        <v>0.60520707964371079</v>
      </c>
      <c r="R52" s="55" cm="1">
        <f t="array" ref="R52">(VLOOKUP($A52,'The List'!$B1:$AH671,30,FALSE)-AVERAGE('The List'!AE2:AE671))/STDEV('The List'!AE2:AE671)</f>
        <v>1.7994493172221533</v>
      </c>
      <c r="S52" s="55" cm="1">
        <f t="array" ref="S52">(VLOOKUP($A52,'The List'!$B1:$AH671,31,FALSE)-AVERAGE('The List'!AF2:AF671))/STDEV('The List'!AF2:AF671)</f>
        <v>-0.54735664288505281</v>
      </c>
      <c r="T52" s="55" cm="1">
        <f t="array" ref="T52">(VLOOKUP($A52,'The List'!$B1:$AH671,32,FALSE)-AVERAGE('The List'!AG2:AG671))/STDEV('The List'!AG2:AG671)</f>
        <v>-0.54824554655887359</v>
      </c>
      <c r="U52" s="55" cm="1">
        <f t="array" ref="U52">(VLOOKUP($A52,'The List'!$B1:$AH671,33,FALSE)-AVERAGE('The List'!AH2:AH671))/STDEV('The List'!AH2:AH671)</f>
        <v>0.26271174307671047</v>
      </c>
      <c r="V52" s="55"/>
      <c r="W52" s="77"/>
      <c r="X52" s="57"/>
      <c r="Y52" s="57"/>
      <c r="Z52" s="57"/>
      <c r="AA52" s="57"/>
      <c r="AB52" s="57"/>
      <c r="AC52" s="60"/>
      <c r="AD52" s="61"/>
      <c r="AE52" s="55"/>
    </row>
    <row r="53" spans="1:31" ht="21.25" customHeight="1" x14ac:dyDescent="0.15">
      <c r="A53" s="10" t="s">
        <v>204</v>
      </c>
      <c r="B53" s="18" t="str" cm="1">
        <f t="array" ref="B53">VLOOKUP(A53,'Player Data'!A1:B673,2,FALSE)</f>
        <v>CBJ</v>
      </c>
      <c r="C53" s="52" cm="1">
        <f t="array" ref="C53">((E53)*Settings!$C$12)+(F53*Settings!$C$2)+(G53*Settings!$C$3)+(H53*Settings!$C$4)+(I53*Settings!$C$5)+(K53*Settings!$C$9)+(N53*Settings!$C$6)+(J53*Settings!$C$8)+(O53*Settings!$C$7)+(P53*Settings!$C$14)+(Q53*Settings!$C$15)+(R53*Settings!$C$16)+(S53*Settings!$C$17)+(T53*Settings!$C$18)+(U53*Settings!$C$19)+(L53*Settings!$C$10)+(Settings!$C$11*M53)</f>
        <v>6.8789598675774295</v>
      </c>
      <c r="D53" s="57" cm="1">
        <f t="array" ref="D53">IF(Settings!$E$12="YES",VLOOKUP(A53,'Player Data'!A1:E673,5,FALSE),82)</f>
        <v>82</v>
      </c>
      <c r="E53" s="55" cm="1">
        <f t="array" ref="E53">(VLOOKUP($A53,'The List'!$B1:$AH671,17,FALSE)-AVERAGE('The List'!R2:R671))/STDEV('The List'!R2:R671)</f>
        <v>0.62580464820336701</v>
      </c>
      <c r="F53" s="55" cm="1">
        <f t="array" ref="F53">(VLOOKUP($A53,'The List'!$B1:$AH671,18,FALSE)-AVERAGE('The List'!S2:S671))/STDEV('The List'!S2:S671)</f>
        <v>1.6552546628826295</v>
      </c>
      <c r="G53" s="55" cm="1">
        <f t="array" ref="G53">(VLOOKUP($A53,'The List'!$B1:$AH671,19,FALSE)-AVERAGE('The List'!T2:T671))/STDEV('The List'!T2:T671)</f>
        <v>1.3917621982391273</v>
      </c>
      <c r="H53" s="55" cm="1">
        <f t="array" ref="H53">(VLOOKUP($A53,'The List'!$B1:$AH671,20,FALSE)-AVERAGE('The List'!U2:U671))/STDEV('The List'!U2:U671)</f>
        <v>1.6087742742223385</v>
      </c>
      <c r="I53" s="55" cm="1">
        <f t="array" ref="I53">(VLOOKUP($A53,'The List'!$B1:$AH671,21,FALSE)-AVERAGE('The List'!V2:V671))/STDEV('The List'!V2:V671)</f>
        <v>1.8677571753241546</v>
      </c>
      <c r="J53" s="55" cm="1">
        <f t="array" ref="J53">(VLOOKUP($A53,'The List'!$B1:$AH671,22,FALSE)-AVERAGE('The List'!W2:W671))/STDEV('The List'!W2:W671)</f>
        <v>1.2997939485028662</v>
      </c>
      <c r="K53" s="55" cm="1">
        <f t="array" ref="K53">(VLOOKUP($A53,'The List'!$B1:$AH671,23,FALSE)-AVERAGE('The List'!X2:X671))/STDEV('The List'!X2:X671)</f>
        <v>1.6705912333492328</v>
      </c>
      <c r="L53" s="55" cm="1">
        <f t="array" ref="L53">(VLOOKUP($A53,'The List'!$B1:$AH671,24,FALSE)-AVERAGE('The List'!Y2:Y671))/STDEV('The List'!Y2:Y671)</f>
        <v>-0.47546929358800777</v>
      </c>
      <c r="M53" s="55" cm="1">
        <f t="array" ref="M53">(VLOOKUP($A53,'The List'!$B1:$AH671,25,FALSE)-AVERAGE('The List'!Z2:Z671))/STDEV('The List'!Z2:Z671)</f>
        <v>-0.64388478613809508</v>
      </c>
      <c r="N53" s="55" cm="1">
        <f t="array" ref="N53">(VLOOKUP($A53,'The List'!$B1:$AH671,26,FALSE)-AVERAGE('The List'!AA2:AA671))/STDEV('The List'!AA2:AA671)</f>
        <v>-0.53390217999222445</v>
      </c>
      <c r="O53" s="55" cm="1">
        <f t="array" ref="O53">(VLOOKUP($A53,'The List'!$B1:$AH671,27,FALSE)-AVERAGE('The List'!AB2:AB671))/STDEV('The List'!AB2:AB671)</f>
        <v>-0.49131057896433089</v>
      </c>
      <c r="P53" s="55" cm="1">
        <f t="array" ref="P53">(VLOOKUP($A53,'The List'!$B1:$AH671,28,FALSE)-AVERAGE('The List'!AC2:AC671))/STDEV('The List'!AC2:AC671)</f>
        <v>0.78490517674661642</v>
      </c>
      <c r="Q53" s="55" cm="1">
        <f t="array" ref="Q53">(VLOOKUP($A53,'The List'!$B1:$AH671,29,FALSE)-AVERAGE('The List'!AD2:AD671))/STDEV('The List'!AD2:AD671)</f>
        <v>-0.19274439305667224</v>
      </c>
      <c r="R53" s="55" cm="1">
        <f t="array" ref="R53">(VLOOKUP($A53,'The List'!$B1:$AH671,30,FALSE)-AVERAGE('The List'!AE2:AE671))/STDEV('The List'!AE2:AE671)</f>
        <v>1.7245934493420998</v>
      </c>
      <c r="S53" s="55" cm="1">
        <f t="array" ref="S53">(VLOOKUP($A53,'The List'!$B1:$AH671,31,FALSE)-AVERAGE('The List'!AF2:AF671))/STDEV('The List'!AF2:AF671)</f>
        <v>-0.5485104967340616</v>
      </c>
      <c r="T53" s="55" cm="1">
        <f t="array" ref="T53">(VLOOKUP($A53,'The List'!$B1:$AH671,32,FALSE)-AVERAGE('The List'!AG2:AG671))/STDEV('The List'!AG2:AG671)</f>
        <v>-0.56733216877297521</v>
      </c>
      <c r="U53" s="55" cm="1">
        <f t="array" ref="U53">(VLOOKUP($A53,'The List'!$B1:$AH671,33,FALSE)-AVERAGE('The List'!AH2:AH671))/STDEV('The List'!AH2:AH671)</f>
        <v>0.58470631520366922</v>
      </c>
      <c r="V53" s="55"/>
      <c r="W53" s="57"/>
      <c r="X53" s="55"/>
      <c r="Y53" s="55"/>
      <c r="Z53" s="55"/>
      <c r="AA53" s="55"/>
      <c r="AB53" s="55"/>
      <c r="AC53" s="55"/>
      <c r="AD53" s="55"/>
      <c r="AE53" s="55"/>
    </row>
    <row r="54" spans="1:31" ht="21.25" customHeight="1" x14ac:dyDescent="0.15">
      <c r="A54" s="10" t="s">
        <v>227</v>
      </c>
      <c r="B54" s="18" t="str" cm="1">
        <f t="array" ref="B54">VLOOKUP(A54,'Player Data'!A1:B673,2,FALSE)</f>
        <v>DAL</v>
      </c>
      <c r="C54" s="52" cm="1">
        <f t="array" ref="C54">((E54)*Settings!$C$12)+(F54*Settings!$C$2)+(G54*Settings!$C$3)+(H54*Settings!$C$4)+(I54*Settings!$C$5)+(K54*Settings!$C$9)+(N54*Settings!$C$6)+(J54*Settings!$C$8)+(O54*Settings!$C$7)+(P54*Settings!$C$14)+(Q54*Settings!$C$15)+(R54*Settings!$C$16)+(S54*Settings!$C$17)+(T54*Settings!$C$18)+(U54*Settings!$C$19)+(L54*Settings!$C$10)+(Settings!$C$11*M54)</f>
        <v>5.8259822016433942</v>
      </c>
      <c r="D54" s="57" cm="1">
        <f t="array" ref="D54">IF(Settings!$E$12="YES",VLOOKUP(A54,'Player Data'!A1:E673,5,FALSE),82)</f>
        <v>78</v>
      </c>
      <c r="E54" s="55" cm="1">
        <f t="array" ref="E54">(VLOOKUP($A54,'The List'!$B1:$AH671,17,FALSE)-AVERAGE('The List'!R2:R671))/STDEV('The List'!R2:R671)</f>
        <v>0.3634835464455754</v>
      </c>
      <c r="F54" s="55" cm="1">
        <f t="array" ref="F54">(VLOOKUP($A54,'The List'!$B1:$AH671,18,FALSE)-AVERAGE('The List'!S2:S671))/STDEV('The List'!S2:S671)</f>
        <v>1.1962025849033018</v>
      </c>
      <c r="G54" s="55" cm="1">
        <f t="array" ref="G54">(VLOOKUP($A54,'The List'!$B1:$AH671,19,FALSE)-AVERAGE('The List'!T2:T671))/STDEV('The List'!T2:T671)</f>
        <v>1.0783425068102126</v>
      </c>
      <c r="H54" s="55" cm="1">
        <f t="array" ref="H54">(VLOOKUP($A54,'The List'!$B1:$AH671,20,FALSE)-AVERAGE('The List'!U2:U671))/STDEV('The List'!U2:U671)</f>
        <v>1.2082569413488291</v>
      </c>
      <c r="I54" s="55" cm="1">
        <f t="array" ref="I54">(VLOOKUP($A54,'The List'!$B1:$AH671,21,FALSE)-AVERAGE('The List'!V2:V671))/STDEV('The List'!V2:V671)</f>
        <v>0.9289109911800828</v>
      </c>
      <c r="J54" s="55" cm="1">
        <f t="array" ref="J54">(VLOOKUP($A54,'The List'!$B1:$AH671,22,FALSE)-AVERAGE('The List'!W2:W671))/STDEV('The List'!W2:W671)</f>
        <v>1.2003630688753577</v>
      </c>
      <c r="K54" s="55" cm="1">
        <f t="array" ref="K54">(VLOOKUP($A54,'The List'!$B1:$AH671,23,FALSE)-AVERAGE('The List'!X2:X671))/STDEV('The List'!X2:X671)</f>
        <v>1.2364585871400817</v>
      </c>
      <c r="L54" s="55" cm="1">
        <f t="array" ref="L54">(VLOOKUP($A54,'The List'!$B1:$AH671,24,FALSE)-AVERAGE('The List'!Y2:Y671))/STDEV('The List'!Y2:Y671)</f>
        <v>-0.47546929358800777</v>
      </c>
      <c r="M54" s="55" cm="1">
        <f t="array" ref="M54">(VLOOKUP($A54,'The List'!$B1:$AH671,25,FALSE)-AVERAGE('The List'!Z2:Z671))/STDEV('The List'!Z2:Z671)</f>
        <v>0.20367838942166649</v>
      </c>
      <c r="N54" s="55" cm="1">
        <f t="array" ref="N54">(VLOOKUP($A54,'The List'!$B1:$AH671,26,FALSE)-AVERAGE('The List'!AA2:AA671))/STDEV('The List'!AA2:AA671)</f>
        <v>-0.68663712688307044</v>
      </c>
      <c r="O54" s="55" cm="1">
        <f t="array" ref="O54">(VLOOKUP($A54,'The List'!$B1:$AH671,27,FALSE)-AVERAGE('The List'!AB2:AB671))/STDEV('The List'!AB2:AB671)</f>
        <v>-0.20186831500942642</v>
      </c>
      <c r="P54" s="55" cm="1">
        <f t="array" ref="P54">(VLOOKUP($A54,'The List'!$B1:$AH671,28,FALSE)-AVERAGE('The List'!AC2:AC671))/STDEV('The List'!AC2:AC671)</f>
        <v>1.5879358466191424</v>
      </c>
      <c r="Q54" s="55" cm="1">
        <f t="array" ref="Q54">(VLOOKUP($A54,'The List'!$B1:$AH671,29,FALSE)-AVERAGE('The List'!AD2:AD671))/STDEV('The List'!AD2:AD671)</f>
        <v>-0.18387826558222348</v>
      </c>
      <c r="R54" s="55" cm="1">
        <f t="array" ref="R54">(VLOOKUP($A54,'The List'!$B1:$AH671,30,FALSE)-AVERAGE('The List'!AE2:AE671))/STDEV('The List'!AE2:AE671)</f>
        <v>1.5748817135819926</v>
      </c>
      <c r="S54" s="55" cm="1">
        <f t="array" ref="S54">(VLOOKUP($A54,'The List'!$B1:$AH671,31,FALSE)-AVERAGE('The List'!AF2:AF671))/STDEV('The List'!AF2:AF671)</f>
        <v>2.0741993020629477</v>
      </c>
      <c r="T54" s="55" cm="1">
        <f t="array" ref="T54">(VLOOKUP($A54,'The List'!$B1:$AH671,32,FALSE)-AVERAGE('The List'!AG2:AG671))/STDEV('The List'!AG2:AG671)</f>
        <v>1.5584276218852831</v>
      </c>
      <c r="U54" s="55" cm="1">
        <f t="array" ref="U54">(VLOOKUP($A54,'The List'!$B1:$AH671,33,FALSE)-AVERAGE('The List'!AH2:AH671))/STDEV('The List'!AH2:AH671)</f>
        <v>1.320693908636718</v>
      </c>
      <c r="V54" s="55"/>
      <c r="W54" s="57"/>
      <c r="X54" s="55"/>
      <c r="Y54" s="55"/>
      <c r="Z54" s="55"/>
      <c r="AA54" s="55"/>
      <c r="AB54" s="55"/>
      <c r="AC54" s="55"/>
      <c r="AD54" s="55"/>
      <c r="AE54" s="55"/>
    </row>
    <row r="55" spans="1:31" ht="21.25" customHeight="1" x14ac:dyDescent="0.15">
      <c r="A55" s="10" t="s">
        <v>210</v>
      </c>
      <c r="B55" s="18" t="str" cm="1">
        <f t="array" ref="B55">VLOOKUP(A55,'Player Data'!A1:B673,2,FALSE)</f>
        <v>L.A</v>
      </c>
      <c r="C55" s="52" cm="1">
        <f t="array" ref="C55">((E55)*Settings!$C$12)+(F55*Settings!$C$2)+(G55*Settings!$C$3)+(H55*Settings!$C$4)+(I55*Settings!$C$5)+(K55*Settings!$C$9)+(N55*Settings!$C$6)+(J55*Settings!$C$8)+(O55*Settings!$C$7)+(P55*Settings!$C$14)+(Q55*Settings!$C$15)+(R55*Settings!$C$16)+(S55*Settings!$C$17)+(T55*Settings!$C$18)+(U55*Settings!$C$19)+(L55*Settings!$C$10)+(Settings!$C$11*M55)</f>
        <v>6.7057070523140316</v>
      </c>
      <c r="D55" s="57" cm="1">
        <f t="array" ref="D55">IF(Settings!$E$12="YES",VLOOKUP(A55,'Player Data'!A1:E673,5,FALSE),82)</f>
        <v>83</v>
      </c>
      <c r="E55" s="55" cm="1">
        <f t="array" ref="E55">(VLOOKUP($A55,'The List'!$B1:$AH671,17,FALSE)-AVERAGE('The List'!R2:R671))/STDEV('The List'!R2:R671)</f>
        <v>0.62580464820336701</v>
      </c>
      <c r="F55" s="55" cm="1">
        <f t="array" ref="F55">(VLOOKUP($A55,'The List'!$B1:$AH671,18,FALSE)-AVERAGE('The List'!S2:S671))/STDEV('The List'!S2:S671)</f>
        <v>2.0234942645660468</v>
      </c>
      <c r="G55" s="55" cm="1">
        <f t="array" ref="G55">(VLOOKUP($A55,'The List'!$B1:$AH671,19,FALSE)-AVERAGE('The List'!T2:T671))/STDEV('The List'!T2:T671)</f>
        <v>1.1956992074125192</v>
      </c>
      <c r="H55" s="55" cm="1">
        <f t="array" ref="H55">(VLOOKUP($A55,'The List'!$B1:$AH671,20,FALSE)-AVERAGE('The List'!U2:U671))/STDEV('The List'!U2:U671)</f>
        <v>1.6485607642428861</v>
      </c>
      <c r="I55" s="55" cm="1">
        <f t="array" ref="I55">(VLOOKUP($A55,'The List'!$B1:$AH671,21,FALSE)-AVERAGE('The List'!V2:V671))/STDEV('The List'!V2:V671)</f>
        <v>1.9315102562864597</v>
      </c>
      <c r="J55" s="55" cm="1">
        <f t="array" ref="J55">(VLOOKUP($A55,'The List'!$B1:$AH671,22,FALSE)-AVERAGE('The List'!W2:W671))/STDEV('The List'!W2:W671)</f>
        <v>0.86616483457178872</v>
      </c>
      <c r="K55" s="55" cm="1">
        <f t="array" ref="K55">(VLOOKUP($A55,'The List'!$B1:$AH671,23,FALSE)-AVERAGE('The List'!X2:X671))/STDEV('The List'!X2:X671)</f>
        <v>0.86664188851747137</v>
      </c>
      <c r="L55" s="55" cm="1">
        <f t="array" ref="L55">(VLOOKUP($A55,'The List'!$B1:$AH671,24,FALSE)-AVERAGE('The List'!Y2:Y671))/STDEV('The List'!Y2:Y671)</f>
        <v>-0.47546929358800777</v>
      </c>
      <c r="M55" s="55" cm="1">
        <f t="array" ref="M55">(VLOOKUP($A55,'The List'!$B1:$AH671,25,FALSE)-AVERAGE('The List'!Z2:Z671))/STDEV('The List'!Z2:Z671)</f>
        <v>0.25800936221395893</v>
      </c>
      <c r="N55" s="55" cm="1">
        <f t="array" ref="N55">(VLOOKUP($A55,'The List'!$B1:$AH671,26,FALSE)-AVERAGE('The List'!AA2:AA671))/STDEV('The List'!AA2:AA671)</f>
        <v>-0.62661586848951056</v>
      </c>
      <c r="O55" s="55" cm="1">
        <f t="array" ref="O55">(VLOOKUP($A55,'The List'!$B1:$AH671,27,FALSE)-AVERAGE('The List'!AB2:AB671))/STDEV('The List'!AB2:AB671)</f>
        <v>0.6131617426992847</v>
      </c>
      <c r="P55" s="55" cm="1">
        <f t="array" ref="P55">(VLOOKUP($A55,'The List'!$B1:$AH671,28,FALSE)-AVERAGE('The List'!AC2:AC671))/STDEV('The List'!AC2:AC671)</f>
        <v>7.5199692832248838E-2</v>
      </c>
      <c r="Q55" s="55" cm="1">
        <f t="array" ref="Q55">(VLOOKUP($A55,'The List'!$B1:$AH671,29,FALSE)-AVERAGE('The List'!AD2:AD671))/STDEV('The List'!AD2:AD671)</f>
        <v>1.4282792468550318</v>
      </c>
      <c r="R55" s="55" cm="1">
        <f t="array" ref="R55">(VLOOKUP($A55,'The List'!$B1:$AH671,30,FALSE)-AVERAGE('The List'!AE2:AE671))/STDEV('The List'!AE2:AE671)</f>
        <v>1.7620213832821263</v>
      </c>
      <c r="S55" s="55" cm="1">
        <f t="array" ref="S55">(VLOOKUP($A55,'The List'!$B1:$AH671,31,FALSE)-AVERAGE('The List'!AF2:AF671))/STDEV('The List'!AF2:AF671)</f>
        <v>-0.39629794315231709</v>
      </c>
      <c r="T55" s="55" cm="1">
        <f t="array" ref="T55">(VLOOKUP($A55,'The List'!$B1:$AH671,32,FALSE)-AVERAGE('The List'!AG2:AG671))/STDEV('The List'!AG2:AG671)</f>
        <v>-0.27409224566541401</v>
      </c>
      <c r="U55" s="55" cm="1">
        <f t="array" ref="U55">(VLOOKUP($A55,'The List'!$B1:$AH671,33,FALSE)-AVERAGE('The List'!AH2:AH671))/STDEV('The List'!AH2:AH671)</f>
        <v>0.44670864143497252</v>
      </c>
      <c r="V55" s="55"/>
      <c r="W55" s="77"/>
      <c r="X55" s="57"/>
      <c r="Y55" s="57"/>
      <c r="Z55" s="57"/>
      <c r="AA55" s="57"/>
      <c r="AB55" s="57"/>
      <c r="AC55" s="60"/>
      <c r="AD55" s="61"/>
      <c r="AE55" s="55"/>
    </row>
    <row r="56" spans="1:31" ht="21.25" customHeight="1" x14ac:dyDescent="0.15">
      <c r="A56" s="10" t="s">
        <v>193</v>
      </c>
      <c r="B56" s="18" t="str" cm="1">
        <f t="array" ref="B56">VLOOKUP(A56,'Player Data'!A1:B673,2,FALSE)</f>
        <v>N.J</v>
      </c>
      <c r="C56" s="52" cm="1">
        <f t="array" ref="C56">((E56)*Settings!$C$12)+(F56*Settings!$C$2)+(G56*Settings!$C$3)+(H56*Settings!$C$4)+(I56*Settings!$C$5)+(K56*Settings!$C$9)+(N56*Settings!$C$6)+(J56*Settings!$C$8)+(O56*Settings!$C$7)+(P56*Settings!$C$14)+(Q56*Settings!$C$15)+(R56*Settings!$C$16)+(S56*Settings!$C$17)+(T56*Settings!$C$18)+(U56*Settings!$C$19)+(L56*Settings!$C$10)+(Settings!$C$11*M56)</f>
        <v>6.0686657682051646</v>
      </c>
      <c r="D56" s="57" cm="1">
        <f t="array" ref="D56">IF(Settings!$E$12="YES",VLOOKUP(A56,'Player Data'!A1:E673,5,FALSE),82)</f>
        <v>82</v>
      </c>
      <c r="E56" s="55" cm="1">
        <f t="array" ref="E56">(VLOOKUP($A56,'The List'!$B1:$AH671,17,FALSE)-AVERAGE('The List'!R2:R671))/STDEV('The List'!R2:R671)</f>
        <v>1.1242147415431716</v>
      </c>
      <c r="F56" s="55" cm="1">
        <f t="array" ref="F56">(VLOOKUP($A56,'The List'!$B1:$AH671,18,FALSE)-AVERAGE('The List'!S2:S671))/STDEV('The List'!S2:S671)</f>
        <v>1.8189167080752593</v>
      </c>
      <c r="G56" s="55" cm="1">
        <f t="array" ref="G56">(VLOOKUP($A56,'The List'!$B1:$AH671,19,FALSE)-AVERAGE('The List'!T2:T671))/STDEV('The List'!T2:T671)</f>
        <v>1.2188894536393222</v>
      </c>
      <c r="H56" s="55" cm="1">
        <f t="array" ref="H56">(VLOOKUP($A56,'The List'!$B1:$AH671,20,FALSE)-AVERAGE('The List'!U2:U671))/STDEV('The List'!U2:U671)</f>
        <v>1.5725243610925068</v>
      </c>
      <c r="I56" s="55" cm="1">
        <f t="array" ref="I56">(VLOOKUP($A56,'The List'!$B1:$AH671,21,FALSE)-AVERAGE('The List'!V2:V671))/STDEV('The List'!V2:V671)</f>
        <v>1.570242797500067</v>
      </c>
      <c r="J56" s="55" cm="1">
        <f t="array" ref="J56">(VLOOKUP($A56,'The List'!$B1:$AH671,22,FALSE)-AVERAGE('The List'!W2:W671))/STDEV('The List'!W2:W671)</f>
        <v>2.4322011887050432</v>
      </c>
      <c r="K56" s="55" cm="1">
        <f t="array" ref="K56">(VLOOKUP($A56,'The List'!$B1:$AH671,23,FALSE)-AVERAGE('The List'!X2:X671))/STDEV('The List'!X2:X671)</f>
        <v>1.835400849039744</v>
      </c>
      <c r="L56" s="55" cm="1">
        <f t="array" ref="L56">(VLOOKUP($A56,'The List'!$B1:$AH671,24,FALSE)-AVERAGE('The List'!Y2:Y671))/STDEV('The List'!Y2:Y671)</f>
        <v>-0.47546929358800777</v>
      </c>
      <c r="M56" s="55" cm="1">
        <f t="array" ref="M56">(VLOOKUP($A56,'The List'!$B1:$AH671,25,FALSE)-AVERAGE('The List'!Z2:Z671))/STDEV('The List'!Z2:Z671)</f>
        <v>1.1381711214490962</v>
      </c>
      <c r="N56" s="55" cm="1">
        <f t="array" ref="N56">(VLOOKUP($A56,'The List'!$B1:$AH671,26,FALSE)-AVERAGE('The List'!AA2:AA671))/STDEV('The List'!AA2:AA671)</f>
        <v>-3.1256067147433883E-2</v>
      </c>
      <c r="O56" s="55" cm="1">
        <f t="array" ref="O56">(VLOOKUP($A56,'The List'!$B1:$AH671,27,FALSE)-AVERAGE('The List'!AB2:AB671))/STDEV('The List'!AB2:AB671)</f>
        <v>-0.62578233898870572</v>
      </c>
      <c r="P56" s="55" cm="1">
        <f t="array" ref="P56">(VLOOKUP($A56,'The List'!$B1:$AH671,28,FALSE)-AVERAGE('The List'!AC2:AC671))/STDEV('The List'!AC2:AC671)</f>
        <v>0.2509982989394775</v>
      </c>
      <c r="Q56" s="55" cm="1">
        <f t="array" ref="Q56">(VLOOKUP($A56,'The List'!$B1:$AH671,29,FALSE)-AVERAGE('The List'!AD2:AD671))/STDEV('The List'!AD2:AD671)</f>
        <v>-0.37450000628287039</v>
      </c>
      <c r="R56" s="55" cm="1">
        <f t="array" ref="R56">(VLOOKUP($A56,'The List'!$B1:$AH671,30,FALSE)-AVERAGE('The List'!AE2:AE671))/STDEV('The List'!AE2:AE671)</f>
        <v>1.7245934493420998</v>
      </c>
      <c r="S56" s="55" cm="1">
        <f t="array" ref="S56">(VLOOKUP($A56,'The List'!$B1:$AH671,31,FALSE)-AVERAGE('The List'!AF2:AF671))/STDEV('The List'!AF2:AF671)</f>
        <v>4.3715223154394742</v>
      </c>
      <c r="T56" s="55" cm="1">
        <f t="array" ref="T56">(VLOOKUP($A56,'The List'!$B1:$AH671,32,FALSE)-AVERAGE('The List'!AG2:AG671))/STDEV('The List'!AG2:AG671)</f>
        <v>3.5170008500478276</v>
      </c>
      <c r="U56" s="55" cm="1">
        <f t="array" ref="U56">(VLOOKUP($A56,'The List'!$B1:$AH671,33,FALSE)-AVERAGE('The List'!AH2:AH671))/STDEV('The List'!AH2:AH671)</f>
        <v>1.320693908636718</v>
      </c>
      <c r="V56" s="55"/>
      <c r="W56" s="77"/>
      <c r="X56" s="57"/>
      <c r="Y56" s="57"/>
      <c r="Z56" s="57"/>
      <c r="AA56" s="57"/>
      <c r="AB56" s="57"/>
      <c r="AC56" s="60"/>
      <c r="AD56" s="61"/>
      <c r="AE56" s="55"/>
    </row>
    <row r="57" spans="1:31" ht="21.25" customHeight="1" x14ac:dyDescent="0.15">
      <c r="A57" s="10" t="s">
        <v>220</v>
      </c>
      <c r="B57" s="18" t="str" cm="1">
        <f t="array" ref="B57">VLOOKUP(A57,'Player Data'!A1:B673,2,FALSE)</f>
        <v>CAR</v>
      </c>
      <c r="C57" s="52" cm="1">
        <f t="array" ref="C57">((E57)*Settings!$C$12)+(F57*Settings!$C$2)+(G57*Settings!$C$3)+(H57*Settings!$C$4)+(I57*Settings!$C$5)+(K57*Settings!$C$9)+(N57*Settings!$C$6)+(J57*Settings!$C$8)+(O57*Settings!$C$7)+(P57*Settings!$C$14)+(Q57*Settings!$C$15)+(R57*Settings!$C$16)+(S57*Settings!$C$17)+(T57*Settings!$C$18)+(U57*Settings!$C$19)+(L57*Settings!$C$10)+(Settings!$C$11*M57)</f>
        <v>6.8970892151041214</v>
      </c>
      <c r="D57" s="57" cm="1">
        <f t="array" ref="D57">IF(Settings!$E$12="YES",VLOOKUP(A57,'Player Data'!A1:E673,5,FALSE),82)</f>
        <v>82</v>
      </c>
      <c r="E57" s="55" cm="1">
        <f t="array" ref="E57">(VLOOKUP($A57,'The List'!$B1:$AH671,17,FALSE)-AVERAGE('The List'!R2:R671))/STDEV('The List'!R2:R671)</f>
        <v>0.10116244468778379</v>
      </c>
      <c r="F57" s="55" cm="1">
        <f t="array" ref="F57">(VLOOKUP($A57,'The List'!$B1:$AH671,18,FALSE)-AVERAGE('The List'!S2:S671))/STDEV('The List'!S2:S671)</f>
        <v>1.4097615950936848</v>
      </c>
      <c r="G57" s="55" cm="1">
        <f t="array" ref="G57">(VLOOKUP($A57,'The List'!$B1:$AH671,19,FALSE)-AVERAGE('The List'!T2:T671))/STDEV('The List'!T2:T671)</f>
        <v>1.5070106946389974</v>
      </c>
      <c r="H57" s="55" cm="1">
        <f t="array" ref="H57">(VLOOKUP($A57,'The List'!$B1:$AH671,20,FALSE)-AVERAGE('The List'!U2:U671))/STDEV('The List'!U2:U671)</f>
        <v>1.5725243610925068</v>
      </c>
      <c r="I57" s="55" cm="1">
        <f t="array" ref="I57">(VLOOKUP($A57,'The List'!$B1:$AH671,21,FALSE)-AVERAGE('The List'!V2:V671))/STDEV('The List'!V2:V671)</f>
        <v>1.5985775001499805</v>
      </c>
      <c r="J57" s="55" cm="1">
        <f t="array" ref="J57">(VLOOKUP($A57,'The List'!$B1:$AH671,22,FALSE)-AVERAGE('The List'!W2:W671))/STDEV('The List'!W2:W671)</f>
        <v>1.5262753965433018</v>
      </c>
      <c r="K57" s="55" cm="1">
        <f t="array" ref="K57">(VLOOKUP($A57,'The List'!$B1:$AH671,23,FALSE)-AVERAGE('The List'!X2:X671))/STDEV('The List'!X2:X671)</f>
        <v>1.7529960411944883</v>
      </c>
      <c r="L57" s="55" cm="1">
        <f t="array" ref="L57">(VLOOKUP($A57,'The List'!$B1:$AH671,24,FALSE)-AVERAGE('The List'!Y2:Y671))/STDEV('The List'!Y2:Y671)</f>
        <v>-0.47546929358800777</v>
      </c>
      <c r="M57" s="55" cm="1">
        <f t="array" ref="M57">(VLOOKUP($A57,'The List'!$B1:$AH671,25,FALSE)-AVERAGE('The List'!Z2:Z671))/STDEV('The List'!Z2:Z671)</f>
        <v>-0.64388478613809508</v>
      </c>
      <c r="N57" s="55" cm="1">
        <f t="array" ref="N57">(VLOOKUP($A57,'The List'!$B1:$AH671,26,FALSE)-AVERAGE('The List'!AA2:AA671))/STDEV('The List'!AA2:AA671)</f>
        <v>-0.82711241248501877</v>
      </c>
      <c r="O57" s="55" cm="1">
        <f t="array" ref="O57">(VLOOKUP($A57,'The List'!$B1:$AH671,27,FALSE)-AVERAGE('The List'!AB2:AB671))/STDEV('The List'!AB2:AB671)</f>
        <v>-1.0460065890648775</v>
      </c>
      <c r="P57" s="55" cm="1">
        <f t="array" ref="P57">(VLOOKUP($A57,'The List'!$B1:$AH671,28,FALSE)-AVERAGE('The List'!AC2:AC671))/STDEV('The List'!AC2:AC671)</f>
        <v>1.674749973091848</v>
      </c>
      <c r="Q57" s="55" cm="1">
        <f t="array" ref="Q57">(VLOOKUP($A57,'The List'!$B1:$AH671,29,FALSE)-AVERAGE('The List'!AD2:AD671))/STDEV('The List'!AD2:AD671)</f>
        <v>-0.61684082391780193</v>
      </c>
      <c r="R57" s="55" cm="1">
        <f t="array" ref="R57">(VLOOKUP($A57,'The List'!$B1:$AH671,30,FALSE)-AVERAGE('The List'!AE2:AE671))/STDEV('The List'!AE2:AE671)</f>
        <v>1.7245934493420998</v>
      </c>
      <c r="S57" s="55" cm="1">
        <f t="array" ref="S57">(VLOOKUP($A57,'The List'!$B1:$AH671,31,FALSE)-AVERAGE('The List'!AF2:AF671))/STDEV('The List'!AF2:AF671)</f>
        <v>-0.55245283071817508</v>
      </c>
      <c r="T57" s="55" cm="1">
        <f t="array" ref="T57">(VLOOKUP($A57,'The List'!$B1:$AH671,32,FALSE)-AVERAGE('The List'!AG2:AG671))/STDEV('The List'!AG2:AG671)</f>
        <v>-0.5422235641490768</v>
      </c>
      <c r="U57" s="55" cm="1">
        <f t="array" ref="U57">(VLOOKUP($A57,'The List'!$B1:$AH671,33,FALSE)-AVERAGE('The List'!AH2:AH671))/STDEV('The List'!AH2:AH671)</f>
        <v>0.17071329389757933</v>
      </c>
      <c r="V57" s="55"/>
      <c r="W57" s="57"/>
      <c r="X57" s="57"/>
      <c r="Y57" s="57"/>
      <c r="Z57" s="57"/>
      <c r="AA57" s="57"/>
      <c r="AB57" s="57"/>
      <c r="AC57" s="60"/>
      <c r="AD57" s="61"/>
      <c r="AE57" s="55"/>
    </row>
    <row r="58" spans="1:31" ht="21.25" customHeight="1" x14ac:dyDescent="0.15">
      <c r="A58" s="10" t="s">
        <v>250</v>
      </c>
      <c r="B58" s="18" t="str" cm="1">
        <f t="array" ref="B58">VLOOKUP(A58,'Player Data'!A1:B673,2,FALSE)</f>
        <v>NYI</v>
      </c>
      <c r="C58" s="52" cm="1">
        <f t="array" ref="C58">((E58)*Settings!$C$12)+(F58*Settings!$C$2)+(G58*Settings!$C$3)+(H58*Settings!$C$4)+(I58*Settings!$C$5)+(K58*Settings!$C$9)+(N58*Settings!$C$6)+(J58*Settings!$C$8)+(O58*Settings!$C$7)+(P58*Settings!$C$14)+(Q58*Settings!$C$15)+(R58*Settings!$C$16)+(S58*Settings!$C$17)+(T58*Settings!$C$18)+(U58*Settings!$C$19)+(L58*Settings!$C$10)+(Settings!$C$11*M58)</f>
        <v>3.3482307644787275</v>
      </c>
      <c r="D58" s="57" cm="1">
        <f t="array" ref="D58">IF(Settings!$E$12="YES",VLOOKUP(A58,'Player Data'!A1:E673,5,FALSE),82)</f>
        <v>77</v>
      </c>
      <c r="E58" s="55" cm="1">
        <f t="array" ref="E58">(VLOOKUP($A58,'The List'!$B1:$AH671,17,FALSE)-AVERAGE('The List'!R2:R671))/STDEV('The List'!R2:R671)</f>
        <v>0.9930541906642758</v>
      </c>
      <c r="F58" s="55" cm="1">
        <f t="array" ref="F58">(VLOOKUP($A58,'The List'!$B1:$AH671,18,FALSE)-AVERAGE('The List'!S2:S671))/STDEV('The List'!S2:S671)</f>
        <v>0.54853997923246745</v>
      </c>
      <c r="G58" s="55" cm="1">
        <f t="array" ref="G58">(VLOOKUP($A58,'The List'!$B1:$AH671,19,FALSE)-AVERAGE('The List'!T2:T671))/STDEV('The List'!T2:T671)</f>
        <v>1.8007538135118368</v>
      </c>
      <c r="H58" s="55" cm="1">
        <f t="array" ref="H58">(VLOOKUP($A58,'The List'!$B1:$AH671,20,FALSE)-AVERAGE('The List'!U2:U671))/STDEV('The List'!U2:U671)</f>
        <v>1.3758022715464671</v>
      </c>
      <c r="I58" s="55" cm="1">
        <f t="array" ref="I58">(VLOOKUP($A58,'The List'!$B1:$AH671,21,FALSE)-AVERAGE('The List'!V2:V671))/STDEV('The List'!V2:V671)</f>
        <v>1.075249364012256</v>
      </c>
      <c r="J58" s="55" cm="1">
        <f t="array" ref="J58">(VLOOKUP($A58,'The List'!$B1:$AH671,22,FALSE)-AVERAGE('The List'!W2:W671))/STDEV('The List'!W2:W671)</f>
        <v>0.11214733072985113</v>
      </c>
      <c r="K58" s="55" cm="1">
        <f t="array" ref="K58">(VLOOKUP($A58,'The List'!$B1:$AH671,23,FALSE)-AVERAGE('The List'!X2:X671))/STDEV('The List'!X2:X671)</f>
        <v>1.0555699845529352</v>
      </c>
      <c r="L58" s="55" cm="1">
        <f t="array" ref="L58">(VLOOKUP($A58,'The List'!$B1:$AH671,24,FALSE)-AVERAGE('The List'!Y2:Y671))/STDEV('The List'!Y2:Y671)</f>
        <v>-0.47546929358800777</v>
      </c>
      <c r="M58" s="55" cm="1">
        <f t="array" ref="M58">(VLOOKUP($A58,'The List'!$B1:$AH671,25,FALSE)-AVERAGE('The List'!Z2:Z671))/STDEV('The List'!Z2:Z671)</f>
        <v>-0.64388478613809508</v>
      </c>
      <c r="N58" s="55" cm="1">
        <f t="array" ref="N58">(VLOOKUP($A58,'The List'!$B1:$AH671,26,FALSE)-AVERAGE('The List'!AA2:AA671))/STDEV('The List'!AA2:AA671)</f>
        <v>-0.38397673881341754</v>
      </c>
      <c r="O58" s="55" cm="1">
        <f t="array" ref="O58">(VLOOKUP($A58,'The List'!$B1:$AH671,27,FALSE)-AVERAGE('The List'!AB2:AB671))/STDEV('The List'!AB2:AB671)</f>
        <v>-1.0269427572321537</v>
      </c>
      <c r="P58" s="55" cm="1">
        <f t="array" ref="P58">(VLOOKUP($A58,'The List'!$B1:$AH671,28,FALSE)-AVERAGE('The List'!AC2:AC671))/STDEV('The List'!AC2:AC671)</f>
        <v>-0.1049396195986151</v>
      </c>
      <c r="Q58" s="55" cm="1">
        <f t="array" ref="Q58">(VLOOKUP($A58,'The List'!$B1:$AH671,29,FALSE)-AVERAGE('The List'!AD2:AD671))/STDEV('The List'!AD2:AD671)</f>
        <v>0.12939157184829742</v>
      </c>
      <c r="R58" s="55" cm="1">
        <f t="array" ref="R58">(VLOOKUP($A58,'The List'!$B1:$AH671,30,FALSE)-AVERAGE('The List'!AE2:AE671))/STDEV('The List'!AE2:AE671)</f>
        <v>0.57680347518127961</v>
      </c>
      <c r="S58" s="55" cm="1">
        <f t="array" ref="S58">(VLOOKUP($A58,'The List'!$B1:$AH671,31,FALSE)-AVERAGE('The List'!AF2:AF671))/STDEV('The List'!AF2:AF671)</f>
        <v>0.23341779494423726</v>
      </c>
      <c r="T58" s="55" cm="1">
        <f t="array" ref="T58">(VLOOKUP($A58,'The List'!$B1:$AH671,32,FALSE)-AVERAGE('The List'!AG2:AG671))/STDEV('The List'!AG2:AG671)</f>
        <v>0.61062883108235488</v>
      </c>
      <c r="U58" s="55" cm="1">
        <f t="array" ref="U58">(VLOOKUP($A58,'The List'!$B1:$AH671,33,FALSE)-AVERAGE('The List'!AH2:AH671))/STDEV('The List'!AH2:AH671)</f>
        <v>0.63070553979323463</v>
      </c>
      <c r="V58" s="55"/>
      <c r="W58" s="57"/>
      <c r="X58" s="55"/>
      <c r="Y58" s="55"/>
      <c r="Z58" s="55"/>
      <c r="AA58" s="55"/>
      <c r="AB58" s="55"/>
      <c r="AC58" s="55"/>
      <c r="AD58" s="55"/>
      <c r="AE58" s="55"/>
    </row>
    <row r="59" spans="1:31" ht="21.25" customHeight="1" x14ac:dyDescent="0.15">
      <c r="A59" s="10" t="s">
        <v>195</v>
      </c>
      <c r="B59" s="18" t="str" cm="1">
        <f t="array" ref="B59">VLOOKUP(A59,'Player Data'!A1:B673,2,FALSE)</f>
        <v>NYR</v>
      </c>
      <c r="C59" s="52" cm="1">
        <f t="array" ref="C59">((E59)*Settings!$C$12)+(F59*Settings!$C$2)+(G59*Settings!$C$3)+(H59*Settings!$C$4)+(I59*Settings!$C$5)+(K59*Settings!$C$9)+(N59*Settings!$C$6)+(J59*Settings!$C$8)+(O59*Settings!$C$7)+(P59*Settings!$C$14)+(Q59*Settings!$C$15)+(R59*Settings!$C$16)+(S59*Settings!$C$17)+(T59*Settings!$C$18)+(U59*Settings!$C$19)+(L59*Settings!$C$10)+(Settings!$C$11*M59)</f>
        <v>6.7566070852954736</v>
      </c>
      <c r="D59" s="57" cm="1">
        <f t="array" ref="D59">IF(Settings!$E$12="YES",VLOOKUP(A59,'Player Data'!A1:E673,5,FALSE),82)</f>
        <v>84</v>
      </c>
      <c r="E59" s="55" cm="1">
        <f t="array" ref="E59">(VLOOKUP($A59,'The List'!$B1:$AH671,17,FALSE)-AVERAGE('The List'!R2:R671))/STDEV('The List'!R2:R671)</f>
        <v>1.0979826313673922</v>
      </c>
      <c r="F59" s="55" cm="1">
        <f t="array" ref="F59">(VLOOKUP($A59,'The List'!$B1:$AH671,18,FALSE)-AVERAGE('The List'!S2:S671))/STDEV('The List'!S2:S671)</f>
        <v>1.4776214674906289</v>
      </c>
      <c r="G59" s="55" cm="1">
        <f t="array" ref="G59">(VLOOKUP($A59,'The List'!$B1:$AH671,19,FALSE)-AVERAGE('The List'!T2:T671))/STDEV('The List'!T2:T671)</f>
        <v>1.584311515395008</v>
      </c>
      <c r="H59" s="55" cm="1">
        <f t="array" ref="H59">(VLOOKUP($A59,'The List'!$B1:$AH671,20,FALSE)-AVERAGE('The List'!U2:U671))/STDEV('The List'!U2:U671)</f>
        <v>1.6512131969109227</v>
      </c>
      <c r="I59" s="55" cm="1">
        <f t="array" ref="I59">(VLOOKUP($A59,'The List'!$B1:$AH671,21,FALSE)-AVERAGE('The List'!V2:V671))/STDEV('The List'!V2:V671)</f>
        <v>1.7053509528185555</v>
      </c>
      <c r="J59" s="55" cm="1">
        <f t="array" ref="J59">(VLOOKUP($A59,'The List'!$B1:$AH671,22,FALSE)-AVERAGE('The List'!W2:W671))/STDEV('The List'!W2:W671)</f>
        <v>2.7415417031017353</v>
      </c>
      <c r="K59" s="55" cm="1">
        <f t="array" ref="K59">(VLOOKUP($A59,'The List'!$B1:$AH671,23,FALSE)-AVERAGE('The List'!X2:X671))/STDEV('The List'!X2:X671)</f>
        <v>2.2373755214556246</v>
      </c>
      <c r="L59" s="55" cm="1">
        <f t="array" ref="L59">(VLOOKUP($A59,'The List'!$B1:$AH671,24,FALSE)-AVERAGE('The List'!Y2:Y671))/STDEV('The List'!Y2:Y671)</f>
        <v>1.0643760379302476</v>
      </c>
      <c r="M59" s="55" cm="1">
        <f t="array" ref="M59">(VLOOKUP($A59,'The List'!$B1:$AH671,25,FALSE)-AVERAGE('The List'!Z2:Z671))/STDEV('The List'!Z2:Z671)</f>
        <v>2.0943962425934424</v>
      </c>
      <c r="N59" s="55" cm="1">
        <f t="array" ref="N59">(VLOOKUP($A59,'The List'!$B1:$AH671,26,FALSE)-AVERAGE('The List'!AA2:AA671))/STDEV('The List'!AA2:AA671)</f>
        <v>-0.29279550797724363</v>
      </c>
      <c r="O59" s="55" cm="1">
        <f t="array" ref="O59">(VLOOKUP($A59,'The List'!$B1:$AH671,27,FALSE)-AVERAGE('The List'!AB2:AB671))/STDEV('The List'!AB2:AB671)</f>
        <v>3.9196913326953089E-2</v>
      </c>
      <c r="P59" s="55" cm="1">
        <f t="array" ref="P59">(VLOOKUP($A59,'The List'!$B1:$AH671,28,FALSE)-AVERAGE('The List'!AC2:AC671))/STDEV('The List'!AC2:AC671)</f>
        <v>-0.28724928519129667</v>
      </c>
      <c r="Q59" s="55" cm="1">
        <f t="array" ref="Q59">(VLOOKUP($A59,'The List'!$B1:$AH671,29,FALSE)-AVERAGE('The List'!AD2:AD671))/STDEV('The List'!AD2:AD671)</f>
        <v>-0.63605076677910699</v>
      </c>
      <c r="R59" s="55" cm="1">
        <f t="array" ref="R59">(VLOOKUP($A59,'The List'!$B1:$AH671,30,FALSE)-AVERAGE('The List'!AE2:AE671))/STDEV('The List'!AE2:AE671)</f>
        <v>1.275458242061779</v>
      </c>
      <c r="S59" s="55" cm="1">
        <f t="array" ref="S59">(VLOOKUP($A59,'The List'!$B1:$AH671,31,FALSE)-AVERAGE('The List'!AF2:AF671))/STDEV('The List'!AF2:AF671)</f>
        <v>2.2795852871865145</v>
      </c>
      <c r="T59" s="55" cm="1">
        <f t="array" ref="T59">(VLOOKUP($A59,'The List'!$B1:$AH671,32,FALSE)-AVERAGE('The List'!AG2:AG671))/STDEV('The List'!AG2:AG671)</f>
        <v>2.2296234918314446</v>
      </c>
      <c r="U59" s="55" cm="1">
        <f t="array" ref="U59">(VLOOKUP($A59,'The List'!$B1:$AH671,33,FALSE)-AVERAGE('The List'!AH2:AH671))/STDEV('The List'!AH2:AH671)</f>
        <v>1.1366970102784557</v>
      </c>
      <c r="V59" s="55"/>
      <c r="W59" s="57"/>
      <c r="X59" s="57"/>
      <c r="Y59" s="57"/>
      <c r="Z59" s="57"/>
      <c r="AA59" s="57"/>
      <c r="AB59" s="57"/>
      <c r="AC59" s="60"/>
      <c r="AD59" s="61"/>
      <c r="AE59" s="55"/>
    </row>
    <row r="60" spans="1:31" ht="21.25" customHeight="1" x14ac:dyDescent="0.15">
      <c r="A60" s="10" t="s">
        <v>200</v>
      </c>
      <c r="B60" s="18" t="str" cm="1">
        <f t="array" ref="B60">VLOOKUP(A60,'Player Data'!A1:B673,2,FALSE)</f>
        <v>DET</v>
      </c>
      <c r="C60" s="52" cm="1">
        <f t="array" ref="C60">((E60)*Settings!$C$12)+(F60*Settings!$C$2)+(G60*Settings!$C$3)+(H60*Settings!$C$4)+(I60*Settings!$C$5)+(K60*Settings!$C$9)+(N60*Settings!$C$6)+(J60*Settings!$C$8)+(O60*Settings!$C$7)+(P60*Settings!$C$14)+(Q60*Settings!$C$15)+(R60*Settings!$C$16)+(S60*Settings!$C$17)+(T60*Settings!$C$18)+(U60*Settings!$C$19)+(L60*Settings!$C$10)+(Settings!$C$11*M60)</f>
        <v>5.5140939176584007</v>
      </c>
      <c r="D60" s="57" cm="1">
        <f t="array" ref="D60">IF(Settings!$E$12="YES",VLOOKUP(A60,'Player Data'!A1:E673,5,FALSE),82)</f>
        <v>81</v>
      </c>
      <c r="E60" s="55" cm="1">
        <f t="array" ref="E60">(VLOOKUP($A60,'The List'!$B1:$AH671,17,FALSE)-AVERAGE('The List'!R2:R671))/STDEV('The List'!R2:R671)</f>
        <v>0.91435786013693821</v>
      </c>
      <c r="F60" s="55" cm="1">
        <f t="array" ref="F60">(VLOOKUP($A60,'The List'!$B1:$AH671,18,FALSE)-AVERAGE('The List'!S2:S671))/STDEV('The List'!S2:S671)</f>
        <v>1.9416632419697319</v>
      </c>
      <c r="G60" s="55" cm="1">
        <f t="array" ref="G60">(VLOOKUP($A60,'The List'!$B1:$AH671,19,FALSE)-AVERAGE('The List'!T2:T671))/STDEV('The List'!T2:T671)</f>
        <v>1.0129881765346764</v>
      </c>
      <c r="H60" s="55" cm="1">
        <f t="array" ref="H60">(VLOOKUP($A60,'The List'!$B1:$AH671,20,FALSE)-AVERAGE('The List'!U2:U671))/STDEV('The List'!U2:U671)</f>
        <v>1.4973721021648061</v>
      </c>
      <c r="I60" s="55" cm="1">
        <f t="array" ref="I60">(VLOOKUP($A60,'The List'!$B1:$AH671,21,FALSE)-AVERAGE('The List'!V2:V671))/STDEV('The List'!V2:V671)</f>
        <v>2.0002737419856391</v>
      </c>
      <c r="J60" s="55" cm="1">
        <f t="array" ref="J60">(VLOOKUP($A60,'The List'!$B1:$AH671,22,FALSE)-AVERAGE('The List'!W2:W671))/STDEV('The List'!W2:W671)</f>
        <v>2.8409725827292442</v>
      </c>
      <c r="K60" s="55" cm="1">
        <f t="array" ref="K60">(VLOOKUP($A60,'The List'!$B1:$AH671,23,FALSE)-AVERAGE('The List'!X2:X671))/STDEV('The List'!X2:X671)</f>
        <v>1.7218430040822574</v>
      </c>
      <c r="L60" s="55" cm="1">
        <f t="array" ref="L60">(VLOOKUP($A60,'The List'!$B1:$AH671,24,FALSE)-AVERAGE('The List'!Y2:Y671))/STDEV('The List'!Y2:Y671)</f>
        <v>1.0093815618045958</v>
      </c>
      <c r="M60" s="55" cm="1">
        <f t="array" ref="M60">(VLOOKUP($A60,'The List'!$B1:$AH671,25,FALSE)-AVERAGE('The List'!Z2:Z671))/STDEV('The List'!Z2:Z671)</f>
        <v>0.23627697309704196</v>
      </c>
      <c r="N60" s="55" cm="1">
        <f t="array" ref="N60">(VLOOKUP($A60,'The List'!$B1:$AH671,26,FALSE)-AVERAGE('The List'!AA2:AA671))/STDEV('The List'!AA2:AA671)</f>
        <v>-0.67131255027194858</v>
      </c>
      <c r="O60" s="55" cm="1">
        <f t="array" ref="O60">(VLOOKUP($A60,'The List'!$B1:$AH671,27,FALSE)-AVERAGE('The List'!AB2:AB671))/STDEV('The List'!AB2:AB671)</f>
        <v>-0.70613741510083228</v>
      </c>
      <c r="P60" s="55" cm="1">
        <f t="array" ref="P60">(VLOOKUP($A60,'The List'!$B1:$AH671,28,FALSE)-AVERAGE('The List'!AC2:AC671))/STDEV('The List'!AC2:AC671)</f>
        <v>-0.45653683181307247</v>
      </c>
      <c r="Q60" s="55" cm="1">
        <f t="array" ref="Q60">(VLOOKUP($A60,'The List'!$B1:$AH671,29,FALSE)-AVERAGE('The List'!AD2:AD671))/STDEV('The List'!AD2:AD671)</f>
        <v>0.55865991040285501</v>
      </c>
      <c r="R60" s="55" cm="1">
        <f t="array" ref="R60">(VLOOKUP($A60,'The List'!$B1:$AH671,30,FALSE)-AVERAGE('The List'!AE2:AE671))/STDEV('The List'!AE2:AE671)</f>
        <v>1.6871655154020728</v>
      </c>
      <c r="S60" s="55" cm="1">
        <f t="array" ref="S60">(VLOOKUP($A60,'The List'!$B1:$AH671,31,FALSE)-AVERAGE('The List'!AF2:AF671))/STDEV('The List'!AF2:AF671)</f>
        <v>3.6255558020552829</v>
      </c>
      <c r="T60" s="55" cm="1">
        <f t="array" ref="T60">(VLOOKUP($A60,'The List'!$B1:$AH671,32,FALSE)-AVERAGE('The List'!AG2:AG671))/STDEV('The List'!AG2:AG671)</f>
        <v>3.1561922429523772</v>
      </c>
      <c r="U60" s="55" cm="1">
        <f t="array" ref="U60">(VLOOKUP($A60,'The List'!$B1:$AH671,33,FALSE)-AVERAGE('The List'!AH2:AH671))/STDEV('The List'!AH2:AH671)</f>
        <v>1.2286954594575867</v>
      </c>
      <c r="V60" s="55"/>
      <c r="W60" s="57"/>
      <c r="X60" s="55"/>
      <c r="Y60" s="55"/>
      <c r="Z60" s="55"/>
      <c r="AA60" s="55"/>
      <c r="AB60" s="55"/>
      <c r="AC60" s="55"/>
      <c r="AD60" s="55"/>
      <c r="AE60" s="55"/>
    </row>
    <row r="61" spans="1:31" ht="21.25" customHeight="1" x14ac:dyDescent="0.15">
      <c r="A61" s="10" t="s">
        <v>225</v>
      </c>
      <c r="B61" s="18" t="str" cm="1">
        <f t="array" ref="B61">VLOOKUP(A61,'Player Data'!A1:B673,2,FALSE)</f>
        <v>T.B</v>
      </c>
      <c r="C61" s="52" cm="1">
        <f t="array" ref="C61">((E61)*Settings!$C$12)+(F61*Settings!$C$2)+(G61*Settings!$C$3)+(H61*Settings!$C$4)+(I61*Settings!$C$5)+(K61*Settings!$C$9)+(N61*Settings!$C$6)+(J61*Settings!$C$8)+(O61*Settings!$C$7)+(P61*Settings!$C$14)+(Q61*Settings!$C$15)+(R61*Settings!$C$16)+(S61*Settings!$C$17)+(T61*Settings!$C$18)+(U61*Settings!$C$19)+(L61*Settings!$C$10)+(Settings!$C$11*M61)</f>
        <v>6.2967915213931303</v>
      </c>
      <c r="D61" s="57" cm="1">
        <f t="array" ref="D61">IF(Settings!$E$12="YES",VLOOKUP(A61,'Player Data'!A1:E673,5,FALSE),82)</f>
        <v>80</v>
      </c>
      <c r="E61" s="55" cm="1">
        <f t="array" ref="E61">(VLOOKUP($A61,'The List'!$B1:$AH671,17,FALSE)-AVERAGE('The List'!R2:R671))/STDEV('The List'!R2:R671)</f>
        <v>0.3634835464455754</v>
      </c>
      <c r="F61" s="55" cm="1">
        <f t="array" ref="F61">(VLOOKUP($A61,'The List'!$B1:$AH671,18,FALSE)-AVERAGE('The List'!S2:S671))/STDEV('The List'!S2:S671)</f>
        <v>1.8967559734717545</v>
      </c>
      <c r="G61" s="55" cm="1">
        <f t="array" ref="G61">(VLOOKUP($A61,'The List'!$B1:$AH671,19,FALSE)-AVERAGE('The List'!T2:T671))/STDEV('The List'!T2:T671)</f>
        <v>1.171103491717425</v>
      </c>
      <c r="H61" s="55" cm="1">
        <f t="array" ref="H61">(VLOOKUP($A61,'The List'!$B1:$AH671,20,FALSE)-AVERAGE('The List'!U2:U671))/STDEV('The List'!U2:U671)</f>
        <v>1.5769450822059012</v>
      </c>
      <c r="I61" s="55" cm="1">
        <f t="array" ref="I61">(VLOOKUP($A61,'The List'!$B1:$AH671,21,FALSE)-AVERAGE('The List'!V2:V671))/STDEV('The List'!V2:V671)</f>
        <v>0.97521404185189164</v>
      </c>
      <c r="J61" s="55" cm="1">
        <f t="array" ref="J61">(VLOOKUP($A61,'The List'!$B1:$AH671,22,FALSE)-AVERAGE('The List'!W2:W671))/STDEV('The List'!W2:W671)</f>
        <v>2.5095363173042169</v>
      </c>
      <c r="K61" s="55" cm="1">
        <f t="array" ref="K61">(VLOOKUP($A61,'The List'!$B1:$AH671,23,FALSE)-AVERAGE('The List'!X2:X671))/STDEV('The List'!X2:X671)</f>
        <v>1.6464727530042798</v>
      </c>
      <c r="L61" s="55" cm="1">
        <f t="array" ref="L61">(VLOOKUP($A61,'The List'!$B1:$AH671,24,FALSE)-AVERAGE('The List'!Y2:Y671))/STDEV('The List'!Y2:Y671)</f>
        <v>-0.47546929358800777</v>
      </c>
      <c r="M61" s="55" cm="1">
        <f t="array" ref="M61">(VLOOKUP($A61,'The List'!$B1:$AH671,25,FALSE)-AVERAGE('The List'!Z2:Z671))/STDEV('The List'!Z2:Z671)</f>
        <v>-0.64388478613809508</v>
      </c>
      <c r="N61" s="55" cm="1">
        <f t="array" ref="N61">(VLOOKUP($A61,'The List'!$B1:$AH671,26,FALSE)-AVERAGE('The List'!AA2:AA671))/STDEV('The List'!AA2:AA671)</f>
        <v>-0.72392692997013297</v>
      </c>
      <c r="O61" s="55" cm="1">
        <f t="array" ref="O61">(VLOOKUP($A61,'The List'!$B1:$AH671,27,FALSE)-AVERAGE('The List'!AB2:AB671))/STDEV('The List'!AB2:AB671)</f>
        <v>-1.2932214405731033</v>
      </c>
      <c r="P61" s="55" cm="1">
        <f t="array" ref="P61">(VLOOKUP($A61,'The List'!$B1:$AH671,28,FALSE)-AVERAGE('The List'!AC2:AC671))/STDEV('The List'!AC2:AC671)</f>
        <v>1.9004667019208827</v>
      </c>
      <c r="Q61" s="55" cm="1">
        <f t="array" ref="Q61">(VLOOKUP($A61,'The List'!$B1:$AH671,29,FALSE)-AVERAGE('The List'!AD2:AD671))/STDEV('The List'!AD2:AD671)</f>
        <v>-1.1325539053482343</v>
      </c>
      <c r="R61" s="55" cm="1">
        <f t="array" ref="R61">(VLOOKUP($A61,'The List'!$B1:$AH671,30,FALSE)-AVERAGE('The List'!AE2:AE671))/STDEV('The List'!AE2:AE671)</f>
        <v>2.3234403923825284</v>
      </c>
      <c r="S61" s="55" cm="1">
        <f t="array" ref="S61">(VLOOKUP($A61,'The List'!$B1:$AH671,31,FALSE)-AVERAGE('The List'!AF2:AF671))/STDEV('The List'!AF2:AF671)</f>
        <v>1.169577884440046</v>
      </c>
      <c r="T61" s="55" cm="1">
        <f t="array" ref="T61">(VLOOKUP($A61,'The List'!$B1:$AH671,32,FALSE)-AVERAGE('The List'!AG2:AG671))/STDEV('The List'!AG2:AG671)</f>
        <v>1.4843266179952415</v>
      </c>
      <c r="U61" s="55" cm="1">
        <f t="array" ref="U61">(VLOOKUP($A61,'The List'!$B1:$AH671,33,FALSE)-AVERAGE('The List'!AH2:AH671))/STDEV('The List'!AH2:AH671)</f>
        <v>0.90670088733062781</v>
      </c>
      <c r="V61" s="55"/>
      <c r="W61" s="77"/>
      <c r="X61" s="57"/>
      <c r="Y61" s="57"/>
      <c r="Z61" s="57"/>
      <c r="AA61" s="57"/>
      <c r="AB61" s="57"/>
      <c r="AC61" s="60"/>
      <c r="AD61" s="61"/>
      <c r="AE61" s="55"/>
    </row>
    <row r="62" spans="1:31" ht="21.25" customHeight="1" x14ac:dyDescent="0.15">
      <c r="A62" s="10" t="s">
        <v>221</v>
      </c>
      <c r="B62" s="18" t="str" cm="1">
        <f t="array" ref="B62">VLOOKUP(A62,'Player Data'!A1:B673,2,FALSE)</f>
        <v>S.J</v>
      </c>
      <c r="C62" s="52" cm="1">
        <f t="array" ref="C62">((E62)*Settings!$C$12)+(F62*Settings!$C$2)+(G62*Settings!$C$3)+(H62*Settings!$C$4)+(I62*Settings!$C$5)+(K62*Settings!$C$9)+(N62*Settings!$C$6)+(J62*Settings!$C$8)+(O62*Settings!$C$7)+(P62*Settings!$C$14)+(Q62*Settings!$C$15)+(R62*Settings!$C$16)+(S62*Settings!$C$17)+(T62*Settings!$C$18)+(U62*Settings!$C$19)+(L62*Settings!$C$10)+(Settings!$C$11*M62)</f>
        <v>4.6309781540389636</v>
      </c>
      <c r="D62" s="57" cm="1">
        <f t="array" ref="D62">IF(Settings!$E$12="YES",VLOOKUP(A62,'Player Data'!A1:E673,5,FALSE),82)</f>
        <v>80</v>
      </c>
      <c r="E62" s="55" cm="1">
        <f t="array" ref="E62">(VLOOKUP($A62,'The List'!$B1:$AH671,17,FALSE)-AVERAGE('The List'!R2:R671))/STDEV('The List'!R2:R671)</f>
        <v>0.59957253802758848</v>
      </c>
      <c r="F62" s="55" cm="1">
        <f t="array" ref="F62">(VLOOKUP($A62,'The List'!$B1:$AH671,18,FALSE)-AVERAGE('The List'!S2:S671))/STDEV('The List'!S2:S671)</f>
        <v>1.7889785290766076</v>
      </c>
      <c r="G62" s="55" cm="1">
        <f t="array" ref="G62">(VLOOKUP($A62,'The List'!$B1:$AH671,19,FALSE)-AVERAGE('The List'!T2:T671))/STDEV('The List'!T2:T671)</f>
        <v>1.553391187092604</v>
      </c>
      <c r="H62" s="55" cm="1">
        <f t="array" ref="H62">(VLOOKUP($A62,'The List'!$B1:$AH671,20,FALSE)-AVERAGE('The List'!U2:U671))/STDEV('The List'!U2:U671)</f>
        <v>1.7696885227498855</v>
      </c>
      <c r="I62" s="55" cm="1">
        <f t="array" ref="I62">(VLOOKUP($A62,'The List'!$B1:$AH671,21,FALSE)-AVERAGE('The List'!V2:V671))/STDEV('The List'!V2:V671)</f>
        <v>1.4005801267548568</v>
      </c>
      <c r="J62" s="55" cm="1">
        <f t="array" ref="J62">(VLOOKUP($A62,'The List'!$B1:$AH671,22,FALSE)-AVERAGE('The List'!W2:W671))/STDEV('The List'!W2:W671)</f>
        <v>1.9350467905675024</v>
      </c>
      <c r="K62" s="55" cm="1">
        <f t="array" ref="K62">(VLOOKUP($A62,'The List'!$B1:$AH671,23,FALSE)-AVERAGE('The List'!X2:X671))/STDEV('The List'!X2:X671)</f>
        <v>1.5861765521418982</v>
      </c>
      <c r="L62" s="55" cm="1">
        <f t="array" ref="L62">(VLOOKUP($A62,'The List'!$B1:$AH671,24,FALSE)-AVERAGE('The List'!Y2:Y671))/STDEV('The List'!Y2:Y671)</f>
        <v>-0.47546929358800777</v>
      </c>
      <c r="M62" s="55" cm="1">
        <f t="array" ref="M62">(VLOOKUP($A62,'The List'!$B1:$AH671,25,FALSE)-AVERAGE('The List'!Z2:Z671))/STDEV('The List'!Z2:Z671)</f>
        <v>-0.64388478613809508</v>
      </c>
      <c r="N62" s="55" cm="1">
        <f t="array" ref="N62">(VLOOKUP($A62,'The List'!$B1:$AH671,26,FALSE)-AVERAGE('The List'!AA2:AA671))/STDEV('The List'!AA2:AA671)</f>
        <v>-1.1121495374518817</v>
      </c>
      <c r="O62" s="55" cm="1">
        <f t="array" ref="O62">(VLOOKUP($A62,'The List'!$B1:$AH671,27,FALSE)-AVERAGE('The List'!AB2:AB671))/STDEV('The List'!AB2:AB671)</f>
        <v>-1.2112264649484843</v>
      </c>
      <c r="P62" s="55" cm="1">
        <f t="array" ref="P62">(VLOOKUP($A62,'The List'!$B1:$AH671,28,FALSE)-AVERAGE('The List'!AC2:AC671))/STDEV('The List'!AC2:AC671)</f>
        <v>-0.48692177607851944</v>
      </c>
      <c r="Q62" s="55" cm="1">
        <f t="array" ref="Q62">(VLOOKUP($A62,'The List'!$B1:$AH671,29,FALSE)-AVERAGE('The List'!AD2:AD671))/STDEV('The List'!AD2:AD671)</f>
        <v>-0.54147874038498767</v>
      </c>
      <c r="R62" s="55" cm="1">
        <f t="array" ref="R62">(VLOOKUP($A62,'The List'!$B1:$AH671,30,FALSE)-AVERAGE('The List'!AE2:AE671))/STDEV('The List'!AE2:AE671)</f>
        <v>1.4002180218618683</v>
      </c>
      <c r="S62" s="55" cm="1">
        <f t="array" ref="S62">(VLOOKUP($A62,'The List'!$B1:$AH671,31,FALSE)-AVERAGE('The List'!AF2:AF671))/STDEV('The List'!AF2:AF671)</f>
        <v>-0.46120222215906226</v>
      </c>
      <c r="T62" s="55" cm="1">
        <f t="array" ref="T62">(VLOOKUP($A62,'The List'!$B1:$AH671,32,FALSE)-AVERAGE('The List'!AG2:AG671))/STDEV('The List'!AG2:AG671)</f>
        <v>-0.34880565454628243</v>
      </c>
      <c r="U62" s="55" cm="1">
        <f t="array" ref="U62">(VLOOKUP($A62,'The List'!$B1:$AH671,33,FALSE)-AVERAGE('The List'!AH2:AH671))/STDEV('The List'!AH2:AH671)</f>
        <v>0.21671251848714493</v>
      </c>
      <c r="V62" s="55"/>
      <c r="W62" s="57"/>
      <c r="X62" s="57"/>
      <c r="Y62" s="57"/>
      <c r="Z62" s="57"/>
      <c r="AA62" s="57"/>
      <c r="AB62" s="57"/>
      <c r="AC62" s="60"/>
      <c r="AD62" s="61"/>
      <c r="AE62" s="55"/>
    </row>
    <row r="63" spans="1:31" ht="21.25" customHeight="1" x14ac:dyDescent="0.15">
      <c r="A63" s="10" t="s">
        <v>135</v>
      </c>
      <c r="B63" s="18" t="str" cm="1">
        <f t="array" ref="B63">VLOOKUP(A63,'Player Data'!A1:B673,2,FALSE)</f>
        <v>BUF</v>
      </c>
      <c r="C63" s="52" cm="1">
        <f t="array" ref="C63">((E63)*Settings!$C$12)+(F63*Settings!$C$2)+(G63*Settings!$C$3)+(H63*Settings!$C$4)+(I63*Settings!$C$5)+(K63*Settings!$C$9)+(N63*Settings!$C$6)+(J63*Settings!$C$8)+(O63*Settings!$C$7)+(P63*Settings!$C$14)+(Q63*Settings!$C$15)+(R63*Settings!$C$16)+(S63*Settings!$C$17)+(T63*Settings!$C$18)+(U63*Settings!$C$19)+(L63*Settings!$C$10)+(Settings!$C$11*M63)</f>
        <v>7.3550860221683489</v>
      </c>
      <c r="D63" s="57" cm="1">
        <f t="array" ref="D63">IF(Settings!$E$12="YES",VLOOKUP(A63,'Player Data'!A1:E673,5,FALSE),82)</f>
        <v>81</v>
      </c>
      <c r="E63" s="55" cm="1">
        <f t="array" ref="E63">(VLOOKUP($A63,'The List'!$B1:$AH671,17,FALSE)-AVERAGE('The List'!R2:R671))/STDEV('The List'!R2:R671)</f>
        <v>1.937410156992325</v>
      </c>
      <c r="F63" s="55" cm="1">
        <f t="array" ref="F63">(VLOOKUP($A63,'The List'!$B1:$AH671,18,FALSE)-AVERAGE('The List'!S2:S671))/STDEV('The List'!S2:S671)</f>
        <v>0.76150022584287735</v>
      </c>
      <c r="G63" s="55" cm="1">
        <f t="array" ref="G63">(VLOOKUP($A63,'The List'!$B1:$AH671,19,FALSE)-AVERAGE('The List'!T2:T671))/STDEV('The List'!T2:T671)</f>
        <v>2.2823379268217816</v>
      </c>
      <c r="H63" s="55" cm="1">
        <f t="array" ref="H63">(VLOOKUP($A63,'The List'!$B1:$AH671,20,FALSE)-AVERAGE('The List'!U2:U671))/STDEV('The List'!U2:U671)</f>
        <v>1.773092478007199</v>
      </c>
      <c r="I63" s="55" cm="1">
        <f t="array" ref="I63">(VLOOKUP($A63,'The List'!$B1:$AH671,21,FALSE)-AVERAGE('The List'!V2:V671))/STDEV('The List'!V2:V671)</f>
        <v>1.5923317714866001</v>
      </c>
      <c r="J63" s="55" cm="1">
        <f t="array" ref="J63">(VLOOKUP($A63,'The List'!$B1:$AH671,22,FALSE)-AVERAGE('The List'!W2:W671))/STDEV('The List'!W2:W671)</f>
        <v>1.2301923327636108</v>
      </c>
      <c r="K63" s="55" cm="1">
        <f t="array" ref="K63">(VLOOKUP($A63,'The List'!$B1:$AH671,23,FALSE)-AVERAGE('The List'!X2:X671))/STDEV('The List'!X2:X671)</f>
        <v>1.7055630298494151</v>
      </c>
      <c r="L63" s="55" cm="1">
        <f t="array" ref="L63">(VLOOKUP($A63,'The List'!$B1:$AH671,24,FALSE)-AVERAGE('The List'!Y2:Y671))/STDEV('The List'!Y2:Y671)</f>
        <v>-0.47546929358800777</v>
      </c>
      <c r="M63" s="55" cm="1">
        <f t="array" ref="M63">(VLOOKUP($A63,'The List'!$B1:$AH671,25,FALSE)-AVERAGE('The List'!Z2:Z671))/STDEV('The List'!Z2:Z671)</f>
        <v>-0.64388478613809508</v>
      </c>
      <c r="N63" s="55" cm="1">
        <f t="array" ref="N63">(VLOOKUP($A63,'The List'!$B1:$AH671,26,FALSE)-AVERAGE('The List'!AA2:AA671))/STDEV('The List'!AA2:AA671)</f>
        <v>0.94236536687916239</v>
      </c>
      <c r="O63" s="55" cm="1">
        <f t="array" ref="O63">(VLOOKUP($A63,'The List'!$B1:$AH671,27,FALSE)-AVERAGE('The List'!AB2:AB671))/STDEV('The List'!AB2:AB671)</f>
        <v>-4.1978112541419442E-2</v>
      </c>
      <c r="P63" s="55" cm="1">
        <f t="array" ref="P63">(VLOOKUP($A63,'The List'!$B1:$AH671,28,FALSE)-AVERAGE('The List'!AC2:AC671))/STDEV('The List'!AC2:AC671)</f>
        <v>1.0553311807090939</v>
      </c>
      <c r="Q63" s="55" cm="1">
        <f t="array" ref="Q63">(VLOOKUP($A63,'The List'!$B1:$AH671,29,FALSE)-AVERAGE('The List'!AD2:AD671))/STDEV('The List'!AD2:AD671)</f>
        <v>2.1146652821686018</v>
      </c>
      <c r="R63" s="55" cm="1">
        <f t="array" ref="R63">(VLOOKUP($A63,'The List'!$B1:$AH671,30,FALSE)-AVERAGE('The List'!AE2:AE671))/STDEV('The List'!AE2:AE671)</f>
        <v>0.87872214229749557</v>
      </c>
      <c r="S63" s="55" cm="1">
        <f t="array" ref="S63">(VLOOKUP($A63,'The List'!$B1:$AH671,31,FALSE)-AVERAGE('The List'!AF2:AF671))/STDEV('The List'!AF2:AF671)</f>
        <v>-0.59581850454342256</v>
      </c>
      <c r="T63" s="55" cm="1">
        <f t="array" ref="T63">(VLOOKUP($A63,'The List'!$B1:$AH671,32,FALSE)-AVERAGE('The List'!AG2:AG671))/STDEV('The List'!AG2:AG671)</f>
        <v>-0.64684275008198677</v>
      </c>
      <c r="U63" s="55" cm="1">
        <f t="array" ref="U63">(VLOOKUP($A63,'The List'!$B1:$AH671,33,FALSE)-AVERAGE('The List'!AH2:AH671))/STDEV('The List'!AH2:AH671)</f>
        <v>-1.2552626683789523</v>
      </c>
      <c r="V63" s="55"/>
      <c r="W63" s="77"/>
      <c r="X63" s="57"/>
      <c r="Y63" s="57"/>
      <c r="Z63" s="57"/>
      <c r="AA63" s="57"/>
      <c r="AB63" s="57"/>
      <c r="AC63" s="60"/>
      <c r="AD63" s="61"/>
      <c r="AE63" s="55"/>
    </row>
    <row r="64" spans="1:31" ht="21.25" customHeight="1" x14ac:dyDescent="0.15">
      <c r="A64" s="10" t="s">
        <v>255</v>
      </c>
      <c r="B64" s="18" t="str" cm="1">
        <f t="array" ref="B64">VLOOKUP(A64,'Player Data'!A1:B673,2,FALSE)</f>
        <v>NYR</v>
      </c>
      <c r="C64" s="52" cm="1">
        <f t="array" ref="C64">((E64)*Settings!$C$12)+(F64*Settings!$C$2)+(G64*Settings!$C$3)+(H64*Settings!$C$4)+(I64*Settings!$C$5)+(K64*Settings!$C$9)+(N64*Settings!$C$6)+(J64*Settings!$C$8)+(O64*Settings!$C$7)+(P64*Settings!$C$14)+(Q64*Settings!$C$15)+(R64*Settings!$C$16)+(S64*Settings!$C$17)+(T64*Settings!$C$18)+(U64*Settings!$C$19)+(L64*Settings!$C$10)+(Settings!$C$11*M64)</f>
        <v>5.9317549820803022</v>
      </c>
      <c r="D64" s="57" cm="1">
        <f t="array" ref="D64">IF(Settings!$E$12="YES",VLOOKUP(A64,'Player Data'!A1:E673,5,FALSE),82)</f>
        <v>80</v>
      </c>
      <c r="E64" s="55" cm="1">
        <f t="array" ref="E64">(VLOOKUP($A64,'The List'!$B1:$AH671,17,FALSE)-AVERAGE('The List'!R2:R671))/STDEV('The List'!R2:R671)</f>
        <v>0.80942941943382096</v>
      </c>
      <c r="F64" s="55" cm="1">
        <f t="array" ref="F64">(VLOOKUP($A64,'The List'!$B1:$AH671,18,FALSE)-AVERAGE('The List'!S2:S671))/STDEV('The List'!S2:S671)</f>
        <v>0.86289085871831173</v>
      </c>
      <c r="G64" s="55" cm="1">
        <f t="array" ref="G64">(VLOOKUP($A64,'The List'!$B1:$AH671,19,FALSE)-AVERAGE('The List'!T2:T671))/STDEV('The List'!T2:T671)</f>
        <v>1.5983662100779186</v>
      </c>
      <c r="H64" s="55" cm="1">
        <f t="array" ref="H64">(VLOOKUP($A64,'The List'!$B1:$AH671,20,FALSE)-AVERAGE('The List'!U2:U671))/STDEV('The List'!U2:U671)</f>
        <v>1.387738218552631</v>
      </c>
      <c r="I64" s="55" cm="1">
        <f t="array" ref="I64">(VLOOKUP($A64,'The List'!$B1:$AH671,21,FALSE)-AVERAGE('The List'!V2:V671))/STDEV('The List'!V2:V671)</f>
        <v>0.74611760457271681</v>
      </c>
      <c r="J64" s="55" cm="1">
        <f t="array" ref="J64">(VLOOKUP($A64,'The List'!$B1:$AH671,22,FALSE)-AVERAGE('The List'!W2:W671))/STDEV('The List'!W2:W671)</f>
        <v>1.0291209984057605</v>
      </c>
      <c r="K64" s="55" cm="1">
        <f t="array" ref="K64">(VLOOKUP($A64,'The List'!$B1:$AH671,23,FALSE)-AVERAGE('The List'!X2:X671))/STDEV('The List'!X2:X671)</f>
        <v>1.4495051635204985</v>
      </c>
      <c r="L64" s="55" cm="1">
        <f t="array" ref="L64">(VLOOKUP($A64,'The List'!$B1:$AH671,24,FALSE)-AVERAGE('The List'!Y2:Y671))/STDEV('The List'!Y2:Y671)</f>
        <v>0.99105006976271182</v>
      </c>
      <c r="M64" s="55" cm="1">
        <f t="array" ref="M64">(VLOOKUP($A64,'The List'!$B1:$AH671,25,FALSE)-AVERAGE('The List'!Z2:Z671))/STDEV('The List'!Z2:Z671)</f>
        <v>1.9640019078919404</v>
      </c>
      <c r="N64" s="55" cm="1">
        <f t="array" ref="N64">(VLOOKUP($A64,'The List'!$B1:$AH671,26,FALSE)-AVERAGE('The List'!AA2:AA671))/STDEV('The List'!AA2:AA671)</f>
        <v>-0.41743539774769989</v>
      </c>
      <c r="O64" s="55" cm="1">
        <f t="array" ref="O64">(VLOOKUP($A64,'The List'!$B1:$AH671,27,FALSE)-AVERAGE('The List'!AB2:AB671))/STDEV('The List'!AB2:AB671)</f>
        <v>1.3798147647894712</v>
      </c>
      <c r="P64" s="55" cm="1">
        <f t="array" ref="P64">(VLOOKUP($A64,'The List'!$B1:$AH671,28,FALSE)-AVERAGE('The List'!AC2:AC671))/STDEV('The List'!AC2:AC671)</f>
        <v>-0.1049396195986151</v>
      </c>
      <c r="Q64" s="55" cm="1">
        <f t="array" ref="Q64">(VLOOKUP($A64,'The List'!$B1:$AH671,29,FALSE)-AVERAGE('The List'!AD2:AD671))/STDEV('The List'!AD2:AD671)</f>
        <v>1.2908542710010771</v>
      </c>
      <c r="R64" s="55" cm="1">
        <f t="array" ref="R64">(VLOOKUP($A64,'The List'!$B1:$AH671,30,FALSE)-AVERAGE('The List'!AE2:AE671))/STDEV('The List'!AE2:AE671)</f>
        <v>0.65165934306133311</v>
      </c>
      <c r="S64" s="55" cm="1">
        <f t="array" ref="S64">(VLOOKUP($A64,'The List'!$B1:$AH671,31,FALSE)-AVERAGE('The List'!AF2:AF671))/STDEV('The List'!AF2:AF671)</f>
        <v>2.6503569906680093</v>
      </c>
      <c r="T64" s="55" cm="1">
        <f t="array" ref="T64">(VLOOKUP($A64,'The List'!$B1:$AH671,32,FALSE)-AVERAGE('The List'!AG2:AG671))/STDEV('The List'!AG2:AG671)</f>
        <v>1.7456194140813386</v>
      </c>
      <c r="U64" s="55" cm="1">
        <f t="array" ref="U64">(VLOOKUP($A64,'The List'!$B1:$AH671,33,FALSE)-AVERAGE('The List'!AH2:AH671))/STDEV('The List'!AH2:AH671)</f>
        <v>1.4586915824054141</v>
      </c>
      <c r="V64" s="55"/>
      <c r="W64" s="57"/>
      <c r="X64" s="55"/>
      <c r="Y64" s="55"/>
      <c r="Z64" s="55"/>
      <c r="AA64" s="55"/>
      <c r="AB64" s="55"/>
      <c r="AC64" s="55"/>
      <c r="AD64" s="55"/>
      <c r="AE64" s="55"/>
    </row>
    <row r="65" spans="1:31" ht="21.25" customHeight="1" x14ac:dyDescent="0.15">
      <c r="A65" s="10" t="s">
        <v>292</v>
      </c>
      <c r="B65" s="18" t="str" cm="1">
        <f t="array" ref="B65">VLOOKUP(A65,'Player Data'!A1:B673,2,FALSE)</f>
        <v>PHI</v>
      </c>
      <c r="C65" s="52" cm="1">
        <f t="array" ref="C65">((E65)*Settings!$C$12)+(F65*Settings!$C$2)+(G65*Settings!$C$3)+(H65*Settings!$C$4)+(I65*Settings!$C$5)+(K65*Settings!$C$9)+(N65*Settings!$C$6)+(J65*Settings!$C$8)+(O65*Settings!$C$7)+(P65*Settings!$C$14)+(Q65*Settings!$C$15)+(R65*Settings!$C$16)+(S65*Settings!$C$17)+(T65*Settings!$C$18)+(U65*Settings!$C$19)+(L65*Settings!$C$10)+(Settings!$C$11*M65)</f>
        <v>4.5387165069534134</v>
      </c>
      <c r="D65" s="57" cm="1">
        <f t="array" ref="D65">IF(Settings!$E$12="YES",VLOOKUP(A65,'Player Data'!A1:E673,5,FALSE),82)</f>
        <v>78</v>
      </c>
      <c r="E65" s="55" cm="1">
        <f t="array" ref="E65">(VLOOKUP($A65,'The List'!$B1:$AH671,17,FALSE)-AVERAGE('The List'!R2:R671))/STDEV('The List'!R2:R671)</f>
        <v>2.2466114160446121E-2</v>
      </c>
      <c r="F65" s="55" cm="1">
        <f t="array" ref="F65">(VLOOKUP($A65,'The List'!$B1:$AH671,18,FALSE)-AVERAGE('The List'!S2:S671))/STDEV('The List'!S2:S671)</f>
        <v>1.0794436868085593</v>
      </c>
      <c r="G65" s="55" cm="1">
        <f t="array" ref="G65">(VLOOKUP($A65,'The List'!$B1:$AH671,19,FALSE)-AVERAGE('The List'!T2:T671))/STDEV('The List'!T2:T671)</f>
        <v>0.7549439821564311</v>
      </c>
      <c r="H65" s="55" cm="1">
        <f t="array" ref="H65">(VLOOKUP($A65,'The List'!$B1:$AH671,20,FALSE)-AVERAGE('The List'!U2:U671))/STDEV('The List'!U2:U671)</f>
        <v>0.95309291868371848</v>
      </c>
      <c r="I65" s="55" cm="1">
        <f t="array" ref="I65">(VLOOKUP($A65,'The List'!$B1:$AH671,21,FALSE)-AVERAGE('The List'!V2:V671))/STDEV('The List'!V2:V671)</f>
        <v>1.221345855236442</v>
      </c>
      <c r="J65" s="55" cm="1">
        <f t="array" ref="J65">(VLOOKUP($A65,'The List'!$B1:$AH671,22,FALSE)-AVERAGE('The List'!W2:W671))/STDEV('The List'!W2:W671)</f>
        <v>1.5881434994226398</v>
      </c>
      <c r="K65" s="55" cm="1">
        <f t="array" ref="K65">(VLOOKUP($A65,'The List'!$B1:$AH671,23,FALSE)-AVERAGE('The List'!X2:X671))/STDEV('The List'!X2:X671)</f>
        <v>1.1737505382432043</v>
      </c>
      <c r="L65" s="55" cm="1">
        <f t="array" ref="L65">(VLOOKUP($A65,'The List'!$B1:$AH671,24,FALSE)-AVERAGE('The List'!Y2:Y671))/STDEV('The List'!Y2:Y671)</f>
        <v>-0.47546929358800777</v>
      </c>
      <c r="M65" s="55" cm="1">
        <f t="array" ref="M65">(VLOOKUP($A65,'The List'!$B1:$AH671,25,FALSE)-AVERAGE('The List'!Z2:Z671))/STDEV('The List'!Z2:Z671)</f>
        <v>-0.64388478613809508</v>
      </c>
      <c r="N65" s="55" cm="1">
        <f t="array" ref="N65">(VLOOKUP($A65,'The List'!$B1:$AH671,26,FALSE)-AVERAGE('The List'!AA2:AA671))/STDEV('The List'!AA2:AA671)</f>
        <v>-0.86593467323319373</v>
      </c>
      <c r="O65" s="55" cm="1">
        <f t="array" ref="O65">(VLOOKUP($A65,'The List'!$B1:$AH671,27,FALSE)-AVERAGE('The List'!AB2:AB671))/STDEV('The List'!AB2:AB671)</f>
        <v>0.26181327214779326</v>
      </c>
      <c r="P65" s="55" cm="1">
        <f t="array" ref="P65">(VLOOKUP($A65,'The List'!$B1:$AH671,28,FALSE)-AVERAGE('The List'!AC2:AC671))/STDEV('The List'!AC2:AC671)</f>
        <v>4.7419172360983072E-2</v>
      </c>
      <c r="Q65" s="55" cm="1">
        <f t="array" ref="Q65">(VLOOKUP($A65,'The List'!$B1:$AH671,29,FALSE)-AVERAGE('The List'!AD2:AD671))/STDEV('The List'!AD2:AD671)</f>
        <v>0.16190070592127581</v>
      </c>
      <c r="R65" s="55" cm="1">
        <f t="array" ref="R65">(VLOOKUP($A65,'The List'!$B1:$AH671,30,FALSE)-AVERAGE('The List'!AE2:AE671))/STDEV('The List'!AE2:AE671)</f>
        <v>1.2829438288497841</v>
      </c>
      <c r="S65" s="55" cm="1">
        <f t="array" ref="S65">(VLOOKUP($A65,'The List'!$B1:$AH671,31,FALSE)-AVERAGE('The List'!AF2:AF671))/STDEV('The List'!AF2:AF671)</f>
        <v>-0.55456822944135786</v>
      </c>
      <c r="T65" s="55" cm="1">
        <f t="array" ref="T65">(VLOOKUP($A65,'The List'!$B1:$AH671,32,FALSE)-AVERAGE('The List'!AG2:AG671))/STDEV('The List'!AG2:AG671)</f>
        <v>-0.5592688363937558</v>
      </c>
      <c r="U65" s="55" cm="1">
        <f t="array" ref="U65">(VLOOKUP($A65,'The List'!$B1:$AH671,33,FALSE)-AVERAGE('The List'!AH2:AH671))/STDEV('The List'!AH2:AH671)</f>
        <v>0.26271174307671047</v>
      </c>
      <c r="V65" s="55"/>
      <c r="W65" s="57"/>
      <c r="X65" s="57"/>
      <c r="Y65" s="57"/>
      <c r="Z65" s="57"/>
      <c r="AA65" s="57"/>
      <c r="AB65" s="57"/>
      <c r="AC65" s="60"/>
      <c r="AD65" s="61"/>
      <c r="AE65" s="55"/>
    </row>
    <row r="66" spans="1:31" ht="21.25" customHeight="1" x14ac:dyDescent="0.15">
      <c r="A66" s="10" t="s">
        <v>223</v>
      </c>
      <c r="B66" s="18" t="str" cm="1">
        <f t="array" ref="B66">VLOOKUP(A66,'Player Data'!A1:B673,2,FALSE)</f>
        <v>PIT</v>
      </c>
      <c r="C66" s="52" cm="1">
        <f t="array" ref="C66">((E66)*Settings!$C$12)+(F66*Settings!$C$2)+(G66*Settings!$C$3)+(H66*Settings!$C$4)+(I66*Settings!$C$5)+(K66*Settings!$C$9)+(N66*Settings!$C$6)+(J66*Settings!$C$8)+(O66*Settings!$C$7)+(P66*Settings!$C$14)+(Q66*Settings!$C$15)+(R66*Settings!$C$16)+(S66*Settings!$C$17)+(T66*Settings!$C$18)+(U66*Settings!$C$19)+(L66*Settings!$C$10)+(Settings!$C$11*M66)</f>
        <v>2.7678087956547217</v>
      </c>
      <c r="D66" s="57" cm="1">
        <f t="array" ref="D66">IF(Settings!$E$12="YES",VLOOKUP(A66,'Player Data'!A1:E673,5,FALSE),82)</f>
        <v>79</v>
      </c>
      <c r="E66" s="55" cm="1">
        <f t="array" ref="E66">(VLOOKUP($A66,'The List'!$B1:$AH671,17,FALSE)-AVERAGE('The List'!R2:R671))/STDEV('The List'!R2:R671)</f>
        <v>0.8356615296096005</v>
      </c>
      <c r="F66" s="55" cm="1">
        <f t="array" ref="F66">(VLOOKUP($A66,'The List'!$B1:$AH671,18,FALSE)-AVERAGE('The List'!S2:S671))/STDEV('The List'!S2:S671)</f>
        <v>1.3079717864982687</v>
      </c>
      <c r="G66" s="55" cm="1">
        <f t="array" ref="G66">(VLOOKUP($A66,'The List'!$B1:$AH671,19,FALSE)-AVERAGE('The List'!T2:T671))/STDEV('The List'!T2:T671)</f>
        <v>0.5583188035425064</v>
      </c>
      <c r="H66" s="55" cm="1">
        <f t="array" ref="H66">(VLOOKUP($A66,'The List'!$B1:$AH671,20,FALSE)-AVERAGE('The List'!U2:U671))/STDEV('The List'!U2:U671)</f>
        <v>0.93063565542767646</v>
      </c>
      <c r="I66" s="55" cm="1">
        <f t="array" ref="I66">(VLOOKUP($A66,'The List'!$B1:$AH671,21,FALSE)-AVERAGE('The List'!V2:V671))/STDEV('The List'!V2:V671)</f>
        <v>1.0643646916528378</v>
      </c>
      <c r="J66" s="55" cm="1">
        <f t="array" ref="J66">(VLOOKUP($A66,'The List'!$B1:$AH671,22,FALSE)-AVERAGE('The List'!W2:W671))/STDEV('The List'!W2:W671)</f>
        <v>0.5706341645678058</v>
      </c>
      <c r="K66" s="55" cm="1">
        <f t="array" ref="K66">(VLOOKUP($A66,'The List'!$B1:$AH671,23,FALSE)-AVERAGE('The List'!X2:X671))/STDEV('The List'!X2:X671)</f>
        <v>0.70685695623215861</v>
      </c>
      <c r="L66" s="55" cm="1">
        <f t="array" ref="L66">(VLOOKUP($A66,'The List'!$B1:$AH671,24,FALSE)-AVERAGE('The List'!Y2:Y671))/STDEV('The List'!Y2:Y671)</f>
        <v>0.97271857772082782</v>
      </c>
      <c r="M66" s="55" cm="1">
        <f t="array" ref="M66">(VLOOKUP($A66,'The List'!$B1:$AH671,25,FALSE)-AVERAGE('The List'!Z2:Z671))/STDEV('The List'!Z2:Z671)</f>
        <v>1.072973954098345</v>
      </c>
      <c r="N66" s="55" cm="1">
        <f t="array" ref="N66">(VLOOKUP($A66,'The List'!$B1:$AH671,26,FALSE)-AVERAGE('The List'!AA2:AA671))/STDEV('The List'!AA2:AA671)</f>
        <v>0.11228413377673896</v>
      </c>
      <c r="O66" s="55" cm="1">
        <f t="array" ref="O66">(VLOOKUP($A66,'The List'!$B1:$AH671,27,FALSE)-AVERAGE('The List'!AB2:AB671))/STDEV('The List'!AB2:AB671)</f>
        <v>-0.76476382267243481</v>
      </c>
      <c r="P66" s="55" cm="1">
        <f t="array" ref="P66">(VLOOKUP($A66,'The List'!$B1:$AH671,28,FALSE)-AVERAGE('The List'!AC2:AC671))/STDEV('The List'!AC2:AC671)</f>
        <v>-0.1049396195986151</v>
      </c>
      <c r="Q66" s="55" cm="1">
        <f t="array" ref="Q66">(VLOOKUP($A66,'The List'!$B1:$AH671,29,FALSE)-AVERAGE('The List'!AD2:AD671))/STDEV('The List'!AD2:AD671)</f>
        <v>-0.33090821286683125</v>
      </c>
      <c r="R66" s="55" cm="1">
        <f t="array" ref="R66">(VLOOKUP($A66,'The List'!$B1:$AH671,30,FALSE)-AVERAGE('The List'!AE2:AE671))/STDEV('The List'!AE2:AE671)</f>
        <v>1.1195085173116675</v>
      </c>
      <c r="S66" s="55" cm="1">
        <f t="array" ref="S66">(VLOOKUP($A66,'The List'!$B1:$AH671,31,FALSE)-AVERAGE('The List'!AF2:AF671))/STDEV('The List'!AF2:AF671)</f>
        <v>-0.57302989102549873</v>
      </c>
      <c r="T66" s="55" cm="1">
        <f t="array" ref="T66">(VLOOKUP($A66,'The List'!$B1:$AH671,32,FALSE)-AVERAGE('The List'!AG2:AG671))/STDEV('The List'!AG2:AG671)</f>
        <v>-0.59039942342745089</v>
      </c>
      <c r="U66" s="55" cm="1">
        <f t="array" ref="U66">(VLOOKUP($A66,'The List'!$B1:$AH671,33,FALSE)-AVERAGE('The List'!AH2:AH671))/STDEV('The List'!AH2:AH671)</f>
        <v>0.12471406930801376</v>
      </c>
      <c r="V66" s="55"/>
      <c r="W66" s="57"/>
      <c r="X66" s="55"/>
      <c r="Y66" s="55"/>
      <c r="Z66" s="55"/>
      <c r="AA66" s="55"/>
      <c r="AB66" s="55"/>
      <c r="AC66" s="55"/>
      <c r="AD66" s="55"/>
      <c r="AE66" s="55"/>
    </row>
    <row r="67" spans="1:31" ht="21.25" customHeight="1" x14ac:dyDescent="0.15">
      <c r="A67" s="10" t="s">
        <v>301</v>
      </c>
      <c r="B67" s="18" t="str" cm="1">
        <f t="array" ref="B67">VLOOKUP(A67,'Player Data'!A1:B673,2,FALSE)</f>
        <v>WPG</v>
      </c>
      <c r="C67" s="52" cm="1">
        <f t="array" ref="C67">((E67)*Settings!$C$12)+(F67*Settings!$C$2)+(G67*Settings!$C$3)+(H67*Settings!$C$4)+(I67*Settings!$C$5)+(K67*Settings!$C$9)+(N67*Settings!$C$6)+(J67*Settings!$C$8)+(O67*Settings!$C$7)+(P67*Settings!$C$14)+(Q67*Settings!$C$15)+(R67*Settings!$C$16)+(S67*Settings!$C$17)+(T67*Settings!$C$18)+(U67*Settings!$C$19)+(L67*Settings!$C$10)+(Settings!$C$11*M67)</f>
        <v>3.1531162562679746</v>
      </c>
      <c r="D67" s="57" cm="1">
        <f t="array" ref="D67">IF(Settings!$E$12="YES",VLOOKUP(A67,'Player Data'!A1:E673,5,FALSE),82)</f>
        <v>79</v>
      </c>
      <c r="E67" s="55" cm="1">
        <f t="array" ref="E67">(VLOOKUP($A67,'The List'!$B1:$AH671,17,FALSE)-AVERAGE('The List'!R2:R671))/STDEV('The List'!R2:R671)</f>
        <v>0.52087620750025077</v>
      </c>
      <c r="F67" s="55" cm="1">
        <f t="array" ref="F67">(VLOOKUP($A67,'The List'!$B1:$AH671,18,FALSE)-AVERAGE('The List'!S2:S671))/STDEV('The List'!S2:S671)</f>
        <v>1.3986345718991857</v>
      </c>
      <c r="G67" s="55" cm="1">
        <f t="array" ref="G67">(VLOOKUP($A67,'The List'!$B1:$AH671,19,FALSE)-AVERAGE('The List'!T2:T671))/STDEV('The List'!T2:T671)</f>
        <v>0.71098792453562687</v>
      </c>
      <c r="H67" s="55" cm="1">
        <f t="array" ref="H67">(VLOOKUP($A67,'The List'!$B1:$AH671,20,FALSE)-AVERAGE('The List'!U2:U671))/STDEV('The List'!U2:U671)</f>
        <v>1.0668380729313496</v>
      </c>
      <c r="I67" s="55" cm="1">
        <f t="array" ref="I67">(VLOOKUP($A67,'The List'!$B1:$AH671,21,FALSE)-AVERAGE('The List'!V2:V671))/STDEV('The List'!V2:V671)</f>
        <v>0.35768597734649088</v>
      </c>
      <c r="J67" s="55" cm="1">
        <f t="array" ref="J67">(VLOOKUP($A67,'The List'!$B1:$AH671,22,FALSE)-AVERAGE('The List'!W2:W671))/STDEV('The List'!W2:W671)</f>
        <v>2.5780331454920553</v>
      </c>
      <c r="K67" s="55" cm="1">
        <f t="array" ref="K67">(VLOOKUP($A67,'The List'!$B1:$AH671,23,FALSE)-AVERAGE('The List'!X2:X671))/STDEV('The List'!X2:X671)</f>
        <v>1.5364824332644842</v>
      </c>
      <c r="L67" s="55" cm="1">
        <f t="array" ref="L67">(VLOOKUP($A67,'The List'!$B1:$AH671,24,FALSE)-AVERAGE('The List'!Y2:Y671))/STDEV('The List'!Y2:Y671)</f>
        <v>-0.47546929358800777</v>
      </c>
      <c r="M67" s="55" cm="1">
        <f t="array" ref="M67">(VLOOKUP($A67,'The List'!$B1:$AH671,25,FALSE)-AVERAGE('The List'!Z2:Z671))/STDEV('The List'!Z2:Z671)</f>
        <v>-0.64388478613809508</v>
      </c>
      <c r="N67" s="55" cm="1">
        <f t="array" ref="N67">(VLOOKUP($A67,'The List'!$B1:$AH671,26,FALSE)-AVERAGE('The List'!AA2:AA671))/STDEV('The List'!AA2:AA671)</f>
        <v>-0.63427815679507127</v>
      </c>
      <c r="O67" s="55" cm="1">
        <f t="array" ref="O67">(VLOOKUP($A67,'The List'!$B1:$AH671,27,FALSE)-AVERAGE('The List'!AB2:AB671))/STDEV('The List'!AB2:AB671)</f>
        <v>-1.2343900455624393</v>
      </c>
      <c r="P67" s="55" cm="1">
        <f t="array" ref="P67">(VLOOKUP($A67,'The List'!$B1:$AH671,28,FALSE)-AVERAGE('The List'!AC2:AC671))/STDEV('The List'!AC2:AC671)</f>
        <v>0.38371539478462602</v>
      </c>
      <c r="Q67" s="55" cm="1">
        <f t="array" ref="Q67">(VLOOKUP($A67,'The List'!$B1:$AH671,29,FALSE)-AVERAGE('The List'!AD2:AD671))/STDEV('The List'!AD2:AD671)</f>
        <v>-0.56438290302731364</v>
      </c>
      <c r="R67" s="55" cm="1">
        <f t="array" ref="R67">(VLOOKUP($A67,'The List'!$B1:$AH671,30,FALSE)-AVERAGE('The List'!AE2:AE671))/STDEV('The List'!AE2:AE671)</f>
        <v>1.464469308458914</v>
      </c>
      <c r="S67" s="55" cm="1">
        <f t="array" ref="S67">(VLOOKUP($A67,'The List'!$B1:$AH671,31,FALSE)-AVERAGE('The List'!AF2:AF671))/STDEV('The List'!AF2:AF671)</f>
        <v>-0.36033616485820935</v>
      </c>
      <c r="T67" s="55" cm="1">
        <f t="array" ref="T67">(VLOOKUP($A67,'The List'!$B1:$AH671,32,FALSE)-AVERAGE('The List'!AG2:AG671))/STDEV('The List'!AG2:AG671)</f>
        <v>-0.34849945205086902</v>
      </c>
      <c r="U67" s="55" cm="1">
        <f t="array" ref="U67">(VLOOKUP($A67,'The List'!$B1:$AH671,33,FALSE)-AVERAGE('The List'!AH2:AH671))/STDEV('The List'!AH2:AH671)</f>
        <v>0.8147024381514969</v>
      </c>
      <c r="V67" s="55"/>
      <c r="W67" s="77"/>
      <c r="X67" s="57"/>
      <c r="Y67" s="57"/>
      <c r="Z67" s="57"/>
      <c r="AA67" s="57"/>
      <c r="AB67" s="57"/>
      <c r="AC67" s="60"/>
      <c r="AD67" s="61"/>
      <c r="AE67" s="55"/>
    </row>
    <row r="68" spans="1:31" ht="21.25" customHeight="1" x14ac:dyDescent="0.15">
      <c r="A68" s="10" t="s">
        <v>254</v>
      </c>
      <c r="B68" s="18" t="str" cm="1">
        <f t="array" ref="B68">VLOOKUP(A68,'Player Data'!A1:B673,2,FALSE)</f>
        <v>MTL</v>
      </c>
      <c r="C68" s="52" cm="1">
        <f t="array" ref="C68">((E68)*Settings!$C$12)+(F68*Settings!$C$2)+(G68*Settings!$C$3)+(H68*Settings!$C$4)+(I68*Settings!$C$5)+(K68*Settings!$C$9)+(N68*Settings!$C$6)+(J68*Settings!$C$8)+(O68*Settings!$C$7)+(P68*Settings!$C$14)+(Q68*Settings!$C$15)+(R68*Settings!$C$16)+(S68*Settings!$C$17)+(T68*Settings!$C$18)+(U68*Settings!$C$19)+(L68*Settings!$C$10)+(Settings!$C$11*M68)</f>
        <v>4.6441614712014792</v>
      </c>
      <c r="D68" s="57" cm="1">
        <f t="array" ref="D68">IF(Settings!$E$12="YES",VLOOKUP(A68,'Player Data'!A1:E673,5,FALSE),82)</f>
        <v>83</v>
      </c>
      <c r="E68" s="55" cm="1">
        <f t="array" ref="E68">(VLOOKUP($A68,'The List'!$B1:$AH671,17,FALSE)-AVERAGE('The List'!R2:R671))/STDEV('The List'!R2:R671)</f>
        <v>0.12739455486356333</v>
      </c>
      <c r="F68" s="55" cm="1">
        <f t="array" ref="F68">(VLOOKUP($A68,'The List'!$B1:$AH671,18,FALSE)-AVERAGE('The List'!S2:S671))/STDEV('The List'!S2:S671)</f>
        <v>1.0626783065693151</v>
      </c>
      <c r="G68" s="55" cm="1">
        <f t="array" ref="G68">(VLOOKUP($A68,'The List'!$B1:$AH671,19,FALSE)-AVERAGE('The List'!T2:T671))/STDEV('The List'!T2:T671)</f>
        <v>1.7673036401665092</v>
      </c>
      <c r="H68" s="55" cm="1">
        <f t="array" ref="H68">(VLOOKUP($A68,'The List'!$B1:$AH671,20,FALSE)-AVERAGE('The List'!U2:U671))/STDEV('The List'!U2:U671)</f>
        <v>1.582515190808778</v>
      </c>
      <c r="I68" s="55" cm="1">
        <f t="array" ref="I68">(VLOOKUP($A68,'The List'!$B1:$AH671,21,FALSE)-AVERAGE('The List'!V2:V671))/STDEV('The List'!V2:V671)</f>
        <v>0.44694892932257413</v>
      </c>
      <c r="J68" s="55" cm="1">
        <f t="array" ref="J68">(VLOOKUP($A68,'The List'!$B1:$AH671,22,FALSE)-AVERAGE('The List'!W2:W671))/STDEV('The List'!W2:W671)</f>
        <v>1.6685167937882095</v>
      </c>
      <c r="K68" s="55" cm="1">
        <f t="array" ref="K68">(VLOOKUP($A68,'The List'!$B1:$AH671,23,FALSE)-AVERAGE('The List'!X2:X671))/STDEV('The List'!X2:X671)</f>
        <v>1.6506934870646472</v>
      </c>
      <c r="L68" s="55" cm="1">
        <f t="array" ref="L68">(VLOOKUP($A68,'The List'!$B1:$AH671,24,FALSE)-AVERAGE('The List'!Y2:Y671))/STDEV('The List'!Y2:Y671)</f>
        <v>-0.47546929358800777</v>
      </c>
      <c r="M68" s="55" cm="1">
        <f t="array" ref="M68">(VLOOKUP($A68,'The List'!$B1:$AH671,25,FALSE)-AVERAGE('The List'!Z2:Z671))/STDEV('The List'!Z2:Z671)</f>
        <v>-0.64388478613809508</v>
      </c>
      <c r="N68" s="55" cm="1">
        <f t="array" ref="N68">(VLOOKUP($A68,'The List'!$B1:$AH671,26,FALSE)-AVERAGE('The List'!AA2:AA671))/STDEV('The List'!AA2:AA671)</f>
        <v>-0.8386058449433601</v>
      </c>
      <c r="O68" s="55" cm="1">
        <f t="array" ref="O68">(VLOOKUP($A68,'The List'!$B1:$AH671,27,FALSE)-AVERAGE('The List'!AB2:AB671))/STDEV('The List'!AB2:AB671)</f>
        <v>-0.93510838453258038</v>
      </c>
      <c r="P68" s="55" cm="1">
        <f t="array" ref="P68">(VLOOKUP($A68,'The List'!$B1:$AH671,28,FALSE)-AVERAGE('The List'!AC2:AC671))/STDEV('The List'!AC2:AC671)</f>
        <v>0.65164549261101345</v>
      </c>
      <c r="Q68" s="55" cm="1">
        <f t="array" ref="Q68">(VLOOKUP($A68,'The List'!$B1:$AH671,29,FALSE)-AVERAGE('The List'!AD2:AD671))/STDEV('The List'!AD2:AD671)</f>
        <v>0.32444637628616885</v>
      </c>
      <c r="R68" s="55" cm="1">
        <f t="array" ref="R68">(VLOOKUP($A68,'The List'!$B1:$AH671,30,FALSE)-AVERAGE('The List'!AE2:AE671))/STDEV('The List'!AE2:AE671)</f>
        <v>1.3737065686543497</v>
      </c>
      <c r="S68" s="55" cm="1">
        <f t="array" ref="S68">(VLOOKUP($A68,'The List'!$B1:$AH671,31,FALSE)-AVERAGE('The List'!AF2:AF671))/STDEV('The List'!AF2:AF671)</f>
        <v>-0.59581850454342256</v>
      </c>
      <c r="T68" s="55" cm="1">
        <f t="array" ref="T68">(VLOOKUP($A68,'The List'!$B1:$AH671,32,FALSE)-AVERAGE('The List'!AG2:AG671))/STDEV('The List'!AG2:AG671)</f>
        <v>-0.64684275008198677</v>
      </c>
      <c r="U68" s="55" cm="1">
        <f t="array" ref="U68">(VLOOKUP($A68,'The List'!$B1:$AH671,33,FALSE)-AVERAGE('The List'!AH2:AH671))/STDEV('The List'!AH2:AH671)</f>
        <v>-1.2552626683789523</v>
      </c>
      <c r="V68" s="55"/>
      <c r="W68" s="77"/>
      <c r="X68" s="57"/>
      <c r="Y68" s="57"/>
      <c r="Z68" s="57"/>
      <c r="AA68" s="57"/>
      <c r="AB68" s="57"/>
      <c r="AC68" s="60"/>
      <c r="AD68" s="61"/>
      <c r="AE68" s="55"/>
    </row>
    <row r="69" spans="1:31" ht="21.25" customHeight="1" x14ac:dyDescent="0.15">
      <c r="A69" s="10" t="s">
        <v>235</v>
      </c>
      <c r="B69" s="18" t="str" cm="1">
        <f t="array" ref="B69">VLOOKUP(A69,'Player Data'!A1:B673,2,FALSE)</f>
        <v>CHI</v>
      </c>
      <c r="C69" s="52" cm="1">
        <f t="array" ref="C69">((E69)*Settings!$C$12)+(F69*Settings!$C$2)+(G69*Settings!$C$3)+(H69*Settings!$C$4)+(I69*Settings!$C$5)+(K69*Settings!$C$9)+(N69*Settings!$C$6)+(J69*Settings!$C$8)+(O69*Settings!$C$7)+(P69*Settings!$C$14)+(Q69*Settings!$C$15)+(R69*Settings!$C$16)+(S69*Settings!$C$17)+(T69*Settings!$C$18)+(U69*Settings!$C$19)+(L69*Settings!$C$10)+(Settings!$C$11*M69)</f>
        <v>1.8498351956534491</v>
      </c>
      <c r="D69" s="57" cm="1">
        <f t="array" ref="D69">IF(Settings!$E$12="YES",VLOOKUP(A69,'Player Data'!A1:E673,5,FALSE),82)</f>
        <v>78</v>
      </c>
      <c r="E69" s="55" cm="1">
        <f t="array" ref="E69">(VLOOKUP($A69,'The List'!$B1:$AH671,17,FALSE)-AVERAGE('The List'!R2:R671))/STDEV('The List'!R2:R671)</f>
        <v>0.41594776679713352</v>
      </c>
      <c r="F69" s="55" cm="1">
        <f t="array" ref="F69">(VLOOKUP($A69,'The List'!$B1:$AH671,18,FALSE)-AVERAGE('The List'!S2:S671))/STDEV('The List'!S2:S671)</f>
        <v>0.84592589061907519</v>
      </c>
      <c r="G69" s="55" cm="1">
        <f t="array" ref="G69">(VLOOKUP($A69,'The List'!$B1:$AH671,19,FALSE)-AVERAGE('The List'!T2:T671))/STDEV('The List'!T2:T671)</f>
        <v>0.83716394605145994</v>
      </c>
      <c r="H69" s="55" cm="1">
        <f t="array" ref="H69">(VLOOKUP($A69,'The List'!$B1:$AH671,20,FALSE)-AVERAGE('The List'!U2:U671))/STDEV('The List'!U2:U671)</f>
        <v>0.90137048165700662</v>
      </c>
      <c r="I69" s="55" cm="1">
        <f t="array" ref="I69">(VLOOKUP($A69,'The List'!$B1:$AH671,21,FALSE)-AVERAGE('The List'!V2:V671))/STDEV('The List'!V2:V671)</f>
        <v>1.3241023454866603</v>
      </c>
      <c r="J69" s="55" cm="1">
        <f t="array" ref="J69">(VLOOKUP($A69,'The List'!$B1:$AH671,22,FALSE)-AVERAGE('The List'!W2:W671))/STDEV('The List'!W2:W671)</f>
        <v>0.48943227953867396</v>
      </c>
      <c r="K69" s="55" cm="1">
        <f t="array" ref="K69">(VLOOKUP($A69,'The List'!$B1:$AH671,23,FALSE)-AVERAGE('The List'!X2:X671))/STDEV('The List'!X2:X671)</f>
        <v>0.83669477542248805</v>
      </c>
      <c r="L69" s="55" cm="1">
        <f t="array" ref="L69">(VLOOKUP($A69,'The List'!$B1:$AH671,24,FALSE)-AVERAGE('The List'!Y2:Y671))/STDEV('The List'!Y2:Y671)</f>
        <v>-0.47546929358800777</v>
      </c>
      <c r="M69" s="55" cm="1">
        <f t="array" ref="M69">(VLOOKUP($A69,'The List'!$B1:$AH671,25,FALSE)-AVERAGE('The List'!Z2:Z671))/STDEV('The List'!Z2:Z671)</f>
        <v>-0.64388478613809508</v>
      </c>
      <c r="N69" s="55" cm="1">
        <f t="array" ref="N69">(VLOOKUP($A69,'The List'!$B1:$AH671,26,FALSE)-AVERAGE('The List'!AA2:AA671))/STDEV('The List'!AA2:AA671)</f>
        <v>-0.1288225382382418</v>
      </c>
      <c r="O69" s="55" cm="1">
        <f t="array" ref="O69">(VLOOKUP($A69,'The List'!$B1:$AH671,27,FALSE)-AVERAGE('The List'!AB2:AB671))/STDEV('The List'!AB2:AB671)</f>
        <v>-0.4417036187114366</v>
      </c>
      <c r="P69" s="55" cm="1">
        <f t="array" ref="P69">(VLOOKUP($A69,'The List'!$B1:$AH671,28,FALSE)-AVERAGE('The List'!AC2:AC671))/STDEV('The List'!AC2:AC671)</f>
        <v>-1.5523481432147976</v>
      </c>
      <c r="Q69" s="55" cm="1">
        <f t="array" ref="Q69">(VLOOKUP($A69,'The List'!$B1:$AH671,29,FALSE)-AVERAGE('The List'!AD2:AD671))/STDEV('The List'!AD2:AD671)</f>
        <v>4.6641048753442542E-2</v>
      </c>
      <c r="R69" s="55" cm="1">
        <f t="array" ref="R69">(VLOOKUP($A69,'The List'!$B1:$AH671,30,FALSE)-AVERAGE('The List'!AE2:AE671))/STDEV('The List'!AE2:AE671)</f>
        <v>0.50444280289722776</v>
      </c>
      <c r="S69" s="55" cm="1">
        <f t="array" ref="S69">(VLOOKUP($A69,'The List'!$B1:$AH671,31,FALSE)-AVERAGE('The List'!AF2:AF671))/STDEV('The List'!AF2:AF671)</f>
        <v>0.45043847304530954</v>
      </c>
      <c r="T69" s="55" cm="1">
        <f t="array" ref="T69">(VLOOKUP($A69,'The List'!$B1:$AH671,32,FALSE)-AVERAGE('The List'!AG2:AG671))/STDEV('The List'!AG2:AG671)</f>
        <v>1.9206651739593295</v>
      </c>
      <c r="U69" s="55" cm="1">
        <f t="array" ref="U69">(VLOOKUP($A69,'The List'!$B1:$AH671,33,FALSE)-AVERAGE('The List'!AH2:AH671))/STDEV('The List'!AH2:AH671)</f>
        <v>0.12471406930801376</v>
      </c>
      <c r="V69" s="55"/>
      <c r="W69" s="77"/>
      <c r="X69" s="57"/>
      <c r="Y69" s="57"/>
      <c r="Z69" s="57"/>
      <c r="AA69" s="57"/>
      <c r="AB69" s="57"/>
      <c r="AC69" s="60"/>
      <c r="AD69" s="61"/>
      <c r="AE69" s="55"/>
    </row>
    <row r="70" spans="1:31" ht="21.25" customHeight="1" x14ac:dyDescent="0.15">
      <c r="A70" s="10" t="s">
        <v>258</v>
      </c>
      <c r="B70" s="18" t="str" cm="1">
        <f t="array" ref="B70">VLOOKUP(A70,'Player Data'!A1:B673,2,FALSE)</f>
        <v>CAR</v>
      </c>
      <c r="C70" s="52" cm="1">
        <f t="array" ref="C70">((E70)*Settings!$C$12)+(F70*Settings!$C$2)+(G70*Settings!$C$3)+(H70*Settings!$C$4)+(I70*Settings!$C$5)+(K70*Settings!$C$9)+(N70*Settings!$C$6)+(J70*Settings!$C$8)+(O70*Settings!$C$7)+(P70*Settings!$C$14)+(Q70*Settings!$C$15)+(R70*Settings!$C$16)+(S70*Settings!$C$17)+(T70*Settings!$C$18)+(U70*Settings!$C$19)+(L70*Settings!$C$10)+(Settings!$C$11*M70)</f>
        <v>7.9673790514234586</v>
      </c>
      <c r="D70" s="57" cm="1">
        <f t="array" ref="D70">IF(Settings!$E$12="YES",VLOOKUP(A70,'Player Data'!A1:E673,5,FALSE),82)</f>
        <v>80</v>
      </c>
      <c r="E70" s="55" cm="1">
        <f t="array" ref="E70">(VLOOKUP($A70,'The List'!$B1:$AH671,17,FALSE)-AVERAGE('The List'!R2:R671))/STDEV('The List'!R2:R671)</f>
        <v>0.17985877521512147</v>
      </c>
      <c r="F70" s="55" cm="1">
        <f t="array" ref="F70">(VLOOKUP($A70,'The List'!$B1:$AH671,18,FALSE)-AVERAGE('The List'!S2:S671))/STDEV('The List'!S2:S671)</f>
        <v>1.4217368666931454</v>
      </c>
      <c r="G70" s="55" cm="1">
        <f t="array" ref="G70">(VLOOKUP($A70,'The List'!$B1:$AH671,19,FALSE)-AVERAGE('The List'!T2:T671))/STDEV('The List'!T2:T671)</f>
        <v>1.0923972014931238</v>
      </c>
      <c r="H70" s="55" cm="1">
        <f t="array" ref="H70">(VLOOKUP($A70,'The List'!$B1:$AH671,20,FALSE)-AVERAGE('The List'!U2:U671))/STDEV('The List'!U2:U671)</f>
        <v>1.3170066807383249</v>
      </c>
      <c r="I70" s="55" cm="1">
        <f t="array" ref="I70">(VLOOKUP($A70,'The List'!$B1:$AH671,21,FALSE)-AVERAGE('The List'!V2:V671))/STDEV('The List'!V2:V671)</f>
        <v>1.3542770760830469</v>
      </c>
      <c r="J70" s="55" cm="1">
        <f t="array" ref="J70">(VLOOKUP($A70,'The List'!$B1:$AH671,22,FALSE)-AVERAGE('The List'!W2:W671))/STDEV('The List'!W2:W671)</f>
        <v>2.1339085498225185</v>
      </c>
      <c r="K70" s="55" cm="1">
        <f t="array" ref="K70">(VLOOKUP($A70,'The List'!$B1:$AH671,23,FALSE)-AVERAGE('The List'!X2:X671))/STDEV('The List'!X2:X671)</f>
        <v>1.690689966970027</v>
      </c>
      <c r="L70" s="55" cm="1">
        <f t="array" ref="L70">(VLOOKUP($A70,'The List'!$B1:$AH671,24,FALSE)-AVERAGE('The List'!Y2:Y671))/STDEV('The List'!Y2:Y671)</f>
        <v>-0.47546929358800777</v>
      </c>
      <c r="M70" s="55" cm="1">
        <f t="array" ref="M70">(VLOOKUP($A70,'The List'!$B1:$AH671,25,FALSE)-AVERAGE('The List'!Z2:Z671))/STDEV('The List'!Z2:Z671)</f>
        <v>-0.64388478613809508</v>
      </c>
      <c r="N70" s="55" cm="1">
        <f t="array" ref="N70">(VLOOKUP($A70,'The List'!$B1:$AH671,26,FALSE)-AVERAGE('The List'!AA2:AA671))/STDEV('The List'!AA2:AA671)</f>
        <v>-1.0712839998222241</v>
      </c>
      <c r="O70" s="55" cm="1">
        <f t="array" ref="O70">(VLOOKUP($A70,'The List'!$B1:$AH671,27,FALSE)-AVERAGE('The List'!AB2:AB671))/STDEV('The List'!AB2:AB671)</f>
        <v>1.2978197891648529</v>
      </c>
      <c r="P70" s="55" cm="1">
        <f t="array" ref="P70">(VLOOKUP($A70,'The List'!$B1:$AH671,28,FALSE)-AVERAGE('The List'!AC2:AC671))/STDEV('The List'!AC2:AC671)</f>
        <v>1.1104581510192622</v>
      </c>
      <c r="Q70" s="55" cm="1">
        <f t="array" ref="Q70">(VLOOKUP($A70,'The List'!$B1:$AH671,29,FALSE)-AVERAGE('The List'!AD2:AD671))/STDEV('The List'!AD2:AD671)</f>
        <v>2.2956820514385967</v>
      </c>
      <c r="R70" s="55" cm="1">
        <f t="array" ref="R70">(VLOOKUP($A70,'The List'!$B1:$AH671,30,FALSE)-AVERAGE('The List'!AE2:AE671))/STDEV('The List'!AE2:AE671)</f>
        <v>1.6497375814620463</v>
      </c>
      <c r="S70" s="55" cm="1">
        <f t="array" ref="S70">(VLOOKUP($A70,'The List'!$B1:$AH671,31,FALSE)-AVERAGE('The List'!AF2:AF671))/STDEV('The List'!AF2:AF671)</f>
        <v>-0.56120288907315852</v>
      </c>
      <c r="T70" s="55" cm="1">
        <f t="array" ref="T70">(VLOOKUP($A70,'The List'!$B1:$AH671,32,FALSE)-AVERAGE('The List'!AG2:AG671))/STDEV('The List'!AG2:AG671)</f>
        <v>-0.58968495093815299</v>
      </c>
      <c r="U70" s="55" cm="1">
        <f t="array" ref="U70">(VLOOKUP($A70,'The List'!$B1:$AH671,33,FALSE)-AVERAGE('The List'!AH2:AH671))/STDEV('The List'!AH2:AH671)</f>
        <v>0.53870709061410371</v>
      </c>
      <c r="V70" s="55"/>
      <c r="W70" s="77"/>
      <c r="X70" s="57"/>
      <c r="Y70" s="57"/>
      <c r="Z70" s="57"/>
      <c r="AA70" s="57"/>
      <c r="AB70" s="57"/>
      <c r="AC70" s="60"/>
      <c r="AD70" s="61"/>
      <c r="AE70" s="55"/>
    </row>
    <row r="71" spans="1:31" ht="21.25" customHeight="1" x14ac:dyDescent="0.15">
      <c r="A71" s="10" t="s">
        <v>276</v>
      </c>
      <c r="B71" s="18" t="str" cm="1">
        <f t="array" ref="B71">VLOOKUP(A71,'Player Data'!A1:B673,2,FALSE)</f>
        <v>PIT</v>
      </c>
      <c r="C71" s="52" cm="1">
        <f t="array" ref="C71">((E71)*Settings!$C$12)+(F71*Settings!$C$2)+(G71*Settings!$C$3)+(H71*Settings!$C$4)+(I71*Settings!$C$5)+(K71*Settings!$C$9)+(N71*Settings!$C$6)+(J71*Settings!$C$8)+(O71*Settings!$C$7)+(P71*Settings!$C$14)+(Q71*Settings!$C$15)+(R71*Settings!$C$16)+(S71*Settings!$C$17)+(T71*Settings!$C$18)+(U71*Settings!$C$19)+(L71*Settings!$C$10)+(Settings!$C$11*M71)</f>
        <v>3.6979420703450154</v>
      </c>
      <c r="D71" s="57" cm="1">
        <f t="array" ref="D71">IF(Settings!$E$12="YES",VLOOKUP(A71,'Player Data'!A1:E673,5,FALSE),82)</f>
        <v>77</v>
      </c>
      <c r="E71" s="55" cm="1">
        <f t="array" ref="E71">(VLOOKUP($A71,'The List'!$B1:$AH671,17,FALSE)-AVERAGE('The List'!R2:R671))/STDEV('The List'!R2:R671)</f>
        <v>0.2323229955666796</v>
      </c>
      <c r="F71" s="55" cm="1">
        <f t="array" ref="F71">(VLOOKUP($A71,'The List'!$B1:$AH671,18,FALSE)-AVERAGE('The List'!S2:S671))/STDEV('The List'!S2:S671)</f>
        <v>0.70222263142554708</v>
      </c>
      <c r="G71" s="55" cm="1">
        <f t="array" ref="G71">(VLOOKUP($A71,'The List'!$B1:$AH671,19,FALSE)-AVERAGE('The List'!T2:T671))/STDEV('The List'!T2:T671)</f>
        <v>1.4219797918073855</v>
      </c>
      <c r="H71" s="55" cm="1">
        <f t="array" ref="H71">(VLOOKUP($A71,'The List'!$B1:$AH671,20,FALSE)-AVERAGE('The List'!U2:U671))/STDEV('The List'!U2:U671)</f>
        <v>1.2056045086807918</v>
      </c>
      <c r="I71" s="55" cm="1">
        <f t="array" ref="I71">(VLOOKUP($A71,'The List'!$B1:$AH671,21,FALSE)-AVERAGE('The List'!V2:V671))/STDEV('The List'!V2:V671)</f>
        <v>0.95551796805865963</v>
      </c>
      <c r="J71" s="55" cm="1">
        <f t="array" ref="J71">(VLOOKUP($A71,'The List'!$B1:$AH671,22,FALSE)-AVERAGE('The List'!W2:W671))/STDEV('The List'!W2:W671)</f>
        <v>0.75016214167302919</v>
      </c>
      <c r="K71" s="55" cm="1">
        <f t="array" ref="K71">(VLOOKUP($A71,'The List'!$B1:$AH671,23,FALSE)-AVERAGE('The List'!X2:X671))/STDEV('The List'!X2:X671)</f>
        <v>1.5198507311932772</v>
      </c>
      <c r="L71" s="55" cm="1">
        <f t="array" ref="L71">(VLOOKUP($A71,'The List'!$B1:$AH671,24,FALSE)-AVERAGE('The List'!Y2:Y671))/STDEV('The List'!Y2:Y671)</f>
        <v>-0.47546929358800777</v>
      </c>
      <c r="M71" s="55" cm="1">
        <f t="array" ref="M71">(VLOOKUP($A71,'The List'!$B1:$AH671,25,FALSE)-AVERAGE('The List'!Z2:Z671))/STDEV('The List'!Z2:Z671)</f>
        <v>-0.64388478613809508</v>
      </c>
      <c r="N71" s="55" cm="1">
        <f t="array" ref="N71">(VLOOKUP($A71,'The List'!$B1:$AH671,26,FALSE)-AVERAGE('The List'!AA2:AA671))/STDEV('The List'!AA2:AA671)</f>
        <v>-0.75764099851460065</v>
      </c>
      <c r="O71" s="55" cm="1">
        <f t="array" ref="O71">(VLOOKUP($A71,'The List'!$B1:$AH671,27,FALSE)-AVERAGE('The List'!AB2:AB671))/STDEV('The List'!AB2:AB671)</f>
        <v>-0.96380662600119693</v>
      </c>
      <c r="P71" s="55" cm="1">
        <f t="array" ref="P71">(VLOOKUP($A71,'The List'!$B1:$AH671,28,FALSE)-AVERAGE('The List'!AC2:AC671))/STDEV('The List'!AC2:AC671)</f>
        <v>6.2177573861342997E-2</v>
      </c>
      <c r="Q71" s="55" cm="1">
        <f t="array" ref="Q71">(VLOOKUP($A71,'The List'!$B1:$AH671,29,FALSE)-AVERAGE('The List'!AD2:AD671))/STDEV('The List'!AD2:AD671)</f>
        <v>1.6654481567965342</v>
      </c>
      <c r="R71" s="55" cm="1">
        <f t="array" ref="R71">(VLOOKUP($A71,'The List'!$B1:$AH671,30,FALSE)-AVERAGE('The List'!AE2:AE671))/STDEV('The List'!AE2:AE671)</f>
        <v>0.57680347518127961</v>
      </c>
      <c r="S71" s="55" cm="1">
        <f t="array" ref="S71">(VLOOKUP($A71,'The List'!$B1:$AH671,31,FALSE)-AVERAGE('The List'!AF2:AF671))/STDEV('The List'!AF2:AF671)</f>
        <v>0.46293855640957154</v>
      </c>
      <c r="T71" s="55" cm="1">
        <f t="array" ref="T71">(VLOOKUP($A71,'The List'!$B1:$AH671,32,FALSE)-AVERAGE('The List'!AG2:AG671))/STDEV('The List'!AG2:AG671)</f>
        <v>0.66171361406715634</v>
      </c>
      <c r="U71" s="55" cm="1">
        <f t="array" ref="U71">(VLOOKUP($A71,'The List'!$B1:$AH671,33,FALSE)-AVERAGE('The List'!AH2:AH671))/STDEV('The List'!AH2:AH671)</f>
        <v>0.86070166274106241</v>
      </c>
      <c r="V71" s="55"/>
      <c r="W71" s="77"/>
      <c r="X71" s="57"/>
      <c r="Y71" s="57"/>
      <c r="Z71" s="57"/>
      <c r="AA71" s="57"/>
      <c r="AB71" s="57"/>
      <c r="AC71" s="60"/>
      <c r="AD71" s="61"/>
      <c r="AE71" s="55"/>
    </row>
    <row r="72" spans="1:31" ht="21.25" customHeight="1" x14ac:dyDescent="0.15">
      <c r="A72" s="10" t="s">
        <v>262</v>
      </c>
      <c r="B72" s="18" t="str" cm="1">
        <f t="array" ref="B72">VLOOKUP(A72,'Player Data'!A1:B673,2,FALSE)</f>
        <v>PHI</v>
      </c>
      <c r="C72" s="52" cm="1">
        <f t="array" ref="C72">((E72)*Settings!$C$12)+(F72*Settings!$C$2)+(G72*Settings!$C$3)+(H72*Settings!$C$4)+(I72*Settings!$C$5)+(K72*Settings!$C$9)+(N72*Settings!$C$6)+(J72*Settings!$C$8)+(O72*Settings!$C$7)+(P72*Settings!$C$14)+(Q72*Settings!$C$15)+(R72*Settings!$C$16)+(S72*Settings!$C$17)+(T72*Settings!$C$18)+(U72*Settings!$C$19)+(L72*Settings!$C$10)+(Settings!$C$11*M72)</f>
        <v>4.0270904688992948</v>
      </c>
      <c r="D72" s="57" cm="1">
        <f t="array" ref="D72">IF(Settings!$E$12="YES",VLOOKUP(A72,'Player Data'!A1:E673,5,FALSE),82)</f>
        <v>83</v>
      </c>
      <c r="E72" s="55" cm="1">
        <f t="array" ref="E72">(VLOOKUP($A72,'The List'!$B1:$AH671,17,FALSE)-AVERAGE('The List'!R2:R671))/STDEV('The List'!R2:R671)</f>
        <v>0.52087620750025077</v>
      </c>
      <c r="F72" s="55" cm="1">
        <f t="array" ref="F72">(VLOOKUP($A72,'The List'!$B1:$AH671,18,FALSE)-AVERAGE('The List'!S2:S671))/STDEV('The List'!S2:S671)</f>
        <v>1.1123756837070764</v>
      </c>
      <c r="G72" s="55" cm="1">
        <f t="array" ref="G72">(VLOOKUP($A72,'The List'!$B1:$AH671,19,FALSE)-AVERAGE('The List'!T2:T671))/STDEV('The List'!T2:T671)</f>
        <v>1.1956992074125192</v>
      </c>
      <c r="H72" s="55" cm="1">
        <f t="array" ref="H72">(VLOOKUP($A72,'The List'!$B1:$AH671,20,FALSE)-AVERAGE('The List'!U2:U671))/STDEV('The List'!U2:U671)</f>
        <v>1.2449489265899998</v>
      </c>
      <c r="I72" s="55" cm="1">
        <f t="array" ref="I72">(VLOOKUP($A72,'The List'!$B1:$AH671,21,FALSE)-AVERAGE('The List'!V2:V671))/STDEV('The List'!V2:V671)</f>
        <v>0.97072195484641832</v>
      </c>
      <c r="J72" s="55" cm="1">
        <f t="array" ref="J72">(VLOOKUP($A72,'The List'!$B1:$AH671,22,FALSE)-AVERAGE('The List'!W2:W671))/STDEV('The List'!W2:W671)</f>
        <v>0.17843458381485669</v>
      </c>
      <c r="K72" s="55" cm="1">
        <f t="array" ref="K72">(VLOOKUP($A72,'The List'!$B1:$AH671,23,FALSE)-AVERAGE('The List'!X2:X671))/STDEV('The List'!X2:X671)</f>
        <v>0.36618342135969972</v>
      </c>
      <c r="L72" s="55" cm="1">
        <f t="array" ref="L72">(VLOOKUP($A72,'The List'!$B1:$AH671,24,FALSE)-AVERAGE('The List'!Y2:Y671))/STDEV('The List'!Y2:Y671)</f>
        <v>1.0460445458883638</v>
      </c>
      <c r="M72" s="55" cm="1">
        <f t="array" ref="M72">(VLOOKUP($A72,'The List'!$B1:$AH671,25,FALSE)-AVERAGE('The List'!Z2:Z671))/STDEV('The List'!Z2:Z671)</f>
        <v>1.1599035105660132</v>
      </c>
      <c r="N72" s="55" cm="1">
        <f t="array" ref="N72">(VLOOKUP($A72,'The List'!$B1:$AH671,26,FALSE)-AVERAGE('The List'!AA2:AA671))/STDEV('The List'!AA2:AA671)</f>
        <v>-0.64781486613489547</v>
      </c>
      <c r="O72" s="55" cm="1">
        <f t="array" ref="O72">(VLOOKUP($A72,'The List'!$B1:$AH671,27,FALSE)-AVERAGE('The List'!AB2:AB671))/STDEV('The List'!AB2:AB671)</f>
        <v>0.30691050874133341</v>
      </c>
      <c r="P72" s="55" cm="1">
        <f t="array" ref="P72">(VLOOKUP($A72,'The List'!$B1:$AH671,28,FALSE)-AVERAGE('The List'!AC2:AC671))/STDEV('The List'!AC2:AC671)</f>
        <v>7.5199692832248838E-2</v>
      </c>
      <c r="Q72" s="55" cm="1">
        <f t="array" ref="Q72">(VLOOKUP($A72,'The List'!$B1:$AH671,29,FALSE)-AVERAGE('The List'!AD2:AD671))/STDEV('The List'!AD2:AD671)</f>
        <v>1.1829830533952839</v>
      </c>
      <c r="R72" s="55" cm="1">
        <f t="array" ref="R72">(VLOOKUP($A72,'The List'!$B1:$AH671,30,FALSE)-AVERAGE('The List'!AE2:AE671))/STDEV('The List'!AE2:AE671)</f>
        <v>1.2442682971117567</v>
      </c>
      <c r="S72" s="55" cm="1">
        <f t="array" ref="S72">(VLOOKUP($A72,'The List'!$B1:$AH671,31,FALSE)-AVERAGE('The List'!AF2:AF671))/STDEV('The List'!AF2:AF671)</f>
        <v>-0.46812534525311505</v>
      </c>
      <c r="T72" s="55" cm="1">
        <f t="array" ref="T72">(VLOOKUP($A72,'The List'!$B1:$AH671,32,FALSE)-AVERAGE('The List'!AG2:AG671))/STDEV('The List'!AG2:AG671)</f>
        <v>-0.43081688956783665</v>
      </c>
      <c r="U72" s="55" cm="1">
        <f t="array" ref="U72">(VLOOKUP($A72,'The List'!$B1:$AH671,33,FALSE)-AVERAGE('The List'!AH2:AH671))/STDEV('The List'!AH2:AH671)</f>
        <v>0.53870709061410371</v>
      </c>
      <c r="V72" s="55"/>
      <c r="W72" s="77"/>
      <c r="X72" s="57"/>
      <c r="Y72" s="57"/>
      <c r="Z72" s="57"/>
      <c r="AA72" s="57"/>
      <c r="AB72" s="57"/>
      <c r="AC72" s="60"/>
      <c r="AD72" s="61"/>
      <c r="AE72" s="55"/>
    </row>
    <row r="73" spans="1:31" ht="21.25" customHeight="1" x14ac:dyDescent="0.15">
      <c r="A73" s="10" t="s">
        <v>277</v>
      </c>
      <c r="B73" s="18" t="str" cm="1">
        <f t="array" ref="B73">VLOOKUP(A73,'Player Data'!A1:B673,2,FALSE)</f>
        <v>TOR</v>
      </c>
      <c r="C73" s="52" cm="1">
        <f t="array" ref="C73">((E73)*Settings!$C$12)+(F73*Settings!$C$2)+(G73*Settings!$C$3)+(H73*Settings!$C$4)+(I73*Settings!$C$5)+(K73*Settings!$C$9)+(N73*Settings!$C$6)+(J73*Settings!$C$8)+(O73*Settings!$C$7)+(P73*Settings!$C$14)+(Q73*Settings!$C$15)+(R73*Settings!$C$16)+(S73*Settings!$C$17)+(T73*Settings!$C$18)+(U73*Settings!$C$19)+(L73*Settings!$C$10)+(Settings!$C$11*M73)</f>
        <v>4.8039094606699768</v>
      </c>
      <c r="D73" s="57" cm="1">
        <f t="array" ref="D73">IF(Settings!$E$12="YES",VLOOKUP(A73,'Player Data'!A1:E673,5,FALSE),82)</f>
        <v>83</v>
      </c>
      <c r="E73" s="55" cm="1">
        <f t="array" ref="E73">(VLOOKUP($A73,'The List'!$B1:$AH671,17,FALSE)-AVERAGE('The List'!R2:R671))/STDEV('The List'!R2:R671)</f>
        <v>0.57334042785180894</v>
      </c>
      <c r="F73" s="55" cm="1">
        <f t="array" ref="F73">(VLOOKUP($A73,'The List'!$B1:$AH671,18,FALSE)-AVERAGE('The List'!S2:S671))/STDEV('The List'!S2:S671)</f>
        <v>1.2780336074996168</v>
      </c>
      <c r="G73" s="55" cm="1">
        <f t="array" ref="G73">(VLOOKUP($A73,'The List'!$B1:$AH671,19,FALSE)-AVERAGE('The List'!T2:T671))/STDEV('The List'!T2:T671)</f>
        <v>1.0790452415443579</v>
      </c>
      <c r="H73" s="55" cm="1">
        <f t="array" ref="H73">(VLOOKUP($A73,'The List'!$B1:$AH671,20,FALSE)-AVERAGE('The List'!U2:U671))/STDEV('The List'!U2:U671)</f>
        <v>1.2449489265899998</v>
      </c>
      <c r="I73" s="55" cm="1">
        <f t="array" ref="I73">(VLOOKUP($A73,'The List'!$B1:$AH671,21,FALSE)-AVERAGE('The List'!V2:V671))/STDEV('The List'!V2:V671)</f>
        <v>0.48315774217535196</v>
      </c>
      <c r="J73" s="55" cm="1">
        <f t="array" ref="J73">(VLOOKUP($A73,'The List'!$B1:$AH671,22,FALSE)-AVERAGE('The List'!W2:W671))/STDEV('The List'!W2:W671)</f>
        <v>0.63692141765281118</v>
      </c>
      <c r="K73" s="55" cm="1">
        <f t="array" ref="K73">(VLOOKUP($A73,'The List'!$B1:$AH671,23,FALSE)-AVERAGE('The List'!X2:X671))/STDEV('The List'!X2:X671)</f>
        <v>0.69982239946488067</v>
      </c>
      <c r="L73" s="55" cm="1">
        <f t="array" ref="L73">(VLOOKUP($A73,'The List'!$B1:$AH671,24,FALSE)-AVERAGE('The List'!Y2:Y671))/STDEV('The List'!Y2:Y671)</f>
        <v>1.0460445458883638</v>
      </c>
      <c r="M73" s="55" cm="1">
        <f t="array" ref="M73">(VLOOKUP($A73,'The List'!$B1:$AH671,25,FALSE)-AVERAGE('The List'!Z2:Z671))/STDEV('The List'!Z2:Z671)</f>
        <v>0.25800936221395893</v>
      </c>
      <c r="N73" s="55" cm="1">
        <f t="array" ref="N73">(VLOOKUP($A73,'The List'!$B1:$AH671,26,FALSE)-AVERAGE('The List'!AA2:AA671))/STDEV('The List'!AA2:AA671)</f>
        <v>-0.66901386378028038</v>
      </c>
      <c r="O73" s="55" cm="1">
        <f t="array" ref="O73">(VLOOKUP($A73,'The List'!$B1:$AH671,27,FALSE)-AVERAGE('The List'!AB2:AB671))/STDEV('The List'!AB2:AB671)</f>
        <v>1.5489294020152475</v>
      </c>
      <c r="P73" s="55" cm="1">
        <f t="array" ref="P73">(VLOOKUP($A73,'The List'!$B1:$AH671,28,FALSE)-AVERAGE('The List'!AC2:AC671))/STDEV('The List'!AC2:AC671)</f>
        <v>-0.28507893202947904</v>
      </c>
      <c r="Q73" s="55" cm="1">
        <f t="array" ref="Q73">(VLOOKUP($A73,'The List'!$B1:$AH671,29,FALSE)-AVERAGE('The List'!AD2:AD671))/STDEV('The List'!AD2:AD671)</f>
        <v>0.69239066647578973</v>
      </c>
      <c r="R73" s="55" cm="1">
        <f t="array" ref="R73">(VLOOKUP($A73,'The List'!$B1:$AH671,30,FALSE)-AVERAGE('The List'!AE2:AE671))/STDEV('The List'!AE2:AE671)</f>
        <v>0.72651521094138671</v>
      </c>
      <c r="S73" s="55" cm="1">
        <f t="array" ref="S73">(VLOOKUP($A73,'The List'!$B1:$AH671,31,FALSE)-AVERAGE('The List'!AF2:AF671))/STDEV('The List'!AF2:AF671)</f>
        <v>-0.59581850454342256</v>
      </c>
      <c r="T73" s="55" cm="1">
        <f t="array" ref="T73">(VLOOKUP($A73,'The List'!$B1:$AH671,32,FALSE)-AVERAGE('The List'!AG2:AG671))/STDEV('The List'!AG2:AG671)</f>
        <v>-0.6214279429626749</v>
      </c>
      <c r="U73" s="55" cm="1">
        <f t="array" ref="U73">(VLOOKUP($A73,'The List'!$B1:$AH671,33,FALSE)-AVERAGE('The List'!AH2:AH671))/STDEV('The List'!AH2:AH671)</f>
        <v>-0.93326809625199347</v>
      </c>
      <c r="V73" s="55"/>
      <c r="W73" s="77"/>
      <c r="X73" s="57"/>
      <c r="Y73" s="57"/>
      <c r="Z73" s="57"/>
      <c r="AA73" s="57"/>
      <c r="AB73" s="57"/>
      <c r="AC73" s="60"/>
      <c r="AD73" s="61"/>
      <c r="AE73" s="55"/>
    </row>
    <row r="74" spans="1:31" ht="21.25" customHeight="1" x14ac:dyDescent="0.15">
      <c r="A74" s="10" t="s">
        <v>228</v>
      </c>
      <c r="B74" s="18" t="str" cm="1">
        <f t="array" ref="B74">VLOOKUP(A74,'Player Data'!A1:B673,2,FALSE)</f>
        <v>MTL</v>
      </c>
      <c r="C74" s="52" cm="1">
        <f t="array" ref="C74">((E74)*Settings!$C$12)+(F74*Settings!$C$2)+(G74*Settings!$C$3)+(H74*Settings!$C$4)+(I74*Settings!$C$5)+(K74*Settings!$C$9)+(N74*Settings!$C$6)+(J74*Settings!$C$8)+(O74*Settings!$C$7)+(P74*Settings!$C$14)+(Q74*Settings!$C$15)+(R74*Settings!$C$16)+(S74*Settings!$C$17)+(T74*Settings!$C$18)+(U74*Settings!$C$19)+(L74*Settings!$C$10)+(Settings!$C$11*M74)</f>
        <v>6.7396192811947193</v>
      </c>
      <c r="D74" s="57" cm="1">
        <f t="array" ref="D74">IF(Settings!$E$12="YES",VLOOKUP(A74,'Player Data'!A1:E673,5,FALSE),82)</f>
        <v>84</v>
      </c>
      <c r="E74" s="55" cm="1">
        <f t="array" ref="E74">(VLOOKUP($A74,'The List'!$B1:$AH671,17,FALSE)-AVERAGE('The List'!R2:R671))/STDEV('The List'!R2:R671)</f>
        <v>0.49464409732447123</v>
      </c>
      <c r="F74" s="55" cm="1">
        <f t="array" ref="F74">(VLOOKUP($A74,'The List'!$B1:$AH671,18,FALSE)-AVERAGE('The List'!S2:S671))/STDEV('The List'!S2:S671)</f>
        <v>1.3099676650981784</v>
      </c>
      <c r="G74" s="55" cm="1">
        <f t="array" ref="G74">(VLOOKUP($A74,'The List'!$B1:$AH671,19,FALSE)-AVERAGE('The List'!T2:T671))/STDEV('The List'!T2:T671)</f>
        <v>1.2891629270538771</v>
      </c>
      <c r="H74" s="55" cm="1">
        <f t="array" ref="H74">(VLOOKUP($A74,'The List'!$B1:$AH671,20,FALSE)-AVERAGE('The List'!U2:U671))/STDEV('The List'!U2:U671)</f>
        <v>1.3912747954433462</v>
      </c>
      <c r="I74" s="55" cm="1">
        <f t="array" ref="I74">(VLOOKUP($A74,'The List'!$B1:$AH671,21,FALSE)-AVERAGE('The List'!V2:V671))/STDEV('The List'!V2:V671)</f>
        <v>0.92165454294047111</v>
      </c>
      <c r="J74" s="55" cm="1">
        <f t="array" ref="J74">(VLOOKUP($A74,'The List'!$B1:$AH671,22,FALSE)-AVERAGE('The List'!W2:W671))/STDEV('The List'!W2:W671)</f>
        <v>2.2775309315066972</v>
      </c>
      <c r="K74" s="55" cm="1">
        <f t="array" ref="K74">(VLOOKUP($A74,'The List'!$B1:$AH671,23,FALSE)-AVERAGE('The List'!X2:X671))/STDEV('The List'!X2:X671)</f>
        <v>1.47764339058961</v>
      </c>
      <c r="L74" s="55" cm="1">
        <f t="array" ref="L74">(VLOOKUP($A74,'The List'!$B1:$AH671,24,FALSE)-AVERAGE('The List'!Y2:Y671))/STDEV('The List'!Y2:Y671)</f>
        <v>-0.47546929358800777</v>
      </c>
      <c r="M74" s="55" cm="1">
        <f t="array" ref="M74">(VLOOKUP($A74,'The List'!$B1:$AH671,25,FALSE)-AVERAGE('The List'!Z2:Z671))/STDEV('The List'!Z2:Z671)</f>
        <v>-0.64388478613809508</v>
      </c>
      <c r="N74" s="55" cm="1">
        <f t="array" ref="N74">(VLOOKUP($A74,'The List'!$B1:$AH671,26,FALSE)-AVERAGE('The List'!AA2:AA671))/STDEV('The List'!AA2:AA671)</f>
        <v>0.24356467341201454</v>
      </c>
      <c r="O74" s="55" cm="1">
        <f t="array" ref="O74">(VLOOKUP($A74,'The List'!$B1:$AH671,27,FALSE)-AVERAGE('The List'!AB2:AB671))/STDEV('The List'!AB2:AB671)</f>
        <v>0.93458204714779081</v>
      </c>
      <c r="P74" s="55" cm="1">
        <f t="array" ref="P74">(VLOOKUP($A74,'The List'!$B1:$AH671,28,FALSE)-AVERAGE('The List'!AC2:AC671))/STDEV('The List'!AC2:AC671)</f>
        <v>0.8066087083647927</v>
      </c>
      <c r="Q74" s="55" cm="1">
        <f t="array" ref="Q74">(VLOOKUP($A74,'The List'!$B1:$AH671,29,FALSE)-AVERAGE('The List'!AD2:AD671))/STDEV('The List'!AD2:AD671)</f>
        <v>1.1637731105339786</v>
      </c>
      <c r="R74" s="55" cm="1">
        <f t="array" ref="R74">(VLOOKUP($A74,'The List'!$B1:$AH671,30,FALSE)-AVERAGE('The List'!AE2:AE671))/STDEV('The List'!AE2:AE671)</f>
        <v>1.275458242061779</v>
      </c>
      <c r="S74" s="55" cm="1">
        <f t="array" ref="S74">(VLOOKUP($A74,'The List'!$B1:$AH671,31,FALSE)-AVERAGE('The List'!AF2:AF671))/STDEV('The List'!AF2:AF671)</f>
        <v>-0.51101024664127559</v>
      </c>
      <c r="T74" s="55" cm="1">
        <f t="array" ref="T74">(VLOOKUP($A74,'The List'!$B1:$AH671,32,FALSE)-AVERAGE('The List'!AG2:AG671))/STDEV('The List'!AG2:AG671)</f>
        <v>-0.4796561875862731</v>
      </c>
      <c r="U74" s="55" cm="1">
        <f t="array" ref="U74">(VLOOKUP($A74,'The List'!$B1:$AH671,33,FALSE)-AVERAGE('The List'!AH2:AH671))/STDEV('The List'!AH2:AH671)</f>
        <v>0.35471019225584138</v>
      </c>
      <c r="V74" s="55"/>
      <c r="W74" s="57"/>
      <c r="X74" s="55"/>
      <c r="Y74" s="55"/>
      <c r="Z74" s="55"/>
      <c r="AA74" s="55"/>
      <c r="AB74" s="55"/>
      <c r="AC74" s="55"/>
      <c r="AD74" s="55"/>
      <c r="AE74" s="55"/>
    </row>
    <row r="75" spans="1:31" ht="21.25" customHeight="1" x14ac:dyDescent="0.15">
      <c r="A75" s="10" t="s">
        <v>213</v>
      </c>
      <c r="B75" s="18" t="str" cm="1">
        <f t="array" ref="B75">VLOOKUP(A75,'Player Data'!A1:B673,2,FALSE)</f>
        <v>CBJ</v>
      </c>
      <c r="C75" s="52" cm="1">
        <f t="array" ref="C75">((E75)*Settings!$C$12)+(F75*Settings!$C$2)+(G75*Settings!$C$3)+(H75*Settings!$C$4)+(I75*Settings!$C$5)+(K75*Settings!$C$9)+(N75*Settings!$C$6)+(J75*Settings!$C$8)+(O75*Settings!$C$7)+(P75*Settings!$C$14)+(Q75*Settings!$C$15)+(R75*Settings!$C$16)+(S75*Settings!$C$17)+(T75*Settings!$C$18)+(U75*Settings!$C$19)+(L75*Settings!$C$10)+(Settings!$C$11*M75)</f>
        <v>6.01368038721973</v>
      </c>
      <c r="D75" s="57" cm="1">
        <f t="array" ref="D75">IF(Settings!$E$12="YES",VLOOKUP(A75,'Player Data'!A1:E673,5,FALSE),82)</f>
        <v>81</v>
      </c>
      <c r="E75" s="55" cm="1">
        <f t="array" ref="E75">(VLOOKUP($A75,'The List'!$B1:$AH671,17,FALSE)-AVERAGE('The List'!R2:R671))/STDEV('The List'!R2:R671)</f>
        <v>0.73073308890648425</v>
      </c>
      <c r="F75" s="55" cm="1">
        <f t="array" ref="F75">(VLOOKUP($A75,'The List'!$B1:$AH671,18,FALSE)-AVERAGE('The List'!S2:S671))/STDEV('The List'!S2:S671)</f>
        <v>1.7678721128825579</v>
      </c>
      <c r="G75" s="55" cm="1">
        <f t="array" ref="G75">(VLOOKUP($A75,'The List'!$B1:$AH671,19,FALSE)-AVERAGE('The List'!T2:T671))/STDEV('The List'!T2:T671)</f>
        <v>0.96745096576204515</v>
      </c>
      <c r="H75" s="55" cm="1">
        <f t="array" ref="H75">(VLOOKUP($A75,'The List'!$B1:$AH671,20,FALSE)-AVERAGE('The List'!U2:U671))/STDEV('The List'!U2:U671)</f>
        <v>1.391738971160253</v>
      </c>
      <c r="I75" s="55" cm="1">
        <f t="array" ref="I75">(VLOOKUP($A75,'The List'!$B1:$AH671,21,FALSE)-AVERAGE('The List'!V2:V671))/STDEV('The List'!V2:V671)</f>
        <v>1.7893054673622077</v>
      </c>
      <c r="J75" s="55" cm="1">
        <f t="array" ref="J75">(VLOOKUP($A75,'The List'!$B1:$AH671,22,FALSE)-AVERAGE('The List'!W2:W671))/STDEV('The List'!W2:W671)</f>
        <v>0.9057990879788651</v>
      </c>
      <c r="K75" s="55" cm="1">
        <f t="array" ref="K75">(VLOOKUP($A75,'The List'!$B1:$AH671,23,FALSE)-AVERAGE('The List'!X2:X671))/STDEV('The List'!X2:X671)</f>
        <v>0.82237442771767244</v>
      </c>
      <c r="L75" s="55" cm="1">
        <f t="array" ref="L75">(VLOOKUP($A75,'The List'!$B1:$AH671,24,FALSE)-AVERAGE('The List'!Y2:Y671))/STDEV('The List'!Y2:Y671)</f>
        <v>-0.47546929358800777</v>
      </c>
      <c r="M75" s="55" cm="1">
        <f t="array" ref="M75">(VLOOKUP($A75,'The List'!$B1:$AH671,25,FALSE)-AVERAGE('The List'!Z2:Z671))/STDEV('The List'!Z2:Z671)</f>
        <v>-0.64388478613809508</v>
      </c>
      <c r="N75" s="55" cm="1">
        <f t="array" ref="N75">(VLOOKUP($A75,'The List'!$B1:$AH671,26,FALSE)-AVERAGE('The List'!AA2:AA671))/STDEV('The List'!AA2:AA671)</f>
        <v>-0.31961351704670649</v>
      </c>
      <c r="O75" s="55" cm="1">
        <f t="array" ref="O75">(VLOOKUP($A75,'The List'!$B1:$AH671,27,FALSE)-AVERAGE('The List'!AB2:AB671))/STDEV('The List'!AB2:AB671)</f>
        <v>0.77161703309386098</v>
      </c>
      <c r="P75" s="55" cm="1">
        <f t="array" ref="P75">(VLOOKUP($A75,'The List'!$B1:$AH671,28,FALSE)-AVERAGE('The List'!AC2:AC671))/STDEV('The List'!AC2:AC671)</f>
        <v>-0.1049396195986151</v>
      </c>
      <c r="Q75" s="55" cm="1">
        <f t="array" ref="Q75">(VLOOKUP($A75,'The List'!$B1:$AH671,29,FALSE)-AVERAGE('The List'!AD2:AD671))/STDEV('The List'!AD2:AD671)</f>
        <v>7.9889026782625369E-2</v>
      </c>
      <c r="R75" s="55" cm="1">
        <f t="array" ref="R75">(VLOOKUP($A75,'The List'!$B1:$AH671,30,FALSE)-AVERAGE('The List'!AE2:AE671))/STDEV('The List'!AE2:AE671)</f>
        <v>1.8387486478591812</v>
      </c>
      <c r="S75" s="55" cm="1">
        <f t="array" ref="S75">(VLOOKUP($A75,'The List'!$B1:$AH671,31,FALSE)-AVERAGE('The List'!AF2:AF671))/STDEV('The List'!AF2:AF671)</f>
        <v>1.8497747284307353</v>
      </c>
      <c r="T75" s="55" cm="1">
        <f t="array" ref="T75">(VLOOKUP($A75,'The List'!$B1:$AH671,32,FALSE)-AVERAGE('The List'!AG2:AG671))/STDEV('The List'!AG2:AG671)</f>
        <v>2.4286551138501511</v>
      </c>
      <c r="U75" s="55" cm="1">
        <f t="array" ref="U75">(VLOOKUP($A75,'The List'!$B1:$AH671,33,FALSE)-AVERAGE('The List'!AH2:AH671))/STDEV('The List'!AH2:AH671)</f>
        <v>0.86070166274106241</v>
      </c>
      <c r="V75" s="55"/>
      <c r="W75" s="77"/>
      <c r="X75" s="57"/>
      <c r="Y75" s="57"/>
      <c r="Z75" s="57"/>
      <c r="AA75" s="57"/>
      <c r="AB75" s="57"/>
      <c r="AC75" s="60"/>
      <c r="AD75" s="61"/>
      <c r="AE75" s="55"/>
    </row>
    <row r="76" spans="1:31" ht="21.25" customHeight="1" x14ac:dyDescent="0.15">
      <c r="A76" s="10" t="s">
        <v>201</v>
      </c>
      <c r="B76" s="18" t="str" cm="1">
        <f t="array" ref="B76">VLOOKUP(A76,'Player Data'!A1:B673,2,FALSE)</f>
        <v>NYI</v>
      </c>
      <c r="C76" s="52" cm="1">
        <f t="array" ref="C76">((E76)*Settings!$C$12)+(F76*Settings!$C$2)+(G76*Settings!$C$3)+(H76*Settings!$C$4)+(I76*Settings!$C$5)+(K76*Settings!$C$9)+(N76*Settings!$C$6)+(J76*Settings!$C$8)+(O76*Settings!$C$7)+(P76*Settings!$C$14)+(Q76*Settings!$C$15)+(R76*Settings!$C$16)+(S76*Settings!$C$17)+(T76*Settings!$C$18)+(U76*Settings!$C$19)+(L76*Settings!$C$10)+(Settings!$C$11*M76)</f>
        <v>-1.2603599746349046</v>
      </c>
      <c r="D76" s="57" cm="1">
        <f t="array" ref="D76">IF(Settings!$E$12="YES",VLOOKUP(A76,'Player Data'!A1:E673,5,FALSE),82)</f>
        <v>41</v>
      </c>
      <c r="E76" s="55" cm="1">
        <f t="array" ref="E76">(VLOOKUP($A76,'The List'!$B1:$AH671,17,FALSE)-AVERAGE('The List'!R2:R671))/STDEV('The List'!R2:R671)</f>
        <v>1.3603037331251837</v>
      </c>
      <c r="F76" s="55" cm="1">
        <f t="array" ref="F76">(VLOOKUP($A76,'The List'!$B1:$AH671,18,FALSE)-AVERAGE('The List'!S2:S671))/STDEV('The List'!S2:S671)</f>
        <v>0.3050427900434326</v>
      </c>
      <c r="G76" s="55" cm="1">
        <f t="array" ref="G76">(VLOOKUP($A76,'The List'!$B1:$AH671,19,FALSE)-AVERAGE('The List'!T2:T671))/STDEV('The List'!T2:T671)</f>
        <v>-0.48102586825876054</v>
      </c>
      <c r="H76" s="55" cm="1">
        <f t="array" ref="H76">(VLOOKUP($A76,'The List'!$B1:$AH671,20,FALSE)-AVERAGE('The List'!U2:U671))/STDEV('The List'!U2:U671)</f>
        <v>-0.16747146913943073</v>
      </c>
      <c r="I76" s="55" cm="1">
        <f t="array" ref="I76">(VLOOKUP($A76,'The List'!$B1:$AH671,21,FALSE)-AVERAGE('The List'!V2:V671))/STDEV('The List'!V2:V671)</f>
        <v>0.19600971897928118</v>
      </c>
      <c r="J76" s="55" cm="1">
        <f t="array" ref="J76">(VLOOKUP($A76,'The List'!$B1:$AH671,22,FALSE)-AVERAGE('The List'!W2:W671))/STDEV('The List'!W2:W671)</f>
        <v>0.16738670830068908</v>
      </c>
      <c r="K76" s="55" cm="1">
        <f t="array" ref="K76">(VLOOKUP($A76,'The List'!$B1:$AH671,23,FALSE)-AVERAGE('The List'!X2:X671))/STDEV('The List'!X2:X671)</f>
        <v>-1.870732747850621E-2</v>
      </c>
      <c r="L76" s="55" cm="1">
        <f t="array" ref="L76">(VLOOKUP($A76,'The List'!$B1:$AH671,24,FALSE)-AVERAGE('The List'!Y2:Y671))/STDEV('The List'!Y2:Y671)</f>
        <v>1.0277130538464798</v>
      </c>
      <c r="M76" s="55" cm="1">
        <f t="array" ref="M76">(VLOOKUP($A76,'The List'!$B1:$AH671,25,FALSE)-AVERAGE('The List'!Z2:Z671))/STDEV('The List'!Z2:Z671)</f>
        <v>0.6926571445522981</v>
      </c>
      <c r="N76" s="55" cm="1">
        <f t="array" ref="N76">(VLOOKUP($A76,'The List'!$B1:$AH671,26,FALSE)-AVERAGE('The List'!AA2:AA671))/STDEV('The List'!AA2:AA671)</f>
        <v>-1.0051329107842155</v>
      </c>
      <c r="O76" s="55" cm="1">
        <f t="array" ref="O76">(VLOOKUP($A76,'The List'!$B1:$AH671,27,FALSE)-AVERAGE('The List'!AB2:AB671))/STDEV('The List'!AB2:AB671)</f>
        <v>-0.97877070905269004</v>
      </c>
      <c r="P76" s="55" cm="1">
        <f t="array" ref="P76">(VLOOKUP($A76,'The List'!$B1:$AH671,28,FALSE)-AVERAGE('The List'!AC2:AC671))/STDEV('The List'!AC2:AC671)</f>
        <v>-0.28290857886766141</v>
      </c>
      <c r="Q76" s="55" cm="1">
        <f t="array" ref="Q76">(VLOOKUP($A76,'The List'!$B1:$AH671,29,FALSE)-AVERAGE('The List'!AD2:AD671))/STDEV('The List'!AD2:AD671)</f>
        <v>-1.1924002658007631</v>
      </c>
      <c r="R76" s="55" cm="1">
        <f t="array" ref="R76">(VLOOKUP($A76,'The List'!$B1:$AH671,30,FALSE)-AVERAGE('The List'!AE2:AE671))/STDEV('The List'!AE2:AE671)</f>
        <v>0.19004815780100306</v>
      </c>
      <c r="S76" s="55" cm="1">
        <f t="array" ref="S76">(VLOOKUP($A76,'The List'!$B1:$AH671,31,FALSE)-AVERAGE('The List'!AF2:AF671))/STDEV('The List'!AF2:AF671)</f>
        <v>1.5074166759810816</v>
      </c>
      <c r="T76" s="55" cm="1">
        <f t="array" ref="T76">(VLOOKUP($A76,'The List'!$B1:$AH671,32,FALSE)-AVERAGE('The List'!AG2:AG671))/STDEV('The List'!AG2:AG671)</f>
        <v>1.0835585852483431</v>
      </c>
      <c r="U76" s="55" cm="1">
        <f t="array" ref="U76">(VLOOKUP($A76,'The List'!$B1:$AH671,33,FALSE)-AVERAGE('The List'!AH2:AH671))/STDEV('The List'!AH2:AH671)</f>
        <v>1.320693908636718</v>
      </c>
      <c r="V76" s="55"/>
      <c r="W76" s="77"/>
      <c r="X76" s="57"/>
      <c r="Y76" s="57"/>
      <c r="Z76" s="57"/>
      <c r="AA76" s="57"/>
      <c r="AB76" s="57"/>
      <c r="AC76" s="60"/>
      <c r="AD76" s="61"/>
      <c r="AE76" s="55"/>
    </row>
    <row r="77" spans="1:31" ht="21.25" customHeight="1" x14ac:dyDescent="0.15">
      <c r="A77" s="10" t="s">
        <v>232</v>
      </c>
      <c r="B77" s="18" t="str" cm="1">
        <f t="array" ref="B77">VLOOKUP(A77,'Player Data'!A1:B673,2,FALSE)</f>
        <v>VAN</v>
      </c>
      <c r="C77" s="52" cm="1">
        <f t="array" ref="C77">((E77)*Settings!$C$12)+(F77*Settings!$C$2)+(G77*Settings!$C$3)+(H77*Settings!$C$4)+(I77*Settings!$C$5)+(K77*Settings!$C$9)+(N77*Settings!$C$6)+(J77*Settings!$C$8)+(O77*Settings!$C$7)+(P77*Settings!$C$14)+(Q77*Settings!$C$15)+(R77*Settings!$C$16)+(S77*Settings!$C$17)+(T77*Settings!$C$18)+(U77*Settings!$C$19)+(L77*Settings!$C$10)+(Settings!$C$11*M77)</f>
        <v>1.7818902646793893</v>
      </c>
      <c r="D77" s="57" cm="1">
        <f t="array" ref="D77">IF(Settings!$E$12="YES",VLOOKUP(A77,'Player Data'!A1:E673,5,FALSE),82)</f>
        <v>80</v>
      </c>
      <c r="E77" s="55" cm="1">
        <f t="array" ref="E77">(VLOOKUP($A77,'The List'!$B1:$AH671,17,FALSE)-AVERAGE('The List'!R2:R671))/STDEV('The List'!R2:R671)</f>
        <v>0.91435786013693821</v>
      </c>
      <c r="F77" s="55" cm="1">
        <f t="array" ref="F77">(VLOOKUP($A77,'The List'!$B1:$AH671,18,FALSE)-AVERAGE('The List'!S2:S671))/STDEV('The List'!S2:S671)</f>
        <v>0.67527827032676013</v>
      </c>
      <c r="G77" s="55" cm="1">
        <f t="array" ref="G77">(VLOOKUP($A77,'The List'!$B1:$AH671,19,FALSE)-AVERAGE('The List'!T2:T671))/STDEV('The List'!T2:T671)</f>
        <v>1.2217003925759045</v>
      </c>
      <c r="H77" s="55" cm="1">
        <f t="array" ref="H77">(VLOOKUP($A77,'The List'!$B1:$AH671,20,FALSE)-AVERAGE('The List'!U2:U671))/STDEV('The List'!U2:U671)</f>
        <v>1.0676780099428949</v>
      </c>
      <c r="I77" s="55" cm="1">
        <f t="array" ref="I77">(VLOOKUP($A77,'The List'!$B1:$AH671,21,FALSE)-AVERAGE('The List'!V2:V671))/STDEV('The List'!V2:V671)</f>
        <v>0.59200446576953059</v>
      </c>
      <c r="J77" s="55" cm="1">
        <f t="array" ref="J77">(VLOOKUP($A77,'The List'!$B1:$AH671,22,FALSE)-AVERAGE('The List'!W2:W671))/STDEV('The List'!W2:W671)</f>
        <v>1.1506476290616037</v>
      </c>
      <c r="K77" s="55" cm="1">
        <f t="array" ref="K77">(VLOOKUP($A77,'The List'!$B1:$AH671,23,FALSE)-AVERAGE('The List'!X2:X671))/STDEV('The List'!X2:X671)</f>
        <v>1.4897026307620862</v>
      </c>
      <c r="L77" s="55" cm="1">
        <f t="array" ref="L77">(VLOOKUP($A77,'The List'!$B1:$AH671,24,FALSE)-AVERAGE('The List'!Y2:Y671))/STDEV('The List'!Y2:Y671)</f>
        <v>0.99105006976271182</v>
      </c>
      <c r="M77" s="55" cm="1">
        <f t="array" ref="M77">(VLOOKUP($A77,'The List'!$B1:$AH671,25,FALSE)-AVERAGE('The List'!Z2:Z671))/STDEV('The List'!Z2:Z671)</f>
        <v>1.0947063432152622</v>
      </c>
      <c r="N77" s="55" cm="1">
        <f t="array" ref="N77">(VLOOKUP($A77,'The List'!$B1:$AH671,26,FALSE)-AVERAGE('The List'!AA2:AA671))/STDEV('The List'!AA2:AA671)</f>
        <v>1.1354550321792953</v>
      </c>
      <c r="O77" s="55" cm="1">
        <f t="array" ref="O77">(VLOOKUP($A77,'The List'!$B1:$AH671,27,FALSE)-AVERAGE('The List'!AB2:AB671))/STDEV('The List'!AB2:AB671)</f>
        <v>-0.11249379157859189</v>
      </c>
      <c r="P77" s="55" cm="1">
        <f t="array" ref="P77">(VLOOKUP($A77,'The List'!$B1:$AH671,28,FALSE)-AVERAGE('The List'!AC2:AC671))/STDEV('The List'!AC2:AC671)</f>
        <v>-2.0843017031763003</v>
      </c>
      <c r="Q77" s="55" cm="1">
        <f t="array" ref="Q77">(VLOOKUP($A77,'The List'!$B1:$AH671,29,FALSE)-AVERAGE('The List'!AD2:AD671))/STDEV('The List'!AD2:AD671)</f>
        <v>-0.71880128987396164</v>
      </c>
      <c r="R77" s="55" cm="1">
        <f t="array" ref="R77">(VLOOKUP($A77,'The List'!$B1:$AH671,30,FALSE)-AVERAGE('The List'!AE2:AE671))/STDEV('The List'!AE2:AE671)</f>
        <v>7.7764355980922711E-2</v>
      </c>
      <c r="S77" s="55" cm="1">
        <f t="array" ref="S77">(VLOOKUP($A77,'The List'!$B1:$AH671,31,FALSE)-AVERAGE('The List'!AF2:AF671))/STDEV('The List'!AF2:AF671)</f>
        <v>2.6772802471448816</v>
      </c>
      <c r="T77" s="55" cm="1">
        <f t="array" ref="T77">(VLOOKUP($A77,'The List'!$B1:$AH671,32,FALSE)-AVERAGE('The List'!AG2:AG671))/STDEV('The List'!AG2:AG671)</f>
        <v>3.0561660944506688</v>
      </c>
      <c r="U77" s="55" cm="1">
        <f t="array" ref="U77">(VLOOKUP($A77,'The List'!$B1:$AH671,33,FALSE)-AVERAGE('The List'!AH2:AH671))/STDEV('The List'!AH2:AH671)</f>
        <v>0.95270011192019333</v>
      </c>
      <c r="V77" s="55"/>
      <c r="W77" s="77"/>
      <c r="X77" s="57"/>
      <c r="Y77" s="57"/>
      <c r="Z77" s="57"/>
      <c r="AA77" s="57"/>
      <c r="AB77" s="57"/>
      <c r="AC77" s="60"/>
      <c r="AD77" s="61"/>
      <c r="AE77" s="55"/>
    </row>
    <row r="78" spans="1:31" ht="21.25" customHeight="1" x14ac:dyDescent="0.15">
      <c r="A78" s="10" t="s">
        <v>236</v>
      </c>
      <c r="B78" s="18" t="str" cm="1">
        <f t="array" ref="B78">VLOOKUP(A78,'Player Data'!A1:B673,2,FALSE)</f>
        <v>ANA</v>
      </c>
      <c r="C78" s="52" cm="1">
        <f t="array" ref="C78">((E78)*Settings!$C$12)+(F78*Settings!$C$2)+(G78*Settings!$C$3)+(H78*Settings!$C$4)+(I78*Settings!$C$5)+(K78*Settings!$C$9)+(N78*Settings!$C$6)+(J78*Settings!$C$8)+(O78*Settings!$C$7)+(P78*Settings!$C$14)+(Q78*Settings!$C$15)+(R78*Settings!$C$16)+(S78*Settings!$C$17)+(T78*Settings!$C$18)+(U78*Settings!$C$19)+(L78*Settings!$C$10)+(Settings!$C$11*M78)</f>
        <v>6.8533294164904808</v>
      </c>
      <c r="D78" s="57" cm="1">
        <f t="array" ref="D78">IF(Settings!$E$12="YES",VLOOKUP(A78,'Player Data'!A1:E673,5,FALSE),82)</f>
        <v>83</v>
      </c>
      <c r="E78" s="55" cm="1">
        <f t="array" ref="E78">(VLOOKUP($A78,'The List'!$B1:$AH671,17,FALSE)-AVERAGE('The List'!R2:R671))/STDEV('The List'!R2:R671)</f>
        <v>0.28478721591823775</v>
      </c>
      <c r="F78" s="55" cm="1">
        <f t="array" ref="F78">(VLOOKUP($A78,'The List'!$B1:$AH671,18,FALSE)-AVERAGE('The List'!S2:S671))/STDEV('The List'!S2:S671)</f>
        <v>1.7584415864979825</v>
      </c>
      <c r="G78" s="55" cm="1">
        <f t="array" ref="G78">(VLOOKUP($A78,'The List'!$B1:$AH671,19,FALSE)-AVERAGE('The List'!T2:T671))/STDEV('The List'!T2:T671)</f>
        <v>1.9510336364088625</v>
      </c>
      <c r="H78" s="55" cm="1">
        <f t="array" ref="H78">(VLOOKUP($A78,'The List'!$B1:$AH671,20,FALSE)-AVERAGE('The List'!U2:U671))/STDEV('The List'!U2:U671)</f>
        <v>2.0063076203443075</v>
      </c>
      <c r="I78" s="55" cm="1">
        <f t="array" ref="I78">(VLOOKUP($A78,'The List'!$B1:$AH671,21,FALSE)-AVERAGE('The List'!V2:V671))/STDEV('The List'!V2:V671)</f>
        <v>1.9462088832861015</v>
      </c>
      <c r="J78" s="55" cm="1">
        <f t="array" ref="J78">(VLOOKUP($A78,'The List'!$B1:$AH671,22,FALSE)-AVERAGE('The List'!W2:W671))/STDEV('The List'!W2:W671)</f>
        <v>0.4649888549635785</v>
      </c>
      <c r="K78" s="55" cm="1">
        <f t="array" ref="K78">(VLOOKUP($A78,'The List'!$B1:$AH671,23,FALSE)-AVERAGE('The List'!X2:X671))/STDEV('The List'!X2:X671)</f>
        <v>1.5631132553120366</v>
      </c>
      <c r="L78" s="55" cm="1">
        <f t="array" ref="L78">(VLOOKUP($A78,'The List'!$B1:$AH671,24,FALSE)-AVERAGE('The List'!Y2:Y671))/STDEV('The List'!Y2:Y671)</f>
        <v>-0.47546929358800777</v>
      </c>
      <c r="M78" s="55" cm="1">
        <f t="array" ref="M78">(VLOOKUP($A78,'The List'!$B1:$AH671,25,FALSE)-AVERAGE('The List'!Z2:Z671))/STDEV('The List'!Z2:Z671)</f>
        <v>-0.64388478613809508</v>
      </c>
      <c r="N78" s="55" cm="1">
        <f t="array" ref="N78">(VLOOKUP($A78,'The List'!$B1:$AH671,26,FALSE)-AVERAGE('The List'!AA2:AA671))/STDEV('The List'!AA2:AA671)</f>
        <v>-0.88100384023413014</v>
      </c>
      <c r="O78" s="55" cm="1">
        <f t="array" ref="O78">(VLOOKUP($A78,'The List'!$B1:$AH671,27,FALSE)-AVERAGE('The List'!AB2:AB671))/STDEV('The List'!AB2:AB671)</f>
        <v>0.30691050874133341</v>
      </c>
      <c r="P78" s="55" cm="1">
        <f t="array" ref="P78">(VLOOKUP($A78,'The List'!$B1:$AH671,28,FALSE)-AVERAGE('The List'!AC2:AC671))/STDEV('The List'!AC2:AC671)</f>
        <v>-0.67237845375583649</v>
      </c>
      <c r="Q78" s="55" cm="1">
        <f t="array" ref="Q78">(VLOOKUP($A78,'The List'!$B1:$AH671,29,FALSE)-AVERAGE('The List'!AD2:AD671))/STDEV('The List'!AD2:AD671)</f>
        <v>1.6735754403147793</v>
      </c>
      <c r="R78" s="55" cm="1">
        <f t="array" ref="R78">(VLOOKUP($A78,'The List'!$B1:$AH671,30,FALSE)-AVERAGE('The List'!AE2:AE671))/STDEV('The List'!AE2:AE671)</f>
        <v>1.3737065686543497</v>
      </c>
      <c r="S78" s="55" cm="1">
        <f t="array" ref="S78">(VLOOKUP($A78,'The List'!$B1:$AH671,31,FALSE)-AVERAGE('The List'!AF2:AF671))/STDEV('The List'!AF2:AF671)</f>
        <v>-0.57985685963213407</v>
      </c>
      <c r="T78" s="55" cm="1">
        <f t="array" ref="T78">(VLOOKUP($A78,'The List'!$B1:$AH671,32,FALSE)-AVERAGE('The List'!AG2:AG671))/STDEV('The List'!AG2:AG671)</f>
        <v>-0.63837114770888281</v>
      </c>
      <c r="U78" s="55" cm="1">
        <f t="array" ref="U78">(VLOOKUP($A78,'The List'!$B1:$AH671,33,FALSE)-AVERAGE('The List'!AH2:AH671))/STDEV('The List'!AH2:AH671)</f>
        <v>1.5046908069949798</v>
      </c>
      <c r="V78" s="55"/>
      <c r="W78" s="77"/>
      <c r="X78" s="57"/>
      <c r="Y78" s="57"/>
      <c r="Z78" s="57"/>
      <c r="AA78" s="57"/>
      <c r="AB78" s="57"/>
      <c r="AC78" s="60"/>
      <c r="AD78" s="61"/>
      <c r="AE78" s="55"/>
    </row>
    <row r="79" spans="1:31" ht="21.25" customHeight="1" x14ac:dyDescent="0.15">
      <c r="A79" s="10" t="s">
        <v>248</v>
      </c>
      <c r="B79" s="18" t="str" cm="1">
        <f t="array" ref="B79">VLOOKUP(A79,'Player Data'!A1:B673,2,FALSE)</f>
        <v>WSH</v>
      </c>
      <c r="C79" s="52" cm="1">
        <f t="array" ref="C79">((E79)*Settings!$C$12)+(F79*Settings!$C$2)+(G79*Settings!$C$3)+(H79*Settings!$C$4)+(I79*Settings!$C$5)+(K79*Settings!$C$9)+(N79*Settings!$C$6)+(J79*Settings!$C$8)+(O79*Settings!$C$7)+(P79*Settings!$C$14)+(Q79*Settings!$C$15)+(R79*Settings!$C$16)+(S79*Settings!$C$17)+(T79*Settings!$C$18)+(U79*Settings!$C$19)+(L79*Settings!$C$10)+(Settings!$C$11*M79)</f>
        <v>4.2291310170733647</v>
      </c>
      <c r="D79" s="57" cm="1">
        <f t="array" ref="D79">IF(Settings!$E$12="YES",VLOOKUP(A79,'Player Data'!A1:E673,5,FALSE),82)</f>
        <v>84</v>
      </c>
      <c r="E79" s="55" cm="1">
        <f t="array" ref="E79">(VLOOKUP($A79,'The List'!$B1:$AH671,17,FALSE)-AVERAGE('The List'!R2:R671))/STDEV('The List'!R2:R671)</f>
        <v>0.28478721591823775</v>
      </c>
      <c r="F79" s="55" cm="1">
        <f t="array" ref="F79">(VLOOKUP($A79,'The List'!$B1:$AH671,18,FALSE)-AVERAGE('The List'!S2:S671))/STDEV('The List'!S2:S671)</f>
        <v>1.0584869615095034</v>
      </c>
      <c r="G79" s="55" cm="1">
        <f t="array" ref="G79">(VLOOKUP($A79,'The List'!$B1:$AH671,19,FALSE)-AVERAGE('The List'!T2:T671))/STDEV('The List'!T2:T671)</f>
        <v>1.4072223623903293</v>
      </c>
      <c r="H79" s="55" cm="1">
        <f t="array" ref="H79">(VLOOKUP($A79,'The List'!$B1:$AH671,20,FALSE)-AVERAGE('The List'!U2:U671))/STDEV('The List'!U2:U671)</f>
        <v>1.3541407380908352</v>
      </c>
      <c r="I79" s="55" cm="1">
        <f t="array" ref="I79">(VLOOKUP($A79,'The List'!$B1:$AH671,21,FALSE)-AVERAGE('The List'!V2:V671))/STDEV('The List'!V2:V671)</f>
        <v>0.52980633800142873</v>
      </c>
      <c r="J79" s="55" cm="1">
        <f t="array" ref="J79">(VLOOKUP($A79,'The List'!$B1:$AH671,22,FALSE)-AVERAGE('The List'!W2:W671))/STDEV('The List'!W2:W671)</f>
        <v>1.1175040025191012</v>
      </c>
      <c r="K79" s="55" cm="1">
        <f t="array" ref="K79">(VLOOKUP($A79,'The List'!$B1:$AH671,23,FALSE)-AVERAGE('The List'!X2:X671))/STDEV('The List'!X2:X671)</f>
        <v>1.730887434211615</v>
      </c>
      <c r="L79" s="55" cm="1">
        <f t="array" ref="L79">(VLOOKUP($A79,'The List'!$B1:$AH671,24,FALSE)-AVERAGE('The List'!Y2:Y671))/STDEV('The List'!Y2:Y671)</f>
        <v>-0.47546929358800777</v>
      </c>
      <c r="M79" s="55" cm="1">
        <f t="array" ref="M79">(VLOOKUP($A79,'The List'!$B1:$AH671,25,FALSE)-AVERAGE('The List'!Z2:Z671))/STDEV('The List'!Z2:Z671)</f>
        <v>-0.64388478613809508</v>
      </c>
      <c r="N79" s="55" cm="1">
        <f t="array" ref="N79">(VLOOKUP($A79,'The List'!$B1:$AH671,26,FALSE)-AVERAGE('The List'!AA2:AA671))/STDEV('The List'!AA2:AA671)</f>
        <v>-0.22843228621053258</v>
      </c>
      <c r="O79" s="55" cm="1">
        <f t="array" ref="O79">(VLOOKUP($A79,'The List'!$B1:$AH671,27,FALSE)-AVERAGE('The List'!AB2:AB671))/STDEV('The List'!AB2:AB671)</f>
        <v>-1.3038807874043037</v>
      </c>
      <c r="P79" s="55" cm="1">
        <f t="array" ref="P79">(VLOOKUP($A79,'The List'!$B1:$AH671,28,FALSE)-AVERAGE('The List'!AC2:AC671))/STDEV('The List'!AC2:AC671)</f>
        <v>0.8066087083647927</v>
      </c>
      <c r="Q79" s="55" cm="1">
        <f t="array" ref="Q79">(VLOOKUP($A79,'The List'!$B1:$AH671,29,FALSE)-AVERAGE('The List'!AD2:AD671))/STDEV('The List'!AD2:AD671)</f>
        <v>0.17076683339572432</v>
      </c>
      <c r="R79" s="55" cm="1">
        <f t="array" ref="R79">(VLOOKUP($A79,'The List'!$B1:$AH671,30,FALSE)-AVERAGE('The List'!AE2:AE671))/STDEV('The List'!AE2:AE671)</f>
        <v>0.75146716690140425</v>
      </c>
      <c r="S79" s="55" cm="1">
        <f t="array" ref="S79">(VLOOKUP($A79,'The List'!$B1:$AH671,31,FALSE)-AVERAGE('The List'!AF2:AF671))/STDEV('The List'!AF2:AF671)</f>
        <v>3.0832444930211458</v>
      </c>
      <c r="T79" s="55" cm="1">
        <f t="array" ref="T79">(VLOOKUP($A79,'The List'!$B1:$AH671,32,FALSE)-AVERAGE('The List'!AG2:AG671))/STDEV('The List'!AG2:AG671)</f>
        <v>2.5039809277218463</v>
      </c>
      <c r="U79" s="55" cm="1">
        <f t="array" ref="U79">(VLOOKUP($A79,'The List'!$B1:$AH671,33,FALSE)-AVERAGE('The List'!AH2:AH671))/STDEV('The List'!AH2:AH671)</f>
        <v>1.2746946840471525</v>
      </c>
      <c r="V79" s="55"/>
      <c r="W79" s="57"/>
      <c r="X79" s="57"/>
      <c r="Y79" s="57"/>
      <c r="Z79" s="57"/>
      <c r="AA79" s="57"/>
      <c r="AB79" s="57"/>
      <c r="AC79" s="60"/>
      <c r="AD79" s="61"/>
      <c r="AE79" s="55"/>
    </row>
    <row r="80" spans="1:31" ht="21.25" customHeight="1" x14ac:dyDescent="0.15">
      <c r="A80" s="10" t="s">
        <v>139</v>
      </c>
      <c r="B80" s="18" t="str" cm="1">
        <f t="array" ref="B80">VLOOKUP(A80,'Player Data'!A1:B673,2,FALSE)</f>
        <v>NYI</v>
      </c>
      <c r="C80" s="52" cm="1">
        <f t="array" ref="C80">((E80)*Settings!$C$12)+(F80*Settings!$C$2)+(G80*Settings!$C$3)+(H80*Settings!$C$4)+(I80*Settings!$C$5)+(K80*Settings!$C$9)+(N80*Settings!$C$6)+(J80*Settings!$C$8)+(O80*Settings!$C$7)+(P80*Settings!$C$14)+(Q80*Settings!$C$15)+(R80*Settings!$C$16)+(S80*Settings!$C$17)+(T80*Settings!$C$18)+(U80*Settings!$C$19)+(L80*Settings!$C$10)+(Settings!$C$11*M80)</f>
        <v>4.9499453948269387</v>
      </c>
      <c r="D80" s="57" cm="1">
        <f t="array" ref="D80">IF(Settings!$E$12="YES",VLOOKUP(A80,'Player Data'!A1:E673,5,FALSE),82)</f>
        <v>83</v>
      </c>
      <c r="E80" s="55" cm="1">
        <f t="array" ref="E80">(VLOOKUP($A80,'The List'!$B1:$AH671,17,FALSE)-AVERAGE('The List'!R2:R671))/STDEV('The List'!R2:R671)</f>
        <v>2.0948028180470004</v>
      </c>
      <c r="F80" s="55" cm="1">
        <f t="array" ref="F80">(VLOOKUP($A80,'The List'!$B1:$AH671,18,FALSE)-AVERAGE('The List'!S2:S671))/STDEV('The List'!S2:S671)</f>
        <v>1.2366191265514817</v>
      </c>
      <c r="G80" s="55" cm="1">
        <f t="array" ref="G80">(VLOOKUP($A80,'The List'!$B1:$AH671,19,FALSE)-AVERAGE('The List'!T2:T671))/STDEV('The List'!T2:T671)</f>
        <v>1.4610869797625858</v>
      </c>
      <c r="H80" s="55" cm="1">
        <f t="array" ref="H80">(VLOOKUP($A80,'The List'!$B1:$AH671,20,FALSE)-AVERAGE('The List'!U2:U671))/STDEV('The List'!U2:U671)</f>
        <v>1.466935437299087</v>
      </c>
      <c r="I80" s="55" cm="1">
        <f t="array" ref="I80">(VLOOKUP($A80,'The List'!$B1:$AH671,21,FALSE)-AVERAGE('The List'!V2:V671))/STDEV('The List'!V2:V671)</f>
        <v>1.7992226132896776</v>
      </c>
      <c r="J80" s="55" cm="1">
        <f t="array" ref="J80">(VLOOKUP($A80,'The List'!$B1:$AH671,22,FALSE)-AVERAGE('The List'!W2:W671))/STDEV('The List'!W2:W671)</f>
        <v>1.9092223815531355</v>
      </c>
      <c r="K80" s="55" cm="1">
        <f t="array" ref="K80">(VLOOKUP($A80,'The List'!$B1:$AH671,23,FALSE)-AVERAGE('The List'!X2:X671))/STDEV('The List'!X2:X671)</f>
        <v>1.5631132553120366</v>
      </c>
      <c r="L80" s="55" cm="1">
        <f t="array" ref="L80">(VLOOKUP($A80,'The List'!$B1:$AH671,24,FALSE)-AVERAGE('The List'!Y2:Y671))/STDEV('The List'!Y2:Y671)</f>
        <v>-0.47546929358800777</v>
      </c>
      <c r="M80" s="55" cm="1">
        <f t="array" ref="M80">(VLOOKUP($A80,'The List'!$B1:$AH671,25,FALSE)-AVERAGE('The List'!Z2:Z671))/STDEV('The List'!Z2:Z671)</f>
        <v>-0.64388478613809508</v>
      </c>
      <c r="N80" s="55" cm="1">
        <f t="array" ref="N80">(VLOOKUP($A80,'The List'!$B1:$AH671,26,FALSE)-AVERAGE('The List'!AA2:AA671))/STDEV('The List'!AA2:AA671)</f>
        <v>1.2812939195951367</v>
      </c>
      <c r="O80" s="55" cm="1">
        <f t="array" ref="O80">(VLOOKUP($A80,'The List'!$B1:$AH671,27,FALSE)-AVERAGE('The List'!AB2:AB671))/STDEV('The List'!AB2:AB671)</f>
        <v>-0.81601068243782149</v>
      </c>
      <c r="P80" s="55" cm="1">
        <f t="array" ref="P80">(VLOOKUP($A80,'The List'!$B1:$AH671,28,FALSE)-AVERAGE('The List'!AC2:AC671))/STDEV('The List'!AC2:AC671)</f>
        <v>-0.29408589765102228</v>
      </c>
      <c r="Q80" s="55" cm="1">
        <f t="array" ref="Q80">(VLOOKUP($A80,'The List'!$B1:$AH671,29,FALSE)-AVERAGE('The List'!AD2:AD671))/STDEV('The List'!AD2:AD671)</f>
        <v>0.8150387632056636</v>
      </c>
      <c r="R80" s="55" cm="1">
        <f t="array" ref="R80">(VLOOKUP($A80,'The List'!$B1:$AH671,30,FALSE)-AVERAGE('The List'!AE2:AE671))/STDEV('The List'!AE2:AE671)</f>
        <v>0.83006582817546093</v>
      </c>
      <c r="S80" s="55" cm="1">
        <f t="array" ref="S80">(VLOOKUP($A80,'The List'!$B1:$AH671,31,FALSE)-AVERAGE('The List'!AF2:AF671))/STDEV('The List'!AF2:AF671)</f>
        <v>-0.59581850454342256</v>
      </c>
      <c r="T80" s="55" cm="1">
        <f t="array" ref="T80">(VLOOKUP($A80,'The List'!$B1:$AH671,32,FALSE)-AVERAGE('The List'!AG2:AG671))/STDEV('The List'!AG2:AG671)</f>
        <v>-0.64684275008198677</v>
      </c>
      <c r="U80" s="55" cm="1">
        <f t="array" ref="U80">(VLOOKUP($A80,'The List'!$B1:$AH671,33,FALSE)-AVERAGE('The List'!AH2:AH671))/STDEV('The List'!AH2:AH671)</f>
        <v>-1.2552626683789523</v>
      </c>
      <c r="V80" s="55"/>
      <c r="W80" s="77"/>
      <c r="X80" s="57"/>
      <c r="Y80" s="57"/>
      <c r="Z80" s="57"/>
      <c r="AA80" s="57"/>
      <c r="AB80" s="57"/>
      <c r="AC80" s="60"/>
      <c r="AD80" s="61"/>
      <c r="AE80" s="55"/>
    </row>
    <row r="81" spans="1:31" ht="21.25" customHeight="1" x14ac:dyDescent="0.15">
      <c r="A81" s="10" t="s">
        <v>272</v>
      </c>
      <c r="B81" s="18" t="str" cm="1">
        <f t="array" ref="B81">VLOOKUP(A81,'Player Data'!A1:B673,2,FALSE)</f>
        <v>STL</v>
      </c>
      <c r="C81" s="52" cm="1">
        <f t="array" ref="C81">((E81)*Settings!$C$12)+(F81*Settings!$C$2)+(G81*Settings!$C$3)+(H81*Settings!$C$4)+(I81*Settings!$C$5)+(K81*Settings!$C$9)+(N81*Settings!$C$6)+(J81*Settings!$C$8)+(O81*Settings!$C$7)+(P81*Settings!$C$14)+(Q81*Settings!$C$15)+(R81*Settings!$C$16)+(S81*Settings!$C$17)+(T81*Settings!$C$18)+(U81*Settings!$C$19)+(L81*Settings!$C$10)+(Settings!$C$11*M81)</f>
        <v>3.9173098159751953</v>
      </c>
      <c r="D81" s="57" cm="1">
        <f t="array" ref="D81">IF(Settings!$E$12="YES",VLOOKUP(A81,'Player Data'!A1:E673,5,FALSE),82)</f>
        <v>79</v>
      </c>
      <c r="E81" s="55" cm="1">
        <f t="array" ref="E81">(VLOOKUP($A81,'The List'!$B1:$AH671,17,FALSE)-AVERAGE('The List'!R2:R671))/STDEV('The List'!R2:R671)</f>
        <v>0.2323229955666796</v>
      </c>
      <c r="F81" s="55" cm="1">
        <f t="array" ref="F81">(VLOOKUP($A81,'The List'!$B1:$AH671,18,FALSE)-AVERAGE('The List'!S2:S671))/STDEV('The List'!S2:S671)</f>
        <v>1.2291345818018187</v>
      </c>
      <c r="G81" s="55" cm="1">
        <f t="array" ref="G81">(VLOOKUP($A81,'The List'!$B1:$AH671,19,FALSE)-AVERAGE('The List'!T2:T671))/STDEV('The List'!T2:T671)</f>
        <v>1.0024471555224934</v>
      </c>
      <c r="H81" s="55" cm="1">
        <f t="array" ref="H81">(VLOOKUP($A81,'The List'!$B1:$AH671,20,FALSE)-AVERAGE('The List'!U2:U671))/STDEV('The List'!U2:U671)</f>
        <v>1.1751015329983727</v>
      </c>
      <c r="I81" s="55" cm="1">
        <f t="array" ref="I81">(VLOOKUP($A81,'The List'!$B1:$AH671,21,FALSE)-AVERAGE('The List'!V2:V671))/STDEV('The List'!V2:V671)</f>
        <v>1.2963982627432848</v>
      </c>
      <c r="J81" s="55" cm="1">
        <f t="array" ref="J81">(VLOOKUP($A81,'The List'!$B1:$AH671,22,FALSE)-AVERAGE('The List'!W2:W671))/STDEV('The List'!W2:W671)</f>
        <v>1.2252207887822348</v>
      </c>
      <c r="K81" s="55" cm="1">
        <f t="array" ref="K81">(VLOOKUP($A81,'The List'!$B1:$AH671,23,FALSE)-AVERAGE('The List'!X2:X671))/STDEV('The List'!X2:X671)</f>
        <v>0.62746695843002209</v>
      </c>
      <c r="L81" s="55" cm="1">
        <f t="array" ref="L81">(VLOOKUP($A81,'The List'!$B1:$AH671,24,FALSE)-AVERAGE('The List'!Y2:Y671))/STDEV('The List'!Y2:Y671)</f>
        <v>-0.47546929358800777</v>
      </c>
      <c r="M81" s="55" cm="1">
        <f t="array" ref="M81">(VLOOKUP($A81,'The List'!$B1:$AH671,25,FALSE)-AVERAGE('The List'!Z2:Z671))/STDEV('The List'!Z2:Z671)</f>
        <v>-0.64388478613809508</v>
      </c>
      <c r="N81" s="55" cm="1">
        <f t="array" ref="N81">(VLOOKUP($A81,'The List'!$B1:$AH671,26,FALSE)-AVERAGE('The List'!AA2:AA671))/STDEV('The List'!AA2:AA671)</f>
        <v>-0.49303664236256661</v>
      </c>
      <c r="O81" s="55" cm="1">
        <f t="array" ref="O81">(VLOOKUP($A81,'The List'!$B1:$AH671,27,FALSE)-AVERAGE('The List'!AB2:AB671))/STDEV('The List'!AB2:AB671)</f>
        <v>-0.13319752292380796</v>
      </c>
      <c r="P81" s="55" cm="1">
        <f t="array" ref="P81">(VLOOKUP($A81,'The List'!$B1:$AH671,28,FALSE)-AVERAGE('The List'!AC2:AC671))/STDEV('The List'!AC2:AC671)</f>
        <v>-0.1049396195986151</v>
      </c>
      <c r="Q81" s="55" cm="1">
        <f t="array" ref="Q81">(VLOOKUP($A81,'The List'!$B1:$AH671,29,FALSE)-AVERAGE('The List'!AD2:AD671))/STDEV('The List'!AD2:AD671)</f>
        <v>-0.50601423048719285</v>
      </c>
      <c r="R81" s="55" cm="1">
        <f t="array" ref="R81">(VLOOKUP($A81,'The List'!$B1:$AH671,30,FALSE)-AVERAGE('The List'!AE2:AE671))/STDEV('The List'!AE2:AE671)</f>
        <v>1.1195085173116675</v>
      </c>
      <c r="S81" s="55" cm="1">
        <f t="array" ref="S81">(VLOOKUP($A81,'The List'!$B1:$AH671,31,FALSE)-AVERAGE('The List'!AF2:AF671))/STDEV('The List'!AF2:AF671)</f>
        <v>-0.57302989102549873</v>
      </c>
      <c r="T81" s="55" cm="1">
        <f t="array" ref="T81">(VLOOKUP($A81,'The List'!$B1:$AH671,32,FALSE)-AVERAGE('The List'!AG2:AG671))/STDEV('The List'!AG2:AG671)</f>
        <v>-0.5984627558066703</v>
      </c>
      <c r="U81" s="55" cm="1">
        <f t="array" ref="U81">(VLOOKUP($A81,'The List'!$B1:$AH671,33,FALSE)-AVERAGE('The List'!AH2:AH671))/STDEV('The List'!AH2:AH671)</f>
        <v>0.17071329389757933</v>
      </c>
      <c r="V81" s="55"/>
      <c r="W81" s="57"/>
      <c r="X81" s="55"/>
      <c r="Y81" s="55"/>
      <c r="Z81" s="55"/>
      <c r="AA81" s="55"/>
      <c r="AB81" s="55"/>
      <c r="AC81" s="55"/>
      <c r="AD81" s="55"/>
      <c r="AE81" s="55"/>
    </row>
    <row r="82" spans="1:31" ht="21.25" customHeight="1" x14ac:dyDescent="0.15">
      <c r="A82" s="10" t="s">
        <v>226</v>
      </c>
      <c r="B82" s="18" t="str" cm="1">
        <f t="array" ref="B82">VLOOKUP(A82,'Player Data'!A1:B673,2,FALSE)</f>
        <v>FLA</v>
      </c>
      <c r="C82" s="52" cm="1">
        <f t="array" ref="C82">((E82)*Settings!$C$12)+(F82*Settings!$C$2)+(G82*Settings!$C$3)+(H82*Settings!$C$4)+(I82*Settings!$C$5)+(K82*Settings!$C$9)+(N82*Settings!$C$6)+(J82*Settings!$C$8)+(O82*Settings!$C$7)+(P82*Settings!$C$14)+(Q82*Settings!$C$15)+(R82*Settings!$C$16)+(S82*Settings!$C$17)+(T82*Settings!$C$18)+(U82*Settings!$C$19)+(L82*Settings!$C$10)+(Settings!$C$11*M82)</f>
        <v>10.567812064490829</v>
      </c>
      <c r="D82" s="57" cm="1">
        <f t="array" ref="D82">IF(Settings!$E$12="YES",VLOOKUP(A82,'Player Data'!A1:E673,5,FALSE),82)</f>
        <v>79</v>
      </c>
      <c r="E82" s="55" cm="1">
        <f t="array" ref="E82">(VLOOKUP($A82,'The List'!$B1:$AH671,17,FALSE)-AVERAGE('The List'!R2:R671))/STDEV('The List'!R2:R671)</f>
        <v>0.17985877521512147</v>
      </c>
      <c r="F82" s="55" cm="1">
        <f t="array" ref="F82">(VLOOKUP($A82,'The List'!$B1:$AH671,18,FALSE)-AVERAGE('The List'!S2:S671))/STDEV('The List'!S2:S671)</f>
        <v>1.5444834005876178</v>
      </c>
      <c r="G82" s="55" cm="1">
        <f t="array" ref="G82">(VLOOKUP($A82,'The List'!$B1:$AH671,19,FALSE)-AVERAGE('The List'!T2:T671))/STDEV('The List'!T2:T671)</f>
        <v>0.94693111152499454</v>
      </c>
      <c r="H82" s="55" cm="1">
        <f t="array" ref="H82">(VLOOKUP($A82,'The List'!$B1:$AH671,20,FALSE)-AVERAGE('The List'!U2:U671))/STDEV('The List'!U2:U671)</f>
        <v>1.2798726233858138</v>
      </c>
      <c r="I82" s="55" cm="1">
        <f t="array" ref="I82">(VLOOKUP($A82,'The List'!$B1:$AH671,21,FALSE)-AVERAGE('The List'!V2:V671))/STDEV('The List'!V2:V671)</f>
        <v>2.8933351931893028</v>
      </c>
      <c r="J82" s="55" cm="1">
        <f t="array" ref="J82">(VLOOKUP($A82,'The List'!$B1:$AH671,22,FALSE)-AVERAGE('The List'!W2:W671))/STDEV('The List'!W2:W671)</f>
        <v>1.4434163301870448</v>
      </c>
      <c r="K82" s="55" cm="1">
        <f t="array" ref="K82">(VLOOKUP($A82,'The List'!$B1:$AH671,23,FALSE)-AVERAGE('The List'!X2:X671))/STDEV('The List'!X2:X671)</f>
        <v>1.1831969430449774</v>
      </c>
      <c r="L82" s="55" cm="1">
        <f t="array" ref="L82">(VLOOKUP($A82,'The List'!$B1:$AH671,24,FALSE)-AVERAGE('The List'!Y2:Y671))/STDEV('The List'!Y2:Y671)</f>
        <v>-0.47546929358800777</v>
      </c>
      <c r="M82" s="55" cm="1">
        <f t="array" ref="M82">(VLOOKUP($A82,'The List'!$B1:$AH671,25,FALSE)-AVERAGE('The List'!Z2:Z671))/STDEV('The List'!Z2:Z671)</f>
        <v>-0.64388478613809508</v>
      </c>
      <c r="N82" s="55" cm="1">
        <f t="array" ref="N82">(VLOOKUP($A82,'The List'!$B1:$AH671,26,FALSE)-AVERAGE('The List'!AA2:AA671))/STDEV('The List'!AA2:AA671)</f>
        <v>-0.79569703043221951</v>
      </c>
      <c r="O82" s="55" cm="1">
        <f t="array" ref="O82">(VLOOKUP($A82,'The List'!$B1:$AH671,27,FALSE)-AVERAGE('The List'!AB2:AB671))/STDEV('The List'!AB2:AB671)</f>
        <v>2.7331418374738043</v>
      </c>
      <c r="P82" s="55" cm="1">
        <f t="array" ref="P82">(VLOOKUP($A82,'The List'!$B1:$AH671,28,FALSE)-AVERAGE('The List'!AC2:AC671))/STDEV('The List'!AC2:AC671)</f>
        <v>1.2667235786701319</v>
      </c>
      <c r="Q82" s="55" cm="1">
        <f t="array" ref="Q82">(VLOOKUP($A82,'The List'!$B1:$AH671,29,FALSE)-AVERAGE('The List'!AD2:AD671))/STDEV('The List'!AD2:AD671)</f>
        <v>3.112843467000284</v>
      </c>
      <c r="R82" s="55" cm="1">
        <f t="array" ref="R82">(VLOOKUP($A82,'The List'!$B1:$AH671,30,FALSE)-AVERAGE('The List'!AE2:AE671))/STDEV('The List'!AE2:AE671)</f>
        <v>1.6123096475220198</v>
      </c>
      <c r="S82" s="55" cm="1">
        <f t="array" ref="S82">(VLOOKUP($A82,'The List'!$B1:$AH671,31,FALSE)-AVERAGE('The List'!AF2:AF671))/STDEV('The List'!AF2:AF671)</f>
        <v>0.41067859249821448</v>
      </c>
      <c r="T82" s="55" cm="1">
        <f t="array" ref="T82">(VLOOKUP($A82,'The List'!$B1:$AH671,32,FALSE)-AVERAGE('The List'!AG2:AG671))/STDEV('The List'!AG2:AG671)</f>
        <v>0.27237714114902456</v>
      </c>
      <c r="U82" s="55" cm="1">
        <f t="array" ref="U82">(VLOOKUP($A82,'The List'!$B1:$AH671,33,FALSE)-AVERAGE('The List'!AH2:AH671))/STDEV('The List'!AH2:AH671)</f>
        <v>1.2286954594575867</v>
      </c>
      <c r="V82" s="55"/>
      <c r="W82" s="77"/>
      <c r="X82" s="57"/>
      <c r="Y82" s="57"/>
      <c r="Z82" s="57"/>
      <c r="AA82" s="57"/>
      <c r="AB82" s="57"/>
      <c r="AC82" s="60"/>
      <c r="AD82" s="61"/>
      <c r="AE82" s="55"/>
    </row>
    <row r="83" spans="1:31" ht="21.25" customHeight="1" x14ac:dyDescent="0.15">
      <c r="A83" s="10" t="s">
        <v>533</v>
      </c>
      <c r="B83" s="18" t="str" cm="1">
        <f t="array" ref="B83">VLOOKUP(A83,'Player Data'!A1:B673,2,FALSE)</f>
        <v>ANA</v>
      </c>
      <c r="C83" s="52" cm="1">
        <f t="array" ref="C83">((E83)*Settings!$C$12)+(F83*Settings!$C$2)+(G83*Settings!$C$3)+(H83*Settings!$C$4)+(I83*Settings!$C$5)+(K83*Settings!$C$9)+(N83*Settings!$C$6)+(J83*Settings!$C$8)+(O83*Settings!$C$7)+(P83*Settings!$C$14)+(Q83*Settings!$C$15)+(R83*Settings!$C$16)+(S83*Settings!$C$17)+(T83*Settings!$C$18)+(U83*Settings!$C$19)+(L83*Settings!$C$10)+(Settings!$C$11*M83)</f>
        <v>-1.3849612555042985</v>
      </c>
      <c r="D83" s="57" cm="1">
        <f t="array" ref="D83">IF(Settings!$E$12="YES",VLOOKUP(A83,'Player Data'!A1:E673,5,FALSE),82)</f>
        <v>52</v>
      </c>
      <c r="E83" s="55" cm="1">
        <f t="array" ref="E83">(VLOOKUP($A83,'The List'!$B1:$AH671,17,FALSE)-AVERAGE('The List'!R2:R671))/STDEV('The List'!R2:R671)</f>
        <v>0.44217987697291306</v>
      </c>
      <c r="F83" s="55" cm="1">
        <f t="array" ref="F83">(VLOOKUP($A83,'The List'!$B1:$AH671,18,FALSE)-AVERAGE('The List'!S2:S671))/STDEV('The List'!S2:S671)</f>
        <v>0.18429213474887041</v>
      </c>
      <c r="G83" s="55" cm="1">
        <f t="array" ref="G83">(VLOOKUP($A83,'The List'!$B1:$AH671,19,FALSE)-AVERAGE('The List'!T2:T671))/STDEV('The List'!T2:T671)</f>
        <v>0.23787176477213598</v>
      </c>
      <c r="H83" s="55" cm="1">
        <f t="array" ref="H83">(VLOOKUP($A83,'The List'!$B1:$AH671,20,FALSE)-AVERAGE('The List'!U2:U671))/STDEV('The List'!U2:U671)</f>
        <v>0.2312775752887217</v>
      </c>
      <c r="I83" s="55" cm="1">
        <f t="array" ref="I83">(VLOOKUP($A83,'The List'!$B1:$AH671,21,FALSE)-AVERAGE('The List'!V2:V671))/STDEV('The List'!V2:V671)</f>
        <v>0.11584324318928335</v>
      </c>
      <c r="J83" s="55" cm="1">
        <f t="array" ref="J83">(VLOOKUP($A83,'The List'!$B1:$AH671,22,FALSE)-AVERAGE('The List'!W2:W671))/STDEV('The List'!W2:W671)</f>
        <v>-0.16404955712433844</v>
      </c>
      <c r="K83" s="55" cm="1">
        <f t="array" ref="K83">(VLOOKUP($A83,'The List'!$B1:$AH671,23,FALSE)-AVERAGE('The List'!X2:X671))/STDEV('The List'!X2:X671)</f>
        <v>8.6811024030662487E-2</v>
      </c>
      <c r="L83" s="55" cm="1">
        <f t="array" ref="L83">(VLOOKUP($A83,'The List'!$B1:$AH671,24,FALSE)-AVERAGE('The List'!Y2:Y671))/STDEV('The List'!Y2:Y671)</f>
        <v>1.4310058787679276</v>
      </c>
      <c r="M83" s="55" cm="1">
        <f t="array" ref="M83">(VLOOKUP($A83,'The List'!$B1:$AH671,25,FALSE)-AVERAGE('The List'!Z2:Z671))/STDEV('The List'!Z2:Z671)</f>
        <v>2.1813257990611103</v>
      </c>
      <c r="N83" s="55" cm="1">
        <f t="array" ref="N83">(VLOOKUP($A83,'The List'!$B1:$AH671,26,FALSE)-AVERAGE('The List'!AA2:AA671))/STDEV('The List'!AA2:AA671)</f>
        <v>-1.1448419675556081</v>
      </c>
      <c r="O83" s="55" cm="1">
        <f t="array" ref="O83">(VLOOKUP($A83,'The List'!$B1:$AH671,27,FALSE)-AVERAGE('The List'!AB2:AB671))/STDEV('The List'!AB2:AB671)</f>
        <v>-1.5662647094030842</v>
      </c>
      <c r="P83" s="55" cm="1">
        <f t="array" ref="P83">(VLOOKUP($A83,'The List'!$B1:$AH671,28,FALSE)-AVERAGE('The List'!AC2:AC671))/STDEV('The List'!AC2:AC671)</f>
        <v>-0.44351471284216665</v>
      </c>
      <c r="Q83" s="55" cm="1">
        <f t="array" ref="Q83">(VLOOKUP($A83,'The List'!$B1:$AH671,29,FALSE)-AVERAGE('The List'!AD2:AD671))/STDEV('The List'!AD2:AD671)</f>
        <v>-1.2212151800927213</v>
      </c>
      <c r="R83" s="55" cm="1">
        <f t="array" ref="R83">(VLOOKUP($A83,'The List'!$B1:$AH671,30,FALSE)-AVERAGE('The List'!AE2:AE671))/STDEV('The List'!AE2:AE671)</f>
        <v>-4.6995423819166292E-2</v>
      </c>
      <c r="S83" s="55" cm="1">
        <f t="array" ref="S83">(VLOOKUP($A83,'The List'!$B1:$AH671,31,FALSE)-AVERAGE('The List'!AF2:AF671))/STDEV('The List'!AF2:AF671)</f>
        <v>-0.5758183711606033</v>
      </c>
      <c r="T83" s="55" cm="1">
        <f t="array" ref="T83">(VLOOKUP($A83,'The List'!$B1:$AH671,32,FALSE)-AVERAGE('The List'!AG2:AG671))/STDEV('The List'!AG2:AG671)</f>
        <v>-0.60969018063849478</v>
      </c>
      <c r="U83" s="55" cm="1">
        <f t="array" ref="U83">(VLOOKUP($A83,'The List'!$B1:$AH671,33,FALSE)-AVERAGE('The List'!AH2:AH671))/STDEV('The List'!AH2:AH671)</f>
        <v>0.44670864143497252</v>
      </c>
      <c r="V83" s="55"/>
      <c r="W83" s="77"/>
      <c r="X83" s="57"/>
      <c r="Y83" s="57"/>
      <c r="Z83" s="57"/>
      <c r="AA83" s="57"/>
      <c r="AB83" s="57"/>
      <c r="AC83" s="60"/>
      <c r="AD83" s="61"/>
      <c r="AE83" s="55"/>
    </row>
    <row r="84" spans="1:31" ht="21.25" customHeight="1" x14ac:dyDescent="0.15">
      <c r="A84" s="10" t="s">
        <v>275</v>
      </c>
      <c r="B84" s="18" t="str" cm="1">
        <f t="array" ref="B84">VLOOKUP(A84,'Player Data'!A1:B673,2,FALSE)</f>
        <v>BOS</v>
      </c>
      <c r="C84" s="52" cm="1">
        <f t="array" ref="C84">((E84)*Settings!$C$12)+(F84*Settings!$C$2)+(G84*Settings!$C$3)+(H84*Settings!$C$4)+(I84*Settings!$C$5)+(K84*Settings!$C$9)+(N84*Settings!$C$6)+(J84*Settings!$C$8)+(O84*Settings!$C$7)+(P84*Settings!$C$14)+(Q84*Settings!$C$15)+(R84*Settings!$C$16)+(S84*Settings!$C$17)+(T84*Settings!$C$18)+(U84*Settings!$C$19)+(L84*Settings!$C$10)+(Settings!$C$11*M84)</f>
        <v>5.2657629345430648</v>
      </c>
      <c r="D84" s="57" cm="1">
        <f t="array" ref="D84">IF(Settings!$E$12="YES",VLOOKUP(A84,'Player Data'!A1:E673,5,FALSE),82)</f>
        <v>83</v>
      </c>
      <c r="E84" s="55" cm="1">
        <f t="array" ref="E84">(VLOOKUP($A84,'The List'!$B1:$AH671,17,FALSE)-AVERAGE('The List'!R2:R671))/STDEV('The List'!R2:R671)</f>
        <v>0.17985877521512147</v>
      </c>
      <c r="F84" s="55" cm="1">
        <f t="array" ref="F84">(VLOOKUP($A84,'The List'!$B1:$AH671,18,FALSE)-AVERAGE('The List'!S2:S671))/STDEV('The List'!S2:S671)</f>
        <v>2.1891521883585865</v>
      </c>
      <c r="G84" s="55" cm="1">
        <f t="array" ref="G84">(VLOOKUP($A84,'The List'!$B1:$AH671,19,FALSE)-AVERAGE('The List'!T2:T671))/STDEV('The List'!T2:T671)</f>
        <v>0.49577541220355253</v>
      </c>
      <c r="H84" s="55" cm="1">
        <f t="array" ref="H84">(VLOOKUP($A84,'The List'!$B1:$AH671,20,FALSE)-AVERAGE('The List'!U2:U671))/STDEV('The List'!U2:U671)</f>
        <v>1.2816409118311718</v>
      </c>
      <c r="I84" s="55" cm="1">
        <f t="array" ref="I84">(VLOOKUP($A84,'The List'!$B1:$AH671,21,FALSE)-AVERAGE('The List'!V2:V671))/STDEV('The List'!V2:V671)</f>
        <v>0.97072195484641832</v>
      </c>
      <c r="J84" s="55" cm="1">
        <f t="array" ref="J84">(VLOOKUP($A84,'The List'!$B1:$AH671,22,FALSE)-AVERAGE('The List'!W2:W671))/STDEV('The List'!W2:W671)</f>
        <v>2.0123819191666747</v>
      </c>
      <c r="K84" s="55" cm="1">
        <f t="array" ref="K84">(VLOOKUP($A84,'The List'!$B1:$AH671,23,FALSE)-AVERAGE('The List'!X2:X671))/STDEV('The List'!X2:X671)</f>
        <v>1.367100355675243</v>
      </c>
      <c r="L84" s="55" cm="1">
        <f t="array" ref="L84">(VLOOKUP($A84,'The List'!$B1:$AH671,24,FALSE)-AVERAGE('The List'!Y2:Y671))/STDEV('The List'!Y2:Y671)</f>
        <v>-0.47546929358800777</v>
      </c>
      <c r="M84" s="55" cm="1">
        <f t="array" ref="M84">(VLOOKUP($A84,'The List'!$B1:$AH671,25,FALSE)-AVERAGE('The List'!Z2:Z671))/STDEV('The List'!Z2:Z671)</f>
        <v>-0.64388478613809508</v>
      </c>
      <c r="N84" s="55" cm="1">
        <f t="array" ref="N84">(VLOOKUP($A84,'The List'!$B1:$AH671,26,FALSE)-AVERAGE('The List'!AA2:AA671))/STDEV('The List'!AA2:AA671)</f>
        <v>-0.71141185907105042</v>
      </c>
      <c r="O84" s="55" cm="1">
        <f t="array" ref="O84">(VLOOKUP($A84,'The List'!$B1:$AH671,27,FALSE)-AVERAGE('The List'!AB2:AB671))/STDEV('The List'!AB2:AB671)</f>
        <v>0.5280919554887431</v>
      </c>
      <c r="P84" s="55" cm="1">
        <f t="array" ref="P84">(VLOOKUP($A84,'The List'!$B1:$AH671,28,FALSE)-AVERAGE('The List'!AC2:AC671))/STDEV('The List'!AC2:AC671)</f>
        <v>-0.28507893202947904</v>
      </c>
      <c r="Q84" s="55" cm="1">
        <f t="array" ref="Q84">(VLOOKUP($A84,'The List'!$B1:$AH671,29,FALSE)-AVERAGE('The List'!AD2:AD671))/STDEV('The List'!AD2:AD671)</f>
        <v>-0.2887941073631996</v>
      </c>
      <c r="R84" s="55" cm="1">
        <f t="array" ref="R84">(VLOOKUP($A84,'The List'!$B1:$AH671,30,FALSE)-AVERAGE('The List'!AE2:AE671))/STDEV('The List'!AE2:AE671)</f>
        <v>1.7620213832821263</v>
      </c>
      <c r="S84" s="55" cm="1">
        <f t="array" ref="S84">(VLOOKUP($A84,'The List'!$B1:$AH671,31,FALSE)-AVERAGE('The List'!AF2:AF671))/STDEV('The List'!AF2:AF671)</f>
        <v>2.6685646996826719E-2</v>
      </c>
      <c r="T84" s="55" cm="1">
        <f t="array" ref="T84">(VLOOKUP($A84,'The List'!$B1:$AH671,32,FALSE)-AVERAGE('The List'!AG2:AG671))/STDEV('The List'!AG2:AG671)</f>
        <v>0.13254466824357436</v>
      </c>
      <c r="U84" s="55" cm="1">
        <f t="array" ref="U84">(VLOOKUP($A84,'The List'!$B1:$AH671,33,FALSE)-AVERAGE('The List'!AH2:AH671))/STDEV('The List'!AH2:AH671)</f>
        <v>0.86070166274106241</v>
      </c>
      <c r="V84" s="55"/>
      <c r="W84" s="77"/>
      <c r="X84" s="57"/>
      <c r="Y84" s="57"/>
      <c r="Z84" s="57"/>
      <c r="AA84" s="57"/>
      <c r="AB84" s="57"/>
      <c r="AC84" s="60"/>
      <c r="AD84" s="61"/>
      <c r="AE84" s="55"/>
    </row>
    <row r="85" spans="1:31" ht="21.25" customHeight="1" x14ac:dyDescent="0.15">
      <c r="A85" s="10" t="s">
        <v>237</v>
      </c>
      <c r="B85" s="18" t="str" cm="1">
        <f t="array" ref="B85">VLOOKUP(A85,'Player Data'!A1:B673,2,FALSE)</f>
        <v>NYR</v>
      </c>
      <c r="C85" s="52" cm="1">
        <f t="array" ref="C85">((E85)*Settings!$C$12)+(F85*Settings!$C$2)+(G85*Settings!$C$3)+(H85*Settings!$C$4)+(I85*Settings!$C$5)+(K85*Settings!$C$9)+(N85*Settings!$C$6)+(J85*Settings!$C$8)+(O85*Settings!$C$7)+(P85*Settings!$C$14)+(Q85*Settings!$C$15)+(R85*Settings!$C$16)+(S85*Settings!$C$17)+(T85*Settings!$C$18)+(U85*Settings!$C$19)+(L85*Settings!$C$10)+(Settings!$C$11*M85)</f>
        <v>5.5469147970908184</v>
      </c>
      <c r="D85" s="57" cm="1">
        <f t="array" ref="D85">IF(Settings!$E$12="YES",VLOOKUP(A85,'Player Data'!A1:E673,5,FALSE),82)</f>
        <v>81</v>
      </c>
      <c r="E85" s="55" cm="1">
        <f t="array" ref="E85">(VLOOKUP($A85,'The List'!$B1:$AH671,17,FALSE)-AVERAGE('The List'!R2:R671))/STDEV('The List'!R2:R671)</f>
        <v>0.20609088539090101</v>
      </c>
      <c r="F85" s="55" cm="1">
        <f t="array" ref="F85">(VLOOKUP($A85,'The List'!$B1:$AH671,18,FALSE)-AVERAGE('The List'!S2:S671))/STDEV('The List'!S2:S671)</f>
        <v>2.3458286584515315</v>
      </c>
      <c r="G85" s="55" cm="1">
        <f t="array" ref="G85">(VLOOKUP($A85,'The List'!$B1:$AH671,19,FALSE)-AVERAGE('The List'!T2:T671))/STDEV('The List'!T2:T671)</f>
        <v>0.21608698801362405</v>
      </c>
      <c r="H85" s="55" cm="1">
        <f t="array" ref="H85">(VLOOKUP($A85,'The List'!$B1:$AH671,20,FALSE)-AVERAGE('The List'!U2:U671))/STDEV('The List'!U2:U671)</f>
        <v>1.1751015329983729</v>
      </c>
      <c r="I85" s="55" cm="1">
        <f t="array" ref="I85">(VLOOKUP($A85,'The List'!$B1:$AH671,21,FALSE)-AVERAGE('The List'!V2:V671))/STDEV('The List'!V2:V671)</f>
        <v>1.8603279545074096</v>
      </c>
      <c r="J85" s="55" cm="1">
        <f t="array" ref="J85">(VLOOKUP($A85,'The List'!$B1:$AH671,22,FALSE)-AVERAGE('The List'!W2:W671))/STDEV('The List'!W2:W671)</f>
        <v>4.1832894577006048</v>
      </c>
      <c r="K85" s="55" cm="1">
        <f t="array" ref="K85">(VLOOKUP($A85,'The List'!$B1:$AH671,23,FALSE)-AVERAGE('The List'!X2:X671))/STDEV('The List'!X2:X671)</f>
        <v>1.9660426175749057</v>
      </c>
      <c r="L85" s="55" cm="1">
        <f t="array" ref="L85">(VLOOKUP($A85,'The List'!$B1:$AH671,24,FALSE)-AVERAGE('The List'!Y2:Y671))/STDEV('The List'!Y2:Y671)</f>
        <v>-0.47546929358800777</v>
      </c>
      <c r="M85" s="55" cm="1">
        <f t="array" ref="M85">(VLOOKUP($A85,'The List'!$B1:$AH671,25,FALSE)-AVERAGE('The List'!Z2:Z671))/STDEV('The List'!Z2:Z671)</f>
        <v>-0.64388478613809508</v>
      </c>
      <c r="N85" s="55" cm="1">
        <f t="array" ref="N85">(VLOOKUP($A85,'The List'!$B1:$AH671,26,FALSE)-AVERAGE('The List'!AA2:AA671))/STDEV('The List'!AA2:AA671)</f>
        <v>-0.81612979924704843</v>
      </c>
      <c r="O85" s="55" cm="1">
        <f t="array" ref="O85">(VLOOKUP($A85,'The List'!$B1:$AH671,27,FALSE)-AVERAGE('The List'!AB2:AB671))/STDEV('The List'!AB2:AB671)</f>
        <v>-1.0880290140724946</v>
      </c>
      <c r="P85" s="55" cm="1">
        <f t="array" ref="P85">(VLOOKUP($A85,'The List'!$B1:$AH671,28,FALSE)-AVERAGE('The List'!AC2:AC671))/STDEV('The List'!AC2:AC671)</f>
        <v>0.24665759261584222</v>
      </c>
      <c r="Q85" s="55" cm="1">
        <f t="array" ref="Q85">(VLOOKUP($A85,'The List'!$B1:$AH671,29,FALSE)-AVERAGE('The List'!AD2:AD671))/STDEV('The List'!AD2:AD671)</f>
        <v>-0.27918913593254718</v>
      </c>
      <c r="R85" s="55" cm="1">
        <f t="array" ref="R85">(VLOOKUP($A85,'The List'!$B1:$AH671,30,FALSE)-AVERAGE('The List'!AE2:AE671))/STDEV('The List'!AE2:AE671)</f>
        <v>2.1924426235924348</v>
      </c>
      <c r="S85" s="55" cm="1">
        <f t="array" ref="S85">(VLOOKUP($A85,'The List'!$B1:$AH671,31,FALSE)-AVERAGE('The List'!AF2:AF671))/STDEV('The List'!AF2:AF671)</f>
        <v>-0.59192424780301789</v>
      </c>
      <c r="T85" s="55" cm="1">
        <f t="array" ref="T85">(VLOOKUP($A85,'The List'!$B1:$AH671,32,FALSE)-AVERAGE('The List'!AG2:AG671))/STDEV('The List'!AG2:AG671)</f>
        <v>-0.6303078153296634</v>
      </c>
      <c r="U85" s="55" cm="1">
        <f t="array" ref="U85">(VLOOKUP($A85,'The List'!$B1:$AH671,33,FALSE)-AVERAGE('The List'!AH2:AH671))/STDEV('The List'!AH2:AH671)</f>
        <v>-0.65727274871460029</v>
      </c>
      <c r="V85" s="55"/>
      <c r="W85" s="57"/>
      <c r="X85" s="55"/>
      <c r="Y85" s="55"/>
      <c r="Z85" s="55"/>
      <c r="AA85" s="55"/>
      <c r="AB85" s="55"/>
      <c r="AC85" s="55"/>
      <c r="AD85" s="55"/>
      <c r="AE85" s="55"/>
    </row>
    <row r="86" spans="1:31" ht="21.25" customHeight="1" x14ac:dyDescent="0.15">
      <c r="A86" s="10" t="s">
        <v>168</v>
      </c>
      <c r="B86" s="18" t="str" cm="1">
        <f t="array" ref="B86">VLOOKUP(A86,'Player Data'!A1:B673,2,FALSE)</f>
        <v>VGK</v>
      </c>
      <c r="C86" s="52" cm="1">
        <f t="array" ref="C86">((E86)*Settings!$C$12)+(F86*Settings!$C$2)+(G86*Settings!$C$3)+(H86*Settings!$C$4)+(I86*Settings!$C$5)+(K86*Settings!$C$9)+(N86*Settings!$C$6)+(J86*Settings!$C$8)+(O86*Settings!$C$7)+(P86*Settings!$C$14)+(Q86*Settings!$C$15)+(R86*Settings!$C$16)+(S86*Settings!$C$17)+(T86*Settings!$C$18)+(U86*Settings!$C$19)+(L86*Settings!$C$10)+(Settings!$C$11*M86)</f>
        <v>3.2197982786705515</v>
      </c>
      <c r="D86" s="57" cm="1">
        <f t="array" ref="D86">IF(Settings!$E$12="YES",VLOOKUP(A86,'Player Data'!A1:E673,5,FALSE),82)</f>
        <v>76</v>
      </c>
      <c r="E86" s="55" cm="1">
        <f t="array" ref="E86">(VLOOKUP($A86,'The List'!$B1:$AH671,17,FALSE)-AVERAGE('The List'!R2:R671))/STDEV('The List'!R2:R671)</f>
        <v>2.0423385976954425</v>
      </c>
      <c r="F86" s="55" cm="1">
        <f t="array" ref="F86">(VLOOKUP($A86,'The List'!$B1:$AH671,18,FALSE)-AVERAGE('The List'!S2:S671))/STDEV('The List'!S2:S671)</f>
        <v>-0.46237253162200875</v>
      </c>
      <c r="G86" s="55" cm="1">
        <f t="array" ref="G86">(VLOOKUP($A86,'The List'!$B1:$AH671,19,FALSE)-AVERAGE('The List'!T2:T671))/STDEV('The List'!T2:T671)</f>
        <v>1.8625944701166453</v>
      </c>
      <c r="H86" s="55" cm="1">
        <f t="array" ref="H86">(VLOOKUP($A86,'The List'!$B1:$AH671,20,FALSE)-AVERAGE('The List'!U2:U671))/STDEV('The List'!U2:U671)</f>
        <v>0.96688556855750818</v>
      </c>
      <c r="I86" s="55" cm="1">
        <f t="array" ref="I86">(VLOOKUP($A86,'The List'!$B1:$AH671,21,FALSE)-AVERAGE('The List'!V2:V671))/STDEV('The List'!V2:V671)</f>
        <v>0.4682993005418612</v>
      </c>
      <c r="J86" s="55" cm="1">
        <f t="array" ref="J86">(VLOOKUP($A86,'The List'!$B1:$AH671,22,FALSE)-AVERAGE('The List'!W2:W671))/STDEV('The List'!W2:W671)</f>
        <v>0.10109945521568353</v>
      </c>
      <c r="K86" s="55" cm="1">
        <f t="array" ref="K86">(VLOOKUP($A86,'The List'!$B1:$AH671,23,FALSE)-AVERAGE('The List'!X2:X671))/STDEV('The List'!X2:X671)</f>
        <v>1.4133274430030689</v>
      </c>
      <c r="L86" s="55" cm="1">
        <f t="array" ref="L86">(VLOOKUP($A86,'The List'!$B1:$AH671,24,FALSE)-AVERAGE('The List'!Y2:Y671))/STDEV('The List'!Y2:Y671)</f>
        <v>-0.47546929358800777</v>
      </c>
      <c r="M86" s="55" cm="1">
        <f t="array" ref="M86">(VLOOKUP($A86,'The List'!$B1:$AH671,25,FALSE)-AVERAGE('The List'!Z2:Z671))/STDEV('The List'!Z2:Z671)</f>
        <v>-0.64388478613809508</v>
      </c>
      <c r="N86" s="55" cm="1">
        <f t="array" ref="N86">(VLOOKUP($A86,'The List'!$B1:$AH671,26,FALSE)-AVERAGE('The List'!AA2:AA671))/STDEV('The List'!AA2:AA671)</f>
        <v>0.93930045155693831</v>
      </c>
      <c r="O86" s="55" cm="1">
        <f t="array" ref="O86">(VLOOKUP($A86,'The List'!$B1:$AH671,27,FALSE)-AVERAGE('The List'!AB2:AB671))/STDEV('The List'!AB2:AB671)</f>
        <v>-1.4416323464536636</v>
      </c>
      <c r="P86" s="55" cm="1">
        <f t="array" ref="P86">(VLOOKUP($A86,'The List'!$B1:$AH671,28,FALSE)-AVERAGE('The List'!AC2:AC671))/STDEV('The List'!AC2:AC671)</f>
        <v>1.379581943084649</v>
      </c>
      <c r="Q86" s="55" cm="1">
        <f t="array" ref="Q86">(VLOOKUP($A86,'The List'!$B1:$AH671,29,FALSE)-AVERAGE('The List'!AD2:AD671))/STDEV('The List'!AD2:AD671)</f>
        <v>-0.18387826558222348</v>
      </c>
      <c r="R86" s="55" cm="1">
        <f t="array" ref="R86">(VLOOKUP($A86,'The List'!$B1:$AH671,30,FALSE)-AVERAGE('The List'!AE2:AE671))/STDEV('The List'!AE2:AE671)</f>
        <v>-0.39632280725941599</v>
      </c>
      <c r="S86" s="55" cm="1">
        <f t="array" ref="S86">(VLOOKUP($A86,'The List'!$B1:$AH671,31,FALSE)-AVERAGE('The List'!AF2:AF671))/STDEV('The List'!AF2:AF671)</f>
        <v>-0.59581850454342256</v>
      </c>
      <c r="T86" s="55" cm="1">
        <f t="array" ref="T86">(VLOOKUP($A86,'The List'!$B1:$AH671,32,FALSE)-AVERAGE('The List'!AG2:AG671))/STDEV('The List'!AG2:AG671)</f>
        <v>-0.64684275008198677</v>
      </c>
      <c r="U86" s="55" cm="1">
        <f t="array" ref="U86">(VLOOKUP($A86,'The List'!$B1:$AH671,33,FALSE)-AVERAGE('The List'!AH2:AH671))/STDEV('The List'!AH2:AH671)</f>
        <v>-1.2552626683789523</v>
      </c>
      <c r="V86" s="55"/>
      <c r="W86" s="77"/>
      <c r="X86" s="57"/>
      <c r="Y86" s="57"/>
      <c r="Z86" s="57"/>
      <c r="AA86" s="57"/>
      <c r="AB86" s="57"/>
      <c r="AC86" s="60"/>
      <c r="AD86" s="61"/>
      <c r="AE86" s="55"/>
    </row>
    <row r="87" spans="1:31" ht="21.25" customHeight="1" x14ac:dyDescent="0.15">
      <c r="A87" s="10" t="s">
        <v>268</v>
      </c>
      <c r="B87" s="18" t="str" cm="1">
        <f t="array" ref="B87">VLOOKUP(A87,'Player Data'!A1:B673,2,FALSE)</f>
        <v>EDM</v>
      </c>
      <c r="C87" s="52" cm="1">
        <f t="array" ref="C87">((E87)*Settings!$C$12)+(F87*Settings!$C$2)+(G87*Settings!$C$3)+(H87*Settings!$C$4)+(I87*Settings!$C$5)+(K87*Settings!$C$9)+(N87*Settings!$C$6)+(J87*Settings!$C$8)+(O87*Settings!$C$7)+(P87*Settings!$C$14)+(Q87*Settings!$C$15)+(R87*Settings!$C$16)+(S87*Settings!$C$17)+(T87*Settings!$C$18)+(U87*Settings!$C$19)+(L87*Settings!$C$10)+(Settings!$C$11*M87)</f>
        <v>6.8943856443898097</v>
      </c>
      <c r="D87" s="57" cm="1">
        <f t="array" ref="D87">IF(Settings!$E$12="YES",VLOOKUP(A87,'Player Data'!A1:E673,5,FALSE),82)</f>
        <v>78</v>
      </c>
      <c r="E87" s="55" cm="1">
        <f t="array" ref="E87">(VLOOKUP($A87,'The List'!$B1:$AH671,17,FALSE)-AVERAGE('The List'!R2:R671))/STDEV('The List'!R2:R671)</f>
        <v>0.80942941943382096</v>
      </c>
      <c r="F87" s="55" cm="1">
        <f t="array" ref="F87">(VLOOKUP($A87,'The List'!$B1:$AH671,18,FALSE)-AVERAGE('The List'!S2:S671))/STDEV('The List'!S2:S671)</f>
        <v>2.2859523004542273</v>
      </c>
      <c r="G87" s="55" cm="1">
        <f t="array" ref="G87">(VLOOKUP($A87,'The List'!$B1:$AH671,19,FALSE)-AVERAGE('The List'!T2:T671))/STDEV('The List'!T2:T671)</f>
        <v>9.1702940069861946E-2</v>
      </c>
      <c r="H87" s="55" cm="1">
        <f t="array" ref="H87">(VLOOKUP($A87,'The List'!$B1:$AH671,20,FALSE)-AVERAGE('The List'!U2:U671))/STDEV('The List'!U2:U671)</f>
        <v>1.070330442610931</v>
      </c>
      <c r="I87" s="55" cm="1">
        <f t="array" ref="I87">(VLOOKUP($A87,'The List'!$B1:$AH671,21,FALSE)-AVERAGE('The List'!V2:V671))/STDEV('The List'!V2:V671)</f>
        <v>1.7779154352146742</v>
      </c>
      <c r="J87" s="55" cm="1">
        <f t="array" ref="J87">(VLOOKUP($A87,'The List'!$B1:$AH671,22,FALSE)-AVERAGE('The List'!W2:W671))/STDEV('The List'!W2:W671)</f>
        <v>2.4929645040329649</v>
      </c>
      <c r="K87" s="55" cm="1">
        <f t="array" ref="K87">(VLOOKUP($A87,'The List'!$B1:$AH671,23,FALSE)-AVERAGE('The List'!X2:X671))/STDEV('The List'!X2:X671)</f>
        <v>1.1580735260189847</v>
      </c>
      <c r="L87" s="55" cm="1">
        <f t="array" ref="L87">(VLOOKUP($A87,'The List'!$B1:$AH671,24,FALSE)-AVERAGE('The List'!Y2:Y671))/STDEV('The List'!Y2:Y671)</f>
        <v>-0.47546929358800777</v>
      </c>
      <c r="M87" s="55" cm="1">
        <f t="array" ref="M87">(VLOOKUP($A87,'The List'!$B1:$AH671,25,FALSE)-AVERAGE('The List'!Z2:Z671))/STDEV('The List'!Z2:Z671)</f>
        <v>-0.64388478613809508</v>
      </c>
      <c r="N87" s="55" cm="1">
        <f t="array" ref="N87">(VLOOKUP($A87,'The List'!$B1:$AH671,26,FALSE)-AVERAGE('The List'!AA2:AA671))/STDEV('The List'!AA2:AA671)</f>
        <v>-0.90577857242211013</v>
      </c>
      <c r="O87" s="55" cm="1">
        <f t="array" ref="O87">(VLOOKUP($A87,'The List'!$B1:$AH671,27,FALSE)-AVERAGE('The List'!AB2:AB671))/STDEV('The List'!AB2:AB671)</f>
        <v>-0.34576949723063244</v>
      </c>
      <c r="P87" s="55" cm="1">
        <f t="array" ref="P87">(VLOOKUP($A87,'The List'!$B1:$AH671,28,FALSE)-AVERAGE('The List'!AC2:AC671))/STDEV('The List'!AC2:AC671)</f>
        <v>1.9265109398626938</v>
      </c>
      <c r="Q87" s="55" cm="1">
        <f t="array" ref="Q87">(VLOOKUP($A87,'The List'!$B1:$AH671,29,FALSE)-AVERAGE('The List'!AD2:AD671))/STDEV('The List'!AD2:AD671)</f>
        <v>0.56530950600869179</v>
      </c>
      <c r="R87" s="55" cm="1">
        <f t="array" ref="R87">(VLOOKUP($A87,'The List'!$B1:$AH671,30,FALSE)-AVERAGE('The List'!AE2:AE671))/STDEV('The List'!AE2:AE671)</f>
        <v>2.5480079960226885</v>
      </c>
      <c r="S87" s="55" cm="1">
        <f t="array" ref="S87">(VLOOKUP($A87,'The List'!$B1:$AH671,31,FALSE)-AVERAGE('The List'!AF2:AF671))/STDEV('The List'!AF2:AF671)</f>
        <v>-0.58831845452486531</v>
      </c>
      <c r="T87" s="55" cm="1">
        <f t="array" ref="T87">(VLOOKUP($A87,'The List'!$B1:$AH671,32,FALSE)-AVERAGE('The List'!AG2:AG671))/STDEV('The List'!AG2:AG671)</f>
        <v>-0.63092022032049022</v>
      </c>
      <c r="U87" s="55" cm="1">
        <f t="array" ref="U87">(VLOOKUP($A87,'The List'!$B1:$AH671,33,FALSE)-AVERAGE('The List'!AH2:AH671))/STDEV('The List'!AH2:AH671)</f>
        <v>-1.3283604460682703E-2</v>
      </c>
      <c r="V87" s="55"/>
      <c r="W87" s="77"/>
      <c r="X87" s="57"/>
      <c r="Y87" s="57"/>
      <c r="Z87" s="57"/>
      <c r="AA87" s="57"/>
      <c r="AB87" s="57"/>
      <c r="AC87" s="60"/>
      <c r="AD87" s="61"/>
      <c r="AE87" s="55"/>
    </row>
    <row r="88" spans="1:31" ht="21.25" customHeight="1" x14ac:dyDescent="0.15">
      <c r="A88" s="10" t="s">
        <v>279</v>
      </c>
      <c r="B88" s="18" t="str" cm="1">
        <f t="array" ref="B88">VLOOKUP(A88,'Player Data'!A1:B673,2,FALSE)</f>
        <v>OTT</v>
      </c>
      <c r="C88" s="52" cm="1">
        <f t="array" ref="C88">((E88)*Settings!$C$12)+(F88*Settings!$C$2)+(G88*Settings!$C$3)+(H88*Settings!$C$4)+(I88*Settings!$C$5)+(K88*Settings!$C$9)+(N88*Settings!$C$6)+(J88*Settings!$C$8)+(O88*Settings!$C$7)+(P88*Settings!$C$14)+(Q88*Settings!$C$15)+(R88*Settings!$C$16)+(S88*Settings!$C$17)+(T88*Settings!$C$18)+(U88*Settings!$C$19)+(L88*Settings!$C$10)+(Settings!$C$11*M88)</f>
        <v>6.4734943779736449</v>
      </c>
      <c r="D88" s="57" cm="1">
        <f t="array" ref="D88">IF(Settings!$E$12="YES",VLOOKUP(A88,'Player Data'!A1:E673,5,FALSE),82)</f>
        <v>83</v>
      </c>
      <c r="E88" s="55" cm="1">
        <f t="array" ref="E88">(VLOOKUP($A88,'The List'!$B1:$AH671,17,FALSE)-AVERAGE('The List'!R2:R671))/STDEV('The List'!R2:R671)</f>
        <v>-2.9998106191112015E-2</v>
      </c>
      <c r="F88" s="55" cm="1">
        <f t="array" ref="F88">(VLOOKUP($A88,'The List'!$B1:$AH671,18,FALSE)-AVERAGE('The List'!S2:S671))/STDEV('The List'!S2:S671)</f>
        <v>1.5265204931884264</v>
      </c>
      <c r="G88" s="55" cm="1">
        <f t="array" ref="G88">(VLOOKUP($A88,'The List'!$B1:$AH671,19,FALSE)-AVERAGE('The List'!T2:T671))/STDEV('The List'!T2:T671)</f>
        <v>1.0790452415443579</v>
      </c>
      <c r="H88" s="55" cm="1">
        <f t="array" ref="H88">(VLOOKUP($A88,'The List'!$B1:$AH671,20,FALSE)-AVERAGE('The List'!U2:U671))/STDEV('The List'!U2:U671)</f>
        <v>1.3550248823135145</v>
      </c>
      <c r="I88" s="55" cm="1">
        <f t="array" ref="I88">(VLOOKUP($A88,'The List'!$B1:$AH671,21,FALSE)-AVERAGE('The List'!V2:V671))/STDEV('The List'!V2:V671)</f>
        <v>0.92770158314014717</v>
      </c>
      <c r="J88" s="55" cm="1">
        <f t="array" ref="J88">(VLOOKUP($A88,'The List'!$B1:$AH671,22,FALSE)-AVERAGE('The List'!W2:W671))/STDEV('The List'!W2:W671)</f>
        <v>2.2416253360856526</v>
      </c>
      <c r="K88" s="55" cm="1">
        <f t="array" ref="K88">(VLOOKUP($A88,'The List'!$B1:$AH671,23,FALSE)-AVERAGE('The List'!X2:X671))/STDEV('The List'!X2:X671)</f>
        <v>1.8675588228330144</v>
      </c>
      <c r="L88" s="55" cm="1">
        <f t="array" ref="L88">(VLOOKUP($A88,'The List'!$B1:$AH671,24,FALSE)-AVERAGE('The List'!Y2:Y671))/STDEV('The List'!Y2:Y671)</f>
        <v>-0.47546929358800777</v>
      </c>
      <c r="M88" s="55" cm="1">
        <f t="array" ref="M88">(VLOOKUP($A88,'The List'!$B1:$AH671,25,FALSE)-AVERAGE('The List'!Z2:Z671))/STDEV('The List'!Z2:Z671)</f>
        <v>-0.64388478613809508</v>
      </c>
      <c r="N88" s="55" cm="1">
        <f t="array" ref="N88">(VLOOKUP($A88,'The List'!$B1:$AH671,26,FALSE)-AVERAGE('The List'!AA2:AA671))/STDEV('The List'!AA2:AA671)</f>
        <v>-0.92340183552489996</v>
      </c>
      <c r="O88" s="55" cm="1">
        <f t="array" ref="O88">(VLOOKUP($A88,'The List'!$B1:$AH671,27,FALSE)-AVERAGE('The List'!AB2:AB671))/STDEV('The List'!AB2:AB671)</f>
        <v>0.81732923200458585</v>
      </c>
      <c r="P88" s="55" cm="1">
        <f t="array" ref="P88">(VLOOKUP($A88,'The List'!$B1:$AH671,28,FALSE)-AVERAGE('The List'!AC2:AC671))/STDEV('The List'!AC2:AC671)</f>
        <v>0.25533900526311276</v>
      </c>
      <c r="Q88" s="55" cm="1">
        <f t="array" ref="Q88">(VLOOKUP($A88,'The List'!$B1:$AH671,29,FALSE)-AVERAGE('The List'!AD2:AD671))/STDEV('The List'!AD2:AD671)</f>
        <v>-0.1048219622683892</v>
      </c>
      <c r="R88" s="55" cm="1">
        <f t="array" ref="R88">(VLOOKUP($A88,'The List'!$B1:$AH671,30,FALSE)-AVERAGE('The List'!AE2:AE671))/STDEV('The List'!AE2:AE671)</f>
        <v>1.7620213832821263</v>
      </c>
      <c r="S88" s="55" cm="1">
        <f t="array" ref="S88">(VLOOKUP($A88,'The List'!$B1:$AH671,31,FALSE)-AVERAGE('The List'!AF2:AF671))/STDEV('The List'!AF2:AF671)</f>
        <v>-0.51201986875915828</v>
      </c>
      <c r="T88" s="55" cm="1">
        <f t="array" ref="T88">(VLOOKUP($A88,'The List'!$B1:$AH671,32,FALSE)-AVERAGE('The List'!AG2:AG671))/STDEV('The List'!AG2:AG671)</f>
        <v>-0.5621267263509474</v>
      </c>
      <c r="U88" s="55" cm="1">
        <f t="array" ref="U88">(VLOOKUP($A88,'The List'!$B1:$AH671,33,FALSE)-AVERAGE('The List'!AH2:AH671))/STDEV('The List'!AH2:AH671)</f>
        <v>1.09069778568889</v>
      </c>
      <c r="V88" s="55"/>
      <c r="W88" s="77"/>
      <c r="X88" s="57"/>
      <c r="Y88" s="57"/>
      <c r="Z88" s="57"/>
      <c r="AA88" s="57"/>
      <c r="AB88" s="57"/>
      <c r="AC88" s="60"/>
      <c r="AD88" s="61"/>
      <c r="AE88" s="55"/>
    </row>
    <row r="89" spans="1:31" ht="21.25" customHeight="1" x14ac:dyDescent="0.15">
      <c r="A89" s="10" t="s">
        <v>266</v>
      </c>
      <c r="B89" s="18" t="str" cm="1">
        <f t="array" ref="B89">VLOOKUP(A89,'Player Data'!A1:B673,2,FALSE)</f>
        <v>TOR</v>
      </c>
      <c r="C89" s="52" cm="1">
        <f t="array" ref="C89">((E89)*Settings!$C$12)+(F89*Settings!$C$2)+(G89*Settings!$C$3)+(H89*Settings!$C$4)+(I89*Settings!$C$5)+(K89*Settings!$C$9)+(N89*Settings!$C$6)+(J89*Settings!$C$8)+(O89*Settings!$C$7)+(P89*Settings!$C$14)+(Q89*Settings!$C$15)+(R89*Settings!$C$16)+(S89*Settings!$C$17)+(T89*Settings!$C$18)+(U89*Settings!$C$19)+(L89*Settings!$C$10)+(Settings!$C$11*M89)</f>
        <v>5.6592062446940474</v>
      </c>
      <c r="D89" s="57" cm="1">
        <f t="array" ref="D89">IF(Settings!$E$12="YES",VLOOKUP(A89,'Player Data'!A1:E673,5,FALSE),82)</f>
        <v>83</v>
      </c>
      <c r="E89" s="55" cm="1">
        <f t="array" ref="E89">(VLOOKUP($A89,'The List'!$B1:$AH671,17,FALSE)-AVERAGE('The List'!R2:R671))/STDEV('The List'!R2:R671)</f>
        <v>0.2323229955666796</v>
      </c>
      <c r="F89" s="55" cm="1">
        <f t="array" ref="F89">(VLOOKUP($A89,'The List'!$B1:$AH671,18,FALSE)-AVERAGE('The List'!S2:S671))/STDEV('The List'!S2:S671)</f>
        <v>1.7750073788772367</v>
      </c>
      <c r="G89" s="55" cm="1">
        <f t="array" ref="G89">(VLOOKUP($A89,'The List'!$B1:$AH671,19,FALSE)-AVERAGE('The List'!T2:T671))/STDEV('The List'!T2:T671)</f>
        <v>1.0207182586102774</v>
      </c>
      <c r="H89" s="55" cm="1">
        <f t="array" ref="H89">(VLOOKUP($A89,'The List'!$B1:$AH671,20,FALSE)-AVERAGE('The List'!U2:U671))/STDEV('The List'!U2:U671)</f>
        <v>1.4284088527958572</v>
      </c>
      <c r="I89" s="55" cm="1">
        <f t="array" ref="I89">(VLOOKUP($A89,'The List'!$B1:$AH671,21,FALSE)-AVERAGE('The List'!V2:V671))/STDEV('The List'!V2:V671)</f>
        <v>1.558667034832115</v>
      </c>
      <c r="J89" s="55" cm="1">
        <f t="array" ref="J89">(VLOOKUP($A89,'The List'!$B1:$AH671,22,FALSE)-AVERAGE('The List'!W2:W671))/STDEV('The List'!W2:W671)</f>
        <v>2.0123819191666747</v>
      </c>
      <c r="K89" s="55" cm="1">
        <f t="array" ref="K89">(VLOOKUP($A89,'The List'!$B1:$AH671,23,FALSE)-AVERAGE('The List'!X2:X671))/STDEV('The List'!X2:X671)</f>
        <v>1.116871122096357</v>
      </c>
      <c r="L89" s="55" cm="1">
        <f t="array" ref="L89">(VLOOKUP($A89,'The List'!$B1:$AH671,24,FALSE)-AVERAGE('The List'!Y2:Y671))/STDEV('The List'!Y2:Y671)</f>
        <v>-0.47546929358800777</v>
      </c>
      <c r="M89" s="55" cm="1">
        <f t="array" ref="M89">(VLOOKUP($A89,'The List'!$B1:$AH671,25,FALSE)-AVERAGE('The List'!Z2:Z671))/STDEV('The List'!Z2:Z671)</f>
        <v>-0.64388478613809508</v>
      </c>
      <c r="N89" s="55" cm="1">
        <f t="array" ref="N89">(VLOOKUP($A89,'The List'!$B1:$AH671,26,FALSE)-AVERAGE('The List'!AA2:AA671))/STDEV('The List'!AA2:AA671)</f>
        <v>-0.79620784965259006</v>
      </c>
      <c r="O89" s="55" cm="1">
        <f t="array" ref="O89">(VLOOKUP($A89,'The List'!$B1:$AH671,27,FALSE)-AVERAGE('The List'!AB2:AB671))/STDEV('The List'!AB2:AB671)</f>
        <v>-6.7396554985051468E-2</v>
      </c>
      <c r="P89" s="55" cm="1">
        <f t="array" ref="P89">(VLOOKUP($A89,'The List'!$B1:$AH671,28,FALSE)-AVERAGE('The List'!AC2:AC671))/STDEV('The List'!AC2:AC671)</f>
        <v>0.25533900526311276</v>
      </c>
      <c r="Q89" s="55" cm="1">
        <f t="array" ref="Q89">(VLOOKUP($A89,'The List'!$B1:$AH671,29,FALSE)-AVERAGE('The List'!AD2:AD671))/STDEV('The List'!AD2:AD671)</f>
        <v>0.2017982795562949</v>
      </c>
      <c r="R89" s="55" cm="1">
        <f t="array" ref="R89">(VLOOKUP($A89,'The List'!$B1:$AH671,30,FALSE)-AVERAGE('The List'!AE2:AE671))/STDEV('The List'!AE2:AE671)</f>
        <v>1.2442682971117567</v>
      </c>
      <c r="S89" s="55" cm="1">
        <f t="array" ref="S89">(VLOOKUP($A89,'The List'!$B1:$AH671,31,FALSE)-AVERAGE('The List'!AF2:AF671))/STDEV('The List'!AF2:AF671)</f>
        <v>3.2708899752162024</v>
      </c>
      <c r="T89" s="55" cm="1">
        <f t="array" ref="T89">(VLOOKUP($A89,'The List'!$B1:$AH671,32,FALSE)-AVERAGE('The List'!AG2:AG671))/STDEV('The List'!AG2:AG671)</f>
        <v>2.2970390745716274</v>
      </c>
      <c r="U89" s="55" cm="1">
        <f t="array" ref="U89">(VLOOKUP($A89,'The List'!$B1:$AH671,33,FALSE)-AVERAGE('The List'!AH2:AH671))/STDEV('The List'!AH2:AH671)</f>
        <v>1.4126923578158486</v>
      </c>
      <c r="V89" s="55"/>
      <c r="W89" s="57"/>
      <c r="X89" s="57"/>
      <c r="Y89" s="57"/>
      <c r="Z89" s="57"/>
      <c r="AA89" s="57"/>
      <c r="AB89" s="57"/>
      <c r="AC89" s="60"/>
      <c r="AD89" s="61"/>
      <c r="AE89" s="55"/>
    </row>
    <row r="90" spans="1:31" ht="21.25" customHeight="1" x14ac:dyDescent="0.15">
      <c r="A90" s="10" t="s">
        <v>251</v>
      </c>
      <c r="B90" s="18" t="str" cm="1">
        <f t="array" ref="B90">VLOOKUP(A90,'Player Data'!A1:B673,2,FALSE)</f>
        <v>NSH</v>
      </c>
      <c r="C90" s="52" cm="1">
        <f t="array" ref="C90">((E90)*Settings!$C$12)+(F90*Settings!$C$2)+(G90*Settings!$C$3)+(H90*Settings!$C$4)+(I90*Settings!$C$5)+(K90*Settings!$C$9)+(N90*Settings!$C$6)+(J90*Settings!$C$8)+(O90*Settings!$C$7)+(P90*Settings!$C$14)+(Q90*Settings!$C$15)+(R90*Settings!$C$16)+(S90*Settings!$C$17)+(T90*Settings!$C$18)+(U90*Settings!$C$19)+(L90*Settings!$C$10)+(Settings!$C$11*M90)</f>
        <v>2.424054126315772</v>
      </c>
      <c r="D90" s="57" cm="1">
        <f t="array" ref="D90">IF(Settings!$E$12="YES",VLOOKUP(A90,'Player Data'!A1:E673,5,FALSE),82)</f>
        <v>83</v>
      </c>
      <c r="E90" s="55" cm="1">
        <f t="array" ref="E90">(VLOOKUP($A90,'The List'!$B1:$AH671,17,FALSE)-AVERAGE('The List'!R2:R671))/STDEV('The List'!R2:R671)</f>
        <v>0.94058997031271674</v>
      </c>
      <c r="F90" s="55" cm="1">
        <f t="array" ref="F90">(VLOOKUP($A90,'The List'!$B1:$AH671,18,FALSE)-AVERAGE('The List'!S2:S671))/STDEV('The List'!S2:S671)</f>
        <v>0.94671775991453677</v>
      </c>
      <c r="G90" s="55" cm="1">
        <f t="array" ref="G90">(VLOOKUP($A90,'The List'!$B1:$AH671,19,FALSE)-AVERAGE('The List'!T2:T671))/STDEV('The List'!T2:T671)</f>
        <v>1.2540261903465997</v>
      </c>
      <c r="H90" s="55" cm="1">
        <f t="array" ref="H90">(VLOOKUP($A90,'The List'!$B1:$AH671,20,FALSE)-AVERAGE('The List'!U2:U671))/STDEV('The List'!U2:U671)</f>
        <v>1.2082569413488291</v>
      </c>
      <c r="I90" s="55" cm="1">
        <f t="array" ref="I90">(VLOOKUP($A90,'The List'!$B1:$AH671,21,FALSE)-AVERAGE('The List'!V2:V671))/STDEV('The List'!V2:V671)</f>
        <v>0.68391947680461451</v>
      </c>
      <c r="J90" s="55" cm="1">
        <f t="array" ref="J90">(VLOOKUP($A90,'The List'!$B1:$AH671,22,FALSE)-AVERAGE('The List'!W2:W671))/STDEV('The List'!W2:W671)</f>
        <v>1.0954082514907661</v>
      </c>
      <c r="K90" s="55" cm="1">
        <f t="array" ref="K90">(VLOOKUP($A90,'The List'!$B1:$AH671,23,FALSE)-AVERAGE('The List'!X2:X671))/STDEV('The List'!X2:X671)</f>
        <v>1.116871122096357</v>
      </c>
      <c r="L90" s="55" cm="1">
        <f t="array" ref="L90">(VLOOKUP($A90,'The List'!$B1:$AH671,24,FALSE)-AVERAGE('The List'!Y2:Y671))/STDEV('The List'!Y2:Y671)</f>
        <v>1.0460445458883638</v>
      </c>
      <c r="M90" s="55" cm="1">
        <f t="array" ref="M90">(VLOOKUP($A90,'The List'!$B1:$AH671,25,FALSE)-AVERAGE('The List'!Z2:Z671))/STDEV('The List'!Z2:Z671)</f>
        <v>1.1599035105660132</v>
      </c>
      <c r="N90" s="55" cm="1">
        <f t="array" ref="N90">(VLOOKUP($A90,'The List'!$B1:$AH671,26,FALSE)-AVERAGE('The List'!AA2:AA671))/STDEV('The List'!AA2:AA671)</f>
        <v>0.13654804674434834</v>
      </c>
      <c r="O90" s="55" cm="1">
        <f t="array" ref="O90">(VLOOKUP($A90,'The List'!$B1:$AH671,27,FALSE)-AVERAGE('The List'!AB2:AB671))/STDEV('The List'!AB2:AB671)</f>
        <v>-1.2924014908168571</v>
      </c>
      <c r="P90" s="55" cm="1">
        <f t="array" ref="P90">(VLOOKUP($A90,'The List'!$B1:$AH671,28,FALSE)-AVERAGE('The List'!AC2:AC671))/STDEV('The List'!AC2:AC671)</f>
        <v>-0.28507893202947904</v>
      </c>
      <c r="Q90" s="55" cm="1">
        <f t="array" ref="Q90">(VLOOKUP($A90,'The List'!$B1:$AH671,29,FALSE)-AVERAGE('The List'!AD2:AD671))/STDEV('The List'!AD2:AD671)</f>
        <v>-0.47276625245801029</v>
      </c>
      <c r="R90" s="55" cm="1">
        <f t="array" ref="R90">(VLOOKUP($A90,'The List'!$B1:$AH671,30,FALSE)-AVERAGE('The List'!AE2:AE671))/STDEV('The List'!AE2:AE671)</f>
        <v>0.72651521094138671</v>
      </c>
      <c r="S90" s="55" cm="1">
        <f t="array" ref="S90">(VLOOKUP($A90,'The List'!$B1:$AH671,31,FALSE)-AVERAGE('The List'!AF2:AF671))/STDEV('The List'!AF2:AF671)</f>
        <v>3.1910817506597606</v>
      </c>
      <c r="T90" s="55" cm="1">
        <f t="array" ref="T90">(VLOOKUP($A90,'The List'!$B1:$AH671,32,FALSE)-AVERAGE('The List'!AG2:AG671))/STDEV('The List'!AG2:AG671)</f>
        <v>2.635903169495784</v>
      </c>
      <c r="U90" s="55" cm="1">
        <f t="array" ref="U90">(VLOOKUP($A90,'The List'!$B1:$AH671,33,FALSE)-AVERAGE('The List'!AH2:AH671))/STDEV('The List'!AH2:AH671)</f>
        <v>1.2746946840471525</v>
      </c>
      <c r="V90" s="55"/>
      <c r="W90" s="57"/>
      <c r="X90" s="55"/>
      <c r="Y90" s="55"/>
      <c r="Z90" s="55"/>
      <c r="AA90" s="55"/>
      <c r="AB90" s="55"/>
      <c r="AC90" s="55"/>
      <c r="AD90" s="55"/>
      <c r="AE90" s="55"/>
    </row>
    <row r="91" spans="1:31" ht="21.25" customHeight="1" x14ac:dyDescent="0.15">
      <c r="A91" s="10" t="s">
        <v>310</v>
      </c>
      <c r="B91" s="18" t="str" cm="1">
        <f t="array" ref="B91">VLOOKUP(A91,'Player Data'!A1:B673,2,FALSE)</f>
        <v>VAN</v>
      </c>
      <c r="C91" s="52" cm="1">
        <f t="array" ref="C91">((E91)*Settings!$C$12)+(F91*Settings!$C$2)+(G91*Settings!$C$3)+(H91*Settings!$C$4)+(I91*Settings!$C$5)+(K91*Settings!$C$9)+(N91*Settings!$C$6)+(J91*Settings!$C$8)+(O91*Settings!$C$7)+(P91*Settings!$C$14)+(Q91*Settings!$C$15)+(R91*Settings!$C$16)+(S91*Settings!$C$17)+(T91*Settings!$C$18)+(U91*Settings!$C$19)+(L91*Settings!$C$10)+(Settings!$C$11*M91)</f>
        <v>0.85367784570938654</v>
      </c>
      <c r="D91" s="57" cm="1">
        <f t="array" ref="D91">IF(Settings!$E$12="YES",VLOOKUP(A91,'Player Data'!A1:E673,5,FALSE),82)</f>
        <v>78</v>
      </c>
      <c r="E91" s="55" cm="1">
        <f t="array" ref="E91">(VLOOKUP($A91,'The List'!$B1:$AH671,17,FALSE)-AVERAGE('The List'!R2:R671))/STDEV('The List'!R2:R671)</f>
        <v>0.59957253802758848</v>
      </c>
      <c r="F91" s="55" cm="1">
        <f t="array" ref="F91">(VLOOKUP($A91,'The List'!$B1:$AH671,18,FALSE)-AVERAGE('The List'!S2:S671))/STDEV('The List'!S2:S671)</f>
        <v>0.88484552331732258</v>
      </c>
      <c r="G91" s="55" cm="1">
        <f t="array" ref="G91">(VLOOKUP($A91,'The List'!$B1:$AH671,19,FALSE)-AVERAGE('The List'!T2:T671))/STDEV('The List'!T2:T671)</f>
        <v>0.85908926975680144</v>
      </c>
      <c r="H91" s="55" cm="1">
        <f t="array" ref="H91">(VLOOKUP($A91,'The List'!$B1:$AH671,20,FALSE)-AVERAGE('The List'!U2:U671))/STDEV('The List'!U2:U671)</f>
        <v>0.93240394387303371</v>
      </c>
      <c r="I91" s="55" cm="1">
        <f t="array" ref="I91">(VLOOKUP($A91,'The List'!$B1:$AH671,21,FALSE)-AVERAGE('The List'!V2:V671))/STDEV('The List'!V2:V671)</f>
        <v>0.18771663527686777</v>
      </c>
      <c r="J91" s="55" cm="1">
        <f t="array" ref="J91">(VLOOKUP($A91,'The List'!$B1:$AH671,22,FALSE)-AVERAGE('The List'!W2:W671))/STDEV('The List'!W2:W671)</f>
        <v>1.2003630688753577</v>
      </c>
      <c r="K91" s="55" cm="1">
        <f t="array" ref="K91">(VLOOKUP($A91,'The List'!$B1:$AH671,23,FALSE)-AVERAGE('The List'!X2:X671))/STDEV('The List'!X2:X671)</f>
        <v>1.3148436482611785</v>
      </c>
      <c r="L91" s="55" cm="1">
        <f t="array" ref="L91">(VLOOKUP($A91,'The List'!$B1:$AH671,24,FALSE)-AVERAGE('The List'!Y2:Y671))/STDEV('The List'!Y2:Y671)</f>
        <v>-0.47546929358800777</v>
      </c>
      <c r="M91" s="55" cm="1">
        <f t="array" ref="M91">(VLOOKUP($A91,'The List'!$B1:$AH671,25,FALSE)-AVERAGE('The List'!Z2:Z671))/STDEV('The List'!Z2:Z671)</f>
        <v>0.20367838942166649</v>
      </c>
      <c r="N91" s="55" cm="1">
        <f t="array" ref="N91">(VLOOKUP($A91,'The List'!$B1:$AH671,26,FALSE)-AVERAGE('The List'!AA2:AA671))/STDEV('The List'!AA2:AA671)</f>
        <v>-0.5073395805329467</v>
      </c>
      <c r="O91" s="55" cm="1">
        <f t="array" ref="O91">(VLOOKUP($A91,'The List'!$B1:$AH671,27,FALSE)-AVERAGE('The List'!AB2:AB671))/STDEV('The List'!AB2:AB671)</f>
        <v>-0.42571459846463594</v>
      </c>
      <c r="P91" s="55" cm="1">
        <f t="array" ref="P91">(VLOOKUP($A91,'The List'!$B1:$AH671,28,FALSE)-AVERAGE('The List'!AC2:AC671))/STDEV('The List'!AC2:AC671)</f>
        <v>-1.967102632438148</v>
      </c>
      <c r="Q91" s="55" cm="1">
        <f t="array" ref="Q91">(VLOOKUP($A91,'The List'!$B1:$AH671,29,FALSE)-AVERAGE('The List'!AD2:AD671))/STDEV('The List'!AD2:AD671)</f>
        <v>-0.24150809416614011</v>
      </c>
      <c r="R91" s="55" cm="1">
        <f t="array" ref="R91">(VLOOKUP($A91,'The List'!$B1:$AH671,30,FALSE)-AVERAGE('The List'!AE2:AE671))/STDEV('The List'!AE2:AE671)</f>
        <v>0.60175543114129737</v>
      </c>
      <c r="S91" s="55" cm="1">
        <f t="array" ref="S91">(VLOOKUP($A91,'The List'!$B1:$AH671,31,FALSE)-AVERAGE('The List'!AF2:AF671))/STDEV('The List'!AF2:AF671)</f>
        <v>1.5491958007639419</v>
      </c>
      <c r="T91" s="55" cm="1">
        <f t="array" ref="T91">(VLOOKUP($A91,'The List'!$B1:$AH671,32,FALSE)-AVERAGE('The List'!AG2:AG671))/STDEV('The List'!AG2:AG671)</f>
        <v>1.9286264388400773</v>
      </c>
      <c r="U91" s="55" cm="1">
        <f t="array" ref="U91">(VLOOKUP($A91,'The List'!$B1:$AH671,33,FALSE)-AVERAGE('The List'!AH2:AH671))/STDEV('The List'!AH2:AH671)</f>
        <v>0.90670088733062781</v>
      </c>
      <c r="V91" s="55"/>
      <c r="W91" s="77"/>
      <c r="X91" s="57"/>
      <c r="Y91" s="57"/>
      <c r="Z91" s="57"/>
      <c r="AA91" s="57"/>
      <c r="AB91" s="57"/>
      <c r="AC91" s="60"/>
      <c r="AD91" s="61"/>
      <c r="AE91" s="55"/>
    </row>
    <row r="92" spans="1:31" ht="21.25" customHeight="1" x14ac:dyDescent="0.15">
      <c r="A92" s="10" t="s">
        <v>327</v>
      </c>
      <c r="B92" s="18" t="str" cm="1">
        <f t="array" ref="B92">VLOOKUP(A92,'Player Data'!A1:B673,2,FALSE)</f>
        <v>PHI</v>
      </c>
      <c r="C92" s="52" cm="1">
        <f t="array" ref="C92">((E92)*Settings!$C$12)+(F92*Settings!$C$2)+(G92*Settings!$C$3)+(H92*Settings!$C$4)+(I92*Settings!$C$5)+(K92*Settings!$C$9)+(N92*Settings!$C$6)+(J92*Settings!$C$8)+(O92*Settings!$C$7)+(P92*Settings!$C$14)+(Q92*Settings!$C$15)+(R92*Settings!$C$16)+(S92*Settings!$C$17)+(T92*Settings!$C$18)+(U92*Settings!$C$19)+(L92*Settings!$C$10)+(Settings!$C$11*M92)</f>
        <v>3.0541569889542113</v>
      </c>
      <c r="D92" s="57" cm="1">
        <f t="array" ref="D92">IF(Settings!$E$12="YES",VLOOKUP(A92,'Player Data'!A1:E673,5,FALSE),82)</f>
        <v>75</v>
      </c>
      <c r="E92" s="55" cm="1">
        <f t="array" ref="E92">(VLOOKUP($A92,'The List'!$B1:$AH671,17,FALSE)-AVERAGE('The List'!R2:R671))/STDEV('The List'!R2:R671)</f>
        <v>0.46841198714869259</v>
      </c>
      <c r="F92" s="55" cm="1">
        <f t="array" ref="F92">(VLOOKUP($A92,'The List'!$B1:$AH671,18,FALSE)-AVERAGE('The List'!S2:S671))/STDEV('The List'!S2:S671)</f>
        <v>0.9851384229628064</v>
      </c>
      <c r="G92" s="55" cm="1">
        <f t="array" ref="G92">(VLOOKUP($A92,'The List'!$B1:$AH671,19,FALSE)-AVERAGE('The List'!T2:T671))/STDEV('The List'!T2:T671)</f>
        <v>0.93867397839878486</v>
      </c>
      <c r="H92" s="55" cm="1">
        <f t="array" ref="H92">(VLOOKUP($A92,'The List'!$B1:$AH671,20,FALSE)-AVERAGE('The List'!U2:U671))/STDEV('The List'!U2:U671)</f>
        <v>1.0268968576718338</v>
      </c>
      <c r="I92" s="55" cm="1">
        <f t="array" ref="I92">(VLOOKUP($A92,'The List'!$B1:$AH671,21,FALSE)-AVERAGE('The List'!V2:V671))/STDEV('The List'!V2:V671)</f>
        <v>0.63165577222169533</v>
      </c>
      <c r="J92" s="55" cm="1">
        <f t="array" ref="J92">(VLOOKUP($A92,'The List'!$B1:$AH671,22,FALSE)-AVERAGE('The List'!W2:W671))/STDEV('The List'!W2:W671)</f>
        <v>1.2190063588055158</v>
      </c>
      <c r="K92" s="55" cm="1">
        <f t="array" ref="K92">(VLOOKUP($A92,'The List'!$B1:$AH671,23,FALSE)-AVERAGE('The List'!X2:X671))/STDEV('The List'!X2:X671)</f>
        <v>0.86036103426097321</v>
      </c>
      <c r="L92" s="55" cm="1">
        <f t="array" ref="L92">(VLOOKUP($A92,'The List'!$B1:$AH671,24,FALSE)-AVERAGE('The List'!Y2:Y671))/STDEV('The List'!Y2:Y671)</f>
        <v>-0.47546929358800777</v>
      </c>
      <c r="M92" s="55" cm="1">
        <f t="array" ref="M92">(VLOOKUP($A92,'The List'!$B1:$AH671,25,FALSE)-AVERAGE('The List'!Z2:Z671))/STDEV('The List'!Z2:Z671)</f>
        <v>-0.64388478613809508</v>
      </c>
      <c r="N92" s="55" cm="1">
        <f t="array" ref="N92">(VLOOKUP($A92,'The List'!$B1:$AH671,26,FALSE)-AVERAGE('The List'!AA2:AA671))/STDEV('The List'!AA2:AA671)</f>
        <v>-0.87589564803042286</v>
      </c>
      <c r="O92" s="55" cm="1">
        <f t="array" ref="O92">(VLOOKUP($A92,'The List'!$B1:$AH671,27,FALSE)-AVERAGE('The List'!AB2:AB671))/STDEV('The List'!AB2:AB671)</f>
        <v>-0.7694785337708504</v>
      </c>
      <c r="P92" s="55" cm="1">
        <f t="array" ref="P92">(VLOOKUP($A92,'The List'!$B1:$AH671,28,FALSE)-AVERAGE('The List'!AC2:AC671))/STDEV('The List'!AC2:AC671)</f>
        <v>0.40780631488080188</v>
      </c>
      <c r="Q92" s="55" cm="1">
        <f t="array" ref="Q92">(VLOOKUP($A92,'The List'!$B1:$AH671,29,FALSE)-AVERAGE('The List'!AD2:AD671))/STDEV('The List'!AD2:AD671)</f>
        <v>0.72933286428599309</v>
      </c>
      <c r="R92" s="55" cm="1">
        <f t="array" ref="R92">(VLOOKUP($A92,'The List'!$B1:$AH671,30,FALSE)-AVERAGE('The List'!AE2:AE671))/STDEV('The List'!AE2:AE671)</f>
        <v>1.1117110310741618</v>
      </c>
      <c r="S92" s="55" cm="1">
        <f t="array" ref="S92">(VLOOKUP($A92,'The List'!$B1:$AH671,31,FALSE)-AVERAGE('The List'!AF2:AF671))/STDEV('The List'!AF2:AF671)</f>
        <v>-8.0742002045636266E-3</v>
      </c>
      <c r="T92" s="55" cm="1">
        <f t="array" ref="T92">(VLOOKUP($A92,'The List'!$B1:$AH671,32,FALSE)-AVERAGE('The List'!AG2:AG671))/STDEV('The List'!AG2:AG671)</f>
        <v>0.49376154533290917</v>
      </c>
      <c r="U92" s="55" cm="1">
        <f t="array" ref="U92">(VLOOKUP($A92,'The List'!$B1:$AH671,33,FALSE)-AVERAGE('The List'!AH2:AH671))/STDEV('The List'!AH2:AH671)</f>
        <v>0.35471019225584138</v>
      </c>
      <c r="V92" s="55"/>
      <c r="W92" s="77"/>
      <c r="X92" s="57"/>
      <c r="Y92" s="57"/>
      <c r="Z92" s="57"/>
      <c r="AA92" s="57"/>
      <c r="AB92" s="57"/>
      <c r="AC92" s="60"/>
      <c r="AD92" s="61"/>
      <c r="AE92" s="55"/>
    </row>
    <row r="93" spans="1:31" ht="21.25" customHeight="1" x14ac:dyDescent="0.15">
      <c r="A93" s="10" t="s">
        <v>246</v>
      </c>
      <c r="B93" s="18" t="str" cm="1">
        <f t="array" ref="B93">VLOOKUP(A93,'Player Data'!A1:B673,2,FALSE)</f>
        <v>NYR</v>
      </c>
      <c r="C93" s="52" cm="1">
        <f t="array" ref="C93">((E93)*Settings!$C$12)+(F93*Settings!$C$2)+(G93*Settings!$C$3)+(H93*Settings!$C$4)+(I93*Settings!$C$5)+(K93*Settings!$C$9)+(N93*Settings!$C$6)+(J93*Settings!$C$8)+(O93*Settings!$C$7)+(P93*Settings!$C$14)+(Q93*Settings!$C$15)+(R93*Settings!$C$16)+(S93*Settings!$C$17)+(T93*Settings!$C$18)+(U93*Settings!$C$19)+(L93*Settings!$C$10)+(Settings!$C$11*M93)</f>
        <v>5.315202374473964</v>
      </c>
      <c r="D93" s="57" cm="1">
        <f t="array" ref="D93">IF(Settings!$E$12="YES",VLOOKUP(A93,'Player Data'!A1:E673,5,FALSE),82)</f>
        <v>84</v>
      </c>
      <c r="E93" s="55" cm="1">
        <f t="array" ref="E93">(VLOOKUP($A93,'The List'!$B1:$AH671,17,FALSE)-AVERAGE('The List'!R2:R671))/STDEV('The List'!R2:R671)</f>
        <v>0.46841198714869259</v>
      </c>
      <c r="F93" s="55" cm="1">
        <f t="array" ref="F93">(VLOOKUP($A93,'The List'!$B1:$AH671,18,FALSE)-AVERAGE('The List'!S2:S671))/STDEV('The List'!S2:S671)</f>
        <v>1.5321089532681755</v>
      </c>
      <c r="G93" s="55" cm="1">
        <f t="array" ref="G93">(VLOOKUP($A93,'The List'!$B1:$AH671,19,FALSE)-AVERAGE('The List'!T2:T671))/STDEV('The List'!T2:T671)</f>
        <v>1.0648499999146179</v>
      </c>
      <c r="H93" s="55" cm="1">
        <f t="array" ref="H93">(VLOOKUP($A93,'The List'!$B1:$AH671,20,FALSE)-AVERAGE('The List'!U2:U671))/STDEV('The List'!U2:U671)</f>
        <v>1.3485706294879591</v>
      </c>
      <c r="I93" s="55" cm="1">
        <f t="array" ref="I93">(VLOOKUP($A93,'The List'!$B1:$AH671,21,FALSE)-AVERAGE('The List'!V2:V671))/STDEV('The List'!V2:V671)</f>
        <v>1.2521857602547919</v>
      </c>
      <c r="J93" s="55" cm="1">
        <f t="array" ref="J93">(VLOOKUP($A93,'The List'!$B1:$AH671,22,FALSE)-AVERAGE('The List'!W2:W671))/STDEV('The List'!W2:W671)</f>
        <v>2.18472877718769</v>
      </c>
      <c r="K93" s="55" cm="1">
        <f t="array" ref="K93">(VLOOKUP($A93,'The List'!$B1:$AH671,23,FALSE)-AVERAGE('The List'!X2:X671))/STDEV('The List'!X2:X671)</f>
        <v>1.2370615491487056</v>
      </c>
      <c r="L93" s="55" cm="1">
        <f t="array" ref="L93">(VLOOKUP($A93,'The List'!$B1:$AH671,24,FALSE)-AVERAGE('The List'!Y2:Y671))/STDEV('The List'!Y2:Y671)</f>
        <v>-0.47546929358800777</v>
      </c>
      <c r="M93" s="55" cm="1">
        <f t="array" ref="M93">(VLOOKUP($A93,'The List'!$B1:$AH671,25,FALSE)-AVERAGE('The List'!Z2:Z671))/STDEV('The List'!Z2:Z671)</f>
        <v>-0.64388478613809508</v>
      </c>
      <c r="N93" s="55" cm="1">
        <f t="array" ref="N93">(VLOOKUP($A93,'The List'!$B1:$AH671,26,FALSE)-AVERAGE('The List'!AA2:AA671))/STDEV('The List'!AA2:AA671)</f>
        <v>-0.65752043132193905</v>
      </c>
      <c r="O93" s="55" cm="1">
        <f t="array" ref="O93">(VLOOKUP($A93,'The List'!$B1:$AH671,27,FALSE)-AVERAGE('The List'!AB2:AB671))/STDEV('The List'!AB2:AB671)</f>
        <v>0.14251058261397298</v>
      </c>
      <c r="P93" s="55" cm="1">
        <f t="array" ref="P93">(VLOOKUP($A93,'The List'!$B1:$AH671,28,FALSE)-AVERAGE('The List'!AC2:AC671))/STDEV('The List'!AC2:AC671)</f>
        <v>8.648552927370054E-2</v>
      </c>
      <c r="Q93" s="55" cm="1">
        <f t="array" ref="Q93">(VLOOKUP($A93,'The List'!$B1:$AH671,29,FALSE)-AVERAGE('The List'!AD2:AD671))/STDEV('The List'!AD2:AD671)</f>
        <v>-0.20161052053112102</v>
      </c>
      <c r="R93" s="55" cm="1">
        <f t="array" ref="R93">(VLOOKUP($A93,'The List'!$B1:$AH671,30,FALSE)-AVERAGE('The List'!AE2:AE671))/STDEV('The List'!AE2:AE671)</f>
        <v>1.4064560108518727</v>
      </c>
      <c r="S93" s="55" cm="1">
        <f t="array" ref="S93">(VLOOKUP($A93,'The List'!$B1:$AH671,31,FALSE)-AVERAGE('The List'!AF2:AF671))/STDEV('The List'!AF2:AF671)</f>
        <v>-0.53524117747046041</v>
      </c>
      <c r="T93" s="55" cm="1">
        <f t="array" ref="T93">(VLOOKUP($A93,'The List'!$B1:$AH671,32,FALSE)-AVERAGE('The List'!AG2:AG671))/STDEV('The List'!AG2:AG671)</f>
        <v>-0.47536935265048552</v>
      </c>
      <c r="U93" s="55" cm="1">
        <f t="array" ref="U93">(VLOOKUP($A93,'The List'!$B1:$AH671,33,FALSE)-AVERAGE('The List'!AH2:AH671))/STDEV('The List'!AH2:AH671)</f>
        <v>-1.3283604460682703E-2</v>
      </c>
      <c r="V93" s="55"/>
      <c r="W93" s="77"/>
      <c r="X93" s="57"/>
      <c r="Y93" s="57"/>
      <c r="Z93" s="57"/>
      <c r="AA93" s="57"/>
      <c r="AB93" s="57"/>
      <c r="AC93" s="60"/>
      <c r="AD93" s="61"/>
      <c r="AE93" s="55"/>
    </row>
    <row r="94" spans="1:31" ht="21.25" customHeight="1" x14ac:dyDescent="0.15">
      <c r="A94" s="10" t="s">
        <v>264</v>
      </c>
      <c r="B94" s="18" t="str" cm="1">
        <f t="array" ref="B94">VLOOKUP(A94,'Player Data'!A1:B673,2,FALSE)</f>
        <v>PIT</v>
      </c>
      <c r="C94" s="52" cm="1">
        <f t="array" ref="C94">((E94)*Settings!$C$12)+(F94*Settings!$C$2)+(G94*Settings!$C$3)+(H94*Settings!$C$4)+(I94*Settings!$C$5)+(K94*Settings!$C$9)+(N94*Settings!$C$6)+(J94*Settings!$C$8)+(O94*Settings!$C$7)+(P94*Settings!$C$14)+(Q94*Settings!$C$15)+(R94*Settings!$C$16)+(S94*Settings!$C$17)+(T94*Settings!$C$18)+(U94*Settings!$C$19)+(L94*Settings!$C$10)+(Settings!$C$11*M94)</f>
        <v>4.5813572957295028</v>
      </c>
      <c r="D94" s="57" cm="1">
        <f t="array" ref="D94">IF(Settings!$E$12="YES",VLOOKUP(A94,'Player Data'!A1:E673,5,FALSE),82)</f>
        <v>79</v>
      </c>
      <c r="E94" s="55" cm="1">
        <f t="array" ref="E94">(VLOOKUP($A94,'The List'!$B1:$AH671,17,FALSE)-AVERAGE('The List'!R2:R671))/STDEV('The List'!R2:R671)</f>
        <v>0.59957253802758848</v>
      </c>
      <c r="F94" s="55" cm="1">
        <f t="array" ref="F94">(VLOOKUP($A94,'The List'!$B1:$AH671,18,FALSE)-AVERAGE('The List'!S2:S671))/STDEV('The List'!S2:S671)</f>
        <v>1.4656461958911677</v>
      </c>
      <c r="G94" s="55" cm="1">
        <f t="array" ref="G94">(VLOOKUP($A94,'The List'!$B1:$AH671,19,FALSE)-AVERAGE('The List'!T2:T671))/STDEV('The List'!T2:T671)</f>
        <v>0.50280275954500819</v>
      </c>
      <c r="H94" s="55" cm="1">
        <f t="array" ref="H94">(VLOOKUP($A94,'The List'!$B1:$AH671,20,FALSE)-AVERAGE('The List'!U2:U671))/STDEV('The List'!U2:U671)</f>
        <v>0.96555935222348988</v>
      </c>
      <c r="I94" s="55" cm="1">
        <f t="array" ref="I94">(VLOOKUP($A94,'The List'!$B1:$AH671,21,FALSE)-AVERAGE('The List'!V2:V671))/STDEV('The List'!V2:V671)</f>
        <v>1.3782924643046193</v>
      </c>
      <c r="J94" s="55" cm="1">
        <f t="array" ref="J94">(VLOOKUP($A94,'The List'!$B1:$AH671,22,FALSE)-AVERAGE('The List'!W2:W671))/STDEV('The List'!W2:W671)</f>
        <v>1.2252207887822348</v>
      </c>
      <c r="K94" s="55" cm="1">
        <f t="array" ref="K94">(VLOOKUP($A94,'The List'!$B1:$AH671,23,FALSE)-AVERAGE('The List'!X2:X671))/STDEV('The List'!X2:X671)</f>
        <v>0.94502694963856793</v>
      </c>
      <c r="L94" s="55" cm="1">
        <f t="array" ref="L94">(VLOOKUP($A94,'The List'!$B1:$AH671,24,FALSE)-AVERAGE('The List'!Y2:Y671))/STDEV('The List'!Y2:Y671)</f>
        <v>0.97271857772082782</v>
      </c>
      <c r="M94" s="55" cm="1">
        <f t="array" ref="M94">(VLOOKUP($A94,'The List'!$B1:$AH671,25,FALSE)-AVERAGE('The List'!Z2:Z671))/STDEV('The List'!Z2:Z671)</f>
        <v>1.9314033242165651</v>
      </c>
      <c r="N94" s="55" cm="1">
        <f t="array" ref="N94">(VLOOKUP($A94,'The List'!$B1:$AH671,26,FALSE)-AVERAGE('The List'!AA2:AA671))/STDEV('The List'!AA2:AA671)</f>
        <v>-6.9312099065052729E-2</v>
      </c>
      <c r="O94" s="55" cm="1">
        <f t="array" ref="O94">(VLOOKUP($A94,'The List'!$B1:$AH671,27,FALSE)-AVERAGE('The List'!AB2:AB671))/STDEV('The List'!AB2:AB671)</f>
        <v>0.22307064616516084</v>
      </c>
      <c r="P94" s="55" cm="1">
        <f t="array" ref="P94">(VLOOKUP($A94,'The List'!$B1:$AH671,28,FALSE)-AVERAGE('The List'!AC2:AC671))/STDEV('The List'!AC2:AC671)</f>
        <v>6.6518280184978268E-2</v>
      </c>
      <c r="Q94" s="55" cm="1">
        <f t="array" ref="Q94">(VLOOKUP($A94,'The List'!$B1:$AH671,29,FALSE)-AVERAGE('The List'!AD2:AD671))/STDEV('The List'!AD2:AD671)</f>
        <v>-0.91459493826803717</v>
      </c>
      <c r="R94" s="55" cm="1">
        <f t="array" ref="R94">(VLOOKUP($A94,'The List'!$B1:$AH671,30,FALSE)-AVERAGE('The List'!AE2:AE671))/STDEV('The List'!AE2:AE671)</f>
        <v>1.1195085173116675</v>
      </c>
      <c r="S94" s="55" cm="1">
        <f t="array" ref="S94">(VLOOKUP($A94,'The List'!$B1:$AH671,31,FALSE)-AVERAGE('The List'!AF2:AF671))/STDEV('The List'!AF2:AF671)</f>
        <v>-0.23120068825664081</v>
      </c>
      <c r="T94" s="55" cm="1">
        <f t="array" ref="T94">(VLOOKUP($A94,'The List'!$B1:$AH671,32,FALSE)-AVERAGE('The List'!AG2:AG671))/STDEV('The List'!AG2:AG671)</f>
        <v>4.6603834530881516E-2</v>
      </c>
      <c r="U94" s="55" cm="1">
        <f t="array" ref="U94">(VLOOKUP($A94,'The List'!$B1:$AH671,33,FALSE)-AVERAGE('The List'!AH2:AH671))/STDEV('The List'!AH2:AH671)</f>
        <v>0.40070941684540695</v>
      </c>
      <c r="V94" s="55"/>
      <c r="W94" s="77"/>
      <c r="X94" s="57"/>
      <c r="Y94" s="57"/>
      <c r="Z94" s="57"/>
      <c r="AA94" s="57"/>
      <c r="AB94" s="57"/>
      <c r="AC94" s="60"/>
      <c r="AD94" s="61"/>
      <c r="AE94" s="55"/>
    </row>
    <row r="95" spans="1:31" ht="21.25" customHeight="1" x14ac:dyDescent="0.15">
      <c r="A95" s="10" t="s">
        <v>243</v>
      </c>
      <c r="B95" s="18" t="str" cm="1">
        <f t="array" ref="B95">VLOOKUP(A95,'Player Data'!A1:B673,2,FALSE)</f>
        <v>UTA</v>
      </c>
      <c r="C95" s="52" cm="1">
        <f t="array" ref="C95">((E95)*Settings!$C$12)+(F95*Settings!$C$2)+(G95*Settings!$C$3)+(H95*Settings!$C$4)+(I95*Settings!$C$5)+(K95*Settings!$C$9)+(N95*Settings!$C$6)+(J95*Settings!$C$8)+(O95*Settings!$C$7)+(P95*Settings!$C$14)+(Q95*Settings!$C$15)+(R95*Settings!$C$16)+(S95*Settings!$C$17)+(T95*Settings!$C$18)+(U95*Settings!$C$19)+(L95*Settings!$C$10)+(Settings!$C$11*M95)</f>
        <v>4.3916714033430972</v>
      </c>
      <c r="D95" s="57" cm="1">
        <f t="array" ref="D95">IF(Settings!$E$12="YES",VLOOKUP(A95,'Player Data'!A1:E673,5,FALSE),82)</f>
        <v>84</v>
      </c>
      <c r="E95" s="55" cm="1">
        <f t="array" ref="E95">(VLOOKUP($A95,'The List'!$B1:$AH671,17,FALSE)-AVERAGE('The List'!R2:R671))/STDEV('The List'!R2:R671)</f>
        <v>0.5471083176760293</v>
      </c>
      <c r="F95" s="55" cm="1">
        <f t="array" ref="F95">(VLOOKUP($A95,'The List'!$B1:$AH671,18,FALSE)-AVERAGE('The List'!S2:S671))/STDEV('The List'!S2:S671)</f>
        <v>1.3560724607561023</v>
      </c>
      <c r="G95" s="55" cm="1">
        <f t="array" ref="G95">(VLOOKUP($A95,'The List'!$B1:$AH671,19,FALSE)-AVERAGE('The List'!T2:T671))/STDEV('The List'!T2:T671)</f>
        <v>1.2507936105695303</v>
      </c>
      <c r="H95" s="55" cm="1">
        <f t="array" ref="H95">(VLOOKUP($A95,'The List'!$B1:$AH671,20,FALSE)-AVERAGE('The List'!U2:U671))/STDEV('The List'!U2:U671)</f>
        <v>1.3875613897080949</v>
      </c>
      <c r="I95" s="55" cm="1">
        <f t="array" ref="I95">(VLOOKUP($A95,'The List'!$B1:$AH671,21,FALSE)-AVERAGE('The List'!V2:V671))/STDEV('The List'!V2:V671)</f>
        <v>1.2075586035811789</v>
      </c>
      <c r="J95" s="55" cm="1">
        <f t="array" ref="J95">(VLOOKUP($A95,'The List'!$B1:$AH671,22,FALSE)-AVERAGE('The List'!W2:W671))/STDEV('The List'!W2:W671)</f>
        <v>1.9411231221002943</v>
      </c>
      <c r="K95" s="55" cm="1">
        <f t="array" ref="K95">(VLOOKUP($A95,'The List'!$B1:$AH671,23,FALSE)-AVERAGE('The List'!X2:X671))/STDEV('The List'!X2:X671)</f>
        <v>1.3256969644164074</v>
      </c>
      <c r="L95" s="55" cm="1">
        <f t="array" ref="L95">(VLOOKUP($A95,'The List'!$B1:$AH671,24,FALSE)-AVERAGE('The List'!Y2:Y671))/STDEV('The List'!Y2:Y671)</f>
        <v>2.6042213694485032</v>
      </c>
      <c r="M95" s="55" cm="1">
        <f t="array" ref="M95">(VLOOKUP($A95,'The List'!$B1:$AH671,25,FALSE)-AVERAGE('The List'!Z2:Z671))/STDEV('The List'!Z2:Z671)</f>
        <v>1.1816358996829295</v>
      </c>
      <c r="N95" s="55" cm="1">
        <f t="array" ref="N95">(VLOOKUP($A95,'The List'!$B1:$AH671,26,FALSE)-AVERAGE('The List'!AA2:AA671))/STDEV('The List'!AA2:AA671)</f>
        <v>-0.33570432248838428</v>
      </c>
      <c r="O95" s="55" cm="1">
        <f t="array" ref="O95">(VLOOKUP($A95,'The List'!$B1:$AH671,27,FALSE)-AVERAGE('The List'!AB2:AB671))/STDEV('The List'!AB2:AB671)</f>
        <v>-1.217786062998454</v>
      </c>
      <c r="P95" s="55" cm="1">
        <f t="array" ref="P95">(VLOOKUP($A95,'The List'!$B1:$AH671,28,FALSE)-AVERAGE('The List'!AC2:AC671))/STDEV('The List'!AC2:AC671)</f>
        <v>0.46933582701833187</v>
      </c>
      <c r="Q95" s="55" cm="1">
        <f t="array" ref="Q95">(VLOOKUP($A95,'The List'!$B1:$AH671,29,FALSE)-AVERAGE('The List'!AD2:AD671))/STDEV('The List'!AD2:AD671)</f>
        <v>-0.63605076677910699</v>
      </c>
      <c r="R95" s="55" cm="1">
        <f t="array" ref="R95">(VLOOKUP($A95,'The List'!$B1:$AH671,30,FALSE)-AVERAGE('The List'!AE2:AE671))/STDEV('The List'!AE2:AE671)</f>
        <v>1.4064560108518727</v>
      </c>
      <c r="S95" s="55" cm="1">
        <f t="array" ref="S95">(VLOOKUP($A95,'The List'!$B1:$AH671,31,FALSE)-AVERAGE('The List'!AF2:AF671))/STDEV('The List'!AF2:AF671)</f>
        <v>1.1770779344586031</v>
      </c>
      <c r="T95" s="55" cm="1">
        <f t="array" ref="T95">(VLOOKUP($A95,'The List'!$B1:$AH671,32,FALSE)-AVERAGE('The List'!AG2:AG671))/STDEV('The List'!AG2:AG671)</f>
        <v>1.5780245815917406</v>
      </c>
      <c r="U95" s="55" cm="1">
        <f t="array" ref="U95">(VLOOKUP($A95,'The List'!$B1:$AH671,33,FALSE)-AVERAGE('The List'!AH2:AH671))/STDEV('The List'!AH2:AH671)</f>
        <v>0.86070166274106241</v>
      </c>
      <c r="V95" s="55"/>
      <c r="W95" s="77"/>
      <c r="X95" s="57"/>
      <c r="Y95" s="57"/>
      <c r="Z95" s="57"/>
      <c r="AA95" s="57"/>
      <c r="AB95" s="57"/>
      <c r="AC95" s="60"/>
      <c r="AD95" s="61"/>
      <c r="AE95" s="55"/>
    </row>
    <row r="96" spans="1:31" ht="21.25" customHeight="1" x14ac:dyDescent="0.15">
      <c r="A96" s="10" t="s">
        <v>259</v>
      </c>
      <c r="B96" s="18" t="str" cm="1">
        <f t="array" ref="B96">VLOOKUP(A96,'Player Data'!A1:B673,2,FALSE)</f>
        <v>L.A</v>
      </c>
      <c r="C96" s="52" cm="1">
        <f t="array" ref="C96">((E96)*Settings!$C$12)+(F96*Settings!$C$2)+(G96*Settings!$C$3)+(H96*Settings!$C$4)+(I96*Settings!$C$5)+(K96*Settings!$C$9)+(N96*Settings!$C$6)+(J96*Settings!$C$8)+(O96*Settings!$C$7)+(P96*Settings!$C$14)+(Q96*Settings!$C$15)+(R96*Settings!$C$16)+(S96*Settings!$C$17)+(T96*Settings!$C$18)+(U96*Settings!$C$19)+(L96*Settings!$C$10)+(Settings!$C$11*M96)</f>
        <v>4.2911657462044595</v>
      </c>
      <c r="D96" s="57" cm="1">
        <f t="array" ref="D96">IF(Settings!$E$12="YES",VLOOKUP(A96,'Player Data'!A1:E673,5,FALSE),82)</f>
        <v>83</v>
      </c>
      <c r="E96" s="55" cm="1">
        <f t="array" ref="E96">(VLOOKUP($A96,'The List'!$B1:$AH671,17,FALSE)-AVERAGE('The List'!R2:R671))/STDEV('The List'!R2:R671)</f>
        <v>1.0192863008400543</v>
      </c>
      <c r="F96" s="55" cm="1">
        <f t="array" ref="F96">(VLOOKUP($A96,'The List'!$B1:$AH671,18,FALSE)-AVERAGE('The List'!S2:S671))/STDEV('The List'!S2:S671)</f>
        <v>1.3608625693958867</v>
      </c>
      <c r="G96" s="55" cm="1">
        <f t="array" ref="G96">(VLOOKUP($A96,'The List'!$B1:$AH671,19,FALSE)-AVERAGE('The List'!T2:T671))/STDEV('The List'!T2:T671)</f>
        <v>0.84573730980803563</v>
      </c>
      <c r="H96" s="55" cm="1">
        <f t="array" ref="H96">(VLOOKUP($A96,'The List'!$B1:$AH671,20,FALSE)-AVERAGE('The List'!U2:U671))/STDEV('The List'!U2:U671)</f>
        <v>1.1348729708664858</v>
      </c>
      <c r="I96" s="55" cm="1">
        <f t="array" ref="I96">(VLOOKUP($A96,'The List'!$B1:$AH671,21,FALSE)-AVERAGE('The List'!V2:V671))/STDEV('The List'!V2:V671)</f>
        <v>1.3005448045944923</v>
      </c>
      <c r="J96" s="55" cm="1">
        <f t="array" ref="J96">(VLOOKUP($A96,'The List'!$B1:$AH671,22,FALSE)-AVERAGE('The List'!W2:W671))/STDEV('The List'!W2:W671)</f>
        <v>1.0954082514907661</v>
      </c>
      <c r="K96" s="55" cm="1">
        <f t="array" ref="K96">(VLOOKUP($A96,'The List'!$B1:$AH671,23,FALSE)-AVERAGE('The List'!X2:X671))/STDEV('The List'!X2:X671)</f>
        <v>0.78323214399117591</v>
      </c>
      <c r="L96" s="55" cm="1">
        <f t="array" ref="L96">(VLOOKUP($A96,'The List'!$B1:$AH671,24,FALSE)-AVERAGE('The List'!Y2:Y671))/STDEV('The List'!Y2:Y671)</f>
        <v>1.0460445458883638</v>
      </c>
      <c r="M96" s="55" cm="1">
        <f t="array" ref="M96">(VLOOKUP($A96,'The List'!$B1:$AH671,25,FALSE)-AVERAGE('The List'!Z2:Z671))/STDEV('The List'!Z2:Z671)</f>
        <v>0.25800936221395893</v>
      </c>
      <c r="N96" s="55" cm="1">
        <f t="array" ref="N96">(VLOOKUP($A96,'The List'!$B1:$AH671,26,FALSE)-AVERAGE('The List'!AA2:AA671))/STDEV('The List'!AA2:AA671)</f>
        <v>-0.52062088026258557</v>
      </c>
      <c r="O96" s="55" cm="1">
        <f t="array" ref="O96">(VLOOKUP($A96,'The List'!$B1:$AH671,27,FALSE)-AVERAGE('The List'!AB2:AB671))/STDEV('The List'!AB2:AB671)</f>
        <v>-0.25455008684824387</v>
      </c>
      <c r="P96" s="55" cm="1">
        <f t="array" ref="P96">(VLOOKUP($A96,'The List'!$B1:$AH671,28,FALSE)-AVERAGE('The List'!AC2:AC671))/STDEV('The List'!AC2:AC671)</f>
        <v>0.25533900526311276</v>
      </c>
      <c r="Q96" s="55" cm="1">
        <f t="array" ref="Q96">(VLOOKUP($A96,'The List'!$B1:$AH671,29,FALSE)-AVERAGE('The List'!AD2:AD671))/STDEV('The List'!AD2:AD671)</f>
        <v>1.1829830533952839</v>
      </c>
      <c r="R96" s="55" cm="1">
        <f t="array" ref="R96">(VLOOKUP($A96,'The List'!$B1:$AH671,30,FALSE)-AVERAGE('The List'!AE2:AE671))/STDEV('The List'!AE2:AE671)</f>
        <v>1.2442682971117567</v>
      </c>
      <c r="S96" s="55" cm="1">
        <f t="array" ref="S96">(VLOOKUP($A96,'The List'!$B1:$AH671,31,FALSE)-AVERAGE('The List'!AF2:AF671))/STDEV('The List'!AF2:AF671)</f>
        <v>1.6866967177708245</v>
      </c>
      <c r="T96" s="55" cm="1">
        <f t="array" ref="T96">(VLOOKUP($A96,'The List'!$B1:$AH671,32,FALSE)-AVERAGE('The List'!AG2:AG671))/STDEV('The List'!AG2:AG671)</f>
        <v>2.3055106769447309</v>
      </c>
      <c r="U96" s="55" cm="1">
        <f t="array" ref="U96">(VLOOKUP($A96,'The List'!$B1:$AH671,33,FALSE)-AVERAGE('The List'!AH2:AH671))/STDEV('The List'!AH2:AH671)</f>
        <v>0.8147024381514969</v>
      </c>
      <c r="V96" s="55"/>
      <c r="W96" s="77"/>
      <c r="X96" s="57"/>
      <c r="Y96" s="57"/>
      <c r="Z96" s="57"/>
      <c r="AA96" s="57"/>
      <c r="AB96" s="57"/>
      <c r="AC96" s="60"/>
      <c r="AD96" s="61"/>
      <c r="AE96" s="55"/>
    </row>
    <row r="97" spans="1:31" ht="21.25" customHeight="1" x14ac:dyDescent="0.15">
      <c r="A97" s="10" t="s">
        <v>280</v>
      </c>
      <c r="B97" s="18" t="str" cm="1">
        <f t="array" ref="B97">VLOOKUP(A97,'Player Data'!A1:B673,2,FALSE)</f>
        <v>VGK</v>
      </c>
      <c r="C97" s="52" cm="1">
        <f t="array" ref="C97">((E97)*Settings!$C$12)+(F97*Settings!$C$2)+(G97*Settings!$C$3)+(H97*Settings!$C$4)+(I97*Settings!$C$5)+(K97*Settings!$C$9)+(N97*Settings!$C$6)+(J97*Settings!$C$8)+(O97*Settings!$C$7)+(P97*Settings!$C$14)+(Q97*Settings!$C$15)+(R97*Settings!$C$16)+(S97*Settings!$C$17)+(T97*Settings!$C$18)+(U97*Settings!$C$19)+(L97*Settings!$C$10)+(Settings!$C$11*M97)</f>
        <v>5.9468735902394814</v>
      </c>
      <c r="D97" s="57" cm="1">
        <f t="array" ref="D97">IF(Settings!$E$12="YES",VLOOKUP(A97,'Player Data'!A1:E673,5,FALSE),82)</f>
        <v>80</v>
      </c>
      <c r="E97" s="55" cm="1">
        <f t="array" ref="E97">(VLOOKUP($A97,'The List'!$B1:$AH671,17,FALSE)-AVERAGE('The List'!R2:R671))/STDEV('The List'!R2:R671)</f>
        <v>0.10116244468778379</v>
      </c>
      <c r="F97" s="55" cm="1">
        <f t="array" ref="F97">(VLOOKUP($A97,'The List'!$B1:$AH671,18,FALSE)-AVERAGE('The List'!S2:S671))/STDEV('The List'!S2:S671)</f>
        <v>1.3419017226967407</v>
      </c>
      <c r="G97" s="55" cm="1">
        <f t="array" ref="G97">(VLOOKUP($A97,'The List'!$B1:$AH671,19,FALSE)-AVERAGE('The List'!T2:T671))/STDEV('The List'!T2:T671)</f>
        <v>0.64264697163997198</v>
      </c>
      <c r="H97" s="55" cm="1">
        <f t="array" ref="H97">(VLOOKUP($A97,'The List'!$B1:$AH671,20,FALSE)-AVERAGE('The List'!U2:U671))/STDEV('The List'!U2:U671)</f>
        <v>0.99871476057394604</v>
      </c>
      <c r="I97" s="55" cm="1">
        <f t="array" ref="I97">(VLOOKUP($A97,'The List'!$B1:$AH671,21,FALSE)-AVERAGE('The List'!V2:V671))/STDEV('The List'!V2:V671)</f>
        <v>1.1745935958640856</v>
      </c>
      <c r="J97" s="55" cm="1">
        <f t="array" ref="J97">(VLOOKUP($A97,'The List'!$B1:$AH671,22,FALSE)-AVERAGE('The List'!W2:W671))/STDEV('The List'!W2:W671)</f>
        <v>3.0177385909559256</v>
      </c>
      <c r="K97" s="55" cm="1">
        <f t="array" ref="K97">(VLOOKUP($A97,'The List'!$B1:$AH671,23,FALSE)-AVERAGE('The List'!X2:X671))/STDEV('The List'!X2:X671)</f>
        <v>1.8514798359363795</v>
      </c>
      <c r="L97" s="55" cm="1">
        <f t="array" ref="L97">(VLOOKUP($A97,'The List'!$B1:$AH671,24,FALSE)-AVERAGE('The List'!Y2:Y671))/STDEV('The List'!Y2:Y671)</f>
        <v>-0.47546929358800777</v>
      </c>
      <c r="M97" s="55" cm="1">
        <f t="array" ref="M97">(VLOOKUP($A97,'The List'!$B1:$AH671,25,FALSE)-AVERAGE('The List'!Z2:Z671))/STDEV('The List'!Z2:Z671)</f>
        <v>-0.64388478613809508</v>
      </c>
      <c r="N97" s="55" cm="1">
        <f t="array" ref="N97">(VLOOKUP($A97,'The List'!$B1:$AH671,26,FALSE)-AVERAGE('The List'!AA2:AA671))/STDEV('The List'!AA2:AA671)</f>
        <v>-0.41743539774769989</v>
      </c>
      <c r="O97" s="55" cm="1">
        <f t="array" ref="O97">(VLOOKUP($A97,'The List'!$B1:$AH671,27,FALSE)-AVERAGE('The List'!AB2:AB671))/STDEV('The List'!AB2:AB671)</f>
        <v>0.3466780719192738</v>
      </c>
      <c r="P97" s="55" cm="1">
        <f t="array" ref="P97">(VLOOKUP($A97,'The List'!$B1:$AH671,28,FALSE)-AVERAGE('The List'!AC2:AC671))/STDEV('The List'!AC2:AC671)</f>
        <v>0.58957339218302895</v>
      </c>
      <c r="Q97" s="55" cm="1">
        <f t="array" ref="Q97">(VLOOKUP($A97,'The List'!$B1:$AH671,29,FALSE)-AVERAGE('The List'!AD2:AD671))/STDEV('The List'!AD2:AD671)</f>
        <v>-0.48237122388866299</v>
      </c>
      <c r="R97" s="55" cm="1">
        <f t="array" ref="R97">(VLOOKUP($A97,'The List'!$B1:$AH671,30,FALSE)-AVERAGE('The List'!AE2:AE671))/STDEV('The List'!AE2:AE671)</f>
        <v>2.1487767006624034</v>
      </c>
      <c r="S97" s="55" cm="1">
        <f t="array" ref="S97">(VLOOKUP($A97,'The List'!$B1:$AH671,31,FALSE)-AVERAGE('The List'!AF2:AF671))/STDEV('The List'!AF2:AF671)</f>
        <v>2.7195882216085376</v>
      </c>
      <c r="T97" s="55" cm="1">
        <f t="array" ref="T97">(VLOOKUP($A97,'The List'!$B1:$AH671,32,FALSE)-AVERAGE('The List'!AG2:AG671))/STDEV('The List'!AG2:AG671)</f>
        <v>1.982416010534364</v>
      </c>
      <c r="U97" s="55" cm="1">
        <f t="array" ref="U97">(VLOOKUP($A97,'The List'!$B1:$AH671,33,FALSE)-AVERAGE('The List'!AH2:AH671))/STDEV('The List'!AH2:AH671)</f>
        <v>1.3666931332262831</v>
      </c>
      <c r="V97" s="55"/>
      <c r="W97" s="77"/>
      <c r="X97" s="57"/>
      <c r="Y97" s="57"/>
      <c r="Z97" s="57"/>
      <c r="AA97" s="57"/>
      <c r="AB97" s="57"/>
      <c r="AC97" s="60"/>
      <c r="AD97" s="61"/>
      <c r="AE97" s="55"/>
    </row>
    <row r="98" spans="1:31" ht="21.25" customHeight="1" x14ac:dyDescent="0.15">
      <c r="A98" s="10" t="s">
        <v>796</v>
      </c>
      <c r="B98" s="18" t="str" cm="1">
        <f t="array" ref="B98">VLOOKUP(A98,'Player Data'!A1:B673,2,FALSE)</f>
        <v>FLA</v>
      </c>
      <c r="C98" s="52" cm="1">
        <f t="array" ref="C98">((E98)*Settings!$C$12)+(F98*Settings!$C$2)+(G98*Settings!$C$3)+(H98*Settings!$C$4)+(I98*Settings!$C$5)+(K98*Settings!$C$9)+(N98*Settings!$C$6)+(J98*Settings!$C$8)+(O98*Settings!$C$7)+(P98*Settings!$C$14)+(Q98*Settings!$C$15)+(R98*Settings!$C$16)+(S98*Settings!$C$17)+(T98*Settings!$C$18)+(U98*Settings!$C$19)+(L98*Settings!$C$10)+(Settings!$C$11*M98)</f>
        <v>-3.1177692923723512</v>
      </c>
      <c r="D98" s="57" cm="1">
        <f t="array" ref="D98">IF(Settings!$E$12="YES",VLOOKUP(A98,'Player Data'!A1:E673,5,FALSE),82)</f>
        <v>61</v>
      </c>
      <c r="E98" s="55" cm="1">
        <f t="array" ref="E98">(VLOOKUP($A98,'The List'!$B1:$AH671,17,FALSE)-AVERAGE('The List'!R2:R671))/STDEV('The List'!R2:R671)</f>
        <v>-2.3384238016596779</v>
      </c>
      <c r="F98" s="55" cm="1">
        <f t="array" ref="F98">(VLOOKUP($A98,'The List'!$B1:$AH671,18,FALSE)-AVERAGE('The List'!S2:S671))/STDEV('The List'!S2:S671)</f>
        <v>-1.0072473893974716</v>
      </c>
      <c r="G98" s="55" cm="1">
        <f t="array" ref="G98">(VLOOKUP($A98,'The List'!$B1:$AH671,19,FALSE)-AVERAGE('The List'!T2:T671))/STDEV('The List'!T2:T671)</f>
        <v>-1.3622552248772788</v>
      </c>
      <c r="H98" s="55" cm="1">
        <f t="array" ref="H98">(VLOOKUP($A98,'The List'!$B1:$AH671,20,FALSE)-AVERAGE('The List'!U2:U671))/STDEV('The List'!U2:U671)</f>
        <v>-1.3031547231703875</v>
      </c>
      <c r="I98" s="55" cm="1">
        <f t="array" ref="I98">(VLOOKUP($A98,'The List'!$B1:$AH671,21,FALSE)-AVERAGE('The List'!V2:V671))/STDEV('The List'!V2:V671)</f>
        <v>-1.3409751272013712</v>
      </c>
      <c r="J98" s="55" cm="1">
        <f t="array" ref="J98">(VLOOKUP($A98,'The List'!$B1:$AH671,22,FALSE)-AVERAGE('The List'!W2:W671))/STDEV('The List'!W2:W671)</f>
        <v>-0.73853908386105271</v>
      </c>
      <c r="K98" s="55" cm="1">
        <f t="array" ref="K98">(VLOOKUP($A98,'The List'!$B1:$AH671,23,FALSE)-AVERAGE('The List'!X2:X671))/STDEV('The List'!X2:X671)</f>
        <v>-0.80155300200843405</v>
      </c>
      <c r="L98" s="55" cm="1">
        <f t="array" ref="L98">(VLOOKUP($A98,'The List'!$B1:$AH671,24,FALSE)-AVERAGE('The List'!Y2:Y671))/STDEV('The List'!Y2:Y671)</f>
        <v>-0.47546929358800777</v>
      </c>
      <c r="M98" s="55" cm="1">
        <f t="array" ref="M98">(VLOOKUP($A98,'The List'!$B1:$AH671,25,FALSE)-AVERAGE('The List'!Z2:Z671))/STDEV('The List'!Z2:Z671)</f>
        <v>-0.64388478613809508</v>
      </c>
      <c r="N98" s="55" cm="1">
        <f t="array" ref="N98">(VLOOKUP($A98,'The List'!$B1:$AH671,26,FALSE)-AVERAGE('The List'!AA2:AA671))/STDEV('The List'!AA2:AA671)</f>
        <v>-1.0153492951916301</v>
      </c>
      <c r="O98" s="55" cm="1">
        <f t="array" ref="O98">(VLOOKUP($A98,'The List'!$B1:$AH671,27,FALSE)-AVERAGE('The List'!AB2:AB671))/STDEV('The List'!AB2:AB671)</f>
        <v>0.96963489922731549</v>
      </c>
      <c r="P98" s="55" cm="1">
        <f t="array" ref="P98">(VLOOKUP($A98,'The List'!$B1:$AH671,28,FALSE)-AVERAGE('The List'!AC2:AC671))/STDEV('The List'!AC2:AC671)</f>
        <v>0.42462655188488846</v>
      </c>
      <c r="Q98" s="55" cm="1">
        <f t="array" ref="Q98">(VLOOKUP($A98,'The List'!$B1:$AH671,29,FALSE)-AVERAGE('The List'!AD2:AD671))/STDEV('The List'!AD2:AD671)</f>
        <v>4.0260545968685006</v>
      </c>
      <c r="R98" s="55" cm="1">
        <f t="array" ref="R98">(VLOOKUP($A98,'The List'!$B1:$AH671,30,FALSE)-AVERAGE('The List'!AE2:AE671))/STDEV('The List'!AE2:AE671)</f>
        <v>-0.96397980534982186</v>
      </c>
      <c r="S98" s="55" cm="1">
        <f t="array" ref="S98">(VLOOKUP($A98,'The List'!$B1:$AH671,31,FALSE)-AVERAGE('The List'!AF2:AF671))/STDEV('The List'!AF2:AF671)</f>
        <v>-0.59288579267719188</v>
      </c>
      <c r="T98" s="55" cm="1">
        <f t="array" ref="T98">(VLOOKUP($A98,'The List'!$B1:$AH671,32,FALSE)-AVERAGE('The List'!AG2:AG671))/STDEV('The List'!AG2:AG671)</f>
        <v>-0.63750357397187818</v>
      </c>
      <c r="U98" s="55" cm="1">
        <f t="array" ref="U98">(VLOOKUP($A98,'The List'!$B1:$AH671,33,FALSE)-AVERAGE('The List'!AH2:AH671))/STDEV('The List'!AH2:AH671)</f>
        <v>0.21671251848714493</v>
      </c>
      <c r="V98" s="55"/>
      <c r="W98" s="57"/>
      <c r="X98" s="55"/>
      <c r="Y98" s="55"/>
      <c r="Z98" s="55"/>
      <c r="AA98" s="55"/>
      <c r="AB98" s="55"/>
      <c r="AC98" s="55"/>
      <c r="AD98" s="55"/>
      <c r="AE98" s="55"/>
    </row>
    <row r="99" spans="1:31" ht="21.25" customHeight="1" x14ac:dyDescent="0.15">
      <c r="A99" s="10" t="s">
        <v>285</v>
      </c>
      <c r="B99" s="18" t="str" cm="1">
        <f t="array" ref="B99">VLOOKUP(A99,'Player Data'!A1:B673,2,FALSE)</f>
        <v>S.J</v>
      </c>
      <c r="C99" s="52" cm="1">
        <f t="array" ref="C99">((E99)*Settings!$C$12)+(F99*Settings!$C$2)+(G99*Settings!$C$3)+(H99*Settings!$C$4)+(I99*Settings!$C$5)+(K99*Settings!$C$9)+(N99*Settings!$C$6)+(J99*Settings!$C$8)+(O99*Settings!$C$7)+(P99*Settings!$C$14)+(Q99*Settings!$C$15)+(R99*Settings!$C$16)+(S99*Settings!$C$17)+(T99*Settings!$C$18)+(U99*Settings!$C$19)+(L99*Settings!$C$10)+(Settings!$C$11*M99)</f>
        <v>1.8667163114523855</v>
      </c>
      <c r="D99" s="57" cm="1">
        <f t="array" ref="D99">IF(Settings!$E$12="YES",VLOOKUP(A99,'Player Data'!A1:E673,5,FALSE),82)</f>
        <v>77</v>
      </c>
      <c r="E99" s="55" cm="1">
        <f t="array" ref="E99">(VLOOKUP($A99,'The List'!$B1:$AH671,17,FALSE)-AVERAGE('The List'!R2:R671))/STDEV('The List'!R2:R671)</f>
        <v>-2.9998106191112015E-2</v>
      </c>
      <c r="F99" s="55" cm="1">
        <f t="array" ref="F99">(VLOOKUP($A99,'The List'!$B1:$AH671,18,FALSE)-AVERAGE('The List'!S2:S671))/STDEV('The List'!S2:S671)</f>
        <v>1.078745129298591</v>
      </c>
      <c r="G99" s="55" cm="1">
        <f t="array" ref="G99">(VLOOKUP($A99,'The List'!$B1:$AH671,19,FALSE)-AVERAGE('The List'!T2:T671))/STDEV('The List'!T2:T671)</f>
        <v>0.71854232292769171</v>
      </c>
      <c r="H99" s="55" cm="1">
        <f t="array" ref="H99">(VLOOKUP($A99,'The List'!$B1:$AH671,20,FALSE)-AVERAGE('The List'!U2:U671))/STDEV('The List'!U2:U671)</f>
        <v>0.92988413283839899</v>
      </c>
      <c r="I99" s="55" cm="1">
        <f t="array" ref="I99">(VLOOKUP($A99,'The List'!$B1:$AH671,21,FALSE)-AVERAGE('The List'!V2:V671))/STDEV('The List'!V2:V671)</f>
        <v>0.3023166856895958</v>
      </c>
      <c r="J99" s="55" cm="1">
        <f t="array" ref="J99">(VLOOKUP($A99,'The List'!$B1:$AH671,22,FALSE)-AVERAGE('The List'!W2:W671))/STDEV('The List'!W2:W671)</f>
        <v>1.600848556263933</v>
      </c>
      <c r="K99" s="55" cm="1">
        <f t="array" ref="K99">(VLOOKUP($A99,'The List'!$B1:$AH671,23,FALSE)-AVERAGE('The List'!X2:X671))/STDEV('The List'!X2:X671)</f>
        <v>1.1561641463250094</v>
      </c>
      <c r="L99" s="55" cm="1">
        <f t="array" ref="L99">(VLOOKUP($A99,'The List'!$B1:$AH671,24,FALSE)-AVERAGE('The List'!Y2:Y671))/STDEV('The List'!Y2:Y671)</f>
        <v>-0.47546929358800777</v>
      </c>
      <c r="M99" s="55" cm="1">
        <f t="array" ref="M99">(VLOOKUP($A99,'The List'!$B1:$AH671,25,FALSE)-AVERAGE('The List'!Z2:Z671))/STDEV('The List'!Z2:Z671)</f>
        <v>-0.64388478613809508</v>
      </c>
      <c r="N99" s="55" cm="1">
        <f t="array" ref="N99">(VLOOKUP($A99,'The List'!$B1:$AH671,26,FALSE)-AVERAGE('The List'!AA2:AA671))/STDEV('The List'!AA2:AA671)</f>
        <v>-0.54130905868759982</v>
      </c>
      <c r="O99" s="55" cm="1">
        <f t="array" ref="O99">(VLOOKUP($A99,'The List'!$B1:$AH671,27,FALSE)-AVERAGE('The List'!AB2:AB671))/STDEV('The List'!AB2:AB671)</f>
        <v>-0.91645452757797952</v>
      </c>
      <c r="P99" s="55" cm="1">
        <f t="array" ref="P99">(VLOOKUP($A99,'The List'!$B1:$AH671,28,FALSE)-AVERAGE('The List'!AC2:AC671))/STDEV('The List'!AC2:AC671)</f>
        <v>-0.47259744521052294</v>
      </c>
      <c r="Q99" s="55" cm="1">
        <f t="array" ref="Q99">(VLOOKUP($A99,'The List'!$B1:$AH671,29,FALSE)-AVERAGE('The List'!AD2:AD671))/STDEV('The List'!AD2:AD671)</f>
        <v>-0.3257363051734028</v>
      </c>
      <c r="R99" s="55" cm="1">
        <f t="array" ref="R99">(VLOOKUP($A99,'The List'!$B1:$AH671,30,FALSE)-AVERAGE('The List'!AE2:AE671))/STDEV('The List'!AE2:AE671)</f>
        <v>0.76893353607341708</v>
      </c>
      <c r="S99" s="55" cm="1">
        <f t="array" ref="S99">(VLOOKUP($A99,'The List'!$B1:$AH671,31,FALSE)-AVERAGE('The List'!AF2:AF671))/STDEV('The List'!AF2:AF671)</f>
        <v>1.1403949975088652</v>
      </c>
      <c r="T99" s="55" cm="1">
        <f t="array" ref="T99">(VLOOKUP($A99,'The List'!$B1:$AH671,32,FALSE)-AVERAGE('The List'!AG2:AG671))/STDEV('The List'!AG2:AG671)</f>
        <v>1.5380141221910566</v>
      </c>
      <c r="U99" s="55" cm="1">
        <f t="array" ref="U99">(VLOOKUP($A99,'The List'!$B1:$AH671,33,FALSE)-AVERAGE('The List'!AH2:AH671))/STDEV('The List'!AH2:AH671)</f>
        <v>0.86070166274106241</v>
      </c>
      <c r="V99" s="55"/>
      <c r="W99" s="77"/>
      <c r="X99" s="57"/>
      <c r="Y99" s="57"/>
      <c r="Z99" s="57"/>
      <c r="AA99" s="57"/>
      <c r="AB99" s="57"/>
      <c r="AC99" s="60"/>
      <c r="AD99" s="61"/>
      <c r="AE99" s="55"/>
    </row>
    <row r="100" spans="1:31" ht="21.25" customHeight="1" x14ac:dyDescent="0.15">
      <c r="A100" s="10" t="s">
        <v>263</v>
      </c>
      <c r="B100" s="18" t="str" cm="1">
        <f t="array" ref="B100">VLOOKUP(A100,'Player Data'!A1:B673,2,FALSE)</f>
        <v>NSH</v>
      </c>
      <c r="C100" s="52" cm="1">
        <f t="array" ref="C100">((E100)*Settings!$C$12)+(F100*Settings!$C$2)+(G100*Settings!$C$3)+(H100*Settings!$C$4)+(I100*Settings!$C$5)+(K100*Settings!$C$9)+(N100*Settings!$C$6)+(J100*Settings!$C$8)+(O100*Settings!$C$7)+(P100*Settings!$C$14)+(Q100*Settings!$C$15)+(R100*Settings!$C$16)+(S100*Settings!$C$17)+(T100*Settings!$C$18)+(U100*Settings!$C$19)+(L100*Settings!$C$10)+(Settings!$C$11*M100)</f>
        <v>4.7106056162291967</v>
      </c>
      <c r="D100" s="57" cm="1">
        <f t="array" ref="D100">IF(Settings!$E$12="YES",VLOOKUP(A100,'Player Data'!A1:E673,5,FALSE),82)</f>
        <v>84</v>
      </c>
      <c r="E100" s="55" cm="1">
        <f t="array" ref="E100">(VLOOKUP($A100,'The List'!$B1:$AH671,17,FALSE)-AVERAGE('The List'!R2:R671))/STDEV('The List'!R2:R671)</f>
        <v>0.25855510574245916</v>
      </c>
      <c r="F100" s="55" cm="1">
        <f t="array" ref="F100">(VLOOKUP($A100,'The List'!$B1:$AH671,18,FALSE)-AVERAGE('The List'!S2:S671))/STDEV('The List'!S2:S671)</f>
        <v>2.1482366770604293</v>
      </c>
      <c r="G100" s="55" cm="1">
        <f t="array" ref="G100">(VLOOKUP($A100,'The List'!$B1:$AH671,19,FALSE)-AVERAGE('The List'!T2:T671))/STDEV('The List'!T2:T671)</f>
        <v>0.28565772669403355</v>
      </c>
      <c r="H100" s="55" cm="1">
        <f t="array" ref="H100">(VLOOKUP($A100,'The List'!$B1:$AH671,20,FALSE)-AVERAGE('The List'!U2:U671))/STDEV('The List'!U2:U671)</f>
        <v>1.1313363939757706</v>
      </c>
      <c r="I100" s="55" cm="1">
        <f t="array" ref="I100">(VLOOKUP($A100,'The List'!$B1:$AH671,21,FALSE)-AVERAGE('The List'!V2:V671))/STDEV('The List'!V2:V671)</f>
        <v>1.4441188161925271</v>
      </c>
      <c r="J100" s="55" cm="1">
        <f t="array" ref="J100">(VLOOKUP($A100,'The List'!$B1:$AH671,22,FALSE)-AVERAGE('The List'!W2:W671))/STDEV('The List'!W2:W671)</f>
        <v>2.9735470888992546</v>
      </c>
      <c r="K100" s="55" cm="1">
        <f t="array" ref="K100">(VLOOKUP($A100,'The List'!$B1:$AH671,23,FALSE)-AVERAGE('The List'!X2:X671))/STDEV('The List'!X2:X671)</f>
        <v>1.730887434211615</v>
      </c>
      <c r="L100" s="55" cm="1">
        <f t="array" ref="L100">(VLOOKUP($A100,'The List'!$B1:$AH671,24,FALSE)-AVERAGE('The List'!Y2:Y671))/STDEV('The List'!Y2:Y671)</f>
        <v>-0.47546929358800777</v>
      </c>
      <c r="M100" s="55" cm="1">
        <f t="array" ref="M100">(VLOOKUP($A100,'The List'!$B1:$AH671,25,FALSE)-AVERAGE('The List'!Z2:Z671))/STDEV('The List'!Z2:Z671)</f>
        <v>-0.64388478613809508</v>
      </c>
      <c r="N100" s="55" cm="1">
        <f t="array" ref="N100">(VLOOKUP($A100,'The List'!$B1:$AH671,26,FALSE)-AVERAGE('The List'!AA2:AA671))/STDEV('The List'!AA2:AA671)</f>
        <v>-0.59315720955522822</v>
      </c>
      <c r="O100" s="55" cm="1">
        <f t="array" ref="O100">(VLOOKUP($A100,'The List'!$B1:$AH671,27,FALSE)-AVERAGE('The List'!AB2:AB671))/STDEV('The List'!AB2:AB671)</f>
        <v>-6.4116755960066787E-2</v>
      </c>
      <c r="P100" s="55" cm="1">
        <f t="array" ref="P100">(VLOOKUP($A100,'The List'!$B1:$AH671,28,FALSE)-AVERAGE('The List'!AC2:AC671))/STDEV('The List'!AC2:AC671)</f>
        <v>-0.83417828196934141</v>
      </c>
      <c r="Q100" s="55" cm="1">
        <f t="array" ref="Q100">(VLOOKUP($A100,'The List'!$B1:$AH671,29,FALSE)-AVERAGE('The List'!AD2:AD671))/STDEV('The List'!AD2:AD671)</f>
        <v>0.85345864892827439</v>
      </c>
      <c r="R100" s="55" cm="1">
        <f t="array" ref="R100">(VLOOKUP($A100,'The List'!$B1:$AH671,30,FALSE)-AVERAGE('The List'!AE2:AE671))/STDEV('The List'!AE2:AE671)</f>
        <v>1.7994493172221533</v>
      </c>
      <c r="S100" s="55" cm="1">
        <f t="array" ref="S100">(VLOOKUP($A100,'The List'!$B1:$AH671,31,FALSE)-AVERAGE('The List'!AF2:AF671))/STDEV('The List'!AF2:AF671)</f>
        <v>1.027653861011963</v>
      </c>
      <c r="T100" s="55" cm="1">
        <f t="array" ref="T100">(VLOOKUP($A100,'The List'!$B1:$AH671,32,FALSE)-AVERAGE('The List'!AG2:AG671))/STDEV('The List'!AG2:AG671)</f>
        <v>0.79782062327841019</v>
      </c>
      <c r="U100" s="55" cm="1">
        <f t="array" ref="U100">(VLOOKUP($A100,'The List'!$B1:$AH671,33,FALSE)-AVERAGE('The List'!AH2:AH671))/STDEV('The List'!AH2:AH671)</f>
        <v>1.2286954594575867</v>
      </c>
      <c r="V100" s="55"/>
      <c r="W100" s="57"/>
      <c r="X100" s="55"/>
      <c r="Y100" s="55"/>
      <c r="Z100" s="55"/>
      <c r="AA100" s="55"/>
      <c r="AB100" s="55"/>
      <c r="AC100" s="55"/>
      <c r="AD100" s="55"/>
      <c r="AE100" s="55"/>
    </row>
    <row r="101" spans="1:31" ht="21.25" customHeight="1" x14ac:dyDescent="0.15">
      <c r="A101" s="10" t="s">
        <v>318</v>
      </c>
      <c r="B101" s="18" t="str" cm="1">
        <f t="array" ref="B101">VLOOKUP(A101,'Player Data'!A1:B673,2,FALSE)</f>
        <v>SEA</v>
      </c>
      <c r="C101" s="52" cm="1">
        <f t="array" ref="C101">((E101)*Settings!$C$12)+(F101*Settings!$C$2)+(G101*Settings!$C$3)+(H101*Settings!$C$4)+(I101*Settings!$C$5)+(K101*Settings!$C$9)+(N101*Settings!$C$6)+(J101*Settings!$C$8)+(O101*Settings!$C$7)+(P101*Settings!$C$14)+(Q101*Settings!$C$15)+(R101*Settings!$C$16)+(S101*Settings!$C$17)+(T101*Settings!$C$18)+(U101*Settings!$C$19)+(L101*Settings!$C$10)+(Settings!$C$11*M101)</f>
        <v>2.2491374797989487</v>
      </c>
      <c r="D101" s="57" cm="1">
        <f t="array" ref="D101">IF(Settings!$E$12="YES",VLOOKUP(A101,'Player Data'!A1:E673,5,FALSE),82)</f>
        <v>79</v>
      </c>
      <c r="E101" s="55" cm="1">
        <f t="array" ref="E101">(VLOOKUP($A101,'The List'!$B1:$AH671,17,FALSE)-AVERAGE('The List'!R2:R671))/STDEV('The List'!R2:R671)</f>
        <v>-0.10869443671844968</v>
      </c>
      <c r="F101" s="55" cm="1">
        <f t="array" ref="F101">(VLOOKUP($A101,'The List'!$B1:$AH671,18,FALSE)-AVERAGE('The List'!S2:S671))/STDEV('The List'!S2:S671)</f>
        <v>1.2291345818018187</v>
      </c>
      <c r="G101" s="55" cm="1">
        <f t="array" ref="G101">(VLOOKUP($A101,'The List'!$B1:$AH671,19,FALSE)-AVERAGE('The List'!T2:T671))/STDEV('The List'!T2:T671)</f>
        <v>0.72486693553500137</v>
      </c>
      <c r="H101" s="55" cm="1">
        <f t="array" ref="H101">(VLOOKUP($A101,'The List'!$B1:$AH671,20,FALSE)-AVERAGE('The List'!U2:U671))/STDEV('The List'!U2:U671)</f>
        <v>1.0004830490193035</v>
      </c>
      <c r="I101" s="55" cm="1">
        <f t="array" ref="I101">(VLOOKUP($A101,'The List'!$B1:$AH671,21,FALSE)-AVERAGE('The List'!V2:V671))/STDEV('The List'!V2:V671)</f>
        <v>1.0507156580592827</v>
      </c>
      <c r="J101" s="55" cm="1">
        <f t="array" ref="J101">(VLOOKUP($A101,'The List'!$B1:$AH671,22,FALSE)-AVERAGE('The List'!W2:W671))/STDEV('The List'!W2:W671)</f>
        <v>1.4434163301870448</v>
      </c>
      <c r="K101" s="55" cm="1">
        <f t="array" ref="K101">(VLOOKUP($A101,'The List'!$B1:$AH671,23,FALSE)-AVERAGE('The List'!X2:X671))/STDEV('The List'!X2:X671)</f>
        <v>1.103806945242841</v>
      </c>
      <c r="L101" s="55" cm="1">
        <f t="array" ref="L101">(VLOOKUP($A101,'The List'!$B1:$AH671,24,FALSE)-AVERAGE('The List'!Y2:Y671))/STDEV('The List'!Y2:Y671)</f>
        <v>-0.47546929358800777</v>
      </c>
      <c r="M101" s="55" cm="1">
        <f t="array" ref="M101">(VLOOKUP($A101,'The List'!$B1:$AH671,25,FALSE)-AVERAGE('The List'!Z2:Z671))/STDEV('The List'!Z2:Z671)</f>
        <v>-0.64388478613809508</v>
      </c>
      <c r="N101" s="55" cm="1">
        <f t="array" ref="N101">(VLOOKUP($A101,'The List'!$B1:$AH671,26,FALSE)-AVERAGE('The List'!AA2:AA671))/STDEV('The List'!AA2:AA671)</f>
        <v>-0.61410079759042779</v>
      </c>
      <c r="O101" s="55" cm="1">
        <f t="array" ref="O101">(VLOOKUP($A101,'The List'!$B1:$AH671,27,FALSE)-AVERAGE('The List'!AB2:AB671))/STDEV('The List'!AB2:AB671)</f>
        <v>-0.55424172275622585</v>
      </c>
      <c r="P101" s="55" cm="1">
        <f t="array" ref="P101">(VLOOKUP($A101,'The List'!$B1:$AH671,28,FALSE)-AVERAGE('The List'!AC2:AC671))/STDEV('The List'!AC2:AC671)</f>
        <v>-1.3051449180837689</v>
      </c>
      <c r="Q101" s="55" cm="1">
        <f t="array" ref="Q101">(VLOOKUP($A101,'The List'!$B1:$AH671,29,FALSE)-AVERAGE('The List'!AD2:AD671))/STDEV('The List'!AD2:AD671)</f>
        <v>-0.68112024810755478</v>
      </c>
      <c r="R101" s="55" cm="1">
        <f t="array" ref="R101">(VLOOKUP($A101,'The List'!$B1:$AH671,30,FALSE)-AVERAGE('The List'!AE2:AE671))/STDEV('The List'!AE2:AE671)</f>
        <v>1.1195085173116675</v>
      </c>
      <c r="S101" s="55" cm="1">
        <f t="array" ref="S101">(VLOOKUP($A101,'The List'!$B1:$AH671,31,FALSE)-AVERAGE('The List'!AF2:AF671))/STDEV('The List'!AF2:AF671)</f>
        <v>-0.30716273331638705</v>
      </c>
      <c r="T101" s="55" cm="1">
        <f t="array" ref="T101">(VLOOKUP($A101,'The List'!$B1:$AH671,32,FALSE)-AVERAGE('The List'!AG2:AG671))/STDEV('The List'!AG2:AG671)</f>
        <v>-0.31221445634438172</v>
      </c>
      <c r="U101" s="55" cm="1">
        <f t="array" ref="U101">(VLOOKUP($A101,'The List'!$B1:$AH671,33,FALSE)-AVERAGE('The List'!AH2:AH671))/STDEV('The List'!AH2:AH671)</f>
        <v>0.95270011192019333</v>
      </c>
      <c r="V101" s="55"/>
      <c r="W101" s="77"/>
      <c r="X101" s="57"/>
      <c r="Y101" s="57"/>
      <c r="Z101" s="57"/>
      <c r="AA101" s="57"/>
      <c r="AB101" s="57"/>
      <c r="AC101" s="60"/>
      <c r="AD101" s="61"/>
      <c r="AE101" s="55"/>
    </row>
    <row r="102" spans="1:31" ht="21.25" customHeight="1" x14ac:dyDescent="0.15">
      <c r="A102" s="10" t="s">
        <v>291</v>
      </c>
      <c r="B102" s="18" t="str" cm="1">
        <f t="array" ref="B102">VLOOKUP(A102,'Player Data'!A1:B673,2,FALSE)</f>
        <v>WSH</v>
      </c>
      <c r="C102" s="52" cm="1">
        <f t="array" ref="C102">((E102)*Settings!$C$12)+(F102*Settings!$C$2)+(G102*Settings!$C$3)+(H102*Settings!$C$4)+(I102*Settings!$C$5)+(K102*Settings!$C$9)+(N102*Settings!$C$6)+(J102*Settings!$C$8)+(O102*Settings!$C$7)+(P102*Settings!$C$14)+(Q102*Settings!$C$15)+(R102*Settings!$C$16)+(S102*Settings!$C$17)+(T102*Settings!$C$18)+(U102*Settings!$C$19)+(L102*Settings!$C$10)+(Settings!$C$11*M102)</f>
        <v>7.1307096449834102</v>
      </c>
      <c r="D102" s="57" cm="1">
        <f t="array" ref="D102">IF(Settings!$E$12="YES",VLOOKUP(A102,'Player Data'!A1:E673,5,FALSE),82)</f>
        <v>81</v>
      </c>
      <c r="E102" s="55" cm="1">
        <f t="array" ref="E102">(VLOOKUP($A102,'The List'!$B1:$AH671,17,FALSE)-AVERAGE('The List'!R2:R671))/STDEV('The List'!R2:R671)</f>
        <v>0.65203675837914654</v>
      </c>
      <c r="F102" s="55" cm="1">
        <f t="array" ref="F102">(VLOOKUP($A102,'The List'!$B1:$AH671,18,FALSE)-AVERAGE('The List'!S2:S671))/STDEV('The List'!S2:S671)</f>
        <v>1.5374978254879323</v>
      </c>
      <c r="G102" s="55" cm="1">
        <f t="array" ref="G102">(VLOOKUP($A102,'The List'!$B1:$AH671,19,FALSE)-AVERAGE('The List'!T2:T671))/STDEV('The List'!T2:T671)</f>
        <v>0.55761606880836079</v>
      </c>
      <c r="H102" s="55" cm="1">
        <f t="array" ref="H102">(VLOOKUP($A102,'The List'!$B1:$AH671,20,FALSE)-AVERAGE('The List'!U2:U671))/STDEV('The List'!U2:U671)</f>
        <v>1.0318701689244021</v>
      </c>
      <c r="I102" s="55" cm="1">
        <f t="array" ref="I102">(VLOOKUP($A102,'The List'!$B1:$AH671,21,FALSE)-AVERAGE('The List'!V2:V671))/STDEV('The List'!V2:V671)</f>
        <v>0.85271828466415756</v>
      </c>
      <c r="J102" s="55" cm="1">
        <f t="array" ref="J102">(VLOOKUP($A102,'The List'!$B1:$AH671,22,FALSE)-AVERAGE('The List'!W2:W671))/STDEV('The List'!W2:W671)</f>
        <v>1.4986557077578824</v>
      </c>
      <c r="K102" s="55" cm="1">
        <f t="array" ref="K102">(VLOOKUP($A102,'The List'!$B1:$AH671,23,FALSE)-AVERAGE('The List'!X2:X671))/STDEV('The List'!X2:X671)</f>
        <v>0.58224480778323573</v>
      </c>
      <c r="L102" s="55" cm="1">
        <f t="array" ref="L102">(VLOOKUP($A102,'The List'!$B1:$AH671,24,FALSE)-AVERAGE('The List'!Y2:Y671))/STDEV('The List'!Y2:Y671)</f>
        <v>2.4942324171971997</v>
      </c>
      <c r="M102" s="55" cm="1">
        <f t="array" ref="M102">(VLOOKUP($A102,'The List'!$B1:$AH671,25,FALSE)-AVERAGE('The List'!Z2:Z671))/STDEV('The List'!Z2:Z671)</f>
        <v>1.9966004915673157</v>
      </c>
      <c r="N102" s="55" cm="1">
        <f t="array" ref="N102">(VLOOKUP($A102,'The List'!$B1:$AH671,26,FALSE)-AVERAGE('The List'!AA2:AA671))/STDEV('The List'!AA2:AA671)</f>
        <v>-2.9979019096506972E-2</v>
      </c>
      <c r="O102" s="55" cm="1">
        <f t="array" ref="O102">(VLOOKUP($A102,'The List'!$B1:$AH671,27,FALSE)-AVERAGE('The List'!AB2:AB671))/STDEV('The List'!AB2:AB671)</f>
        <v>2.2991834289805104</v>
      </c>
      <c r="P102" s="55" cm="1">
        <f t="array" ref="P102">(VLOOKUP($A102,'The List'!$B1:$AH671,28,FALSE)-AVERAGE('The List'!AC2:AC671))/STDEV('The List'!AC2:AC671)</f>
        <v>1.3014492292592141</v>
      </c>
      <c r="Q102" s="55" cm="1">
        <f t="array" ref="Q102">(VLOOKUP($A102,'The List'!$B1:$AH671,29,FALSE)-AVERAGE('The List'!AD2:AD671))/STDEV('The List'!AD2:AD671)</f>
        <v>3.7903633748394068</v>
      </c>
      <c r="R102" s="55" cm="1">
        <f t="array" ref="R102">(VLOOKUP($A102,'The List'!$B1:$AH671,30,FALSE)-AVERAGE('The List'!AE2:AE671))/STDEV('The List'!AE2:AE671)</f>
        <v>1.181888407211712</v>
      </c>
      <c r="S102" s="55" cm="1">
        <f t="array" ref="S102">(VLOOKUP($A102,'The List'!$B1:$AH671,31,FALSE)-AVERAGE('The List'!AF2:AF671))/STDEV('The List'!AF2:AF671)</f>
        <v>-0.52182762647573311</v>
      </c>
      <c r="T102" s="55" cm="1">
        <f t="array" ref="T102">(VLOOKUP($A102,'The List'!$B1:$AH671,32,FALSE)-AVERAGE('The List'!AG2:AG671))/STDEV('The List'!AG2:AG671)</f>
        <v>-0.50629580468723845</v>
      </c>
      <c r="U102" s="55" cm="1">
        <f t="array" ref="U102">(VLOOKUP($A102,'The List'!$B1:$AH671,33,FALSE)-AVERAGE('The List'!AH2:AH671))/STDEV('The List'!AH2:AH671)</f>
        <v>0.40070941684540695</v>
      </c>
      <c r="V102" s="55"/>
      <c r="W102" s="57"/>
      <c r="X102" s="55"/>
      <c r="Y102" s="55"/>
      <c r="Z102" s="55"/>
      <c r="AA102" s="55"/>
      <c r="AB102" s="55"/>
      <c r="AC102" s="55"/>
      <c r="AD102" s="55"/>
      <c r="AE102" s="55"/>
    </row>
    <row r="103" spans="1:31" ht="21.25" customHeight="1" x14ac:dyDescent="0.15">
      <c r="A103" s="10" t="s">
        <v>156</v>
      </c>
      <c r="B103" s="18" t="str" cm="1">
        <f t="array" ref="B103">VLOOKUP(A103,'Player Data'!A1:B673,2,FALSE)</f>
        <v>TOR</v>
      </c>
      <c r="C103" s="52" cm="1">
        <f t="array" ref="C103">((E103)*Settings!$C$12)+(F103*Settings!$C$2)+(G103*Settings!$C$3)+(H103*Settings!$C$4)+(I103*Settings!$C$5)+(K103*Settings!$C$9)+(N103*Settings!$C$6)+(J103*Settings!$C$8)+(O103*Settings!$C$7)+(P103*Settings!$C$14)+(Q103*Settings!$C$15)+(R103*Settings!$C$16)+(S103*Settings!$C$17)+(T103*Settings!$C$18)+(U103*Settings!$C$19)+(L103*Settings!$C$10)+(Settings!$C$11*M103)</f>
        <v>4.8016307418862887</v>
      </c>
      <c r="D103" s="57" cm="1">
        <f t="array" ref="D103">IF(Settings!$E$12="YES",VLOOKUP(A103,'Player Data'!A1:E673,5,FALSE),82)</f>
        <v>81</v>
      </c>
      <c r="E103" s="55" cm="1">
        <f t="array" ref="E103">(VLOOKUP($A103,'The List'!$B1:$AH671,17,FALSE)-AVERAGE('The List'!R2:R671))/STDEV('The List'!R2:R671)</f>
        <v>1.7013211654103131</v>
      </c>
      <c r="F103" s="55" cm="1">
        <f t="array" ref="F103">(VLOOKUP($A103,'The List'!$B1:$AH671,18,FALSE)-AVERAGE('The List'!S2:S671))/STDEV('The List'!S2:S671)</f>
        <v>8.2502326153454292E-2</v>
      </c>
      <c r="G103" s="55" cm="1">
        <f t="array" ref="G103">(VLOOKUP($A103,'The List'!$B1:$AH671,19,FALSE)-AVERAGE('The List'!T2:T671))/STDEV('The List'!T2:T671)</f>
        <v>1.5252817977267821</v>
      </c>
      <c r="H103" s="55" cm="1">
        <f t="array" ref="H103">(VLOOKUP($A103,'The List'!$B1:$AH671,20,FALSE)-AVERAGE('The List'!U2:U671))/STDEV('The List'!U2:U671)</f>
        <v>0.99606232790590976</v>
      </c>
      <c r="I103" s="55" cm="1">
        <f t="array" ref="I103">(VLOOKUP($A103,'The List'!$B1:$AH671,21,FALSE)-AVERAGE('The List'!V2:V671))/STDEV('The List'!V2:V671)</f>
        <v>1.2445664896032005</v>
      </c>
      <c r="J103" s="55" cm="1">
        <f t="array" ref="J103">(VLOOKUP($A103,'The List'!$B1:$AH671,22,FALSE)-AVERAGE('The List'!W2:W671))/STDEV('The List'!W2:W671)</f>
        <v>1.2749362285959893</v>
      </c>
      <c r="K103" s="55" cm="1">
        <f t="array" ref="K103">(VLOOKUP($A103,'The List'!$B1:$AH671,23,FALSE)-AVERAGE('The List'!X2:X671))/STDEV('The List'!X2:X671)</f>
        <v>1.5590432617538257</v>
      </c>
      <c r="L103" s="55" cm="1">
        <f t="array" ref="L103">(VLOOKUP($A103,'The List'!$B1:$AH671,24,FALSE)-AVERAGE('The List'!Y2:Y671))/STDEV('The List'!Y2:Y671)</f>
        <v>-0.47546929358800777</v>
      </c>
      <c r="M103" s="55" cm="1">
        <f t="array" ref="M103">(VLOOKUP($A103,'The List'!$B1:$AH671,25,FALSE)-AVERAGE('The List'!Z2:Z671))/STDEV('The List'!Z2:Z671)</f>
        <v>-0.64388478613809508</v>
      </c>
      <c r="N103" s="55" cm="1">
        <f t="array" ref="N103">(VLOOKUP($A103,'The List'!$B1:$AH671,26,FALSE)-AVERAGE('The List'!AA2:AA671))/STDEV('The List'!AA2:AA671)</f>
        <v>0.81823629632907691</v>
      </c>
      <c r="O103" s="55" cm="1">
        <f t="array" ref="O103">(VLOOKUP($A103,'The List'!$B1:$AH671,27,FALSE)-AVERAGE('The List'!AB2:AB671))/STDEV('The List'!AB2:AB671)</f>
        <v>-0.20801793818127279</v>
      </c>
      <c r="P103" s="55" cm="1">
        <f t="array" ref="P103">(VLOOKUP($A103,'The List'!$B1:$AH671,28,FALSE)-AVERAGE('The List'!AC2:AC671))/STDEV('The List'!AC2:AC671)</f>
        <v>0.59825480483029947</v>
      </c>
      <c r="Q103" s="55" cm="1">
        <f t="array" ref="Q103">(VLOOKUP($A103,'The List'!$B1:$AH671,29,FALSE)-AVERAGE('The List'!AD2:AD671))/STDEV('The List'!AD2:AD671)</f>
        <v>0.67835263130791279</v>
      </c>
      <c r="R103" s="55" cm="1">
        <f t="array" ref="R103">(VLOOKUP($A103,'The List'!$B1:$AH671,30,FALSE)-AVERAGE('The List'!AE2:AE671))/STDEV('The List'!AE2:AE671)</f>
        <v>-0.33394291735937137</v>
      </c>
      <c r="S103" s="55" cm="1">
        <f t="array" ref="S103">(VLOOKUP($A103,'The List'!$B1:$AH671,31,FALSE)-AVERAGE('The List'!AF2:AF671))/STDEV('The List'!AF2:AF671)</f>
        <v>-0.59581850454342256</v>
      </c>
      <c r="T103" s="55" cm="1">
        <f t="array" ref="T103">(VLOOKUP($A103,'The List'!$B1:$AH671,32,FALSE)-AVERAGE('The List'!AG2:AG671))/STDEV('The List'!AG2:AG671)</f>
        <v>-0.64684275008198677</v>
      </c>
      <c r="U103" s="55" cm="1">
        <f t="array" ref="U103">(VLOOKUP($A103,'The List'!$B1:$AH671,33,FALSE)-AVERAGE('The List'!AH2:AH671))/STDEV('The List'!AH2:AH671)</f>
        <v>-1.2552626683789523</v>
      </c>
      <c r="V103" s="55"/>
      <c r="W103" s="77"/>
      <c r="X103" s="57"/>
      <c r="Y103" s="57"/>
      <c r="Z103" s="57"/>
      <c r="AA103" s="57"/>
      <c r="AB103" s="57"/>
      <c r="AC103" s="60"/>
      <c r="AD103" s="61"/>
      <c r="AE103" s="55"/>
    </row>
    <row r="104" spans="1:31" ht="21.25" customHeight="1" x14ac:dyDescent="0.15">
      <c r="A104" s="10" t="s">
        <v>249</v>
      </c>
      <c r="B104" s="18" t="str" cm="1">
        <f t="array" ref="B104">VLOOKUP(A104,'Player Data'!A1:B673,2,FALSE)</f>
        <v>WSH</v>
      </c>
      <c r="C104" s="52" cm="1">
        <f t="array" ref="C104">((E104)*Settings!$C$12)+(F104*Settings!$C$2)+(G104*Settings!$C$3)+(H104*Settings!$C$4)+(I104*Settings!$C$5)+(K104*Settings!$C$9)+(N104*Settings!$C$6)+(J104*Settings!$C$8)+(O104*Settings!$C$7)+(P104*Settings!$C$14)+(Q104*Settings!$C$15)+(R104*Settings!$C$16)+(S104*Settings!$C$17)+(T104*Settings!$C$18)+(U104*Settings!$C$19)+(L104*Settings!$C$10)+(Settings!$C$11*M104)</f>
        <v>4.911093154500719</v>
      </c>
      <c r="D104" s="57" cm="1">
        <f t="array" ref="D104">IF(Settings!$E$12="YES",VLOOKUP(A104,'Player Data'!A1:E673,5,FALSE),82)</f>
        <v>83</v>
      </c>
      <c r="E104" s="55" cm="1">
        <f t="array" ref="E104">(VLOOKUP($A104,'The List'!$B1:$AH671,17,FALSE)-AVERAGE('The List'!R2:R671))/STDEV('The List'!R2:R671)</f>
        <v>0.5471083176760293</v>
      </c>
      <c r="F104" s="55" cm="1">
        <f t="array" ref="F104">(VLOOKUP($A104,'The List'!$B1:$AH671,18,FALSE)-AVERAGE('The List'!S2:S671))/STDEV('The List'!S2:S671)</f>
        <v>1.6921784169809668</v>
      </c>
      <c r="G104" s="55" cm="1">
        <f t="array" ref="G104">(VLOOKUP($A104,'The List'!$B1:$AH671,19,FALSE)-AVERAGE('The List'!T2:T671))/STDEV('The List'!T2:T671)</f>
        <v>0.67075636100579439</v>
      </c>
      <c r="H104" s="55" cm="1">
        <f t="array" ref="H104">(VLOOKUP($A104,'The List'!$B1:$AH671,20,FALSE)-AVERAGE('The List'!U2:U671))/STDEV('The List'!U2:U671)</f>
        <v>1.1715649561076573</v>
      </c>
      <c r="I104" s="55" cm="1">
        <f t="array" ref="I104">(VLOOKUP($A104,'The List'!$B1:$AH671,21,FALSE)-AVERAGE('The List'!V2:V671))/STDEV('The List'!V2:V671)</f>
        <v>1.3435651763007626</v>
      </c>
      <c r="J104" s="55" cm="1">
        <f t="array" ref="J104">(VLOOKUP($A104,'The List'!$B1:$AH671,22,FALSE)-AVERAGE('The List'!W2:W671))/STDEV('The List'!W2:W671)</f>
        <v>0.40767800073383403</v>
      </c>
      <c r="K104" s="55" cm="1">
        <f t="array" ref="K104">(VLOOKUP($A104,'The List'!$B1:$AH671,23,FALSE)-AVERAGE('The List'!X2:X671))/STDEV('The List'!X2:X671)</f>
        <v>0.11595418778081393</v>
      </c>
      <c r="L104" s="55" cm="1">
        <f t="array" ref="L104">(VLOOKUP($A104,'The List'!$B1:$AH671,24,FALSE)-AVERAGE('The List'!Y2:Y671))/STDEV('The List'!Y2:Y671)</f>
        <v>5.6105860643174781</v>
      </c>
      <c r="M104" s="55" cm="1">
        <f t="array" ref="M104">(VLOOKUP($A104,'The List'!$B1:$AH671,25,FALSE)-AVERAGE('The List'!Z2:Z671))/STDEV('The List'!Z2:Z671)</f>
        <v>3.865585955622175</v>
      </c>
      <c r="N104" s="55" cm="1">
        <f t="array" ref="N104">(VLOOKUP($A104,'The List'!$B1:$AH671,26,FALSE)-AVERAGE('The List'!AA2:AA671))/STDEV('The List'!AA2:AA671)</f>
        <v>0.83611496904205185</v>
      </c>
      <c r="O104" s="55" cm="1">
        <f t="array" ref="O104">(VLOOKUP($A104,'The List'!$B1:$AH671,27,FALSE)-AVERAGE('The List'!AB2:AB671))/STDEV('The List'!AB2:AB671)</f>
        <v>-6.7396554985051468E-2</v>
      </c>
      <c r="P104" s="55" cm="1">
        <f t="array" ref="P104">(VLOOKUP($A104,'The List'!$B1:$AH671,28,FALSE)-AVERAGE('The List'!AC2:AC671))/STDEV('The List'!AC2:AC671)</f>
        <v>1.1560355674174325</v>
      </c>
      <c r="Q104" s="55" cm="1">
        <f t="array" ref="Q104">(VLOOKUP($A104,'The List'!$B1:$AH671,29,FALSE)-AVERAGE('The List'!AD2:AD671))/STDEV('The List'!AD2:AD671)</f>
        <v>0.99901090830047434</v>
      </c>
      <c r="R104" s="55" cm="1">
        <f t="array" ref="R104">(VLOOKUP($A104,'The List'!$B1:$AH671,30,FALSE)-AVERAGE('The List'!AE2:AE671))/STDEV('The List'!AE2:AE671)</f>
        <v>1.7620213832821263</v>
      </c>
      <c r="S104" s="55" cm="1">
        <f t="array" ref="S104">(VLOOKUP($A104,'The List'!$B1:$AH671,31,FALSE)-AVERAGE('The List'!AF2:AF671))/STDEV('The List'!AF2:AF671)</f>
        <v>-0.35240341964627386</v>
      </c>
      <c r="T104" s="55" cm="1">
        <f t="array" ref="T104">(VLOOKUP($A104,'The List'!$B1:$AH671,32,FALSE)-AVERAGE('The List'!AG2:AG671))/STDEV('The List'!AG2:AG671)</f>
        <v>-0.30797865515782968</v>
      </c>
      <c r="U104" s="55" cm="1">
        <f t="array" ref="U104">(VLOOKUP($A104,'The List'!$B1:$AH671,33,FALSE)-AVERAGE('The List'!AH2:AH671))/STDEV('The List'!AH2:AH671)</f>
        <v>0.72270398897236576</v>
      </c>
      <c r="V104" s="55"/>
      <c r="W104" s="57"/>
      <c r="X104" s="55"/>
      <c r="Y104" s="55"/>
      <c r="Z104" s="55"/>
      <c r="AA104" s="55"/>
      <c r="AB104" s="55"/>
      <c r="AC104" s="55"/>
      <c r="AD104" s="55"/>
      <c r="AE104" s="55"/>
    </row>
    <row r="105" spans="1:31" ht="21.25" customHeight="1" x14ac:dyDescent="0.15">
      <c r="A105" s="10" t="s">
        <v>245</v>
      </c>
      <c r="B105" s="18" t="str" cm="1">
        <f t="array" ref="B105">VLOOKUP(A105,'Player Data'!A1:B673,2,FALSE)</f>
        <v>MIN</v>
      </c>
      <c r="C105" s="52" cm="1">
        <f t="array" ref="C105">((E105)*Settings!$C$12)+(F105*Settings!$C$2)+(G105*Settings!$C$3)+(H105*Settings!$C$4)+(I105*Settings!$C$5)+(K105*Settings!$C$9)+(N105*Settings!$C$6)+(J105*Settings!$C$8)+(O105*Settings!$C$7)+(P105*Settings!$C$14)+(Q105*Settings!$C$15)+(R105*Settings!$C$16)+(S105*Settings!$C$17)+(T105*Settings!$C$18)+(U105*Settings!$C$19)+(L105*Settings!$C$10)+(Settings!$C$11*M105)</f>
        <v>6.3600095576150641</v>
      </c>
      <c r="D105" s="57" cm="1">
        <f t="array" ref="D105">IF(Settings!$E$12="YES",VLOOKUP(A105,'Player Data'!A1:E673,5,FALSE),82)</f>
        <v>76</v>
      </c>
      <c r="E105" s="55" cm="1">
        <f t="array" ref="E105">(VLOOKUP($A105,'The List'!$B1:$AH671,17,FALSE)-AVERAGE('The List'!R2:R671))/STDEV('The List'!R2:R671)</f>
        <v>0.86189363978538003</v>
      </c>
      <c r="F105" s="55" cm="1">
        <f t="array" ref="F105">(VLOOKUP($A105,'The List'!$B1:$AH671,18,FALSE)-AVERAGE('The List'!S2:S671))/STDEV('The List'!S2:S671)</f>
        <v>1.0165735109113909</v>
      </c>
      <c r="G105" s="55" cm="1">
        <f t="array" ref="G105">(VLOOKUP($A105,'The List'!$B1:$AH671,19,FALSE)-AVERAGE('The List'!T2:T671))/STDEV('The List'!T2:T671)</f>
        <v>0.74904101038960835</v>
      </c>
      <c r="H105" s="55" cm="1">
        <f t="array" ref="H105">(VLOOKUP($A105,'The List'!$B1:$AH671,20,FALSE)-AVERAGE('The List'!U2:U671))/STDEV('The List'!U2:U671)</f>
        <v>0.9215289699340844</v>
      </c>
      <c r="I105" s="55" cm="1">
        <f t="array" ref="I105">(VLOOKUP($A105,'The List'!$B1:$AH671,21,FALSE)-AVERAGE('The List'!V2:V671))/STDEV('The List'!V2:V671)</f>
        <v>1.8132128727230723</v>
      </c>
      <c r="J105" s="55" cm="1">
        <f t="array" ref="J105">(VLOOKUP($A105,'The List'!$B1:$AH671,22,FALSE)-AVERAGE('The List'!W2:W671))/STDEV('The List'!W2:W671)</f>
        <v>1.6859171977230232</v>
      </c>
      <c r="K105" s="55" cm="1">
        <f t="array" ref="K105">(VLOOKUP($A105,'The List'!$B1:$AH671,23,FALSE)-AVERAGE('The List'!X2:X671))/STDEV('The List'!X2:X671)</f>
        <v>1.1231017295188028</v>
      </c>
      <c r="L105" s="55" cm="1">
        <f t="array" ref="L105">(VLOOKUP($A105,'The List'!$B1:$AH671,24,FALSE)-AVERAGE('The List'!Y2:Y671))/STDEV('The List'!Y2:Y671)</f>
        <v>-0.47546929358800777</v>
      </c>
      <c r="M105" s="55" cm="1">
        <f t="array" ref="M105">(VLOOKUP($A105,'The List'!$B1:$AH671,25,FALSE)-AVERAGE('The List'!Z2:Z671))/STDEV('The List'!Z2:Z671)</f>
        <v>-0.64388478613809508</v>
      </c>
      <c r="N105" s="55" cm="1">
        <f t="array" ref="N105">(VLOOKUP($A105,'The List'!$B1:$AH671,26,FALSE)-AVERAGE('The List'!AA2:AA671))/STDEV('The List'!AA2:AA671)</f>
        <v>-0.47771206575144509</v>
      </c>
      <c r="O105" s="55" cm="1">
        <f t="array" ref="O105">(VLOOKUP($A105,'The List'!$B1:$AH671,27,FALSE)-AVERAGE('The List'!AB2:AB671))/STDEV('The List'!AB2:AB671)</f>
        <v>0.72385495979252057</v>
      </c>
      <c r="P105" s="55" cm="1">
        <f t="array" ref="P105">(VLOOKUP($A105,'The List'!$B1:$AH671,28,FALSE)-AVERAGE('The List'!AC2:AC671))/STDEV('The List'!AC2:AC671)</f>
        <v>0.93422547427966962</v>
      </c>
      <c r="Q105" s="55" cm="1">
        <f t="array" ref="Q105">(VLOOKUP($A105,'The List'!$B1:$AH671,29,FALSE)-AVERAGE('The List'!AD2:AD671))/STDEV('The List'!AD2:AD671)</f>
        <v>0.6022517038188947</v>
      </c>
      <c r="R105" s="55" cm="1">
        <f t="array" ref="R105">(VLOOKUP($A105,'The List'!$B1:$AH671,30,FALSE)-AVERAGE('The List'!AE2:AE671))/STDEV('The List'!AE2:AE671)</f>
        <v>1.1444604732716857</v>
      </c>
      <c r="S105" s="55" cm="1">
        <f t="array" ref="S105">(VLOOKUP($A105,'The List'!$B1:$AH671,31,FALSE)-AVERAGE('The List'!AF2:AF671))/STDEV('The List'!AF2:AF671)</f>
        <v>3.0836291109708154</v>
      </c>
      <c r="T105" s="55" cm="1">
        <f t="array" ref="T105">(VLOOKUP($A105,'The List'!$B1:$AH671,32,FALSE)-AVERAGE('The List'!AG2:AG671))/STDEV('The List'!AG2:AG671)</f>
        <v>3.4644360883351952</v>
      </c>
      <c r="U105" s="55" cm="1">
        <f t="array" ref="U105">(VLOOKUP($A105,'The List'!$B1:$AH671,33,FALSE)-AVERAGE('The List'!AH2:AH671))/STDEV('The List'!AH2:AH671)</f>
        <v>0.99869933650975895</v>
      </c>
      <c r="V105" s="55"/>
      <c r="W105" s="57"/>
      <c r="X105" s="55"/>
      <c r="Y105" s="55"/>
      <c r="Z105" s="55"/>
      <c r="AA105" s="55"/>
      <c r="AB105" s="55"/>
      <c r="AC105" s="55"/>
      <c r="AD105" s="55"/>
      <c r="AE105" s="55"/>
    </row>
    <row r="106" spans="1:31" ht="21.25" customHeight="1" x14ac:dyDescent="0.15">
      <c r="A106" s="10" t="s">
        <v>296</v>
      </c>
      <c r="B106" s="18" t="str" cm="1">
        <f t="array" ref="B106">VLOOKUP(A106,'Player Data'!A1:B673,2,FALSE)</f>
        <v>BOS</v>
      </c>
      <c r="C106" s="52" cm="1">
        <f t="array" ref="C106">((E106)*Settings!$C$12)+(F106*Settings!$C$2)+(G106*Settings!$C$3)+(H106*Settings!$C$4)+(I106*Settings!$C$5)+(K106*Settings!$C$9)+(N106*Settings!$C$6)+(J106*Settings!$C$8)+(O106*Settings!$C$7)+(P106*Settings!$C$14)+(Q106*Settings!$C$15)+(R106*Settings!$C$16)+(S106*Settings!$C$17)+(T106*Settings!$C$18)+(U106*Settings!$C$19)+(L106*Settings!$C$10)+(Settings!$C$11*M106)</f>
        <v>2.7846380843270113</v>
      </c>
      <c r="D106" s="57" cm="1">
        <f t="array" ref="D106">IF(Settings!$E$12="YES",VLOOKUP(A106,'Player Data'!A1:E673,5,FALSE),82)</f>
        <v>83</v>
      </c>
      <c r="E106" s="55" cm="1">
        <f t="array" ref="E106">(VLOOKUP($A106,'The List'!$B1:$AH671,17,FALSE)-AVERAGE('The List'!R2:R671))/STDEV('The List'!R2:R671)</f>
        <v>0.2323229955666796</v>
      </c>
      <c r="F106" s="55" cm="1">
        <f t="array" ref="F106">(VLOOKUP($A106,'The List'!$B1:$AH671,18,FALSE)-AVERAGE('The List'!S2:S671))/STDEV('The List'!S2:S671)</f>
        <v>1.584500766515816</v>
      </c>
      <c r="G106" s="55" cm="1">
        <f t="array" ref="G106">(VLOOKUP($A106,'The List'!$B1:$AH671,19,FALSE)-AVERAGE('The List'!T2:T671))/STDEV('The List'!T2:T671)</f>
        <v>0.72616699479317137</v>
      </c>
      <c r="H106" s="55" cm="1">
        <f t="array" ref="H106">(VLOOKUP($A106,'The List'!$B1:$AH671,20,FALSE)-AVERAGE('The List'!U2:U671))/STDEV('The List'!U2:U671)</f>
        <v>1.158722761273248</v>
      </c>
      <c r="I106" s="55" cm="1">
        <f t="array" ref="I106">(VLOOKUP($A106,'The List'!$B1:$AH671,21,FALSE)-AVERAGE('The List'!V2:V671))/STDEV('The List'!V2:V671)</f>
        <v>1.1524830253054104</v>
      </c>
      <c r="J106" s="55" cm="1">
        <f t="array" ref="J106">(VLOOKUP($A106,'The List'!$B1:$AH671,22,FALSE)-AVERAGE('The List'!W2:W671))/STDEV('The List'!W2:W671)</f>
        <v>0.94640003049343102</v>
      </c>
      <c r="K106" s="55" cm="1">
        <f t="array" ref="K106">(VLOOKUP($A106,'The List'!$B1:$AH671,23,FALSE)-AVERAGE('The List'!X2:X671))/STDEV('The List'!X2:X671)</f>
        <v>0.59973070603332668</v>
      </c>
      <c r="L106" s="55" cm="1">
        <f t="array" ref="L106">(VLOOKUP($A106,'The List'!$B1:$AH671,24,FALSE)-AVERAGE('The List'!Y2:Y671))/STDEV('The List'!Y2:Y671)</f>
        <v>-0.47546929358800777</v>
      </c>
      <c r="M106" s="55" cm="1">
        <f t="array" ref="M106">(VLOOKUP($A106,'The List'!$B1:$AH671,25,FALSE)-AVERAGE('The List'!Z2:Z671))/STDEV('The List'!Z2:Z671)</f>
        <v>0.25800936221395893</v>
      </c>
      <c r="N106" s="55" cm="1">
        <f t="array" ref="N106">(VLOOKUP($A106,'The List'!$B1:$AH671,26,FALSE)-AVERAGE('The List'!AA2:AA671))/STDEV('The List'!AA2:AA671)</f>
        <v>-1.0081978261064399</v>
      </c>
      <c r="O106" s="55" cm="1">
        <f t="array" ref="O106">(VLOOKUP($A106,'The List'!$B1:$AH671,27,FALSE)-AVERAGE('The List'!AB2:AB671))/STDEV('The List'!AB2:AB671)</f>
        <v>-1.1733037887220983</v>
      </c>
      <c r="P106" s="55" cm="1">
        <f t="array" ref="P106">(VLOOKUP($A106,'The List'!$B1:$AH671,28,FALSE)-AVERAGE('The List'!AC2:AC671))/STDEV('The List'!AC2:AC671)</f>
        <v>-0.1049396195986151</v>
      </c>
      <c r="Q106" s="55" cm="1">
        <f t="array" ref="Q106">(VLOOKUP($A106,'The List'!$B1:$AH671,29,FALSE)-AVERAGE('The List'!AD2:AD671))/STDEV('The List'!AD2:AD671)</f>
        <v>-0.2887941073631996</v>
      </c>
      <c r="R106" s="55" cm="1">
        <f t="array" ref="R106">(VLOOKUP($A106,'The List'!$B1:$AH671,30,FALSE)-AVERAGE('The List'!AE2:AE671))/STDEV('The List'!AE2:AE671)</f>
        <v>1.3737065686543497</v>
      </c>
      <c r="S106" s="55" cm="1">
        <f t="array" ref="S106">(VLOOKUP($A106,'The List'!$B1:$AH671,31,FALSE)-AVERAGE('The List'!AF2:AF671))/STDEV('The List'!AF2:AF671)</f>
        <v>-0.56788562594866776</v>
      </c>
      <c r="T106" s="55" cm="1">
        <f t="array" ref="T106">(VLOOKUP($A106,'The List'!$B1:$AH671,32,FALSE)-AVERAGE('The List'!AG2:AG671))/STDEV('The List'!AG2:AG671)</f>
        <v>-0.55789092516439553</v>
      </c>
      <c r="U106" s="55" cm="1">
        <f t="array" ref="U106">(VLOOKUP($A106,'The List'!$B1:$AH671,33,FALSE)-AVERAGE('The List'!AH2:AH671))/STDEV('The List'!AH2:AH671)</f>
        <v>-0.15128127822937942</v>
      </c>
      <c r="V106" s="55"/>
      <c r="W106" s="57"/>
      <c r="X106" s="55"/>
      <c r="Y106" s="55"/>
      <c r="Z106" s="55"/>
      <c r="AA106" s="55"/>
      <c r="AB106" s="55"/>
      <c r="AC106" s="55"/>
      <c r="AD106" s="55"/>
      <c r="AE106" s="55"/>
    </row>
    <row r="107" spans="1:31" ht="21.25" customHeight="1" x14ac:dyDescent="0.15">
      <c r="A107" s="10" t="s">
        <v>332</v>
      </c>
      <c r="B107" s="18" t="str" cm="1">
        <f t="array" ref="B107">VLOOKUP(A107,'Player Data'!A1:B673,2,FALSE)</f>
        <v>FLA</v>
      </c>
      <c r="C107" s="52" cm="1">
        <f t="array" ref="C107">((E107)*Settings!$C$12)+(F107*Settings!$C$2)+(G107*Settings!$C$3)+(H107*Settings!$C$4)+(I107*Settings!$C$5)+(K107*Settings!$C$9)+(N107*Settings!$C$6)+(J107*Settings!$C$8)+(O107*Settings!$C$7)+(P107*Settings!$C$14)+(Q107*Settings!$C$15)+(R107*Settings!$C$16)+(S107*Settings!$C$17)+(T107*Settings!$C$18)+(U107*Settings!$C$19)+(L107*Settings!$C$10)+(Settings!$C$11*M107)</f>
        <v>1.0796955962659789</v>
      </c>
      <c r="D107" s="57" cm="1">
        <f t="array" ref="D107">IF(Settings!$E$12="YES",VLOOKUP(A107,'Player Data'!A1:E673,5,FALSE),82)</f>
        <v>67</v>
      </c>
      <c r="E107" s="55" cm="1">
        <f t="array" ref="E107">(VLOOKUP($A107,'The List'!$B1:$AH671,17,FALSE)-AVERAGE('The List'!R2:R671))/STDEV('The List'!R2:R671)</f>
        <v>-3.7659960153324803E-3</v>
      </c>
      <c r="F107" s="55" cm="1">
        <f t="array" ref="F107">(VLOOKUP($A107,'The List'!$B1:$AH671,18,FALSE)-AVERAGE('The List'!S2:S671))/STDEV('The List'!S2:S671)</f>
        <v>0.7670886859226258</v>
      </c>
      <c r="G107" s="55" cm="1">
        <f t="array" ref="G107">(VLOOKUP($A107,'The List'!$B1:$AH671,19,FALSE)-AVERAGE('The List'!T2:T671))/STDEV('The List'!T2:T671)</f>
        <v>-1.441000478611605E-2</v>
      </c>
      <c r="H107" s="55" cm="1">
        <f t="array" ref="H107">(VLOOKUP($A107,'The List'!$B1:$AH671,20,FALSE)-AVERAGE('The List'!U2:U671))/STDEV('The List'!U2:U671)</f>
        <v>0.33074380034009004</v>
      </c>
      <c r="I107" s="55" cm="1">
        <f t="array" ref="I107">(VLOOKUP($A107,'The List'!$B1:$AH671,21,FALSE)-AVERAGE('The List'!V2:V671))/STDEV('The List'!V2:V671)</f>
        <v>0.38571400867199246</v>
      </c>
      <c r="J107" s="55" cm="1">
        <f t="array" ref="J107">(VLOOKUP($A107,'The List'!$B1:$AH671,22,FALSE)-AVERAGE('The List'!W2:W671))/STDEV('The List'!W2:W671)</f>
        <v>0.18672049045048231</v>
      </c>
      <c r="K107" s="55" cm="1">
        <f t="array" ref="K107">(VLOOKUP($A107,'The List'!$B1:$AH671,23,FALSE)-AVERAGE('The List'!X2:X671))/STDEV('The List'!X2:X671)</f>
        <v>0.34306987769578656</v>
      </c>
      <c r="L107" s="55" cm="1">
        <f t="array" ref="L107">(VLOOKUP($A107,'The List'!$B1:$AH671,24,FALSE)-AVERAGE('The List'!Y2:Y671))/STDEV('The List'!Y2:Y671)</f>
        <v>-0.47546929358800777</v>
      </c>
      <c r="M107" s="55" cm="1">
        <f t="array" ref="M107">(VLOOKUP($A107,'The List'!$B1:$AH671,25,FALSE)-AVERAGE('The List'!Z2:Z671))/STDEV('The List'!Z2:Z671)</f>
        <v>8.4150249278623218E-2</v>
      </c>
      <c r="N107" s="55" cm="1">
        <f t="array" ref="N107">(VLOOKUP($A107,'The List'!$B1:$AH671,26,FALSE)-AVERAGE('The List'!AA2:AA671))/STDEV('The List'!AA2:AA671)</f>
        <v>-0.98980833417309388</v>
      </c>
      <c r="O107" s="55" cm="1">
        <f t="array" ref="O107">(VLOOKUP($A107,'The List'!$B1:$AH671,27,FALSE)-AVERAGE('The List'!AB2:AB671))/STDEV('The List'!AB2:AB671)</f>
        <v>-0.5876546753232581</v>
      </c>
      <c r="P107" s="55" cm="1">
        <f t="array" ref="P107">(VLOOKUP($A107,'The List'!$B1:$AH671,28,FALSE)-AVERAGE('The List'!AC2:AC671))/STDEV('The List'!AC2:AC671)</f>
        <v>0.18588770408494837</v>
      </c>
      <c r="Q107" s="55" cm="1">
        <f t="array" ref="Q107">(VLOOKUP($A107,'The List'!$B1:$AH671,29,FALSE)-AVERAGE('The List'!AD2:AD671))/STDEV('The List'!AD2:AD671)</f>
        <v>0.94285876762896548</v>
      </c>
      <c r="R107" s="55" cm="1">
        <f t="array" ref="R107">(VLOOKUP($A107,'The List'!$B1:$AH671,30,FALSE)-AVERAGE('The List'!AE2:AE671))/STDEV('The List'!AE2:AE671)</f>
        <v>0.74522917791139998</v>
      </c>
      <c r="S107" s="55" cm="1">
        <f t="array" ref="S107">(VLOOKUP($A107,'The List'!$B1:$AH671,31,FALSE)-AVERAGE('The List'!AF2:AF671))/STDEV('The List'!AF2:AF671)</f>
        <v>-0.57004910191555935</v>
      </c>
      <c r="T107" s="55" cm="1">
        <f t="array" ref="T107">(VLOOKUP($A107,'The List'!$B1:$AH671,32,FALSE)-AVERAGE('The List'!AG2:AG671))/STDEV('The List'!AG2:AG671)</f>
        <v>-0.58871530970267727</v>
      </c>
      <c r="U107" s="55" cm="1">
        <f t="array" ref="U107">(VLOOKUP($A107,'The List'!$B1:$AH671,33,FALSE)-AVERAGE('The List'!AH2:AH671))/STDEV('The List'!AH2:AH671)</f>
        <v>0.21671251848714493</v>
      </c>
      <c r="V107" s="55"/>
      <c r="W107" s="77"/>
      <c r="X107" s="57"/>
      <c r="Y107" s="57"/>
      <c r="Z107" s="57"/>
      <c r="AA107" s="57"/>
      <c r="AB107" s="57"/>
      <c r="AC107" s="60"/>
      <c r="AD107" s="61"/>
      <c r="AE107" s="55"/>
    </row>
    <row r="108" spans="1:31" ht="21.25" customHeight="1" x14ac:dyDescent="0.15">
      <c r="A108" s="10" t="s">
        <v>363</v>
      </c>
      <c r="B108" s="18" t="str" cm="1">
        <f t="array" ref="B108">VLOOKUP(A108,'Player Data'!A1:B673,2,FALSE)</f>
        <v>CBJ</v>
      </c>
      <c r="C108" s="52" cm="1">
        <f t="array" ref="C108">((E108)*Settings!$C$12)+(F108*Settings!$C$2)+(G108*Settings!$C$3)+(H108*Settings!$C$4)+(I108*Settings!$C$5)+(K108*Settings!$C$9)+(N108*Settings!$C$6)+(J108*Settings!$C$8)+(O108*Settings!$C$7)+(P108*Settings!$C$14)+(Q108*Settings!$C$15)+(R108*Settings!$C$16)+(S108*Settings!$C$17)+(T108*Settings!$C$18)+(U108*Settings!$C$19)+(L108*Settings!$C$10)+(Settings!$C$11*M108)</f>
        <v>1.5721087725076734</v>
      </c>
      <c r="D108" s="57" cm="1">
        <f t="array" ref="D108">IF(Settings!$E$12="YES",VLOOKUP(A108,'Player Data'!A1:E673,5,FALSE),82)</f>
        <v>74</v>
      </c>
      <c r="E108" s="55" cm="1">
        <f t="array" ref="E108">(VLOOKUP($A108,'The List'!$B1:$AH671,17,FALSE)-AVERAGE('The List'!R2:R671))/STDEV('The List'!R2:R671)</f>
        <v>0.46841198714869259</v>
      </c>
      <c r="F108" s="55" cm="1">
        <f t="array" ref="F108">(VLOOKUP($A108,'The List'!$B1:$AH671,18,FALSE)-AVERAGE('The List'!S2:S671))/STDEV('The List'!S2:S671)</f>
        <v>0.69523705632586164</v>
      </c>
      <c r="G108" s="55" cm="1">
        <f t="array" ref="G108">(VLOOKUP($A108,'The List'!$B1:$AH671,19,FALSE)-AVERAGE('The List'!T2:T671))/STDEV('The List'!T2:T671)</f>
        <v>0.26176474573308467</v>
      </c>
      <c r="H108" s="55" cm="1">
        <f t="array" ref="H108">(VLOOKUP($A108,'The List'!$B1:$AH671,20,FALSE)-AVERAGE('The List'!U2:U671))/STDEV('The List'!U2:U671)</f>
        <v>0.47264894808004226</v>
      </c>
      <c r="I108" s="55" cm="1">
        <f t="array" ref="I108">(VLOOKUP($A108,'The List'!$B1:$AH671,21,FALSE)-AVERAGE('The List'!V2:V671))/STDEV('The List'!V2:V671)</f>
        <v>0.62863225212185736</v>
      </c>
      <c r="J108" s="55" cm="1">
        <f t="array" ref="J108">(VLOOKUP($A108,'The List'!$B1:$AH671,22,FALSE)-AVERAGE('The List'!W2:W671))/STDEV('The List'!W2:W671)</f>
        <v>0.28338940119944867</v>
      </c>
      <c r="K108" s="55" cm="1">
        <f t="array" ref="K108">(VLOOKUP($A108,'The List'!$B1:$AH671,23,FALSE)-AVERAGE('The List'!X2:X671))/STDEV('The List'!X2:X671)</f>
        <v>-0.13226517243599251</v>
      </c>
      <c r="L108" s="55" cm="1">
        <f t="array" ref="L108">(VLOOKUP($A108,'The List'!$B1:$AH671,24,FALSE)-AVERAGE('The List'!Y2:Y671))/STDEV('The List'!Y2:Y671)</f>
        <v>0.88106111751140781</v>
      </c>
      <c r="M108" s="55" cm="1">
        <f t="array" ref="M108">(VLOOKUP($A108,'The List'!$B1:$AH671,25,FALSE)-AVERAGE('The List'!Z2:Z671))/STDEV('The List'!Z2:Z671)</f>
        <v>0.16021361118783253</v>
      </c>
      <c r="N108" s="55" cm="1">
        <f t="array" ref="N108">(VLOOKUP($A108,'The List'!$B1:$AH671,26,FALSE)-AVERAGE('The List'!AA2:AA671))/STDEV('The List'!AA2:AA671)</f>
        <v>-0.88585662282765198</v>
      </c>
      <c r="O108" s="55" cm="1">
        <f t="array" ref="O108">(VLOOKUP($A108,'The List'!$B1:$AH671,27,FALSE)-AVERAGE('The List'!AB2:AB671))/STDEV('The List'!AB2:AB671)</f>
        <v>-0.41874502553654325</v>
      </c>
      <c r="P108" s="55" cm="1">
        <f t="array" ref="P108">(VLOOKUP($A108,'The List'!$B1:$AH671,28,FALSE)-AVERAGE('The List'!AC2:AC671))/STDEV('The List'!AC2:AC671)</f>
        <v>0.53748491629940554</v>
      </c>
      <c r="Q108" s="55" cm="1">
        <f t="array" ref="Q108">(VLOOKUP($A108,'The List'!$B1:$AH671,29,FALSE)-AVERAGE('The List'!AD2:AD671))/STDEV('The List'!AD2:AD671)</f>
        <v>-0.73357816899804296</v>
      </c>
      <c r="R108" s="55" cm="1">
        <f t="array" ref="R108">(VLOOKUP($A108,'The List'!$B1:$AH671,30,FALSE)-AVERAGE('The List'!AE2:AE671))/STDEV('The List'!AE2:AE671)</f>
        <v>0.96355879256155608</v>
      </c>
      <c r="S108" s="55" cm="1">
        <f t="array" ref="S108">(VLOOKUP($A108,'The List'!$B1:$AH671,31,FALSE)-AVERAGE('The List'!AF2:AF671))/STDEV('The List'!AF2:AF671)</f>
        <v>-0.58514535644009114</v>
      </c>
      <c r="T108" s="55" cm="1">
        <f t="array" ref="T108">(VLOOKUP($A108,'The List'!$B1:$AH671,32,FALSE)-AVERAGE('The List'!AG2:AG671))/STDEV('The List'!AG2:AG671)</f>
        <v>-0.63173676030825932</v>
      </c>
      <c r="U108" s="55" cm="1">
        <f t="array" ref="U108">(VLOOKUP($A108,'The List'!$B1:$AH671,33,FALSE)-AVERAGE('The List'!AH2:AH671))/STDEV('The List'!AH2:AH671)</f>
        <v>0.8147024381514969</v>
      </c>
      <c r="V108" s="55"/>
      <c r="W108" s="77"/>
      <c r="X108" s="57"/>
      <c r="Y108" s="57"/>
      <c r="Z108" s="57"/>
      <c r="AA108" s="57"/>
      <c r="AB108" s="57"/>
      <c r="AC108" s="60"/>
      <c r="AD108" s="61"/>
      <c r="AE108" s="55"/>
    </row>
    <row r="109" spans="1:31" ht="21.25" customHeight="1" x14ac:dyDescent="0.15">
      <c r="A109" s="10" t="s">
        <v>155</v>
      </c>
      <c r="B109" s="18" t="str" cm="1">
        <f t="array" ref="B109">VLOOKUP(A109,'Player Data'!A1:B673,2,FALSE)</f>
        <v>NSH</v>
      </c>
      <c r="C109" s="52" cm="1">
        <f t="array" ref="C109">((E109)*Settings!$C$12)+(F109*Settings!$C$2)+(G109*Settings!$C$3)+(H109*Settings!$C$4)+(I109*Settings!$C$5)+(K109*Settings!$C$9)+(N109*Settings!$C$6)+(J109*Settings!$C$8)+(O109*Settings!$C$7)+(P109*Settings!$C$14)+(Q109*Settings!$C$15)+(R109*Settings!$C$16)+(S109*Settings!$C$17)+(T109*Settings!$C$18)+(U109*Settings!$C$19)+(L109*Settings!$C$10)+(Settings!$C$11*M109)</f>
        <v>2.6190831124297138</v>
      </c>
      <c r="D109" s="57" cm="1">
        <f t="array" ref="D109">IF(Settings!$E$12="YES",VLOOKUP(A109,'Player Data'!A1:E673,5,FALSE),82)</f>
        <v>78</v>
      </c>
      <c r="E109" s="55" cm="1">
        <f t="array" ref="E109">(VLOOKUP($A109,'The List'!$B1:$AH671,17,FALSE)-AVERAGE('The List'!R2:R671))/STDEV('The List'!R2:R671)</f>
        <v>2.1210349282227789</v>
      </c>
      <c r="F109" s="55" cm="1">
        <f t="array" ref="F109">(VLOOKUP($A109,'The List'!$B1:$AH671,18,FALSE)-AVERAGE('The List'!S2:S671))/STDEV('The List'!S2:S671)</f>
        <v>-0.12706492683710835</v>
      </c>
      <c r="G109" s="55" cm="1">
        <f t="array" ref="G109">(VLOOKUP($A109,'The List'!$B1:$AH671,19,FALSE)-AVERAGE('The List'!T2:T671))/STDEV('The List'!T2:T671)</f>
        <v>1.4620356716536818</v>
      </c>
      <c r="H109" s="55" cm="1">
        <f t="array" ref="H109">(VLOOKUP($A109,'The List'!$B1:$AH671,20,FALSE)-AVERAGE('The List'!U2:U671))/STDEV('The List'!U2:U671)</f>
        <v>0.86344069450408489</v>
      </c>
      <c r="I109" s="55" cm="1">
        <f t="array" ref="I109">(VLOOKUP($A109,'The List'!$B1:$AH671,21,FALSE)-AVERAGE('The List'!V2:V671))/STDEV('The List'!V2:V671)</f>
        <v>1.3466750826891678</v>
      </c>
      <c r="J109" s="55" cm="1">
        <f t="array" ref="J109">(VLOOKUP($A109,'The List'!$B1:$AH671,22,FALSE)-AVERAGE('The List'!W2:W671))/STDEV('The List'!W2:W671)</f>
        <v>0.33862877877028663</v>
      </c>
      <c r="K109" s="55" cm="1">
        <f t="array" ref="K109">(VLOOKUP($A109,'The List'!$B1:$AH671,23,FALSE)-AVERAGE('The List'!X2:X671))/STDEV('The List'!X2:X671)</f>
        <v>1.4716137705033716</v>
      </c>
      <c r="L109" s="55" cm="1">
        <f t="array" ref="L109">(VLOOKUP($A109,'The List'!$B1:$AH671,24,FALSE)-AVERAGE('The List'!Y2:Y671))/STDEV('The List'!Y2:Y671)</f>
        <v>-0.47546929358800777</v>
      </c>
      <c r="M109" s="55" cm="1">
        <f t="array" ref="M109">(VLOOKUP($A109,'The List'!$B1:$AH671,25,FALSE)-AVERAGE('The List'!Z2:Z671))/STDEV('The List'!Z2:Z671)</f>
        <v>-0.64388478613809508</v>
      </c>
      <c r="N109" s="55" cm="1">
        <f t="array" ref="N109">(VLOOKUP($A109,'The List'!$B1:$AH671,26,FALSE)-AVERAGE('The List'!AA2:AA671))/STDEV('The List'!AA2:AA671)</f>
        <v>1.5047773285073276</v>
      </c>
      <c r="O109" s="55" cm="1">
        <f t="array" ref="O109">(VLOOKUP($A109,'The List'!$B1:$AH671,27,FALSE)-AVERAGE('The List'!AB2:AB671))/STDEV('The List'!AB2:AB671)</f>
        <v>-0.92137422611545672</v>
      </c>
      <c r="P109" s="55" cm="1">
        <f t="array" ref="P109">(VLOOKUP($A109,'The List'!$B1:$AH671,28,FALSE)-AVERAGE('The List'!AC2:AC671))/STDEV('The List'!AC2:AC671)</f>
        <v>-0.61280225946394229</v>
      </c>
      <c r="Q109" s="55" cm="1">
        <f t="array" ref="Q109">(VLOOKUP($A109,'The List'!$B1:$AH671,29,FALSE)-AVERAGE('The List'!AD2:AD671))/STDEV('The List'!AD2:AD671)</f>
        <v>0.33479019167302521</v>
      </c>
      <c r="R109" s="55" cm="1">
        <f t="array" ref="R109">(VLOOKUP($A109,'The List'!$B1:$AH671,30,FALSE)-AVERAGE('The List'!AE2:AE671))/STDEV('The List'!AE2:AE671)</f>
        <v>-0.37137085129939812</v>
      </c>
      <c r="S109" s="55" cm="1">
        <f t="array" ref="S109">(VLOOKUP($A109,'The List'!$B1:$AH671,31,FALSE)-AVERAGE('The List'!AF2:AF671))/STDEV('The List'!AF2:AF671)</f>
        <v>-0.59581850454342256</v>
      </c>
      <c r="T109" s="55" cm="1">
        <f t="array" ref="T109">(VLOOKUP($A109,'The List'!$B1:$AH671,32,FALSE)-AVERAGE('The List'!AG2:AG671))/STDEV('The List'!AG2:AG671)</f>
        <v>-0.64684275008198677</v>
      </c>
      <c r="U109" s="55" cm="1">
        <f t="array" ref="U109">(VLOOKUP($A109,'The List'!$B1:$AH671,33,FALSE)-AVERAGE('The List'!AH2:AH671))/STDEV('The List'!AH2:AH671)</f>
        <v>-1.2552626683789523</v>
      </c>
      <c r="V109" s="55"/>
      <c r="W109" s="57"/>
      <c r="X109" s="55"/>
      <c r="Y109" s="55"/>
      <c r="Z109" s="55"/>
      <c r="AA109" s="55"/>
      <c r="AB109" s="55"/>
      <c r="AC109" s="55"/>
      <c r="AD109" s="55"/>
      <c r="AE109" s="55"/>
    </row>
    <row r="110" spans="1:31" ht="21.25" customHeight="1" x14ac:dyDescent="0.15">
      <c r="A110" s="10" t="s">
        <v>161</v>
      </c>
      <c r="B110" s="18" t="str" cm="1">
        <f t="array" ref="B110">VLOOKUP(A110,'Player Data'!A1:B673,2,FALSE)</f>
        <v>WPG</v>
      </c>
      <c r="C110" s="52" cm="1">
        <f t="array" ref="C110">((E110)*Settings!$C$12)+(F110*Settings!$C$2)+(G110*Settings!$C$3)+(H110*Settings!$C$4)+(I110*Settings!$C$5)+(K110*Settings!$C$9)+(N110*Settings!$C$6)+(J110*Settings!$C$8)+(O110*Settings!$C$7)+(P110*Settings!$C$14)+(Q110*Settings!$C$15)+(R110*Settings!$C$16)+(S110*Settings!$C$17)+(T110*Settings!$C$18)+(U110*Settings!$C$19)+(L110*Settings!$C$10)+(Settings!$C$11*M110)</f>
        <v>3.3393330785311801</v>
      </c>
      <c r="D110" s="57" cm="1">
        <f t="array" ref="D110">IF(Settings!$E$12="YES",VLOOKUP(A110,'Player Data'!A1:E673,5,FALSE),82)</f>
        <v>83</v>
      </c>
      <c r="E110" s="55" cm="1">
        <f t="array" ref="E110">(VLOOKUP($A110,'The List'!$B1:$AH671,17,FALSE)-AVERAGE('The List'!R2:R671))/STDEV('The List'!R2:R671)</f>
        <v>2.0423385976954425</v>
      </c>
      <c r="F110" s="55" cm="1">
        <f t="array" ref="F110">(VLOOKUP($A110,'The List'!$B1:$AH671,18,FALSE)-AVERAGE('The List'!S2:S671))/STDEV('The List'!S2:S671)</f>
        <v>-0.2128877066332435</v>
      </c>
      <c r="G110" s="55" cm="1">
        <f t="array" ref="G110">(VLOOKUP($A110,'The List'!$B1:$AH671,19,FALSE)-AVERAGE('The List'!T2:T671))/STDEV('The List'!T2:T671)</f>
        <v>1.7206420538192437</v>
      </c>
      <c r="H110" s="55" cm="1">
        <f t="array" ref="H110">(VLOOKUP($A110,'The List'!$B1:$AH671,20,FALSE)-AVERAGE('The List'!U2:U671))/STDEV('The List'!U2:U671)</f>
        <v>0.9881050299017996</v>
      </c>
      <c r="I110" s="55" cm="1">
        <f t="array" ref="I110">(VLOOKUP($A110,'The List'!$B1:$AH671,21,FALSE)-AVERAGE('The List'!V2:V671))/STDEV('The List'!V2:V671)</f>
        <v>0.68391947680461451</v>
      </c>
      <c r="J110" s="55" cm="1">
        <f t="array" ref="J110">(VLOOKUP($A110,'The List'!$B1:$AH671,22,FALSE)-AVERAGE('The List'!W2:W671))/STDEV('The List'!W2:W671)</f>
        <v>-5.08088331041208E-2</v>
      </c>
      <c r="K110" s="55" cm="1">
        <f t="array" ref="K110">(VLOOKUP($A110,'The List'!$B1:$AH671,23,FALSE)-AVERAGE('The List'!X2:X671))/STDEV('The List'!X2:X671)</f>
        <v>1.116871122096357</v>
      </c>
      <c r="L110" s="55" cm="1">
        <f t="array" ref="L110">(VLOOKUP($A110,'The List'!$B1:$AH671,24,FALSE)-AVERAGE('The List'!Y2:Y671))/STDEV('The List'!Y2:Y671)</f>
        <v>-0.47546929358800777</v>
      </c>
      <c r="M110" s="55" cm="1">
        <f t="array" ref="M110">(VLOOKUP($A110,'The List'!$B1:$AH671,25,FALSE)-AVERAGE('The List'!Z2:Z671))/STDEV('The List'!Z2:Z671)</f>
        <v>-0.64388478613809508</v>
      </c>
      <c r="N110" s="55" cm="1">
        <f t="array" ref="N110">(VLOOKUP($A110,'The List'!$B1:$AH671,26,FALSE)-AVERAGE('The List'!AA2:AA671))/STDEV('The List'!AA2:AA671)</f>
        <v>1.5144828936943713</v>
      </c>
      <c r="O110" s="55" cm="1">
        <f t="array" ref="O110">(VLOOKUP($A110,'The List'!$B1:$AH671,27,FALSE)-AVERAGE('The List'!AB2:AB671))/STDEV('The List'!AB2:AB671)</f>
        <v>-0.76496881011149631</v>
      </c>
      <c r="P110" s="55" cm="1">
        <f t="array" ref="P110">(VLOOKUP($A110,'The List'!$B1:$AH671,28,FALSE)-AVERAGE('The List'!AC2:AC671))/STDEV('The List'!AC2:AC671)</f>
        <v>0.79575694255570451</v>
      </c>
      <c r="Q110" s="55" cm="1">
        <f t="array" ref="Q110">(VLOOKUP($A110,'The List'!$B1:$AH671,29,FALSE)-AVERAGE('The List'!AD2:AD671))/STDEV('The List'!AD2:AD671)</f>
        <v>0.2017982795562949</v>
      </c>
      <c r="R110" s="55" cm="1">
        <f t="array" ref="R110">(VLOOKUP($A110,'The List'!$B1:$AH671,30,FALSE)-AVERAGE('The List'!AE2:AE671))/STDEV('The List'!AE2:AE671)</f>
        <v>-0.3089909613993535</v>
      </c>
      <c r="S110" s="55" cm="1">
        <f t="array" ref="S110">(VLOOKUP($A110,'The List'!$B1:$AH671,31,FALSE)-AVERAGE('The List'!AF2:AF671))/STDEV('The List'!AF2:AF671)</f>
        <v>-0.59581850454342256</v>
      </c>
      <c r="T110" s="55" cm="1">
        <f t="array" ref="T110">(VLOOKUP($A110,'The List'!$B1:$AH671,32,FALSE)-AVERAGE('The List'!AG2:AG671))/STDEV('The List'!AG2:AG671)</f>
        <v>-0.64684275008198677</v>
      </c>
      <c r="U110" s="55" cm="1">
        <f t="array" ref="U110">(VLOOKUP($A110,'The List'!$B1:$AH671,33,FALSE)-AVERAGE('The List'!AH2:AH671))/STDEV('The List'!AH2:AH671)</f>
        <v>-1.2552626683789523</v>
      </c>
      <c r="V110" s="55"/>
      <c r="W110" s="57"/>
      <c r="X110" s="55"/>
      <c r="Y110" s="55"/>
      <c r="Z110" s="55"/>
      <c r="AA110" s="55"/>
      <c r="AB110" s="55"/>
      <c r="AC110" s="55"/>
      <c r="AD110" s="55"/>
      <c r="AE110" s="55"/>
    </row>
    <row r="111" spans="1:31" ht="21.25" customHeight="1" x14ac:dyDescent="0.15">
      <c r="A111" s="10" t="s">
        <v>293</v>
      </c>
      <c r="B111" s="18" t="str" cm="1">
        <f t="array" ref="B111">VLOOKUP(A111,'Player Data'!A1:B673,2,FALSE)</f>
        <v>OTT</v>
      </c>
      <c r="C111" s="52" cm="1">
        <f t="array" ref="C111">((E111)*Settings!$C$12)+(F111*Settings!$C$2)+(G111*Settings!$C$3)+(H111*Settings!$C$4)+(I111*Settings!$C$5)+(K111*Settings!$C$9)+(N111*Settings!$C$6)+(J111*Settings!$C$8)+(O111*Settings!$C$7)+(P111*Settings!$C$14)+(Q111*Settings!$C$15)+(R111*Settings!$C$16)+(S111*Settings!$C$17)+(T111*Settings!$C$18)+(U111*Settings!$C$19)+(L111*Settings!$C$10)+(Settings!$C$11*M111)</f>
        <v>3.2635276203471508</v>
      </c>
      <c r="D111" s="57" cm="1">
        <f t="array" ref="D111">IF(Settings!$E$12="YES",VLOOKUP(A111,'Player Data'!A1:E673,5,FALSE),82)</f>
        <v>82</v>
      </c>
      <c r="E111" s="55" cm="1">
        <f t="array" ref="E111">(VLOOKUP($A111,'The List'!$B1:$AH671,17,FALSE)-AVERAGE('The List'!R2:R671))/STDEV('The List'!R2:R671)</f>
        <v>0.31101932609401728</v>
      </c>
      <c r="F111" s="55" cm="1">
        <f t="array" ref="F111">(VLOOKUP($A111,'The List'!$B1:$AH671,18,FALSE)-AVERAGE('The List'!S2:S671))/STDEV('The List'!S2:S671)</f>
        <v>0.51780344879385165</v>
      </c>
      <c r="G111" s="55" cm="1">
        <f t="array" ref="G111">(VLOOKUP($A111,'The List'!$B1:$AH671,19,FALSE)-AVERAGE('The List'!T2:T671))/STDEV('The List'!T2:T671)</f>
        <v>1.1814336923093645</v>
      </c>
      <c r="H111" s="55" cm="1">
        <f t="array" ref="H111">(VLOOKUP($A111,'The List'!$B1:$AH671,20,FALSE)-AVERAGE('The List'!U2:U671))/STDEV('The List'!U2:U671)</f>
        <v>0.9725882987937865</v>
      </c>
      <c r="I111" s="55" cm="1">
        <f t="array" ref="I111">(VLOOKUP($A111,'The List'!$B1:$AH671,21,FALSE)-AVERAGE('The List'!V2:V671))/STDEV('The List'!V2:V671)</f>
        <v>0.73472325311075415</v>
      </c>
      <c r="J111" s="55" cm="1">
        <f t="array" ref="J111">(VLOOKUP($A111,'The List'!$B1:$AH671,22,FALSE)-AVERAGE('The List'!W2:W671))/STDEV('The List'!W2:W671)</f>
        <v>0.92609955923614773</v>
      </c>
      <c r="K111" s="55" cm="1">
        <f t="array" ref="K111">(VLOOKUP($A111,'The List'!$B1:$AH671,23,FALSE)-AVERAGE('The List'!X2:X671))/STDEV('The List'!X2:X671)</f>
        <v>1.1885231074544877</v>
      </c>
      <c r="L111" s="55" cm="1">
        <f t="array" ref="L111">(VLOOKUP($A111,'The List'!$B1:$AH671,24,FALSE)-AVERAGE('The List'!Y2:Y671))/STDEV('The List'!Y2:Y671)</f>
        <v>-0.47546929358800777</v>
      </c>
      <c r="M111" s="55" cm="1">
        <f t="array" ref="M111">(VLOOKUP($A111,'The List'!$B1:$AH671,25,FALSE)-AVERAGE('The List'!Z2:Z671))/STDEV('The List'!Z2:Z671)</f>
        <v>-0.64388478613809508</v>
      </c>
      <c r="N111" s="55" cm="1">
        <f t="array" ref="N111">(VLOOKUP($A111,'The List'!$B1:$AH671,26,FALSE)-AVERAGE('The List'!AA2:AA671))/STDEV('The List'!AA2:AA671)</f>
        <v>-0.40824065178102692</v>
      </c>
      <c r="O111" s="55" cm="1">
        <f t="array" ref="O111">(VLOOKUP($A111,'The List'!$B1:$AH671,27,FALSE)-AVERAGE('The List'!AB2:AB671))/STDEV('The List'!AB2:AB671)</f>
        <v>-0.44088366895519032</v>
      </c>
      <c r="P111" s="55" cm="1">
        <f t="array" ref="P111">(VLOOKUP($A111,'The List'!$B1:$AH671,28,FALSE)-AVERAGE('The List'!AC2:AC671))/STDEV('The List'!AC2:AC671)</f>
        <v>8.1927787633883517E-2</v>
      </c>
      <c r="Q111" s="55" cm="1">
        <f t="array" ref="Q111">(VLOOKUP($A111,'The List'!$B1:$AH671,29,FALSE)-AVERAGE('The List'!AD2:AD671))/STDEV('The List'!AD2:AD671)</f>
        <v>-0.25332959746540507</v>
      </c>
      <c r="R111" s="55" cm="1">
        <f t="array" ref="R111">(VLOOKUP($A111,'The List'!$B1:$AH671,30,FALSE)-AVERAGE('The List'!AE2:AE671))/STDEV('The List'!AE2:AE671)</f>
        <v>0.80386627441744207</v>
      </c>
      <c r="S111" s="55" cm="1">
        <f t="array" ref="S111">(VLOOKUP($A111,'The List'!$B1:$AH671,31,FALSE)-AVERAGE('The List'!AF2:AF671))/STDEV('The List'!AF2:AF671)</f>
        <v>-0.50120248892470076</v>
      </c>
      <c r="T111" s="55" cm="1">
        <f t="array" ref="T111">(VLOOKUP($A111,'The List'!$B1:$AH671,32,FALSE)-AVERAGE('The List'!AG2:AG671))/STDEV('The List'!AG2:AG671)</f>
        <v>-0.43760437821616688</v>
      </c>
      <c r="U111" s="55" cm="1">
        <f t="array" ref="U111">(VLOOKUP($A111,'The List'!$B1:$AH671,33,FALSE)-AVERAGE('The List'!AH2:AH671))/STDEV('The List'!AH2:AH671)</f>
        <v>0.26271174307671047</v>
      </c>
      <c r="V111" s="55"/>
      <c r="W111" s="77"/>
      <c r="X111" s="57"/>
      <c r="Y111" s="57"/>
      <c r="Z111" s="57"/>
      <c r="AA111" s="57"/>
      <c r="AB111" s="57"/>
      <c r="AC111" s="60"/>
      <c r="AD111" s="61"/>
      <c r="AE111" s="55"/>
    </row>
    <row r="112" spans="1:31" ht="21.25" customHeight="1" x14ac:dyDescent="0.15">
      <c r="A112" s="10" t="s">
        <v>347</v>
      </c>
      <c r="B112" s="18" t="str" cm="1">
        <f t="array" ref="B112">VLOOKUP(A112,'Player Data'!A1:B673,2,FALSE)</f>
        <v>CGY</v>
      </c>
      <c r="C112" s="52" cm="1">
        <f t="array" ref="C112">((E112)*Settings!$C$12)+(F112*Settings!$C$2)+(G112*Settings!$C$3)+(H112*Settings!$C$4)+(I112*Settings!$C$5)+(K112*Settings!$C$9)+(N112*Settings!$C$6)+(J112*Settings!$C$8)+(O112*Settings!$C$7)+(P112*Settings!$C$14)+(Q112*Settings!$C$15)+(R112*Settings!$C$16)+(S112*Settings!$C$17)+(T112*Settings!$C$18)+(U112*Settings!$C$19)+(L112*Settings!$C$10)+(Settings!$C$11*M112)</f>
        <v>2.8593388043536283E-2</v>
      </c>
      <c r="D112" s="57" cm="1">
        <f t="array" ref="D112">IF(Settings!$E$12="YES",VLOOKUP(A112,'Player Data'!A1:E673,5,FALSE),82)</f>
        <v>74</v>
      </c>
      <c r="E112" s="55" cm="1">
        <f t="array" ref="E112">(VLOOKUP($A112,'The List'!$B1:$AH671,17,FALSE)-AVERAGE('The List'!R2:R671))/STDEV('The List'!R2:R671)</f>
        <v>2.2466114160446121E-2</v>
      </c>
      <c r="F112" s="55" cm="1">
        <f t="array" ref="F112">(VLOOKUP($A112,'The List'!$B1:$AH671,18,FALSE)-AVERAGE('The List'!S2:S671))/STDEV('The List'!S2:S671)</f>
        <v>0.47369453173583798</v>
      </c>
      <c r="G112" s="55" cm="1">
        <f t="array" ref="G112">(VLOOKUP($A112,'The List'!$B1:$AH671,19,FALSE)-AVERAGE('The List'!T2:T671))/STDEV('The List'!T2:T671)</f>
        <v>0.72978607867402023</v>
      </c>
      <c r="H112" s="55" cm="1">
        <f t="array" ref="H112">(VLOOKUP($A112,'The List'!$B1:$AH671,20,FALSE)-AVERAGE('The List'!U2:U671))/STDEV('The List'!U2:U671)</f>
        <v>0.66892896551474246</v>
      </c>
      <c r="I112" s="55" cm="1">
        <f t="array" ref="I112">(VLOOKUP($A112,'The List'!$B1:$AH671,21,FALSE)-AVERAGE('The List'!V2:V671))/STDEV('The List'!V2:V671)</f>
        <v>0.6158470814139696</v>
      </c>
      <c r="J112" s="55" cm="1">
        <f t="array" ref="J112">(VLOOKUP($A112,'The List'!$B1:$AH671,22,FALSE)-AVERAGE('The List'!W2:W671))/STDEV('The List'!W2:W671)</f>
        <v>0.69216079522364937</v>
      </c>
      <c r="K112" s="55" cm="1">
        <f t="array" ref="K112">(VLOOKUP($A112,'The List'!$B1:$AH671,23,FALSE)-AVERAGE('The List'!X2:X671))/STDEV('The List'!X2:X671)</f>
        <v>1.2063104867088905</v>
      </c>
      <c r="L112" s="55" cm="1">
        <f t="array" ref="L112">(VLOOKUP($A112,'The List'!$B1:$AH671,24,FALSE)-AVERAGE('The List'!Y2:Y671))/STDEV('The List'!Y2:Y671)</f>
        <v>-0.47546929358800777</v>
      </c>
      <c r="M112" s="55" cm="1">
        <f t="array" ref="M112">(VLOOKUP($A112,'The List'!$B1:$AH671,25,FALSE)-AVERAGE('The List'!Z2:Z671))/STDEV('The List'!Z2:Z671)</f>
        <v>-0.64388478613809508</v>
      </c>
      <c r="N112" s="55" cm="1">
        <f t="array" ref="N112">(VLOOKUP($A112,'The List'!$B1:$AH671,26,FALSE)-AVERAGE('The List'!AA2:AA671))/STDEV('The List'!AA2:AA671)</f>
        <v>-0.29994697706243378</v>
      </c>
      <c r="O112" s="55" cm="1">
        <f t="array" ref="O112">(VLOOKUP($A112,'The List'!$B1:$AH671,27,FALSE)-AVERAGE('The List'!AB2:AB671))/STDEV('The List'!AB2:AB671)</f>
        <v>-0.96483156319650476</v>
      </c>
      <c r="P112" s="55" cm="1">
        <f t="array" ref="P112">(VLOOKUP($A112,'The List'!$B1:$AH671,28,FALSE)-AVERAGE('The List'!AC2:AC671))/STDEV('The List'!AC2:AC671)</f>
        <v>-2.0322132272926772</v>
      </c>
      <c r="Q112" s="55" cm="1">
        <f t="array" ref="Q112">(VLOOKUP($A112,'The List'!$B1:$AH671,29,FALSE)-AVERAGE('The List'!AD2:AD671))/STDEV('The List'!AD2:AD671)</f>
        <v>-0.95227598003444403</v>
      </c>
      <c r="R112" s="55" cm="1">
        <f t="array" ref="R112">(VLOOKUP($A112,'The List'!$B1:$AH671,30,FALSE)-AVERAGE('The List'!AE2:AE671))/STDEV('The List'!AE2:AE671)</f>
        <v>0.50194760730122601</v>
      </c>
      <c r="S112" s="55" cm="1">
        <f t="array" ref="S112">(VLOOKUP($A112,'The List'!$B1:$AH671,31,FALSE)-AVERAGE('The List'!AF2:AF671))/STDEV('The List'!AF2:AF671)</f>
        <v>-0.5637990602334283</v>
      </c>
      <c r="T112" s="55" cm="1">
        <f t="array" ref="T112">(VLOOKUP($A112,'The List'!$B1:$AH671,32,FALSE)-AVERAGE('The List'!AG2:AG671))/STDEV('The List'!AG2:AG671)</f>
        <v>-0.48822985745784819</v>
      </c>
      <c r="U112" s="55" cm="1">
        <f t="array" ref="U112">(VLOOKUP($A112,'The List'!$B1:$AH671,33,FALSE)-AVERAGE('The List'!AH2:AH671))/STDEV('The List'!AH2:AH671)</f>
        <v>-0.42727662576677261</v>
      </c>
      <c r="V112" s="55"/>
      <c r="W112" s="77"/>
      <c r="X112" s="57"/>
      <c r="Y112" s="57"/>
      <c r="Z112" s="57"/>
      <c r="AA112" s="57"/>
      <c r="AB112" s="57"/>
      <c r="AC112" s="60"/>
      <c r="AD112" s="61"/>
      <c r="AE112" s="55"/>
    </row>
    <row r="113" spans="1:31" ht="21.25" customHeight="1" x14ac:dyDescent="0.15">
      <c r="A113" s="10" t="s">
        <v>150</v>
      </c>
      <c r="B113" s="18" t="str" cm="1">
        <f t="array" ref="B113">VLOOKUP(A113,'Player Data'!A1:B673,2,FALSE)</f>
        <v>OTT</v>
      </c>
      <c r="C113" s="52" cm="1">
        <f t="array" ref="C113">((E113)*Settings!$C$12)+(F113*Settings!$C$2)+(G113*Settings!$C$3)+(H113*Settings!$C$4)+(I113*Settings!$C$5)+(K113*Settings!$C$9)+(N113*Settings!$C$6)+(J113*Settings!$C$8)+(O113*Settings!$C$7)+(P113*Settings!$C$14)+(Q113*Settings!$C$15)+(R113*Settings!$C$16)+(S113*Settings!$C$17)+(T113*Settings!$C$18)+(U113*Settings!$C$19)+(L113*Settings!$C$10)+(Settings!$C$11*M113)</f>
        <v>3.6417534459348682</v>
      </c>
      <c r="D113" s="57" cm="1">
        <f t="array" ref="D113">IF(Settings!$E$12="YES",VLOOKUP(A113,'Player Data'!A1:E673,5,FALSE),82)</f>
        <v>81</v>
      </c>
      <c r="E113" s="55" cm="1">
        <f t="array" ref="E113">(VLOOKUP($A113,'The List'!$B1:$AH671,17,FALSE)-AVERAGE('The List'!R2:R671))/STDEV('The List'!R2:R671)</f>
        <v>2.0423385976954425</v>
      </c>
      <c r="F113" s="55" cm="1">
        <f t="array" ref="F113">(VLOOKUP($A113,'The List'!$B1:$AH671,18,FALSE)-AVERAGE('The List'!S2:S671))/STDEV('The List'!S2:S671)</f>
        <v>1.6692428570945317E-3</v>
      </c>
      <c r="G113" s="55" cm="1">
        <f t="array" ref="G113">(VLOOKUP($A113,'The List'!$B1:$AH671,19,FALSE)-AVERAGE('The List'!T2:T671))/STDEV('The List'!T2:T671)</f>
        <v>1.4114387707952027</v>
      </c>
      <c r="H113" s="55" cm="1">
        <f t="array" ref="H113">(VLOOKUP($A113,'The List'!$B1:$AH671,20,FALSE)-AVERAGE('The List'!U2:U671))/STDEV('The List'!U2:U671)</f>
        <v>0.8886388048504319</v>
      </c>
      <c r="I113" s="55" cm="1">
        <f t="array" ref="I113">(VLOOKUP($A113,'The List'!$B1:$AH671,21,FALSE)-AVERAGE('The List'!V2:V671))/STDEV('The List'!V2:V671)</f>
        <v>0.90869659965544947</v>
      </c>
      <c r="J113" s="55" cm="1">
        <f t="array" ref="J113">(VLOOKUP($A113,'The List'!$B1:$AH671,22,FALSE)-AVERAGE('The List'!W2:W671))/STDEV('The List'!W2:W671)</f>
        <v>0.60377779111030838</v>
      </c>
      <c r="K113" s="55" cm="1">
        <f t="array" ref="K113">(VLOOKUP($A113,'The List'!$B1:$AH671,23,FALSE)-AVERAGE('The List'!X2:X671))/STDEV('The List'!X2:X671)</f>
        <v>1.4776433905896103</v>
      </c>
      <c r="L113" s="55" cm="1">
        <f t="array" ref="L113">(VLOOKUP($A113,'The List'!$B1:$AH671,24,FALSE)-AVERAGE('The List'!Y2:Y671))/STDEV('The List'!Y2:Y671)</f>
        <v>-0.47546929358800777</v>
      </c>
      <c r="M113" s="55" cm="1">
        <f t="array" ref="M113">(VLOOKUP($A113,'The List'!$B1:$AH671,25,FALSE)-AVERAGE('The List'!Z2:Z671))/STDEV('The List'!Z2:Z671)</f>
        <v>1.1164387323321792</v>
      </c>
      <c r="N113" s="55" cm="1">
        <f t="array" ref="N113">(VLOOKUP($A113,'The List'!$B1:$AH671,26,FALSE)-AVERAGE('The List'!AA2:AA671))/STDEV('The List'!AA2:AA671)</f>
        <v>2.3284733213551161</v>
      </c>
      <c r="O113" s="55" cm="1">
        <f t="array" ref="O113">(VLOOKUP($A113,'The List'!$B1:$AH671,27,FALSE)-AVERAGE('The List'!AB2:AB671))/STDEV('The List'!AB2:AB671)</f>
        <v>-0.75594936279278835</v>
      </c>
      <c r="P113" s="55" cm="1">
        <f t="array" ref="P113">(VLOOKUP($A113,'The List'!$B1:$AH671,28,FALSE)-AVERAGE('The List'!AC2:AC671))/STDEV('The List'!AC2:AC671)</f>
        <v>0.59825480483029947</v>
      </c>
      <c r="Q113" s="55" cm="1">
        <f t="array" ref="Q113">(VLOOKUP($A113,'The List'!$B1:$AH671,29,FALSE)-AVERAGE('The List'!AD2:AD671))/STDEV('The List'!AD2:AD671)</f>
        <v>-0.87765274045783426</v>
      </c>
      <c r="R113" s="55" cm="1">
        <f t="array" ref="R113">(VLOOKUP($A113,'The List'!$B1:$AH671,30,FALSE)-AVERAGE('The List'!AE2:AE671))/STDEV('The List'!AE2:AE671)</f>
        <v>0.17133419083098952</v>
      </c>
      <c r="S113" s="55" cm="1">
        <f t="array" ref="S113">(VLOOKUP($A113,'The List'!$B1:$AH671,31,FALSE)-AVERAGE('The List'!AF2:AF671))/STDEV('The List'!AF2:AF671)</f>
        <v>-0.59581850454342256</v>
      </c>
      <c r="T113" s="55" cm="1">
        <f t="array" ref="T113">(VLOOKUP($A113,'The List'!$B1:$AH671,32,FALSE)-AVERAGE('The List'!AG2:AG671))/STDEV('The List'!AG2:AG671)</f>
        <v>-0.64684275008198677</v>
      </c>
      <c r="U113" s="55" cm="1">
        <f t="array" ref="U113">(VLOOKUP($A113,'The List'!$B1:$AH671,33,FALSE)-AVERAGE('The List'!AH2:AH671))/STDEV('The List'!AH2:AH671)</f>
        <v>-0.10528205363981386</v>
      </c>
      <c r="V113" s="55"/>
      <c r="W113" s="77"/>
      <c r="X113" s="57"/>
      <c r="Y113" s="57"/>
      <c r="Z113" s="57"/>
      <c r="AA113" s="57"/>
      <c r="AB113" s="57"/>
      <c r="AC113" s="60"/>
      <c r="AD113" s="61"/>
      <c r="AE113" s="55"/>
    </row>
    <row r="114" spans="1:31" ht="21.25" customHeight="1" x14ac:dyDescent="0.15">
      <c r="A114" s="10" t="s">
        <v>366</v>
      </c>
      <c r="B114" s="18" t="str" cm="1">
        <f t="array" ref="B114">VLOOKUP(A114,'Player Data'!A1:B673,2,FALSE)</f>
        <v>BOS</v>
      </c>
      <c r="C114" s="52" cm="1">
        <f t="array" ref="C114">((E114)*Settings!$C$12)+(F114*Settings!$C$2)+(G114*Settings!$C$3)+(H114*Settings!$C$4)+(I114*Settings!$C$5)+(K114*Settings!$C$9)+(N114*Settings!$C$6)+(J114*Settings!$C$8)+(O114*Settings!$C$7)+(P114*Settings!$C$14)+(Q114*Settings!$C$15)+(R114*Settings!$C$16)+(S114*Settings!$C$17)+(T114*Settings!$C$18)+(U114*Settings!$C$19)+(L114*Settings!$C$10)+(Settings!$C$11*M114)</f>
        <v>2.4624214224663592</v>
      </c>
      <c r="D114" s="57" cm="1">
        <f t="array" ref="D114">IF(Settings!$E$12="YES",VLOOKUP(A114,'Player Data'!A1:E673,5,FALSE),82)</f>
        <v>83</v>
      </c>
      <c r="E114" s="55" cm="1">
        <f t="array" ref="E114">(VLOOKUP($A114,'The List'!$B1:$AH671,17,FALSE)-AVERAGE('The List'!R2:R671))/STDEV('The List'!R2:R671)</f>
        <v>2.2466114160446121E-2</v>
      </c>
      <c r="F114" s="55" cm="1">
        <f t="array" ref="F114">(VLOOKUP($A114,'The List'!$B1:$AH671,18,FALSE)-AVERAGE('The List'!S2:S671))/STDEV('The List'!S2:S671)</f>
        <v>1.0295467218108063</v>
      </c>
      <c r="G114" s="55" cm="1">
        <f t="array" ref="G114">(VLOOKUP($A114,'The List'!$B1:$AH671,19,FALSE)-AVERAGE('The List'!T2:T671))/STDEV('The List'!T2:T671)</f>
        <v>0.78741032687395529</v>
      </c>
      <c r="H114" s="55" cm="1">
        <f t="array" ref="H114">(VLOOKUP($A114,'The List'!$B1:$AH671,20,FALSE)-AVERAGE('The List'!U2:U671))/STDEV('The List'!U2:U671)</f>
        <v>0.95141304466062826</v>
      </c>
      <c r="I114" s="55" cm="1">
        <f t="array" ref="I114">(VLOOKUP($A114,'The List'!$B1:$AH671,21,FALSE)-AVERAGE('The List'!V2:V671))/STDEV('The List'!V2:V671)</f>
        <v>0.25371575974190919</v>
      </c>
      <c r="J114" s="55" cm="1">
        <f t="array" ref="J114">(VLOOKUP($A114,'The List'!$B1:$AH671,22,FALSE)-AVERAGE('The List'!W2:W671))/STDEV('The List'!W2:W671)</f>
        <v>1.3246516684097434</v>
      </c>
      <c r="K114" s="55" cm="1">
        <f t="array" ref="K114">(VLOOKUP($A114,'The List'!$B1:$AH671,23,FALSE)-AVERAGE('The List'!X2:X671))/STDEV('The List'!X2:X671)</f>
        <v>1.0334613775700618</v>
      </c>
      <c r="L114" s="55" cm="1">
        <f t="array" ref="L114">(VLOOKUP($A114,'The List'!$B1:$AH671,24,FALSE)-AVERAGE('The List'!Y2:Y671))/STDEV('The List'!Y2:Y671)</f>
        <v>-0.47546929358800777</v>
      </c>
      <c r="M114" s="55" cm="1">
        <f t="array" ref="M114">(VLOOKUP($A114,'The List'!$B1:$AH671,25,FALSE)-AVERAGE('The List'!Z2:Z671))/STDEV('The List'!Z2:Z671)</f>
        <v>0.25800936221395893</v>
      </c>
      <c r="N114" s="55" cm="1">
        <f t="array" ref="N114">(VLOOKUP($A114,'The List'!$B1:$AH671,26,FALSE)-AVERAGE('The List'!AA2:AA671))/STDEV('The List'!AA2:AA671)</f>
        <v>-0.92340183552489996</v>
      </c>
      <c r="O114" s="55" cm="1">
        <f t="array" ref="O114">(VLOOKUP($A114,'The List'!$B1:$AH671,27,FALSE)-AVERAGE('The List'!AB2:AB671))/STDEV('The List'!AB2:AB671)</f>
        <v>-0.35663383150089445</v>
      </c>
      <c r="P114" s="55" cm="1">
        <f t="array" ref="P114">(VLOOKUP($A114,'The List'!$B1:$AH671,28,FALSE)-AVERAGE('The List'!AC2:AC671))/STDEV('The List'!AC2:AC671)</f>
        <v>-0.28507893202947904</v>
      </c>
      <c r="Q114" s="55" cm="1">
        <f t="array" ref="Q114">(VLOOKUP($A114,'The List'!$B1:$AH671,29,FALSE)-AVERAGE('The List'!AD2:AD671))/STDEV('The List'!AD2:AD671)</f>
        <v>-0.53409030082294728</v>
      </c>
      <c r="R114" s="55" cm="1">
        <f t="array" ref="R114">(VLOOKUP($A114,'The List'!$B1:$AH671,30,FALSE)-AVERAGE('The List'!AE2:AE671))/STDEV('The List'!AE2:AE671)</f>
        <v>0.72651521094138671</v>
      </c>
      <c r="S114" s="55" cm="1">
        <f t="array" ref="S114">(VLOOKUP($A114,'The List'!$B1:$AH671,31,FALSE)-AVERAGE('The List'!AF2:AF671))/STDEV('The List'!AF2:AF671)</f>
        <v>1.9460734475792618</v>
      </c>
      <c r="T114" s="55" cm="1">
        <f t="array" ref="T114">(VLOOKUP($A114,'The List'!$B1:$AH671,32,FALSE)-AVERAGE('The List'!AG2:AG671))/STDEV('The List'!AG2:AG671)</f>
        <v>1.6828479025215926</v>
      </c>
      <c r="U114" s="55" cm="1">
        <f t="array" ref="U114">(VLOOKUP($A114,'The List'!$B1:$AH671,33,FALSE)-AVERAGE('The List'!AH2:AH671))/STDEV('The List'!AH2:AH671)</f>
        <v>1.2286954594575867</v>
      </c>
      <c r="V114" s="55"/>
      <c r="W114" s="77"/>
      <c r="X114" s="57"/>
      <c r="Y114" s="57"/>
      <c r="Z114" s="57"/>
      <c r="AA114" s="57"/>
      <c r="AB114" s="57"/>
      <c r="AC114" s="60"/>
      <c r="AD114" s="61"/>
      <c r="AE114" s="55"/>
    </row>
    <row r="115" spans="1:31" ht="21.25" customHeight="1" x14ac:dyDescent="0.15">
      <c r="A115" s="10" t="s">
        <v>333</v>
      </c>
      <c r="B115" s="18" t="str" cm="1">
        <f t="array" ref="B115">VLOOKUP(A115,'Player Data'!A1:B673,2,FALSE)</f>
        <v>PHI</v>
      </c>
      <c r="C115" s="52" cm="1">
        <f t="array" ref="C115">((E115)*Settings!$C$12)+(F115*Settings!$C$2)+(G115*Settings!$C$3)+(H115*Settings!$C$4)+(I115*Settings!$C$5)+(K115*Settings!$C$9)+(N115*Settings!$C$6)+(J115*Settings!$C$8)+(O115*Settings!$C$7)+(P115*Settings!$C$14)+(Q115*Settings!$C$15)+(R115*Settings!$C$16)+(S115*Settings!$C$17)+(T115*Settings!$C$18)+(U115*Settings!$C$19)+(L115*Settings!$C$10)+(Settings!$C$11*M115)</f>
        <v>2.8012577930622831</v>
      </c>
      <c r="D115" s="57" cm="1">
        <f t="array" ref="D115">IF(Settings!$E$12="YES",VLOOKUP(A115,'Player Data'!A1:E673,5,FALSE),82)</f>
        <v>83</v>
      </c>
      <c r="E115" s="55" cm="1">
        <f t="array" ref="E115">(VLOOKUP($A115,'The List'!$B1:$AH671,17,FALSE)-AVERAGE('The List'!R2:R671))/STDEV('The List'!R2:R671)</f>
        <v>-0.26608709777312411</v>
      </c>
      <c r="F115" s="55" cm="1">
        <f t="array" ref="F115">(VLOOKUP($A115,'The List'!$B1:$AH671,18,FALSE)-AVERAGE('The List'!S2:S671))/STDEV('The List'!S2:S671)</f>
        <v>0.94671775991453677</v>
      </c>
      <c r="G115" s="55" cm="1">
        <f t="array" ref="G115">(VLOOKUP($A115,'The List'!$B1:$AH671,19,FALSE)-AVERAGE('The List'!T2:T671))/STDEV('The List'!T2:T671)</f>
        <v>0.84573730980803563</v>
      </c>
      <c r="H115" s="55" cm="1">
        <f t="array" ref="H115">(VLOOKUP($A115,'The List'!$B1:$AH671,20,FALSE)-AVERAGE('The List'!U2:U671))/STDEV('The List'!U2:U671)</f>
        <v>0.95141304466062859</v>
      </c>
      <c r="I115" s="55" cm="1">
        <f t="array" ref="I115">(VLOOKUP($A115,'The List'!$B1:$AH671,21,FALSE)-AVERAGE('The List'!V2:V671))/STDEV('The List'!V2:V671)</f>
        <v>0.95638183094432738</v>
      </c>
      <c r="J115" s="55" cm="1">
        <f t="array" ref="J115">(VLOOKUP($A115,'The List'!$B1:$AH671,22,FALSE)-AVERAGE('The List'!W2:W671))/STDEV('The List'!W2:W671)</f>
        <v>1.0954082514907661</v>
      </c>
      <c r="K115" s="55" cm="1">
        <f t="array" ref="K115">(VLOOKUP($A115,'The List'!$B1:$AH671,23,FALSE)-AVERAGE('The List'!X2:X671))/STDEV('The List'!X2:X671)</f>
        <v>0.78323214399117591</v>
      </c>
      <c r="L115" s="55" cm="1">
        <f t="array" ref="L115">(VLOOKUP($A115,'The List'!$B1:$AH671,24,FALSE)-AVERAGE('The List'!Y2:Y671))/STDEV('The List'!Y2:Y671)</f>
        <v>-0.47546929358800777</v>
      </c>
      <c r="M115" s="55" cm="1">
        <f t="array" ref="M115">(VLOOKUP($A115,'The List'!$B1:$AH671,25,FALSE)-AVERAGE('The List'!Z2:Z671))/STDEV('The List'!Z2:Z671)</f>
        <v>-0.64388478613809508</v>
      </c>
      <c r="N115" s="55" cm="1">
        <f t="array" ref="N115">(VLOOKUP($A115,'The List'!$B1:$AH671,26,FALSE)-AVERAGE('The List'!AA2:AA671))/STDEV('The List'!AA2:AA671)</f>
        <v>-1.0293968237518247</v>
      </c>
      <c r="O115" s="55" cm="1">
        <f t="array" ref="O115">(VLOOKUP($A115,'The List'!$B1:$AH671,27,FALSE)-AVERAGE('The List'!AB2:AB671))/STDEV('The List'!AB2:AB671)</f>
        <v>-0.98615025685890567</v>
      </c>
      <c r="P115" s="55" cm="1">
        <f t="array" ref="P115">(VLOOKUP($A115,'The List'!$B1:$AH671,28,FALSE)-AVERAGE('The List'!AC2:AC671))/STDEV('The List'!AC2:AC671)</f>
        <v>0.25533900526311276</v>
      </c>
      <c r="Q115" s="55" cm="1">
        <f t="array" ref="Q115">(VLOOKUP($A115,'The List'!$B1:$AH671,29,FALSE)-AVERAGE('The List'!AD2:AD671))/STDEV('The List'!AD2:AD671)</f>
        <v>1.4896032952199685</v>
      </c>
      <c r="R115" s="55" cm="1">
        <f t="array" ref="R115">(VLOOKUP($A115,'The List'!$B1:$AH671,30,FALSE)-AVERAGE('The List'!AE2:AE671))/STDEV('The List'!AE2:AE671)</f>
        <v>1.2442682971117567</v>
      </c>
      <c r="S115" s="55" cm="1">
        <f t="array" ref="S115">(VLOOKUP($A115,'The List'!$B1:$AH671,31,FALSE)-AVERAGE('The List'!AF2:AF671))/STDEV('The List'!AF2:AF671)</f>
        <v>-0.57187603717648994</v>
      </c>
      <c r="T115" s="55" cm="1">
        <f t="array" ref="T115">(VLOOKUP($A115,'The List'!$B1:$AH671,32,FALSE)-AVERAGE('The List'!AG2:AG671))/STDEV('The List'!AG2:AG671)</f>
        <v>-0.57906993109715532</v>
      </c>
      <c r="U115" s="55" cm="1">
        <f t="array" ref="U115">(VLOOKUP($A115,'The List'!$B1:$AH671,33,FALSE)-AVERAGE('The List'!AH2:AH671))/STDEV('The List'!AH2:AH671)</f>
        <v>-1.3283604460682703E-2</v>
      </c>
      <c r="V115" s="55"/>
      <c r="W115" s="77"/>
      <c r="X115" s="57"/>
      <c r="Y115" s="57"/>
      <c r="Z115" s="57"/>
      <c r="AA115" s="57"/>
      <c r="AB115" s="57"/>
      <c r="AC115" s="60"/>
      <c r="AD115" s="61"/>
      <c r="AE115" s="55"/>
    </row>
    <row r="116" spans="1:31" ht="21.25" customHeight="1" x14ac:dyDescent="0.15">
      <c r="A116" s="10" t="s">
        <v>144</v>
      </c>
      <c r="B116" s="18" t="str" cm="1">
        <f t="array" ref="B116">VLOOKUP(A116,'Player Data'!A1:B673,2,FALSE)</f>
        <v>DET</v>
      </c>
      <c r="C116" s="52" cm="1">
        <f t="array" ref="C116">((E116)*Settings!$C$12)+(F116*Settings!$C$2)+(G116*Settings!$C$3)+(H116*Settings!$C$4)+(I116*Settings!$C$5)+(K116*Settings!$C$9)+(N116*Settings!$C$6)+(J116*Settings!$C$8)+(O116*Settings!$C$7)+(P116*Settings!$C$14)+(Q116*Settings!$C$15)+(R116*Settings!$C$16)+(S116*Settings!$C$17)+(T116*Settings!$C$18)+(U116*Settings!$C$19)+(L116*Settings!$C$10)+(Settings!$C$11*M116)</f>
        <v>6.0618593867747883</v>
      </c>
      <c r="D116" s="57" cm="1">
        <f t="array" ref="D116">IF(Settings!$E$12="YES",VLOOKUP(A116,'Player Data'!A1:E673,5,FALSE),82)</f>
        <v>84</v>
      </c>
      <c r="E116" s="55" cm="1">
        <f t="array" ref="E116">(VLOOKUP($A116,'The List'!$B1:$AH671,17,FALSE)-AVERAGE('The List'!R2:R671))/STDEV('The List'!R2:R671)</f>
        <v>2.3833560299805705</v>
      </c>
      <c r="F116" s="55" cm="1">
        <f t="array" ref="F116">(VLOOKUP($A116,'The List'!$B1:$AH671,18,FALSE)-AVERAGE('The List'!S2:S671))/STDEV('The List'!S2:S671)</f>
        <v>-0.28274345763009784</v>
      </c>
      <c r="G116" s="55" cm="1">
        <f t="array" ref="G116">(VLOOKUP($A116,'The List'!$B1:$AH671,19,FALSE)-AVERAGE('The List'!T2:T671))/STDEV('The List'!T2:T671)</f>
        <v>1.7023709507314597</v>
      </c>
      <c r="H116" s="55" cm="1">
        <f t="array" ref="H116">(VLOOKUP($A116,'The List'!$B1:$AH671,20,FALSE)-AVERAGE('The List'!U2:U671))/STDEV('The List'!U2:U671)</f>
        <v>0.94566610721321609</v>
      </c>
      <c r="I116" s="55" cm="1">
        <f t="array" ref="I116">(VLOOKUP($A116,'The List'!$B1:$AH671,21,FALSE)-AVERAGE('The List'!V2:V671))/STDEV('The List'!V2:V671)</f>
        <v>1.0232448182950371</v>
      </c>
      <c r="J116" s="55" cm="1">
        <f t="array" ref="J116">(VLOOKUP($A116,'The List'!$B1:$AH671,22,FALSE)-AVERAGE('The List'!W2:W671))/STDEV('The List'!W2:W671)</f>
        <v>0.42148784512654347</v>
      </c>
      <c r="K116" s="55" cm="1">
        <f t="array" ref="K116">(VLOOKUP($A116,'The List'!$B1:$AH671,23,FALSE)-AVERAGE('The List'!X2:X671))/STDEV('The List'!X2:X671)</f>
        <v>1.9841314778336203</v>
      </c>
      <c r="L116" s="55" cm="1">
        <f t="array" ref="L116">(VLOOKUP($A116,'The List'!$B1:$AH671,24,FALSE)-AVERAGE('The List'!Y2:Y671))/STDEV('The List'!Y2:Y671)</f>
        <v>-0.47546929358800777</v>
      </c>
      <c r="M116" s="55" cm="1">
        <f t="array" ref="M116">(VLOOKUP($A116,'The List'!$B1:$AH671,25,FALSE)-AVERAGE('The List'!Z2:Z671))/STDEV('The List'!Z2:Z671)</f>
        <v>-0.64388478613809508</v>
      </c>
      <c r="N116" s="55" cm="1">
        <f t="array" ref="N116">(VLOOKUP($A116,'The List'!$B1:$AH671,26,FALSE)-AVERAGE('The List'!AA2:AA671))/STDEV('The List'!AA2:AA671)</f>
        <v>2.9897288021250161</v>
      </c>
      <c r="O116" s="55" cm="1">
        <f t="array" ref="O116">(VLOOKUP($A116,'The List'!$B1:$AH671,27,FALSE)-AVERAGE('The List'!AB2:AB671))/STDEV('The List'!AB2:AB671)</f>
        <v>1.19286622036534</v>
      </c>
      <c r="P116" s="55" cm="1">
        <f t="array" ref="P116">(VLOOKUP($A116,'The List'!$B1:$AH671,28,FALSE)-AVERAGE('The List'!AC2:AC671))/STDEV('The List'!AC2:AC671)</f>
        <v>0.44198937717942954</v>
      </c>
      <c r="Q116" s="55" cm="1">
        <f t="array" ref="Q116">(VLOOKUP($A116,'The List'!$B1:$AH671,29,FALSE)-AVERAGE('The List'!AD2:AD671))/STDEV('The List'!AD2:AD671)</f>
        <v>1.598213356781965</v>
      </c>
      <c r="R116" s="55" cm="1">
        <f t="array" ref="R116">(VLOOKUP($A116,'The List'!$B1:$AH671,30,FALSE)-AVERAGE('The List'!AE2:AE671))/STDEV('The List'!AE2:AE671)</f>
        <v>-0.29651498341934474</v>
      </c>
      <c r="S116" s="55" cm="1">
        <f t="array" ref="S116">(VLOOKUP($A116,'The List'!$B1:$AH671,31,FALSE)-AVERAGE('The List'!AF2:AF671))/STDEV('The List'!AF2:AF671)</f>
        <v>-0.59581850454342256</v>
      </c>
      <c r="T116" s="55" cm="1">
        <f t="array" ref="T116">(VLOOKUP($A116,'The List'!$B1:$AH671,32,FALSE)-AVERAGE('The List'!AG2:AG671))/STDEV('The List'!AG2:AG671)</f>
        <v>-0.64684275008198677</v>
      </c>
      <c r="U116" s="55" cm="1">
        <f t="array" ref="U116">(VLOOKUP($A116,'The List'!$B1:$AH671,33,FALSE)-AVERAGE('The List'!AH2:AH671))/STDEV('The List'!AH2:AH671)</f>
        <v>-1.2552626683789523</v>
      </c>
      <c r="V116" s="55"/>
      <c r="W116" s="77"/>
      <c r="X116" s="57"/>
      <c r="Y116" s="57"/>
      <c r="Z116" s="57"/>
      <c r="AA116" s="57"/>
      <c r="AB116" s="57"/>
      <c r="AC116" s="60"/>
      <c r="AD116" s="61"/>
      <c r="AE116" s="55"/>
    </row>
    <row r="117" spans="1:31" ht="21.25" customHeight="1" x14ac:dyDescent="0.15">
      <c r="A117" s="10" t="s">
        <v>325</v>
      </c>
      <c r="B117" s="18" t="str" cm="1">
        <f t="array" ref="B117">VLOOKUP(A117,'Player Data'!A1:B673,2,FALSE)</f>
        <v>NSH</v>
      </c>
      <c r="C117" s="52" cm="1">
        <f t="array" ref="C117">((E117)*Settings!$C$12)+(F117*Settings!$C$2)+(G117*Settings!$C$3)+(H117*Settings!$C$4)+(I117*Settings!$C$5)+(K117*Settings!$C$9)+(N117*Settings!$C$6)+(J117*Settings!$C$8)+(O117*Settings!$C$7)+(P117*Settings!$C$14)+(Q117*Settings!$C$15)+(R117*Settings!$C$16)+(S117*Settings!$C$17)+(T117*Settings!$C$18)+(U117*Settings!$C$19)+(L117*Settings!$C$10)+(Settings!$C$11*M117)</f>
        <v>2.4675081876005462</v>
      </c>
      <c r="D117" s="57" cm="1">
        <f t="array" ref="D117">IF(Settings!$E$12="YES",VLOOKUP(A117,'Player Data'!A1:E673,5,FALSE),82)</f>
        <v>82</v>
      </c>
      <c r="E117" s="55" cm="1">
        <f t="array" ref="E117">(VLOOKUP($A117,'The List'!$B1:$AH671,17,FALSE)-AVERAGE('The List'!R2:R671))/STDEV('The List'!R2:R671)</f>
        <v>0.15362666503934194</v>
      </c>
      <c r="F117" s="55" cm="1">
        <f t="array" ref="F117">(VLOOKUP($A117,'The List'!$B1:$AH671,18,FALSE)-AVERAGE('The List'!S2:S671))/STDEV('The List'!S2:S671)</f>
        <v>0.26412727874527547</v>
      </c>
      <c r="G117" s="55" cm="1">
        <f t="array" ref="G117">(VLOOKUP($A117,'The List'!$B1:$AH671,19,FALSE)-AVERAGE('The List'!T2:T671))/STDEV('The List'!T2:T671)</f>
        <v>1.2765137018392574</v>
      </c>
      <c r="H117" s="55" cm="1">
        <f t="array" ref="H117">(VLOOKUP($A117,'The List'!$B1:$AH671,20,FALSE)-AVERAGE('The List'!U2:U671))/STDEV('The List'!U2:U671)</f>
        <v>0.92002592475553002</v>
      </c>
      <c r="I117" s="55" cm="1">
        <f t="array" ref="I117">(VLOOKUP($A117,'The List'!$B1:$AH671,21,FALSE)-AVERAGE('The List'!V2:V671))/STDEV('The List'!V2:V671)</f>
        <v>1.1168875551014577</v>
      </c>
      <c r="J117" s="55" cm="1">
        <f t="array" ref="J117">(VLOOKUP($A117,'The List'!$B1:$AH671,22,FALSE)-AVERAGE('The List'!W2:W671))/STDEV('The List'!W2:W671)</f>
        <v>0.16738670830068908</v>
      </c>
      <c r="K117" s="55" cm="1">
        <f t="array" ref="K117">(VLOOKUP($A117,'The List'!$B1:$AH671,23,FALSE)-AVERAGE('The List'!X2:X671))/STDEV('The List'!X2:X671)</f>
        <v>1.0113527705871883</v>
      </c>
      <c r="L117" s="55" cm="1">
        <f t="array" ref="L117">(VLOOKUP($A117,'The List'!$B1:$AH671,24,FALSE)-AVERAGE('The List'!Y2:Y671))/STDEV('The List'!Y2:Y671)</f>
        <v>-0.47546929358800777</v>
      </c>
      <c r="M117" s="55" cm="1">
        <f t="array" ref="M117">(VLOOKUP($A117,'The List'!$B1:$AH671,25,FALSE)-AVERAGE('The List'!Z2:Z671))/STDEV('The List'!Z2:Z671)</f>
        <v>-0.64388478613809508</v>
      </c>
      <c r="N117" s="55" cm="1">
        <f t="array" ref="N117">(VLOOKUP($A117,'The List'!$B1:$AH671,26,FALSE)-AVERAGE('The List'!AA2:AA671))/STDEV('The List'!AA2:AA671)</f>
        <v>-1.0156047048018155</v>
      </c>
      <c r="O117" s="55" cm="1">
        <f t="array" ref="O117">(VLOOKUP($A117,'The List'!$B1:$AH671,27,FALSE)-AVERAGE('The List'!AB2:AB671))/STDEV('The List'!AB2:AB671)</f>
        <v>-1.0964334990740179</v>
      </c>
      <c r="P117" s="55" cm="1">
        <f t="array" ref="P117">(VLOOKUP($A117,'The List'!$B1:$AH671,28,FALSE)-AVERAGE('The List'!AC2:AC671))/STDEV('The List'!AC2:AC671)</f>
        <v>-0.1049396195986151</v>
      </c>
      <c r="Q117" s="55" cm="1">
        <f t="array" ref="Q117">(VLOOKUP($A117,'The List'!$B1:$AH671,29,FALSE)-AVERAGE('The List'!AD2:AD671))/STDEV('The List'!AD2:AD671)</f>
        <v>-0.43508521069160322</v>
      </c>
      <c r="R117" s="55" cm="1">
        <f t="array" ref="R117">(VLOOKUP($A117,'The List'!$B1:$AH671,30,FALSE)-AVERAGE('The List'!AE2:AE671))/STDEV('The List'!AE2:AE671)</f>
        <v>0.19004815780100306</v>
      </c>
      <c r="S117" s="55" cm="1">
        <f t="array" ref="S117">(VLOOKUP($A117,'The List'!$B1:$AH671,31,FALSE)-AVERAGE('The List'!AF2:AF671))/STDEV('The List'!AF2:AF671)</f>
        <v>-0.59581850454342256</v>
      </c>
      <c r="T117" s="55" cm="1">
        <f t="array" ref="T117">(VLOOKUP($A117,'The List'!$B1:$AH671,32,FALSE)-AVERAGE('The List'!AG2:AG671))/STDEV('The List'!AG2:AG671)</f>
        <v>-0.63847321520735389</v>
      </c>
      <c r="U117" s="55" cm="1">
        <f t="array" ref="U117">(VLOOKUP($A117,'The List'!$B1:$AH671,33,FALSE)-AVERAGE('The List'!AH2:AH671))/STDEV('The List'!AH2:AH671)</f>
        <v>-0.97926732084155899</v>
      </c>
      <c r="V117" s="55"/>
      <c r="W117" s="77"/>
      <c r="X117" s="57"/>
      <c r="Y117" s="57"/>
      <c r="Z117" s="57"/>
      <c r="AA117" s="57"/>
      <c r="AB117" s="57"/>
      <c r="AC117" s="60"/>
      <c r="AD117" s="61"/>
      <c r="AE117" s="55"/>
    </row>
    <row r="118" spans="1:31" ht="21.25" customHeight="1" x14ac:dyDescent="0.15">
      <c r="A118" s="10" t="s">
        <v>183</v>
      </c>
      <c r="B118" s="18" t="str" cm="1">
        <f t="array" ref="B118">VLOOKUP(A118,'Player Data'!A1:B673,2,FALSE)</f>
        <v>BOS</v>
      </c>
      <c r="C118" s="52" cm="1">
        <f t="array" ref="C118">((E118)*Settings!$C$12)+(F118*Settings!$C$2)+(G118*Settings!$C$3)+(H118*Settings!$C$4)+(I118*Settings!$C$5)+(K118*Settings!$C$9)+(N118*Settings!$C$6)+(J118*Settings!$C$8)+(O118*Settings!$C$7)+(P118*Settings!$C$14)+(Q118*Settings!$C$15)+(R118*Settings!$C$16)+(S118*Settings!$C$17)+(T118*Settings!$C$18)+(U118*Settings!$C$19)+(L118*Settings!$C$10)+(Settings!$C$11*M118)</f>
        <v>1.7255668026968056</v>
      </c>
      <c r="D118" s="57" cm="1">
        <f t="array" ref="D118">IF(Settings!$E$12="YES",VLOOKUP(A118,'Player Data'!A1:E673,5,FALSE),82)</f>
        <v>73</v>
      </c>
      <c r="E118" s="55" cm="1">
        <f t="array" ref="E118">(VLOOKUP($A118,'The List'!$B1:$AH671,17,FALSE)-AVERAGE('The List'!R2:R671))/STDEV('The List'!R2:R671)</f>
        <v>2.3308918096290125</v>
      </c>
      <c r="F118" s="55" cm="1">
        <f t="array" ref="F118">(VLOOKUP($A118,'The List'!$B1:$AH671,18,FALSE)-AVERAGE('The List'!S2:S671))/STDEV('The List'!S2:S671)</f>
        <v>-0.35259920862695199</v>
      </c>
      <c r="G118" s="55" cm="1">
        <f t="array" ref="G118">(VLOOKUP($A118,'The List'!$B1:$AH671,19,FALSE)-AVERAGE('The List'!T2:T671))/STDEV('The List'!T2:T671)</f>
        <v>1.2104566368295759</v>
      </c>
      <c r="H118" s="55" cm="1">
        <f t="array" ref="H118">(VLOOKUP($A118,'The List'!$B1:$AH671,20,FALSE)-AVERAGE('The List'!U2:U671))/STDEV('The List'!U2:U671)</f>
        <v>0.60527058148186674</v>
      </c>
      <c r="I118" s="55" cm="1">
        <f t="array" ref="I118">(VLOOKUP($A118,'The List'!$B1:$AH671,21,FALSE)-AVERAGE('The List'!V2:V671))/STDEV('The List'!V2:V671)</f>
        <v>9.8738758053055167E-2</v>
      </c>
      <c r="J118" s="55" cm="1">
        <f t="array" ref="J118">(VLOOKUP($A118,'The List'!$B1:$AH671,22,FALSE)-AVERAGE('The List'!W2:W671))/STDEV('The List'!W2:W671)</f>
        <v>-0.1336678994603776</v>
      </c>
      <c r="K118" s="55" cm="1">
        <f t="array" ref="K118">(VLOOKUP($A118,'The List'!$B1:$AH671,23,FALSE)-AVERAGE('The List'!X2:X671))/STDEV('The List'!X2:X671)</f>
        <v>0.88573568545722547</v>
      </c>
      <c r="L118" s="55" cm="1">
        <f t="array" ref="L118">(VLOOKUP($A118,'The List'!$B1:$AH671,24,FALSE)-AVERAGE('The List'!Y2:Y671))/STDEV('The List'!Y2:Y671)</f>
        <v>-0.47546929358800777</v>
      </c>
      <c r="M118" s="55" cm="1">
        <f t="array" ref="M118">(VLOOKUP($A118,'The List'!$B1:$AH671,25,FALSE)-AVERAGE('The List'!Z2:Z671))/STDEV('The List'!Z2:Z671)</f>
        <v>0.14934741662937404</v>
      </c>
      <c r="N118" s="55" cm="1">
        <f t="array" ref="N118">(VLOOKUP($A118,'The List'!$B1:$AH671,26,FALSE)-AVERAGE('The List'!AA2:AA671))/STDEV('The List'!AA2:AA671)</f>
        <v>1.8636278308177601</v>
      </c>
      <c r="O118" s="55" cm="1">
        <f t="array" ref="O118">(VLOOKUP($A118,'The List'!$B1:$AH671,27,FALSE)-AVERAGE('The List'!AB2:AB671))/STDEV('The List'!AB2:AB671)</f>
        <v>0.14661033139520369</v>
      </c>
      <c r="P118" s="55" cm="1">
        <f t="array" ref="P118">(VLOOKUP($A118,'The List'!$B1:$AH671,28,FALSE)-AVERAGE('The List'!AC2:AC671))/STDEV('The List'!AC2:AC671)</f>
        <v>-0.26337540041130264</v>
      </c>
      <c r="Q118" s="55" cm="1">
        <f t="array" ref="Q118">(VLOOKUP($A118,'The List'!$B1:$AH671,29,FALSE)-AVERAGE('The List'!AD2:AD671))/STDEV('The List'!AD2:AD671)</f>
        <v>2.4803930404896111</v>
      </c>
      <c r="R118" s="55" cm="1">
        <f t="array" ref="R118">(VLOOKUP($A118,'The List'!$B1:$AH671,30,FALSE)-AVERAGE('The List'!AE2:AE671))/STDEV('The List'!AE2:AE671)</f>
        <v>-0.43375074119944279</v>
      </c>
      <c r="S118" s="55" cm="1">
        <f t="array" ref="S118">(VLOOKUP($A118,'The List'!$B1:$AH671,31,FALSE)-AVERAGE('The List'!AF2:AF671))/STDEV('The List'!AF2:AF671)</f>
        <v>-0.59581850454342256</v>
      </c>
      <c r="T118" s="55" cm="1">
        <f t="array" ref="T118">(VLOOKUP($A118,'The List'!$B1:$AH671,32,FALSE)-AVERAGE('The List'!AG2:AG671))/STDEV('The List'!AG2:AG671)</f>
        <v>-0.64684275008198677</v>
      </c>
      <c r="U118" s="55" cm="1">
        <f t="array" ref="U118">(VLOOKUP($A118,'The List'!$B1:$AH671,33,FALSE)-AVERAGE('The List'!AH2:AH671))/STDEV('The List'!AH2:AH671)</f>
        <v>-1.2552626683789523</v>
      </c>
      <c r="V118" s="55"/>
      <c r="W118" s="77"/>
      <c r="X118" s="57"/>
      <c r="Y118" s="57"/>
      <c r="Z118" s="57"/>
      <c r="AA118" s="57"/>
      <c r="AB118" s="57"/>
      <c r="AC118" s="60"/>
      <c r="AD118" s="61"/>
      <c r="AE118" s="55"/>
    </row>
    <row r="119" spans="1:31" ht="21.25" customHeight="1" x14ac:dyDescent="0.15">
      <c r="A119" s="10" t="s">
        <v>313</v>
      </c>
      <c r="B119" s="18" t="str" cm="1">
        <f t="array" ref="B119">VLOOKUP(A119,'Player Data'!A1:B673,2,FALSE)</f>
        <v>VAN</v>
      </c>
      <c r="C119" s="52" cm="1">
        <f t="array" ref="C119">((E119)*Settings!$C$12)+(F119*Settings!$C$2)+(G119*Settings!$C$3)+(H119*Settings!$C$4)+(I119*Settings!$C$5)+(K119*Settings!$C$9)+(N119*Settings!$C$6)+(J119*Settings!$C$8)+(O119*Settings!$C$7)+(P119*Settings!$C$14)+(Q119*Settings!$C$15)+(R119*Settings!$C$16)+(S119*Settings!$C$17)+(T119*Settings!$C$18)+(U119*Settings!$C$19)+(L119*Settings!$C$10)+(Settings!$C$11*M119)</f>
        <v>0.904929393653362</v>
      </c>
      <c r="D119" s="57" cm="1">
        <f t="array" ref="D119">IF(Settings!$E$12="YES",VLOOKUP(A119,'Player Data'!A1:E673,5,FALSE),82)</f>
        <v>82</v>
      </c>
      <c r="E119" s="55" cm="1">
        <f t="array" ref="E119">(VLOOKUP($A119,'The List'!$B1:$AH671,17,FALSE)-AVERAGE('The List'!R2:R671))/STDEV('The List'!R2:R671)</f>
        <v>0.65203675837914654</v>
      </c>
      <c r="F119" s="55" cm="1">
        <f t="array" ref="F119">(VLOOKUP($A119,'The List'!$B1:$AH671,18,FALSE)-AVERAGE('The List'!S2:S671))/STDEV('The List'!S2:S671)</f>
        <v>1.4097615950936848</v>
      </c>
      <c r="G119" s="55" cm="1">
        <f t="array" ref="G119">(VLOOKUP($A119,'The List'!$B1:$AH671,19,FALSE)-AVERAGE('The List'!T2:T671))/STDEV('The List'!T2:T671)</f>
        <v>0.41214997884023213</v>
      </c>
      <c r="H119" s="55" cm="1">
        <f t="array" ref="H119">(VLOOKUP($A119,'The List'!$B1:$AH671,20,FALSE)-AVERAGE('The List'!U2:U671))/STDEV('The List'!U2:U671)</f>
        <v>0.8837760116256983</v>
      </c>
      <c r="I119" s="55" cm="1">
        <f t="array" ref="I119">(VLOOKUP($A119,'The List'!$B1:$AH671,21,FALSE)-AVERAGE('The List'!V2:V671))/STDEV('The List'!V2:V671)</f>
        <v>0.98938139317684859</v>
      </c>
      <c r="J119" s="55" cm="1">
        <f t="array" ref="J119">(VLOOKUP($A119,'The List'!$B1:$AH671,22,FALSE)-AVERAGE('The List'!W2:W671))/STDEV('The List'!W2:W671)</f>
        <v>1.5262753965433018</v>
      </c>
      <c r="K119" s="55" cm="1">
        <f t="array" ref="K119">(VLOOKUP($A119,'The List'!$B1:$AH671,23,FALSE)-AVERAGE('The List'!X2:X671))/STDEV('The List'!X2:X671)</f>
        <v>1.258567194122955</v>
      </c>
      <c r="L119" s="55" cm="1">
        <f t="array" ref="L119">(VLOOKUP($A119,'The List'!$B1:$AH671,24,FALSE)-AVERAGE('The List'!Y2:Y671))/STDEV('The List'!Y2:Y671)</f>
        <v>1.0277130538464798</v>
      </c>
      <c r="M119" s="55" cm="1">
        <f t="array" ref="M119">(VLOOKUP($A119,'The List'!$B1:$AH671,25,FALSE)-AVERAGE('The List'!Z2:Z671))/STDEV('The List'!Z2:Z671)</f>
        <v>1.1381711214490962</v>
      </c>
      <c r="N119" s="55" cm="1">
        <f t="array" ref="N119">(VLOOKUP($A119,'The List'!$B1:$AH671,26,FALSE)-AVERAGE('The List'!AA2:AA671))/STDEV('The List'!AA2:AA671)</f>
        <v>-0.74333806034422056</v>
      </c>
      <c r="O119" s="55" cm="1">
        <f t="array" ref="O119">(VLOOKUP($A119,'The List'!$B1:$AH671,27,FALSE)-AVERAGE('The List'!AB2:AB671))/STDEV('The List'!AB2:AB671)</f>
        <v>-0.39045675894604981</v>
      </c>
      <c r="P119" s="55" cm="1">
        <f t="array" ref="P119">(VLOOKUP($A119,'The List'!$B1:$AH671,28,FALSE)-AVERAGE('The List'!AC2:AC671))/STDEV('The List'!AC2:AC671)</f>
        <v>-2.7744740086343089</v>
      </c>
      <c r="Q119" s="55" cm="1">
        <f t="array" ref="Q119">(VLOOKUP($A119,'The List'!$B1:$AH671,29,FALSE)-AVERAGE('The List'!AD2:AD671))/STDEV('The List'!AD2:AD671)</f>
        <v>-1.0409372547789313</v>
      </c>
      <c r="R119" s="55" cm="1">
        <f t="array" ref="R119">(VLOOKUP($A119,'The List'!$B1:$AH671,30,FALSE)-AVERAGE('The List'!AE2:AE671))/STDEV('The List'!AE2:AE671)</f>
        <v>0.70156325498136884</v>
      </c>
      <c r="S119" s="55" cm="1">
        <f t="array" ref="S119">(VLOOKUP($A119,'The List'!$B1:$AH671,31,FALSE)-AVERAGE('The List'!AF2:AF671))/STDEV('The List'!AF2:AF671)</f>
        <v>-0.36322079948073138</v>
      </c>
      <c r="T119" s="55" cm="1">
        <f t="array" ref="T119">(VLOOKUP($A119,'The List'!$B1:$AH671,32,FALSE)-AVERAGE('The List'!AG2:AG671))/STDEV('The List'!AG2:AG671)</f>
        <v>-0.28276798303546019</v>
      </c>
      <c r="U119" s="55" cm="1">
        <f t="array" ref="U119">(VLOOKUP($A119,'The List'!$B1:$AH671,33,FALSE)-AVERAGE('The List'!AH2:AH671))/STDEV('The List'!AH2:AH671)</f>
        <v>0.63070553979323463</v>
      </c>
      <c r="V119" s="55"/>
      <c r="W119" s="77"/>
      <c r="X119" s="57"/>
      <c r="Y119" s="57"/>
      <c r="Z119" s="57"/>
      <c r="AA119" s="57"/>
      <c r="AB119" s="57"/>
      <c r="AC119" s="60"/>
      <c r="AD119" s="61"/>
      <c r="AE119" s="55"/>
    </row>
    <row r="120" spans="1:31" ht="21.25" customHeight="1" x14ac:dyDescent="0.15">
      <c r="A120" s="10" t="s">
        <v>338</v>
      </c>
      <c r="B120" s="18" t="str" cm="1">
        <f t="array" ref="B120">VLOOKUP(A120,'Player Data'!A1:B673,2,FALSE)</f>
        <v>EDM</v>
      </c>
      <c r="C120" s="52" cm="1">
        <f t="array" ref="C120">((E120)*Settings!$C$12)+(F120*Settings!$C$2)+(G120*Settings!$C$3)+(H120*Settings!$C$4)+(I120*Settings!$C$5)+(K120*Settings!$C$9)+(N120*Settings!$C$6)+(J120*Settings!$C$8)+(O120*Settings!$C$7)+(P120*Settings!$C$14)+(Q120*Settings!$C$15)+(R120*Settings!$C$16)+(S120*Settings!$C$17)+(T120*Settings!$C$18)+(U120*Settings!$C$19)+(L120*Settings!$C$10)+(Settings!$C$11*M120)</f>
        <v>4.1391253521735507</v>
      </c>
      <c r="D120" s="57" cm="1">
        <f t="array" ref="D120">IF(Settings!$E$12="YES",VLOOKUP(A120,'Player Data'!A1:E673,5,FALSE),82)</f>
        <v>82</v>
      </c>
      <c r="E120" s="55" cm="1">
        <f t="array" ref="E120">(VLOOKUP($A120,'The List'!$B1:$AH671,17,FALSE)-AVERAGE('The List'!R2:R671))/STDEV('The List'!R2:R671)</f>
        <v>0.38971565662135493</v>
      </c>
      <c r="F120" s="55" cm="1">
        <f t="array" ref="F120">(VLOOKUP($A120,'The List'!$B1:$AH671,18,FALSE)-AVERAGE('The List'!S2:S671))/STDEV('The List'!S2:S671)</f>
        <v>0.59145136913053509</v>
      </c>
      <c r="G120" s="55" cm="1">
        <f t="array" ref="G120">(VLOOKUP($A120,'The List'!$B1:$AH671,19,FALSE)-AVERAGE('The List'!T2:T671))/STDEV('The List'!T2:T671)</f>
        <v>0.93076821263964715</v>
      </c>
      <c r="H120" s="55" cm="1">
        <f t="array" ref="H120">(VLOOKUP($A120,'The List'!$B1:$AH671,20,FALSE)-AVERAGE('The List'!U2:U671))/STDEV('The List'!U2:U671)</f>
        <v>0.84752609849586602</v>
      </c>
      <c r="I120" s="55" cm="1">
        <f t="array" ref="I120">(VLOOKUP($A120,'The List'!$B1:$AH671,21,FALSE)-AVERAGE('The List'!V2:V671))/STDEV('The List'!V2:V671)</f>
        <v>0.52185879945328217</v>
      </c>
      <c r="J120" s="55" cm="1">
        <f t="array" ref="J120">(VLOOKUP($A120,'The List'!$B1:$AH671,22,FALSE)-AVERAGE('The List'!W2:W671))/STDEV('The List'!W2:W671)</f>
        <v>1.7527568445837369</v>
      </c>
      <c r="K120" s="55" cm="1">
        <f t="array" ref="K120">(VLOOKUP($A120,'The List'!$B1:$AH671,23,FALSE)-AVERAGE('The List'!X2:X671))/STDEV('The List'!X2:X671)</f>
        <v>2.0002104647302552</v>
      </c>
      <c r="L120" s="55" cm="1">
        <f t="array" ref="L120">(VLOOKUP($A120,'The List'!$B1:$AH671,24,FALSE)-AVERAGE('The List'!Y2:Y671))/STDEV('The List'!Y2:Y671)</f>
        <v>-0.47546929358800777</v>
      </c>
      <c r="M120" s="55" cm="1">
        <f t="array" ref="M120">(VLOOKUP($A120,'The List'!$B1:$AH671,25,FALSE)-AVERAGE('The List'!Z2:Z671))/STDEV('The List'!Z2:Z671)</f>
        <v>0.24714316765550046</v>
      </c>
      <c r="N120" s="55" cm="1">
        <f t="array" ref="N120">(VLOOKUP($A120,'The List'!$B1:$AH671,26,FALSE)-AVERAGE('The List'!AA2:AA671))/STDEV('The List'!AA2:AA671)</f>
        <v>-0.65956370820342214</v>
      </c>
      <c r="O120" s="55" cm="1">
        <f t="array" ref="O120">(VLOOKUP($A120,'The List'!$B1:$AH671,27,FALSE)-AVERAGE('The List'!AB2:AB671))/STDEV('The List'!AB2:AB671)</f>
        <v>-1.0460065890648775</v>
      </c>
      <c r="P120" s="55" cm="1">
        <f t="array" ref="P120">(VLOOKUP($A120,'The List'!$B1:$AH671,28,FALSE)-AVERAGE('The List'!AC2:AC671))/STDEV('The List'!AC2:AC671)</f>
        <v>1.1408430952847088</v>
      </c>
      <c r="Q120" s="55" cm="1">
        <f t="array" ref="Q120">(VLOOKUP($A120,'The List'!$B1:$AH671,29,FALSE)-AVERAGE('The List'!AD2:AD671))/STDEV('The List'!AD2:AD671)</f>
        <v>-0.25332959746540507</v>
      </c>
      <c r="R120" s="55" cm="1">
        <f t="array" ref="R120">(VLOOKUP($A120,'The List'!$B1:$AH671,30,FALSE)-AVERAGE('The List'!AE2:AE671))/STDEV('The List'!AE2:AE671)</f>
        <v>0.70156325498136884</v>
      </c>
      <c r="S120" s="55" cm="1">
        <f t="array" ref="S120">(VLOOKUP($A120,'The List'!$B1:$AH671,31,FALSE)-AVERAGE('The List'!AF2:AF671))/STDEV('The List'!AF2:AF671)</f>
        <v>0.40553432742138362</v>
      </c>
      <c r="T120" s="55" cm="1">
        <f t="array" ref="T120">(VLOOKUP($A120,'The List'!$B1:$AH671,32,FALSE)-AVERAGE('The List'!AG2:AG671))/STDEV('The List'!AG2:AG671)</f>
        <v>0.50815306261733872</v>
      </c>
      <c r="U120" s="55" cm="1">
        <f t="array" ref="U120">(VLOOKUP($A120,'The List'!$B1:$AH671,33,FALSE)-AVERAGE('The List'!AH2:AH671))/STDEV('The List'!AH2:AH671)</f>
        <v>0.95270011192019333</v>
      </c>
      <c r="V120" s="55"/>
      <c r="W120" s="57"/>
      <c r="X120" s="57"/>
      <c r="Y120" s="57"/>
      <c r="Z120" s="57"/>
      <c r="AA120" s="57"/>
      <c r="AB120" s="57"/>
      <c r="AC120" s="60"/>
      <c r="AD120" s="61"/>
      <c r="AE120" s="55"/>
    </row>
    <row r="121" spans="1:31" ht="21.25" customHeight="1" x14ac:dyDescent="0.15">
      <c r="A121" s="10" t="s">
        <v>281</v>
      </c>
      <c r="B121" s="18" t="str" cm="1">
        <f t="array" ref="B121">VLOOKUP(A121,'Player Data'!A1:B673,2,FALSE)</f>
        <v>BUF</v>
      </c>
      <c r="C121" s="52" cm="1">
        <f t="array" ref="C121">((E121)*Settings!$C$12)+(F121*Settings!$C$2)+(G121*Settings!$C$3)+(H121*Settings!$C$4)+(I121*Settings!$C$5)+(K121*Settings!$C$9)+(N121*Settings!$C$6)+(J121*Settings!$C$8)+(O121*Settings!$C$7)+(P121*Settings!$C$14)+(Q121*Settings!$C$15)+(R121*Settings!$C$16)+(S121*Settings!$C$17)+(T121*Settings!$C$18)+(U121*Settings!$C$19)+(L121*Settings!$C$10)+(Settings!$C$11*M121)</f>
        <v>4.403269154391638</v>
      </c>
      <c r="D121" s="57" cm="1">
        <f t="array" ref="D121">IF(Settings!$E$12="YES",VLOOKUP(A121,'Player Data'!A1:E673,5,FALSE),82)</f>
        <v>79</v>
      </c>
      <c r="E121" s="55" cm="1">
        <f t="array" ref="E121">(VLOOKUP($A121,'The List'!$B1:$AH671,17,FALSE)-AVERAGE('The List'!R2:R671))/STDEV('The List'!R2:R671)</f>
        <v>0.52087620750025077</v>
      </c>
      <c r="F121" s="55" cm="1">
        <f t="array" ref="F121">(VLOOKUP($A121,'The List'!$B1:$AH671,18,FALSE)-AVERAGE('The List'!S2:S671))/STDEV('The List'!S2:S671)</f>
        <v>0.89801832207672949</v>
      </c>
      <c r="G121" s="55" cm="1">
        <f t="array" ref="G121">(VLOOKUP($A121,'The List'!$B1:$AH671,19,FALSE)-AVERAGE('The List'!T2:T671))/STDEV('The List'!T2:T671)</f>
        <v>1.4021626723044818</v>
      </c>
      <c r="H121" s="55" cm="1">
        <f t="array" ref="H121">(VLOOKUP($A121,'The List'!$B1:$AH671,20,FALSE)-AVERAGE('The List'!U2:U671))/STDEV('The List'!U2:U671)</f>
        <v>1.2798726233858138</v>
      </c>
      <c r="I121" s="55" cm="1">
        <f t="array" ref="I121">(VLOOKUP($A121,'The List'!$B1:$AH671,21,FALSE)-AVERAGE('The List'!V2:V671))/STDEV('The List'!V2:V671)</f>
        <v>1.0288772043095933</v>
      </c>
      <c r="J121" s="55" cm="1">
        <f t="array" ref="J121">(VLOOKUP($A121,'The List'!$B1:$AH671,22,FALSE)-AVERAGE('The List'!W2:W671))/STDEV('The List'!W2:W671)</f>
        <v>0.83246881425357744</v>
      </c>
      <c r="K121" s="55" cm="1">
        <f t="array" ref="K121">(VLOOKUP($A121,'The List'!$B1:$AH671,23,FALSE)-AVERAGE('The List'!X2:X671))/STDEV('The List'!X2:X671)</f>
        <v>0.81800295315514959</v>
      </c>
      <c r="L121" s="55" cm="1">
        <f t="array" ref="L121">(VLOOKUP($A121,'The List'!$B1:$AH671,24,FALSE)-AVERAGE('The List'!Y2:Y671))/STDEV('The List'!Y2:Y671)</f>
        <v>0.97271857772082782</v>
      </c>
      <c r="M121" s="55" cm="1">
        <f t="array" ref="M121">(VLOOKUP($A121,'The List'!$B1:$AH671,25,FALSE)-AVERAGE('The List'!Z2:Z671))/STDEV('The List'!Z2:Z671)</f>
        <v>1.072973954098345</v>
      </c>
      <c r="N121" s="55" cm="1">
        <f t="array" ref="N121">(VLOOKUP($A121,'The List'!$B1:$AH671,26,FALSE)-AVERAGE('The List'!AA2:AA671))/STDEV('The List'!AA2:AA671)</f>
        <v>-0.71498759361364528</v>
      </c>
      <c r="O121" s="55" cm="1">
        <f t="array" ref="O121">(VLOOKUP($A121,'The List'!$B1:$AH671,27,FALSE)-AVERAGE('The List'!AB2:AB671))/STDEV('The List'!AB2:AB671)</f>
        <v>-0.66759977655726133</v>
      </c>
      <c r="P121" s="55" cm="1">
        <f t="array" ref="P121">(VLOOKUP($A121,'The List'!$B1:$AH671,28,FALSE)-AVERAGE('The List'!AC2:AC671))/STDEV('The List'!AC2:AC671)</f>
        <v>0.92380777910294509</v>
      </c>
      <c r="Q121" s="55" cm="1">
        <f t="array" ref="Q121">(VLOOKUP($A121,'The List'!$B1:$AH671,29,FALSE)-AVERAGE('The List'!AD2:AD671))/STDEV('The List'!AD2:AD671)</f>
        <v>1.3034146182565463</v>
      </c>
      <c r="R121" s="55" cm="1">
        <f t="array" ref="R121">(VLOOKUP($A121,'The List'!$B1:$AH671,30,FALSE)-AVERAGE('The List'!AE2:AE671))/STDEV('The List'!AE2:AE671)</f>
        <v>1.0209482912695969</v>
      </c>
      <c r="S121" s="55" cm="1">
        <f t="array" ref="S121">(VLOOKUP($A121,'The List'!$B1:$AH671,31,FALSE)-AVERAGE('The List'!AF2:AF671))/STDEV('The List'!AF2:AF671)</f>
        <v>-0.56163558426653681</v>
      </c>
      <c r="T121" s="55" cm="1">
        <f t="array" ref="T121">(VLOOKUP($A121,'The List'!$B1:$AH671,32,FALSE)-AVERAGE('The List'!AG2:AG671))/STDEV('The List'!AG2:AG671)</f>
        <v>-0.56620942628979276</v>
      </c>
      <c r="U121" s="55" cm="1">
        <f t="array" ref="U121">(VLOOKUP($A121,'The List'!$B1:$AH671,33,FALSE)-AVERAGE('The List'!AH2:AH671))/STDEV('The List'!AH2:AH671)</f>
        <v>0.26271174307671047</v>
      </c>
      <c r="V121" s="55"/>
      <c r="W121" s="77"/>
      <c r="X121" s="57"/>
      <c r="Y121" s="57"/>
      <c r="Z121" s="57"/>
      <c r="AA121" s="57"/>
      <c r="AB121" s="57"/>
      <c r="AC121" s="60"/>
      <c r="AD121" s="61"/>
      <c r="AE121" s="55"/>
    </row>
    <row r="122" spans="1:31" ht="21.25" customHeight="1" x14ac:dyDescent="0.15">
      <c r="A122" s="10" t="s">
        <v>176</v>
      </c>
      <c r="B122" s="18" t="str" cm="1">
        <f t="array" ref="B122">VLOOKUP(A122,'Player Data'!A1:B673,2,FALSE)</f>
        <v>DAL</v>
      </c>
      <c r="C122" s="52" cm="1">
        <f t="array" ref="C122">((E122)*Settings!$C$12)+(F122*Settings!$C$2)+(G122*Settings!$C$3)+(H122*Settings!$C$4)+(I122*Settings!$C$5)+(K122*Settings!$C$9)+(N122*Settings!$C$6)+(J122*Settings!$C$8)+(O122*Settings!$C$7)+(P122*Settings!$C$14)+(Q122*Settings!$C$15)+(R122*Settings!$C$16)+(S122*Settings!$C$17)+(T122*Settings!$C$18)+(U122*Settings!$C$19)+(L122*Settings!$C$10)+(Settings!$C$11*M122)</f>
        <v>2.9948208332653392</v>
      </c>
      <c r="D122" s="57" cm="1">
        <f t="array" ref="D122">IF(Settings!$E$12="YES",VLOOKUP(A122,'Player Data'!A1:E673,5,FALSE),82)</f>
        <v>78</v>
      </c>
      <c r="E122" s="55" cm="1">
        <f t="array" ref="E122">(VLOOKUP($A122,'The List'!$B1:$AH671,17,FALSE)-AVERAGE('The List'!R2:R671))/STDEV('The List'!R2:R671)</f>
        <v>2.1997312587501168</v>
      </c>
      <c r="F122" s="55" cm="1">
        <f t="array" ref="F122">(VLOOKUP($A122,'The List'!$B1:$AH671,18,FALSE)-AVERAGE('The List'!S2:S671))/STDEV('The List'!S2:S671)</f>
        <v>-0.43842198842308727</v>
      </c>
      <c r="G122" s="55" cm="1">
        <f t="array" ref="G122">(VLOOKUP($A122,'The List'!$B1:$AH671,19,FALSE)-AVERAGE('The List'!T2:T671))/STDEV('The List'!T2:T671)</f>
        <v>1.4620356716536818</v>
      </c>
      <c r="H122" s="55" cm="1">
        <f t="array" ref="H122">(VLOOKUP($A122,'The List'!$B1:$AH671,20,FALSE)-AVERAGE('The List'!U2:U671))/STDEV('The List'!U2:U671)</f>
        <v>0.72551419576618725</v>
      </c>
      <c r="I122" s="55" cm="1">
        <f t="array" ref="I122">(VLOOKUP($A122,'The List'!$B1:$AH671,21,FALSE)-AVERAGE('The List'!V2:V671))/STDEV('The List'!V2:V671)</f>
        <v>0.47071811662173157</v>
      </c>
      <c r="J122" s="55" cm="1">
        <f t="array" ref="J122">(VLOOKUP($A122,'The List'!$B1:$AH671,22,FALSE)-AVERAGE('The List'!W2:W671))/STDEV('The List'!W2:W671)</f>
        <v>-0.30767193880851701</v>
      </c>
      <c r="K122" s="55" cm="1">
        <f t="array" ref="K122">(VLOOKUP($A122,'The List'!$B1:$AH671,23,FALSE)-AVERAGE('The List'!X2:X671))/STDEV('The List'!X2:X671)</f>
        <v>1.2364585871400817</v>
      </c>
      <c r="L122" s="55" cm="1">
        <f t="array" ref="L122">(VLOOKUP($A122,'The List'!$B1:$AH671,24,FALSE)-AVERAGE('The List'!Y2:Y671))/STDEV('The List'!Y2:Y671)</f>
        <v>0.95438708567894381</v>
      </c>
      <c r="M122" s="55" cm="1">
        <f t="array" ref="M122">(VLOOKUP($A122,'The List'!$B1:$AH671,25,FALSE)-AVERAGE('The List'!Z2:Z671))/STDEV('The List'!Z2:Z671)</f>
        <v>0.20367838942166649</v>
      </c>
      <c r="N122" s="55" cm="1">
        <f t="array" ref="N122">(VLOOKUP($A122,'The List'!$B1:$AH671,26,FALSE)-AVERAGE('The List'!AA2:AA671))/STDEV('The List'!AA2:AA671)</f>
        <v>1.7836846228297414</v>
      </c>
      <c r="O122" s="55" cm="1">
        <f t="array" ref="O122">(VLOOKUP($A122,'The List'!$B1:$AH671,27,FALSE)-AVERAGE('The List'!AB2:AB671))/STDEV('The List'!AB2:AB671)</f>
        <v>-0.98533030710265945</v>
      </c>
      <c r="P122" s="55" cm="1">
        <f t="array" ref="P122">(VLOOKUP($A122,'The List'!$B1:$AH671,28,FALSE)-AVERAGE('The List'!AC2:AC671))/STDEV('The List'!AC2:AC671)</f>
        <v>1.2493607533755908</v>
      </c>
      <c r="Q122" s="55" cm="1">
        <f t="array" ref="Q122">(VLOOKUP($A122,'The List'!$B1:$AH671,29,FALSE)-AVERAGE('The List'!AD2:AD671))/STDEV('The List'!AD2:AD671)</f>
        <v>-0.18387826558222348</v>
      </c>
      <c r="R122" s="55" cm="1">
        <f t="array" ref="R122">(VLOOKUP($A122,'The List'!$B1:$AH671,30,FALSE)-AVERAGE('The List'!AE2:AE671))/STDEV('The List'!AE2:AE671)</f>
        <v>-0.37137085129939812</v>
      </c>
      <c r="S122" s="55" cm="1">
        <f t="array" ref="S122">(VLOOKUP($A122,'The List'!$B1:$AH671,31,FALSE)-AVERAGE('The List'!AF2:AF671))/STDEV('The List'!AF2:AF671)</f>
        <v>-0.59581850454342256</v>
      </c>
      <c r="T122" s="55" cm="1">
        <f t="array" ref="T122">(VLOOKUP($A122,'The List'!$B1:$AH671,32,FALSE)-AVERAGE('The List'!AG2:AG671))/STDEV('The List'!AG2:AG671)</f>
        <v>-0.64684275008198677</v>
      </c>
      <c r="U122" s="55" cm="1">
        <f t="array" ref="U122">(VLOOKUP($A122,'The List'!$B1:$AH671,33,FALSE)-AVERAGE('The List'!AH2:AH671))/STDEV('The List'!AH2:AH671)</f>
        <v>-1.2552626683789523</v>
      </c>
      <c r="V122" s="55"/>
      <c r="W122" s="77"/>
      <c r="X122" s="57"/>
      <c r="Y122" s="57"/>
      <c r="Z122" s="57"/>
      <c r="AA122" s="57"/>
      <c r="AB122" s="57"/>
      <c r="AC122" s="60"/>
      <c r="AD122" s="61"/>
      <c r="AE122" s="55"/>
    </row>
    <row r="123" spans="1:31" ht="21.25" customHeight="1" x14ac:dyDescent="0.15">
      <c r="A123" s="10" t="s">
        <v>372</v>
      </c>
      <c r="B123" s="18" t="str" cm="1">
        <f t="array" ref="B123">VLOOKUP(A123,'Player Data'!A1:B673,2,FALSE)</f>
        <v>ANA</v>
      </c>
      <c r="C123" s="52" cm="1">
        <f t="array" ref="C123">((E123)*Settings!$C$12)+(F123*Settings!$C$2)+(G123*Settings!$C$3)+(H123*Settings!$C$4)+(I123*Settings!$C$5)+(K123*Settings!$C$9)+(N123*Settings!$C$6)+(J123*Settings!$C$8)+(O123*Settings!$C$7)+(P123*Settings!$C$14)+(Q123*Settings!$C$15)+(R123*Settings!$C$16)+(S123*Settings!$C$17)+(T123*Settings!$C$18)+(U123*Settings!$C$19)+(L123*Settings!$C$10)+(Settings!$C$11*M123)</f>
        <v>1.935815440417896</v>
      </c>
      <c r="D123" s="57" cm="1">
        <f t="array" ref="D123">IF(Settings!$E$12="YES",VLOOKUP(A123,'Player Data'!A1:E673,5,FALSE),82)</f>
        <v>79</v>
      </c>
      <c r="E123" s="55" cm="1">
        <f t="array" ref="E123">(VLOOKUP($A123,'The List'!$B1:$AH671,17,FALSE)-AVERAGE('The List'!R2:R671))/STDEV('The List'!R2:R671)</f>
        <v>0.44217987697291306</v>
      </c>
      <c r="F123" s="55" cm="1">
        <f t="array" ref="F123">(VLOOKUP($A123,'The List'!$B1:$AH671,18,FALSE)-AVERAGE('The List'!S2:S671))/STDEV('The List'!S2:S671)</f>
        <v>0.75611135362312021</v>
      </c>
      <c r="G123" s="55" cm="1">
        <f t="array" ref="G123">(VLOOKUP($A123,'The List'!$B1:$AH671,19,FALSE)-AVERAGE('The List'!T2:T671))/STDEV('The List'!T2:T671)</f>
        <v>0.89141506752749677</v>
      </c>
      <c r="H123" s="55" cm="1">
        <f t="array" ref="H123">(VLOOKUP($A123,'The List'!$B1:$AH671,20,FALSE)-AVERAGE('The List'!U2:U671))/STDEV('The List'!U2:U671)</f>
        <v>0.89571195863186237</v>
      </c>
      <c r="I123" s="55" cm="1">
        <f t="array" ref="I123">(VLOOKUP($A123,'The List'!$B1:$AH671,21,FALSE)-AVERAGE('The List'!V2:V671))/STDEV('The List'!V2:V671)</f>
        <v>0.49110528072349846</v>
      </c>
      <c r="J123" s="55" cm="1">
        <f t="array" ref="J123">(VLOOKUP($A123,'The List'!$B1:$AH671,22,FALSE)-AVERAGE('The List'!W2:W671))/STDEV('The List'!W2:W671)</f>
        <v>0.78882970597261559</v>
      </c>
      <c r="K123" s="55" cm="1">
        <f t="array" ref="K123">(VLOOKUP($A123,'The List'!$B1:$AH671,23,FALSE)-AVERAGE('The List'!X2:X671))/STDEV('The List'!X2:X671)</f>
        <v>0.94502694963856793</v>
      </c>
      <c r="L123" s="55" cm="1">
        <f t="array" ref="L123">(VLOOKUP($A123,'The List'!$B1:$AH671,24,FALSE)-AVERAGE('The List'!Y2:Y671))/STDEV('The List'!Y2:Y671)</f>
        <v>-0.47546929358800777</v>
      </c>
      <c r="M123" s="55" cm="1">
        <f t="array" ref="M123">(VLOOKUP($A123,'The List'!$B1:$AH671,25,FALSE)-AVERAGE('The List'!Z2:Z671))/STDEV('The List'!Z2:Z671)</f>
        <v>0.21454458398012499</v>
      </c>
      <c r="N123" s="55" cm="1">
        <f t="array" ref="N123">(VLOOKUP($A123,'The List'!$B1:$AH671,26,FALSE)-AVERAGE('The List'!AA2:AA671))/STDEV('The List'!AA2:AA671)</f>
        <v>-0.23073097270220091</v>
      </c>
      <c r="O123" s="55" cm="1">
        <f t="array" ref="O123">(VLOOKUP($A123,'The List'!$B1:$AH671,27,FALSE)-AVERAGE('The List'!AB2:AB671))/STDEV('The List'!AB2:AB671)</f>
        <v>-0.69998779192898586</v>
      </c>
      <c r="P123" s="55" cm="1">
        <f t="array" ref="P123">(VLOOKUP($A123,'The List'!$B1:$AH671,28,FALSE)-AVERAGE('The List'!AC2:AC671))/STDEV('The List'!AC2:AC671)</f>
        <v>-0.4478554191658019</v>
      </c>
      <c r="Q123" s="55" cm="1">
        <f t="array" ref="Q123">(VLOOKUP($A123,'The List'!$B1:$AH671,29,FALSE)-AVERAGE('The List'!AD2:AD671))/STDEV('The List'!AD2:AD671)</f>
        <v>-0.33090821286683125</v>
      </c>
      <c r="R123" s="55" cm="1">
        <f t="array" ref="R123">(VLOOKUP($A123,'The List'!$B1:$AH671,30,FALSE)-AVERAGE('The List'!AE2:AE671))/STDEV('The List'!AE2:AE671)</f>
        <v>0.62670738710131524</v>
      </c>
      <c r="S123" s="55" cm="1">
        <f t="array" ref="S123">(VLOOKUP($A123,'The List'!$B1:$AH671,31,FALSE)-AVERAGE('The List'!AF2:AF671))/STDEV('The List'!AF2:AF671)</f>
        <v>1.6298694157071409</v>
      </c>
      <c r="T123" s="55" cm="1">
        <f t="array" ref="T123">(VLOOKUP($A123,'The List'!$B1:$AH671,32,FALSE)-AVERAGE('The List'!AG2:AG671))/STDEV('The List'!AG2:AG671)</f>
        <v>1.8245686241487586</v>
      </c>
      <c r="U123" s="55" cm="1">
        <f t="array" ref="U123">(VLOOKUP($A123,'The List'!$B1:$AH671,33,FALSE)-AVERAGE('The List'!AH2:AH671))/STDEV('The List'!AH2:AH671)</f>
        <v>0.99869933650975895</v>
      </c>
      <c r="V123" s="55"/>
      <c r="W123" s="57"/>
      <c r="X123" s="55"/>
      <c r="Y123" s="55"/>
      <c r="Z123" s="55"/>
      <c r="AA123" s="55"/>
      <c r="AB123" s="55"/>
      <c r="AC123" s="55"/>
      <c r="AD123" s="55"/>
      <c r="AE123" s="55"/>
    </row>
    <row r="124" spans="1:31" ht="21.25" customHeight="1" x14ac:dyDescent="0.15">
      <c r="A124" s="10" t="s">
        <v>273</v>
      </c>
      <c r="B124" s="18" t="str" cm="1">
        <f t="array" ref="B124">VLOOKUP(A124,'Player Data'!A1:B673,2,FALSE)</f>
        <v>WSH</v>
      </c>
      <c r="C124" s="52" cm="1">
        <f t="array" ref="C124">((E124)*Settings!$C$12)+(F124*Settings!$C$2)+(G124*Settings!$C$3)+(H124*Settings!$C$4)+(I124*Settings!$C$5)+(K124*Settings!$C$9)+(N124*Settings!$C$6)+(J124*Settings!$C$8)+(O124*Settings!$C$7)+(P124*Settings!$C$14)+(Q124*Settings!$C$15)+(R124*Settings!$C$16)+(S124*Settings!$C$17)+(T124*Settings!$C$18)+(U124*Settings!$C$19)+(L124*Settings!$C$10)+(Settings!$C$11*M124)</f>
        <v>5.2377229918545627</v>
      </c>
      <c r="D124" s="57" cm="1">
        <f t="array" ref="D124">IF(Settings!$E$12="YES",VLOOKUP(A124,'Player Data'!A1:E673,5,FALSE),82)</f>
        <v>82</v>
      </c>
      <c r="E124" s="55" cm="1">
        <f t="array" ref="E124">(VLOOKUP($A124,'The List'!$B1:$AH671,17,FALSE)-AVERAGE('The List'!R2:R671))/STDEV('The List'!R2:R671)</f>
        <v>-0.21362287742156597</v>
      </c>
      <c r="F124" s="55" cm="1">
        <f t="array" ref="F124">(VLOOKUP($A124,'The List'!$B1:$AH671,18,FALSE)-AVERAGE('The List'!S2:S671))/STDEV('The List'!S2:S671)</f>
        <v>1.507958822209263</v>
      </c>
      <c r="G124" s="55" cm="1">
        <f t="array" ref="G124">(VLOOKUP($A124,'The List'!$B1:$AH671,19,FALSE)-AVERAGE('The List'!T2:T671))/STDEV('The List'!T2:T671)</f>
        <v>0.80975729141978403</v>
      </c>
      <c r="H124" s="55" cm="1">
        <f t="array" ref="H124">(VLOOKUP($A124,'The List'!$B1:$AH671,20,FALSE)-AVERAGE('The List'!U2:U671))/STDEV('The List'!U2:U671)</f>
        <v>1.1774003079773376</v>
      </c>
      <c r="I124" s="55" cm="1">
        <f t="array" ref="I124">(VLOOKUP($A124,'The List'!$B1:$AH671,21,FALSE)-AVERAGE('The List'!V2:V671))/STDEV('The List'!V2:V671)</f>
        <v>1.5943272947524938</v>
      </c>
      <c r="J124" s="55" cm="1">
        <f t="array" ref="J124">(VLOOKUP($A124,'The List'!$B1:$AH671,22,FALSE)-AVERAGE('The List'!W2:W671))/STDEV('The List'!W2:W671)</f>
        <v>1.0053680660503004</v>
      </c>
      <c r="K124" s="55" cm="1">
        <f t="array" ref="K124">(VLOOKUP($A124,'The List'!$B1:$AH671,23,FALSE)-AVERAGE('The List'!X2:X671))/STDEV('The List'!X2:X671)</f>
        <v>1.0113527705871885</v>
      </c>
      <c r="L124" s="55" cm="1">
        <f t="array" ref="L124">(VLOOKUP($A124,'The List'!$B1:$AH671,24,FALSE)-AVERAGE('The List'!Y2:Y671))/STDEV('The List'!Y2:Y671)</f>
        <v>-0.47546929358800777</v>
      </c>
      <c r="M124" s="55" cm="1">
        <f t="array" ref="M124">(VLOOKUP($A124,'The List'!$B1:$AH671,25,FALSE)-AVERAGE('The List'!Z2:Z671))/STDEV('The List'!Z2:Z671)</f>
        <v>-0.64388478613809508</v>
      </c>
      <c r="N124" s="55" cm="1">
        <f t="array" ref="N124">(VLOOKUP($A124,'The List'!$B1:$AH671,26,FALSE)-AVERAGE('The List'!AA2:AA671))/STDEV('The List'!AA2:AA671)</f>
        <v>-0.74333806034422056</v>
      </c>
      <c r="O124" s="55" cm="1">
        <f t="array" ref="O124">(VLOOKUP($A124,'The List'!$B1:$AH671,27,FALSE)-AVERAGE('The List'!AB2:AB671))/STDEV('The List'!AB2:AB671)</f>
        <v>-1.1468604090831584</v>
      </c>
      <c r="P124" s="55" cm="1">
        <f t="array" ref="P124">(VLOOKUP($A124,'The List'!$B1:$AH671,28,FALSE)-AVERAGE('The List'!AC2:AC671))/STDEV('The List'!AC2:AC671)</f>
        <v>1.4611872219689923</v>
      </c>
      <c r="Q124" s="55" cm="1">
        <f t="array" ref="Q124">(VLOOKUP($A124,'The List'!$B1:$AH671,29,FALSE)-AVERAGE('The List'!AD2:AD671))/STDEV('The List'!AD2:AD671)</f>
        <v>-0.98035205037019846</v>
      </c>
      <c r="R124" s="55" cm="1">
        <f t="array" ref="R124">(VLOOKUP($A124,'The List'!$B1:$AH671,30,FALSE)-AVERAGE('The List'!AE2:AE671))/STDEV('The List'!AE2:AE671)</f>
        <v>1.4688359007519174</v>
      </c>
      <c r="S124" s="55" cm="1">
        <f t="array" ref="S124">(VLOOKUP($A124,'The List'!$B1:$AH671,31,FALSE)-AVERAGE('The List'!AF2:AF671))/STDEV('The List'!AF2:AF671)</f>
        <v>-0.58004916860696898</v>
      </c>
      <c r="T124" s="55" cm="1">
        <f t="array" ref="T124">(VLOOKUP($A124,'The List'!$B1:$AH671,32,FALSE)-AVERAGE('The List'!AG2:AG671))/STDEV('The List'!AG2:AG671)</f>
        <v>-0.58825600595955718</v>
      </c>
      <c r="U124" s="55" cm="1">
        <f t="array" ref="U124">(VLOOKUP($A124,'The List'!$B1:$AH671,33,FALSE)-AVERAGE('The List'!AH2:AH671))/STDEV('The List'!AH2:AH671)</f>
        <v>-0.15128127822937942</v>
      </c>
      <c r="V124" s="55"/>
      <c r="W124" s="77"/>
      <c r="X124" s="57"/>
      <c r="Y124" s="57"/>
      <c r="Z124" s="57"/>
      <c r="AA124" s="57"/>
      <c r="AB124" s="57"/>
      <c r="AC124" s="60"/>
      <c r="AD124" s="61"/>
      <c r="AE124" s="55"/>
    </row>
    <row r="125" spans="1:31" ht="21.25" customHeight="1" x14ac:dyDescent="0.15">
      <c r="A125" s="10" t="s">
        <v>331</v>
      </c>
      <c r="B125" s="18" t="str" cm="1">
        <f t="array" ref="B125">VLOOKUP(A125,'Player Data'!A1:B673,2,FALSE)</f>
        <v>STL</v>
      </c>
      <c r="C125" s="52" cm="1">
        <f t="array" ref="C125">((E125)*Settings!$C$12)+(F125*Settings!$C$2)+(G125*Settings!$C$3)+(H125*Settings!$C$4)+(I125*Settings!$C$5)+(K125*Settings!$C$9)+(N125*Settings!$C$6)+(J125*Settings!$C$8)+(O125*Settings!$C$7)+(P125*Settings!$C$14)+(Q125*Settings!$C$15)+(R125*Settings!$C$16)+(S125*Settings!$C$17)+(T125*Settings!$C$18)+(U125*Settings!$C$19)+(L125*Settings!$C$10)+(Settings!$C$11*M125)</f>
        <v>2.6789282143720397</v>
      </c>
      <c r="D125" s="57" cm="1">
        <f t="array" ref="D125">IF(Settings!$E$12="YES",VLOOKUP(A125,'Player Data'!A1:E673,5,FALSE),82)</f>
        <v>80</v>
      </c>
      <c r="E125" s="55" cm="1">
        <f t="array" ref="E125">(VLOOKUP($A125,'The List'!$B1:$AH671,17,FALSE)-AVERAGE('The List'!R2:R671))/STDEV('The List'!R2:R671)</f>
        <v>4.8698224336225657E-2</v>
      </c>
      <c r="F125" s="55" cm="1">
        <f t="array" ref="F125">(VLOOKUP($A125,'The List'!$B1:$AH671,18,FALSE)-AVERAGE('The List'!S2:S671))/STDEV('The List'!S2:S671)</f>
        <v>0.94272600271471629</v>
      </c>
      <c r="G125" s="55" cm="1">
        <f t="array" ref="G125">(VLOOKUP($A125,'The List'!$B1:$AH671,19,FALSE)-AVERAGE('The List'!T2:T671))/STDEV('The List'!T2:T671)</f>
        <v>0.58642819290832826</v>
      </c>
      <c r="H125" s="55" cm="1">
        <f t="array" ref="H125">(VLOOKUP($A125,'The List'!$B1:$AH671,20,FALSE)-AVERAGE('The List'!U2:U671))/STDEV('The List'!U2:U671)</f>
        <v>0.78652014713102691</v>
      </c>
      <c r="I125" s="55" cm="1">
        <f t="array" ref="I125">(VLOOKUP($A125,'The List'!$B1:$AH671,21,FALSE)-AVERAGE('The List'!V2:V671))/STDEV('The List'!V2:V671)</f>
        <v>0.89815747245029909</v>
      </c>
      <c r="J125" s="55" cm="1">
        <f t="array" ref="J125">(VLOOKUP($A125,'The List'!$B1:$AH671,22,FALSE)-AVERAGE('The List'!W2:W671))/STDEV('The List'!W2:W671)</f>
        <v>1.0291209984057605</v>
      </c>
      <c r="K125" s="55" cm="1">
        <f t="array" ref="K125">(VLOOKUP($A125,'The List'!$B1:$AH671,23,FALSE)-AVERAGE('The List'!X2:X671))/STDEV('The List'!X2:X671)</f>
        <v>0.64555581868873668</v>
      </c>
      <c r="L125" s="55" cm="1">
        <f t="array" ref="L125">(VLOOKUP($A125,'The List'!$B1:$AH671,24,FALSE)-AVERAGE('The List'!Y2:Y671))/STDEV('The List'!Y2:Y671)</f>
        <v>-0.47546929358800777</v>
      </c>
      <c r="M125" s="55" cm="1">
        <f t="array" ref="M125">(VLOOKUP($A125,'The List'!$B1:$AH671,25,FALSE)-AVERAGE('The List'!Z2:Z671))/STDEV('The List'!Z2:Z671)</f>
        <v>-0.64388478613809508</v>
      </c>
      <c r="N125" s="55" cm="1">
        <f t="array" ref="N125">(VLOOKUP($A125,'The List'!$B1:$AH671,26,FALSE)-AVERAGE('The List'!AA2:AA671))/STDEV('The List'!AA2:AA671)</f>
        <v>-0.68306139234047514</v>
      </c>
      <c r="O125" s="55" cm="1">
        <f t="array" ref="O125">(VLOOKUP($A125,'The List'!$B1:$AH671,27,FALSE)-AVERAGE('The List'!AB2:AB671))/STDEV('The List'!AB2:AB671)</f>
        <v>0.23188510604480722</v>
      </c>
      <c r="P125" s="55" cm="1">
        <f t="array" ref="P125">(VLOOKUP($A125,'The List'!$B1:$AH671,28,FALSE)-AVERAGE('The List'!AC2:AC671))/STDEV('The List'!AC2:AC671)</f>
        <v>-0.62582437843484817</v>
      </c>
      <c r="Q125" s="55" cm="1">
        <f t="array" ref="Q125">(VLOOKUP($A125,'The List'!$B1:$AH671,29,FALSE)-AVERAGE('The List'!AD2:AD671))/STDEV('The List'!AD2:AD671)</f>
        <v>1.4681768204900509</v>
      </c>
      <c r="R125" s="55" cm="1">
        <f t="array" ref="R125">(VLOOKUP($A125,'The List'!$B1:$AH671,30,FALSE)-AVERAGE('The List'!AE2:AE671))/STDEV('The List'!AE2:AE671)</f>
        <v>0.65165934306133311</v>
      </c>
      <c r="S125" s="55" cm="1">
        <f t="array" ref="S125">(VLOOKUP($A125,'The List'!$B1:$AH671,31,FALSE)-AVERAGE('The List'!AF2:AF671))/STDEV('The List'!AF2:AF671)</f>
        <v>1.7080430139774876</v>
      </c>
      <c r="T125" s="55" cm="1">
        <f t="array" ref="T125">(VLOOKUP($A125,'The List'!$B1:$AH671,32,FALSE)-AVERAGE('The List'!AG2:AG671))/STDEV('The List'!AG2:AG671)</f>
        <v>1.7823637135309458</v>
      </c>
      <c r="U125" s="55" cm="1">
        <f t="array" ref="U125">(VLOOKUP($A125,'The List'!$B1:$AH671,33,FALSE)-AVERAGE('The List'!AH2:AH671))/STDEV('The List'!AH2:AH671)</f>
        <v>1.0446985610993245</v>
      </c>
      <c r="V125" s="55"/>
      <c r="W125" s="57"/>
      <c r="X125" s="55"/>
      <c r="Y125" s="55"/>
      <c r="Z125" s="55"/>
      <c r="AA125" s="55"/>
      <c r="AB125" s="55"/>
      <c r="AC125" s="55"/>
      <c r="AD125" s="55"/>
      <c r="AE125" s="55"/>
    </row>
    <row r="126" spans="1:31" ht="21.25" customHeight="1" x14ac:dyDescent="0.15">
      <c r="A126" s="10" t="s">
        <v>283</v>
      </c>
      <c r="B126" s="18" t="str" cm="1">
        <f t="array" ref="B126">VLOOKUP(A126,'Player Data'!A1:B673,2,FALSE)</f>
        <v>COL</v>
      </c>
      <c r="C126" s="52" cm="1">
        <f t="array" ref="C126">((E126)*Settings!$C$12)+(F126*Settings!$C$2)+(G126*Settings!$C$3)+(H126*Settings!$C$4)+(I126*Settings!$C$5)+(K126*Settings!$C$9)+(N126*Settings!$C$6)+(J126*Settings!$C$8)+(O126*Settings!$C$7)+(P126*Settings!$C$14)+(Q126*Settings!$C$15)+(R126*Settings!$C$16)+(S126*Settings!$C$17)+(T126*Settings!$C$18)+(U126*Settings!$C$19)+(L126*Settings!$C$10)+(Settings!$C$11*M126)</f>
        <v>4.6672198059600962</v>
      </c>
      <c r="D126" s="57" cm="1">
        <f t="array" ref="D126">IF(Settings!$E$12="YES",VLOOKUP(A126,'Player Data'!A1:E673,5,FALSE),82)</f>
        <v>84</v>
      </c>
      <c r="E126" s="55" cm="1">
        <f t="array" ref="E126">(VLOOKUP($A126,'The List'!$B1:$AH671,17,FALSE)-AVERAGE('The List'!R2:R671))/STDEV('The List'!R2:R671)</f>
        <v>0.52087620750025077</v>
      </c>
      <c r="F126" s="55" cm="1">
        <f t="array" ref="F126">(VLOOKUP($A126,'The List'!$B1:$AH671,18,FALSE)-AVERAGE('The List'!S2:S671))/STDEV('The List'!S2:S671)</f>
        <v>1.3937945662944038</v>
      </c>
      <c r="G126" s="55" cm="1">
        <f t="array" ref="G126">(VLOOKUP($A126,'The List'!$B1:$AH671,19,FALSE)-AVERAGE('The List'!T2:T671))/STDEV('The List'!T2:T671)</f>
        <v>0.46274687969871159</v>
      </c>
      <c r="H126" s="55" cm="1">
        <f t="array" ref="H126">(VLOOKUP($A126,'The List'!$B1:$AH671,20,FALSE)-AVERAGE('The List'!U2:U671))/STDEV('The List'!U2:U671)</f>
        <v>0.90853204986070535</v>
      </c>
      <c r="I126" s="55" cm="1">
        <f t="array" ref="I126">(VLOOKUP($A126,'The List'!$B1:$AH671,21,FALSE)-AVERAGE('The List'!V2:V671))/STDEV('The List'!V2:V671)</f>
        <v>1.1538608866080513</v>
      </c>
      <c r="J126" s="55" cm="1">
        <f t="array" ref="J126">(VLOOKUP($A126,'The List'!$B1:$AH671,22,FALSE)-AVERAGE('The List'!W2:W671))/STDEV('The List'!W2:W671)</f>
        <v>0.88549861672158203</v>
      </c>
      <c r="K126" s="55" cm="1">
        <f t="array" ref="K126">(VLOOKUP($A126,'The List'!$B1:$AH671,23,FALSE)-AVERAGE('The List'!X2:X671))/STDEV('The List'!X2:X671)</f>
        <v>0.4646672161015904</v>
      </c>
      <c r="L126" s="55" cm="1">
        <f t="array" ref="L126">(VLOOKUP($A126,'The List'!$B1:$AH671,24,FALSE)-AVERAGE('The List'!Y2:Y671))/STDEV('The List'!Y2:Y671)</f>
        <v>1.0643760379302476</v>
      </c>
      <c r="M126" s="55" cm="1">
        <f t="array" ref="M126">(VLOOKUP($A126,'The List'!$B1:$AH671,25,FALSE)-AVERAGE('The List'!Z2:Z671))/STDEV('The List'!Z2:Z671)</f>
        <v>2.0943962425934424</v>
      </c>
      <c r="N126" s="55" cm="1">
        <f t="array" ref="N126">(VLOOKUP($A126,'The List'!$B1:$AH671,26,FALSE)-AVERAGE('The List'!AA2:AA671))/STDEV('The List'!AA2:AA671)</f>
        <v>-0.12116024993268106</v>
      </c>
      <c r="O126" s="55" cm="1">
        <f t="array" ref="O126">(VLOOKUP($A126,'The List'!$B1:$AH671,27,FALSE)-AVERAGE('The List'!AB2:AB671))/STDEV('The List'!AB2:AB671)</f>
        <v>-0.89062611025622462</v>
      </c>
      <c r="P126" s="55" cm="1">
        <f t="array" ref="P126">(VLOOKUP($A126,'The List'!$B1:$AH671,28,FALSE)-AVERAGE('The List'!AC2:AC671))/STDEV('The List'!AC2:AC671)</f>
        <v>2.082776367513564</v>
      </c>
      <c r="Q126" s="55" cm="1">
        <f t="array" ref="Q126">(VLOOKUP($A126,'The List'!$B1:$AH671,29,FALSE)-AVERAGE('The List'!AD2:AD671))/STDEV('The List'!AD2:AD671)</f>
        <v>-7.7484735888839237E-2</v>
      </c>
      <c r="R126" s="55" cm="1">
        <f t="array" ref="R126">(VLOOKUP($A126,'The List'!$B1:$AH671,30,FALSE)-AVERAGE('The List'!AE2:AE671))/STDEV('The List'!AE2:AE671)</f>
        <v>1.7994493172221533</v>
      </c>
      <c r="S126" s="55" cm="1">
        <f t="array" ref="S126">(VLOOKUP($A126,'The List'!$B1:$AH671,31,FALSE)-AVERAGE('The List'!AF2:AF671))/STDEV('The List'!AF2:AF671)</f>
        <v>2.5986258764374486</v>
      </c>
      <c r="T126" s="55" cm="1">
        <f t="array" ref="T126">(VLOOKUP($A126,'The List'!$B1:$AH671,32,FALSE)-AVERAGE('The List'!AG2:AG671))/STDEV('The List'!AG2:AG671)</f>
        <v>2.7697646937406732</v>
      </c>
      <c r="U126" s="55" cm="1">
        <f t="array" ref="U126">(VLOOKUP($A126,'The List'!$B1:$AH671,33,FALSE)-AVERAGE('The List'!AH2:AH671))/STDEV('The List'!AH2:AH671)</f>
        <v>1.0446985610993245</v>
      </c>
      <c r="V126" s="55"/>
      <c r="W126" s="77"/>
      <c r="X126" s="57"/>
      <c r="Y126" s="57"/>
      <c r="Z126" s="57"/>
      <c r="AA126" s="57"/>
      <c r="AB126" s="57"/>
      <c r="AC126" s="60"/>
      <c r="AD126" s="61"/>
      <c r="AE126" s="55"/>
    </row>
    <row r="127" spans="1:31" ht="21.25" customHeight="1" x14ac:dyDescent="0.15">
      <c r="A127" s="10" t="s">
        <v>312</v>
      </c>
      <c r="B127" s="18" t="str" cm="1">
        <f t="array" ref="B127">VLOOKUP(A127,'Player Data'!A1:B673,2,FALSE)</f>
        <v>L.A</v>
      </c>
      <c r="C127" s="52" cm="1">
        <f t="array" ref="C127">((E127)*Settings!$C$12)+(F127*Settings!$C$2)+(G127*Settings!$C$3)+(H127*Settings!$C$4)+(I127*Settings!$C$5)+(K127*Settings!$C$9)+(N127*Settings!$C$6)+(J127*Settings!$C$8)+(O127*Settings!$C$7)+(P127*Settings!$C$14)+(Q127*Settings!$C$15)+(R127*Settings!$C$16)+(S127*Settings!$C$17)+(T127*Settings!$C$18)+(U127*Settings!$C$19)+(L127*Settings!$C$10)+(Settings!$C$11*M127)</f>
        <v>2.5808534245508383</v>
      </c>
      <c r="D127" s="57" cm="1">
        <f t="array" ref="D127">IF(Settings!$E$12="YES",VLOOKUP(A127,'Player Data'!A1:E673,5,FALSE),82)</f>
        <v>75</v>
      </c>
      <c r="E127" s="55" cm="1">
        <f t="array" ref="E127">(VLOOKUP($A127,'The List'!$B1:$AH671,17,FALSE)-AVERAGE('The List'!R2:R671))/STDEV('The List'!R2:R671)</f>
        <v>0.25855510574245916</v>
      </c>
      <c r="F127" s="55" cm="1">
        <f t="array" ref="F127">(VLOOKUP($A127,'The List'!$B1:$AH671,18,FALSE)-AVERAGE('The List'!S2:S671))/STDEV('The List'!S2:S671)</f>
        <v>1.0637261428342675</v>
      </c>
      <c r="G127" s="55" cm="1">
        <f t="array" ref="G127">(VLOOKUP($A127,'The List'!$B1:$AH671,19,FALSE)-AVERAGE('The List'!T2:T671))/STDEV('The List'!T2:T671)</f>
        <v>0.21924929431727941</v>
      </c>
      <c r="H127" s="55" cm="1">
        <f t="array" ref="H127">(VLOOKUP($A127,'The List'!$B1:$AH671,20,FALSE)-AVERAGE('The List'!U2:U671))/STDEV('The List'!U2:U671)</f>
        <v>0.60913871245608686</v>
      </c>
      <c r="I127" s="55" cm="1">
        <f t="array" ref="I127">(VLOOKUP($A127,'The List'!$B1:$AH671,21,FALSE)-AVERAGE('The List'!V2:V671))/STDEV('The List'!V2:V671)</f>
        <v>1.1098038794389788</v>
      </c>
      <c r="J127" s="55" cm="1">
        <f t="array" ref="J127">(VLOOKUP($A127,'The List'!$B1:$AH671,22,FALSE)-AVERAGE('The List'!W2:W671))/STDEV('The List'!W2:W671)</f>
        <v>1.0015013096203418</v>
      </c>
      <c r="K127" s="55" cm="1">
        <f t="array" ref="K127">(VLOOKUP($A127,'The List'!$B1:$AH671,23,FALSE)-AVERAGE('The List'!X2:X671))/STDEV('The List'!X2:X671)</f>
        <v>0.93949979789284954</v>
      </c>
      <c r="L127" s="55" cm="1">
        <f t="array" ref="L127">(VLOOKUP($A127,'The List'!$B1:$AH671,24,FALSE)-AVERAGE('The List'!Y2:Y671))/STDEV('The List'!Y2:Y671)</f>
        <v>-0.47546929358800777</v>
      </c>
      <c r="M127" s="55" cm="1">
        <f t="array" ref="M127">(VLOOKUP($A127,'The List'!$B1:$AH671,25,FALSE)-AVERAGE('The List'!Z2:Z671))/STDEV('The List'!Z2:Z671)</f>
        <v>-0.64388478613809508</v>
      </c>
      <c r="N127" s="55" cm="1">
        <f t="array" ref="N127">(VLOOKUP($A127,'The List'!$B1:$AH671,26,FALSE)-AVERAGE('The List'!AA2:AA671))/STDEV('The List'!AA2:AA671)</f>
        <v>-0.8950513687943249</v>
      </c>
      <c r="O127" s="55" cm="1">
        <f t="array" ref="O127">(VLOOKUP($A127,'The List'!$B1:$AH671,27,FALSE)-AVERAGE('The List'!AB2:AB671))/STDEV('The List'!AB2:AB671)</f>
        <v>-0.64648607033392214</v>
      </c>
      <c r="P127" s="55" cm="1">
        <f t="array" ref="P127">(VLOOKUP($A127,'The List'!$B1:$AH671,28,FALSE)-AVERAGE('The List'!AC2:AC671))/STDEV('The List'!AC2:AC671)</f>
        <v>-0.1049396195986151</v>
      </c>
      <c r="Q127" s="55" cm="1">
        <f t="array" ref="Q127">(VLOOKUP($A127,'The List'!$B1:$AH671,29,FALSE)-AVERAGE('The List'!AD2:AD671))/STDEV('The List'!AD2:AD671)</f>
        <v>0.50767967742477504</v>
      </c>
      <c r="R127" s="55" cm="1">
        <f t="array" ref="R127">(VLOOKUP($A127,'The List'!$B1:$AH671,30,FALSE)-AVERAGE('The List'!AE2:AE671))/STDEV('The List'!AE2:AE671)</f>
        <v>1.1117110310741618</v>
      </c>
      <c r="S127" s="55" cm="1">
        <f t="array" ref="S127">(VLOOKUP($A127,'The List'!$B1:$AH671,31,FALSE)-AVERAGE('The List'!AF2:AF671))/STDEV('The List'!AF2:AF671)</f>
        <v>-0.54533739864928743</v>
      </c>
      <c r="T127" s="55" cm="1">
        <f t="array" ref="T127">(VLOOKUP($A127,'The List'!$B1:$AH671,32,FALSE)-AVERAGE('The List'!AG2:AG671))/STDEV('The List'!AG2:AG671)</f>
        <v>-0.53584434549463111</v>
      </c>
      <c r="U127" s="55" cm="1">
        <f t="array" ref="U127">(VLOOKUP($A127,'The List'!$B1:$AH671,33,FALSE)-AVERAGE('The List'!AH2:AH671))/STDEV('The List'!AH2:AH671)</f>
        <v>0.21671251848714493</v>
      </c>
      <c r="V127" s="55"/>
      <c r="W127" s="77"/>
      <c r="X127" s="57"/>
      <c r="Y127" s="57"/>
      <c r="Z127" s="57"/>
      <c r="AA127" s="57"/>
      <c r="AB127" s="57"/>
      <c r="AC127" s="60"/>
      <c r="AD127" s="61"/>
      <c r="AE127" s="55"/>
    </row>
    <row r="128" spans="1:31" ht="21.25" customHeight="1" x14ac:dyDescent="0.15">
      <c r="A128" s="10" t="s">
        <v>290</v>
      </c>
      <c r="B128" s="18" t="str" cm="1">
        <f t="array" ref="B128">VLOOKUP(A128,'Player Data'!A1:B673,2,FALSE)</f>
        <v>OTT</v>
      </c>
      <c r="C128" s="52" cm="1">
        <f t="array" ref="C128">((E128)*Settings!$C$12)+(F128*Settings!$C$2)+(G128*Settings!$C$3)+(H128*Settings!$C$4)+(I128*Settings!$C$5)+(K128*Settings!$C$9)+(N128*Settings!$C$6)+(J128*Settings!$C$8)+(O128*Settings!$C$7)+(P128*Settings!$C$14)+(Q128*Settings!$C$15)+(R128*Settings!$C$16)+(S128*Settings!$C$17)+(T128*Settings!$C$18)+(U128*Settings!$C$19)+(L128*Settings!$C$10)+(Settings!$C$11*M128)</f>
        <v>7.3149739051616676</v>
      </c>
      <c r="D128" s="57" cm="1">
        <f t="array" ref="D128">IF(Settings!$E$12="YES",VLOOKUP(A128,'Player Data'!A1:E673,5,FALSE),82)</f>
        <v>84</v>
      </c>
      <c r="E128" s="55" cm="1">
        <f t="array" ref="E128">(VLOOKUP($A128,'The List'!$B1:$AH671,17,FALSE)-AVERAGE('The List'!R2:R671))/STDEV('The List'!R2:R671)</f>
        <v>2.2466114160446121E-2</v>
      </c>
      <c r="F128" s="55" cm="1">
        <f t="array" ref="F128">(VLOOKUP($A128,'The List'!$B1:$AH671,18,FALSE)-AVERAGE('The List'!S2:S671))/STDEV('The List'!S2:S671)</f>
        <v>0.97466006031327856</v>
      </c>
      <c r="G128" s="55" cm="1">
        <f t="array" ref="G128">(VLOOKUP($A128,'The List'!$B1:$AH671,19,FALSE)-AVERAGE('The List'!T2:T671))/STDEV('The List'!T2:T671)</f>
        <v>0.69886575037161625</v>
      </c>
      <c r="H128" s="55" cm="1">
        <f t="array" ref="H128">(VLOOKUP($A128,'The List'!$B1:$AH671,20,FALSE)-AVERAGE('The List'!U2:U671))/STDEV('The List'!U2:U671)</f>
        <v>0.87139799250819472</v>
      </c>
      <c r="I128" s="55" cm="1">
        <f t="array" ref="I128">(VLOOKUP($A128,'The List'!$B1:$AH671,21,FALSE)-AVERAGE('The List'!V2:V671))/STDEV('The List'!V2:V671)</f>
        <v>1.3135027478795132</v>
      </c>
      <c r="J128" s="55" cm="1">
        <f t="array" ref="J128">(VLOOKUP($A128,'The List'!$B1:$AH671,22,FALSE)-AVERAGE('The List'!W2:W671))/STDEV('The List'!W2:W671)</f>
        <v>1.8135201599116588</v>
      </c>
      <c r="K128" s="55" cm="1">
        <f t="array" ref="K128">(VLOOKUP($A128,'The List'!$B1:$AH671,23,FALSE)-AVERAGE('The List'!X2:X671))/STDEV('The List'!X2:X671)</f>
        <v>1.47764339058961</v>
      </c>
      <c r="L128" s="55" cm="1">
        <f t="array" ref="L128">(VLOOKUP($A128,'The List'!$B1:$AH671,24,FALSE)-AVERAGE('The List'!Y2:Y671))/STDEV('The List'!Y2:Y671)</f>
        <v>-0.47546929358800777</v>
      </c>
      <c r="M128" s="55" cm="1">
        <f t="array" ref="M128">(VLOOKUP($A128,'The List'!$B1:$AH671,25,FALSE)-AVERAGE('The List'!Z2:Z671))/STDEV('The List'!Z2:Z671)</f>
        <v>-0.64388478613809508</v>
      </c>
      <c r="N128" s="55" cm="1">
        <f t="array" ref="N128">(VLOOKUP($A128,'The List'!$B1:$AH671,26,FALSE)-AVERAGE('The List'!AA2:AA671))/STDEV('The List'!AA2:AA671)</f>
        <v>-0.8077012821109314</v>
      </c>
      <c r="O128" s="55" cm="1">
        <f t="array" ref="O128">(VLOOKUP($A128,'The List'!$B1:$AH671,27,FALSE)-AVERAGE('The List'!AB2:AB671))/STDEV('The List'!AB2:AB671)</f>
        <v>2.2260029132355377</v>
      </c>
      <c r="P128" s="55" cm="1">
        <f t="array" ref="P128">(VLOOKUP($A128,'The List'!$B1:$AH671,28,FALSE)-AVERAGE('The List'!AC2:AC671))/STDEV('The List'!AC2:AC671)</f>
        <v>0.62429904277211112</v>
      </c>
      <c r="Q128" s="55" cm="1">
        <f t="array" ref="Q128">(VLOOKUP($A128,'The List'!$B1:$AH671,29,FALSE)-AVERAGE('The List'!AD2:AD671))/STDEV('The List'!AD2:AD671)</f>
        <v>0.79139575660713379</v>
      </c>
      <c r="R128" s="55" cm="1">
        <f t="array" ref="R128">(VLOOKUP($A128,'The List'!$B1:$AH671,30,FALSE)-AVERAGE('The List'!AE2:AE671))/STDEV('The List'!AE2:AE671)</f>
        <v>1.275458242061779</v>
      </c>
      <c r="S128" s="55" cm="1">
        <f t="array" ref="S128">(VLOOKUP($A128,'The List'!$B1:$AH671,31,FALSE)-AVERAGE('The List'!AF2:AF671))/STDEV('The List'!AF2:AF671)</f>
        <v>1.6657350395138311</v>
      </c>
      <c r="T128" s="55" cm="1">
        <f t="array" ref="T128">(VLOOKUP($A128,'The List'!$B1:$AH671,32,FALSE)-AVERAGE('The List'!AG2:AG671))/STDEV('The List'!AG2:AG671)</f>
        <v>1.7066296296653662</v>
      </c>
      <c r="U128" s="55" cm="1">
        <f t="array" ref="U128">(VLOOKUP($A128,'The List'!$B1:$AH671,33,FALSE)-AVERAGE('The List'!AH2:AH671))/STDEV('The List'!AH2:AH671)</f>
        <v>1.0446985610993245</v>
      </c>
      <c r="V128" s="55"/>
      <c r="W128" s="77"/>
      <c r="X128" s="57"/>
      <c r="Y128" s="57"/>
      <c r="Z128" s="57"/>
      <c r="AA128" s="57"/>
      <c r="AB128" s="57"/>
      <c r="AC128" s="60"/>
      <c r="AD128" s="61"/>
      <c r="AE128" s="55"/>
    </row>
    <row r="129" spans="1:31" ht="21.25" customHeight="1" x14ac:dyDescent="0.15">
      <c r="A129" s="10" t="s">
        <v>184</v>
      </c>
      <c r="B129" s="18" t="str" cm="1">
        <f t="array" ref="B129">VLOOKUP(A129,'Player Data'!A1:B673,2,FALSE)</f>
        <v>UTA</v>
      </c>
      <c r="C129" s="52" cm="1">
        <f t="array" ref="C129">((E129)*Settings!$C$12)+(F129*Settings!$C$2)+(G129*Settings!$C$3)+(H129*Settings!$C$4)+(I129*Settings!$C$5)+(K129*Settings!$C$9)+(N129*Settings!$C$6)+(J129*Settings!$C$8)+(O129*Settings!$C$7)+(P129*Settings!$C$14)+(Q129*Settings!$C$15)+(R129*Settings!$C$16)+(S129*Settings!$C$17)+(T129*Settings!$C$18)+(U129*Settings!$C$19)+(L129*Settings!$C$10)+(Settings!$C$11*M129)</f>
        <v>2.2769917339511161</v>
      </c>
      <c r="D129" s="57" cm="1">
        <f t="array" ref="D129">IF(Settings!$E$12="YES",VLOOKUP(A129,'Player Data'!A1:E673,5,FALSE),82)</f>
        <v>78</v>
      </c>
      <c r="E129" s="55" cm="1">
        <f t="array" ref="E129">(VLOOKUP($A129,'The List'!$B1:$AH671,17,FALSE)-AVERAGE('The List'!R2:R671))/STDEV('The List'!R2:R671)</f>
        <v>1.9111780468165465</v>
      </c>
      <c r="F129" s="55" cm="1">
        <f t="array" ref="F129">(VLOOKUP($A129,'The List'!$B1:$AH671,18,FALSE)-AVERAGE('The List'!S2:S671))/STDEV('The List'!S2:S671)</f>
        <v>-0.28274345763009762</v>
      </c>
      <c r="G129" s="55" cm="1">
        <f t="array" ref="G129">(VLOOKUP($A129,'The List'!$B1:$AH671,19,FALSE)-AVERAGE('The List'!T2:T671))/STDEV('The List'!T2:T671)</f>
        <v>1.352409053126977</v>
      </c>
      <c r="H129" s="55" cm="1">
        <f t="array" ref="H129">(VLOOKUP($A129,'The List'!$B1:$AH671,20,FALSE)-AVERAGE('The List'!U2:U671))/STDEV('The List'!U2:U671)</f>
        <v>0.72551419576618792</v>
      </c>
      <c r="I129" s="55" cm="1">
        <f t="array" ref="I129">(VLOOKUP($A129,'The List'!$B1:$AH671,21,FALSE)-AVERAGE('The List'!V2:V671))/STDEV('The List'!V2:V671)</f>
        <v>0.34943176747393262</v>
      </c>
      <c r="J129" s="55" cm="1">
        <f t="array" ref="J129">(VLOOKUP($A129,'The List'!$B1:$AH671,22,FALSE)-AVERAGE('The List'!W2:W671))/STDEV('The List'!W2:W671)</f>
        <v>0.33862877877028663</v>
      </c>
      <c r="K129" s="55" cm="1">
        <f t="array" ref="K129">(VLOOKUP($A129,'The List'!$B1:$AH671,23,FALSE)-AVERAGE('The List'!X2:X671))/STDEV('The List'!X2:X671)</f>
        <v>1.6283838927455652</v>
      </c>
      <c r="L129" s="55" cm="1">
        <f t="array" ref="L129">(VLOOKUP($A129,'The List'!$B1:$AH671,24,FALSE)-AVERAGE('The List'!Y2:Y671))/STDEV('The List'!Y2:Y671)</f>
        <v>-0.47546929358800777</v>
      </c>
      <c r="M129" s="55" cm="1">
        <f t="array" ref="M129">(VLOOKUP($A129,'The List'!$B1:$AH671,25,FALSE)-AVERAGE('The List'!Z2:Z671))/STDEV('The List'!Z2:Z671)</f>
        <v>0.20367838942166649</v>
      </c>
      <c r="N129" s="55" cm="1">
        <f t="array" ref="N129">(VLOOKUP($A129,'The List'!$B1:$AH671,26,FALSE)-AVERAGE('The List'!AA2:AA671))/STDEV('The List'!AA2:AA671)</f>
        <v>1.6840748748574503</v>
      </c>
      <c r="O129" s="55" cm="1">
        <f t="array" ref="O129">(VLOOKUP($A129,'The List'!$B1:$AH671,27,FALSE)-AVERAGE('The List'!AB2:AB671))/STDEV('The List'!AB2:AB671)</f>
        <v>-0.66554990216664611</v>
      </c>
      <c r="P129" s="55" cm="1">
        <f t="array" ref="P129">(VLOOKUP($A129,'The List'!$B1:$AH671,28,FALSE)-AVERAGE('The List'!AC2:AC671))/STDEV('The List'!AC2:AC671)</f>
        <v>-0.1049396195986151</v>
      </c>
      <c r="Q129" s="55" cm="1">
        <f t="array" ref="Q129">(VLOOKUP($A129,'The List'!$B1:$AH671,29,FALSE)-AVERAGE('The List'!AD2:AD671))/STDEV('The List'!AD2:AD671)</f>
        <v>0.62293933459260842</v>
      </c>
      <c r="R129" s="55" cm="1">
        <f t="array" ref="R129">(VLOOKUP($A129,'The List'!$B1:$AH671,30,FALSE)-AVERAGE('The List'!AE2:AE671))/STDEV('The List'!AE2:AE671)</f>
        <v>-0.37137085129939812</v>
      </c>
      <c r="S129" s="55" cm="1">
        <f t="array" ref="S129">(VLOOKUP($A129,'The List'!$B1:$AH671,31,FALSE)-AVERAGE('The List'!AF2:AF671))/STDEV('The List'!AF2:AF671)</f>
        <v>-0.59581850454342256</v>
      </c>
      <c r="T129" s="55" cm="1">
        <f t="array" ref="T129">(VLOOKUP($A129,'The List'!$B1:$AH671,32,FALSE)-AVERAGE('The List'!AG2:AG671))/STDEV('The List'!AG2:AG671)</f>
        <v>-0.64684275008198677</v>
      </c>
      <c r="U129" s="55" cm="1">
        <f t="array" ref="U129">(VLOOKUP($A129,'The List'!$B1:$AH671,33,FALSE)-AVERAGE('The List'!AH2:AH671))/STDEV('The List'!AH2:AH671)</f>
        <v>-1.2552626683789523</v>
      </c>
      <c r="V129" s="55"/>
      <c r="W129" s="57"/>
      <c r="X129" s="55"/>
      <c r="Y129" s="55"/>
      <c r="Z129" s="55"/>
      <c r="AA129" s="55"/>
      <c r="AB129" s="55"/>
      <c r="AC129" s="55"/>
      <c r="AD129" s="55"/>
      <c r="AE129" s="55"/>
    </row>
    <row r="130" spans="1:31" ht="21.25" customHeight="1" x14ac:dyDescent="0.15">
      <c r="A130" s="10" t="s">
        <v>159</v>
      </c>
      <c r="B130" s="18" t="str" cm="1">
        <f t="array" ref="B130">VLOOKUP(A130,'Player Data'!A1:B673,2,FALSE)</f>
        <v>ANA</v>
      </c>
      <c r="C130" s="52" cm="1">
        <f t="array" ref="C130">((E130)*Settings!$C$12)+(F130*Settings!$C$2)+(G130*Settings!$C$3)+(H130*Settings!$C$4)+(I130*Settings!$C$5)+(K130*Settings!$C$9)+(N130*Settings!$C$6)+(J130*Settings!$C$8)+(O130*Settings!$C$7)+(P130*Settings!$C$14)+(Q130*Settings!$C$15)+(R130*Settings!$C$16)+(S130*Settings!$C$17)+(T130*Settings!$C$18)+(U130*Settings!$C$19)+(L130*Settings!$C$10)+(Settings!$C$11*M130)</f>
        <v>2.1998400803385554</v>
      </c>
      <c r="D130" s="57" cm="1">
        <f t="array" ref="D130">IF(Settings!$E$12="YES",VLOOKUP(A130,'Player Data'!A1:E673,5,FALSE),82)</f>
        <v>82</v>
      </c>
      <c r="E130" s="55" cm="1">
        <f t="array" ref="E130">(VLOOKUP($A130,'The List'!$B1:$AH671,17,FALSE)-AVERAGE('The List'!R2:R671))/STDEV('The List'!R2:R671)</f>
        <v>2.1210349282227789</v>
      </c>
      <c r="F130" s="55" cm="1">
        <f t="array" ref="F130">(VLOOKUP($A130,'The List'!$B1:$AH671,18,FALSE)-AVERAGE('The List'!S2:S671))/STDEV('The List'!S2:S671)</f>
        <v>-8.3654567289063356E-2</v>
      </c>
      <c r="G130" s="55" cm="1">
        <f t="array" ref="G130">(VLOOKUP($A130,'The List'!$B1:$AH671,19,FALSE)-AVERAGE('The List'!T2:T671))/STDEV('The List'!T2:T671)</f>
        <v>1.4839609953590238</v>
      </c>
      <c r="H130" s="55" cm="1">
        <f t="array" ref="H130">(VLOOKUP($A130,'The List'!$B1:$AH671,20,FALSE)-AVERAGE('The List'!U2:U671))/STDEV('The List'!U2:U671)</f>
        <v>0.8964634812211395</v>
      </c>
      <c r="I130" s="55" cm="1">
        <f t="array" ref="I130">(VLOOKUP($A130,'The List'!$B1:$AH671,21,FALSE)-AVERAGE('The List'!V2:V671))/STDEV('The List'!V2:V671)</f>
        <v>0.61855097224611011</v>
      </c>
      <c r="J130" s="55" cm="1">
        <f t="array" ref="J130">(VLOOKUP($A130,'The List'!$B1:$AH671,22,FALSE)-AVERAGE('The List'!W2:W671))/STDEV('The List'!W2:W671)</f>
        <v>0.21268299790877621</v>
      </c>
      <c r="K130" s="55" cm="1">
        <f t="array" ref="K130">(VLOOKUP($A130,'The List'!$B1:$AH671,23,FALSE)-AVERAGE('The List'!X2:X671))/STDEV('The List'!X2:X671)</f>
        <v>1.1885231074544877</v>
      </c>
      <c r="L130" s="55" cm="1">
        <f t="array" ref="L130">(VLOOKUP($A130,'The List'!$B1:$AH671,24,FALSE)-AVERAGE('The List'!Y2:Y671))/STDEV('The List'!Y2:Y671)</f>
        <v>1.0277130538464798</v>
      </c>
      <c r="M130" s="55" cm="1">
        <f t="array" ref="M130">(VLOOKUP($A130,'The List'!$B1:$AH671,25,FALSE)-AVERAGE('The List'!Z2:Z671))/STDEV('The List'!Z2:Z671)</f>
        <v>1.1381711214490962</v>
      </c>
      <c r="N130" s="55" cm="1">
        <f t="array" ref="N130">(VLOOKUP($A130,'The List'!$B1:$AH671,26,FALSE)-AVERAGE('The List'!AA2:AA671))/STDEV('The List'!AA2:AA671)</f>
        <v>1.8955540320909294</v>
      </c>
      <c r="O130" s="55" cm="1">
        <f t="array" ref="O130">(VLOOKUP($A130,'The List'!$B1:$AH671,27,FALSE)-AVERAGE('The List'!AB2:AB671))/STDEV('The List'!AB2:AB671)</f>
        <v>-0.15513117890339365</v>
      </c>
      <c r="P130" s="55" cm="1">
        <f t="array" ref="P130">(VLOOKUP($A130,'The List'!$B1:$AH671,28,FALSE)-AVERAGE('The List'!AC2:AC671))/STDEV('The List'!AC2:AC671)</f>
        <v>-0.85240924852860966</v>
      </c>
      <c r="Q130" s="55" cm="1">
        <f t="array" ref="Q130">(VLOOKUP($A130,'The List'!$B1:$AH671,29,FALSE)-AVERAGE('The List'!AD2:AD671))/STDEV('The List'!AD2:AD671)</f>
        <v>-7.1573984239206634E-2</v>
      </c>
      <c r="R130" s="55" cm="1">
        <f t="array" ref="R130">(VLOOKUP($A130,'The List'!$B1:$AH671,30,FALSE)-AVERAGE('The List'!AE2:AE671))/STDEV('The List'!AE2:AE671)</f>
        <v>-0.27031542966132582</v>
      </c>
      <c r="S130" s="55" cm="1">
        <f t="array" ref="S130">(VLOOKUP($A130,'The List'!$B1:$AH671,31,FALSE)-AVERAGE('The List'!AF2:AF671))/STDEV('The List'!AF2:AF671)</f>
        <v>-0.59581850454342256</v>
      </c>
      <c r="T130" s="55" cm="1">
        <f t="array" ref="T130">(VLOOKUP($A130,'The List'!$B1:$AH671,32,FALSE)-AVERAGE('The List'!AG2:AG671))/STDEV('The List'!AG2:AG671)</f>
        <v>-0.64684275008198677</v>
      </c>
      <c r="U130" s="55" cm="1">
        <f t="array" ref="U130">(VLOOKUP($A130,'The List'!$B1:$AH671,33,FALSE)-AVERAGE('The List'!AH2:AH671))/STDEV('The List'!AH2:AH671)</f>
        <v>-1.2552626683789523</v>
      </c>
      <c r="V130" s="55"/>
      <c r="W130" s="77"/>
      <c r="X130" s="57"/>
      <c r="Y130" s="57"/>
      <c r="Z130" s="57"/>
      <c r="AA130" s="57"/>
      <c r="AB130" s="57"/>
      <c r="AC130" s="60"/>
      <c r="AD130" s="61"/>
      <c r="AE130" s="55"/>
    </row>
    <row r="131" spans="1:31" ht="21.25" customHeight="1" x14ac:dyDescent="0.15">
      <c r="A131" s="10" t="s">
        <v>450</v>
      </c>
      <c r="B131" s="18" t="str" cm="1">
        <f t="array" ref="B131">VLOOKUP(A131,'Player Data'!A1:B673,2,FALSE)</f>
        <v>WSH</v>
      </c>
      <c r="C131" s="52" cm="1">
        <f t="array" ref="C131">((E131)*Settings!$C$12)+(F131*Settings!$C$2)+(G131*Settings!$C$3)+(H131*Settings!$C$4)+(I131*Settings!$C$5)+(K131*Settings!$C$9)+(N131*Settings!$C$6)+(J131*Settings!$C$8)+(O131*Settings!$C$7)+(P131*Settings!$C$14)+(Q131*Settings!$C$15)+(R131*Settings!$C$16)+(S131*Settings!$C$17)+(T131*Settings!$C$18)+(U131*Settings!$C$19)+(L131*Settings!$C$10)+(Settings!$C$11*M131)</f>
        <v>2.4790132116005834</v>
      </c>
      <c r="D131" s="57" cm="1">
        <f t="array" ref="D131">IF(Settings!$E$12="YES",VLOOKUP(A131,'Player Data'!A1:E673,5,FALSE),82)</f>
        <v>75</v>
      </c>
      <c r="E131" s="55" cm="1">
        <f t="array" ref="E131">(VLOOKUP($A131,'The List'!$B1:$AH671,17,FALSE)-AVERAGE('The List'!R2:R671))/STDEV('The List'!R2:R671)</f>
        <v>-3.7659960153324803E-3</v>
      </c>
      <c r="F131" s="55" cm="1">
        <f t="array" ref="F131">(VLOOKUP($A131,'The List'!$B1:$AH671,18,FALSE)-AVERAGE('The List'!S2:S671))/STDEV('The List'!S2:S671)</f>
        <v>0.42379756673808494</v>
      </c>
      <c r="G131" s="55" cm="1">
        <f t="array" ref="G131">(VLOOKUP($A131,'The List'!$B1:$AH671,19,FALSE)-AVERAGE('The List'!T2:T671))/STDEV('The List'!T2:T671)</f>
        <v>0.81481698150563164</v>
      </c>
      <c r="H131" s="55" cm="1">
        <f t="array" ref="H131">(VLOOKUP($A131,'The List'!$B1:$AH671,20,FALSE)-AVERAGE('The List'!U2:U671))/STDEV('The List'!U2:U671)</f>
        <v>0.70031608541984092</v>
      </c>
      <c r="I131" s="55" cm="1">
        <f t="array" ref="I131">(VLOOKUP($A131,'The List'!$B1:$AH671,21,FALSE)-AVERAGE('The List'!V2:V671))/STDEV('The List'!V2:V671)</f>
        <v>0.10945065783533947</v>
      </c>
      <c r="J131" s="55" cm="1">
        <f t="array" ref="J131">(VLOOKUP($A131,'The List'!$B1:$AH671,22,FALSE)-AVERAGE('The List'!W2:W671))/STDEV('The List'!W2:W671)</f>
        <v>1.1257899091547268</v>
      </c>
      <c r="K131" s="55" cm="1">
        <f t="array" ref="K131">(VLOOKUP($A131,'The List'!$B1:$AH671,23,FALSE)-AVERAGE('The List'!X2:X671))/STDEV('The List'!X2:X671)</f>
        <v>0.70585201955111887</v>
      </c>
      <c r="L131" s="55" cm="1">
        <f t="array" ref="L131">(VLOOKUP($A131,'The List'!$B1:$AH671,24,FALSE)-AVERAGE('The List'!Y2:Y671))/STDEV('The List'!Y2:Y671)</f>
        <v>-0.47546929358800777</v>
      </c>
      <c r="M131" s="55" cm="1">
        <f t="array" ref="M131">(VLOOKUP($A131,'The List'!$B1:$AH671,25,FALSE)-AVERAGE('The List'!Z2:Z671))/STDEV('The List'!Z2:Z671)</f>
        <v>-0.64388478613809508</v>
      </c>
      <c r="N131" s="55" cm="1">
        <f t="array" ref="N131">(VLOOKUP($A131,'The List'!$B1:$AH671,26,FALSE)-AVERAGE('The List'!AA2:AA671))/STDEV('The List'!AA2:AA671)</f>
        <v>-0.53109267428018558</v>
      </c>
      <c r="O131" s="55" cm="1">
        <f t="array" ref="O131">(VLOOKUP($A131,'The List'!$B1:$AH671,27,FALSE)-AVERAGE('The List'!AB2:AB671))/STDEV('The List'!AB2:AB671)</f>
        <v>-0.44662331724891363</v>
      </c>
      <c r="P131" s="55" cm="1">
        <f t="array" ref="P131">(VLOOKUP($A131,'The List'!$B1:$AH671,28,FALSE)-AVERAGE('The List'!AC2:AC671))/STDEV('The List'!AC2:AC671)</f>
        <v>0.87171930321932178</v>
      </c>
      <c r="Q131" s="55" cm="1">
        <f t="array" ref="Q131">(VLOOKUP($A131,'The List'!$B1:$AH671,29,FALSE)-AVERAGE('The List'!AD2:AD671))/STDEV('The List'!AD2:AD671)</f>
        <v>1.0618126445778189</v>
      </c>
      <c r="R131" s="55" cm="1">
        <f t="array" ref="R131">(VLOOKUP($A131,'The List'!$B1:$AH671,30,FALSE)-AVERAGE('The List'!AE2:AE671))/STDEV('The List'!AE2:AE671)</f>
        <v>0.52689956326124388</v>
      </c>
      <c r="S131" s="55" cm="1">
        <f t="array" ref="S131">(VLOOKUP($A131,'The List'!$B1:$AH671,31,FALSE)-AVERAGE('The List'!AF2:AF671))/STDEV('The List'!AF2:AF671)</f>
        <v>1.6938602270834209</v>
      </c>
      <c r="T131" s="55" cm="1">
        <f t="array" ref="T131">(VLOOKUP($A131,'The List'!$B1:$AH671,32,FALSE)-AVERAGE('The List'!AG2:AG671))/STDEV('The List'!AG2:AG671)</f>
        <v>1.8601901811151837</v>
      </c>
      <c r="U131" s="55" cm="1">
        <f t="array" ref="U131">(VLOOKUP($A131,'The List'!$B1:$AH671,33,FALSE)-AVERAGE('The List'!AH2:AH671))/STDEV('The List'!AH2:AH671)</f>
        <v>0.99869933650975895</v>
      </c>
      <c r="V131" s="55"/>
      <c r="W131" s="57"/>
      <c r="X131" s="55"/>
      <c r="Y131" s="55"/>
      <c r="Z131" s="55"/>
      <c r="AA131" s="55"/>
      <c r="AB131" s="55"/>
      <c r="AC131" s="55"/>
      <c r="AD131" s="55"/>
      <c r="AE131" s="55"/>
    </row>
    <row r="132" spans="1:31" ht="21.25" customHeight="1" x14ac:dyDescent="0.15">
      <c r="A132" s="10" t="s">
        <v>377</v>
      </c>
      <c r="B132" s="18" t="str" cm="1">
        <f t="array" ref="B132">VLOOKUP(A132,'Player Data'!A1:B673,2,FALSE)</f>
        <v>DET</v>
      </c>
      <c r="C132" s="52" cm="1">
        <f t="array" ref="C132">((E132)*Settings!$C$12)+(F132*Settings!$C$2)+(G132*Settings!$C$3)+(H132*Settings!$C$4)+(I132*Settings!$C$5)+(K132*Settings!$C$9)+(N132*Settings!$C$6)+(J132*Settings!$C$8)+(O132*Settings!$C$7)+(P132*Settings!$C$14)+(Q132*Settings!$C$15)+(R132*Settings!$C$16)+(S132*Settings!$C$17)+(T132*Settings!$C$18)+(U132*Settings!$C$19)+(L132*Settings!$C$10)+(Settings!$C$11*M132)</f>
        <v>1.5717455871639181</v>
      </c>
      <c r="D132" s="57" cm="1">
        <f t="array" ref="D132">IF(Settings!$E$12="YES",VLOOKUP(A132,'Player Data'!A1:E673,5,FALSE),82)</f>
        <v>73</v>
      </c>
      <c r="E132" s="55" cm="1">
        <f t="array" ref="E132">(VLOOKUP($A132,'The List'!$B1:$AH671,17,FALSE)-AVERAGE('The List'!R2:R671))/STDEV('The List'!R2:R671)</f>
        <v>-0.26608709777312411</v>
      </c>
      <c r="F132" s="55" cm="1">
        <f t="array" ref="F132">(VLOOKUP($A132,'The List'!$B1:$AH671,18,FALSE)-AVERAGE('The List'!S2:S671))/STDEV('The List'!S2:S671)</f>
        <v>0.95869303151399721</v>
      </c>
      <c r="G132" s="55" cm="1">
        <f t="array" ref="G132">(VLOOKUP($A132,'The List'!$B1:$AH671,19,FALSE)-AVERAGE('The List'!T2:T671))/STDEV('The List'!T2:T671)</f>
        <v>0.23576356056969927</v>
      </c>
      <c r="H132" s="55" cm="1">
        <f t="array" ref="H132">(VLOOKUP($A132,'The List'!$B1:$AH671,20,FALSE)-AVERAGE('The List'!U2:U671))/STDEV('The List'!U2:U671)</f>
        <v>0.57299931735408927</v>
      </c>
      <c r="I132" s="55" cm="1">
        <f t="array" ref="I132">(VLOOKUP($A132,'The List'!$B1:$AH671,21,FALSE)-AVERAGE('The List'!V2:V671))/STDEV('The List'!V2:V671)</f>
        <v>1.1455678029056378</v>
      </c>
      <c r="J132" s="55" cm="1">
        <f t="array" ref="J132">(VLOOKUP($A132,'The List'!$B1:$AH671,22,FALSE)-AVERAGE('The List'!W2:W671))/STDEV('The List'!W2:W671)</f>
        <v>0.47120328494029751</v>
      </c>
      <c r="K132" s="55" cm="1">
        <f t="array" ref="K132">(VLOOKUP($A132,'The List'!$B1:$AH671,23,FALSE)-AVERAGE('The List'!X2:X671))/STDEV('The List'!X2:X671)</f>
        <v>0.37221304144593781</v>
      </c>
      <c r="L132" s="55" cm="1">
        <f t="array" ref="L132">(VLOOKUP($A132,'The List'!$B1:$AH671,24,FALSE)-AVERAGE('The List'!Y2:Y671))/STDEV('The List'!Y2:Y671)</f>
        <v>-0.47546929358800777</v>
      </c>
      <c r="M132" s="55" cm="1">
        <f t="array" ref="M132">(VLOOKUP($A132,'The List'!$B1:$AH671,25,FALSE)-AVERAGE('The List'!Z2:Z671))/STDEV('The List'!Z2:Z671)</f>
        <v>-0.64388478613809508</v>
      </c>
      <c r="N132" s="55" cm="1">
        <f t="array" ref="N132">(VLOOKUP($A132,'The List'!$B1:$AH671,26,FALSE)-AVERAGE('The List'!AA2:AA671))/STDEV('The List'!AA2:AA671)</f>
        <v>-0.70936858218956755</v>
      </c>
      <c r="O132" s="55" cm="1">
        <f t="array" ref="O132">(VLOOKUP($A132,'The List'!$B1:$AH671,27,FALSE)-AVERAGE('The List'!AB2:AB671))/STDEV('The List'!AB2:AB671)</f>
        <v>-1.0355522296727386</v>
      </c>
      <c r="P132" s="55" cm="1">
        <f t="array" ref="P132">(VLOOKUP($A132,'The List'!$B1:$AH671,28,FALSE)-AVERAGE('The List'!AC2:AC671))/STDEV('The List'!AC2:AC671)</f>
        <v>-0.1049396195986151</v>
      </c>
      <c r="Q132" s="55" cm="1">
        <f t="array" ref="Q132">(VLOOKUP($A132,'The List'!$B1:$AH671,29,FALSE)-AVERAGE('The List'!AD2:AD671))/STDEV('The List'!AD2:AD671)</f>
        <v>-0.21638739965520187</v>
      </c>
      <c r="R132" s="55" cm="1">
        <f t="array" ref="R132">(VLOOKUP($A132,'The List'!$B1:$AH671,30,FALSE)-AVERAGE('The List'!AE2:AE671))/STDEV('The List'!AE2:AE671)</f>
        <v>0.93236884761153382</v>
      </c>
      <c r="S132" s="55" cm="1">
        <f t="array" ref="S132">(VLOOKUP($A132,'The List'!$B1:$AH671,31,FALSE)-AVERAGE('The List'!AF2:AF671))/STDEV('The List'!AF2:AF671)</f>
        <v>-0.54668356147313102</v>
      </c>
      <c r="T132" s="55" cm="1">
        <f t="array" ref="T132">(VLOOKUP($A132,'The List'!$B1:$AH671,32,FALSE)-AVERAGE('The List'!AG2:AG671))/STDEV('The List'!AG2:AG671)</f>
        <v>-0.57605893989225687</v>
      </c>
      <c r="U132" s="55" cm="1">
        <f t="array" ref="U132">(VLOOKUP($A132,'The List'!$B1:$AH671,33,FALSE)-AVERAGE('The List'!AH2:AH671))/STDEV('The List'!AH2:AH671)</f>
        <v>0.63070553979323463</v>
      </c>
      <c r="V132" s="55"/>
      <c r="W132" s="57"/>
      <c r="X132" s="55"/>
      <c r="Y132" s="55"/>
      <c r="Z132" s="55"/>
      <c r="AA132" s="55"/>
      <c r="AB132" s="55"/>
      <c r="AC132" s="55"/>
      <c r="AD132" s="55"/>
      <c r="AE132" s="55"/>
    </row>
    <row r="133" spans="1:31" ht="21.25" customHeight="1" x14ac:dyDescent="0.15">
      <c r="A133" s="10" t="s">
        <v>298</v>
      </c>
      <c r="B133" s="18" t="str" cm="1">
        <f t="array" ref="B133">VLOOKUP(A133,'Player Data'!A1:B673,2,FALSE)</f>
        <v>COL</v>
      </c>
      <c r="C133" s="52" cm="1">
        <f t="array" ref="C133">((E133)*Settings!$C$12)+(F133*Settings!$C$2)+(G133*Settings!$C$3)+(H133*Settings!$C$4)+(I133*Settings!$C$5)+(K133*Settings!$C$9)+(N133*Settings!$C$6)+(J133*Settings!$C$8)+(O133*Settings!$C$7)+(P133*Settings!$C$14)+(Q133*Settings!$C$15)+(R133*Settings!$C$16)+(S133*Settings!$C$17)+(T133*Settings!$C$18)+(U133*Settings!$C$19)+(L133*Settings!$C$10)+(Settings!$C$11*M133)</f>
        <v>5.3390818852859141</v>
      </c>
      <c r="D133" s="57" cm="1">
        <f t="array" ref="D133">IF(Settings!$E$12="YES",VLOOKUP(A133,'Player Data'!A1:E673,5,FALSE),82)</f>
        <v>83</v>
      </c>
      <c r="E133" s="55" cm="1">
        <f t="array" ref="E133">(VLOOKUP($A133,'The List'!$B1:$AH671,17,FALSE)-AVERAGE('The List'!R2:R671))/STDEV('The List'!R2:R671)</f>
        <v>0.15362666503934194</v>
      </c>
      <c r="F133" s="55" cm="1">
        <f t="array" ref="F133">(VLOOKUP($A133,'The List'!$B1:$AH671,18,FALSE)-AVERAGE('The List'!S2:S671))/STDEV('The List'!S2:S671)</f>
        <v>0.86388879801826657</v>
      </c>
      <c r="G133" s="55" cm="1">
        <f t="array" ref="G133">(VLOOKUP($A133,'The List'!$B1:$AH671,19,FALSE)-AVERAGE('The List'!T2:T671))/STDEV('The List'!T2:T671)</f>
        <v>0.72908334393987484</v>
      </c>
      <c r="H133" s="55" cm="1">
        <f t="array" ref="H133">(VLOOKUP($A133,'The List'!$B1:$AH671,20,FALSE)-AVERAGE('The List'!U2:U671))/STDEV('The List'!U2:U671)</f>
        <v>0.84133708893711412</v>
      </c>
      <c r="I133" s="55" cm="1">
        <f t="array" ref="I133">(VLOOKUP($A133,'The List'!$B1:$AH671,21,FALSE)-AVERAGE('The List'!V2:V671))/STDEV('The List'!V2:V671)</f>
        <v>1.8024491411676475</v>
      </c>
      <c r="J133" s="55" cm="1">
        <f t="array" ref="J133">(VLOOKUP($A133,'The List'!$B1:$AH671,22,FALSE)-AVERAGE('The List'!W2:W671))/STDEV('The List'!W2:W671)</f>
        <v>1.3246516684097434</v>
      </c>
      <c r="K133" s="55" cm="1">
        <f t="array" ref="K133">(VLOOKUP($A133,'The List'!$B1:$AH671,23,FALSE)-AVERAGE('The List'!X2:X671))/STDEV('The List'!X2:X671)</f>
        <v>1.4505101002015381</v>
      </c>
      <c r="L133" s="55" cm="1">
        <f t="array" ref="L133">(VLOOKUP($A133,'The List'!$B1:$AH671,24,FALSE)-AVERAGE('The List'!Y2:Y671))/STDEV('The List'!Y2:Y671)</f>
        <v>-0.47546929358800777</v>
      </c>
      <c r="M133" s="55" cm="1">
        <f t="array" ref="M133">(VLOOKUP($A133,'The List'!$B1:$AH671,25,FALSE)-AVERAGE('The List'!Z2:Z671))/STDEV('The List'!Z2:Z671)</f>
        <v>-0.64388478613809508</v>
      </c>
      <c r="N133" s="55" cm="1">
        <f t="array" ref="N133">(VLOOKUP($A133,'The List'!$B1:$AH671,26,FALSE)-AVERAGE('The List'!AA2:AA671))/STDEV('The List'!AA2:AA671)</f>
        <v>-0.8386058449433601</v>
      </c>
      <c r="O133" s="55" cm="1">
        <f t="array" ref="O133">(VLOOKUP($A133,'The List'!$B1:$AH671,27,FALSE)-AVERAGE('The List'!AB2:AB671))/STDEV('The List'!AB2:AB671)</f>
        <v>-0.66288506545884585</v>
      </c>
      <c r="P133" s="55" cm="1">
        <f t="array" ref="P133">(VLOOKUP($A133,'The List'!$B1:$AH671,28,FALSE)-AVERAGE('The List'!AC2:AC671))/STDEV('The List'!AC2:AC671)</f>
        <v>1.1560355674174325</v>
      </c>
      <c r="Q133" s="55" cm="1">
        <f t="array" ref="Q133">(VLOOKUP($A133,'The List'!$B1:$AH671,29,FALSE)-AVERAGE('The List'!AD2:AD671))/STDEV('The List'!AD2:AD671)</f>
        <v>0.44709447301604227</v>
      </c>
      <c r="R133" s="55" cm="1">
        <f t="array" ref="R133">(VLOOKUP($A133,'The List'!$B1:$AH671,30,FALSE)-AVERAGE('The List'!AE2:AE671))/STDEV('The List'!AE2:AE671)</f>
        <v>1.2442682971117567</v>
      </c>
      <c r="S133" s="55" cm="1">
        <f t="array" ref="S133">(VLOOKUP($A133,'The List'!$B1:$AH671,31,FALSE)-AVERAGE('The List'!AF2:AF671))/STDEV('The List'!AF2:AF671)</f>
        <v>1.8064090546054876</v>
      </c>
      <c r="T133" s="55" cm="1">
        <f t="array" ref="T133">(VLOOKUP($A133,'The List'!$B1:$AH671,32,FALSE)-AVERAGE('The List'!AG2:AG671))/STDEV('The List'!AG2:AG671)</f>
        <v>2.2038514484674843</v>
      </c>
      <c r="U133" s="55" cm="1">
        <f t="array" ref="U133">(VLOOKUP($A133,'The List'!$B1:$AH671,33,FALSE)-AVERAGE('The List'!AH2:AH671))/STDEV('The List'!AH2:AH671)</f>
        <v>0.90670088733062781</v>
      </c>
      <c r="V133" s="55"/>
      <c r="W133" s="77"/>
      <c r="X133" s="57"/>
      <c r="Y133" s="57"/>
      <c r="Z133" s="57"/>
      <c r="AA133" s="57"/>
      <c r="AB133" s="57"/>
      <c r="AC133" s="60"/>
      <c r="AD133" s="61"/>
      <c r="AE133" s="55"/>
    </row>
    <row r="134" spans="1:31" ht="21.25" customHeight="1" x14ac:dyDescent="0.15">
      <c r="A134" s="10" t="s">
        <v>158</v>
      </c>
      <c r="B134" s="18" t="str" cm="1">
        <f t="array" ref="B134">VLOOKUP(A134,'Player Data'!A1:B673,2,FALSE)</f>
        <v>WSH</v>
      </c>
      <c r="C134" s="52" cm="1">
        <f t="array" ref="C134">((E134)*Settings!$C$12)+(F134*Settings!$C$2)+(G134*Settings!$C$3)+(H134*Settings!$C$4)+(I134*Settings!$C$5)+(K134*Settings!$C$9)+(N134*Settings!$C$6)+(J134*Settings!$C$8)+(O134*Settings!$C$7)+(P134*Settings!$C$14)+(Q134*Settings!$C$15)+(R134*Settings!$C$16)+(S134*Settings!$C$17)+(T134*Settings!$C$18)+(U134*Settings!$C$19)+(L134*Settings!$C$10)+(Settings!$C$11*M134)</f>
        <v>5.0308180720151761</v>
      </c>
      <c r="D134" s="57" cm="1">
        <f t="array" ref="D134">IF(Settings!$E$12="YES",VLOOKUP(A134,'Player Data'!A1:E673,5,FALSE),82)</f>
        <v>83</v>
      </c>
      <c r="E134" s="55" cm="1">
        <f t="array" ref="E134">(VLOOKUP($A134,'The List'!$B1:$AH671,17,FALSE)-AVERAGE('The List'!R2:R671))/STDEV('The List'!R2:R671)</f>
        <v>1.6750890552345334</v>
      </c>
      <c r="F134" s="55" cm="1">
        <f t="array" ref="F134">(VLOOKUP($A134,'The List'!$B1:$AH671,18,FALSE)-AVERAGE('The List'!S2:S671))/STDEV('The List'!S2:S671)</f>
        <v>0.7810598361219967</v>
      </c>
      <c r="G134" s="55" cm="1">
        <f t="array" ref="G134">(VLOOKUP($A134,'The List'!$B1:$AH671,19,FALSE)-AVERAGE('The List'!T2:T671))/STDEV('The List'!T2:T671)</f>
        <v>0.67075636100579439</v>
      </c>
      <c r="H134" s="55" cm="1">
        <f t="array" ref="H134">(VLOOKUP($A134,'The List'!$B1:$AH671,20,FALSE)-AVERAGE('The List'!U2:U671))/STDEV('The List'!U2:U671)</f>
        <v>0.76795311845477143</v>
      </c>
      <c r="I134" s="55" cm="1">
        <f t="array" ref="I134">(VLOOKUP($A134,'The List'!$B1:$AH671,21,FALSE)-AVERAGE('The List'!V2:V671))/STDEV('The List'!V2:V671)</f>
        <v>1.6016874065383855</v>
      </c>
      <c r="J134" s="55" cm="1">
        <f t="array" ref="J134">(VLOOKUP($A134,'The List'!$B1:$AH671,22,FALSE)-AVERAGE('The List'!W2:W671))/STDEV('The List'!W2:W671)</f>
        <v>1.3246516684097434</v>
      </c>
      <c r="K134" s="55" cm="1">
        <f t="array" ref="K134">(VLOOKUP($A134,'The List'!$B1:$AH671,23,FALSE)-AVERAGE('The List'!X2:X671))/STDEV('The List'!X2:X671)</f>
        <v>1.116871122096357</v>
      </c>
      <c r="L134" s="55" cm="1">
        <f t="array" ref="L134">(VLOOKUP($A134,'The List'!$B1:$AH671,24,FALSE)-AVERAGE('The List'!Y2:Y671))/STDEV('The List'!Y2:Y671)</f>
        <v>-0.47546929358800777</v>
      </c>
      <c r="M134" s="55" cm="1">
        <f t="array" ref="M134">(VLOOKUP($A134,'The List'!$B1:$AH671,25,FALSE)-AVERAGE('The List'!Z2:Z671))/STDEV('The List'!Z2:Z671)</f>
        <v>-0.64388478613809508</v>
      </c>
      <c r="N134" s="55" cm="1">
        <f t="array" ref="N134">(VLOOKUP($A134,'The List'!$B1:$AH671,26,FALSE)-AVERAGE('The List'!AA2:AA671))/STDEV('The List'!AA2:AA671)</f>
        <v>1.4084879054674462</v>
      </c>
      <c r="O134" s="55" cm="1">
        <f t="array" ref="O134">(VLOOKUP($A134,'The List'!$B1:$AH671,27,FALSE)-AVERAGE('The List'!AB2:AB671))/STDEV('The List'!AB2:AB671)</f>
        <v>-0.47573153359565334</v>
      </c>
      <c r="P134" s="55" cm="1">
        <f t="array" ref="P134">(VLOOKUP($A134,'The List'!$B1:$AH671,28,FALSE)-AVERAGE('The List'!AC2:AC671))/STDEV('The List'!AC2:AC671)</f>
        <v>1.3361748798482964</v>
      </c>
      <c r="Q134" s="55" cm="1">
        <f t="array" ref="Q134">(VLOOKUP($A134,'The List'!$B1:$AH671,29,FALSE)-AVERAGE('The List'!AD2:AD671))/STDEV('The List'!AD2:AD671)</f>
        <v>1.9801956821394633</v>
      </c>
      <c r="R134" s="55" cm="1">
        <f t="array" ref="R134">(VLOOKUP($A134,'The List'!$B1:$AH671,30,FALSE)-AVERAGE('The List'!AE2:AE671))/STDEV('The List'!AE2:AE671)</f>
        <v>0.72651521094138671</v>
      </c>
      <c r="S134" s="55" cm="1">
        <f t="array" ref="S134">(VLOOKUP($A134,'The List'!$B1:$AH671,31,FALSE)-AVERAGE('The List'!AF2:AF671))/STDEV('The List'!AF2:AF671)</f>
        <v>-0.59581850454342256</v>
      </c>
      <c r="T134" s="55" cm="1">
        <f t="array" ref="T134">(VLOOKUP($A134,'The List'!$B1:$AH671,32,FALSE)-AVERAGE('The List'!AG2:AG671))/STDEV('The List'!AG2:AG671)</f>
        <v>-0.64684275008198677</v>
      </c>
      <c r="U134" s="55" cm="1">
        <f t="array" ref="U134">(VLOOKUP($A134,'The List'!$B1:$AH671,33,FALSE)-AVERAGE('The List'!AH2:AH671))/STDEV('The List'!AH2:AH671)</f>
        <v>-1.2552626683789523</v>
      </c>
      <c r="V134" s="55"/>
      <c r="W134" s="77"/>
      <c r="X134" s="57"/>
      <c r="Y134" s="57"/>
      <c r="Z134" s="57"/>
      <c r="AA134" s="57"/>
      <c r="AB134" s="57"/>
      <c r="AC134" s="60"/>
      <c r="AD134" s="61"/>
      <c r="AE134" s="55"/>
    </row>
    <row r="135" spans="1:31" ht="21.25" customHeight="1" x14ac:dyDescent="0.15">
      <c r="A135" s="10" t="s">
        <v>369</v>
      </c>
      <c r="B135" s="18" t="str" cm="1">
        <f t="array" ref="B135">VLOOKUP(A135,'Player Data'!A1:B673,2,FALSE)</f>
        <v>WSH</v>
      </c>
      <c r="C135" s="52" cm="1">
        <f t="array" ref="C135">((E135)*Settings!$C$12)+(F135*Settings!$C$2)+(G135*Settings!$C$3)+(H135*Settings!$C$4)+(I135*Settings!$C$5)+(K135*Settings!$C$9)+(N135*Settings!$C$6)+(J135*Settings!$C$8)+(O135*Settings!$C$7)+(P135*Settings!$C$14)+(Q135*Settings!$C$15)+(R135*Settings!$C$16)+(S135*Settings!$C$17)+(T135*Settings!$C$18)+(U135*Settings!$C$19)+(L135*Settings!$C$10)+(Settings!$C$11*M135)</f>
        <v>1.9616488612455536</v>
      </c>
      <c r="D135" s="57" cm="1">
        <f t="array" ref="D135">IF(Settings!$E$12="YES",VLOOKUP(A135,'Player Data'!A1:E673,5,FALSE),82)</f>
        <v>82</v>
      </c>
      <c r="E135" s="55" cm="1">
        <f t="array" ref="E135">(VLOOKUP($A135,'The List'!$B1:$AH671,17,FALSE)-AVERAGE('The List'!R2:R671))/STDEV('The List'!R2:R671)</f>
        <v>-2.9998106191112015E-2</v>
      </c>
      <c r="F135" s="55" cm="1">
        <f t="array" ref="F135">(VLOOKUP($A135,'The List'!$B1:$AH671,18,FALSE)-AVERAGE('The List'!S2:S671))/STDEV('The List'!S2:S671)</f>
        <v>1.1192614648767663</v>
      </c>
      <c r="G135" s="55" cm="1">
        <f t="array" ref="G135">(VLOOKUP($A135,'The List'!$B1:$AH671,19,FALSE)-AVERAGE('The List'!T2:T671))/STDEV('The List'!T2:T671)</f>
        <v>0.57637908621004719</v>
      </c>
      <c r="H135" s="55" cm="1">
        <f t="array" ref="H135">(VLOOKUP($A135,'The List'!$B1:$AH671,20,FALSE)-AVERAGE('The List'!U2:U671))/STDEV('The List'!U2:U671)</f>
        <v>0.85840107243481567</v>
      </c>
      <c r="I135" s="55" cm="1">
        <f t="array" ref="I135">(VLOOKUP($A135,'The List'!$B1:$AH671,21,FALSE)-AVERAGE('The List'!V2:V671))/STDEV('The List'!V2:V671)</f>
        <v>0.51690022648954737</v>
      </c>
      <c r="J135" s="55" cm="1">
        <f t="array" ref="J135">(VLOOKUP($A135,'The List'!$B1:$AH671,22,FALSE)-AVERAGE('The List'!W2:W671))/STDEV('The List'!W2:W671)</f>
        <v>-0.73853908386105271</v>
      </c>
      <c r="K135" s="55" cm="1">
        <f t="array" ref="K135">(VLOOKUP($A135,'The List'!$B1:$AH671,23,FALSE)-AVERAGE('The List'!X2:X671))/STDEV('The List'!X2:X671)</f>
        <v>-0.62850290553339727</v>
      </c>
      <c r="L135" s="55" cm="1">
        <f t="array" ref="L135">(VLOOKUP($A135,'The List'!$B1:$AH671,24,FALSE)-AVERAGE('The List'!Y2:Y671))/STDEV('The List'!Y2:Y671)</f>
        <v>2.5308954012809677</v>
      </c>
      <c r="M135" s="55" cm="1">
        <f t="array" ref="M135">(VLOOKUP($A135,'The List'!$B1:$AH671,25,FALSE)-AVERAGE('The List'!Z2:Z671))/STDEV('The List'!Z2:Z671)</f>
        <v>2.9202270290362873</v>
      </c>
      <c r="N135" s="55" cm="1">
        <f t="array" ref="N135">(VLOOKUP($A135,'The List'!$B1:$AH671,26,FALSE)-AVERAGE('The List'!AA2:AA671))/STDEV('The List'!AA2:AA671)</f>
        <v>-0.55484576802742402</v>
      </c>
      <c r="O135" s="55" cm="1">
        <f t="array" ref="O135">(VLOOKUP($A135,'The List'!$B1:$AH671,27,FALSE)-AVERAGE('The List'!AB2:AB671))/STDEV('The List'!AB2:AB671)</f>
        <v>-1.0123886490587837</v>
      </c>
      <c r="P135" s="55" cm="1">
        <f t="array" ref="P135">(VLOOKUP($A135,'The List'!$B1:$AH671,28,FALSE)-AVERAGE('The List'!AC2:AC671))/STDEV('The List'!AC2:AC671)</f>
        <v>1.3899996382613737</v>
      </c>
      <c r="Q135" s="55" cm="1">
        <f t="array" ref="Q135">(VLOOKUP($A135,'The List'!$B1:$AH671,29,FALSE)-AVERAGE('The List'!AD2:AD671))/STDEV('The List'!AD2:AD671)</f>
        <v>-0.79859643714400008</v>
      </c>
      <c r="R135" s="55" cm="1">
        <f t="array" ref="R135">(VLOOKUP($A135,'The List'!$B1:$AH671,30,FALSE)-AVERAGE('The List'!AE2:AE671))/STDEV('The List'!AE2:AE671)</f>
        <v>0.80386627441744207</v>
      </c>
      <c r="S135" s="55" cm="1">
        <f t="array" ref="S135">(VLOOKUP($A135,'The List'!$B1:$AH671,31,FALSE)-AVERAGE('The List'!AF2:AF671))/STDEV('The List'!AF2:AF671)</f>
        <v>-0.47360615103590686</v>
      </c>
      <c r="T135" s="55" cm="1">
        <f t="array" ref="T135">(VLOOKUP($A135,'The List'!$B1:$AH671,32,FALSE)-AVERAGE('The List'!AG2:AG671))/STDEV('The List'!AG2:AG671)</f>
        <v>-0.42505007590421773</v>
      </c>
      <c r="U135" s="55" cm="1">
        <f t="array" ref="U135">(VLOOKUP($A135,'The List'!$B1:$AH671,33,FALSE)-AVERAGE('The List'!AH2:AH671))/STDEV('The List'!AH2:AH671)</f>
        <v>0.44670864143497252</v>
      </c>
      <c r="V135" s="55"/>
      <c r="W135" s="57"/>
      <c r="X135" s="55"/>
      <c r="Y135" s="55"/>
      <c r="Z135" s="55"/>
      <c r="AA135" s="55"/>
      <c r="AB135" s="55"/>
      <c r="AC135" s="55"/>
      <c r="AD135" s="55"/>
      <c r="AE135" s="55"/>
    </row>
    <row r="136" spans="1:31" ht="21.25" customHeight="1" x14ac:dyDescent="0.15">
      <c r="A136" s="10" t="s">
        <v>448</v>
      </c>
      <c r="B136" s="18" t="str" cm="1">
        <f t="array" ref="B136">VLOOKUP(A136,'Player Data'!A1:B673,2,FALSE)</f>
        <v>DAL</v>
      </c>
      <c r="C136" s="52" cm="1">
        <f t="array" ref="C136">((E136)*Settings!$C$12)+(F136*Settings!$C$2)+(G136*Settings!$C$3)+(H136*Settings!$C$4)+(I136*Settings!$C$5)+(K136*Settings!$C$9)+(N136*Settings!$C$6)+(J136*Settings!$C$8)+(O136*Settings!$C$7)+(P136*Settings!$C$14)+(Q136*Settings!$C$15)+(R136*Settings!$C$16)+(S136*Settings!$C$17)+(T136*Settings!$C$18)+(U136*Settings!$C$19)+(L136*Settings!$C$10)+(Settings!$C$11*M136)</f>
        <v>2.4098861633475046</v>
      </c>
      <c r="D136" s="57" cm="1">
        <f t="array" ref="D136">IF(Settings!$E$12="YES",VLOOKUP(A136,'Player Data'!A1:E673,5,FALSE),82)</f>
        <v>79</v>
      </c>
      <c r="E136" s="55" cm="1">
        <f t="array" ref="E136">(VLOOKUP($A136,'The List'!$B1:$AH671,17,FALSE)-AVERAGE('The List'!R2:R671))/STDEV('The List'!R2:R671)</f>
        <v>-0.42347975882779942</v>
      </c>
      <c r="F136" s="55" cm="1">
        <f t="array" ref="F136">(VLOOKUP($A136,'The List'!$B1:$AH671,18,FALSE)-AVERAGE('The List'!S2:S671))/STDEV('The List'!S2:S671)</f>
        <v>0.67727414892667015</v>
      </c>
      <c r="G136" s="55" cm="1">
        <f t="array" ref="G136">(VLOOKUP($A136,'The List'!$B1:$AH671,19,FALSE)-AVERAGE('The List'!T2:T671))/STDEV('The List'!T2:T671)</f>
        <v>0.89141506752749677</v>
      </c>
      <c r="H136" s="55" cm="1">
        <f t="array" ref="H136">(VLOOKUP($A136,'The List'!$B1:$AH671,20,FALSE)-AVERAGE('The List'!U2:U671))/STDEV('The List'!U2:U671)</f>
        <v>0.86078826183604862</v>
      </c>
      <c r="I136" s="55" cm="1">
        <f t="array" ref="I136">(VLOOKUP($A136,'The List'!$B1:$AH671,21,FALSE)-AVERAGE('The List'!V2:V671))/STDEV('The List'!V2:V671)</f>
        <v>2.7038138542604447E-2</v>
      </c>
      <c r="J136" s="55" cm="1">
        <f t="array" ref="J136">(VLOOKUP($A136,'The List'!$B1:$AH671,22,FALSE)-AVERAGE('The List'!W2:W671))/STDEV('The List'!W2:W671)</f>
        <v>0.78882970597261559</v>
      </c>
      <c r="K136" s="55" cm="1">
        <f t="array" ref="K136">(VLOOKUP($A136,'The List'!$B1:$AH671,23,FALSE)-AVERAGE('The List'!X2:X671))/STDEV('The List'!X2:X671)</f>
        <v>0.86563695183643152</v>
      </c>
      <c r="L136" s="55" cm="1">
        <f t="array" ref="L136">(VLOOKUP($A136,'The List'!$B1:$AH671,24,FALSE)-AVERAGE('The List'!Y2:Y671))/STDEV('The List'!Y2:Y671)</f>
        <v>-0.47546929358800777</v>
      </c>
      <c r="M136" s="55" cm="1">
        <f t="array" ref="M136">(VLOOKUP($A136,'The List'!$B1:$AH671,25,FALSE)-AVERAGE('The List'!Z2:Z671))/STDEV('The List'!Z2:Z671)</f>
        <v>-0.64388478613809508</v>
      </c>
      <c r="N136" s="55" cm="1">
        <f t="array" ref="N136">(VLOOKUP($A136,'The List'!$B1:$AH671,26,FALSE)-AVERAGE('The List'!AA2:AA671))/STDEV('The List'!AA2:AA671)</f>
        <v>-0.89658382645543722</v>
      </c>
      <c r="O136" s="55" cm="1">
        <f t="array" ref="O136">(VLOOKUP($A136,'The List'!$B1:$AH671,27,FALSE)-AVERAGE('The List'!AB2:AB671))/STDEV('The List'!AB2:AB671)</f>
        <v>-0.97528592258864366</v>
      </c>
      <c r="P136" s="55" cm="1">
        <f t="array" ref="P136">(VLOOKUP($A136,'The List'!$B1:$AH671,28,FALSE)-AVERAGE('The List'!AC2:AC671))/STDEV('The List'!AC2:AC671)</f>
        <v>0.92380777910294509</v>
      </c>
      <c r="Q136" s="55" cm="1">
        <f t="array" ref="Q136">(VLOOKUP($A136,'The List'!$B1:$AH671,29,FALSE)-AVERAGE('The List'!AD2:AD671))/STDEV('The List'!AD2:AD671)</f>
        <v>-1.2064383009686401</v>
      </c>
      <c r="R136" s="55" cm="1">
        <f t="array" ref="R136">(VLOOKUP($A136,'The List'!$B1:$AH671,30,FALSE)-AVERAGE('The List'!AE2:AE671))/STDEV('The List'!AE2:AE671)</f>
        <v>0.62670738710131524</v>
      </c>
      <c r="S136" s="55" cm="1">
        <f t="array" ref="S136">(VLOOKUP($A136,'The List'!$B1:$AH671,31,FALSE)-AVERAGE('The List'!AF2:AF671))/STDEV('The List'!AF2:AF671)</f>
        <v>1.0677502822650189</v>
      </c>
      <c r="T136" s="55" cm="1">
        <f t="array" ref="T136">(VLOOKUP($A136,'The List'!$B1:$AH671,32,FALSE)-AVERAGE('The List'!AG2:AG671))/STDEV('The List'!AG2:AG671)</f>
        <v>0.89325373434891819</v>
      </c>
      <c r="U136" s="55" cm="1">
        <f t="array" ref="U136">(VLOOKUP($A136,'The List'!$B1:$AH671,33,FALSE)-AVERAGE('The List'!AH2:AH671))/STDEV('The List'!AH2:AH671)</f>
        <v>1.1826962348680212</v>
      </c>
      <c r="V136" s="55"/>
      <c r="W136" s="77"/>
      <c r="X136" s="57"/>
      <c r="Y136" s="57"/>
      <c r="Z136" s="57"/>
      <c r="AA136" s="57"/>
      <c r="AB136" s="57"/>
      <c r="AC136" s="60"/>
      <c r="AD136" s="61"/>
      <c r="AE136" s="55"/>
    </row>
    <row r="137" spans="1:31" ht="21.25" customHeight="1" x14ac:dyDescent="0.15">
      <c r="A137" s="10" t="s">
        <v>653</v>
      </c>
      <c r="B137" s="18" t="str" cm="1">
        <f t="array" ref="B137">VLOOKUP(A137,'Player Data'!A1:B673,2,FALSE)</f>
        <v>TOR</v>
      </c>
      <c r="C137" s="52" cm="1">
        <f t="array" ref="C137">((E137)*Settings!$C$12)+(F137*Settings!$C$2)+(G137*Settings!$C$3)+(H137*Settings!$C$4)+(I137*Settings!$C$5)+(K137*Settings!$C$9)+(N137*Settings!$C$6)+(J137*Settings!$C$8)+(O137*Settings!$C$7)+(P137*Settings!$C$14)+(Q137*Settings!$C$15)+(R137*Settings!$C$16)+(S137*Settings!$C$17)+(T137*Settings!$C$18)+(U137*Settings!$C$19)+(L137*Settings!$C$10)+(Settings!$C$11*M137)</f>
        <v>-2.3293513954864569</v>
      </c>
      <c r="D137" s="57" cm="1">
        <f t="array" ref="D137">IF(Settings!$E$12="YES",VLOOKUP(A137,'Player Data'!A1:E673,5,FALSE),82)</f>
        <v>77</v>
      </c>
      <c r="E137" s="55" cm="1">
        <f t="array" ref="E137">(VLOOKUP($A137,'The List'!$B1:$AH671,17,FALSE)-AVERAGE('The List'!R2:R671))/STDEV('The List'!R2:R671)</f>
        <v>-0.68580086058559109</v>
      </c>
      <c r="F137" s="55" cm="1">
        <f t="array" ref="F137">(VLOOKUP($A137,'The List'!$B1:$AH671,18,FALSE)-AVERAGE('The List'!S2:S671))/STDEV('The List'!S2:S671)</f>
        <v>-0.37355593392600833</v>
      </c>
      <c r="G137" s="55" cm="1">
        <f t="array" ref="G137">(VLOOKUP($A137,'The List'!$B1:$AH671,19,FALSE)-AVERAGE('The List'!T2:T671))/STDEV('The List'!T2:T671)</f>
        <v>-0.58011146577328287</v>
      </c>
      <c r="H137" s="55" cm="1">
        <f t="array" ref="H137">(VLOOKUP($A137,'The List'!$B1:$AH671,20,FALSE)-AVERAGE('The List'!U2:U671))/STDEV('The List'!U2:U671)</f>
        <v>-0.5304126725490903</v>
      </c>
      <c r="I137" s="55" cm="1">
        <f t="array" ref="I137">(VLOOKUP($A137,'The List'!$B1:$AH671,21,FALSE)-AVERAGE('The List'!V2:V671))/STDEV('The List'!V2:V671)</f>
        <v>-0.60099017933809185</v>
      </c>
      <c r="J137" s="55" cm="1">
        <f t="array" ref="J137">(VLOOKUP($A137,'The List'!$B1:$AH671,22,FALSE)-AVERAGE('The List'!W2:W671))/STDEV('The List'!W2:W671)</f>
        <v>-0.73853908386105271</v>
      </c>
      <c r="K137" s="55" cm="1">
        <f t="array" ref="K137">(VLOOKUP($A137,'The List'!$B1:$AH671,23,FALSE)-AVERAGE('The List'!X2:X671))/STDEV('The List'!X2:X671)</f>
        <v>-0.80155300200843405</v>
      </c>
      <c r="L137" s="55" cm="1">
        <f t="array" ref="L137">(VLOOKUP($A137,'The List'!$B1:$AH671,24,FALSE)-AVERAGE('The List'!Y2:Y671))/STDEV('The List'!Y2:Y671)</f>
        <v>3.7591053680871953</v>
      </c>
      <c r="M137" s="55" cm="1">
        <f t="array" ref="M137">(VLOOKUP($A137,'The List'!$B1:$AH671,25,FALSE)-AVERAGE('The List'!Z2:Z671))/STDEV('The List'!Z2:Z671)</f>
        <v>2.7029031378671173</v>
      </c>
      <c r="N137" s="55" cm="1">
        <f t="array" ref="N137">(VLOOKUP($A137,'The List'!$B1:$AH671,26,FALSE)-AVERAGE('The List'!AA2:AA671))/STDEV('The List'!AA2:AA671)</f>
        <v>-0.67897483857750951</v>
      </c>
      <c r="O137" s="55" cm="1">
        <f t="array" ref="O137">(VLOOKUP($A137,'The List'!$B1:$AH671,27,FALSE)-AVERAGE('The List'!AB2:AB671))/STDEV('The List'!AB2:AB671)</f>
        <v>0.29891599861793333</v>
      </c>
      <c r="P137" s="55" cm="1">
        <f t="array" ref="P137">(VLOOKUP($A137,'The List'!$B1:$AH671,28,FALSE)-AVERAGE('The List'!AC2:AC671))/STDEV('The List'!AC2:AC671)</f>
        <v>-0.27205681305857321</v>
      </c>
      <c r="Q137" s="55" cm="1">
        <f t="array" ref="Q137">(VLOOKUP($A137,'The List'!$B1:$AH671,29,FALSE)-AVERAGE('The List'!AD2:AD671))/STDEV('The List'!AD2:AD671)</f>
        <v>0.47073747961457219</v>
      </c>
      <c r="R137" s="55" cm="1">
        <f t="array" ref="R137">(VLOOKUP($A137,'The List'!$B1:$AH671,30,FALSE)-AVERAGE('The List'!AE2:AE671))/STDEV('The List'!AE2:AE671)</f>
        <v>-0.38384682927940705</v>
      </c>
      <c r="S137" s="55" cm="1">
        <f t="array" ref="S137">(VLOOKUP($A137,'The List'!$B1:$AH671,31,FALSE)-AVERAGE('The List'!AF2:AF671))/STDEV('The List'!AF2:AF671)</f>
        <v>1.4291469232233178</v>
      </c>
      <c r="T137" s="55" cm="1">
        <f t="array" ref="T137">(VLOOKUP($A137,'The List'!$B1:$AH671,32,FALSE)-AVERAGE('The List'!AG2:AG671))/STDEV('The List'!AG2:AG671)</f>
        <v>1.4633517470594239</v>
      </c>
      <c r="U137" s="55" cm="1">
        <f t="array" ref="U137">(VLOOKUP($A137,'The List'!$B1:$AH671,33,FALSE)-AVERAGE('The List'!AH2:AH671))/STDEV('The List'!AH2:AH671)</f>
        <v>1.0446985610993245</v>
      </c>
      <c r="V137" s="55"/>
      <c r="W137" s="77"/>
      <c r="X137" s="57"/>
      <c r="Y137" s="57"/>
      <c r="Z137" s="57"/>
      <c r="AA137" s="57"/>
      <c r="AB137" s="57"/>
      <c r="AC137" s="60"/>
      <c r="AD137" s="61"/>
      <c r="AE137" s="55"/>
    </row>
    <row r="138" spans="1:31" ht="21.25" customHeight="1" x14ac:dyDescent="0.15">
      <c r="A138" s="10" t="s">
        <v>354</v>
      </c>
      <c r="B138" s="18" t="str" cm="1">
        <f t="array" ref="B138">VLOOKUP(A138,'Player Data'!A1:B673,2,FALSE)</f>
        <v>CHI</v>
      </c>
      <c r="C138" s="52" cm="1">
        <f t="array" ref="C138">((E138)*Settings!$C$12)+(F138*Settings!$C$2)+(G138*Settings!$C$3)+(H138*Settings!$C$4)+(I138*Settings!$C$5)+(K138*Settings!$C$9)+(N138*Settings!$C$6)+(J138*Settings!$C$8)+(O138*Settings!$C$7)+(P138*Settings!$C$14)+(Q138*Settings!$C$15)+(R138*Settings!$C$16)+(S138*Settings!$C$17)+(T138*Settings!$C$18)+(U138*Settings!$C$19)+(L138*Settings!$C$10)+(Settings!$C$11*M138)</f>
        <v>1.2759586930884397</v>
      </c>
      <c r="D138" s="57" cm="1">
        <f t="array" ref="D138">IF(Settings!$E$12="YES",VLOOKUP(A138,'Player Data'!A1:E673,5,FALSE),82)</f>
        <v>83</v>
      </c>
      <c r="E138" s="55" cm="1">
        <f t="array" ref="E138">(VLOOKUP($A138,'The List'!$B1:$AH671,17,FALSE)-AVERAGE('The List'!R2:R671))/STDEV('The List'!R2:R671)</f>
        <v>0.2323229955666796</v>
      </c>
      <c r="F138" s="55" cm="1">
        <f t="array" ref="F138">(VLOOKUP($A138,'The List'!$B1:$AH671,18,FALSE)-AVERAGE('The List'!S2:S671))/STDEV('The List'!S2:S671)</f>
        <v>1.3608625693958867</v>
      </c>
      <c r="G138" s="55" cm="1">
        <f t="array" ref="G138">(VLOOKUP($A138,'The List'!$B1:$AH671,19,FALSE)-AVERAGE('The List'!T2:T671))/STDEV('The List'!T2:T671)</f>
        <v>0.20414049753314986</v>
      </c>
      <c r="H138" s="55" cm="1">
        <f t="array" ref="H138">(VLOOKUP($A138,'The List'!$B1:$AH671,20,FALSE)-AVERAGE('The List'!U2:U671))/STDEV('The List'!U2:U671)</f>
        <v>0.73126113321360009</v>
      </c>
      <c r="I138" s="55" cm="1">
        <f t="array" ref="I138">(VLOOKUP($A138,'The List'!$B1:$AH671,21,FALSE)-AVERAGE('The List'!V2:V671))/STDEV('The List'!V2:V671)</f>
        <v>0.71259972460879473</v>
      </c>
      <c r="J138" s="55" cm="1">
        <f t="array" ref="J138">(VLOOKUP($A138,'The List'!$B1:$AH671,22,FALSE)-AVERAGE('The List'!W2:W671))/STDEV('The List'!W2:W671)</f>
        <v>2.0123819191666747</v>
      </c>
      <c r="K138" s="55" cm="1">
        <f t="array" ref="K138">(VLOOKUP($A138,'The List'!$B1:$AH671,23,FALSE)-AVERAGE('The List'!X2:X671))/STDEV('The List'!X2:X671)</f>
        <v>1.2002808666226521</v>
      </c>
      <c r="L138" s="55" cm="1">
        <f t="array" ref="L138">(VLOOKUP($A138,'The List'!$B1:$AH671,24,FALSE)-AVERAGE('The List'!Y2:Y671))/STDEV('The List'!Y2:Y671)</f>
        <v>-0.47546929358800777</v>
      </c>
      <c r="M138" s="55" cm="1">
        <f t="array" ref="M138">(VLOOKUP($A138,'The List'!$B1:$AH671,25,FALSE)-AVERAGE('The List'!Z2:Z671))/STDEV('The List'!Z2:Z671)</f>
        <v>-0.64388478613809508</v>
      </c>
      <c r="N138" s="55" cm="1">
        <f t="array" ref="N138">(VLOOKUP($A138,'The List'!$B1:$AH671,26,FALSE)-AVERAGE('The List'!AA2:AA671))/STDEV('The List'!AA2:AA671)</f>
        <v>-0.88100384023413014</v>
      </c>
      <c r="O138" s="55" cm="1">
        <f t="array" ref="O138">(VLOOKUP($A138,'The List'!$B1:$AH671,27,FALSE)-AVERAGE('The List'!AB2:AB671))/STDEV('The List'!AB2:AB671)</f>
        <v>-0.47573153359565334</v>
      </c>
      <c r="P138" s="55" cm="1">
        <f t="array" ref="P138">(VLOOKUP($A138,'The List'!$B1:$AH671,28,FALSE)-AVERAGE('The List'!AC2:AC671))/STDEV('The List'!AC2:AC671)</f>
        <v>-1.7261934314763905</v>
      </c>
      <c r="Q138" s="55" cm="1">
        <f t="array" ref="Q138">(VLOOKUP($A138,'The List'!$B1:$AH671,29,FALSE)-AVERAGE('The List'!AD2:AD671))/STDEV('The List'!AD2:AD671)</f>
        <v>7.9150182826421459E-2</v>
      </c>
      <c r="R138" s="55" cm="1">
        <f t="array" ref="R138">(VLOOKUP($A138,'The List'!$B1:$AH671,30,FALSE)-AVERAGE('The List'!AE2:AE671))/STDEV('The List'!AE2:AE671)</f>
        <v>0.72651521094138671</v>
      </c>
      <c r="S138" s="55" cm="1">
        <f t="array" ref="S138">(VLOOKUP($A138,'The List'!$B1:$AH671,31,FALSE)-AVERAGE('The List'!AF2:AF671))/STDEV('The List'!AF2:AF671)</f>
        <v>-0.4082691768357834</v>
      </c>
      <c r="T138" s="55" cm="1">
        <f t="array" ref="T138">(VLOOKUP($A138,'The List'!$B1:$AH671,32,FALSE)-AVERAGE('The List'!AG2:AG671))/STDEV('The List'!AG2:AG671)</f>
        <v>-0.37575147414266108</v>
      </c>
      <c r="U138" s="55" cm="1">
        <f t="array" ref="U138">(VLOOKUP($A138,'The List'!$B1:$AH671,33,FALSE)-AVERAGE('The List'!AH2:AH671))/STDEV('The List'!AH2:AH671)</f>
        <v>0.67670476438280014</v>
      </c>
      <c r="V138" s="55"/>
      <c r="W138" s="57"/>
      <c r="X138" s="55"/>
      <c r="Y138" s="55"/>
      <c r="Z138" s="55"/>
      <c r="AA138" s="55"/>
      <c r="AB138" s="55"/>
      <c r="AC138" s="55"/>
      <c r="AD138" s="55"/>
      <c r="AE138" s="55"/>
    </row>
    <row r="139" spans="1:31" ht="21.25" customHeight="1" x14ac:dyDescent="0.15">
      <c r="A139" s="10" t="s">
        <v>370</v>
      </c>
      <c r="B139" s="18" t="str" cm="1">
        <f t="array" ref="B139">VLOOKUP(A139,'Player Data'!A1:B673,2,FALSE)</f>
        <v>BUF</v>
      </c>
      <c r="C139" s="52" cm="1">
        <f t="array" ref="C139">((E139)*Settings!$C$12)+(F139*Settings!$C$2)+(G139*Settings!$C$3)+(H139*Settings!$C$4)+(I139*Settings!$C$5)+(K139*Settings!$C$9)+(N139*Settings!$C$6)+(J139*Settings!$C$8)+(O139*Settings!$C$7)+(P139*Settings!$C$14)+(Q139*Settings!$C$15)+(R139*Settings!$C$16)+(S139*Settings!$C$17)+(T139*Settings!$C$18)+(U139*Settings!$C$19)+(L139*Settings!$C$10)+(Settings!$C$11*M139)</f>
        <v>3.9731035109537971</v>
      </c>
      <c r="D139" s="57" cm="1">
        <f t="array" ref="D139">IF(Settings!$E$12="YES",VLOOKUP(A139,'Player Data'!A1:E673,5,FALSE),82)</f>
        <v>77</v>
      </c>
      <c r="E139" s="55" cm="1">
        <f t="array" ref="E139">(VLOOKUP($A139,'The List'!$B1:$AH671,17,FALSE)-AVERAGE('The List'!R2:R671))/STDEV('The List'!R2:R671)</f>
        <v>-5.6230216366890615E-2</v>
      </c>
      <c r="F139" s="55" cm="1">
        <f t="array" ref="F139">(VLOOKUP($A139,'The List'!$B1:$AH671,18,FALSE)-AVERAGE('The List'!S2:S671))/STDEV('The List'!S2:S671)</f>
        <v>1.2093753836627088</v>
      </c>
      <c r="G139" s="55" cm="1">
        <f t="array" ref="G139">(VLOOKUP($A139,'The List'!$B1:$AH671,19,FALSE)-AVERAGE('The List'!T2:T671))/STDEV('The List'!T2:T671)</f>
        <v>0.43987286410227411</v>
      </c>
      <c r="H139" s="55" cm="1">
        <f t="array" ref="H139">(VLOOKUP($A139,'The List'!$B1:$AH671,20,FALSE)-AVERAGE('The List'!U2:U671))/STDEV('The List'!U2:U671)</f>
        <v>0.81244767646108362</v>
      </c>
      <c r="I139" s="55" cm="1">
        <f t="array" ref="I139">(VLOOKUP($A139,'The List'!$B1:$AH671,21,FALSE)-AVERAGE('The List'!V2:V671))/STDEV('The List'!V2:V671)</f>
        <v>0.88401171769748377</v>
      </c>
      <c r="J139" s="55" cm="1">
        <f t="array" ref="J139">(VLOOKUP($A139,'The List'!$B1:$AH671,22,FALSE)-AVERAGE('The List'!W2:W671))/STDEV('The List'!W2:W671)</f>
        <v>1.7178179382701824</v>
      </c>
      <c r="K139" s="55" cm="1">
        <f t="array" ref="K139">(VLOOKUP($A139,'The List'!$B1:$AH671,23,FALSE)-AVERAGE('The List'!X2:X671))/STDEV('The List'!X2:X671)</f>
        <v>0.98592787255688408</v>
      </c>
      <c r="L139" s="55" cm="1">
        <f t="array" ref="L139">(VLOOKUP($A139,'The List'!$B1:$AH671,24,FALSE)-AVERAGE('The List'!Y2:Y671))/STDEV('The List'!Y2:Y671)</f>
        <v>-0.47546929358800777</v>
      </c>
      <c r="M139" s="55" cm="1">
        <f t="array" ref="M139">(VLOOKUP($A139,'The List'!$B1:$AH671,25,FALSE)-AVERAGE('The List'!Z2:Z671))/STDEV('The List'!Z2:Z671)</f>
        <v>-0.64388478613809508</v>
      </c>
      <c r="N139" s="55" cm="1">
        <f t="array" ref="N139">(VLOOKUP($A139,'The List'!$B1:$AH671,26,FALSE)-AVERAGE('The List'!AA2:AA671))/STDEV('The List'!AA2:AA671)</f>
        <v>-0.8166406184674192</v>
      </c>
      <c r="O139" s="55" cm="1">
        <f t="array" ref="O139">(VLOOKUP($A139,'The List'!$B1:$AH671,27,FALSE)-AVERAGE('The List'!AB2:AB671))/STDEV('The List'!AB2:AB671)</f>
        <v>-0.14303691999876231</v>
      </c>
      <c r="P139" s="55" cm="1">
        <f t="array" ref="P139">(VLOOKUP($A139,'The List'!$B1:$AH671,28,FALSE)-AVERAGE('The List'!AC2:AC671))/STDEV('The List'!AC2:AC671)</f>
        <v>0.59695259293320901</v>
      </c>
      <c r="Q139" s="55" cm="1">
        <f t="array" ref="Q139">(VLOOKUP($A139,'The List'!$B1:$AH671,29,FALSE)-AVERAGE('The List'!AD2:AD671))/STDEV('The List'!AD2:AD671)</f>
        <v>-0.61019122831196515</v>
      </c>
      <c r="R139" s="55" cm="1">
        <f t="array" ref="R139">(VLOOKUP($A139,'The List'!$B1:$AH671,30,FALSE)-AVERAGE('The List'!AE2:AE671))/STDEV('The List'!AE2:AE671)</f>
        <v>1.1772099154692088</v>
      </c>
      <c r="S139" s="55" cm="1">
        <f t="array" ref="S139">(VLOOKUP($A139,'The List'!$B1:$AH671,31,FALSE)-AVERAGE('The List'!AF2:AF671))/STDEV('The List'!AF2:AF671)</f>
        <v>-0.55139513135658369</v>
      </c>
      <c r="T139" s="55" cm="1">
        <f t="array" ref="T139">(VLOOKUP($A139,'The List'!$B1:$AH671,32,FALSE)-AVERAGE('The List'!AG2:AG671))/STDEV('The List'!AG2:AG671)</f>
        <v>-0.52502519065669107</v>
      </c>
      <c r="U139" s="55" cm="1">
        <f t="array" ref="U139">(VLOOKUP($A139,'The List'!$B1:$AH671,33,FALSE)-AVERAGE('The List'!AH2:AH671))/STDEV('The List'!AH2:AH671)</f>
        <v>7.8714844718448196E-2</v>
      </c>
      <c r="V139" s="55"/>
      <c r="W139" s="57"/>
      <c r="X139" s="55"/>
      <c r="Y139" s="55"/>
      <c r="Z139" s="55"/>
      <c r="AA139" s="55"/>
      <c r="AB139" s="55"/>
      <c r="AC139" s="55"/>
      <c r="AD139" s="55"/>
      <c r="AE139" s="55"/>
    </row>
    <row r="140" spans="1:31" ht="21.25" customHeight="1" x14ac:dyDescent="0.15">
      <c r="A140" s="10" t="s">
        <v>317</v>
      </c>
      <c r="B140" s="18" t="str" cm="1">
        <f t="array" ref="B140">VLOOKUP(A140,'Player Data'!A1:B673,2,FALSE)</f>
        <v>SEA</v>
      </c>
      <c r="C140" s="52" cm="1">
        <f t="array" ref="C140">((E140)*Settings!$C$12)+(F140*Settings!$C$2)+(G140*Settings!$C$3)+(H140*Settings!$C$4)+(I140*Settings!$C$5)+(K140*Settings!$C$9)+(N140*Settings!$C$6)+(J140*Settings!$C$8)+(O140*Settings!$C$7)+(P140*Settings!$C$14)+(Q140*Settings!$C$15)+(R140*Settings!$C$16)+(S140*Settings!$C$17)+(T140*Settings!$C$18)+(U140*Settings!$C$19)+(L140*Settings!$C$10)+(Settings!$C$11*M140)</f>
        <v>3.74115864641138E-2</v>
      </c>
      <c r="D140" s="57" cm="1">
        <f t="array" ref="D140">IF(Settings!$E$12="YES",VLOOKUP(A140,'Player Data'!A1:E673,5,FALSE),82)</f>
        <v>84</v>
      </c>
      <c r="E140" s="55" cm="1">
        <f t="array" ref="E140">(VLOOKUP($A140,'The List'!$B1:$AH671,17,FALSE)-AVERAGE('The List'!R2:R671))/STDEV('The List'!R2:R671)</f>
        <v>0.88812574996115867</v>
      </c>
      <c r="F140" s="55" cm="1">
        <f t="array" ref="F140">(VLOOKUP($A140,'The List'!$B1:$AH671,18,FALSE)-AVERAGE('The List'!S2:S671))/STDEV('The List'!S2:S671)</f>
        <v>0.89083315911705319</v>
      </c>
      <c r="G140" s="55" cm="1">
        <f t="array" ref="G140">(VLOOKUP($A140,'The List'!$B1:$AH671,19,FALSE)-AVERAGE('The List'!T2:T671))/STDEV('The List'!T2:T671)</f>
        <v>0.52177659736693771</v>
      </c>
      <c r="H140" s="55" cm="1">
        <f t="array" ref="H140">(VLOOKUP($A140,'The List'!$B1:$AH671,20,FALSE)-AVERAGE('The List'!U2:U671))/STDEV('The List'!U2:U671)</f>
        <v>0.72286176309815098</v>
      </c>
      <c r="I140" s="55" cm="1">
        <f t="array" ref="I140">(VLOOKUP($A140,'The List'!$B1:$AH671,21,FALSE)-AVERAGE('The List'!V2:V671))/STDEV('The List'!V2:V671)</f>
        <v>0.63139661335599517</v>
      </c>
      <c r="J140" s="55" cm="1">
        <f t="array" ref="J140">(VLOOKUP($A140,'The List'!$B1:$AH671,22,FALSE)-AVERAGE('The List'!W2:W671))/STDEV('The List'!W2:W671)</f>
        <v>0.88549861672158203</v>
      </c>
      <c r="K140" s="55" cm="1">
        <f t="array" ref="K140">(VLOOKUP($A140,'The List'!$B1:$AH671,23,FALSE)-AVERAGE('The List'!X2:X671))/STDEV('The List'!X2:X671)</f>
        <v>0.4646672161015904</v>
      </c>
      <c r="L140" s="55" cm="1">
        <f t="array" ref="L140">(VLOOKUP($A140,'The List'!$B1:$AH671,24,FALSE)-AVERAGE('The List'!Y2:Y671))/STDEV('The List'!Y2:Y671)</f>
        <v>-0.47546929358800777</v>
      </c>
      <c r="M140" s="55" cm="1">
        <f t="array" ref="M140">(VLOOKUP($A140,'The List'!$B1:$AH671,25,FALSE)-AVERAGE('The List'!Z2:Z671))/STDEV('The List'!Z2:Z671)</f>
        <v>-0.64388478613809508</v>
      </c>
      <c r="N140" s="55" cm="1">
        <f t="array" ref="N140">(VLOOKUP($A140,'The List'!$B1:$AH671,26,FALSE)-AVERAGE('The List'!AA2:AA671))/STDEV('The List'!AA2:AA671)</f>
        <v>0.24356467341201454</v>
      </c>
      <c r="O140" s="55" cm="1">
        <f t="array" ref="O140">(VLOOKUP($A140,'The List'!$B1:$AH671,27,FALSE)-AVERAGE('The List'!AB2:AB671))/STDEV('The List'!AB2:AB671)</f>
        <v>-0.90784505513739466</v>
      </c>
      <c r="P140" s="55" cm="1">
        <f t="array" ref="P140">(VLOOKUP($A140,'The List'!$B1:$AH671,28,FALSE)-AVERAGE('The List'!AC2:AC671))/STDEV('The List'!AC2:AC671)</f>
        <v>-1.5634169443400676</v>
      </c>
      <c r="Q140" s="55" cm="1">
        <f t="array" ref="Q140">(VLOOKUP($A140,'The List'!$B1:$AH671,29,FALSE)-AVERAGE('The List'!AD2:AD671))/STDEV('The List'!AD2:AD671)</f>
        <v>-0.51192498213682547</v>
      </c>
      <c r="R140" s="55" cm="1">
        <f t="array" ref="R140">(VLOOKUP($A140,'The List'!$B1:$AH671,30,FALSE)-AVERAGE('The List'!AE2:AE671))/STDEV('The List'!AE2:AE671)</f>
        <v>0.75146716690140425</v>
      </c>
      <c r="S140" s="55" cm="1">
        <f t="array" ref="S140">(VLOOKUP($A140,'The List'!$B1:$AH671,31,FALSE)-AVERAGE('The List'!AF2:AF671))/STDEV('The List'!AF2:AF671)</f>
        <v>2.154392144569059</v>
      </c>
      <c r="T140" s="55" cm="1">
        <f t="array" ref="T140">(VLOOKUP($A140,'The List'!$B1:$AH671,32,FALSE)-AVERAGE('The List'!AG2:AG671))/STDEV('The List'!AG2:AG671)</f>
        <v>2.5597097818870846</v>
      </c>
      <c r="U140" s="55" cm="1">
        <f t="array" ref="U140">(VLOOKUP($A140,'The List'!$B1:$AH671,33,FALSE)-AVERAGE('The List'!AH2:AH671))/STDEV('The List'!AH2:AH671)</f>
        <v>0.95270011192019333</v>
      </c>
      <c r="V140" s="55"/>
      <c r="W140" s="77"/>
      <c r="X140" s="57"/>
      <c r="Y140" s="57"/>
      <c r="Z140" s="57"/>
      <c r="AA140" s="57"/>
      <c r="AB140" s="57"/>
      <c r="AC140" s="60"/>
      <c r="AD140" s="61"/>
      <c r="AE140" s="55"/>
    </row>
    <row r="141" spans="1:31" ht="21.25" customHeight="1" x14ac:dyDescent="0.15">
      <c r="A141" s="10" t="s">
        <v>415</v>
      </c>
      <c r="B141" s="18" t="str" cm="1">
        <f t="array" ref="B141">VLOOKUP(A141,'Player Data'!A1:B673,2,FALSE)</f>
        <v>L.A</v>
      </c>
      <c r="C141" s="52" cm="1">
        <f t="array" ref="C141">((E141)*Settings!$C$12)+(F141*Settings!$C$2)+(G141*Settings!$C$3)+(H141*Settings!$C$4)+(I141*Settings!$C$5)+(K141*Settings!$C$9)+(N141*Settings!$C$6)+(J141*Settings!$C$8)+(O141*Settings!$C$7)+(P141*Settings!$C$14)+(Q141*Settings!$C$15)+(R141*Settings!$C$16)+(S141*Settings!$C$17)+(T141*Settings!$C$18)+(U141*Settings!$C$19)+(L141*Settings!$C$10)+(Settings!$C$11*M141)</f>
        <v>0.37385773034224135</v>
      </c>
      <c r="D141" s="57" cm="1">
        <f t="array" ref="D141">IF(Settings!$E$12="YES",VLOOKUP(A141,'Player Data'!A1:E673,5,FALSE),82)</f>
        <v>77</v>
      </c>
      <c r="E141" s="55" cm="1">
        <f t="array" ref="E141">(VLOOKUP($A141,'The List'!$B1:$AH671,17,FALSE)-AVERAGE('The List'!R2:R671))/STDEV('The List'!R2:R671)</f>
        <v>-0.13492654689422828</v>
      </c>
      <c r="F141" s="55" cm="1">
        <f t="array" ref="F141">(VLOOKUP($A141,'The List'!$B1:$AH671,18,FALSE)-AVERAGE('The List'!S2:S671))/STDEV('The List'!S2:S671)</f>
        <v>8.7492022653229667E-2</v>
      </c>
      <c r="G141" s="55" cm="1">
        <f t="array" ref="G141">(VLOOKUP($A141,'The List'!$B1:$AH671,19,FALSE)-AVERAGE('The List'!T2:T671))/STDEV('The List'!T2:T671)</f>
        <v>0.71854232292769171</v>
      </c>
      <c r="H141" s="55" cm="1">
        <f t="array" ref="H141">(VLOOKUP($A141,'The List'!$B1:$AH671,20,FALSE)-AVERAGE('The List'!U2:U671))/STDEV('The List'!U2:U671)</f>
        <v>0.49077390464495846</v>
      </c>
      <c r="I141" s="55" cm="1">
        <f t="array" ref="I141">(VLOOKUP($A141,'The List'!$B1:$AH671,21,FALSE)-AVERAGE('The List'!V2:V671))/STDEV('The List'!V2:V671)</f>
        <v>0.15730866170135144</v>
      </c>
      <c r="J141" s="55" cm="1">
        <f t="array" ref="J141">(VLOOKUP($A141,'The List'!$B1:$AH671,22,FALSE)-AVERAGE('The List'!W2:W671))/STDEV('The List'!W2:W671)</f>
        <v>0.11214733072985113</v>
      </c>
      <c r="K141" s="55" cm="1">
        <f t="array" ref="K141">(VLOOKUP($A141,'The List'!$B1:$AH671,23,FALSE)-AVERAGE('The List'!X2:X671))/STDEV('The List'!X2:X671)</f>
        <v>0.66866936235265007</v>
      </c>
      <c r="L141" s="55" cm="1">
        <f t="array" ref="L141">(VLOOKUP($A141,'The List'!$B1:$AH671,24,FALSE)-AVERAGE('The List'!Y2:Y671))/STDEV('The List'!Y2:Y671)</f>
        <v>-0.47546929358800777</v>
      </c>
      <c r="M141" s="55" cm="1">
        <f t="array" ref="M141">(VLOOKUP($A141,'The List'!$B1:$AH671,25,FALSE)-AVERAGE('The List'!Z2:Z671))/STDEV('The List'!Z2:Z671)</f>
        <v>-0.64388478613809508</v>
      </c>
      <c r="N141" s="55" cm="1">
        <f t="array" ref="N141">(VLOOKUP($A141,'The List'!$B1:$AH671,26,FALSE)-AVERAGE('The List'!AA2:AA671))/STDEV('The List'!AA2:AA671)</f>
        <v>-0.71830791854605502</v>
      </c>
      <c r="O141" s="55" cm="1">
        <f t="array" ref="O141">(VLOOKUP($A141,'The List'!$B1:$AH671,27,FALSE)-AVERAGE('The List'!AB2:AB671))/STDEV('The List'!AB2:AB671)</f>
        <v>-1.1532150196940665</v>
      </c>
      <c r="P141" s="55" cm="1">
        <f t="array" ref="P141">(VLOOKUP($A141,'The List'!$B1:$AH671,28,FALSE)-AVERAGE('The List'!AC2:AC671))/STDEV('The List'!AC2:AC671)</f>
        <v>-0.1049396195986151</v>
      </c>
      <c r="Q141" s="55" cm="1">
        <f t="array" ref="Q141">(VLOOKUP($A141,'The List'!$B1:$AH671,29,FALSE)-AVERAGE('The List'!AD2:AD671))/STDEV('The List'!AD2:AD671)</f>
        <v>-0.49640925905654021</v>
      </c>
      <c r="R141" s="55" cm="1">
        <f t="array" ref="R141">(VLOOKUP($A141,'The List'!$B1:$AH671,30,FALSE)-AVERAGE('The List'!AE2:AE671))/STDEV('The List'!AE2:AE671)</f>
        <v>9.6478322950936238E-2</v>
      </c>
      <c r="S141" s="55" cm="1">
        <f t="array" ref="S141">(VLOOKUP($A141,'The List'!$B1:$AH671,31,FALSE)-AVERAGE('The List'!AF2:AF671))/STDEV('The List'!AF2:AF671)</f>
        <v>-0.46995228051404564</v>
      </c>
      <c r="T141" s="55" cm="1">
        <f t="array" ref="T141">(VLOOKUP($A141,'The List'!$B1:$AH671,32,FALSE)-AVERAGE('The List'!AG2:AG671))/STDEV('The List'!AG2:AG671)</f>
        <v>-0.46215161159847407</v>
      </c>
      <c r="U141" s="55" cm="1">
        <f t="array" ref="U141">(VLOOKUP($A141,'The List'!$B1:$AH671,33,FALSE)-AVERAGE('The List'!AH2:AH671))/STDEV('The List'!AH2:AH671)</f>
        <v>0.67670476438280014</v>
      </c>
      <c r="V141" s="55"/>
      <c r="W141" s="57"/>
      <c r="X141" s="57"/>
      <c r="Y141" s="57"/>
      <c r="Z141" s="57"/>
      <c r="AA141" s="57"/>
      <c r="AB141" s="57"/>
      <c r="AC141" s="60"/>
      <c r="AD141" s="61"/>
      <c r="AE141" s="55"/>
    </row>
    <row r="142" spans="1:31" ht="21.25" customHeight="1" x14ac:dyDescent="0.15">
      <c r="A142" s="10" t="s">
        <v>356</v>
      </c>
      <c r="B142" s="18" t="str" cm="1">
        <f t="array" ref="B142">VLOOKUP(A142,'Player Data'!A1:B673,2,FALSE)</f>
        <v>WSH</v>
      </c>
      <c r="C142" s="52" cm="1">
        <f t="array" ref="C142">((E142)*Settings!$C$12)+(F142*Settings!$C$2)+(G142*Settings!$C$3)+(H142*Settings!$C$4)+(I142*Settings!$C$5)+(K142*Settings!$C$9)+(N142*Settings!$C$6)+(J142*Settings!$C$8)+(O142*Settings!$C$7)+(P142*Settings!$C$14)+(Q142*Settings!$C$15)+(R142*Settings!$C$16)+(S142*Settings!$C$17)+(T142*Settings!$C$18)+(U142*Settings!$C$19)+(L142*Settings!$C$10)+(Settings!$C$11*M142)</f>
        <v>4.7696262282094164</v>
      </c>
      <c r="D142" s="57" cm="1">
        <f t="array" ref="D142">IF(Settings!$E$12="YES",VLOOKUP(A142,'Player Data'!A1:E673,5,FALSE),82)</f>
        <v>81</v>
      </c>
      <c r="E142" s="55" cm="1">
        <f t="array" ref="E142">(VLOOKUP($A142,'The List'!$B1:$AH671,17,FALSE)-AVERAGE('The List'!R2:R671))/STDEV('The List'!R2:R671)</f>
        <v>-0.50217608935513669</v>
      </c>
      <c r="F142" s="55" cm="1">
        <f t="array" ref="F142">(VLOOKUP($A142,'The List'!$B1:$AH671,18,FALSE)-AVERAGE('The List'!S2:S671))/STDEV('The List'!S2:S671)</f>
        <v>1.4566647421915722</v>
      </c>
      <c r="G142" s="55" cm="1">
        <f t="array" ref="G142">(VLOOKUP($A142,'The List'!$B1:$AH671,19,FALSE)-AVERAGE('The List'!T2:T671))/STDEV('The List'!T2:T671)</f>
        <v>4.5322447616255708E-2</v>
      </c>
      <c r="H142" s="55" cm="1">
        <f t="array" ref="H142">(VLOOKUP($A142,'The List'!$B1:$AH671,20,FALSE)-AVERAGE('The List'!U2:U671))/STDEV('The List'!U2:U671)</f>
        <v>0.67379175873947594</v>
      </c>
      <c r="I142" s="55" cm="1">
        <f t="array" ref="I142">(VLOOKUP($A142,'The List'!$B1:$AH671,21,FALSE)-AVERAGE('The List'!V2:V671))/STDEV('The List'!V2:V671)</f>
        <v>1.2725556470988464</v>
      </c>
      <c r="J142" s="55" cm="1">
        <f t="array" ref="J142">(VLOOKUP($A142,'The List'!$B1:$AH671,22,FALSE)-AVERAGE('The List'!W2:W671))/STDEV('The List'!W2:W671)</f>
        <v>0.82749727027220232</v>
      </c>
      <c r="K142" s="55" cm="1">
        <f t="array" ref="K142">(VLOOKUP($A142,'The List'!$B1:$AH671,23,FALSE)-AVERAGE('The List'!X2:X671))/STDEV('The List'!X2:X671)</f>
        <v>0.58224480778323573</v>
      </c>
      <c r="L142" s="55" cm="1">
        <f t="array" ref="L142">(VLOOKUP($A142,'The List'!$B1:$AH671,24,FALSE)-AVERAGE('The List'!Y2:Y671))/STDEV('The List'!Y2:Y671)</f>
        <v>-0.47546929358800777</v>
      </c>
      <c r="M142" s="55" cm="1">
        <f t="array" ref="M142">(VLOOKUP($A142,'The List'!$B1:$AH671,25,FALSE)-AVERAGE('The List'!Z2:Z671))/STDEV('The List'!Z2:Z671)</f>
        <v>-0.64388478613809508</v>
      </c>
      <c r="N142" s="55" cm="1">
        <f t="array" ref="N142">(VLOOKUP($A142,'The List'!$B1:$AH671,26,FALSE)-AVERAGE('The List'!AA2:AA671))/STDEV('The List'!AA2:AA671)</f>
        <v>-1.1678288324722905</v>
      </c>
      <c r="O142" s="55" cm="1">
        <f t="array" ref="O142">(VLOOKUP($A142,'The List'!$B1:$AH671,27,FALSE)-AVERAGE('The List'!AB2:AB671))/STDEV('The List'!AB2:AB671)</f>
        <v>0.63878517258197842</v>
      </c>
      <c r="P142" s="55" cm="1">
        <f t="array" ref="P142">(VLOOKUP($A142,'The List'!$B1:$AH671,28,FALSE)-AVERAGE('The List'!AC2:AC671))/STDEV('The List'!AC2:AC671)</f>
        <v>0.77405341093752811</v>
      </c>
      <c r="Q142" s="55" cm="1">
        <f t="array" ref="Q142">(VLOOKUP($A142,'The List'!$B1:$AH671,29,FALSE)-AVERAGE('The List'!AD2:AD671))/STDEV('The List'!AD2:AD671)</f>
        <v>-0.87765274045783426</v>
      </c>
      <c r="R142" s="55" cm="1">
        <f t="array" ref="R142">(VLOOKUP($A142,'The List'!$B1:$AH671,30,FALSE)-AVERAGE('The List'!AE2:AE671))/STDEV('The List'!AE2:AE671)</f>
        <v>1.181888407211712</v>
      </c>
      <c r="S142" s="55" cm="1">
        <f t="array" ref="S142">(VLOOKUP($A142,'The List'!$B1:$AH671,31,FALSE)-AVERAGE('The List'!AF2:AF671))/STDEV('The List'!AF2:AF671)</f>
        <v>-0.59192424780301789</v>
      </c>
      <c r="T142" s="55" cm="1">
        <f t="array" ref="T142">(VLOOKUP($A142,'The List'!$B1:$AH671,32,FALSE)-AVERAGE('The List'!AG2:AG671))/STDEV('The List'!AG2:AG671)</f>
        <v>-0.6344415490177443</v>
      </c>
      <c r="U142" s="55" cm="1">
        <f t="array" ref="U142">(VLOOKUP($A142,'The List'!$B1:$AH671,33,FALSE)-AVERAGE('The List'!AH2:AH671))/STDEV('The List'!AH2:AH671)</f>
        <v>-0.24327972740851045</v>
      </c>
      <c r="V142" s="55"/>
      <c r="W142" s="77"/>
      <c r="X142" s="57"/>
      <c r="Y142" s="57"/>
      <c r="Z142" s="57"/>
      <c r="AA142" s="57"/>
      <c r="AB142" s="57"/>
      <c r="AC142" s="60"/>
      <c r="AD142" s="61"/>
      <c r="AE142" s="55"/>
    </row>
    <row r="143" spans="1:31" ht="21.25" customHeight="1" x14ac:dyDescent="0.15">
      <c r="A143" s="10" t="s">
        <v>274</v>
      </c>
      <c r="B143" s="18" t="str" cm="1">
        <f t="array" ref="B143">VLOOKUP(A143,'Player Data'!A1:B673,2,FALSE)</f>
        <v>N.J</v>
      </c>
      <c r="C143" s="52" cm="1">
        <f t="array" ref="C143">((E143)*Settings!$C$12)+(F143*Settings!$C$2)+(G143*Settings!$C$3)+(H143*Settings!$C$4)+(I143*Settings!$C$5)+(K143*Settings!$C$9)+(N143*Settings!$C$6)+(J143*Settings!$C$8)+(O143*Settings!$C$7)+(P143*Settings!$C$14)+(Q143*Settings!$C$15)+(R143*Settings!$C$16)+(S143*Settings!$C$17)+(T143*Settings!$C$18)+(U143*Settings!$C$19)+(L143*Settings!$C$10)+(Settings!$C$11*M143)</f>
        <v>4.0179715163652423</v>
      </c>
      <c r="D143" s="57" cm="1">
        <f t="array" ref="D143">IF(Settings!$E$12="YES",VLOOKUP(A143,'Player Data'!A1:E673,5,FALSE),82)</f>
        <v>82</v>
      </c>
      <c r="E143" s="55" cm="1">
        <f t="array" ref="E143">(VLOOKUP($A143,'The List'!$B1:$AH671,17,FALSE)-AVERAGE('The List'!R2:R671))/STDEV('The List'!R2:R671)</f>
        <v>0.20609088539090101</v>
      </c>
      <c r="F143" s="55" cm="1">
        <f t="array" ref="F143">(VLOOKUP($A143,'The List'!$B1:$AH671,18,FALSE)-AVERAGE('The List'!S2:S671))/STDEV('The List'!S2:S671)</f>
        <v>1.0824375047084245</v>
      </c>
      <c r="G143" s="55" cm="1">
        <f t="array" ref="G143">(VLOOKUP($A143,'The List'!$B1:$AH671,19,FALSE)-AVERAGE('The List'!T2:T671))/STDEV('The List'!T2:T671)</f>
        <v>8.7802414406869447E-3</v>
      </c>
      <c r="H143" s="55" cm="1">
        <f t="array" ref="H143">(VLOOKUP($A143,'The List'!$B1:$AH671,20,FALSE)-AVERAGE('The List'!U2:U671))/STDEV('The List'!U2:U671)</f>
        <v>0.48502696719754562</v>
      </c>
      <c r="I143" s="55" cm="1">
        <f t="array" ref="I143">(VLOOKUP($A143,'The List'!$B1:$AH671,21,FALSE)-AVERAGE('The List'!V2:V671))/STDEV('The List'!V2:V671)</f>
        <v>2.0094306885737203</v>
      </c>
      <c r="J143" s="55" cm="1">
        <f t="array" ref="J143">(VLOOKUP($A143,'The List'!$B1:$AH671,22,FALSE)-AVERAGE('The List'!W2:W671))/STDEV('The List'!W2:W671)</f>
        <v>1.0733125004624309</v>
      </c>
      <c r="K143" s="55" cm="1">
        <f t="array" ref="K143">(VLOOKUP($A143,'The List'!$B1:$AH671,23,FALSE)-AVERAGE('The List'!X2:X671))/STDEV('The List'!X2:X671)</f>
        <v>0.26970949997988825</v>
      </c>
      <c r="L143" s="55" cm="1">
        <f t="array" ref="L143">(VLOOKUP($A143,'The List'!$B1:$AH671,24,FALSE)-AVERAGE('The List'!Y2:Y671))/STDEV('The List'!Y2:Y671)</f>
        <v>-0.47546929358800777</v>
      </c>
      <c r="M143" s="55" cm="1">
        <f t="array" ref="M143">(VLOOKUP($A143,'The List'!$B1:$AH671,25,FALSE)-AVERAGE('The List'!Z2:Z671))/STDEV('The List'!Z2:Z671)</f>
        <v>-0.64388478613809508</v>
      </c>
      <c r="N143" s="55" cm="1">
        <f t="array" ref="N143">(VLOOKUP($A143,'The List'!$B1:$AH671,26,FALSE)-AVERAGE('The List'!AA2:AA671))/STDEV('The List'!AA2:AA671)</f>
        <v>-0.26163553553462943</v>
      </c>
      <c r="O143" s="55" cm="1">
        <f t="array" ref="O143">(VLOOKUP($A143,'The List'!$B1:$AH671,27,FALSE)-AVERAGE('The List'!AB2:AB671))/STDEV('The List'!AB2:AB671)</f>
        <v>0.75255320126113701</v>
      </c>
      <c r="P143" s="55" cm="1">
        <f t="array" ref="P143">(VLOOKUP($A143,'The List'!$B1:$AH671,28,FALSE)-AVERAGE('The List'!AC2:AC671))/STDEV('The List'!AC2:AC671)</f>
        <v>-0.1049396195986151</v>
      </c>
      <c r="Q143" s="55" cm="1">
        <f t="array" ref="Q143">(VLOOKUP($A143,'The List'!$B1:$AH671,29,FALSE)-AVERAGE('The List'!AD2:AD671))/STDEV('The List'!AD2:AD671)</f>
        <v>-1.0988779830473833E-2</v>
      </c>
      <c r="R143" s="55" cm="1">
        <f t="array" ref="R143">(VLOOKUP($A143,'The List'!$B1:$AH671,30,FALSE)-AVERAGE('The List'!AE2:AE671))/STDEV('The List'!AE2:AE671)</f>
        <v>1.2130783521617345</v>
      </c>
      <c r="S143" s="55" cm="1">
        <f t="array" ref="S143">(VLOOKUP($A143,'The List'!$B1:$AH671,31,FALSE)-AVERAGE('The List'!AF2:AF671))/STDEV('The List'!AF2:AF671)</f>
        <v>-0.38293246940129844</v>
      </c>
      <c r="T143" s="55" cm="1">
        <f t="array" ref="T143">(VLOOKUP($A143,'The List'!$B1:$AH671,32,FALSE)-AVERAGE('The List'!AG2:AG671))/STDEV('The List'!AG2:AG671)</f>
        <v>-0.32043088997130781</v>
      </c>
      <c r="U143" s="55" cm="1">
        <f t="array" ref="U143">(VLOOKUP($A143,'The List'!$B1:$AH671,33,FALSE)-AVERAGE('The List'!AH2:AH671))/STDEV('The List'!AH2:AH671)</f>
        <v>0.63070553979323463</v>
      </c>
      <c r="V143" s="55"/>
      <c r="W143" s="77"/>
      <c r="X143" s="57"/>
      <c r="Y143" s="57"/>
      <c r="Z143" s="57"/>
      <c r="AA143" s="57"/>
      <c r="AB143" s="57"/>
      <c r="AC143" s="60"/>
      <c r="AD143" s="61"/>
      <c r="AE143" s="55"/>
    </row>
    <row r="144" spans="1:31" ht="21.25" customHeight="1" x14ac:dyDescent="0.15">
      <c r="A144" s="10" t="s">
        <v>186</v>
      </c>
      <c r="B144" s="18" t="str" cm="1">
        <f t="array" ref="B144">VLOOKUP(A144,'Player Data'!A1:B673,2,FALSE)</f>
        <v>PIT</v>
      </c>
      <c r="C144" s="52" cm="1">
        <f t="array" ref="C144">((E144)*Settings!$C$12)+(F144*Settings!$C$2)+(G144*Settings!$C$3)+(H144*Settings!$C$4)+(I144*Settings!$C$5)+(K144*Settings!$C$9)+(N144*Settings!$C$6)+(J144*Settings!$C$8)+(O144*Settings!$C$7)+(P144*Settings!$C$14)+(Q144*Settings!$C$15)+(R144*Settings!$C$16)+(S144*Settings!$C$17)+(T144*Settings!$C$18)+(U144*Settings!$C$19)+(L144*Settings!$C$10)+(Settings!$C$11*M144)</f>
        <v>2.5208805963562608</v>
      </c>
      <c r="D144" s="57" cm="1">
        <f t="array" ref="D144">IF(Settings!$E$12="YES",VLOOKUP(A144,'Player Data'!A1:E673,5,FALSE),82)</f>
        <v>83</v>
      </c>
      <c r="E144" s="55" cm="1">
        <f t="array" ref="E144">(VLOOKUP($A144,'The List'!$B1:$AH671,17,FALSE)-AVERAGE('The List'!R2:R671))/STDEV('The List'!R2:R671)</f>
        <v>1.8587138264649874</v>
      </c>
      <c r="F144" s="55" cm="1">
        <f t="array" ref="F144">(VLOOKUP($A144,'The List'!$B1:$AH671,18,FALSE)-AVERAGE('The List'!S2:S671))/STDEV('The List'!S2:S671)</f>
        <v>-0.46137459232205352</v>
      </c>
      <c r="G144" s="55" cm="1">
        <f t="array" ref="G144">(VLOOKUP($A144,'The List'!$B1:$AH671,19,FALSE)-AVERAGE('The List'!T2:T671))/STDEV('The List'!T2:T671)</f>
        <v>1.4873341220829219</v>
      </c>
      <c r="H144" s="55" cm="1">
        <f t="array" ref="H144">(VLOOKUP($A144,'The List'!$B1:$AH671,20,FALSE)-AVERAGE('The List'!U2:U671))/STDEV('The List'!U2:U671)</f>
        <v>0.73126113321360009</v>
      </c>
      <c r="I144" s="55" cm="1">
        <f t="array" ref="I144">(VLOOKUP($A144,'The List'!$B1:$AH671,21,FALSE)-AVERAGE('The List'!V2:V671))/STDEV('The List'!V2:V671)</f>
        <v>0.942041707042238</v>
      </c>
      <c r="J144" s="55" cm="1">
        <f t="array" ref="J144">(VLOOKUP($A144,'The List'!$B1:$AH671,22,FALSE)-AVERAGE('The List'!W2:W671))/STDEV('The List'!W2:W671)</f>
        <v>-5.08088331041208E-2</v>
      </c>
      <c r="K144" s="55" cm="1">
        <f t="array" ref="K144">(VLOOKUP($A144,'The List'!$B1:$AH671,23,FALSE)-AVERAGE('The List'!X2:X671))/STDEV('The List'!X2:X671)</f>
        <v>1.2836906111489474</v>
      </c>
      <c r="L144" s="55" cm="1">
        <f t="array" ref="L144">(VLOOKUP($A144,'The List'!$B1:$AH671,24,FALSE)-AVERAGE('The List'!Y2:Y671))/STDEV('The List'!Y2:Y671)</f>
        <v>-0.47546929358800777</v>
      </c>
      <c r="M144" s="55" cm="1">
        <f t="array" ref="M144">(VLOOKUP($A144,'The List'!$B1:$AH671,25,FALSE)-AVERAGE('The List'!Z2:Z671))/STDEV('The List'!Z2:Z671)</f>
        <v>-0.64388478613809508</v>
      </c>
      <c r="N144" s="55" cm="1">
        <f t="array" ref="N144">(VLOOKUP($A144,'The List'!$B1:$AH671,26,FALSE)-AVERAGE('The List'!AA2:AA671))/STDEV('The List'!AA2:AA671)</f>
        <v>0.73011998081512763</v>
      </c>
      <c r="O144" s="55" cm="1">
        <f t="array" ref="O144">(VLOOKUP($A144,'The List'!$B1:$AH671,27,FALSE)-AVERAGE('The List'!AB2:AB671))/STDEV('The List'!AB2:AB671)</f>
        <v>-0.98615025685890567</v>
      </c>
      <c r="P144" s="55" cm="1">
        <f t="array" ref="P144">(VLOOKUP($A144,'The List'!$B1:$AH671,28,FALSE)-AVERAGE('The List'!AC2:AC671))/STDEV('The List'!AC2:AC671)</f>
        <v>0.25533900526311276</v>
      </c>
      <c r="Q144" s="55" cm="1">
        <f t="array" ref="Q144">(VLOOKUP($A144,'The List'!$B1:$AH671,29,FALSE)-AVERAGE('The List'!AD2:AD671))/STDEV('The List'!AD2:AD671)</f>
        <v>1.7826134461484747E-2</v>
      </c>
      <c r="R144" s="55" cm="1">
        <f t="array" ref="R144">(VLOOKUP($A144,'The List'!$B1:$AH671,30,FALSE)-AVERAGE('The List'!AE2:AE671))/STDEV('The List'!AE2:AE671)</f>
        <v>-0.3089909613993535</v>
      </c>
      <c r="S144" s="55" cm="1">
        <f t="array" ref="S144">(VLOOKUP($A144,'The List'!$B1:$AH671,31,FALSE)-AVERAGE('The List'!AF2:AF671))/STDEV('The List'!AF2:AF671)</f>
        <v>-0.59581850454342256</v>
      </c>
      <c r="T144" s="55" cm="1">
        <f t="array" ref="T144">(VLOOKUP($A144,'The List'!$B1:$AH671,32,FALSE)-AVERAGE('The List'!AG2:AG671))/STDEV('The List'!AG2:AG671)</f>
        <v>-0.64684275008198677</v>
      </c>
      <c r="U144" s="55" cm="1">
        <f t="array" ref="U144">(VLOOKUP($A144,'The List'!$B1:$AH671,33,FALSE)-AVERAGE('The List'!AH2:AH671))/STDEV('The List'!AH2:AH671)</f>
        <v>-1.2552626683789523</v>
      </c>
      <c r="V144" s="55"/>
      <c r="W144" s="77"/>
      <c r="X144" s="57"/>
      <c r="Y144" s="57"/>
      <c r="Z144" s="57"/>
      <c r="AA144" s="57"/>
      <c r="AB144" s="57"/>
      <c r="AC144" s="60"/>
      <c r="AD144" s="61"/>
      <c r="AE144" s="55"/>
    </row>
    <row r="145" spans="1:31" ht="21.25" customHeight="1" x14ac:dyDescent="0.15">
      <c r="A145" s="10" t="s">
        <v>364</v>
      </c>
      <c r="B145" s="18" t="str" cm="1">
        <f t="array" ref="B145">VLOOKUP(A145,'Player Data'!A1:B673,2,FALSE)</f>
        <v>T.B</v>
      </c>
      <c r="C145" s="52" cm="1">
        <f t="array" ref="C145">((E145)*Settings!$C$12)+(F145*Settings!$C$2)+(G145*Settings!$C$3)+(H145*Settings!$C$4)+(I145*Settings!$C$5)+(K145*Settings!$C$9)+(N145*Settings!$C$6)+(J145*Settings!$C$8)+(O145*Settings!$C$7)+(P145*Settings!$C$14)+(Q145*Settings!$C$15)+(R145*Settings!$C$16)+(S145*Settings!$C$17)+(T145*Settings!$C$18)+(U145*Settings!$C$19)+(L145*Settings!$C$10)+(Settings!$C$11*M145)</f>
        <v>2.4578858395279841</v>
      </c>
      <c r="D145" s="57" cm="1">
        <f t="array" ref="D145">IF(Settings!$E$12="YES",VLOOKUP(A145,'Player Data'!A1:E673,5,FALSE),82)</f>
        <v>82</v>
      </c>
      <c r="E145" s="55" cm="1">
        <f t="array" ref="E145">(VLOOKUP($A145,'The List'!$B1:$AH671,17,FALSE)-AVERAGE('The List'!R2:R671))/STDEV('The List'!R2:R671)</f>
        <v>0.15362666503934194</v>
      </c>
      <c r="F145" s="55" cm="1">
        <f t="array" ref="F145">(VLOOKUP($A145,'The List'!$B1:$AH671,18,FALSE)-AVERAGE('The List'!S2:S671))/STDEV('The List'!S2:S671)</f>
        <v>0.83694443691947995</v>
      </c>
      <c r="G145" s="55" cm="1">
        <f t="array" ref="G145">(VLOOKUP($A145,'The List'!$B1:$AH671,19,FALSE)-AVERAGE('The List'!T2:T671))/STDEV('The List'!T2:T671)</f>
        <v>0.35452573064029713</v>
      </c>
      <c r="H145" s="55" cm="1">
        <f t="array" ref="H145">(VLOOKUP($A145,'The List'!$B1:$AH671,20,FALSE)-AVERAGE('The List'!U2:U671))/STDEV('The List'!U2:U671)</f>
        <v>0.59377670658704207</v>
      </c>
      <c r="I145" s="55" cm="1">
        <f t="array" ref="I145">(VLOOKUP($A145,'The List'!$B1:$AH671,21,FALSE)-AVERAGE('The List'!V2:V671))/STDEV('The List'!V2:V671)</f>
        <v>0.25267912427910744</v>
      </c>
      <c r="J145" s="55" cm="1">
        <f t="array" ref="J145">(VLOOKUP($A145,'The List'!$B1:$AH671,22,FALSE)-AVERAGE('The List'!W2:W671))/STDEV('The List'!W2:W671)</f>
        <v>-5.9094739739746431E-2</v>
      </c>
      <c r="K145" s="55" cm="1">
        <f t="array" ref="K145">(VLOOKUP($A145,'The List'!$B1:$AH671,23,FALSE)-AVERAGE('The List'!X2:X671))/STDEV('The List'!X2:X671)</f>
        <v>-0.30712415493690071</v>
      </c>
      <c r="L145" s="55" cm="1">
        <f t="array" ref="L145">(VLOOKUP($A145,'The List'!$B1:$AH671,24,FALSE)-AVERAGE('The List'!Y2:Y671))/STDEV('The List'!Y2:Y671)</f>
        <v>2.5308954012809677</v>
      </c>
      <c r="M145" s="55" cm="1">
        <f t="array" ref="M145">(VLOOKUP($A145,'The List'!$B1:$AH671,25,FALSE)-AVERAGE('The List'!Z2:Z671))/STDEV('The List'!Z2:Z671)</f>
        <v>3.8112549828298827</v>
      </c>
      <c r="N145" s="55" cm="1">
        <f t="array" ref="N145">(VLOOKUP($A145,'The List'!$B1:$AH671,26,FALSE)-AVERAGE('The List'!AA2:AA671))/STDEV('The List'!AA2:AA671)</f>
        <v>-0.13597400732343196</v>
      </c>
      <c r="O145" s="55" cm="1">
        <f t="array" ref="O145">(VLOOKUP($A145,'The List'!$B1:$AH671,27,FALSE)-AVERAGE('The List'!AB2:AB671))/STDEV('The List'!AB2:AB671)</f>
        <v>-0.70982718900394004</v>
      </c>
      <c r="P145" s="55" cm="1">
        <f t="array" ref="P145">(VLOOKUP($A145,'The List'!$B1:$AH671,28,FALSE)-AVERAGE('The List'!AC2:AC671))/STDEV('The List'!AC2:AC671)</f>
        <v>2.0306878916299405</v>
      </c>
      <c r="Q145" s="55" cm="1">
        <f t="array" ref="Q145">(VLOOKUP($A145,'The List'!$B1:$AH671,29,FALSE)-AVERAGE('The List'!AD2:AD671))/STDEV('The List'!AD2:AD671)</f>
        <v>0.11018162898699152</v>
      </c>
      <c r="R145" s="55" cm="1">
        <f t="array" ref="R145">(VLOOKUP($A145,'The List'!$B1:$AH671,30,FALSE)-AVERAGE('The List'!AE2:AE671))/STDEV('The List'!AE2:AE671)</f>
        <v>1.2130783521617345</v>
      </c>
      <c r="S145" s="55" cm="1">
        <f t="array" ref="S145">(VLOOKUP($A145,'The List'!$B1:$AH671,31,FALSE)-AVERAGE('The List'!AF2:AF671))/STDEV('The List'!AF2:AF671)</f>
        <v>2.2150656261294386</v>
      </c>
      <c r="T145" s="55" cm="1">
        <f t="array" ref="T145">(VLOOKUP($A145,'The List'!$B1:$AH671,32,FALSE)-AVERAGE('The List'!AG2:AG671))/STDEV('The List'!AG2:AG671)</f>
        <v>2.4373308512201977</v>
      </c>
      <c r="U145" s="55" cm="1">
        <f t="array" ref="U145">(VLOOKUP($A145,'The List'!$B1:$AH671,33,FALSE)-AVERAGE('The List'!AH2:AH671))/STDEV('The List'!AH2:AH671)</f>
        <v>0.99869933650975895</v>
      </c>
      <c r="V145" s="55"/>
      <c r="W145" s="57"/>
      <c r="X145" s="55"/>
      <c r="Y145" s="55"/>
      <c r="Z145" s="55"/>
      <c r="AA145" s="55"/>
      <c r="AB145" s="55"/>
      <c r="AC145" s="55"/>
      <c r="AD145" s="55"/>
      <c r="AE145" s="55"/>
    </row>
    <row r="146" spans="1:31" ht="21.25" customHeight="1" x14ac:dyDescent="0.15">
      <c r="A146" s="10" t="s">
        <v>239</v>
      </c>
      <c r="B146" s="18" t="str" cm="1">
        <f t="array" ref="B146">VLOOKUP(A146,'Player Data'!A1:B673,2,FALSE)</f>
        <v>WSH</v>
      </c>
      <c r="C146" s="52" cm="1">
        <f t="array" ref="C146">((E146)*Settings!$C$12)+(F146*Settings!$C$2)+(G146*Settings!$C$3)+(H146*Settings!$C$4)+(I146*Settings!$C$5)+(K146*Settings!$C$9)+(N146*Settings!$C$6)+(J146*Settings!$C$8)+(O146*Settings!$C$7)+(P146*Settings!$C$14)+(Q146*Settings!$C$15)+(R146*Settings!$C$16)+(S146*Settings!$C$17)+(T146*Settings!$C$18)+(U146*Settings!$C$19)+(L146*Settings!$C$10)+(Settings!$C$11*M146)</f>
        <v>2.1858213341746513</v>
      </c>
      <c r="D146" s="57" cm="1">
        <f t="array" ref="D146">IF(Settings!$E$12="YES",VLOOKUP(A146,'Player Data'!A1:E673,5,FALSE),82)</f>
        <v>74</v>
      </c>
      <c r="E146" s="55" cm="1">
        <f t="array" ref="E146">(VLOOKUP($A146,'The List'!$B1:$AH671,17,FALSE)-AVERAGE('The List'!R2:R671))/STDEV('The List'!R2:R671)</f>
        <v>0.59957253802758848</v>
      </c>
      <c r="F146" s="55" cm="1">
        <f t="array" ref="F146">(VLOOKUP($A146,'The List'!$B1:$AH671,18,FALSE)-AVERAGE('The List'!S2:S671))/STDEV('The List'!S2:S671)</f>
        <v>-0.26478055023090674</v>
      </c>
      <c r="G146" s="55" cm="1">
        <f t="array" ref="G146">(VLOOKUP($A146,'The List'!$B1:$AH671,19,FALSE)-AVERAGE('The List'!T2:T671))/STDEV('The List'!T2:T671)</f>
        <v>0.72978607867402023</v>
      </c>
      <c r="H146" s="55" cm="1">
        <f t="array" ref="H146">(VLOOKUP($A146,'The List'!$B1:$AH671,20,FALSE)-AVERAGE('The List'!U2:U671))/STDEV('The List'!U2:U671)</f>
        <v>0.34179560312357543</v>
      </c>
      <c r="I146" s="55" cm="1">
        <f t="array" ref="I146">(VLOOKUP($A146,'The List'!$B1:$AH671,21,FALSE)-AVERAGE('The List'!V2:V671))/STDEV('The List'!V2:V671)</f>
        <v>-0.25354452672238897</v>
      </c>
      <c r="J146" s="55" cm="1">
        <f t="array" ref="J146">(VLOOKUP($A146,'The List'!$B1:$AH671,22,FALSE)-AVERAGE('The List'!W2:W671))/STDEV('The List'!W2:W671)</f>
        <v>-0.32976768983685217</v>
      </c>
      <c r="K146" s="55" cm="1">
        <f t="array" ref="K146">(VLOOKUP($A146,'The List'!$B1:$AH671,23,FALSE)-AVERAGE('The List'!X2:X671))/STDEV('The List'!X2:X671)</f>
        <v>1.3550411155027662</v>
      </c>
      <c r="L146" s="55" cm="1">
        <f t="array" ref="L146">(VLOOKUP($A146,'The List'!$B1:$AH671,24,FALSE)-AVERAGE('The List'!Y2:Y671))/STDEV('The List'!Y2:Y671)</f>
        <v>-0.47546929358800777</v>
      </c>
      <c r="M146" s="55" cm="1">
        <f t="array" ref="M146">(VLOOKUP($A146,'The List'!$B1:$AH671,25,FALSE)-AVERAGE('The List'!Z2:Z671))/STDEV('The List'!Z2:Z671)</f>
        <v>-0.64388478613809508</v>
      </c>
      <c r="N146" s="55" cm="1">
        <f t="array" ref="N146">(VLOOKUP($A146,'The List'!$B1:$AH671,26,FALSE)-AVERAGE('The List'!AA2:AA671))/STDEV('The List'!AA2:AA671)</f>
        <v>0.30486297985650135</v>
      </c>
      <c r="O146" s="55" cm="1">
        <f t="array" ref="O146">(VLOOKUP($A146,'The List'!$B1:$AH671,27,FALSE)-AVERAGE('The List'!AB2:AB671))/STDEV('The List'!AB2:AB671)</f>
        <v>8.1834300651754857E-2</v>
      </c>
      <c r="P146" s="55" cm="1">
        <f t="array" ref="P146">(VLOOKUP($A146,'The List'!$B1:$AH671,28,FALSE)-AVERAGE('The List'!AC2:AC671))/STDEV('The List'!AC2:AC671)</f>
        <v>0.53748491629940554</v>
      </c>
      <c r="Q146" s="55" cm="1">
        <f t="array" ref="Q146">(VLOOKUP($A146,'The List'!$B1:$AH671,29,FALSE)-AVERAGE('The List'!AD2:AD671))/STDEV('The List'!AD2:AD671)</f>
        <v>0.41458533894306387</v>
      </c>
      <c r="R146" s="55" cm="1">
        <f t="array" ref="R146">(VLOOKUP($A146,'The List'!$B1:$AH671,30,FALSE)-AVERAGE('The List'!AE2:AE671))/STDEV('The List'!AE2:AE671)</f>
        <v>-0.42127476321943386</v>
      </c>
      <c r="S146" s="55" cm="1">
        <f t="array" ref="S146">(VLOOKUP($A146,'The List'!$B1:$AH671,31,FALSE)-AVERAGE('The List'!AF2:AF671))/STDEV('The List'!AF2:AF671)</f>
        <v>-0.59581850454342256</v>
      </c>
      <c r="T146" s="55" cm="1">
        <f t="array" ref="T146">(VLOOKUP($A146,'The List'!$B1:$AH671,32,FALSE)-AVERAGE('The List'!AG2:AG671))/STDEV('The List'!AG2:AG671)</f>
        <v>-0.64684275008198677</v>
      </c>
      <c r="U146" s="55" cm="1">
        <f t="array" ref="U146">(VLOOKUP($A146,'The List'!$B1:$AH671,33,FALSE)-AVERAGE('The List'!AH2:AH671))/STDEV('The List'!AH2:AH671)</f>
        <v>-1.2552626683789523</v>
      </c>
      <c r="V146" s="55"/>
      <c r="W146" s="57"/>
      <c r="X146" s="55"/>
      <c r="Y146" s="55"/>
      <c r="Z146" s="55"/>
      <c r="AA146" s="55"/>
      <c r="AB146" s="55"/>
      <c r="AC146" s="55"/>
      <c r="AD146" s="55"/>
      <c r="AE146" s="55"/>
    </row>
    <row r="147" spans="1:31" ht="21.25" customHeight="1" x14ac:dyDescent="0.15">
      <c r="A147" s="10" t="s">
        <v>451</v>
      </c>
      <c r="B147" s="18" t="str" cm="1">
        <f t="array" ref="B147">VLOOKUP(A147,'Player Data'!A1:B673,2,FALSE)</f>
        <v>S.J</v>
      </c>
      <c r="C147" s="52" cm="1">
        <f t="array" ref="C147">((E147)*Settings!$C$12)+(F147*Settings!$C$2)+(G147*Settings!$C$3)+(H147*Settings!$C$4)+(I147*Settings!$C$5)+(K147*Settings!$C$9)+(N147*Settings!$C$6)+(J147*Settings!$C$8)+(O147*Settings!$C$7)+(P147*Settings!$C$14)+(Q147*Settings!$C$15)+(R147*Settings!$C$16)+(S147*Settings!$C$17)+(T147*Settings!$C$18)+(U147*Settings!$C$19)+(L147*Settings!$C$10)+(Settings!$C$11*M147)</f>
        <v>1.7797162366062214</v>
      </c>
      <c r="D147" s="57" cm="1">
        <f t="array" ref="D147">IF(Settings!$E$12="YES",VLOOKUP(A147,'Player Data'!A1:E673,5,FALSE),82)</f>
        <v>79</v>
      </c>
      <c r="E147" s="55" cm="1">
        <f t="array" ref="E147">(VLOOKUP($A147,'The List'!$B1:$AH671,17,FALSE)-AVERAGE('The List'!R2:R671))/STDEV('The List'!R2:R671)</f>
        <v>-0.16115865707000782</v>
      </c>
      <c r="F147" s="55" cm="1">
        <f t="array" ref="F147">(VLOOKUP($A147,'The List'!$B1:$AH671,18,FALSE)-AVERAGE('The List'!S2:S671))/STDEV('The List'!S2:S671)</f>
        <v>0.83494855831956993</v>
      </c>
      <c r="G147" s="55" cm="1">
        <f t="array" ref="G147">(VLOOKUP($A147,'The List'!$B1:$AH671,19,FALSE)-AVERAGE('The List'!T2:T671))/STDEV('The List'!T2:T671)</f>
        <v>0.44728671554750959</v>
      </c>
      <c r="H147" s="55" cm="1">
        <f t="array" ref="H147">(VLOOKUP($A147,'The List'!$B1:$AH671,20,FALSE)-AVERAGE('The List'!U2:U671))/STDEV('The List'!U2:U671)</f>
        <v>0.65124608106116588</v>
      </c>
      <c r="I147" s="55" cm="1">
        <f t="array" ref="I147">(VLOOKUP($A147,'The List'!$B1:$AH671,21,FALSE)-AVERAGE('The List'!V2:V671))/STDEV('The List'!V2:V671)</f>
        <v>0.35461494478794131</v>
      </c>
      <c r="J147" s="55" cm="1">
        <f t="array" ref="J147">(VLOOKUP($A147,'The List'!$B1:$AH671,22,FALSE)-AVERAGE('The List'!W2:W671))/STDEV('The List'!W2:W671)</f>
        <v>0.35243862316299607</v>
      </c>
      <c r="K147" s="55" cm="1">
        <f t="array" ref="K147">(VLOOKUP($A147,'The List'!$B1:$AH671,23,FALSE)-AVERAGE('The List'!X2:X671))/STDEV('The List'!X2:X671)</f>
        <v>-7.6530239870694541E-3</v>
      </c>
      <c r="L147" s="55" cm="1">
        <f t="array" ref="L147">(VLOOKUP($A147,'The List'!$B1:$AH671,24,FALSE)-AVERAGE('The List'!Y2:Y671))/STDEV('The List'!Y2:Y671)</f>
        <v>-0.47546929358800777</v>
      </c>
      <c r="M147" s="55" cm="1">
        <f t="array" ref="M147">(VLOOKUP($A147,'The List'!$B1:$AH671,25,FALSE)-AVERAGE('The List'!Z2:Z671))/STDEV('The List'!Z2:Z671)</f>
        <v>-0.64388478613809508</v>
      </c>
      <c r="N147" s="55" cm="1">
        <f t="array" ref="N147">(VLOOKUP($A147,'The List'!$B1:$AH671,26,FALSE)-AVERAGE('The List'!AA2:AA671))/STDEV('The List'!AA2:AA671)</f>
        <v>-0.77551967122757592</v>
      </c>
      <c r="O147" s="55" cm="1">
        <f t="array" ref="O147">(VLOOKUP($A147,'The List'!$B1:$AH671,27,FALSE)-AVERAGE('The List'!AB2:AB671))/STDEV('The List'!AB2:AB671)</f>
        <v>0.25545866153688523</v>
      </c>
      <c r="P147" s="55" cm="1">
        <f t="array" ref="P147">(VLOOKUP($A147,'The List'!$B1:$AH671,28,FALSE)-AVERAGE('The List'!AC2:AC671))/STDEV('The List'!AC2:AC671)</f>
        <v>-0.1049396195986151</v>
      </c>
      <c r="Q147" s="55" cm="1">
        <f t="array" ref="Q147">(VLOOKUP($A147,'The List'!$B1:$AH671,29,FALSE)-AVERAGE('The List'!AD2:AD671))/STDEV('The List'!AD2:AD671)</f>
        <v>1.4201519633367872</v>
      </c>
      <c r="R147" s="55" cm="1">
        <f t="array" ref="R147">(VLOOKUP($A147,'The List'!$B1:$AH671,30,FALSE)-AVERAGE('The List'!AE2:AE671))/STDEV('The List'!AE2:AE671)</f>
        <v>0.62670738710131524</v>
      </c>
      <c r="S147" s="55" cm="1">
        <f t="array" ref="S147">(VLOOKUP($A147,'The List'!$B1:$AH671,31,FALSE)-AVERAGE('The List'!AF2:AF671))/STDEV('The List'!AF2:AF671)</f>
        <v>-0.51985645948367643</v>
      </c>
      <c r="T147" s="55" cm="1">
        <f t="array" ref="T147">(VLOOKUP($A147,'The List'!$B1:$AH671,32,FALSE)-AVERAGE('The List'!AG2:AG671))/STDEV('The List'!AG2:AG671)</f>
        <v>-0.53395609677291511</v>
      </c>
      <c r="U147" s="55" cm="1">
        <f t="array" ref="U147">(VLOOKUP($A147,'The List'!$B1:$AH671,33,FALSE)-AVERAGE('The List'!AH2:AH671))/STDEV('The List'!AH2:AH671)</f>
        <v>0.67670476438280014</v>
      </c>
      <c r="V147" s="55"/>
      <c r="W147" s="77"/>
      <c r="X147" s="57"/>
      <c r="Y147" s="57"/>
      <c r="Z147" s="57"/>
      <c r="AA147" s="57"/>
      <c r="AB147" s="57"/>
      <c r="AC147" s="60"/>
      <c r="AD147" s="61"/>
      <c r="AE147" s="55"/>
    </row>
    <row r="148" spans="1:31" ht="21.25" customHeight="1" x14ac:dyDescent="0.15">
      <c r="A148" s="10" t="s">
        <v>214</v>
      </c>
      <c r="B148" s="18" t="str" cm="1">
        <f t="array" ref="B148">VLOOKUP(A148,'Player Data'!A1:B673,2,FALSE)</f>
        <v>CAR</v>
      </c>
      <c r="C148" s="52" cm="1">
        <f t="array" ref="C148">((E148)*Settings!$C$12)+(F148*Settings!$C$2)+(G148*Settings!$C$3)+(H148*Settings!$C$4)+(I148*Settings!$C$5)+(K148*Settings!$C$9)+(N148*Settings!$C$6)+(J148*Settings!$C$8)+(O148*Settings!$C$7)+(P148*Settings!$C$14)+(Q148*Settings!$C$15)+(R148*Settings!$C$16)+(S148*Settings!$C$17)+(T148*Settings!$C$18)+(U148*Settings!$C$19)+(L148*Settings!$C$10)+(Settings!$C$11*M148)</f>
        <v>3.1050120330451199</v>
      </c>
      <c r="D148" s="57" cm="1">
        <f t="array" ref="D148">IF(Settings!$E$12="YES",VLOOKUP(A148,'Player Data'!A1:E673,5,FALSE),82)</f>
        <v>77</v>
      </c>
      <c r="E148" s="55" cm="1">
        <f t="array" ref="E148">(VLOOKUP($A148,'The List'!$B1:$AH671,17,FALSE)-AVERAGE('The List'!R2:R671))/STDEV('The List'!R2:R671)</f>
        <v>0.62580464820336701</v>
      </c>
      <c r="F148" s="55" cm="1">
        <f t="array" ref="F148">(VLOOKUP($A148,'The List'!$B1:$AH671,18,FALSE)-AVERAGE('The List'!S2:S671))/STDEV('The List'!S2:S671)</f>
        <v>-0.45039726002254793</v>
      </c>
      <c r="G148" s="55" cm="1">
        <f t="array" ref="G148">(VLOOKUP($A148,'The List'!$B1:$AH671,19,FALSE)-AVERAGE('The List'!T2:T671))/STDEV('The List'!T2:T671)</f>
        <v>1.1514269191613495</v>
      </c>
      <c r="H148" s="55" cm="1">
        <f t="array" ref="H148">(VLOOKUP($A148,'The List'!$B1:$AH671,20,FALSE)-AVERAGE('The List'!U2:U671))/STDEV('The List'!U2:U671)</f>
        <v>0.52481345721809325</v>
      </c>
      <c r="I148" s="55" cm="1">
        <f t="array" ref="I148">(VLOOKUP($A148,'The List'!$B1:$AH671,21,FALSE)-AVERAGE('The List'!V2:V671))/STDEV('The List'!V2:V671)</f>
        <v>0.21052261545850504</v>
      </c>
      <c r="J148" s="55" cm="1">
        <f t="array" ref="J148">(VLOOKUP($A148,'The List'!$B1:$AH671,22,FALSE)-AVERAGE('The List'!W2:W671))/STDEV('The List'!W2:W671)</f>
        <v>0.32481893437757708</v>
      </c>
      <c r="K148" s="55" cm="1">
        <f t="array" ref="K148">(VLOOKUP($A148,'The List'!$B1:$AH671,23,FALSE)-AVERAGE('The List'!X2:X671))/STDEV('The List'!X2:X671)</f>
        <v>1.4424706067532203</v>
      </c>
      <c r="L148" s="55" cm="1">
        <f t="array" ref="L148">(VLOOKUP($A148,'The List'!$B1:$AH671,24,FALSE)-AVERAGE('The List'!Y2:Y671))/STDEV('The List'!Y2:Y671)</f>
        <v>-0.47546929358800777</v>
      </c>
      <c r="M148" s="55" cm="1">
        <f t="array" ref="M148">(VLOOKUP($A148,'The List'!$B1:$AH671,25,FALSE)-AVERAGE('The List'!Z2:Z671))/STDEV('The List'!Z2:Z671)</f>
        <v>-0.64388478613809508</v>
      </c>
      <c r="N148" s="55" cm="1">
        <f t="array" ref="N148">(VLOOKUP($A148,'The List'!$B1:$AH671,26,FALSE)-AVERAGE('The List'!AA2:AA671))/STDEV('The List'!AA2:AA671)</f>
        <v>0.61901680038449503</v>
      </c>
      <c r="O148" s="55" cm="1">
        <f t="array" ref="O148">(VLOOKUP($A148,'The List'!$B1:$AH671,27,FALSE)-AVERAGE('The List'!AB2:AB671))/STDEV('The List'!AB2:AB671)</f>
        <v>-0.64812596984641457</v>
      </c>
      <c r="P148" s="55" cm="1">
        <f t="array" ref="P148">(VLOOKUP($A148,'The List'!$B1:$AH671,28,FALSE)-AVERAGE('The List'!AC2:AC671))/STDEV('The List'!AC2:AC671)</f>
        <v>1.3991151215410076</v>
      </c>
      <c r="Q148" s="55" cm="1">
        <f t="array" ref="Q148">(VLOOKUP($A148,'The List'!$B1:$AH671,29,FALSE)-AVERAGE('The List'!AD2:AD671))/STDEV('The List'!AD2:AD671)</f>
        <v>-0.26884532054569032</v>
      </c>
      <c r="R148" s="55" cm="1">
        <f t="array" ref="R148">(VLOOKUP($A148,'The List'!$B1:$AH671,30,FALSE)-AVERAGE('The List'!AE2:AE671))/STDEV('The List'!AE2:AE671)</f>
        <v>-0.38384682927940705</v>
      </c>
      <c r="S148" s="55" cm="1">
        <f t="array" ref="S148">(VLOOKUP($A148,'The List'!$B1:$AH671,31,FALSE)-AVERAGE('The List'!AF2:AF671))/STDEV('The List'!AF2:AF671)</f>
        <v>-0.59581850454342256</v>
      </c>
      <c r="T148" s="55" cm="1">
        <f t="array" ref="T148">(VLOOKUP($A148,'The List'!$B1:$AH671,32,FALSE)-AVERAGE('The List'!AG2:AG671))/STDEV('The List'!AG2:AG671)</f>
        <v>-0.64684275008198677</v>
      </c>
      <c r="U148" s="55" cm="1">
        <f t="array" ref="U148">(VLOOKUP($A148,'The List'!$B1:$AH671,33,FALSE)-AVERAGE('The List'!AH2:AH671))/STDEV('The List'!AH2:AH671)</f>
        <v>-1.2552626683789523</v>
      </c>
      <c r="V148" s="55"/>
      <c r="W148" s="77"/>
      <c r="X148" s="57"/>
      <c r="Y148" s="57"/>
      <c r="Z148" s="57"/>
      <c r="AA148" s="57"/>
      <c r="AB148" s="57"/>
      <c r="AC148" s="60"/>
      <c r="AD148" s="61"/>
      <c r="AE148" s="55"/>
    </row>
    <row r="149" spans="1:31" ht="21.25" customHeight="1" x14ac:dyDescent="0.15">
      <c r="A149" s="10" t="s">
        <v>455</v>
      </c>
      <c r="B149" s="18" t="str" cm="1">
        <f t="array" ref="B149">VLOOKUP(A149,'Player Data'!A1:B673,2,FALSE)</f>
        <v>VGK</v>
      </c>
      <c r="C149" s="52" cm="1">
        <f t="array" ref="C149">((E149)*Settings!$C$12)+(F149*Settings!$C$2)+(G149*Settings!$C$3)+(H149*Settings!$C$4)+(I149*Settings!$C$5)+(K149*Settings!$C$9)+(N149*Settings!$C$6)+(J149*Settings!$C$8)+(O149*Settings!$C$7)+(P149*Settings!$C$14)+(Q149*Settings!$C$15)+(R149*Settings!$C$16)+(S149*Settings!$C$17)+(T149*Settings!$C$18)+(U149*Settings!$C$19)+(L149*Settings!$C$10)+(Settings!$C$11*M149)</f>
        <v>3.1363407471087372</v>
      </c>
      <c r="D149" s="57" cm="1">
        <f t="array" ref="D149">IF(Settings!$E$12="YES",VLOOKUP(A149,'Player Data'!A1:E673,5,FALSE),82)</f>
        <v>82</v>
      </c>
      <c r="E149" s="55" cm="1">
        <f t="array" ref="E149">(VLOOKUP($A149,'The List'!$B1:$AH671,17,FALSE)-AVERAGE('The List'!R2:R671))/STDEV('The List'!R2:R671)</f>
        <v>-0.29231920794890365</v>
      </c>
      <c r="F149" s="55" cm="1">
        <f t="array" ref="F149">(VLOOKUP($A149,'The List'!$B1:$AH671,18,FALSE)-AVERAGE('The List'!S2:S671))/STDEV('The List'!S2:S671)</f>
        <v>0.75511341432316503</v>
      </c>
      <c r="G149" s="55" cm="1">
        <f t="array" ref="G149">(VLOOKUP($A149,'The List'!$B1:$AH671,19,FALSE)-AVERAGE('The List'!T2:T671))/STDEV('The List'!T2:T671)</f>
        <v>0.52739847524010219</v>
      </c>
      <c r="H149" s="55" cm="1">
        <f t="array" ref="H149">(VLOOKUP($A149,'The List'!$B1:$AH671,20,FALSE)-AVERAGE('The List'!U2:U671))/STDEV('The List'!U2:U671)</f>
        <v>0.66627653284670618</v>
      </c>
      <c r="I149" s="55" cm="1">
        <f t="array" ref="I149">(VLOOKUP($A149,'The List'!$B1:$AH671,21,FALSE)-AVERAGE('The List'!V2:V671))/STDEV('The List'!V2:V671)</f>
        <v>2.6001503079802708E-2</v>
      </c>
      <c r="J149" s="55" cm="1">
        <f t="array" ref="J149">(VLOOKUP($A149,'The List'!$B1:$AH671,22,FALSE)-AVERAGE('The List'!W2:W671))/STDEV('The List'!W2:W671)</f>
        <v>-0.28557618778018184</v>
      </c>
      <c r="K149" s="55" cm="1">
        <f t="array" ref="K149">(VLOOKUP($A149,'The List'!$B1:$AH671,23,FALSE)-AVERAGE('The List'!X2:X671))/STDEV('The List'!X2:X671)</f>
        <v>-0.47193377062741176</v>
      </c>
      <c r="L149" s="55" cm="1">
        <f t="array" ref="L149">(VLOOKUP($A149,'The List'!$B1:$AH671,24,FALSE)-AVERAGE('The List'!Y2:Y671))/STDEV('The List'!Y2:Y671)</f>
        <v>-0.47546929358800777</v>
      </c>
      <c r="M149" s="55" cm="1">
        <f t="array" ref="M149">(VLOOKUP($A149,'The List'!$B1:$AH671,25,FALSE)-AVERAGE('The List'!Z2:Z671))/STDEV('The List'!Z2:Z671)</f>
        <v>-0.64388478613809508</v>
      </c>
      <c r="N149" s="55" cm="1">
        <f t="array" ref="N149">(VLOOKUP($A149,'The List'!$B1:$AH671,26,FALSE)-AVERAGE('The List'!AA2:AA671))/STDEV('The List'!AA2:AA671)</f>
        <v>-0.68050729623862172</v>
      </c>
      <c r="O149" s="55" cm="1">
        <f t="array" ref="O149">(VLOOKUP($A149,'The List'!$B1:$AH671,27,FALSE)-AVERAGE('The List'!AB2:AB671))/STDEV('The List'!AB2:AB671)</f>
        <v>0.8029801112702778</v>
      </c>
      <c r="P149" s="55" cm="1">
        <f t="array" ref="P149">(VLOOKUP($A149,'The List'!$B1:$AH671,28,FALSE)-AVERAGE('The List'!AC2:AC671))/STDEV('The List'!AC2:AC671)</f>
        <v>1.4967810138228015</v>
      </c>
      <c r="Q149" s="55" cm="1">
        <f t="array" ref="Q149">(VLOOKUP($A149,'The List'!$B1:$AH671,29,FALSE)-AVERAGE('The List'!AD2:AD671))/STDEV('The List'!AD2:AD671)</f>
        <v>-0.73801123273526725</v>
      </c>
      <c r="R149" s="55" cm="1">
        <f t="array" ref="R149">(VLOOKUP($A149,'The List'!$B1:$AH671,30,FALSE)-AVERAGE('The List'!AE2:AE671))/STDEV('The List'!AE2:AE671)</f>
        <v>1.2130783521617345</v>
      </c>
      <c r="S149" s="55" cm="1">
        <f t="array" ref="S149">(VLOOKUP($A149,'The List'!$B1:$AH671,31,FALSE)-AVERAGE('The List'!AF2:AF671))/STDEV('The List'!AF2:AF671)</f>
        <v>-0.50908715689292749</v>
      </c>
      <c r="T149" s="55" cm="1">
        <f t="array" ref="T149">(VLOOKUP($A149,'The List'!$B1:$AH671,32,FALSE)-AVERAGE('The List'!AG2:AG671))/STDEV('The List'!AG2:AG671)</f>
        <v>-0.45852821540274891</v>
      </c>
      <c r="U149" s="55" cm="1">
        <f t="array" ref="U149">(VLOOKUP($A149,'The List'!$B1:$AH671,33,FALSE)-AVERAGE('The List'!AH2:AH671))/STDEV('The List'!AH2:AH671)</f>
        <v>0.26271174307671047</v>
      </c>
      <c r="V149" s="55"/>
      <c r="W149" s="77"/>
      <c r="X149" s="57"/>
      <c r="Y149" s="57"/>
      <c r="Z149" s="57"/>
      <c r="AA149" s="57"/>
      <c r="AB149" s="57"/>
      <c r="AC149" s="60"/>
      <c r="AD149" s="61"/>
      <c r="AE149" s="55"/>
    </row>
    <row r="150" spans="1:31" ht="21.25" customHeight="1" x14ac:dyDescent="0.15">
      <c r="A150" s="10" t="s">
        <v>335</v>
      </c>
      <c r="B150" s="18" t="str" cm="1">
        <f t="array" ref="B150">VLOOKUP(A150,'Player Data'!A1:B673,2,FALSE)</f>
        <v>CGY</v>
      </c>
      <c r="C150" s="52" cm="1">
        <f t="array" ref="C150">((E150)*Settings!$C$12)+(F150*Settings!$C$2)+(G150*Settings!$C$3)+(H150*Settings!$C$4)+(I150*Settings!$C$5)+(K150*Settings!$C$9)+(N150*Settings!$C$6)+(J150*Settings!$C$8)+(O150*Settings!$C$7)+(P150*Settings!$C$14)+(Q150*Settings!$C$15)+(R150*Settings!$C$16)+(S150*Settings!$C$17)+(T150*Settings!$C$18)+(U150*Settings!$C$19)+(L150*Settings!$C$10)+(Settings!$C$11*M150)</f>
        <v>0.35672529280345389</v>
      </c>
      <c r="D150" s="57" cm="1">
        <f t="array" ref="D150">IF(Settings!$E$12="YES",VLOOKUP(A150,'Player Data'!A1:E673,5,FALSE),82)</f>
        <v>82</v>
      </c>
      <c r="E150" s="55" cm="1">
        <f t="array" ref="E150">(VLOOKUP($A150,'The List'!$B1:$AH671,17,FALSE)-AVERAGE('The List'!R2:R671))/STDEV('The List'!R2:R671)</f>
        <v>0.20609088539090101</v>
      </c>
      <c r="F150" s="55" cm="1">
        <f t="array" ref="F150">(VLOOKUP($A150,'The List'!$B1:$AH671,18,FALSE)-AVERAGE('The List'!S2:S671))/STDEV('The List'!S2:S671)</f>
        <v>0.91877545951579498</v>
      </c>
      <c r="G150" s="55" cm="1">
        <f t="array" ref="G150">(VLOOKUP($A150,'The List'!$B1:$AH671,19,FALSE)-AVERAGE('The List'!T2:T671))/STDEV('The List'!T2:T671)</f>
        <v>0.41214997884023213</v>
      </c>
      <c r="H150" s="55" cm="1">
        <f t="array" ref="H150">(VLOOKUP($A150,'The List'!$B1:$AH671,20,FALSE)-AVERAGE('The List'!U2:U671))/STDEV('The List'!U2:U671)</f>
        <v>0.66627653284670618</v>
      </c>
      <c r="I150" s="55" cm="1">
        <f t="array" ref="I150">(VLOOKUP($A150,'The List'!$B1:$AH671,21,FALSE)-AVERAGE('The List'!V2:V671))/STDEV('The List'!V2:V671)</f>
        <v>1.4002345816005883</v>
      </c>
      <c r="J150" s="55" cm="1">
        <f t="array" ref="J150">(VLOOKUP($A150,'The List'!$B1:$AH671,22,FALSE)-AVERAGE('The List'!W2:W671))/STDEV('The List'!W2:W671)</f>
        <v>1.0733125004624309</v>
      </c>
      <c r="K150" s="55" cm="1">
        <f t="array" ref="K150">(VLOOKUP($A150,'The List'!$B1:$AH671,23,FALSE)-AVERAGE('The List'!X2:X671))/STDEV('The List'!X2:X671)</f>
        <v>0.92894796274193259</v>
      </c>
      <c r="L150" s="55" cm="1">
        <f t="array" ref="L150">(VLOOKUP($A150,'The List'!$B1:$AH671,24,FALSE)-AVERAGE('The List'!Y2:Y671))/STDEV('The List'!Y2:Y671)</f>
        <v>-0.47546929358800777</v>
      </c>
      <c r="M150" s="55" cm="1">
        <f t="array" ref="M150">(VLOOKUP($A150,'The List'!$B1:$AH671,25,FALSE)-AVERAGE('The List'!Z2:Z671))/STDEV('The List'!Z2:Z671)</f>
        <v>-0.64388478613809508</v>
      </c>
      <c r="N150" s="55" cm="1">
        <f t="array" ref="N150">(VLOOKUP($A150,'The List'!$B1:$AH671,26,FALSE)-AVERAGE('The List'!AA2:AA671))/STDEV('The List'!AA2:AA671)</f>
        <v>-0.86899958855541803</v>
      </c>
      <c r="O150" s="55" cm="1">
        <f t="array" ref="O150">(VLOOKUP($A150,'The List'!$B1:$AH671,27,FALSE)-AVERAGE('The List'!AB2:AB671))/STDEV('The List'!AB2:AB671)</f>
        <v>-1.0628155590679242</v>
      </c>
      <c r="P150" s="55" cm="1">
        <f t="array" ref="P150">(VLOOKUP($A150,'The List'!$B1:$AH671,28,FALSE)-AVERAGE('The List'!AC2:AC671))/STDEV('The List'!AC2:AC671)</f>
        <v>-2.2405671308271704</v>
      </c>
      <c r="Q150" s="55" cm="1">
        <f t="array" ref="Q150">(VLOOKUP($A150,'The List'!$B1:$AH671,29,FALSE)-AVERAGE('The List'!AD2:AD671))/STDEV('The List'!AD2:AD671)</f>
        <v>-7.1573984239206634E-2</v>
      </c>
      <c r="R150" s="55" cm="1">
        <f t="array" ref="R150">(VLOOKUP($A150,'The List'!$B1:$AH671,30,FALSE)-AVERAGE('The List'!AE2:AE671))/STDEV('The List'!AE2:AE671)</f>
        <v>0.70156325498136884</v>
      </c>
      <c r="S150" s="55" cm="1">
        <f t="array" ref="S150">(VLOOKUP($A150,'The List'!$B1:$AH671,31,FALSE)-AVERAGE('The List'!AF2:AF671))/STDEV('The List'!AF2:AF671)</f>
        <v>-0.24889311394144251</v>
      </c>
      <c r="T150" s="55" cm="1">
        <f t="array" ref="T150">(VLOOKUP($A150,'The List'!$B1:$AH671,32,FALSE)-AVERAGE('The List'!AG2:AG671))/STDEV('The List'!AG2:AG671)</f>
        <v>-9.4453448356222325E-2</v>
      </c>
      <c r="U150" s="55" cm="1">
        <f t="array" ref="U150">(VLOOKUP($A150,'The List'!$B1:$AH671,33,FALSE)-AVERAGE('The List'!AH2:AH671))/STDEV('The List'!AH2:AH671)</f>
        <v>0.58470631520366922</v>
      </c>
      <c r="V150" s="55"/>
      <c r="W150" s="77"/>
      <c r="X150" s="57"/>
      <c r="Y150" s="57"/>
      <c r="Z150" s="57"/>
      <c r="AA150" s="57"/>
      <c r="AB150" s="57"/>
      <c r="AC150" s="60"/>
      <c r="AD150" s="61"/>
      <c r="AE150" s="55"/>
    </row>
    <row r="151" spans="1:31" ht="21.25" customHeight="1" x14ac:dyDescent="0.15">
      <c r="A151" s="10" t="s">
        <v>342</v>
      </c>
      <c r="B151" s="18" t="str" cm="1">
        <f t="array" ref="B151">VLOOKUP(A151,'Player Data'!A1:B673,2,FALSE)</f>
        <v>FLA</v>
      </c>
      <c r="C151" s="52" cm="1">
        <f t="array" ref="C151">((E151)*Settings!$C$12)+(F151*Settings!$C$2)+(G151*Settings!$C$3)+(H151*Settings!$C$4)+(I151*Settings!$C$5)+(K151*Settings!$C$9)+(N151*Settings!$C$6)+(J151*Settings!$C$8)+(O151*Settings!$C$7)+(P151*Settings!$C$14)+(Q151*Settings!$C$15)+(R151*Settings!$C$16)+(S151*Settings!$C$17)+(T151*Settings!$C$18)+(U151*Settings!$C$19)+(L151*Settings!$C$10)+(Settings!$C$11*M151)</f>
        <v>4.1645746272694888</v>
      </c>
      <c r="D151" s="57" cm="1">
        <f t="array" ref="D151">IF(Settings!$E$12="YES",VLOOKUP(A151,'Player Data'!A1:E673,5,FALSE),82)</f>
        <v>81</v>
      </c>
      <c r="E151" s="55" cm="1">
        <f t="array" ref="E151">(VLOOKUP($A151,'The List'!$B1:$AH671,17,FALSE)-AVERAGE('The List'!R2:R671))/STDEV('The List'!R2:R671)</f>
        <v>-3.7659960153324803E-3</v>
      </c>
      <c r="F151" s="55" cm="1">
        <f t="array" ref="F151">(VLOOKUP($A151,'The List'!$B1:$AH671,18,FALSE)-AVERAGE('The List'!S2:S671))/STDEV('The List'!S2:S671)</f>
        <v>0.97166624241341293</v>
      </c>
      <c r="G151" s="55" cm="1">
        <f t="array" ref="G151">(VLOOKUP($A151,'The List'!$B1:$AH671,19,FALSE)-AVERAGE('The List'!T2:T671))/STDEV('The List'!T2:T671)</f>
        <v>0.27300850147941369</v>
      </c>
      <c r="H151" s="55" cm="1">
        <f t="array" ref="H151">(VLOOKUP($A151,'The List'!$B1:$AH671,20,FALSE)-AVERAGE('The List'!U2:U671))/STDEV('The List'!U2:U671)</f>
        <v>0.60217607670249085</v>
      </c>
      <c r="I151" s="55" cm="1">
        <f t="array" ref="I151">(VLOOKUP($A151,'The List'!$B1:$AH671,21,FALSE)-AVERAGE('The List'!V2:V671))/STDEV('The List'!V2:V671)</f>
        <v>1.230571910855377</v>
      </c>
      <c r="J151" s="55" cm="1">
        <f t="array" ref="J151">(VLOOKUP($A151,'The List'!$B1:$AH671,22,FALSE)-AVERAGE('The List'!W2:W671))/STDEV('The List'!W2:W671)</f>
        <v>0.38005831194841494</v>
      </c>
      <c r="K151" s="55" cm="1">
        <f t="array" ref="K151">(VLOOKUP($A151,'The List'!$B1:$AH671,23,FALSE)-AVERAGE('The List'!X2:X671))/STDEV('The List'!X2:X671)</f>
        <v>9.384558079794042E-2</v>
      </c>
      <c r="L151" s="55" cm="1">
        <f t="array" ref="L151">(VLOOKUP($A151,'The List'!$B1:$AH671,24,FALSE)-AVERAGE('The List'!Y2:Y671))/STDEV('The List'!Y2:Y671)</f>
        <v>-0.47546929358800777</v>
      </c>
      <c r="M151" s="55" cm="1">
        <f t="array" ref="M151">(VLOOKUP($A151,'The List'!$B1:$AH671,25,FALSE)-AVERAGE('The List'!Z2:Z671))/STDEV('The List'!Z2:Z671)</f>
        <v>-0.64388478613809508</v>
      </c>
      <c r="N151" s="55" cm="1">
        <f t="array" ref="N151">(VLOOKUP($A151,'The List'!$B1:$AH671,26,FALSE)-AVERAGE('The List'!AA2:AA671))/STDEV('The List'!AA2:AA671)</f>
        <v>-0.65062437184693445</v>
      </c>
      <c r="O151" s="55" cm="1">
        <f t="array" ref="O151">(VLOOKUP($A151,'The List'!$B1:$AH671,27,FALSE)-AVERAGE('The List'!AB2:AB671))/STDEV('The List'!AB2:AB671)</f>
        <v>0.82142898078581683</v>
      </c>
      <c r="P151" s="55" cm="1">
        <f t="array" ref="P151">(VLOOKUP($A151,'The List'!$B1:$AH671,28,FALSE)-AVERAGE('The List'!AC2:AC671))/STDEV('The List'!AC2:AC671)</f>
        <v>0.77405341093752811</v>
      </c>
      <c r="Q151" s="55" cm="1">
        <f t="array" ref="Q151">(VLOOKUP($A151,'The List'!$B1:$AH671,29,FALSE)-AVERAGE('The List'!AD2:AD671))/STDEV('The List'!AD2:AD671)</f>
        <v>2.4138970844312455</v>
      </c>
      <c r="R151" s="55" cm="1">
        <f t="array" ref="R151">(VLOOKUP($A151,'The List'!$B1:$AH671,30,FALSE)-AVERAGE('The List'!AE2:AE671))/STDEV('The List'!AE2:AE671)</f>
        <v>1.181888407211712</v>
      </c>
      <c r="S151" s="55" cm="1">
        <f t="array" ref="S151">(VLOOKUP($A151,'The List'!$B1:$AH671,31,FALSE)-AVERAGE('The List'!AF2:AF671))/STDEV('The List'!AF2:AF671)</f>
        <v>1.7368412829589988</v>
      </c>
      <c r="T151" s="55" cm="1">
        <f t="array" ref="T151">(VLOOKUP($A151,'The List'!$B1:$AH671,32,FALSE)-AVERAGE('The List'!AG2:AG671))/STDEV('The List'!AG2:AG671)</f>
        <v>2.1764973588772207</v>
      </c>
      <c r="U151" s="55" cm="1">
        <f t="array" ref="U151">(VLOOKUP($A151,'The List'!$B1:$AH671,33,FALSE)-AVERAGE('The List'!AH2:AH671))/STDEV('The List'!AH2:AH671)</f>
        <v>0.90670088733062781</v>
      </c>
      <c r="V151" s="55"/>
      <c r="W151" s="77"/>
      <c r="X151" s="57"/>
      <c r="Y151" s="57"/>
      <c r="Z151" s="57"/>
      <c r="AA151" s="57"/>
      <c r="AB151" s="57"/>
      <c r="AC151" s="60"/>
      <c r="AD151" s="61"/>
      <c r="AE151" s="55"/>
    </row>
    <row r="152" spans="1:31" ht="21.25" customHeight="1" x14ac:dyDescent="0.15">
      <c r="A152" s="10" t="s">
        <v>392</v>
      </c>
      <c r="B152" s="18" t="str" cm="1">
        <f t="array" ref="B152">VLOOKUP(A152,'Player Data'!A1:B673,2,FALSE)</f>
        <v>CHI</v>
      </c>
      <c r="C152" s="52" cm="1">
        <f t="array" ref="C152">((E152)*Settings!$C$12)+(F152*Settings!$C$2)+(G152*Settings!$C$3)+(H152*Settings!$C$4)+(I152*Settings!$C$5)+(K152*Settings!$C$9)+(N152*Settings!$C$6)+(J152*Settings!$C$8)+(O152*Settings!$C$7)+(P152*Settings!$C$14)+(Q152*Settings!$C$15)+(R152*Settings!$C$16)+(S152*Settings!$C$17)+(T152*Settings!$C$18)+(U152*Settings!$C$19)+(L152*Settings!$C$10)+(Settings!$C$11*M152)</f>
        <v>-1.5115879104757712</v>
      </c>
      <c r="D152" s="57" cm="1">
        <f t="array" ref="D152">IF(Settings!$E$12="YES",VLOOKUP(A152,'Player Data'!A1:E673,5,FALSE),82)</f>
        <v>75</v>
      </c>
      <c r="E152" s="55" cm="1">
        <f t="array" ref="E152">(VLOOKUP($A152,'The List'!$B1:$AH671,17,FALSE)-AVERAGE('The List'!R2:R671))/STDEV('The List'!R2:R671)</f>
        <v>0.31101932609401728</v>
      </c>
      <c r="F152" s="55" cm="1">
        <f t="array" ref="F152">(VLOOKUP($A152,'The List'!$B1:$AH671,18,FALSE)-AVERAGE('The List'!S2:S671))/STDEV('The List'!S2:S671)</f>
        <v>0.49864301423471447</v>
      </c>
      <c r="G152" s="55" cm="1">
        <f t="array" ref="G152">(VLOOKUP($A152,'The List'!$B1:$AH671,19,FALSE)-AVERAGE('The List'!T2:T671))/STDEV('The List'!T2:T671)</f>
        <v>0.23506082583555385</v>
      </c>
      <c r="H152" s="55" cm="1">
        <f t="array" ref="H152">(VLOOKUP($A152,'The List'!$B1:$AH671,20,FALSE)-AVERAGE('The List'!U2:U671))/STDEV('The List'!U2:U671)</f>
        <v>0.36876200191527969</v>
      </c>
      <c r="I152" s="55" cm="1">
        <f t="array" ref="I152">(VLOOKUP($A152,'The List'!$B1:$AH671,21,FALSE)-AVERAGE('The List'!V2:V671))/STDEV('The List'!V2:V671)</f>
        <v>0.31677775039567929</v>
      </c>
      <c r="J152" s="55" cm="1">
        <f t="array" ref="J152">(VLOOKUP($A152,'The List'!$B1:$AH671,22,FALSE)-AVERAGE('The List'!W2:W671))/STDEV('The List'!W2:W671)</f>
        <v>9.0051579701515935E-2</v>
      </c>
      <c r="K152" s="55" cm="1">
        <f t="array" ref="K152">(VLOOKUP($A152,'The List'!$B1:$AH671,23,FALSE)-AVERAGE('The List'!X2:X671))/STDEV('The List'!X2:X671)</f>
        <v>0.10289001092729773</v>
      </c>
      <c r="L152" s="55" cm="1">
        <f t="array" ref="L152">(VLOOKUP($A152,'The List'!$B1:$AH671,24,FALSE)-AVERAGE('The List'!Y2:Y671))/STDEV('The List'!Y2:Y671)</f>
        <v>0.89939260955329181</v>
      </c>
      <c r="M152" s="55" cm="1">
        <f t="array" ref="M152">(VLOOKUP($A152,'The List'!$B1:$AH671,25,FALSE)-AVERAGE('The List'!Z2:Z671))/STDEV('The List'!Z2:Z671)</f>
        <v>0.17107980574629103</v>
      </c>
      <c r="N152" s="55" cm="1">
        <f t="array" ref="N152">(VLOOKUP($A152,'The List'!$B1:$AH671,26,FALSE)-AVERAGE('The List'!AA2:AA671))/STDEV('The List'!AA2:AA671)</f>
        <v>-0.37784690816896882</v>
      </c>
      <c r="O152" s="55" cm="1">
        <f t="array" ref="O152">(VLOOKUP($A152,'The List'!$B1:$AH671,27,FALSE)-AVERAGE('The List'!AB2:AB671))/STDEV('The List'!AB2:AB671)</f>
        <v>-0.7694785337708504</v>
      </c>
      <c r="P152" s="55" cm="1">
        <f t="array" ref="P152">(VLOOKUP($A152,'The List'!$B1:$AH671,28,FALSE)-AVERAGE('The List'!AC2:AC671))/STDEV('The List'!AC2:AC671)</f>
        <v>-1.8954809780981661</v>
      </c>
      <c r="Q152" s="55" cm="1">
        <f t="array" ref="Q152">(VLOOKUP($A152,'The List'!$B1:$AH671,29,FALSE)-AVERAGE('The List'!AD2:AD671))/STDEV('The List'!AD2:AD671)</f>
        <v>-0.32351977330479054</v>
      </c>
      <c r="R152" s="55" cm="1">
        <f t="array" ref="R152">(VLOOKUP($A152,'The List'!$B1:$AH671,30,FALSE)-AVERAGE('The List'!AE2:AE671))/STDEV('The List'!AE2:AE671)</f>
        <v>5.9050389010909463E-2</v>
      </c>
      <c r="S152" s="55" cm="1">
        <f t="array" ref="S152">(VLOOKUP($A152,'The List'!$B1:$AH671,31,FALSE)-AVERAGE('The List'!AF2:AF671))/STDEV('The List'!AF2:AF671)</f>
        <v>1.4090025581093724</v>
      </c>
      <c r="T152" s="55" cm="1">
        <f t="array" ref="T152">(VLOOKUP($A152,'The List'!$B1:$AH671,32,FALSE)-AVERAGE('The List'!AG2:AG671))/STDEV('The List'!AG2:AG671)</f>
        <v>1.8142598068031746</v>
      </c>
      <c r="U152" s="55" cm="1">
        <f t="array" ref="U152">(VLOOKUP($A152,'The List'!$B1:$AH671,33,FALSE)-AVERAGE('The List'!AH2:AH671))/STDEV('The List'!AH2:AH671)</f>
        <v>0.86070166274106241</v>
      </c>
      <c r="V152" s="55"/>
      <c r="W152" s="77"/>
      <c r="X152" s="57"/>
      <c r="Y152" s="57"/>
      <c r="Z152" s="57"/>
      <c r="AA152" s="57"/>
      <c r="AB152" s="57"/>
      <c r="AC152" s="60"/>
      <c r="AD152" s="61"/>
      <c r="AE152" s="55"/>
    </row>
    <row r="153" spans="1:31" ht="21.25" customHeight="1" x14ac:dyDescent="0.15">
      <c r="A153" s="10" t="s">
        <v>362</v>
      </c>
      <c r="B153" s="18" t="str" cm="1">
        <f t="array" ref="B153">VLOOKUP(A153,'Player Data'!A1:B673,2,FALSE)</f>
        <v>WPG</v>
      </c>
      <c r="C153" s="52" cm="1">
        <f t="array" ref="C153">((E153)*Settings!$C$12)+(F153*Settings!$C$2)+(G153*Settings!$C$3)+(H153*Settings!$C$4)+(I153*Settings!$C$5)+(K153*Settings!$C$9)+(N153*Settings!$C$6)+(J153*Settings!$C$8)+(O153*Settings!$C$7)+(P153*Settings!$C$14)+(Q153*Settings!$C$15)+(R153*Settings!$C$16)+(S153*Settings!$C$17)+(T153*Settings!$C$18)+(U153*Settings!$C$19)+(L153*Settings!$C$10)+(Settings!$C$11*M153)</f>
        <v>3.5117010275489218</v>
      </c>
      <c r="D153" s="57" cm="1">
        <f t="array" ref="D153">IF(Settings!$E$12="YES",VLOOKUP(A153,'Player Data'!A1:E673,5,FALSE),82)</f>
        <v>80</v>
      </c>
      <c r="E153" s="55" cm="1">
        <f t="array" ref="E153">(VLOOKUP($A153,'The List'!$B1:$AH671,17,FALSE)-AVERAGE('The List'!R2:R671))/STDEV('The List'!R2:R671)</f>
        <v>-2.9998106191112015E-2</v>
      </c>
      <c r="F153" s="55" cm="1">
        <f t="array" ref="F153">(VLOOKUP($A153,'The List'!$B1:$AH671,18,FALSE)-AVERAGE('The List'!S2:S671))/STDEV('The List'!S2:S671)</f>
        <v>0.78305571472190683</v>
      </c>
      <c r="G153" s="55" cm="1">
        <f t="array" ref="G153">(VLOOKUP($A153,'The List'!$B1:$AH671,19,FALSE)-AVERAGE('The List'!T2:T671))/STDEV('The List'!T2:T671)</f>
        <v>0.69886575037161625</v>
      </c>
      <c r="H153" s="55" cm="1">
        <f t="array" ref="H153">(VLOOKUP($A153,'The List'!$B1:$AH671,20,FALSE)-AVERAGE('The List'!U2:U671))/STDEV('The List'!U2:U671)</f>
        <v>0.78652014713102691</v>
      </c>
      <c r="I153" s="55" cm="1">
        <f t="array" ref="I153">(VLOOKUP($A153,'The List'!$B1:$AH671,21,FALSE)-AVERAGE('The List'!V2:V671))/STDEV('The List'!V2:V671)</f>
        <v>1.0363755341571923</v>
      </c>
      <c r="J153" s="55" cm="1">
        <f t="array" ref="J153">(VLOOKUP($A153,'The List'!$B1:$AH671,22,FALSE)-AVERAGE('The List'!W2:W671))/STDEV('The List'!W2:W671)</f>
        <v>1.2500785086891117</v>
      </c>
      <c r="K153" s="55" cm="1">
        <f t="array" ref="K153">(VLOOKUP($A153,'The List'!$B1:$AH671,23,FALSE)-AVERAGE('The List'!X2:X671))/STDEV('The List'!X2:X671)</f>
        <v>0.88674062213826532</v>
      </c>
      <c r="L153" s="55" cm="1">
        <f t="array" ref="L153">(VLOOKUP($A153,'The List'!$B1:$AH671,24,FALSE)-AVERAGE('The List'!Y2:Y671))/STDEV('The List'!Y2:Y671)</f>
        <v>-0.47546929358800777</v>
      </c>
      <c r="M153" s="55" cm="1">
        <f t="array" ref="M153">(VLOOKUP($A153,'The List'!$B1:$AH671,25,FALSE)-AVERAGE('The List'!Z2:Z671))/STDEV('The List'!Z2:Z671)</f>
        <v>-0.64388478613809508</v>
      </c>
      <c r="N153" s="55" cm="1">
        <f t="array" ref="N153">(VLOOKUP($A153,'The List'!$B1:$AH671,26,FALSE)-AVERAGE('The List'!AA2:AA671))/STDEV('The List'!AA2:AA671)</f>
        <v>-0.51959924182184414</v>
      </c>
      <c r="O153" s="55" cm="1">
        <f t="array" ref="O153">(VLOOKUP($A153,'The List'!$B1:$AH671,27,FALSE)-AVERAGE('The List'!AB2:AB671))/STDEV('The List'!AB2:AB671)</f>
        <v>-0.30928173307767703</v>
      </c>
      <c r="P153" s="55" cm="1">
        <f t="array" ref="P153">(VLOOKUP($A153,'The List'!$B1:$AH671,28,FALSE)-AVERAGE('The List'!AC2:AC671))/STDEV('The List'!AC2:AC671)</f>
        <v>0.41594513923761794</v>
      </c>
      <c r="Q153" s="55" cm="1">
        <f t="array" ref="Q153">(VLOOKUP($A153,'The List'!$B1:$AH671,29,FALSE)-AVERAGE('The List'!AD2:AD671))/STDEV('The List'!AD2:AD671)</f>
        <v>-0.6005862568813124</v>
      </c>
      <c r="R153" s="55" cm="1">
        <f t="array" ref="R153">(VLOOKUP($A153,'The List'!$B1:$AH671,30,FALSE)-AVERAGE('The List'!AE2:AE671))/STDEV('The List'!AE2:AE671)</f>
        <v>0.65165934306133311</v>
      </c>
      <c r="S153" s="55" cm="1">
        <f t="array" ref="S153">(VLOOKUP($A153,'The List'!$B1:$AH671,31,FALSE)-AVERAGE('The List'!AF2:AF671))/STDEV('The List'!AF2:AF671)</f>
        <v>-0.52658727360289448</v>
      </c>
      <c r="T153" s="55" cm="1">
        <f t="array" ref="T153">(VLOOKUP($A153,'The List'!$B1:$AH671,32,FALSE)-AVERAGE('The List'!AG2:AG671))/STDEV('The List'!AG2:AG671)</f>
        <v>-0.52027905197778357</v>
      </c>
      <c r="U153" s="55" cm="1">
        <f t="array" ref="U153">(VLOOKUP($A153,'The List'!$B1:$AH671,33,FALSE)-AVERAGE('The List'!AH2:AH671))/STDEV('The List'!AH2:AH671)</f>
        <v>0.40070941684540695</v>
      </c>
      <c r="V153" s="55"/>
      <c r="W153" s="57"/>
      <c r="X153" s="55"/>
      <c r="Y153" s="55"/>
      <c r="Z153" s="55"/>
      <c r="AA153" s="55"/>
      <c r="AB153" s="55"/>
      <c r="AC153" s="55"/>
      <c r="AD153" s="55"/>
      <c r="AE153" s="55"/>
    </row>
    <row r="154" spans="1:31" ht="21.25" customHeight="1" x14ac:dyDescent="0.15">
      <c r="A154" s="10" t="s">
        <v>388</v>
      </c>
      <c r="B154" s="18" t="str" cm="1">
        <f t="array" ref="B154">VLOOKUP(A154,'Player Data'!A1:B673,2,FALSE)</f>
        <v>WSH</v>
      </c>
      <c r="C154" s="52" cm="1">
        <f t="array" ref="C154">((E154)*Settings!$C$12)+(F154*Settings!$C$2)+(G154*Settings!$C$3)+(H154*Settings!$C$4)+(I154*Settings!$C$5)+(K154*Settings!$C$9)+(N154*Settings!$C$6)+(J154*Settings!$C$8)+(O154*Settings!$C$7)+(P154*Settings!$C$14)+(Q154*Settings!$C$15)+(R154*Settings!$C$16)+(S154*Settings!$C$17)+(T154*Settings!$C$18)+(U154*Settings!$C$19)+(L154*Settings!$C$10)+(Settings!$C$11*M154)</f>
        <v>4.4531089924854896</v>
      </c>
      <c r="D154" s="57" cm="1">
        <f t="array" ref="D154">IF(Settings!$E$12="YES",VLOOKUP(A154,'Player Data'!A1:E673,5,FALSE),82)</f>
        <v>76</v>
      </c>
      <c r="E154" s="55" cm="1">
        <f t="array" ref="E154">(VLOOKUP($A154,'The List'!$B1:$AH671,17,FALSE)-AVERAGE('The List'!R2:R671))/STDEV('The List'!R2:R671)</f>
        <v>-0.34478342830046177</v>
      </c>
      <c r="F154" s="55" cm="1">
        <f t="array" ref="F154">(VLOOKUP($A154,'The List'!$B1:$AH671,18,FALSE)-AVERAGE('The List'!S2:S671))/STDEV('The List'!S2:S671)</f>
        <v>0.93693795477497699</v>
      </c>
      <c r="G154" s="55" cm="1">
        <f t="array" ref="G154">(VLOOKUP($A154,'The List'!$B1:$AH671,19,FALSE)-AVERAGE('The List'!T2:T671))/STDEV('The List'!T2:T671)</f>
        <v>0.35649338789590479</v>
      </c>
      <c r="H154" s="55" cm="1">
        <f t="array" ref="H154">(VLOOKUP($A154,'The List'!$B1:$AH671,20,FALSE)-AVERAGE('The List'!U2:U671))/STDEV('The List'!U2:U671)</f>
        <v>0.63931013405500181</v>
      </c>
      <c r="I154" s="55" cm="1">
        <f t="array" ref="I154">(VLOOKUP($A154,'The List'!$B1:$AH671,21,FALSE)-AVERAGE('The List'!V2:V671))/STDEV('The List'!V2:V671)</f>
        <v>0.76341213954379095</v>
      </c>
      <c r="J154" s="55" cm="1">
        <f t="array" ref="J154">(VLOOKUP($A154,'The List'!$B1:$AH671,22,FALSE)-AVERAGE('The List'!W2:W671))/STDEV('The List'!W2:W671)</f>
        <v>0.5838916151848067</v>
      </c>
      <c r="K154" s="55" cm="1">
        <f t="array" ref="K154">(VLOOKUP($A154,'The List'!$B1:$AH671,23,FALSE)-AVERAGE('The List'!X2:X671))/STDEV('The List'!X2:X671)</f>
        <v>0.80232594093093057</v>
      </c>
      <c r="L154" s="55" cm="1">
        <f t="array" ref="L154">(VLOOKUP($A154,'The List'!$B1:$AH671,24,FALSE)-AVERAGE('The List'!Y2:Y671))/STDEV('The List'!Y2:Y671)</f>
        <v>-0.47546929358800777</v>
      </c>
      <c r="M154" s="55" cm="1">
        <f t="array" ref="M154">(VLOOKUP($A154,'The List'!$B1:$AH671,25,FALSE)-AVERAGE('The List'!Z2:Z671))/STDEV('The List'!Z2:Z671)</f>
        <v>-0.64388478613809508</v>
      </c>
      <c r="N154" s="55" cm="1">
        <f t="array" ref="N154">(VLOOKUP($A154,'The List'!$B1:$AH671,26,FALSE)-AVERAGE('The List'!AA2:AA671))/STDEV('The List'!AA2:AA671)</f>
        <v>-0.86593467323319373</v>
      </c>
      <c r="O154" s="55" cm="1">
        <f t="array" ref="O154">(VLOOKUP($A154,'The List'!$B1:$AH671,27,FALSE)-AVERAGE('The List'!AB2:AB671))/STDEV('The List'!AB2:AB671)</f>
        <v>0.83290827737326323</v>
      </c>
      <c r="P154" s="55" cm="1">
        <f t="array" ref="P154">(VLOOKUP($A154,'The List'!$B1:$AH671,28,FALSE)-AVERAGE('The List'!AC2:AC671))/STDEV('The List'!AC2:AC671)</f>
        <v>0.76103129196662245</v>
      </c>
      <c r="Q154" s="55" cm="1">
        <f t="array" ref="Q154">(VLOOKUP($A154,'The List'!$B1:$AH671,29,FALSE)-AVERAGE('The List'!AD2:AD671))/STDEV('The List'!AD2:AD671)</f>
        <v>0.88301240717643659</v>
      </c>
      <c r="R154" s="55" cm="1">
        <f t="array" ref="R154">(VLOOKUP($A154,'The List'!$B1:$AH671,30,FALSE)-AVERAGE('The List'!AE2:AE671))/STDEV('The List'!AE2:AE671)</f>
        <v>0.6466689518693296</v>
      </c>
      <c r="S154" s="55" cm="1">
        <f t="array" ref="S154">(VLOOKUP($A154,'The List'!$B1:$AH671,31,FALSE)-AVERAGE('The List'!AF2:AF671))/STDEV('The List'!AF2:AF671)</f>
        <v>-0.5629336698466717</v>
      </c>
      <c r="T154" s="55" cm="1">
        <f t="array" ref="T154">(VLOOKUP($A154,'The List'!$B1:$AH671,32,FALSE)-AVERAGE('The List'!AG2:AG671))/STDEV('The List'!AG2:AG671)</f>
        <v>-0.62357136043056871</v>
      </c>
      <c r="U154" s="55" cm="1">
        <f t="array" ref="U154">(VLOOKUP($A154,'The List'!$B1:$AH671,33,FALSE)-AVERAGE('The List'!AH2:AH671))/STDEV('The List'!AH2:AH671)</f>
        <v>1.4586915824054141</v>
      </c>
      <c r="V154" s="55"/>
      <c r="W154" s="57"/>
      <c r="X154" s="55"/>
      <c r="Y154" s="55"/>
      <c r="Z154" s="55"/>
      <c r="AA154" s="55"/>
      <c r="AB154" s="55"/>
      <c r="AC154" s="55"/>
      <c r="AD154" s="55"/>
      <c r="AE154" s="55"/>
    </row>
    <row r="155" spans="1:31" ht="21.25" customHeight="1" x14ac:dyDescent="0.15">
      <c r="A155" s="10" t="s">
        <v>181</v>
      </c>
      <c r="B155" s="18" t="str" cm="1">
        <f t="array" ref="B155">VLOOKUP(A155,'Player Data'!A1:B673,2,FALSE)</f>
        <v>T.B</v>
      </c>
      <c r="C155" s="52" cm="1">
        <f t="array" ref="C155">((E155)*Settings!$C$12)+(F155*Settings!$C$2)+(G155*Settings!$C$3)+(H155*Settings!$C$4)+(I155*Settings!$C$5)+(K155*Settings!$C$9)+(N155*Settings!$C$6)+(J155*Settings!$C$8)+(O155*Settings!$C$7)+(P155*Settings!$C$14)+(Q155*Settings!$C$15)+(R155*Settings!$C$16)+(S155*Settings!$C$17)+(T155*Settings!$C$18)+(U155*Settings!$C$19)+(L155*Settings!$C$10)+(Settings!$C$11*M155)</f>
        <v>3.684563414301167</v>
      </c>
      <c r="D155" s="57" cm="1">
        <f t="array" ref="D155">IF(Settings!$E$12="YES",VLOOKUP(A155,'Player Data'!A1:E673,5,FALSE),82)</f>
        <v>82</v>
      </c>
      <c r="E155" s="55" cm="1">
        <f t="array" ref="E155">(VLOOKUP($A155,'The List'!$B1:$AH671,17,FALSE)-AVERAGE('The List'!R2:R671))/STDEV('The List'!R2:R671)</f>
        <v>1.4127679534767419</v>
      </c>
      <c r="F155" s="55" cm="1">
        <f t="array" ref="F155">(VLOOKUP($A155,'The List'!$B1:$AH671,18,FALSE)-AVERAGE('The List'!S2:S671))/STDEV('The List'!S2:S671)</f>
        <v>-0.59919000964584745</v>
      </c>
      <c r="G155" s="55" cm="1">
        <f t="array" ref="G155">(VLOOKUP($A155,'The List'!$B1:$AH671,19,FALSE)-AVERAGE('The List'!T2:T671))/STDEV('The List'!T2:T671)</f>
        <v>1.6049719165788869</v>
      </c>
      <c r="H155" s="55" cm="1">
        <f t="array" ref="H155">(VLOOKUP($A155,'The List'!$B1:$AH671,20,FALSE)-AVERAGE('The List'!U2:U671))/STDEV('The List'!U2:U671)</f>
        <v>0.74421384607584495</v>
      </c>
      <c r="I155" s="55" cm="1">
        <f t="array" ref="I155">(VLOOKUP($A155,'The List'!$B1:$AH671,21,FALSE)-AVERAGE('The List'!V2:V671))/STDEV('The List'!V2:V671)</f>
        <v>0.67663711267843241</v>
      </c>
      <c r="J155" s="55" cm="1">
        <f t="array" ref="J155">(VLOOKUP($A155,'The List'!$B1:$AH671,22,FALSE)-AVERAGE('The List'!W2:W671))/STDEV('The List'!W2:W671)</f>
        <v>-2.5122522533681056E-2</v>
      </c>
      <c r="K155" s="55" cm="1">
        <f t="array" ref="K155">(VLOOKUP($A155,'The List'!$B1:$AH671,23,FALSE)-AVERAGE('The List'!X2:X671))/STDEV('The List'!X2:X671)</f>
        <v>1.015473010979451</v>
      </c>
      <c r="L155" s="55" cm="1">
        <f t="array" ref="L155">(VLOOKUP($A155,'The List'!$B1:$AH671,24,FALSE)-AVERAGE('The List'!Y2:Y671))/STDEV('The List'!Y2:Y671)</f>
        <v>-0.47546929358800777</v>
      </c>
      <c r="M155" s="55" cm="1">
        <f t="array" ref="M155">(VLOOKUP($A155,'The List'!$B1:$AH671,25,FALSE)-AVERAGE('The List'!Z2:Z671))/STDEV('The List'!Z2:Z671)</f>
        <v>-0.64388478613809508</v>
      </c>
      <c r="N155" s="55" cm="1">
        <f t="array" ref="N155">(VLOOKUP($A155,'The List'!$B1:$AH671,26,FALSE)-AVERAGE('The List'!AA2:AA671))/STDEV('The List'!AA2:AA671)</f>
        <v>1.3510207431757399</v>
      </c>
      <c r="O155" s="55" cm="1">
        <f t="array" ref="O155">(VLOOKUP($A155,'The List'!$B1:$AH671,27,FALSE)-AVERAGE('The List'!AB2:AB671))/STDEV('The List'!AB2:AB671)</f>
        <v>-0.77706306901612765</v>
      </c>
      <c r="P155" s="55" cm="1">
        <f t="array" ref="P155">(VLOOKUP($A155,'The List'!$B1:$AH671,28,FALSE)-AVERAGE('The List'!AC2:AC671))/STDEV('The List'!AC2:AC671)</f>
        <v>1.7637344527263714</v>
      </c>
      <c r="Q155" s="55" cm="1">
        <f t="array" ref="Q155">(VLOOKUP($A155,'The List'!$B1:$AH671,29,FALSE)-AVERAGE('The List'!AD2:AD671))/STDEV('The List'!AD2:AD671)</f>
        <v>-1.0988779830473833E-2</v>
      </c>
      <c r="R155" s="55" cm="1">
        <f t="array" ref="R155">(VLOOKUP($A155,'The List'!$B1:$AH671,30,FALSE)-AVERAGE('The List'!AE2:AE671))/STDEV('The List'!AE2:AE671)</f>
        <v>-0.27031542966132582</v>
      </c>
      <c r="S155" s="55" cm="1">
        <f t="array" ref="S155">(VLOOKUP($A155,'The List'!$B1:$AH671,31,FALSE)-AVERAGE('The List'!AF2:AF671))/STDEV('The List'!AF2:AF671)</f>
        <v>-0.59581850454342256</v>
      </c>
      <c r="T155" s="55" cm="1">
        <f t="array" ref="T155">(VLOOKUP($A155,'The List'!$B1:$AH671,32,FALSE)-AVERAGE('The List'!AG2:AG671))/STDEV('The List'!AG2:AG671)</f>
        <v>-0.64265798264467033</v>
      </c>
      <c r="U155" s="55" cm="1">
        <f t="array" ref="U155">(VLOOKUP($A155,'The List'!$B1:$AH671,33,FALSE)-AVERAGE('The List'!AH2:AH671))/STDEV('The List'!AH2:AH671)</f>
        <v>-1.2552626683789523</v>
      </c>
      <c r="V155" s="55"/>
      <c r="W155" s="57"/>
      <c r="X155" s="55"/>
      <c r="Y155" s="55"/>
      <c r="Z155" s="55"/>
      <c r="AA155" s="55"/>
      <c r="AB155" s="55"/>
      <c r="AC155" s="55"/>
      <c r="AD155" s="55"/>
      <c r="AE155" s="55"/>
    </row>
    <row r="156" spans="1:31" ht="21.25" customHeight="1" x14ac:dyDescent="0.15">
      <c r="A156" s="10" t="s">
        <v>371</v>
      </c>
      <c r="B156" s="18" t="str" cm="1">
        <f t="array" ref="B156">VLOOKUP(A156,'Player Data'!A1:B673,2,FALSE)</f>
        <v>OTT</v>
      </c>
      <c r="C156" s="52" cm="1">
        <f t="array" ref="C156">((E156)*Settings!$C$12)+(F156*Settings!$C$2)+(G156*Settings!$C$3)+(H156*Settings!$C$4)+(I156*Settings!$C$5)+(K156*Settings!$C$9)+(N156*Settings!$C$6)+(J156*Settings!$C$8)+(O156*Settings!$C$7)+(P156*Settings!$C$14)+(Q156*Settings!$C$15)+(R156*Settings!$C$16)+(S156*Settings!$C$17)+(T156*Settings!$C$18)+(U156*Settings!$C$19)+(L156*Settings!$C$10)+(Settings!$C$11*M156)</f>
        <v>2.2518295975805098</v>
      </c>
      <c r="D156" s="57" cm="1">
        <f t="array" ref="D156">IF(Settings!$E$12="YES",VLOOKUP(A156,'Player Data'!A1:E673,5,FALSE),82)</f>
        <v>77</v>
      </c>
      <c r="E156" s="55" cm="1">
        <f t="array" ref="E156">(VLOOKUP($A156,'The List'!$B1:$AH671,17,FALSE)-AVERAGE('The List'!R2:R671))/STDEV('The List'!R2:R671)</f>
        <v>0.44217987697291306</v>
      </c>
      <c r="F156" s="55" cm="1">
        <f t="array" ref="F156">(VLOOKUP($A156,'The List'!$B1:$AH671,18,FALSE)-AVERAGE('The List'!S2:S671))/STDEV('The List'!S2:S671)</f>
        <v>0.93274660971516554</v>
      </c>
      <c r="G156" s="55" cm="1">
        <f t="array" ref="G156">(VLOOKUP($A156,'The List'!$B1:$AH671,19,FALSE)-AVERAGE('The List'!T2:T671))/STDEV('The List'!T2:T671)</f>
        <v>0.12332600310641159</v>
      </c>
      <c r="H156" s="55" cm="1">
        <f t="array" ref="H156">(VLOOKUP($A156,'The List'!$B1:$AH671,20,FALSE)-AVERAGE('The List'!U2:U671))/STDEV('The List'!U2:U671)</f>
        <v>0.49077390464495813</v>
      </c>
      <c r="I156" s="55" cm="1">
        <f t="array" ref="I156">(VLOOKUP($A156,'The List'!$B1:$AH671,21,FALSE)-AVERAGE('The List'!V2:V671))/STDEV('The List'!V2:V671)</f>
        <v>0.68944819927289058</v>
      </c>
      <c r="J156" s="55" cm="1">
        <f t="array" ref="J156">(VLOOKUP($A156,'The List'!$B1:$AH671,22,FALSE)-AVERAGE('The List'!W2:W671))/STDEV('The List'!W2:W671)</f>
        <v>0.32481893437757708</v>
      </c>
      <c r="K156" s="55" cm="1">
        <f t="array" ref="K156">(VLOOKUP($A156,'The List'!$B1:$AH671,23,FALSE)-AVERAGE('The List'!X2:X671))/STDEV('The List'!X2:X671)</f>
        <v>-0.18251200648797761</v>
      </c>
      <c r="L156" s="55" cm="1">
        <f t="array" ref="L156">(VLOOKUP($A156,'The List'!$B1:$AH671,24,FALSE)-AVERAGE('The List'!Y2:Y671))/STDEV('The List'!Y2:Y671)</f>
        <v>2.3475804808621272</v>
      </c>
      <c r="M156" s="55" cm="1">
        <f t="array" ref="M156">(VLOOKUP($A156,'The List'!$B1:$AH671,25,FALSE)-AVERAGE('The List'!Z2:Z671))/STDEV('The List'!Z2:Z671)</f>
        <v>3.5396001188684205</v>
      </c>
      <c r="N156" s="55" cm="1">
        <f t="array" ref="N156">(VLOOKUP($A156,'The List'!$B1:$AH671,26,FALSE)-AVERAGE('The List'!AA2:AA671))/STDEV('The List'!AA2:AA671)</f>
        <v>-0.20697787895496234</v>
      </c>
      <c r="O156" s="55" cm="1">
        <f t="array" ref="O156">(VLOOKUP($A156,'The List'!$B1:$AH671,27,FALSE)-AVERAGE('The List'!AB2:AB671))/STDEV('The List'!AB2:AB671)</f>
        <v>0.12529163773280266</v>
      </c>
      <c r="P156" s="55" cm="1">
        <f t="array" ref="P156">(VLOOKUP($A156,'The List'!$B1:$AH671,28,FALSE)-AVERAGE('The List'!AC2:AC671))/STDEV('The List'!AC2:AC671)</f>
        <v>0.5635291542412173</v>
      </c>
      <c r="Q156" s="55" cm="1">
        <f t="array" ref="Q156">(VLOOKUP($A156,'The List'!$B1:$AH671,29,FALSE)-AVERAGE('The List'!AD2:AD671))/STDEV('The List'!AD2:AD671)</f>
        <v>0.35695551035914724</v>
      </c>
      <c r="R156" s="55" cm="1">
        <f t="array" ref="R156">(VLOOKUP($A156,'The List'!$B1:$AH671,30,FALSE)-AVERAGE('The List'!AE2:AE671))/STDEV('The List'!AE2:AE671)</f>
        <v>1.0571286274116229</v>
      </c>
      <c r="S156" s="55" cm="1">
        <f t="array" ref="S156">(VLOOKUP($A156,'The List'!$B1:$AH671,31,FALSE)-AVERAGE('The List'!AF2:AF671))/STDEV('The List'!AF2:AF671)</f>
        <v>1.4957819830035763</v>
      </c>
      <c r="T156" s="55" cm="1">
        <f t="array" ref="T156">(VLOOKUP($A156,'The List'!$B1:$AH671,32,FALSE)-AVERAGE('The List'!AG2:AG671))/STDEV('The List'!AG2:AG671)</f>
        <v>1.4869293392062553</v>
      </c>
      <c r="U156" s="55" cm="1">
        <f t="array" ref="U156">(VLOOKUP($A156,'The List'!$B1:$AH671,33,FALSE)-AVERAGE('The List'!AH2:AH671))/STDEV('The List'!AH2:AH671)</f>
        <v>1.09069778568889</v>
      </c>
      <c r="V156" s="55"/>
      <c r="W156" s="77"/>
      <c r="X156" s="57"/>
      <c r="Y156" s="57"/>
      <c r="Z156" s="57"/>
      <c r="AA156" s="57"/>
      <c r="AB156" s="57"/>
      <c r="AC156" s="60"/>
      <c r="AD156" s="61"/>
      <c r="AE156" s="55"/>
    </row>
    <row r="157" spans="1:31" ht="21.25" customHeight="1" x14ac:dyDescent="0.15">
      <c r="A157" s="10" t="s">
        <v>329</v>
      </c>
      <c r="B157" s="18" t="str" cm="1">
        <f t="array" ref="B157">VLOOKUP(A157,'Player Data'!A1:B673,2,FALSE)</f>
        <v>CAR</v>
      </c>
      <c r="C157" s="52" cm="1">
        <f t="array" ref="C157">((E157)*Settings!$C$12)+(F157*Settings!$C$2)+(G157*Settings!$C$3)+(H157*Settings!$C$4)+(I157*Settings!$C$5)+(K157*Settings!$C$9)+(N157*Settings!$C$6)+(J157*Settings!$C$8)+(O157*Settings!$C$7)+(P157*Settings!$C$14)+(Q157*Settings!$C$15)+(R157*Settings!$C$16)+(S157*Settings!$C$17)+(T157*Settings!$C$18)+(U157*Settings!$C$19)+(L157*Settings!$C$10)+(Settings!$C$11*M157)</f>
        <v>4.1212716633536726</v>
      </c>
      <c r="D157" s="57" cm="1">
        <f t="array" ref="D157">IF(Settings!$E$12="YES",VLOOKUP(A157,'Player Data'!A1:E673,5,FALSE),82)</f>
        <v>83</v>
      </c>
      <c r="E157" s="55" cm="1">
        <f t="array" ref="E157">(VLOOKUP($A157,'The List'!$B1:$AH671,17,FALSE)-AVERAGE('The List'!R2:R671))/STDEV('The List'!R2:R671)</f>
        <v>-8.2462326542670147E-2</v>
      </c>
      <c r="F157" s="55" cm="1">
        <f t="array" ref="F157">(VLOOKUP($A157,'The List'!$B1:$AH671,18,FALSE)-AVERAGE('The List'!S2:S671))/STDEV('The List'!S2:S671)</f>
        <v>1.178638853224093</v>
      </c>
      <c r="G157" s="55" cm="1">
        <f t="array" ref="G157">(VLOOKUP($A157,'The List'!$B1:$AH671,19,FALSE)-AVERAGE('The List'!T2:T671))/STDEV('The List'!T2:T671)</f>
        <v>0.71158524905965093</v>
      </c>
      <c r="H157" s="55" cm="1">
        <f t="array" ref="H157">(VLOOKUP($A157,'The List'!$B1:$AH671,20,FALSE)-AVERAGE('The List'!U2:U671))/STDEV('The List'!U2:U671)</f>
        <v>0.96975903728121493</v>
      </c>
      <c r="I157" s="55" cm="1">
        <f t="array" ref="I157">(VLOOKUP($A157,'The List'!$B1:$AH671,21,FALSE)-AVERAGE('The List'!V2:V671))/STDEV('The List'!V2:V671)</f>
        <v>1.0381205371862419</v>
      </c>
      <c r="J157" s="55" cm="1">
        <f t="array" ref="J157">(VLOOKUP($A157,'The List'!$B1:$AH671,22,FALSE)-AVERAGE('The List'!W2:W671))/STDEV('The List'!W2:W671)</f>
        <v>0.77446746780419762</v>
      </c>
      <c r="K157" s="55" cm="1">
        <f t="array" ref="K157">(VLOOKUP($A157,'The List'!$B1:$AH671,23,FALSE)-AVERAGE('The List'!X2:X671))/STDEV('The List'!X2:X671)</f>
        <v>0.57470778267543787</v>
      </c>
      <c r="L157" s="55" cm="1">
        <f t="array" ref="L157">(VLOOKUP($A157,'The List'!$B1:$AH671,24,FALSE)-AVERAGE('The List'!Y2:Y671))/STDEV('The List'!Y2:Y671)</f>
        <v>-0.47546929358800777</v>
      </c>
      <c r="M157" s="55" cm="1">
        <f t="array" ref="M157">(VLOOKUP($A157,'The List'!$B1:$AH671,25,FALSE)-AVERAGE('The List'!Z2:Z671))/STDEV('The List'!Z2:Z671)</f>
        <v>-0.64388478613809508</v>
      </c>
      <c r="N157" s="55" cm="1">
        <f t="array" ref="N157">(VLOOKUP($A157,'The List'!$B1:$AH671,26,FALSE)-AVERAGE('The List'!AA2:AA671))/STDEV('The List'!AA2:AA671)</f>
        <v>-0.69021286142566529</v>
      </c>
      <c r="O157" s="55" cm="1">
        <f t="array" ref="O157">(VLOOKUP($A157,'The List'!$B1:$AH671,27,FALSE)-AVERAGE('The List'!AB2:AB671))/STDEV('The List'!AB2:AB671)</f>
        <v>-1.2583735759326402</v>
      </c>
      <c r="P157" s="55" cm="1">
        <f t="array" ref="P157">(VLOOKUP($A157,'The List'!$B1:$AH671,28,FALSE)-AVERAGE('The List'!AC2:AC671))/STDEV('The List'!AC2:AC671)</f>
        <v>1.8765928171408883</v>
      </c>
      <c r="Q157" s="55" cm="1">
        <f t="array" ref="Q157">(VLOOKUP($A157,'The List'!$B1:$AH671,29,FALSE)-AVERAGE('The List'!AD2:AD671))/STDEV('The List'!AD2:AD671)</f>
        <v>0.44709447301604227</v>
      </c>
      <c r="R157" s="55" cm="1">
        <f t="array" ref="R157">(VLOOKUP($A157,'The List'!$B1:$AH671,30,FALSE)-AVERAGE('The List'!AE2:AE671))/STDEV('The List'!AE2:AE671)</f>
        <v>1.5031448401969418</v>
      </c>
      <c r="S157" s="55" cm="1">
        <f t="array" ref="S157">(VLOOKUP($A157,'The List'!$B1:$AH671,31,FALSE)-AVERAGE('The List'!AF2:AF671))/STDEV('The List'!AF2:AF671)</f>
        <v>-0.58384727085995625</v>
      </c>
      <c r="T157" s="55" cm="1">
        <f t="array" ref="T157">(VLOOKUP($A157,'The List'!$B1:$AH671,32,FALSE)-AVERAGE('The List'!AG2:AG671))/STDEV('The List'!AG2:AG671)</f>
        <v>-0.58754153347025928</v>
      </c>
      <c r="U157" s="55" cm="1">
        <f t="array" ref="U157">(VLOOKUP($A157,'The List'!$B1:$AH671,33,FALSE)-AVERAGE('The List'!AH2:AH671))/STDEV('The List'!AH2:AH671)</f>
        <v>-0.33527817658764147</v>
      </c>
      <c r="V157" s="55"/>
      <c r="W157" s="77"/>
      <c r="X157" s="57"/>
      <c r="Y157" s="57"/>
      <c r="Z157" s="57"/>
      <c r="AA157" s="57"/>
      <c r="AB157" s="57"/>
      <c r="AC157" s="60"/>
      <c r="AD157" s="61"/>
      <c r="AE157" s="55"/>
    </row>
    <row r="158" spans="1:31" ht="21.25" customHeight="1" x14ac:dyDescent="0.15">
      <c r="A158" s="10" t="s">
        <v>593</v>
      </c>
      <c r="B158" s="18" t="str" cm="1">
        <f t="array" ref="B158">VLOOKUP(A158,'Player Data'!A1:B673,2,FALSE)</f>
        <v>DAL</v>
      </c>
      <c r="C158" s="52" cm="1">
        <f t="array" ref="C158">((E158)*Settings!$C$12)+(F158*Settings!$C$2)+(G158*Settings!$C$3)+(H158*Settings!$C$4)+(I158*Settings!$C$5)+(K158*Settings!$C$9)+(N158*Settings!$C$6)+(J158*Settings!$C$8)+(O158*Settings!$C$7)+(P158*Settings!$C$14)+(Q158*Settings!$C$15)+(R158*Settings!$C$16)+(S158*Settings!$C$17)+(T158*Settings!$C$18)+(U158*Settings!$C$19)+(L158*Settings!$C$10)+(Settings!$C$11*M158)</f>
        <v>-0.51212094113553297</v>
      </c>
      <c r="D158" s="57" cm="1">
        <f t="array" ref="D158">IF(Settings!$E$12="YES",VLOOKUP(A158,'Player Data'!A1:E673,5,FALSE),82)</f>
        <v>64</v>
      </c>
      <c r="E158" s="55" cm="1">
        <f t="array" ref="E158">(VLOOKUP($A158,'The List'!$B1:$AH671,17,FALSE)-AVERAGE('The List'!R2:R671))/STDEV('The List'!R2:R671)</f>
        <v>-0.42347975882779942</v>
      </c>
      <c r="F158" s="55" cm="1">
        <f t="array" ref="F158">(VLOOKUP($A158,'The List'!$B1:$AH671,18,FALSE)-AVERAGE('The List'!S2:S671))/STDEV('The List'!S2:S671)</f>
        <v>0.28807782194419679</v>
      </c>
      <c r="G158" s="55" cm="1">
        <f t="array" ref="G158">(VLOOKUP($A158,'The List'!$B1:$AH671,19,FALSE)-AVERAGE('The List'!T2:T671))/STDEV('The List'!T2:T671)</f>
        <v>-8.8197151871398732E-2</v>
      </c>
      <c r="H158" s="55" cm="1">
        <f t="array" ref="H158">(VLOOKUP($A158,'The List'!$B1:$AH671,20,FALSE)-AVERAGE('The List'!U2:U671))/STDEV('The List'!U2:U671)</f>
        <v>7.2131615206532246E-2</v>
      </c>
      <c r="I158" s="55" cm="1">
        <f t="array" ref="I158">(VLOOKUP($A158,'The List'!$B1:$AH671,21,FALSE)-AVERAGE('The List'!V2:V671))/STDEV('The List'!V2:V671)</f>
        <v>-0.50337367325759841</v>
      </c>
      <c r="J158" s="55" cm="1">
        <f t="array" ref="J158">(VLOOKUP($A158,'The List'!$B1:$AH671,22,FALSE)-AVERAGE('The List'!W2:W671))/STDEV('The List'!W2:W671)</f>
        <v>-0.2082410591810088</v>
      </c>
      <c r="K158" s="55" cm="1">
        <f t="array" ref="K158">(VLOOKUP($A158,'The List'!$B1:$AH671,23,FALSE)-AVERAGE('The List'!X2:X671))/STDEV('The List'!X2:X671)</f>
        <v>-0.3513413689026475</v>
      </c>
      <c r="L158" s="55" cm="1">
        <f t="array" ref="L158">(VLOOKUP($A158,'The List'!$B1:$AH671,24,FALSE)-AVERAGE('The List'!Y2:Y671))/STDEV('The List'!Y2:Y671)</f>
        <v>-0.47546929358800777</v>
      </c>
      <c r="M158" s="55" cm="1">
        <f t="array" ref="M158">(VLOOKUP($A158,'The List'!$B1:$AH671,25,FALSE)-AVERAGE('The List'!Z2:Z671))/STDEV('The List'!Z2:Z671)</f>
        <v>-0.64388478613809508</v>
      </c>
      <c r="N158" s="55" cm="1">
        <f t="array" ref="N158">(VLOOKUP($A158,'The List'!$B1:$AH671,26,FALSE)-AVERAGE('The List'!AA2:AA671))/STDEV('The List'!AA2:AA671)</f>
        <v>-1.1325823062667109</v>
      </c>
      <c r="O158" s="55" cm="1">
        <f t="array" ref="O158">(VLOOKUP($A158,'The List'!$B1:$AH671,27,FALSE)-AVERAGE('The List'!AB2:AB671))/STDEV('The List'!AB2:AB671)</f>
        <v>-0.86356776830010051</v>
      </c>
      <c r="P158" s="55" cm="1">
        <f t="array" ref="P158">(VLOOKUP($A158,'The List'!$B1:$AH671,28,FALSE)-AVERAGE('The List'!AC2:AC671))/STDEV('The List'!AC2:AC671)</f>
        <v>1.0062811992520153</v>
      </c>
      <c r="Q158" s="55" cm="1">
        <f t="array" ref="Q158">(VLOOKUP($A158,'The List'!$B1:$AH671,29,FALSE)-AVERAGE('The List'!AD2:AD671))/STDEV('The List'!AD2:AD671)</f>
        <v>-1.0498033822533799</v>
      </c>
      <c r="R158" s="55" cm="1">
        <f t="array" ref="R158">(VLOOKUP($A158,'The List'!$B1:$AH671,30,FALSE)-AVERAGE('The List'!AE2:AE671))/STDEV('The List'!AE2:AE671)</f>
        <v>0.25242804770104771</v>
      </c>
      <c r="S158" s="55" cm="1">
        <f t="array" ref="S158">(VLOOKUP($A158,'The List'!$B1:$AH671,31,FALSE)-AVERAGE('The List'!AF2:AF671))/STDEV('The List'!AF2:AF671)</f>
        <v>0.75495973469621591</v>
      </c>
      <c r="T158" s="55" cm="1">
        <f t="array" ref="T158">(VLOOKUP($A158,'The List'!$B1:$AH671,32,FALSE)-AVERAGE('The List'!AG2:AG671))/STDEV('The List'!AG2:AG671)</f>
        <v>0.53877331215867819</v>
      </c>
      <c r="U158" s="55" cm="1">
        <f t="array" ref="U158">(VLOOKUP($A158,'The List'!$B1:$AH671,33,FALSE)-AVERAGE('The List'!AH2:AH671))/STDEV('The List'!AH2:AH671)</f>
        <v>1.2746946840471525</v>
      </c>
      <c r="V158" s="55"/>
      <c r="W158" s="57"/>
      <c r="X158" s="55"/>
      <c r="Y158" s="55"/>
      <c r="Z158" s="55"/>
      <c r="AA158" s="55"/>
      <c r="AB158" s="55"/>
      <c r="AC158" s="55"/>
      <c r="AD158" s="55"/>
      <c r="AE158" s="55"/>
    </row>
    <row r="159" spans="1:31" ht="21.25" customHeight="1" x14ac:dyDescent="0.15">
      <c r="A159" s="10" t="s">
        <v>360</v>
      </c>
      <c r="B159" s="18" t="str" cm="1">
        <f t="array" ref="B159">VLOOKUP(A159,'Player Data'!A1:B673,2,FALSE)</f>
        <v>FLA</v>
      </c>
      <c r="C159" s="52" cm="1">
        <f t="array" ref="C159">((E159)*Settings!$C$12)+(F159*Settings!$C$2)+(G159*Settings!$C$3)+(H159*Settings!$C$4)+(I159*Settings!$C$5)+(K159*Settings!$C$9)+(N159*Settings!$C$6)+(J159*Settings!$C$8)+(O159*Settings!$C$7)+(P159*Settings!$C$14)+(Q159*Settings!$C$15)+(R159*Settings!$C$16)+(S159*Settings!$C$17)+(T159*Settings!$C$18)+(U159*Settings!$C$19)+(L159*Settings!$C$10)+(Settings!$C$11*M159)</f>
        <v>3.0278514873229914</v>
      </c>
      <c r="D159" s="57" cm="1">
        <f t="array" ref="D159">IF(Settings!$E$12="YES",VLOOKUP(A159,'Player Data'!A1:E673,5,FALSE),82)</f>
        <v>80</v>
      </c>
      <c r="E159" s="55" cm="1">
        <f t="array" ref="E159">(VLOOKUP($A159,'The List'!$B1:$AH671,17,FALSE)-AVERAGE('The List'!R2:R671))/STDEV('The List'!R2:R671)</f>
        <v>0.17985877521512147</v>
      </c>
      <c r="F159" s="55" cm="1">
        <f t="array" ref="F159">(VLOOKUP($A159,'The List'!$B1:$AH671,18,FALSE)-AVERAGE('The List'!S2:S671))/STDEV('The List'!S2:S671)</f>
        <v>0.62338542672909703</v>
      </c>
      <c r="G159" s="55" cm="1">
        <f t="array" ref="G159">(VLOOKUP($A159,'The List'!$B1:$AH671,19,FALSE)-AVERAGE('The List'!T2:T671))/STDEV('The List'!T2:T671)</f>
        <v>0.47399063544504039</v>
      </c>
      <c r="H159" s="55" cm="1">
        <f t="array" ref="H159">(VLOOKUP($A159,'The List'!$B1:$AH671,20,FALSE)-AVERAGE('The List'!U2:U671))/STDEV('The List'!U2:U671)</f>
        <v>0.57432553368810757</v>
      </c>
      <c r="I159" s="55" cm="1">
        <f t="array" ref="I159">(VLOOKUP($A159,'The List'!$B1:$AH671,21,FALSE)-AVERAGE('The List'!V2:V671))/STDEV('The List'!V2:V671)</f>
        <v>0.6770085737192697</v>
      </c>
      <c r="J159" s="55" cm="1">
        <f t="array" ref="J159">(VLOOKUP($A159,'The List'!$B1:$AH671,22,FALSE)-AVERAGE('The List'!W2:W671))/STDEV('The List'!W2:W671)</f>
        <v>0.14529095727235389</v>
      </c>
      <c r="K159" s="55" cm="1">
        <f t="array" ref="K159">(VLOOKUP($A159,'The List'!$B1:$AH671,23,FALSE)-AVERAGE('The List'!X2:X671))/STDEV('The List'!X2:X671)</f>
        <v>0.32397608075603229</v>
      </c>
      <c r="L159" s="55" cm="1">
        <f t="array" ref="L159">(VLOOKUP($A159,'The List'!$B1:$AH671,24,FALSE)-AVERAGE('The List'!Y2:Y671))/STDEV('The List'!Y2:Y671)</f>
        <v>0.99105006976271182</v>
      </c>
      <c r="M159" s="55" cm="1">
        <f t="array" ref="M159">(VLOOKUP($A159,'The List'!$B1:$AH671,25,FALSE)-AVERAGE('The List'!Z2:Z671))/STDEV('The List'!Z2:Z671)</f>
        <v>1.0947063432152622</v>
      </c>
      <c r="N159" s="55" cm="1">
        <f t="array" ref="N159">(VLOOKUP($A159,'The List'!$B1:$AH671,26,FALSE)-AVERAGE('The List'!AA2:AA671))/STDEV('The List'!AA2:AA671)</f>
        <v>-0.49916647300701533</v>
      </c>
      <c r="O159" s="55" cm="1">
        <f t="array" ref="O159">(VLOOKUP($A159,'The List'!$B1:$AH671,27,FALSE)-AVERAGE('The List'!AB2:AB671))/STDEV('The List'!AB2:AB671)</f>
        <v>0.16628912554511208</v>
      </c>
      <c r="P159" s="55" cm="1">
        <f t="array" ref="P159">(VLOOKUP($A159,'The List'!$B1:$AH671,28,FALSE)-AVERAGE('The List'!AC2:AC671))/STDEV('The List'!AC2:AC671)</f>
        <v>0.76320164512843991</v>
      </c>
      <c r="Q159" s="55" cm="1">
        <f t="array" ref="Q159">(VLOOKUP($A159,'The List'!$B1:$AH671,29,FALSE)-AVERAGE('The List'!AD2:AD671))/STDEV('The List'!AD2:AD671)</f>
        <v>0.22691897406723313</v>
      </c>
      <c r="R159" s="55" cm="1">
        <f t="array" ref="R159">(VLOOKUP($A159,'The List'!$B1:$AH671,30,FALSE)-AVERAGE('The List'!AE2:AE671))/STDEV('The List'!AE2:AE671)</f>
        <v>0.65165934306133311</v>
      </c>
      <c r="S159" s="55" cm="1">
        <f t="array" ref="S159">(VLOOKUP($A159,'The List'!$B1:$AH671,31,FALSE)-AVERAGE('The List'!AF2:AF671))/STDEV('The List'!AF2:AF671)</f>
        <v>2.4888174518067769</v>
      </c>
      <c r="T159" s="55" cm="1">
        <f t="array" ref="T159">(VLOOKUP($A159,'The List'!$B1:$AH671,32,FALSE)-AVERAGE('The List'!AG2:AG671))/STDEV('The List'!AG2:AG671)</f>
        <v>2.2600396063758419</v>
      </c>
      <c r="U159" s="55" cm="1">
        <f t="array" ref="U159">(VLOOKUP($A159,'The List'!$B1:$AH671,33,FALSE)-AVERAGE('The List'!AH2:AH671))/STDEV('The List'!AH2:AH671)</f>
        <v>1.1826962348680212</v>
      </c>
      <c r="V159" s="55"/>
      <c r="W159" s="77"/>
      <c r="X159" s="57"/>
      <c r="Y159" s="57"/>
      <c r="Z159" s="57"/>
      <c r="AA159" s="57"/>
      <c r="AB159" s="57"/>
      <c r="AC159" s="60"/>
      <c r="AD159" s="61"/>
      <c r="AE159" s="55"/>
    </row>
    <row r="160" spans="1:31" ht="21.25" customHeight="1" x14ac:dyDescent="0.15">
      <c r="A160" s="10" t="s">
        <v>401</v>
      </c>
      <c r="B160" s="18" t="str" cm="1">
        <f t="array" ref="B160">VLOOKUP(A160,'Player Data'!A1:B673,2,FALSE)</f>
        <v>BUF</v>
      </c>
      <c r="C160" s="52" cm="1">
        <f t="array" ref="C160">((E160)*Settings!$C$12)+(F160*Settings!$C$2)+(G160*Settings!$C$3)+(H160*Settings!$C$4)+(I160*Settings!$C$5)+(K160*Settings!$C$9)+(N160*Settings!$C$6)+(J160*Settings!$C$8)+(O160*Settings!$C$7)+(P160*Settings!$C$14)+(Q160*Settings!$C$15)+(R160*Settings!$C$16)+(S160*Settings!$C$17)+(T160*Settings!$C$18)+(U160*Settings!$C$19)+(L160*Settings!$C$10)+(Settings!$C$11*M160)</f>
        <v>1.8361168039480686</v>
      </c>
      <c r="D160" s="57" cm="1">
        <f t="array" ref="D160">IF(Settings!$E$12="YES",VLOOKUP(A160,'Player Data'!A1:E673,5,FALSE),82)</f>
        <v>77</v>
      </c>
      <c r="E160" s="55" cm="1">
        <f t="array" ref="E160">(VLOOKUP($A160,'The List'!$B1:$AH671,17,FALSE)-AVERAGE('The List'!R2:R671))/STDEV('The List'!R2:R671)</f>
        <v>-0.26608709777312411</v>
      </c>
      <c r="F160" s="55" cm="1">
        <f t="array" ref="F160">(VLOOKUP($A160,'The List'!$B1:$AH671,18,FALSE)-AVERAGE('The List'!S2:S671))/STDEV('The List'!S2:S671)</f>
        <v>0.54853997923246745</v>
      </c>
      <c r="G160" s="55" cm="1">
        <f t="array" ref="G160">(VLOOKUP($A160,'The List'!$B1:$AH671,19,FALSE)-AVERAGE('The List'!T2:T671))/STDEV('The List'!T2:T671)</f>
        <v>0.44798945028165527</v>
      </c>
      <c r="H160" s="55" cm="1">
        <f t="array" ref="H160">(VLOOKUP($A160,'The List'!$B1:$AH671,20,FALSE)-AVERAGE('The List'!U2:U671))/STDEV('The List'!U2:U671)</f>
        <v>0.52481345721809325</v>
      </c>
      <c r="I160" s="55" cm="1">
        <f t="array" ref="I160">(VLOOKUP($A160,'The List'!$B1:$AH671,21,FALSE)-AVERAGE('The List'!V2:V671))/STDEV('The List'!V2:V671)</f>
        <v>0.83578657210506324</v>
      </c>
      <c r="J160" s="55" cm="1">
        <f t="array" ref="J160">(VLOOKUP($A160,'The List'!$B1:$AH671,22,FALSE)-AVERAGE('The List'!W2:W671))/STDEV('The List'!W2:W671)</f>
        <v>0.537490538025303</v>
      </c>
      <c r="K160" s="55" cm="1">
        <f t="array" ref="K160">(VLOOKUP($A160,'The List'!$B1:$AH671,23,FALSE)-AVERAGE('The List'!X2:X671))/STDEV('The List'!X2:X671)</f>
        <v>0.66866936235265007</v>
      </c>
      <c r="L160" s="55" cm="1">
        <f t="array" ref="L160">(VLOOKUP($A160,'The List'!$B1:$AH671,24,FALSE)-AVERAGE('The List'!Y2:Y671))/STDEV('The List'!Y2:Y671)</f>
        <v>-0.47546929358800777</v>
      </c>
      <c r="M160" s="55" cm="1">
        <f t="array" ref="M160">(VLOOKUP($A160,'The List'!$B1:$AH671,25,FALSE)-AVERAGE('The List'!Z2:Z671))/STDEV('The List'!Z2:Z671)</f>
        <v>-0.64388478613809508</v>
      </c>
      <c r="N160" s="55" cm="1">
        <f t="array" ref="N160">(VLOOKUP($A160,'The List'!$B1:$AH671,26,FALSE)-AVERAGE('The List'!AA2:AA671))/STDEV('The List'!AA2:AA671)</f>
        <v>-0.95430639835732867</v>
      </c>
      <c r="O160" s="55" cm="1">
        <f t="array" ref="O160">(VLOOKUP($A160,'The List'!$B1:$AH671,27,FALSE)-AVERAGE('The List'!AB2:AB671))/STDEV('The List'!AB2:AB671)</f>
        <v>-0.72704613388511008</v>
      </c>
      <c r="P160" s="55" cm="1">
        <f t="array" ref="P160">(VLOOKUP($A160,'The List'!$B1:$AH671,28,FALSE)-AVERAGE('The List'!AC2:AC671))/STDEV('The List'!AC2:AC671)</f>
        <v>6.2177573861342997E-2</v>
      </c>
      <c r="Q160" s="55" cm="1">
        <f t="array" ref="Q160">(VLOOKUP($A160,'The List'!$B1:$AH671,29,FALSE)-AVERAGE('The List'!AD2:AD671))/STDEV('The List'!AD2:AD671)</f>
        <v>-0.78086418219510245</v>
      </c>
      <c r="R160" s="55" cm="1">
        <f t="array" ref="R160">(VLOOKUP($A160,'The List'!$B1:$AH671,30,FALSE)-AVERAGE('The List'!AE2:AE671))/STDEV('The List'!AE2:AE671)</f>
        <v>0.57680347518127961</v>
      </c>
      <c r="S160" s="55" cm="1">
        <f t="array" ref="S160">(VLOOKUP($A160,'The List'!$B1:$AH671,31,FALSE)-AVERAGE('The List'!AF2:AF671))/STDEV('The List'!AF2:AF671)</f>
        <v>-0.58471266124671284</v>
      </c>
      <c r="T160" s="55" cm="1">
        <f t="array" ref="T160">(VLOOKUP($A160,'The List'!$B1:$AH671,32,FALSE)-AVERAGE('The List'!AG2:AG671))/STDEV('The List'!AG2:AG671)</f>
        <v>-0.59968756578832394</v>
      </c>
      <c r="U160" s="55" cm="1">
        <f t="array" ref="U160">(VLOOKUP($A160,'The List'!$B1:$AH671,33,FALSE)-AVERAGE('The List'!AH2:AH671))/STDEV('The List'!AH2:AH671)</f>
        <v>-0.24327972740851045</v>
      </c>
      <c r="V160" s="55"/>
      <c r="W160" s="77"/>
      <c r="X160" s="57"/>
      <c r="Y160" s="57"/>
      <c r="Z160" s="57"/>
      <c r="AA160" s="57"/>
      <c r="AB160" s="57"/>
      <c r="AC160" s="60"/>
      <c r="AD160" s="61"/>
      <c r="AE160" s="55"/>
    </row>
    <row r="161" spans="1:31" ht="21.25" customHeight="1" x14ac:dyDescent="0.15">
      <c r="A161" s="10" t="s">
        <v>306</v>
      </c>
      <c r="B161" s="18" t="str" cm="1">
        <f t="array" ref="B161">VLOOKUP(A161,'Player Data'!A1:B673,2,FALSE)</f>
        <v>MIN</v>
      </c>
      <c r="C161" s="52" cm="1">
        <f t="array" ref="C161">((E161)*Settings!$C$12)+(F161*Settings!$C$2)+(G161*Settings!$C$3)+(H161*Settings!$C$4)+(I161*Settings!$C$5)+(K161*Settings!$C$9)+(N161*Settings!$C$6)+(J161*Settings!$C$8)+(O161*Settings!$C$7)+(P161*Settings!$C$14)+(Q161*Settings!$C$15)+(R161*Settings!$C$16)+(S161*Settings!$C$17)+(T161*Settings!$C$18)+(U161*Settings!$C$19)+(L161*Settings!$C$10)+(Settings!$C$11*M161)</f>
        <v>3.7144735881746609</v>
      </c>
      <c r="D161" s="57" cm="1">
        <f t="array" ref="D161">IF(Settings!$E$12="YES",VLOOKUP(A161,'Player Data'!A1:E673,5,FALSE),82)</f>
        <v>80</v>
      </c>
      <c r="E161" s="55" cm="1">
        <f t="array" ref="E161">(VLOOKUP($A161,'The List'!$B1:$AH671,17,FALSE)-AVERAGE('The List'!R2:R671))/STDEV('The List'!R2:R671)</f>
        <v>0.20609088539090101</v>
      </c>
      <c r="F161" s="55" cm="1">
        <f t="array" ref="F161">(VLOOKUP($A161,'The List'!$B1:$AH671,18,FALSE)-AVERAGE('The List'!S2:S671))/STDEV('The List'!S2:S671)</f>
        <v>1.102396290707526</v>
      </c>
      <c r="G161" s="55" cm="1">
        <f t="array" ref="G161">(VLOOKUP($A161,'The List'!$B1:$AH671,19,FALSE)-AVERAGE('The List'!T2:T671))/STDEV('The List'!T2:T671)</f>
        <v>8.0459184323533148E-2</v>
      </c>
      <c r="H161" s="55" cm="1">
        <f t="array" ref="H161">(VLOOKUP($A161,'The List'!$B1:$AH671,20,FALSE)-AVERAGE('The List'!U2:U671))/STDEV('The List'!U2:U671)</f>
        <v>0.53895976478095453</v>
      </c>
      <c r="I161" s="55" cm="1">
        <f t="array" ref="I161">(VLOOKUP($A161,'The List'!$B1:$AH671,21,FALSE)-AVERAGE('The List'!V2:V671))/STDEV('The List'!V2:V671)</f>
        <v>1.2989898514002893</v>
      </c>
      <c r="J161" s="55" cm="1">
        <f t="array" ref="J161">(VLOOKUP($A161,'The List'!$B1:$AH671,22,FALSE)-AVERAGE('The List'!W2:W671))/STDEV('The List'!W2:W671)</f>
        <v>1.9129510395391669</v>
      </c>
      <c r="K161" s="55" cm="1">
        <f t="array" ref="K161">(VLOOKUP($A161,'The List'!$B1:$AH671,23,FALSE)-AVERAGE('The List'!X2:X671))/STDEV('The List'!X2:X671)</f>
        <v>0.88674062213826532</v>
      </c>
      <c r="L161" s="55" cm="1">
        <f t="array" ref="L161">(VLOOKUP($A161,'The List'!$B1:$AH671,24,FALSE)-AVERAGE('The List'!Y2:Y671))/STDEV('The List'!Y2:Y671)</f>
        <v>-0.47546929358800777</v>
      </c>
      <c r="M161" s="55" cm="1">
        <f t="array" ref="M161">(VLOOKUP($A161,'The List'!$B1:$AH671,25,FALSE)-AVERAGE('The List'!Z2:Z671))/STDEV('The List'!Z2:Z671)</f>
        <v>-0.64388478613809508</v>
      </c>
      <c r="N161" s="55" cm="1">
        <f t="array" ref="N161">(VLOOKUP($A161,'The List'!$B1:$AH671,26,FALSE)-AVERAGE('The List'!AA2:AA671))/STDEV('The List'!AA2:AA671)</f>
        <v>0.37944258603062681</v>
      </c>
      <c r="O161" s="55" cm="1">
        <f t="array" ref="O161">(VLOOKUP($A161,'The List'!$B1:$AH671,27,FALSE)-AVERAGE('The List'!AB2:AB671))/STDEV('The List'!AB2:AB671)</f>
        <v>-0.24368575257798186</v>
      </c>
      <c r="P161" s="55" cm="1">
        <f t="array" ref="P161">(VLOOKUP($A161,'The List'!$B1:$AH671,28,FALSE)-AVERAGE('The List'!AC2:AC671))/STDEV('The List'!AC2:AC671)</f>
        <v>0.58957339218302895</v>
      </c>
      <c r="Q161" s="55" cm="1">
        <f t="array" ref="Q161">(VLOOKUP($A161,'The List'!$B1:$AH671,29,FALSE)-AVERAGE('The List'!AD2:AD671))/STDEV('The List'!AD2:AD671)</f>
        <v>1.7046068864753494</v>
      </c>
      <c r="R161" s="55" cm="1">
        <f t="array" ref="R161">(VLOOKUP($A161,'The List'!$B1:$AH671,30,FALSE)-AVERAGE('The List'!AE2:AE671))/STDEV('The List'!AE2:AE671)</f>
        <v>1.1506984622616896</v>
      </c>
      <c r="S161" s="55" cm="1">
        <f t="array" ref="S161">(VLOOKUP($A161,'The List'!$B1:$AH671,31,FALSE)-AVERAGE('The List'!AF2:AF671))/STDEV('The List'!AF2:AF671)</f>
        <v>1.8888134503221996</v>
      </c>
      <c r="T161" s="55" cm="1">
        <f t="array" ref="T161">(VLOOKUP($A161,'The List'!$B1:$AH671,32,FALSE)-AVERAGE('The List'!AG2:AG671))/STDEV('The List'!AG2:AG671)</f>
        <v>2.3947687043577357</v>
      </c>
      <c r="U161" s="55" cm="1">
        <f t="array" ref="U161">(VLOOKUP($A161,'The List'!$B1:$AH671,33,FALSE)-AVERAGE('The List'!AH2:AH671))/STDEV('The List'!AH2:AH671)</f>
        <v>0.86070166274106241</v>
      </c>
      <c r="V161" s="55"/>
      <c r="W161" s="77"/>
      <c r="X161" s="57"/>
      <c r="Y161" s="57"/>
      <c r="Z161" s="57"/>
      <c r="AA161" s="57"/>
      <c r="AB161" s="57"/>
      <c r="AC161" s="60"/>
      <c r="AD161" s="61"/>
      <c r="AE161" s="55"/>
    </row>
    <row r="162" spans="1:31" ht="21.25" customHeight="1" x14ac:dyDescent="0.15">
      <c r="A162" s="10" t="s">
        <v>398</v>
      </c>
      <c r="B162" s="18" t="str" cm="1">
        <f t="array" ref="B162">VLOOKUP(A162,'Player Data'!A1:B673,2,FALSE)</f>
        <v>SEA</v>
      </c>
      <c r="C162" s="52" cm="1">
        <f t="array" ref="C162">((E162)*Settings!$C$12)+(F162*Settings!$C$2)+(G162*Settings!$C$3)+(H162*Settings!$C$4)+(I162*Settings!$C$5)+(K162*Settings!$C$9)+(N162*Settings!$C$6)+(J162*Settings!$C$8)+(O162*Settings!$C$7)+(P162*Settings!$C$14)+(Q162*Settings!$C$15)+(R162*Settings!$C$16)+(S162*Settings!$C$17)+(T162*Settings!$C$18)+(U162*Settings!$C$19)+(L162*Settings!$C$10)+(Settings!$C$11*M162)</f>
        <v>-0.10182593788952765</v>
      </c>
      <c r="D162" s="57" cm="1">
        <f t="array" ref="D162">IF(Settings!$E$12="YES",VLOOKUP(A162,'Player Data'!A1:E673,5,FALSE),82)</f>
        <v>78</v>
      </c>
      <c r="E162" s="55" cm="1">
        <f t="array" ref="E162">(VLOOKUP($A162,'The List'!$B1:$AH671,17,FALSE)-AVERAGE('The List'!R2:R671))/STDEV('The List'!R2:R671)</f>
        <v>0.31101932609401728</v>
      </c>
      <c r="F162" s="55" cm="1">
        <f t="array" ref="F162">(VLOOKUP($A162,'The List'!$B1:$AH671,18,FALSE)-AVERAGE('The List'!S2:S671))/STDEV('The List'!S2:S671)</f>
        <v>0.65132772712783882</v>
      </c>
      <c r="G162" s="55" cm="1">
        <f t="array" ref="G162">(VLOOKUP($A162,'The List'!$B1:$AH671,19,FALSE)-AVERAGE('The List'!T2:T671))/STDEV('The List'!T2:T671)</f>
        <v>0.25614286785992013</v>
      </c>
      <c r="H162" s="55" cm="1">
        <f t="array" ref="H162">(VLOOKUP($A162,'The List'!$B1:$AH671,20,FALSE)-AVERAGE('The List'!U2:U671))/STDEV('The List'!U2:U671)</f>
        <v>0.44966119829039258</v>
      </c>
      <c r="I162" s="55" cm="1">
        <f t="array" ref="I162">(VLOOKUP($A162,'The List'!$B1:$AH671,21,FALSE)-AVERAGE('The List'!V2:V671))/STDEV('The List'!V2:V671)</f>
        <v>0.51114689967099791</v>
      </c>
      <c r="J162" s="55" cm="1">
        <f t="array" ref="J162">(VLOOKUP($A162,'The List'!$B1:$AH671,22,FALSE)-AVERAGE('The List'!W2:W671))/STDEV('The List'!W2:W671)</f>
        <v>0.33862877877028663</v>
      </c>
      <c r="K162" s="55" cm="1">
        <f t="array" ref="K162">(VLOOKUP($A162,'The List'!$B1:$AH671,23,FALSE)-AVERAGE('The List'!X2:X671))/STDEV('The List'!X2:X671)</f>
        <v>0.53099303705021095</v>
      </c>
      <c r="L162" s="55" cm="1">
        <f t="array" ref="L162">(VLOOKUP($A162,'The List'!$B1:$AH671,24,FALSE)-AVERAGE('The List'!Y2:Y671))/STDEV('The List'!Y2:Y671)</f>
        <v>-0.47546929358800777</v>
      </c>
      <c r="M162" s="55" cm="1">
        <f t="array" ref="M162">(VLOOKUP($A162,'The List'!$B1:$AH671,25,FALSE)-AVERAGE('The List'!Z2:Z671))/STDEV('The List'!Z2:Z671)</f>
        <v>-0.64388478613809508</v>
      </c>
      <c r="N162" s="55" cm="1">
        <f t="array" ref="N162">(VLOOKUP($A162,'The List'!$B1:$AH671,26,FALSE)-AVERAGE('The List'!AA2:AA671))/STDEV('The List'!AA2:AA671)</f>
        <v>-0.60694932850523764</v>
      </c>
      <c r="O162" s="55" cm="1">
        <f t="array" ref="O162">(VLOOKUP($A162,'The List'!$B1:$AH671,27,FALSE)-AVERAGE('The List'!AB2:AB671))/STDEV('The List'!AB2:AB671)</f>
        <v>-0.76148402364745005</v>
      </c>
      <c r="P162" s="55" cm="1">
        <f t="array" ref="P162">(VLOOKUP($A162,'The List'!$B1:$AH671,28,FALSE)-AVERAGE('The List'!AC2:AC671))/STDEV('The List'!AC2:AC671)</f>
        <v>-1.2899524459510454</v>
      </c>
      <c r="Q162" s="55" cm="1">
        <f t="array" ref="Q162">(VLOOKUP($A162,'The List'!$B1:$AH671,29,FALSE)-AVERAGE('The List'!AD2:AD671))/STDEV('The List'!AD2:AD671)</f>
        <v>-0.4143975799178895</v>
      </c>
      <c r="R162" s="55" cm="1">
        <f t="array" ref="R162">(VLOOKUP($A162,'The List'!$B1:$AH671,30,FALSE)-AVERAGE('The List'!AE2:AE671))/STDEV('The List'!AE2:AE671)</f>
        <v>0.1151922899209495</v>
      </c>
      <c r="S162" s="55" cm="1">
        <f t="array" ref="S162">(VLOOKUP($A162,'The List'!$B1:$AH671,31,FALSE)-AVERAGE('The List'!AF2:AF671))/STDEV('The List'!AF2:AF671)</f>
        <v>-0.52456802936712899</v>
      </c>
      <c r="T162" s="55" cm="1">
        <f t="array" ref="T162">(VLOOKUP($A162,'The List'!$B1:$AH671,32,FALSE)-AVERAGE('The List'!AG2:AG671))/STDEV('The List'!AG2:AG671)</f>
        <v>-0.53140440931113686</v>
      </c>
      <c r="U162" s="55" cm="1">
        <f t="array" ref="U162">(VLOOKUP($A162,'The List'!$B1:$AH671,33,FALSE)-AVERAGE('The List'!AH2:AH671))/STDEV('The List'!AH2:AH671)</f>
        <v>0.53870709061410371</v>
      </c>
      <c r="V162" s="55"/>
      <c r="W162" s="77"/>
      <c r="X162" s="57"/>
      <c r="Y162" s="57"/>
      <c r="Z162" s="57"/>
      <c r="AA162" s="57"/>
      <c r="AB162" s="57"/>
      <c r="AC162" s="60"/>
      <c r="AD162" s="61"/>
      <c r="AE162" s="55"/>
    </row>
    <row r="163" spans="1:31" ht="21.25" customHeight="1" x14ac:dyDescent="0.15">
      <c r="A163" s="10" t="s">
        <v>440</v>
      </c>
      <c r="B163" s="18" t="str" cm="1">
        <f t="array" ref="B163">VLOOKUP(A163,'Player Data'!A1:B673,2,FALSE)</f>
        <v>BUF</v>
      </c>
      <c r="C163" s="52" cm="1">
        <f t="array" ref="C163">((E163)*Settings!$C$12)+(F163*Settings!$C$2)+(G163*Settings!$C$3)+(H163*Settings!$C$4)+(I163*Settings!$C$5)+(K163*Settings!$C$9)+(N163*Settings!$C$6)+(J163*Settings!$C$8)+(O163*Settings!$C$7)+(P163*Settings!$C$14)+(Q163*Settings!$C$15)+(R163*Settings!$C$16)+(S163*Settings!$C$17)+(T163*Settings!$C$18)+(U163*Settings!$C$19)+(L163*Settings!$C$10)+(Settings!$C$11*M163)</f>
        <v>-2.7705415505515751E-2</v>
      </c>
      <c r="D163" s="57" cm="1">
        <f t="array" ref="D163">IF(Settings!$E$12="YES",VLOOKUP(A163,'Player Data'!A1:E673,5,FALSE),82)</f>
        <v>83</v>
      </c>
      <c r="E163" s="55" cm="1">
        <f t="array" ref="E163">(VLOOKUP($A163,'The List'!$B1:$AH671,17,FALSE)-AVERAGE('The List'!R2:R671))/STDEV('The List'!R2:R671)</f>
        <v>0.12739455486356333</v>
      </c>
      <c r="F163" s="55" cm="1">
        <f t="array" ref="F163">(VLOOKUP($A163,'The List'!$B1:$AH671,18,FALSE)-AVERAGE('The List'!S2:S671))/STDEV('The List'!S2:S671)</f>
        <v>0.36691502664064646</v>
      </c>
      <c r="G163" s="55" cm="1">
        <f t="array" ref="G163">(VLOOKUP($A163,'The List'!$B1:$AH671,19,FALSE)-AVERAGE('The List'!T2:T671))/STDEV('The List'!T2:T671)</f>
        <v>0.84573730980803563</v>
      </c>
      <c r="H163" s="55" cm="1">
        <f t="array" ref="H163">(VLOOKUP($A163,'The List'!$B1:$AH671,20,FALSE)-AVERAGE('The List'!U2:U671))/STDEV('The List'!U2:U671)</f>
        <v>0.69456914797242841</v>
      </c>
      <c r="I163" s="55" cm="1">
        <f t="array" ref="I163">(VLOOKUP($A163,'The List'!$B1:$AH671,21,FALSE)-AVERAGE('The List'!V2:V671))/STDEV('The List'!V2:V671)</f>
        <v>-0.33422932024378765</v>
      </c>
      <c r="J163" s="55" cm="1">
        <f t="array" ref="J163">(VLOOKUP($A163,'The List'!$B1:$AH671,22,FALSE)-AVERAGE('The List'!W2:W671))/STDEV('The List'!W2:W671)</f>
        <v>-0.5092956669420754</v>
      </c>
      <c r="K163" s="55" cm="1">
        <f t="array" ref="K163">(VLOOKUP($A163,'The List'!$B1:$AH671,23,FALSE)-AVERAGE('The List'!X2:X671))/STDEV('The List'!X2:X671)</f>
        <v>-0.13427504579807187</v>
      </c>
      <c r="L163" s="55" cm="1">
        <f t="array" ref="L163">(VLOOKUP($A163,'The List'!$B1:$AH671,24,FALSE)-AVERAGE('The List'!Y2:Y671))/STDEV('The List'!Y2:Y671)</f>
        <v>5.6105860643174781</v>
      </c>
      <c r="M163" s="55" cm="1">
        <f t="array" ref="M163">(VLOOKUP($A163,'The List'!$B1:$AH671,25,FALSE)-AVERAGE('The List'!Z2:Z671))/STDEV('The List'!Z2:Z671)</f>
        <v>4.7674801039742283</v>
      </c>
      <c r="N163" s="55" cm="1">
        <f t="array" ref="N163">(VLOOKUP($A163,'The List'!$B1:$AH671,26,FALSE)-AVERAGE('The List'!AA2:AA671))/STDEV('The List'!AA2:AA671)</f>
        <v>-0.69021286142566529</v>
      </c>
      <c r="O163" s="55" cm="1">
        <f t="array" ref="O163">(VLOOKUP($A163,'The List'!$B1:$AH671,27,FALSE)-AVERAGE('The List'!AB2:AB671))/STDEV('The List'!AB2:AB671)</f>
        <v>-1.2073317036063149</v>
      </c>
      <c r="P163" s="55" cm="1">
        <f t="array" ref="P163">(VLOOKUP($A163,'The List'!$B1:$AH671,28,FALSE)-AVERAGE('The List'!AC2:AC671))/STDEV('The List'!AC2:AC671)</f>
        <v>0.4354783176939766</v>
      </c>
      <c r="Q163" s="55" cm="1">
        <f t="array" ref="Q163">(VLOOKUP($A163,'The List'!$B1:$AH671,29,FALSE)-AVERAGE('The List'!AD2:AD671))/STDEV('The List'!AD2:AD671)</f>
        <v>-0.9633586393775051</v>
      </c>
      <c r="R163" s="55" cm="1">
        <f t="array" ref="R163">(VLOOKUP($A163,'The List'!$B1:$AH671,30,FALSE)-AVERAGE('The List'!AE2:AE671))/STDEV('The List'!AE2:AE671)</f>
        <v>0.20876212477101633</v>
      </c>
      <c r="S163" s="55" cm="1">
        <f t="array" ref="S163">(VLOOKUP($A163,'The List'!$B1:$AH671,31,FALSE)-AVERAGE('The List'!AF2:AF671))/STDEV('The List'!AF2:AF671)</f>
        <v>2.3929995050953385</v>
      </c>
      <c r="T163" s="55" cm="1">
        <f t="array" ref="T163">(VLOOKUP($A163,'The List'!$B1:$AH671,32,FALSE)-AVERAGE('The List'!AG2:AG671))/STDEV('The List'!AG2:AG671)</f>
        <v>2.5342439410185365</v>
      </c>
      <c r="U163" s="55" cm="1">
        <f t="array" ref="U163">(VLOOKUP($A163,'The List'!$B1:$AH671,33,FALSE)-AVERAGE('The List'!AH2:AH671))/STDEV('The List'!AH2:AH671)</f>
        <v>1.0446985610993245</v>
      </c>
      <c r="V163" s="55"/>
      <c r="W163" s="77"/>
      <c r="X163" s="57"/>
      <c r="Y163" s="57"/>
      <c r="Z163" s="57"/>
      <c r="AA163" s="57"/>
      <c r="AB163" s="57"/>
      <c r="AC163" s="60"/>
      <c r="AD163" s="61"/>
      <c r="AE163" s="55"/>
    </row>
    <row r="164" spans="1:31" ht="21.25" customHeight="1" x14ac:dyDescent="0.15">
      <c r="A164" s="10" t="s">
        <v>383</v>
      </c>
      <c r="B164" s="18" t="str" cm="1">
        <f t="array" ref="B164">VLOOKUP(A164,'Player Data'!A1:B673,2,FALSE)</f>
        <v>FLA</v>
      </c>
      <c r="C164" s="52" cm="1">
        <f t="array" ref="C164">((E164)*Settings!$C$12)+(F164*Settings!$C$2)+(G164*Settings!$C$3)+(H164*Settings!$C$4)+(I164*Settings!$C$5)+(K164*Settings!$C$9)+(N164*Settings!$C$6)+(J164*Settings!$C$8)+(O164*Settings!$C$7)+(P164*Settings!$C$14)+(Q164*Settings!$C$15)+(R164*Settings!$C$16)+(S164*Settings!$C$17)+(T164*Settings!$C$18)+(U164*Settings!$C$19)+(L164*Settings!$C$10)+(Settings!$C$11*M164)</f>
        <v>3.2707890084101536</v>
      </c>
      <c r="D164" s="57" cm="1">
        <f t="array" ref="D164">IF(Settings!$E$12="YES",VLOOKUP(A164,'Player Data'!A1:E673,5,FALSE),82)</f>
        <v>82</v>
      </c>
      <c r="E164" s="55" cm="1">
        <f t="array" ref="E164">(VLOOKUP($A164,'The List'!$B1:$AH671,17,FALSE)-AVERAGE('The List'!R2:R671))/STDEV('The List'!R2:R671)</f>
        <v>-0.21362287742156597</v>
      </c>
      <c r="F164" s="55" cm="1">
        <f t="array" ref="F164">(VLOOKUP($A164,'The List'!$B1:$AH671,18,FALSE)-AVERAGE('The List'!S2:S671))/STDEV('The List'!S2:S671)</f>
        <v>0.83694443691947995</v>
      </c>
      <c r="G164" s="55" cm="1">
        <f t="array" ref="G164">(VLOOKUP($A164,'The List'!$B1:$AH671,19,FALSE)-AVERAGE('The List'!T2:T671))/STDEV('The List'!T2:T671)</f>
        <v>0.35452573064029713</v>
      </c>
      <c r="H164" s="55" cm="1">
        <f t="array" ref="H164">(VLOOKUP($A164,'The List'!$B1:$AH671,20,FALSE)-AVERAGE('The List'!U2:U671))/STDEV('The List'!U2:U671)</f>
        <v>0.59377670658704207</v>
      </c>
      <c r="I164" s="55" cm="1">
        <f t="array" ref="I164">(VLOOKUP($A164,'The List'!$B1:$AH671,21,FALSE)-AVERAGE('The List'!V2:V671))/STDEV('The List'!V2:V671)</f>
        <v>1.1027202037765007</v>
      </c>
      <c r="J164" s="55" cm="1">
        <f t="array" ref="J164">(VLOOKUP($A164,'The List'!$B1:$AH671,22,FALSE)-AVERAGE('The List'!W2:W671))/STDEV('The List'!W2:W671)</f>
        <v>0.3938681563411246</v>
      </c>
      <c r="K164" s="55" cm="1">
        <f t="array" ref="K164">(VLOOKUP($A164,'The List'!$B1:$AH671,23,FALSE)-AVERAGE('The List'!X2:X671))/STDEV('The List'!X2:X671)</f>
        <v>0.26970949997988825</v>
      </c>
      <c r="L164" s="55" cm="1">
        <f t="array" ref="L164">(VLOOKUP($A164,'The List'!$B1:$AH671,24,FALSE)-AVERAGE('The List'!Y2:Y671))/STDEV('The List'!Y2:Y671)</f>
        <v>-0.47546929358800777</v>
      </c>
      <c r="M164" s="55" cm="1">
        <f t="array" ref="M164">(VLOOKUP($A164,'The List'!$B1:$AH671,25,FALSE)-AVERAGE('The List'!Z2:Z671))/STDEV('The List'!Z2:Z671)</f>
        <v>-0.64388478613809508</v>
      </c>
      <c r="N164" s="55" cm="1">
        <f t="array" ref="N164">(VLOOKUP($A164,'The List'!$B1:$AH671,26,FALSE)-AVERAGE('The List'!AA2:AA671))/STDEV('The List'!AA2:AA671)</f>
        <v>-0.99466111676661573</v>
      </c>
      <c r="O164" s="55" cm="1">
        <f t="array" ref="O164">(VLOOKUP($A164,'The List'!$B1:$AH671,27,FALSE)-AVERAGE('The List'!AB2:AB671))/STDEV('The List'!AB2:AB671)</f>
        <v>-0.25598499892167487</v>
      </c>
      <c r="P164" s="55" cm="1">
        <f t="array" ref="P164">(VLOOKUP($A164,'The List'!$B1:$AH671,28,FALSE)-AVERAGE('The List'!AC2:AC671))/STDEV('The List'!AC2:AC671)</f>
        <v>0.96287413601566252</v>
      </c>
      <c r="Q164" s="55" cm="1">
        <f t="array" ref="Q164">(VLOOKUP($A164,'The List'!$B1:$AH671,29,FALSE)-AVERAGE('The List'!AD2:AD671))/STDEV('The List'!AD2:AD671)</f>
        <v>-1.0988779830473833E-2</v>
      </c>
      <c r="R164" s="55" cm="1">
        <f t="array" ref="R164">(VLOOKUP($A164,'The List'!$B1:$AH671,30,FALSE)-AVERAGE('The List'!AE2:AE671))/STDEV('The List'!AE2:AE671)</f>
        <v>0.70156325498136884</v>
      </c>
      <c r="S164" s="55" cm="1">
        <f t="array" ref="S164">(VLOOKUP($A164,'The List'!$B1:$AH671,31,FALSE)-AVERAGE('The List'!AF2:AF671))/STDEV('The List'!AF2:AF671)</f>
        <v>-0.42629814322654591</v>
      </c>
      <c r="T164" s="55" cm="1">
        <f t="array" ref="T164">(VLOOKUP($A164,'The List'!$B1:$AH671,32,FALSE)-AVERAGE('The List'!AG2:AG671))/STDEV('The List'!AG2:AG671)</f>
        <v>-0.34135472715788978</v>
      </c>
      <c r="U164" s="55" cm="1">
        <f t="array" ref="U164">(VLOOKUP($A164,'The List'!$B1:$AH671,33,FALSE)-AVERAGE('The List'!AH2:AH671))/STDEV('The List'!AH2:AH671)</f>
        <v>0.44670864143497252</v>
      </c>
      <c r="V164" s="55"/>
      <c r="W164" s="77"/>
      <c r="X164" s="57"/>
      <c r="Y164" s="57"/>
      <c r="Z164" s="57"/>
      <c r="AA164" s="57"/>
      <c r="AB164" s="57"/>
      <c r="AC164" s="60"/>
      <c r="AD164" s="61"/>
      <c r="AE164" s="55"/>
    </row>
    <row r="165" spans="1:31" ht="21.25" customHeight="1" x14ac:dyDescent="0.15">
      <c r="A165" s="10" t="s">
        <v>353</v>
      </c>
      <c r="B165" s="18" t="str" cm="1">
        <f t="array" ref="B165">VLOOKUP(A165,'Player Data'!A1:B673,2,FALSE)</f>
        <v>CAR</v>
      </c>
      <c r="C165" s="52" cm="1">
        <f t="array" ref="C165">((E165)*Settings!$C$12)+(F165*Settings!$C$2)+(G165*Settings!$C$3)+(H165*Settings!$C$4)+(I165*Settings!$C$5)+(K165*Settings!$C$9)+(N165*Settings!$C$6)+(J165*Settings!$C$8)+(O165*Settings!$C$7)+(P165*Settings!$C$14)+(Q165*Settings!$C$15)+(R165*Settings!$C$16)+(S165*Settings!$C$17)+(T165*Settings!$C$18)+(U165*Settings!$C$19)+(L165*Settings!$C$10)+(Settings!$C$11*M165)</f>
        <v>3.9937038316669402</v>
      </c>
      <c r="D165" s="57" cm="1">
        <f t="array" ref="D165">IF(Settings!$E$12="YES",VLOOKUP(A165,'Player Data'!A1:E673,5,FALSE),82)</f>
        <v>82</v>
      </c>
      <c r="E165" s="55" cm="1">
        <f t="array" ref="E165">(VLOOKUP($A165,'The List'!$B1:$AH671,17,FALSE)-AVERAGE('The List'!R2:R671))/STDEV('The List'!R2:R671)</f>
        <v>-8.2462326542670147E-2</v>
      </c>
      <c r="F165" s="55" cm="1">
        <f t="array" ref="F165">(VLOOKUP($A165,'The List'!$B1:$AH671,18,FALSE)-AVERAGE('The List'!S2:S671))/STDEV('The List'!S2:S671)</f>
        <v>0.86149374369837473</v>
      </c>
      <c r="G165" s="55" cm="1">
        <f t="array" ref="G165">(VLOOKUP($A165,'The List'!$B1:$AH671,19,FALSE)-AVERAGE('The List'!T2:T671))/STDEV('The List'!T2:T671)</f>
        <v>0.45536816499018357</v>
      </c>
      <c r="H165" s="55" cm="1">
        <f t="array" ref="H165">(VLOOKUP($A165,'The List'!$B1:$AH671,20,FALSE)-AVERAGE('The List'!U2:U671))/STDEV('The List'!U2:U671)</f>
        <v>0.66808902850319762</v>
      </c>
      <c r="I165" s="55" cm="1">
        <f t="array" ref="I165">(VLOOKUP($A165,'The List'!$B1:$AH671,21,FALSE)-AVERAGE('The List'!V2:V671))/STDEV('The List'!V2:V671)</f>
        <v>1.1122831659208465</v>
      </c>
      <c r="J165" s="55" cm="1">
        <f t="array" ref="J165">(VLOOKUP($A165,'The List'!$B1:$AH671,22,FALSE)-AVERAGE('The List'!W2:W671))/STDEV('The List'!W2:W671)</f>
        <v>0.68829403879369067</v>
      </c>
      <c r="K165" s="55" cm="1">
        <f t="array" ref="K165">(VLOOKUP($A165,'The List'!$B1:$AH671,23,FALSE)-AVERAGE('The List'!X2:X671))/STDEV('The List'!X2:X671)</f>
        <v>0.40979767331682271</v>
      </c>
      <c r="L165" s="55" cm="1">
        <f t="array" ref="L165">(VLOOKUP($A165,'The List'!$B1:$AH671,24,FALSE)-AVERAGE('The List'!Y2:Y671))/STDEV('The List'!Y2:Y671)</f>
        <v>-0.47546929358800777</v>
      </c>
      <c r="M165" s="55" cm="1">
        <f t="array" ref="M165">(VLOOKUP($A165,'The List'!$B1:$AH671,25,FALSE)-AVERAGE('The List'!Z2:Z671))/STDEV('The List'!Z2:Z671)</f>
        <v>-0.64388478613809508</v>
      </c>
      <c r="N165" s="55" cm="1">
        <f t="array" ref="N165">(VLOOKUP($A165,'The List'!$B1:$AH671,26,FALSE)-AVERAGE('The List'!AA2:AA671))/STDEV('The List'!AA2:AA671)</f>
        <v>-0.88994317659061783</v>
      </c>
      <c r="O165" s="55" cm="1">
        <f t="array" ref="O165">(VLOOKUP($A165,'The List'!$B1:$AH671,27,FALSE)-AVERAGE('The List'!AB2:AB671))/STDEV('The List'!AB2:AB671)</f>
        <v>-0.60897336898565901</v>
      </c>
      <c r="P165" s="55" cm="1">
        <f t="array" ref="P165">(VLOOKUP($A165,'The List'!$B1:$AH671,28,FALSE)-AVERAGE('The List'!AC2:AC671))/STDEV('The List'!AC2:AC671)</f>
        <v>1.7637344527263714</v>
      </c>
      <c r="Q165" s="55" cm="1">
        <f t="array" ref="Q165">(VLOOKUP($A165,'The List'!$B1:$AH671,29,FALSE)-AVERAGE('The List'!AD2:AD671))/STDEV('The List'!AD2:AD671)</f>
        <v>-0.67742602832653442</v>
      </c>
      <c r="R165" s="55" cm="1">
        <f t="array" ref="R165">(VLOOKUP($A165,'The List'!$B1:$AH671,30,FALSE)-AVERAGE('The List'!AE2:AE671))/STDEV('The List'!AE2:AE671)</f>
        <v>0.80386627441744207</v>
      </c>
      <c r="S165" s="55" cm="1">
        <f t="array" ref="S165">(VLOOKUP($A165,'The List'!$B1:$AH671,31,FALSE)-AVERAGE('The List'!AF2:AF671))/STDEV('The List'!AF2:AF671)</f>
        <v>1.2649631359581068</v>
      </c>
      <c r="T165" s="55" cm="1">
        <f t="array" ref="T165">(VLOOKUP($A165,'The List'!$B1:$AH671,32,FALSE)-AVERAGE('The List'!AG2:AG671))/STDEV('The List'!AG2:AG671)</f>
        <v>1.6296707358181333</v>
      </c>
      <c r="U165" s="55" cm="1">
        <f t="array" ref="U165">(VLOOKUP($A165,'The List'!$B1:$AH671,33,FALSE)-AVERAGE('The List'!AH2:AH671))/STDEV('The List'!AH2:AH671)</f>
        <v>0.86070166274106241</v>
      </c>
      <c r="V165" s="55"/>
      <c r="W165" s="77"/>
      <c r="X165" s="57"/>
      <c r="Y165" s="57"/>
      <c r="Z165" s="57"/>
      <c r="AA165" s="57"/>
      <c r="AB165" s="57"/>
      <c r="AC165" s="60"/>
      <c r="AD165" s="61"/>
      <c r="AE165" s="55"/>
    </row>
    <row r="166" spans="1:31" ht="21.25" customHeight="1" x14ac:dyDescent="0.15">
      <c r="A166" s="10" t="s">
        <v>199</v>
      </c>
      <c r="B166" s="18" t="str" cm="1">
        <f t="array" ref="B166">VLOOKUP(A166,'Player Data'!A1:B673,2,FALSE)</f>
        <v>CHI</v>
      </c>
      <c r="C166" s="52" cm="1">
        <f t="array" ref="C166">((E166)*Settings!$C$12)+(F166*Settings!$C$2)+(G166*Settings!$C$3)+(H166*Settings!$C$4)+(I166*Settings!$C$5)+(K166*Settings!$C$9)+(N166*Settings!$C$6)+(J166*Settings!$C$8)+(O166*Settings!$C$7)+(P166*Settings!$C$14)+(Q166*Settings!$C$15)+(R166*Settings!$C$16)+(S166*Settings!$C$17)+(T166*Settings!$C$18)+(U166*Settings!$C$19)+(L166*Settings!$C$10)+(Settings!$C$11*M166)</f>
        <v>-0.45920149015417944</v>
      </c>
      <c r="D166" s="57" cm="1">
        <f t="array" ref="D166">IF(Settings!$E$12="YES",VLOOKUP(A166,'Player Data'!A1:E673,5,FALSE),82)</f>
        <v>83</v>
      </c>
      <c r="E166" s="55" cm="1">
        <f t="array" ref="E166">(VLOOKUP($A166,'The List'!$B1:$AH671,17,FALSE)-AVERAGE('The List'!R2:R671))/STDEV('The List'!R2:R671)</f>
        <v>2.2784275892774546</v>
      </c>
      <c r="F166" s="55" cm="1">
        <f t="array" ref="F166">(VLOOKUP($A166,'The List'!$B1:$AH671,18,FALSE)-AVERAGE('The List'!S2:S671))/STDEV('The List'!S2:S671)</f>
        <v>-0.15490743330585435</v>
      </c>
      <c r="G166" s="55" cm="1">
        <f t="array" ref="G166">(VLOOKUP($A166,'The List'!$B1:$AH671,19,FALSE)-AVERAGE('The List'!T2:T671))/STDEV('The List'!T2:T671)</f>
        <v>1.2161136514394471</v>
      </c>
      <c r="H166" s="55" cm="1">
        <f t="array" ref="H166">(VLOOKUP($A166,'The List'!$B1:$AH671,20,FALSE)-AVERAGE('The List'!U2:U671))/STDEV('The List'!U2:U671)</f>
        <v>0.69640374723448695</v>
      </c>
      <c r="I166" s="55" cm="1">
        <f t="array" ref="I166">(VLOOKUP($A166,'The List'!$B1:$AH671,21,FALSE)-AVERAGE('The List'!V2:V671))/STDEV('The List'!V2:V671)</f>
        <v>0.18237364332901035</v>
      </c>
      <c r="J166" s="55" cm="1">
        <f t="array" ref="J166">(VLOOKUP($A166,'The List'!$B1:$AH671,22,FALSE)-AVERAGE('The List'!W2:W671))/STDEV('The List'!W2:W671)</f>
        <v>-0.25712790833120025</v>
      </c>
      <c r="K166" s="55" cm="1">
        <f t="array" ref="K166">(VLOOKUP($A166,'The List'!$B1:$AH671,23,FALSE)-AVERAGE('The List'!X2:X671))/STDEV('The List'!X2:X671)</f>
        <v>0.51215047428071636</v>
      </c>
      <c r="L166" s="55" cm="1">
        <f t="array" ref="L166">(VLOOKUP($A166,'The List'!$B1:$AH671,24,FALSE)-AVERAGE('The List'!Y2:Y671))/STDEV('The List'!Y2:Y671)</f>
        <v>-0.47546929358800777</v>
      </c>
      <c r="M166" s="55" cm="1">
        <f t="array" ref="M166">(VLOOKUP($A166,'The List'!$B1:$AH671,25,FALSE)-AVERAGE('The List'!Z2:Z671))/STDEV('The List'!Z2:Z671)</f>
        <v>0.25800936221395893</v>
      </c>
      <c r="N166" s="55" cm="1">
        <f t="array" ref="N166">(VLOOKUP($A166,'The List'!$B1:$AH671,26,FALSE)-AVERAGE('The List'!AA2:AA671))/STDEV('The List'!AA2:AA671)</f>
        <v>1.3236919148859061</v>
      </c>
      <c r="O166" s="55" cm="1">
        <f t="array" ref="O166">(VLOOKUP($A166,'The List'!$B1:$AH671,27,FALSE)-AVERAGE('The List'!AB2:AB671))/STDEV('The List'!AB2:AB671)</f>
        <v>-0.40767570382721957</v>
      </c>
      <c r="P166" s="55" cm="1">
        <f t="array" ref="P166">(VLOOKUP($A166,'The List'!$B1:$AH671,28,FALSE)-AVERAGE('The List'!AC2:AC671))/STDEV('The List'!AC2:AC671)</f>
        <v>-1.8072561220702792</v>
      </c>
      <c r="Q166" s="55" cm="1">
        <f t="array" ref="Q166">(VLOOKUP($A166,'The List'!$B1:$AH671,29,FALSE)-AVERAGE('The List'!AD2:AD671))/STDEV('The List'!AD2:AD671)</f>
        <v>1.3056311501251578</v>
      </c>
      <c r="R166" s="55" cm="1">
        <f t="array" ref="R166">(VLOOKUP($A166,'The List'!$B1:$AH671,30,FALSE)-AVERAGE('The List'!AE2:AE671))/STDEV('The List'!AE2:AE671)</f>
        <v>-0.2572156527823164</v>
      </c>
      <c r="S166" s="55" cm="1">
        <f t="array" ref="S166">(VLOOKUP($A166,'The List'!$B1:$AH671,31,FALSE)-AVERAGE('The List'!AF2:AF671))/STDEV('The List'!AF2:AF671)</f>
        <v>-0.59581850454342256</v>
      </c>
      <c r="T166" s="55" cm="1">
        <f t="array" ref="T166">(VLOOKUP($A166,'The List'!$B1:$AH671,32,FALSE)-AVERAGE('The List'!AG2:AG671))/STDEV('The List'!AG2:AG671)</f>
        <v>-0.64684275008198677</v>
      </c>
      <c r="U166" s="55" cm="1">
        <f t="array" ref="U166">(VLOOKUP($A166,'The List'!$B1:$AH671,33,FALSE)-AVERAGE('The List'!AH2:AH671))/STDEV('The List'!AH2:AH671)</f>
        <v>-1.2552626683789523</v>
      </c>
      <c r="V166" s="55"/>
      <c r="W166" s="57"/>
      <c r="X166" s="55"/>
      <c r="Y166" s="55"/>
      <c r="Z166" s="55"/>
      <c r="AA166" s="55"/>
      <c r="AB166" s="55"/>
      <c r="AC166" s="55"/>
      <c r="AD166" s="55"/>
      <c r="AE166" s="55"/>
    </row>
    <row r="167" spans="1:31" ht="21.25" customHeight="1" x14ac:dyDescent="0.15">
      <c r="A167" s="10" t="s">
        <v>386</v>
      </c>
      <c r="B167" s="18" t="str" cm="1">
        <f t="array" ref="B167">VLOOKUP(A167,'Player Data'!A1:B673,2,FALSE)</f>
        <v>UTA</v>
      </c>
      <c r="C167" s="52" cm="1">
        <f t="array" ref="C167">((E167)*Settings!$C$12)+(F167*Settings!$C$2)+(G167*Settings!$C$3)+(H167*Settings!$C$4)+(I167*Settings!$C$5)+(K167*Settings!$C$9)+(N167*Settings!$C$6)+(J167*Settings!$C$8)+(O167*Settings!$C$7)+(P167*Settings!$C$14)+(Q167*Settings!$C$15)+(R167*Settings!$C$16)+(S167*Settings!$C$17)+(T167*Settings!$C$18)+(U167*Settings!$C$19)+(L167*Settings!$C$10)+(Settings!$C$11*M167)</f>
        <v>2.7610208407701426</v>
      </c>
      <c r="D167" s="57" cm="1">
        <f t="array" ref="D167">IF(Settings!$E$12="YES",VLOOKUP(A167,'Player Data'!A1:E673,5,FALSE),82)</f>
        <v>81</v>
      </c>
      <c r="E167" s="55" cm="1">
        <f t="array" ref="E167">(VLOOKUP($A167,'The List'!$B1:$AH671,17,FALSE)-AVERAGE('The List'!R2:R671))/STDEV('The List'!R2:R671)</f>
        <v>0.2323229955666796</v>
      </c>
      <c r="F167" s="55" cm="1">
        <f t="array" ref="F167">(VLOOKUP($A167,'The List'!$B1:$AH671,18,FALSE)-AVERAGE('The List'!S2:S671))/STDEV('The List'!S2:S671)</f>
        <v>0.4058346593388939</v>
      </c>
      <c r="G167" s="55" cm="1">
        <f t="array" ref="G167">(VLOOKUP($A167,'The List'!$B1:$AH671,19,FALSE)-AVERAGE('The List'!T2:T671))/STDEV('The List'!T2:T671)</f>
        <v>0.44377304187678179</v>
      </c>
      <c r="H167" s="55" cm="1">
        <f t="array" ref="H167">(VLOOKUP($A167,'The List'!$B1:$AH671,20,FALSE)-AVERAGE('The List'!U2:U671))/STDEV('The List'!U2:U671)</f>
        <v>0.45894471262852032</v>
      </c>
      <c r="I167" s="55" cm="1">
        <f t="array" ref="I167">(VLOOKUP($A167,'The List'!$B1:$AH671,21,FALSE)-AVERAGE('The List'!V2:V671))/STDEV('The List'!V2:V671)</f>
        <v>5.5027296038250163E-2</v>
      </c>
      <c r="J167" s="55" cm="1">
        <f t="array" ref="J167">(VLOOKUP($A167,'The List'!$B1:$AH671,22,FALSE)-AVERAGE('The List'!W2:W671))/STDEV('The List'!W2:W671)</f>
        <v>-6.738064637537218E-2</v>
      </c>
      <c r="K167" s="55" cm="1">
        <f t="array" ref="K167">(VLOOKUP($A167,'The List'!$B1:$AH671,23,FALSE)-AVERAGE('The List'!X2:X671))/STDEV('The List'!X2:X671)</f>
        <v>9.384558079794042E-2</v>
      </c>
      <c r="L167" s="55" cm="1">
        <f t="array" ref="L167">(VLOOKUP($A167,'The List'!$B1:$AH671,24,FALSE)-AVERAGE('The List'!Y2:Y671))/STDEV('The List'!Y2:Y671)</f>
        <v>3.979083272589802</v>
      </c>
      <c r="M167" s="55" cm="1">
        <f t="array" ref="M167">(VLOOKUP($A167,'The List'!$B1:$AH671,25,FALSE)-AVERAGE('The List'!Z2:Z671))/STDEV('The List'!Z2:Z671)</f>
        <v>2.8767622508024533</v>
      </c>
      <c r="N167" s="55" cm="1">
        <f t="array" ref="N167">(VLOOKUP($A167,'The List'!$B1:$AH671,26,FALSE)-AVERAGE('The List'!AA2:AA671))/STDEV('The List'!AA2:AA671)</f>
        <v>-0.15410808964659262</v>
      </c>
      <c r="O167" s="55" cm="1">
        <f t="array" ref="O167">(VLOOKUP($A167,'The List'!$B1:$AH671,27,FALSE)-AVERAGE('The List'!AB2:AB671))/STDEV('The List'!AB2:AB671)</f>
        <v>1.8674798823168914</v>
      </c>
      <c r="P167" s="55" cm="1">
        <f t="array" ref="P167">(VLOOKUP($A167,'The List'!$B1:$AH671,28,FALSE)-AVERAGE('The List'!AC2:AC671))/STDEV('The List'!AC2:AC671)</f>
        <v>-0.1049396195986151</v>
      </c>
      <c r="Q167" s="55" cm="1">
        <f t="array" ref="Q167">(VLOOKUP($A167,'The List'!$B1:$AH671,29,FALSE)-AVERAGE('The List'!AD2:AD671))/STDEV('The List'!AD2:AD671)</f>
        <v>0.9177380731180278</v>
      </c>
      <c r="R167" s="55" cm="1">
        <f t="array" ref="R167">(VLOOKUP($A167,'The List'!$B1:$AH671,30,FALSE)-AVERAGE('The List'!AE2:AE671))/STDEV('The List'!AE2:AE671)</f>
        <v>0.67661129902135098</v>
      </c>
      <c r="S167" s="55" cm="1">
        <f t="array" ref="S167">(VLOOKUP($A167,'The List'!$B1:$AH671,31,FALSE)-AVERAGE('The List'!AF2:AF671))/STDEV('The List'!AF2:AF671)</f>
        <v>2.7220882382813905</v>
      </c>
      <c r="T167" s="55" cm="1">
        <f t="array" ref="T167">(VLOOKUP($A167,'The List'!$B1:$AH671,32,FALSE)-AVERAGE('The List'!AG2:AG671))/STDEV('The List'!AG2:AG671)</f>
        <v>1.8706010659592389</v>
      </c>
      <c r="U167" s="55" cm="1">
        <f t="array" ref="U167">(VLOOKUP($A167,'The List'!$B1:$AH671,33,FALSE)-AVERAGE('The List'!AH2:AH671))/STDEV('The List'!AH2:AH671)</f>
        <v>1.4126923578158486</v>
      </c>
      <c r="V167" s="55"/>
      <c r="W167" s="57"/>
      <c r="X167" s="55"/>
      <c r="Y167" s="55"/>
      <c r="Z167" s="55"/>
      <c r="AA167" s="55"/>
      <c r="AB167" s="55"/>
      <c r="AC167" s="55"/>
      <c r="AD167" s="55"/>
      <c r="AE167" s="55"/>
    </row>
    <row r="168" spans="1:31" ht="21.25" customHeight="1" x14ac:dyDescent="0.15">
      <c r="A168" s="10" t="s">
        <v>462</v>
      </c>
      <c r="B168" s="18" t="str" cm="1">
        <f t="array" ref="B168">VLOOKUP(A168,'Player Data'!A1:B673,2,FALSE)</f>
        <v>COL</v>
      </c>
      <c r="C168" s="52" cm="1">
        <f t="array" ref="C168">((E168)*Settings!$C$12)+(F168*Settings!$C$2)+(G168*Settings!$C$3)+(H168*Settings!$C$4)+(I168*Settings!$C$5)+(K168*Settings!$C$9)+(N168*Settings!$C$6)+(J168*Settings!$C$8)+(O168*Settings!$C$7)+(P168*Settings!$C$14)+(Q168*Settings!$C$15)+(R168*Settings!$C$16)+(S168*Settings!$C$17)+(T168*Settings!$C$18)+(U168*Settings!$C$19)+(L168*Settings!$C$10)+(Settings!$C$11*M168)</f>
        <v>2.1078335059837792</v>
      </c>
      <c r="D168" s="57" cm="1">
        <f t="array" ref="D168">IF(Settings!$E$12="YES",VLOOKUP(A168,'Player Data'!A1:E673,5,FALSE),82)</f>
        <v>76</v>
      </c>
      <c r="E168" s="55" cm="1">
        <f t="array" ref="E168">(VLOOKUP($A168,'The List'!$B1:$AH671,17,FALSE)-AVERAGE('The List'!R2:R671))/STDEV('The List'!R2:R671)</f>
        <v>0.17985877521512147</v>
      </c>
      <c r="F168" s="55" cm="1">
        <f t="array" ref="F168">(VLOOKUP($A168,'The List'!$B1:$AH671,18,FALSE)-AVERAGE('The List'!S2:S671))/STDEV('The List'!S2:S671)</f>
        <v>0.8269650439199292</v>
      </c>
      <c r="G168" s="55" cm="1">
        <f t="array" ref="G168">(VLOOKUP($A168,'The List'!$B1:$AH671,19,FALSE)-AVERAGE('The List'!T2:T671))/STDEV('The List'!T2:T671)</f>
        <v>-6.6799227105150518E-3</v>
      </c>
      <c r="H168" s="55" cm="1">
        <f t="array" ref="H168">(VLOOKUP($A168,'The List'!$B1:$AH671,20,FALSE)-AVERAGE('The List'!U2:U671))/STDEV('The List'!U2:U671)</f>
        <v>0.36213092024518823</v>
      </c>
      <c r="I168" s="55" cm="1">
        <f t="array" ref="I168">(VLOOKUP($A168,'The List'!$B1:$AH671,21,FALSE)-AVERAGE('The List'!V2:V671))/STDEV('The List'!V2:V671)</f>
        <v>0.455168584679706</v>
      </c>
      <c r="J168" s="55" cm="1">
        <f t="array" ref="J168">(VLOOKUP($A168,'The List'!$B1:$AH671,22,FALSE)-AVERAGE('The List'!W2:W671))/STDEV('The List'!W2:W671)</f>
        <v>-0.31871981432268459</v>
      </c>
      <c r="K168" s="55" cm="1">
        <f t="array" ref="K168">(VLOOKUP($A168,'The List'!$B1:$AH671,23,FALSE)-AVERAGE('The List'!X2:X671))/STDEV('The List'!X2:X671)</f>
        <v>-0.41967706321334725</v>
      </c>
      <c r="L168" s="55" cm="1">
        <f t="array" ref="L168">(VLOOKUP($A168,'The List'!$B1:$AH671,24,FALSE)-AVERAGE('The List'!Y2:Y671))/STDEV('The List'!Y2:Y671)</f>
        <v>-0.47546929358800777</v>
      </c>
      <c r="M168" s="55" cm="1">
        <f t="array" ref="M168">(VLOOKUP($A168,'The List'!$B1:$AH671,25,FALSE)-AVERAGE('The List'!Z2:Z671))/STDEV('The List'!Z2:Z671)</f>
        <v>-0.64388478613809508</v>
      </c>
      <c r="N168" s="55" cm="1">
        <f t="array" ref="N168">(VLOOKUP($A168,'The List'!$B1:$AH671,26,FALSE)-AVERAGE('The List'!AA2:AA671))/STDEV('The List'!AA2:AA671)</f>
        <v>-0.69123449986640695</v>
      </c>
      <c r="O168" s="55" cm="1">
        <f t="array" ref="O168">(VLOOKUP($A168,'The List'!$B1:$AH671,27,FALSE)-AVERAGE('The List'!AB2:AB671))/STDEV('The List'!AB2:AB671)</f>
        <v>-0.78731244096920494</v>
      </c>
      <c r="P168" s="55" cm="1">
        <f t="array" ref="P168">(VLOOKUP($A168,'The List'!$B1:$AH671,28,FALSE)-AVERAGE('The List'!AC2:AC671))/STDEV('The List'!AC2:AC671)</f>
        <v>2.0393693042772112</v>
      </c>
      <c r="Q168" s="55" cm="1">
        <f t="array" ref="Q168">(VLOOKUP($A168,'The List'!$B1:$AH671,29,FALSE)-AVERAGE('The List'!AD2:AD671))/STDEV('The List'!AD2:AD671)</f>
        <v>-0.52079110961127395</v>
      </c>
      <c r="R168" s="55" cm="1">
        <f t="array" ref="R168">(VLOOKUP($A168,'The List'!$B1:$AH671,30,FALSE)-AVERAGE('The List'!AE2:AE671))/STDEV('The List'!AE2:AE671)</f>
        <v>1.0259386824616006</v>
      </c>
      <c r="S168" s="55" cm="1">
        <f t="array" ref="S168">(VLOOKUP($A168,'The List'!$B1:$AH671,31,FALSE)-AVERAGE('The List'!AF2:AF671))/STDEV('The List'!AF2:AF671)</f>
        <v>-0.56658754036853287</v>
      </c>
      <c r="T168" s="55" cm="1">
        <f t="array" ref="T168">(VLOOKUP($A168,'The List'!$B1:$AH671,32,FALSE)-AVERAGE('The List'!AG2:AG671))/STDEV('The List'!AG2:AG671)</f>
        <v>-0.56927145124392664</v>
      </c>
      <c r="U168" s="55" cm="1">
        <f t="array" ref="U168">(VLOOKUP($A168,'The List'!$B1:$AH671,33,FALSE)-AVERAGE('The List'!AH2:AH671))/STDEV('The List'!AH2:AH671)</f>
        <v>7.8714844718448196E-2</v>
      </c>
      <c r="V168" s="55"/>
      <c r="W168" s="57"/>
      <c r="X168" s="57"/>
      <c r="Y168" s="57"/>
      <c r="Z168" s="57"/>
      <c r="AA168" s="57"/>
      <c r="AB168" s="57"/>
      <c r="AC168" s="60"/>
      <c r="AD168" s="61"/>
      <c r="AE168" s="55"/>
    </row>
    <row r="169" spans="1:31" ht="21.25" customHeight="1" x14ac:dyDescent="0.15">
      <c r="A169" s="10" t="s">
        <v>410</v>
      </c>
      <c r="B169" s="18" t="str" cm="1">
        <f t="array" ref="B169">VLOOKUP(A169,'Player Data'!A1:B673,2,FALSE)</f>
        <v>SEA</v>
      </c>
      <c r="C169" s="52" cm="1">
        <f t="array" ref="C169">((E169)*Settings!$C$12)+(F169*Settings!$C$2)+(G169*Settings!$C$3)+(H169*Settings!$C$4)+(I169*Settings!$C$5)+(K169*Settings!$C$9)+(N169*Settings!$C$6)+(J169*Settings!$C$8)+(O169*Settings!$C$7)+(P169*Settings!$C$14)+(Q169*Settings!$C$15)+(R169*Settings!$C$16)+(S169*Settings!$C$17)+(T169*Settings!$C$18)+(U169*Settings!$C$19)+(L169*Settings!$C$10)+(Settings!$C$11*M169)</f>
        <v>-2.6668357658408421</v>
      </c>
      <c r="D169" s="57" cm="1">
        <f t="array" ref="D169">IF(Settings!$E$12="YES",VLOOKUP(A169,'Player Data'!A1:E673,5,FALSE),82)</f>
        <v>82</v>
      </c>
      <c r="E169" s="55" cm="1">
        <f t="array" ref="E169">(VLOOKUP($A169,'The List'!$B1:$AH671,17,FALSE)-AVERAGE('The List'!R2:R671))/STDEV('The List'!R2:R671)</f>
        <v>0.65203675837914654</v>
      </c>
      <c r="F169" s="55" cm="1">
        <f t="array" ref="F169">(VLOOKUP($A169,'The List'!$B1:$AH671,18,FALSE)-AVERAGE('The List'!S2:S671))/STDEV('The List'!S2:S671)</f>
        <v>0.10046523355264535</v>
      </c>
      <c r="G169" s="55" cm="1">
        <f t="array" ref="G169">(VLOOKUP($A169,'The List'!$B1:$AH671,19,FALSE)-AVERAGE('The List'!T2:T671))/STDEV('The List'!T2:T671)</f>
        <v>0.75789546803984209</v>
      </c>
      <c r="H169" s="55" cm="1">
        <f t="array" ref="H169">(VLOOKUP($A169,'The List'!$B1:$AH671,20,FALSE)-AVERAGE('The List'!U2:U671))/STDEV('The List'!U2:U671)</f>
        <v>0.52127688032737762</v>
      </c>
      <c r="I169" s="55" cm="1">
        <f t="array" ref="I169">(VLOOKUP($A169,'The List'!$B1:$AH671,21,FALSE)-AVERAGE('The List'!V2:V671))/STDEV('The List'!V2:V671)</f>
        <v>-0.48402314461863349</v>
      </c>
      <c r="J169" s="55" cm="1">
        <f t="array" ref="J169">(VLOOKUP($A169,'The List'!$B1:$AH671,22,FALSE)-AVERAGE('The List'!W2:W671))/STDEV('The List'!W2:W671)</f>
        <v>0.3938681563411246</v>
      </c>
      <c r="K169" s="55" cm="1">
        <f t="array" ref="K169">(VLOOKUP($A169,'The List'!$B1:$AH671,23,FALSE)-AVERAGE('The List'!X2:X671))/STDEV('The List'!X2:X671)</f>
        <v>0.84654315489667742</v>
      </c>
      <c r="L169" s="55" cm="1">
        <f t="array" ref="L169">(VLOOKUP($A169,'The List'!$B1:$AH671,24,FALSE)-AVERAGE('The List'!Y2:Y671))/STDEV('The List'!Y2:Y671)</f>
        <v>1.0277130538464798</v>
      </c>
      <c r="M169" s="55" cm="1">
        <f t="array" ref="M169">(VLOOKUP($A169,'The List'!$B1:$AH671,25,FALSE)-AVERAGE('The List'!Z2:Z671))/STDEV('The List'!Z2:Z671)</f>
        <v>1.1381711214490962</v>
      </c>
      <c r="N169" s="55" cm="1">
        <f t="array" ref="N169">(VLOOKUP($A169,'The List'!$B1:$AH671,26,FALSE)-AVERAGE('The List'!AA2:AA671))/STDEV('The List'!AA2:AA671)</f>
        <v>-0.19880477142903061</v>
      </c>
      <c r="O169" s="55" cm="1">
        <f t="array" ref="O169">(VLOOKUP($A169,'The List'!$B1:$AH671,27,FALSE)-AVERAGE('The List'!AB2:AB671))/STDEV('The List'!AB2:AB671)</f>
        <v>-1.1132424690770648</v>
      </c>
      <c r="P169" s="55" cm="1">
        <f t="array" ref="P169">(VLOOKUP($A169,'The List'!$B1:$AH671,28,FALSE)-AVERAGE('The List'!AC2:AC671))/STDEV('The List'!AC2:AC671)</f>
        <v>-2.7744740086343089</v>
      </c>
      <c r="Q169" s="55" cm="1">
        <f t="array" ref="Q169">(VLOOKUP($A169,'The List'!$B1:$AH671,29,FALSE)-AVERAGE('The List'!AD2:AD671))/STDEV('The List'!AD2:AD671)</f>
        <v>-0.73801123273526725</v>
      </c>
      <c r="R169" s="55" cm="1">
        <f t="array" ref="R169">(VLOOKUP($A169,'The List'!$B1:$AH671,30,FALSE)-AVERAGE('The List'!AE2:AE671))/STDEV('The List'!AE2:AE671)</f>
        <v>0.19004815780100306</v>
      </c>
      <c r="S169" s="55" cm="1">
        <f t="array" ref="S169">(VLOOKUP($A169,'The List'!$B1:$AH671,31,FALSE)-AVERAGE('The List'!AF2:AF671))/STDEV('The List'!AF2:AF671)</f>
        <v>3.0508404307614816</v>
      </c>
      <c r="T169" s="55" cm="1">
        <f t="array" ref="T169">(VLOOKUP($A169,'The List'!$B1:$AH671,32,FALSE)-AVERAGE('The List'!AG2:AG671))/STDEV('The List'!AG2:AG671)</f>
        <v>2.9185791065115829</v>
      </c>
      <c r="U169" s="55" cm="1">
        <f t="array" ref="U169">(VLOOKUP($A169,'The List'!$B1:$AH671,33,FALSE)-AVERAGE('The List'!AH2:AH671))/STDEV('The List'!AH2:AH671)</f>
        <v>1.1366970102784557</v>
      </c>
      <c r="V169" s="55"/>
      <c r="W169" s="77"/>
      <c r="X169" s="57"/>
      <c r="Y169" s="57"/>
      <c r="Z169" s="57"/>
      <c r="AA169" s="57"/>
      <c r="AB169" s="57"/>
      <c r="AC169" s="60"/>
      <c r="AD169" s="61"/>
      <c r="AE169" s="55"/>
    </row>
    <row r="170" spans="1:31" ht="21.25" customHeight="1" x14ac:dyDescent="0.15">
      <c r="A170" s="10" t="s">
        <v>405</v>
      </c>
      <c r="B170" s="18" t="str" cm="1">
        <f t="array" ref="B170">VLOOKUP(A170,'Player Data'!A1:B673,2,FALSE)</f>
        <v>STL</v>
      </c>
      <c r="C170" s="52" cm="1">
        <f t="array" ref="C170">((E170)*Settings!$C$12)+(F170*Settings!$C$2)+(G170*Settings!$C$3)+(H170*Settings!$C$4)+(I170*Settings!$C$5)+(K170*Settings!$C$9)+(N170*Settings!$C$6)+(J170*Settings!$C$8)+(O170*Settings!$C$7)+(P170*Settings!$C$14)+(Q170*Settings!$C$15)+(R170*Settings!$C$16)+(S170*Settings!$C$17)+(T170*Settings!$C$18)+(U170*Settings!$C$19)+(L170*Settings!$C$10)+(Settings!$C$11*M170)</f>
        <v>0.47492829953690191</v>
      </c>
      <c r="D170" s="57" cm="1">
        <f t="array" ref="D170">IF(Settings!$E$12="YES",VLOOKUP(A170,'Player Data'!A1:E673,5,FALSE),82)</f>
        <v>83</v>
      </c>
      <c r="E170" s="55" cm="1">
        <f t="array" ref="E170">(VLOOKUP($A170,'The List'!$B1:$AH671,17,FALSE)-AVERAGE('The List'!R2:R671))/STDEV('The List'!R2:R671)</f>
        <v>7.4930334512005189E-2</v>
      </c>
      <c r="F170" s="55" cm="1">
        <f t="array" ref="F170">(VLOOKUP($A170,'The List'!$B1:$AH671,18,FALSE)-AVERAGE('The List'!S2:S671))/STDEV('The List'!S2:S671)</f>
        <v>0.6154019123294564</v>
      </c>
      <c r="G170" s="55" cm="1">
        <f t="array" ref="G170">(VLOOKUP($A170,'The List'!$B1:$AH671,19,FALSE)-AVERAGE('The List'!T2:T671))/STDEV('The List'!T2:T671)</f>
        <v>0.37912144633539119</v>
      </c>
      <c r="H170" s="55" cm="1">
        <f t="array" ref="H170">(VLOOKUP($A170,'The List'!$B1:$AH671,20,FALSE)-AVERAGE('The List'!U2:U671))/STDEV('The List'!U2:U671)</f>
        <v>0.51110922176657125</v>
      </c>
      <c r="I170" s="55" cm="1">
        <f t="array" ref="I170">(VLOOKUP($A170,'The List'!$B1:$AH671,21,FALSE)-AVERAGE('The List'!V2:V671))/STDEV('The List'!V2:V671)</f>
        <v>0.36843675095863082</v>
      </c>
      <c r="J170" s="55" cm="1">
        <f t="array" ref="J170">(VLOOKUP($A170,'The List'!$B1:$AH671,22,FALSE)-AVERAGE('The List'!W2:W671))/STDEV('The List'!W2:W671)</f>
        <v>0.17843458381485669</v>
      </c>
      <c r="K170" s="55" cm="1">
        <f t="array" ref="K170">(VLOOKUP($A170,'The List'!$B1:$AH671,23,FALSE)-AVERAGE('The List'!X2:X671))/STDEV('The List'!X2:X671)</f>
        <v>0.36618342135969972</v>
      </c>
      <c r="L170" s="55" cm="1">
        <f t="array" ref="L170">(VLOOKUP($A170,'The List'!$B1:$AH671,24,FALSE)-AVERAGE('The List'!Y2:Y671))/STDEV('The List'!Y2:Y671)</f>
        <v>1.0460445458883638</v>
      </c>
      <c r="M170" s="55" cm="1">
        <f t="array" ref="M170">(VLOOKUP($A170,'The List'!$B1:$AH671,25,FALSE)-AVERAGE('The List'!Z2:Z671))/STDEV('The List'!Z2:Z671)</f>
        <v>1.1599035105660132</v>
      </c>
      <c r="N170" s="55" cm="1">
        <f t="array" ref="N170">(VLOOKUP($A170,'The List'!$B1:$AH671,26,FALSE)-AVERAGE('The List'!AA2:AA671))/STDEV('The List'!AA2:AA671)</f>
        <v>-0.66901386378028038</v>
      </c>
      <c r="O170" s="55" cm="1">
        <f t="array" ref="O170">(VLOOKUP($A170,'The List'!$B1:$AH671,27,FALSE)-AVERAGE('The List'!AB2:AB671))/STDEV('The List'!AB2:AB671)</f>
        <v>-0.96913629941679724</v>
      </c>
      <c r="P170" s="55" cm="1">
        <f t="array" ref="P170">(VLOOKUP($A170,'The List'!$B1:$AH671,28,FALSE)-AVERAGE('The List'!AC2:AC671))/STDEV('The List'!AC2:AC671)</f>
        <v>-0.28507893202947904</v>
      </c>
      <c r="Q170" s="55" cm="1">
        <f t="array" ref="Q170">(VLOOKUP($A170,'The List'!$B1:$AH671,29,FALSE)-AVERAGE('The List'!AD2:AD671))/STDEV('The List'!AD2:AD671)</f>
        <v>-0.22747005899826317</v>
      </c>
      <c r="R170" s="55" cm="1">
        <f t="array" ref="R170">(VLOOKUP($A170,'The List'!$B1:$AH671,30,FALSE)-AVERAGE('The List'!AE2:AE671))/STDEV('The List'!AE2:AE671)</f>
        <v>0.20876212477101633</v>
      </c>
      <c r="S170" s="55" cm="1">
        <f t="array" ref="S170">(VLOOKUP($A170,'The List'!$B1:$AH671,31,FALSE)-AVERAGE('The List'!AF2:AF671))/STDEV('The List'!AF2:AF671)</f>
        <v>-0.18480614807774517</v>
      </c>
      <c r="T170" s="55" cm="1">
        <f t="array" ref="T170">(VLOOKUP($A170,'The List'!$B1:$AH671,32,FALSE)-AVERAGE('The List'!AG2:AG671))/STDEV('The List'!AG2:AG671)</f>
        <v>-7.2367709126404025E-3</v>
      </c>
      <c r="U170" s="55" cm="1">
        <f t="array" ref="U170">(VLOOKUP($A170,'The List'!$B1:$AH671,33,FALSE)-AVERAGE('The List'!AH2:AH671))/STDEV('The List'!AH2:AH671)</f>
        <v>0.58470631520366922</v>
      </c>
      <c r="V170" s="55"/>
      <c r="W170" s="57"/>
      <c r="X170" s="55"/>
      <c r="Y170" s="55"/>
      <c r="Z170" s="55"/>
      <c r="AA170" s="55"/>
      <c r="AB170" s="55"/>
      <c r="AC170" s="55"/>
      <c r="AD170" s="55"/>
      <c r="AE170" s="55"/>
    </row>
    <row r="171" spans="1:31" ht="21.25" customHeight="1" x14ac:dyDescent="0.15">
      <c r="A171" s="10" t="s">
        <v>452</v>
      </c>
      <c r="B171" s="18" t="str" cm="1">
        <f t="array" ref="B171">VLOOKUP(A171,'Player Data'!A1:B673,2,FALSE)</f>
        <v>NYI</v>
      </c>
      <c r="C171" s="52" cm="1">
        <f t="array" ref="C171">((E171)*Settings!$C$12)+(F171*Settings!$C$2)+(G171*Settings!$C$3)+(H171*Settings!$C$4)+(I171*Settings!$C$5)+(K171*Settings!$C$9)+(N171*Settings!$C$6)+(J171*Settings!$C$8)+(O171*Settings!$C$7)+(P171*Settings!$C$14)+(Q171*Settings!$C$15)+(R171*Settings!$C$16)+(S171*Settings!$C$17)+(T171*Settings!$C$18)+(U171*Settings!$C$19)+(L171*Settings!$C$10)+(Settings!$C$11*M171)</f>
        <v>-0.47225503998160145</v>
      </c>
      <c r="D171" s="57" cm="1">
        <f t="array" ref="D171">IF(Settings!$E$12="YES",VLOOKUP(A171,'Player Data'!A1:E673,5,FALSE),82)</f>
        <v>77</v>
      </c>
      <c r="E171" s="55" cm="1">
        <f t="array" ref="E171">(VLOOKUP($A171,'The List'!$B1:$AH671,17,FALSE)-AVERAGE('The List'!R2:R671))/STDEV('The List'!R2:R671)</f>
        <v>-0.16115865707000782</v>
      </c>
      <c r="F171" s="55" cm="1">
        <f t="array" ref="F171">(VLOOKUP($A171,'The List'!$B1:$AH671,18,FALSE)-AVERAGE('The List'!S2:S671))/STDEV('The List'!S2:S671)</f>
        <v>0.62538130532900704</v>
      </c>
      <c r="G171" s="55" cm="1">
        <f t="array" ref="G171">(VLOOKUP($A171,'The List'!$B1:$AH671,19,FALSE)-AVERAGE('The List'!T2:T671))/STDEV('The List'!T2:T671)</f>
        <v>0.17743657763561907</v>
      </c>
      <c r="H171" s="55" cm="1">
        <f t="array" ref="H171">(VLOOKUP($A171,'The List'!$B1:$AH671,20,FALSE)-AVERAGE('The List'!U2:U671))/STDEV('The List'!U2:U671)</f>
        <v>0.38865524692555348</v>
      </c>
      <c r="I171" s="55" cm="1">
        <f t="array" ref="I171">(VLOOKUP($A171,'The List'!$B1:$AH671,21,FALSE)-AVERAGE('The List'!V2:V671))/STDEV('The List'!V2:V671)</f>
        <v>-2.8940176448687221E-2</v>
      </c>
      <c r="J171" s="55" cm="1">
        <f t="array" ref="J171">(VLOOKUP($A171,'The List'!$B1:$AH671,22,FALSE)-AVERAGE('The List'!W2:W671))/STDEV('The List'!W2:W671)</f>
        <v>1.3881769526162071</v>
      </c>
      <c r="K171" s="55" cm="1">
        <f t="array" ref="K171">(VLOOKUP($A171,'The List'!$B1:$AH671,23,FALSE)-AVERAGE('The List'!X2:X671))/STDEV('The List'!X2:X671)</f>
        <v>1.0555699845529352</v>
      </c>
      <c r="L171" s="55" cm="1">
        <f t="array" ref="L171">(VLOOKUP($A171,'The List'!$B1:$AH671,24,FALSE)-AVERAGE('The List'!Y2:Y671))/STDEV('The List'!Y2:Y671)</f>
        <v>-0.47546929358800777</v>
      </c>
      <c r="M171" s="55" cm="1">
        <f t="array" ref="M171">(VLOOKUP($A171,'The List'!$B1:$AH671,25,FALSE)-AVERAGE('The List'!Z2:Z671))/STDEV('The List'!Z2:Z671)</f>
        <v>-0.64388478613809508</v>
      </c>
      <c r="N171" s="55" cm="1">
        <f t="array" ref="N171">(VLOOKUP($A171,'The List'!$B1:$AH671,26,FALSE)-AVERAGE('The List'!AA2:AA671))/STDEV('The List'!AA2:AA671)</f>
        <v>-0.52164251870332701</v>
      </c>
      <c r="O171" s="55" cm="1">
        <f t="array" ref="O171">(VLOOKUP($A171,'The List'!$B1:$AH671,27,FALSE)-AVERAGE('The List'!AB2:AB671))/STDEV('The List'!AB2:AB671)</f>
        <v>-1.0269427572321537</v>
      </c>
      <c r="P171" s="55" cm="1">
        <f t="array" ref="P171">(VLOOKUP($A171,'The List'!$B1:$AH671,28,FALSE)-AVERAGE('The List'!AC2:AC671))/STDEV('The List'!AC2:AC671)</f>
        <v>-1.274759973818322</v>
      </c>
      <c r="Q171" s="55" cm="1">
        <f t="array" ref="Q171">(VLOOKUP($A171,'The List'!$B1:$AH671,29,FALSE)-AVERAGE('The List'!AD2:AD671))/STDEV('The List'!AD2:AD671)</f>
        <v>-9.817236666255269E-2</v>
      </c>
      <c r="R171" s="55" cm="1">
        <f t="array" ref="R171">(VLOOKUP($A171,'The List'!$B1:$AH671,30,FALSE)-AVERAGE('The List'!AE2:AE671))/STDEV('The List'!AE2:AE671)</f>
        <v>0.57680347518127961</v>
      </c>
      <c r="S171" s="55" cm="1">
        <f t="array" ref="S171">(VLOOKUP($A171,'The List'!$B1:$AH671,31,FALSE)-AVERAGE('The List'!AF2:AF671))/STDEV('The List'!AF2:AF671)</f>
        <v>0.18159052622625851</v>
      </c>
      <c r="T171" s="55" cm="1">
        <f t="array" ref="T171">(VLOOKUP($A171,'The List'!$B1:$AH671,32,FALSE)-AVERAGE('The List'!AG2:AG671))/STDEV('The List'!AG2:AG671)</f>
        <v>0.74030558788992762</v>
      </c>
      <c r="U171" s="55" cm="1">
        <f t="array" ref="U171">(VLOOKUP($A171,'The List'!$B1:$AH671,33,FALSE)-AVERAGE('The List'!AH2:AH671))/STDEV('The List'!AH2:AH671)</f>
        <v>0.44670864143497252</v>
      </c>
      <c r="V171" s="55"/>
      <c r="W171" s="77"/>
      <c r="X171" s="57"/>
      <c r="Y171" s="57"/>
      <c r="Z171" s="57"/>
      <c r="AA171" s="57"/>
      <c r="AB171" s="57"/>
      <c r="AC171" s="60"/>
      <c r="AD171" s="61"/>
      <c r="AE171" s="55"/>
    </row>
    <row r="172" spans="1:31" ht="21.25" customHeight="1" x14ac:dyDescent="0.15">
      <c r="A172" s="10" t="s">
        <v>499</v>
      </c>
      <c r="B172" s="18" t="str" cm="1">
        <f t="array" ref="B172">VLOOKUP(A172,'Player Data'!A1:B673,2,FALSE)</f>
        <v>S.J</v>
      </c>
      <c r="C172" s="52" cm="1">
        <f t="array" ref="C172">((E172)*Settings!$C$12)+(F172*Settings!$C$2)+(G172*Settings!$C$3)+(H172*Settings!$C$4)+(I172*Settings!$C$5)+(K172*Settings!$C$9)+(N172*Settings!$C$6)+(J172*Settings!$C$8)+(O172*Settings!$C$7)+(P172*Settings!$C$14)+(Q172*Settings!$C$15)+(R172*Settings!$C$16)+(S172*Settings!$C$17)+(T172*Settings!$C$18)+(U172*Settings!$C$19)+(L172*Settings!$C$10)+(Settings!$C$11*M172)</f>
        <v>2.1958013499609081</v>
      </c>
      <c r="D172" s="57" cm="1">
        <f t="array" ref="D172">IF(Settings!$E$12="YES",VLOOKUP(A172,'Player Data'!A1:E673,5,FALSE),82)</f>
        <v>74</v>
      </c>
      <c r="E172" s="55" cm="1">
        <f t="array" ref="E172">(VLOOKUP($A172,'The List'!$B1:$AH671,17,FALSE)-AVERAGE('The List'!R2:R671))/STDEV('The List'!R2:R671)</f>
        <v>-0.50217608935513669</v>
      </c>
      <c r="F172" s="55" cm="1">
        <f t="array" ref="F172">(VLOOKUP($A172,'The List'!$B1:$AH671,18,FALSE)-AVERAGE('The List'!S2:S671))/STDEV('The List'!S2:S671)</f>
        <v>1.1383221055059083</v>
      </c>
      <c r="G172" s="55" cm="1">
        <f t="array" ref="G172">(VLOOKUP($A172,'The List'!$B1:$AH671,19,FALSE)-AVERAGE('The List'!T2:T671))/STDEV('The List'!T2:T671)</f>
        <v>0.52177659736693771</v>
      </c>
      <c r="H172" s="55" cm="1">
        <f t="array" ref="H172">(VLOOKUP($A172,'The List'!$B1:$AH671,20,FALSE)-AVERAGE('The List'!U2:U671))/STDEV('The List'!U2:U671)</f>
        <v>0.83249564671032572</v>
      </c>
      <c r="I172" s="55" cm="1">
        <f t="array" ref="I172">(VLOOKUP($A172,'The List'!$B1:$AH671,21,FALSE)-AVERAGE('The List'!V2:V671))/STDEV('The List'!V2:V671)</f>
        <v>0.28343264300889121</v>
      </c>
      <c r="J172" s="55" cm="1">
        <f t="array" ref="J172">(VLOOKUP($A172,'The List'!$B1:$AH671,22,FALSE)-AVERAGE('The List'!W2:W671))/STDEV('The List'!W2:W671)</f>
        <v>2.1228606743083511</v>
      </c>
      <c r="K172" s="55" cm="1">
        <f t="array" ref="K172">(VLOOKUP($A172,'The List'!$B1:$AH671,23,FALSE)-AVERAGE('The List'!X2:X671))/STDEV('The List'!X2:X671)</f>
        <v>1.3550411155027662</v>
      </c>
      <c r="L172" s="55" cm="1">
        <f t="array" ref="L172">(VLOOKUP($A172,'The List'!$B1:$AH671,24,FALSE)-AVERAGE('The List'!Y2:Y671))/STDEV('The List'!Y2:Y671)</f>
        <v>-0.47546929358800777</v>
      </c>
      <c r="M172" s="55" cm="1">
        <f t="array" ref="M172">(VLOOKUP($A172,'The List'!$B1:$AH671,25,FALSE)-AVERAGE('The List'!Z2:Z671))/STDEV('The List'!Z2:Z671)</f>
        <v>-0.64388478613809508</v>
      </c>
      <c r="N172" s="55" cm="1">
        <f t="array" ref="N172">(VLOOKUP($A172,'The List'!$B1:$AH671,26,FALSE)-AVERAGE('The List'!AA2:AA671))/STDEV('The List'!AA2:AA671)</f>
        <v>-0.77245475590535151</v>
      </c>
      <c r="O172" s="55" cm="1">
        <f t="array" ref="O172">(VLOOKUP($A172,'The List'!$B1:$AH671,27,FALSE)-AVERAGE('The List'!AB2:AB671))/STDEV('The List'!AB2:AB671)</f>
        <v>-0.67661922387596951</v>
      </c>
      <c r="P172" s="55" cm="1">
        <f t="array" ref="P172">(VLOOKUP($A172,'The List'!$B1:$AH671,28,FALSE)-AVERAGE('The List'!AC2:AC671))/STDEV('The List'!AC2:AC671)</f>
        <v>-0.42615188754762545</v>
      </c>
      <c r="Q172" s="55" cm="1">
        <f t="array" ref="Q172">(VLOOKUP($A172,'The List'!$B1:$AH671,29,FALSE)-AVERAGE('The List'!AD2:AD671))/STDEV('The List'!AD2:AD671)</f>
        <v>-0.73357816899804296</v>
      </c>
      <c r="R172" s="55" cm="1">
        <f t="array" ref="R172">(VLOOKUP($A172,'The List'!$B1:$AH671,30,FALSE)-AVERAGE('The List'!AE2:AE671))/STDEV('The List'!AE2:AE671)</f>
        <v>0.96355879256155608</v>
      </c>
      <c r="S172" s="55" cm="1">
        <f t="array" ref="S172">(VLOOKUP($A172,'The List'!$B1:$AH671,31,FALSE)-AVERAGE('The List'!AF2:AF671))/STDEV('The List'!AF2:AF671)</f>
        <v>-0.59581850454342256</v>
      </c>
      <c r="T172" s="55" cm="1">
        <f t="array" ref="T172">(VLOOKUP($A172,'The List'!$B1:$AH671,32,FALSE)-AVERAGE('The List'!AG2:AG671))/STDEV('The List'!AG2:AG671)</f>
        <v>-0.64684275008198677</v>
      </c>
      <c r="U172" s="55" cm="1">
        <f t="array" ref="U172">(VLOOKUP($A172,'The List'!$B1:$AH671,33,FALSE)-AVERAGE('The List'!AH2:AH671))/STDEV('The List'!AH2:AH671)</f>
        <v>-1.2552626683789523</v>
      </c>
      <c r="V172" s="55"/>
      <c r="W172" s="57"/>
      <c r="X172" s="55"/>
      <c r="Y172" s="55"/>
      <c r="Z172" s="55"/>
      <c r="AA172" s="55"/>
      <c r="AB172" s="55"/>
      <c r="AC172" s="55"/>
      <c r="AD172" s="55"/>
      <c r="AE172" s="55"/>
    </row>
    <row r="173" spans="1:31" ht="21.25" customHeight="1" x14ac:dyDescent="0.15">
      <c r="A173" s="10" t="s">
        <v>519</v>
      </c>
      <c r="B173" s="18" t="str" cm="1">
        <f t="array" ref="B173">VLOOKUP(A173,'Player Data'!A1:B673,2,FALSE)</f>
        <v>N.J</v>
      </c>
      <c r="C173" s="52" cm="1">
        <f t="array" ref="C173">((E173)*Settings!$C$12)+(F173*Settings!$C$2)+(G173*Settings!$C$3)+(H173*Settings!$C$4)+(I173*Settings!$C$5)+(K173*Settings!$C$9)+(N173*Settings!$C$6)+(J173*Settings!$C$8)+(O173*Settings!$C$7)+(P173*Settings!$C$14)+(Q173*Settings!$C$15)+(R173*Settings!$C$16)+(S173*Settings!$C$17)+(T173*Settings!$C$18)+(U173*Settings!$C$19)+(L173*Settings!$C$10)+(Settings!$C$11*M173)</f>
        <v>0.46581080199341396</v>
      </c>
      <c r="D173" s="57" cm="1">
        <f t="array" ref="D173">IF(Settings!$E$12="YES",VLOOKUP(A173,'Player Data'!A1:E673,5,FALSE),82)</f>
        <v>74</v>
      </c>
      <c r="E173" s="55" cm="1">
        <f t="array" ref="E173">(VLOOKUP($A173,'The List'!$B1:$AH671,17,FALSE)-AVERAGE('The List'!R2:R671))/STDEV('The List'!R2:R671)</f>
        <v>-0.76449719111292824</v>
      </c>
      <c r="F173" s="55" cm="1">
        <f t="array" ref="F173">(VLOOKUP($A173,'The List'!$B1:$AH671,18,FALSE)-AVERAGE('The List'!S2:S671))/STDEV('The List'!S2:S671)</f>
        <v>0.99062708911255926</v>
      </c>
      <c r="G173" s="55" cm="1">
        <f t="array" ref="G173">(VLOOKUP($A173,'The List'!$B1:$AH671,19,FALSE)-AVERAGE('The List'!T2:T671))/STDEV('The List'!T2:T671)</f>
        <v>5.3755264426002362E-2</v>
      </c>
      <c r="H173" s="55" cm="1">
        <f t="array" ref="H173">(VLOOKUP($A173,'The List'!$B1:$AH671,20,FALSE)-AVERAGE('The List'!U2:U671))/STDEV('The List'!U2:U671)</f>
        <v>0.47264894808004226</v>
      </c>
      <c r="I173" s="55" cm="1">
        <f t="array" ref="I173">(VLOOKUP($A173,'The List'!$B1:$AH671,21,FALSE)-AVERAGE('The List'!V2:V671))/STDEV('The List'!V2:V671)</f>
        <v>2.7729228851139022E-2</v>
      </c>
      <c r="J173" s="55" cm="1">
        <f t="array" ref="J173">(VLOOKUP($A173,'The List'!$B1:$AH671,22,FALSE)-AVERAGE('The List'!W2:W671))/STDEV('The List'!W2:W671)</f>
        <v>7.9003704187348353E-2</v>
      </c>
      <c r="K173" s="55" cm="1">
        <f t="array" ref="K173">(VLOOKUP($A173,'The List'!$B1:$AH671,23,FALSE)-AVERAGE('The List'!X2:X671))/STDEV('The List'!X2:X671)</f>
        <v>-0.20663048683293048</v>
      </c>
      <c r="L173" s="55" cm="1">
        <f t="array" ref="L173">(VLOOKUP($A173,'The List'!$B1:$AH671,24,FALSE)-AVERAGE('The List'!Y2:Y671))/STDEV('The List'!Y2:Y671)</f>
        <v>-0.47546929358800777</v>
      </c>
      <c r="M173" s="55" cm="1">
        <f t="array" ref="M173">(VLOOKUP($A173,'The List'!$B1:$AH671,25,FALSE)-AVERAGE('The List'!Z2:Z671))/STDEV('The List'!Z2:Z671)</f>
        <v>-0.64388478613809508</v>
      </c>
      <c r="N173" s="55" cm="1">
        <f t="array" ref="N173">(VLOOKUP($A173,'The List'!$B1:$AH671,26,FALSE)-AVERAGE('The List'!AA2:AA671))/STDEV('The List'!AA2:AA671)</f>
        <v>-0.64015257782933455</v>
      </c>
      <c r="O173" s="55" cm="1">
        <f t="array" ref="O173">(VLOOKUP($A173,'The List'!$B1:$AH671,27,FALSE)-AVERAGE('The List'!AB2:AB671))/STDEV('The List'!AB2:AB671)</f>
        <v>-0.61594294191375154</v>
      </c>
      <c r="P173" s="55" cm="1">
        <f t="array" ref="P173">(VLOOKUP($A173,'The List'!$B1:$AH671,28,FALSE)-AVERAGE('The List'!AC2:AC671))/STDEV('The List'!AC2:AC671)</f>
        <v>0.21627264835039528</v>
      </c>
      <c r="Q173" s="55" cm="1">
        <f t="array" ref="Q173">(VLOOKUP($A173,'The List'!$B1:$AH671,29,FALSE)-AVERAGE('The List'!AD2:AD671))/STDEV('The List'!AD2:AD671)</f>
        <v>0.35991088618396344</v>
      </c>
      <c r="R173" s="55" cm="1">
        <f t="array" ref="R173">(VLOOKUP($A173,'The List'!$B1:$AH671,30,FALSE)-AVERAGE('The List'!AE2:AE671))/STDEV('The List'!AE2:AE671)</f>
        <v>0.96355879256155608</v>
      </c>
      <c r="S173" s="55" cm="1">
        <f t="array" ref="S173">(VLOOKUP($A173,'The List'!$B1:$AH671,31,FALSE)-AVERAGE('The List'!AF2:AF671))/STDEV('The List'!AF2:AF671)</f>
        <v>-0.54601048006120922</v>
      </c>
      <c r="T173" s="55" cm="1">
        <f t="array" ref="T173">(VLOOKUP($A173,'The List'!$B1:$AH671,32,FALSE)-AVERAGE('The List'!AG2:AG671))/STDEV('The List'!AG2:AG671)</f>
        <v>-0.522218334448735</v>
      </c>
      <c r="U173" s="55" cm="1">
        <f t="array" ref="U173">(VLOOKUP($A173,'The List'!$B1:$AH671,33,FALSE)-AVERAGE('The List'!AH2:AH671))/STDEV('The List'!AH2:AH671)</f>
        <v>0.12471406930801376</v>
      </c>
      <c r="V173" s="55"/>
      <c r="W173" s="57"/>
      <c r="X173" s="57"/>
      <c r="Y173" s="57"/>
      <c r="Z173" s="57"/>
      <c r="AA173" s="57"/>
      <c r="AB173" s="57"/>
      <c r="AC173" s="60"/>
      <c r="AD173" s="61"/>
      <c r="AE173" s="55"/>
    </row>
    <row r="174" spans="1:31" ht="21.25" customHeight="1" x14ac:dyDescent="0.15">
      <c r="A174" s="10" t="s">
        <v>217</v>
      </c>
      <c r="B174" s="18" t="str" cm="1">
        <f t="array" ref="B174">VLOOKUP(A174,'Player Data'!A1:B673,2,FALSE)</f>
        <v>VAN</v>
      </c>
      <c r="C174" s="52" cm="1">
        <f t="array" ref="C174">((E174)*Settings!$C$12)+(F174*Settings!$C$2)+(G174*Settings!$C$3)+(H174*Settings!$C$4)+(I174*Settings!$C$5)+(K174*Settings!$C$9)+(N174*Settings!$C$6)+(J174*Settings!$C$8)+(O174*Settings!$C$7)+(P174*Settings!$C$14)+(Q174*Settings!$C$15)+(R174*Settings!$C$16)+(S174*Settings!$C$17)+(T174*Settings!$C$18)+(U174*Settings!$C$19)+(L174*Settings!$C$10)+(Settings!$C$11*M174)</f>
        <v>0.14524539029762207</v>
      </c>
      <c r="D174" s="57" cm="1">
        <f t="array" ref="D174">IF(Settings!$E$12="YES",VLOOKUP(A174,'Player Data'!A1:E673,5,FALSE),82)</f>
        <v>81</v>
      </c>
      <c r="E174" s="55" cm="1">
        <f t="array" ref="E174">(VLOOKUP($A174,'The List'!$B1:$AH671,17,FALSE)-AVERAGE('The List'!R2:R671))/STDEV('The List'!R2:R671)</f>
        <v>2.1997312587501168</v>
      </c>
      <c r="F174" s="55" cm="1">
        <f t="array" ref="F174">(VLOOKUP($A174,'The List'!$B1:$AH671,18,FALSE)-AVERAGE('The List'!S2:S671))/STDEV('The List'!S2:S671)</f>
        <v>-0.64499542351378469</v>
      </c>
      <c r="G174" s="55" cm="1">
        <f t="array" ref="G174">(VLOOKUP($A174,'The List'!$B1:$AH671,19,FALSE)-AVERAGE('The List'!T2:T671))/STDEV('The List'!T2:T671)</f>
        <v>1.1837527169320448</v>
      </c>
      <c r="H174" s="55" cm="1">
        <f t="array" ref="H174">(VLOOKUP($A174,'The List'!$B1:$AH671,20,FALSE)-AVERAGE('The List'!U2:U671))/STDEV('The List'!U2:U671)</f>
        <v>0.45894471262852032</v>
      </c>
      <c r="I174" s="55" cm="1">
        <f t="array" ref="I174">(VLOOKUP($A174,'The List'!$B1:$AH671,21,FALSE)-AVERAGE('The List'!V2:V671))/STDEV('The List'!V2:V671)</f>
        <v>0.16698392602083351</v>
      </c>
      <c r="J174" s="55" cm="1">
        <f t="array" ref="J174">(VLOOKUP($A174,'The List'!$B1:$AH671,22,FALSE)-AVERAGE('The List'!W2:W671))/STDEV('The List'!W2:W671)</f>
        <v>-6.738064637537218E-2</v>
      </c>
      <c r="K174" s="55" cm="1">
        <f t="array" ref="K174">(VLOOKUP($A174,'The List'!$B1:$AH671,23,FALSE)-AVERAGE('The List'!X2:X671))/STDEV('The List'!X2:X671)</f>
        <v>0.66364467894745138</v>
      </c>
      <c r="L174" s="55" cm="1">
        <f t="array" ref="L174">(VLOOKUP($A174,'The List'!$B1:$AH671,24,FALSE)-AVERAGE('The List'!Y2:Y671))/STDEV('The List'!Y2:Y671)</f>
        <v>-0.47546929358800777</v>
      </c>
      <c r="M174" s="55" cm="1">
        <f t="array" ref="M174">(VLOOKUP($A174,'The List'!$B1:$AH671,25,FALSE)-AVERAGE('The List'!Z2:Z671))/STDEV('The List'!Z2:Z671)</f>
        <v>-0.64388478613809508</v>
      </c>
      <c r="N174" s="55" cm="1">
        <f t="array" ref="N174">(VLOOKUP($A174,'The List'!$B1:$AH671,26,FALSE)-AVERAGE('The List'!AA2:AA671))/STDEV('The List'!AA2:AA671)</f>
        <v>1.149247151129305</v>
      </c>
      <c r="O174" s="55" cm="1">
        <f t="array" ref="O174">(VLOOKUP($A174,'The List'!$B1:$AH671,27,FALSE)-AVERAGE('The List'!AB2:AB671))/STDEV('The List'!AB2:AB671)</f>
        <v>0.63878517258197842</v>
      </c>
      <c r="P174" s="55" cm="1">
        <f t="array" ref="P174">(VLOOKUP($A174,'The List'!$B1:$AH671,28,FALSE)-AVERAGE('The List'!AC2:AC671))/STDEV('The List'!AC2:AC671)</f>
        <v>-1.8629256806709014</v>
      </c>
      <c r="Q174" s="55" cm="1">
        <f t="array" ref="Q174">(VLOOKUP($A174,'The List'!$B1:$AH671,29,FALSE)-AVERAGE('The List'!AD2:AD671))/STDEV('The List'!AD2:AD671)</f>
        <v>0.49881354995032606</v>
      </c>
      <c r="R174" s="55" cm="1">
        <f t="array" ref="R174">(VLOOKUP($A174,'The List'!$B1:$AH671,30,FALSE)-AVERAGE('The List'!AE2:AE671))/STDEV('The List'!AE2:AE671)</f>
        <v>-0.83922002554973252</v>
      </c>
      <c r="S174" s="55" cm="1">
        <f t="array" ref="S174">(VLOOKUP($A174,'The List'!$B1:$AH671,31,FALSE)-AVERAGE('The List'!AF2:AF671))/STDEV('The List'!AF2:AF671)</f>
        <v>-0.59581850454342256</v>
      </c>
      <c r="T174" s="55" cm="1">
        <f t="array" ref="T174">(VLOOKUP($A174,'The List'!$B1:$AH671,32,FALSE)-AVERAGE('The List'!AG2:AG671))/STDEV('The List'!AG2:AG671)</f>
        <v>-0.64684275008198677</v>
      </c>
      <c r="U174" s="55" cm="1">
        <f t="array" ref="U174">(VLOOKUP($A174,'The List'!$B1:$AH671,33,FALSE)-AVERAGE('The List'!AH2:AH671))/STDEV('The List'!AH2:AH671)</f>
        <v>3.271562012888287E-2</v>
      </c>
      <c r="V174" s="55"/>
      <c r="W174" s="77"/>
      <c r="X174" s="57"/>
      <c r="Y174" s="57"/>
      <c r="Z174" s="57"/>
      <c r="AA174" s="57"/>
      <c r="AB174" s="57"/>
      <c r="AC174" s="60"/>
      <c r="AD174" s="61"/>
      <c r="AE174" s="55"/>
    </row>
    <row r="175" spans="1:31" ht="21.25" customHeight="1" x14ac:dyDescent="0.15">
      <c r="A175" s="10" t="s">
        <v>409</v>
      </c>
      <c r="B175" s="18" t="str" cm="1">
        <f t="array" ref="B175">VLOOKUP(A175,'Player Data'!A1:B673,2,FALSE)</f>
        <v>NYI</v>
      </c>
      <c r="C175" s="52" cm="1">
        <f t="array" ref="C175">((E175)*Settings!$C$12)+(F175*Settings!$C$2)+(G175*Settings!$C$3)+(H175*Settings!$C$4)+(I175*Settings!$C$5)+(K175*Settings!$C$9)+(N175*Settings!$C$6)+(J175*Settings!$C$8)+(O175*Settings!$C$7)+(P175*Settings!$C$14)+(Q175*Settings!$C$15)+(R175*Settings!$C$16)+(S175*Settings!$C$17)+(T175*Settings!$C$18)+(U175*Settings!$C$19)+(L175*Settings!$C$10)+(Settings!$C$11*M175)</f>
        <v>0.58350898171183985</v>
      </c>
      <c r="D175" s="57" cm="1">
        <f t="array" ref="D175">IF(Settings!$E$12="YES",VLOOKUP(A175,'Player Data'!A1:E673,5,FALSE),82)</f>
        <v>74</v>
      </c>
      <c r="E175" s="55" cm="1">
        <f t="array" ref="E175">(VLOOKUP($A175,'The List'!$B1:$AH671,17,FALSE)-AVERAGE('The List'!R2:R671))/STDEV('The List'!R2:R671)</f>
        <v>0.25855510574245916</v>
      </c>
      <c r="F175" s="55" cm="1">
        <f t="array" ref="F175">(VLOOKUP($A175,'The List'!$B1:$AH671,18,FALSE)-AVERAGE('The List'!S2:S671))/STDEV('The List'!S2:S671)</f>
        <v>0.5475420399325126</v>
      </c>
      <c r="G175" s="55" cm="1">
        <f t="array" ref="G175">(VLOOKUP($A175,'The List'!$B1:$AH671,19,FALSE)-AVERAGE('The List'!T2:T671))/STDEV('The List'!T2:T671)</f>
        <v>5.3755264426002362E-2</v>
      </c>
      <c r="H175" s="55" cm="1">
        <f t="array" ref="H175">(VLOOKUP($A175,'The List'!$B1:$AH671,20,FALSE)-AVERAGE('The List'!U2:U671))/STDEV('The List'!U2:U671)</f>
        <v>0.27636893064534213</v>
      </c>
      <c r="I175" s="55" cm="1">
        <f t="array" ref="I175">(VLOOKUP($A175,'The List'!$B1:$AH671,21,FALSE)-AVERAGE('The List'!V2:V671))/STDEV('The List'!V2:V671)</f>
        <v>0.90990600769538466</v>
      </c>
      <c r="J175" s="55" cm="1">
        <f t="array" ref="J175">(VLOOKUP($A175,'The List'!$B1:$AH671,22,FALSE)-AVERAGE('The List'!W2:W671))/STDEV('The List'!W2:W671)</f>
        <v>0.89654649223574945</v>
      </c>
      <c r="K175" s="55" cm="1">
        <f t="array" ref="K175">(VLOOKUP($A175,'The List'!$B1:$AH671,23,FALSE)-AVERAGE('The List'!X2:X671))/STDEV('The List'!X2:X671)</f>
        <v>0.61138797153338698</v>
      </c>
      <c r="L175" s="55" cm="1">
        <f t="array" ref="L175">(VLOOKUP($A175,'The List'!$B1:$AH671,24,FALSE)-AVERAGE('The List'!Y2:Y671))/STDEV('The List'!Y2:Y671)</f>
        <v>0.88106111751140781</v>
      </c>
      <c r="M175" s="55" cm="1">
        <f t="array" ref="M175">(VLOOKUP($A175,'The List'!$B1:$AH671,25,FALSE)-AVERAGE('The List'!Z2:Z671))/STDEV('The List'!Z2:Z671)</f>
        <v>0.16021361118783253</v>
      </c>
      <c r="N175" s="55" cm="1">
        <f t="array" ref="N175">(VLOOKUP($A175,'The List'!$B1:$AH671,26,FALSE)-AVERAGE('The List'!AA2:AA671))/STDEV('The List'!AA2:AA671)</f>
        <v>-0.7346541335979182</v>
      </c>
      <c r="O175" s="55" cm="1">
        <f t="array" ref="O175">(VLOOKUP($A175,'The List'!$B1:$AH671,27,FALSE)-AVERAGE('The List'!AB2:AB671))/STDEV('The List'!AB2:AB671)</f>
        <v>-0.63111201240430603</v>
      </c>
      <c r="P175" s="55" cm="1">
        <f t="array" ref="P175">(VLOOKUP($A175,'The List'!$B1:$AH671,28,FALSE)-AVERAGE('The List'!AC2:AC671))/STDEV('The List'!AC2:AC671)</f>
        <v>-0.90797028947114111</v>
      </c>
      <c r="Q175" s="55" cm="1">
        <f t="array" ref="Q175">(VLOOKUP($A175,'The List'!$B1:$AH671,29,FALSE)-AVERAGE('The List'!AD2:AD671))/STDEV('The List'!AD2:AD671)</f>
        <v>-0.62422926347984231</v>
      </c>
      <c r="R175" s="55" cm="1">
        <f t="array" ref="R175">(VLOOKUP($A175,'The List'!$B1:$AH671,30,FALSE)-AVERAGE('The List'!AE2:AE671))/STDEV('The List'!AE2:AE671)</f>
        <v>0.50194760730122601</v>
      </c>
      <c r="S175" s="55" cm="1">
        <f t="array" ref="S175">(VLOOKUP($A175,'The List'!$B1:$AH671,31,FALSE)-AVERAGE('The List'!AF2:AF671))/STDEV('The List'!AF2:AF671)</f>
        <v>-0.55312591213009688</v>
      </c>
      <c r="T175" s="55" cm="1">
        <f t="array" ref="T175">(VLOOKUP($A175,'The List'!$B1:$AH671,32,FALSE)-AVERAGE('The List'!AG2:AG671))/STDEV('The List'!AG2:AG671)</f>
        <v>-0.58264229354364494</v>
      </c>
      <c r="U175" s="55" cm="1">
        <f t="array" ref="U175">(VLOOKUP($A175,'The List'!$B1:$AH671,33,FALSE)-AVERAGE('The List'!AH2:AH671))/STDEV('The List'!AH2:AH671)</f>
        <v>0.63070553979323463</v>
      </c>
      <c r="V175" s="55"/>
      <c r="W175" s="57"/>
      <c r="X175" s="55"/>
      <c r="Y175" s="55"/>
      <c r="Z175" s="55"/>
      <c r="AA175" s="55"/>
      <c r="AB175" s="55"/>
      <c r="AC175" s="55"/>
      <c r="AD175" s="55"/>
      <c r="AE175" s="55"/>
    </row>
    <row r="176" spans="1:31" ht="21.25" customHeight="1" x14ac:dyDescent="0.15">
      <c r="A176" s="10" t="s">
        <v>430</v>
      </c>
      <c r="B176" s="18" t="str" cm="1">
        <f t="array" ref="B176">VLOOKUP(A176,'Player Data'!A1:B673,2,FALSE)</f>
        <v>CGY</v>
      </c>
      <c r="C176" s="52" cm="1">
        <f t="array" ref="C176">((E176)*Settings!$C$12)+(F176*Settings!$C$2)+(G176*Settings!$C$3)+(H176*Settings!$C$4)+(I176*Settings!$C$5)+(K176*Settings!$C$9)+(N176*Settings!$C$6)+(J176*Settings!$C$8)+(O176*Settings!$C$7)+(P176*Settings!$C$14)+(Q176*Settings!$C$15)+(R176*Settings!$C$16)+(S176*Settings!$C$17)+(T176*Settings!$C$18)+(U176*Settings!$C$19)+(L176*Settings!$C$10)+(Settings!$C$11*M176)</f>
        <v>-1.9040250149974633</v>
      </c>
      <c r="D176" s="57" cm="1">
        <f t="array" ref="D176">IF(Settings!$E$12="YES",VLOOKUP(A176,'Player Data'!A1:E673,5,FALSE),82)</f>
        <v>67</v>
      </c>
      <c r="E176" s="55" cm="1">
        <f t="array" ref="E176">(VLOOKUP($A176,'The List'!$B1:$AH671,17,FALSE)-AVERAGE('The List'!R2:R671))/STDEV('The List'!R2:R671)</f>
        <v>0.3634835464455754</v>
      </c>
      <c r="F176" s="55" cm="1">
        <f t="array" ref="F176">(VLOOKUP($A176,'The List'!$B1:$AH671,18,FALSE)-AVERAGE('The List'!S2:S671))/STDEV('The List'!S2:S671)</f>
        <v>0.1653312880497243</v>
      </c>
      <c r="G176" s="55" cm="1">
        <f t="array" ref="G176">(VLOOKUP($A176,'The List'!$B1:$AH671,19,FALSE)-AVERAGE('The List'!T2:T671))/STDEV('The List'!T2:T671)</f>
        <v>3.2673222401635595E-2</v>
      </c>
      <c r="H176" s="55" cm="1">
        <f t="array" ref="H176">(VLOOKUP($A176,'The List'!$B1:$AH671,20,FALSE)-AVERAGE('The List'!U2:U671))/STDEV('The List'!U2:U671)</f>
        <v>9.3793148662163664E-2</v>
      </c>
      <c r="I176" s="55" cm="1">
        <f t="array" ref="I176">(VLOOKUP($A176,'The List'!$B1:$AH671,21,FALSE)-AVERAGE('The List'!V2:V671))/STDEV('The List'!V2:V671)</f>
        <v>-0.15834683672176617</v>
      </c>
      <c r="J176" s="55" cm="1">
        <f t="array" ref="J176">(VLOOKUP($A176,'The List'!$B1:$AH671,22,FALSE)-AVERAGE('The List'!W2:W671))/STDEV('The List'!W2:W671)</f>
        <v>0.55682432017509642</v>
      </c>
      <c r="K176" s="55" cm="1">
        <f t="array" ref="K176">(VLOOKUP($A176,'The List'!$B1:$AH671,23,FALSE)-AVERAGE('The List'!X2:X671))/STDEV('The List'!X2:X671)</f>
        <v>0.47773139295510658</v>
      </c>
      <c r="L176" s="55" cm="1">
        <f t="array" ref="L176">(VLOOKUP($A176,'The List'!$B1:$AH671,24,FALSE)-AVERAGE('The List'!Y2:Y671))/STDEV('The List'!Y2:Y671)</f>
        <v>0.75274067321821991</v>
      </c>
      <c r="M176" s="55" cm="1">
        <f t="array" ref="M176">(VLOOKUP($A176,'The List'!$B1:$AH671,25,FALSE)-AVERAGE('The List'!Z2:Z671))/STDEV('The List'!Z2:Z671)</f>
        <v>0.81218528469534146</v>
      </c>
      <c r="N176" s="55" cm="1">
        <f t="array" ref="N176">(VLOOKUP($A176,'The List'!$B1:$AH671,26,FALSE)-AVERAGE('The List'!AA2:AA671))/STDEV('The List'!AA2:AA671)</f>
        <v>-0.52777234934777573</v>
      </c>
      <c r="O176" s="55" cm="1">
        <f t="array" ref="O176">(VLOOKUP($A176,'The List'!$B1:$AH671,27,FALSE)-AVERAGE('The List'!AB2:AB671))/STDEV('The List'!AB2:AB671)</f>
        <v>-0.86233784366573119</v>
      </c>
      <c r="P176" s="55" cm="1">
        <f t="array" ref="P176">(VLOOKUP($A176,'The List'!$B1:$AH671,28,FALSE)-AVERAGE('The List'!AC2:AC671))/STDEV('The List'!AC2:AC671)</f>
        <v>-1.5590762380164325</v>
      </c>
      <c r="Q176" s="55" cm="1">
        <f t="array" ref="Q176">(VLOOKUP($A176,'The List'!$B1:$AH671,29,FALSE)-AVERAGE('The List'!AD2:AD671))/STDEV('The List'!AD2:AD671)</f>
        <v>2.3104113811989345E-3</v>
      </c>
      <c r="R176" s="55" cm="1">
        <f t="array" ref="R176">(VLOOKUP($A176,'The List'!$B1:$AH671,30,FALSE)-AVERAGE('The List'!AE2:AE671))/STDEV('The List'!AE2:AE671)</f>
        <v>-9.066134674919768E-2</v>
      </c>
      <c r="S176" s="55" cm="1">
        <f t="array" ref="S176">(VLOOKUP($A176,'The List'!$B1:$AH671,31,FALSE)-AVERAGE('The List'!AF2:AF671))/STDEV('The List'!AF2:AF671)</f>
        <v>-0.54427969928769604</v>
      </c>
      <c r="T176" s="55" cm="1">
        <f t="array" ref="T176">(VLOOKUP($A176,'The List'!$B1:$AH671,32,FALSE)-AVERAGE('The List'!AG2:AG671))/STDEV('The List'!AG2:AG671)</f>
        <v>-0.56819974250997984</v>
      </c>
      <c r="U176" s="55" cm="1">
        <f t="array" ref="U176">(VLOOKUP($A176,'The List'!$B1:$AH671,33,FALSE)-AVERAGE('The List'!AH2:AH671))/STDEV('The List'!AH2:AH671)</f>
        <v>0.63070553979323463</v>
      </c>
      <c r="V176" s="55"/>
      <c r="W176" s="57"/>
      <c r="X176" s="55"/>
      <c r="Y176" s="55"/>
      <c r="Z176" s="55"/>
      <c r="AA176" s="55"/>
      <c r="AB176" s="55"/>
      <c r="AC176" s="55"/>
      <c r="AD176" s="55"/>
      <c r="AE176" s="55"/>
    </row>
    <row r="177" spans="1:31" ht="21.25" customHeight="1" x14ac:dyDescent="0.15">
      <c r="A177" s="10" t="s">
        <v>344</v>
      </c>
      <c r="B177" s="18" t="str" cm="1">
        <f t="array" ref="B177">VLOOKUP(A177,'Player Data'!A1:B673,2,FALSE)</f>
        <v>PHI</v>
      </c>
      <c r="C177" s="52" cm="1">
        <f t="array" ref="C177">((E177)*Settings!$C$12)+(F177*Settings!$C$2)+(G177*Settings!$C$3)+(H177*Settings!$C$4)+(I177*Settings!$C$5)+(K177*Settings!$C$9)+(N177*Settings!$C$6)+(J177*Settings!$C$8)+(O177*Settings!$C$7)+(P177*Settings!$C$14)+(Q177*Settings!$C$15)+(R177*Settings!$C$16)+(S177*Settings!$C$17)+(T177*Settings!$C$18)+(U177*Settings!$C$19)+(L177*Settings!$C$10)+(Settings!$C$11*M177)</f>
        <v>4.6336823797787394</v>
      </c>
      <c r="D177" s="57" cm="1">
        <f t="array" ref="D177">IF(Settings!$E$12="YES",VLOOKUP(A177,'Player Data'!A1:E673,5,FALSE),82)</f>
        <v>83</v>
      </c>
      <c r="E177" s="55" cm="1">
        <f t="array" ref="E177">(VLOOKUP($A177,'The List'!$B1:$AH671,17,FALSE)-AVERAGE('The List'!R2:R671))/STDEV('The List'!R2:R671)</f>
        <v>-0.18739076724578643</v>
      </c>
      <c r="F177" s="55" cm="1">
        <f t="array" ref="F177">(VLOOKUP($A177,'The List'!$B1:$AH671,18,FALSE)-AVERAGE('The List'!S2:S671))/STDEV('The List'!S2:S671)</f>
        <v>1.1952046456033467</v>
      </c>
      <c r="G177" s="55" cm="1">
        <f t="array" ref="G177">(VLOOKUP($A177,'The List'!$B1:$AH671,19,FALSE)-AVERAGE('The List'!T2:T671))/STDEV('The List'!T2:T671)</f>
        <v>0.14581351459906919</v>
      </c>
      <c r="H177" s="55" cm="1">
        <f t="array" ref="H177">(VLOOKUP($A177,'The List'!$B1:$AH671,20,FALSE)-AVERAGE('The List'!U2:U671))/STDEV('The List'!U2:U671)</f>
        <v>0.62118517749008562</v>
      </c>
      <c r="I177" s="55" cm="1">
        <f t="array" ref="I177">(VLOOKUP($A177,'The List'!$B1:$AH671,21,FALSE)-AVERAGE('The List'!V2:V671))/STDEV('The List'!V2:V671)</f>
        <v>1.7450886455592876</v>
      </c>
      <c r="J177" s="55" cm="1">
        <f t="array" ref="J177">(VLOOKUP($A177,'The List'!$B1:$AH671,22,FALSE)-AVERAGE('The List'!W2:W671))/STDEV('The List'!W2:W671)</f>
        <v>-5.08088331041208E-2</v>
      </c>
      <c r="K177" s="55" cm="1">
        <f t="array" ref="K177">(VLOOKUP($A177,'The List'!$B1:$AH671,23,FALSE)-AVERAGE('The List'!X2:X671))/STDEV('The List'!X2:X671)</f>
        <v>3.2544443254518662E-2</v>
      </c>
      <c r="L177" s="55" cm="1">
        <f t="array" ref="L177">(VLOOKUP($A177,'The List'!$B1:$AH671,24,FALSE)-AVERAGE('The List'!Y2:Y671))/STDEV('The List'!Y2:Y671)</f>
        <v>1.0460445458883638</v>
      </c>
      <c r="M177" s="55" cm="1">
        <f t="array" ref="M177">(VLOOKUP($A177,'The List'!$B1:$AH671,25,FALSE)-AVERAGE('The List'!Z2:Z671))/STDEV('The List'!Z2:Z671)</f>
        <v>0.25800936221395893</v>
      </c>
      <c r="N177" s="55" cm="1">
        <f t="array" ref="N177">(VLOOKUP($A177,'The List'!$B1:$AH671,26,FALSE)-AVERAGE('The List'!AA2:AA671))/STDEV('The List'!AA2:AA671)</f>
        <v>-0.245033910872581</v>
      </c>
      <c r="O177" s="55" cm="1">
        <f t="array" ref="O177">(VLOOKUP($A177,'The List'!$B1:$AH671,27,FALSE)-AVERAGE('The List'!AB2:AB671))/STDEV('The List'!AB2:AB671)</f>
        <v>1.2596921254994047</v>
      </c>
      <c r="P177" s="55" cm="1">
        <f t="array" ref="P177">(VLOOKUP($A177,'The List'!$B1:$AH671,28,FALSE)-AVERAGE('The List'!AC2:AC671))/STDEV('The List'!AC2:AC671)</f>
        <v>0.25533900526311276</v>
      </c>
      <c r="Q177" s="55" cm="1">
        <f t="array" ref="Q177">(VLOOKUP($A177,'The List'!$B1:$AH671,29,FALSE)-AVERAGE('The List'!AD2:AD671))/STDEV('The List'!AD2:AD671)</f>
        <v>-0.84071054264763134</v>
      </c>
      <c r="R177" s="55" cm="1">
        <f t="array" ref="R177">(VLOOKUP($A177,'The List'!$B1:$AH671,30,FALSE)-AVERAGE('The List'!AE2:AE671))/STDEV('The List'!AE2:AE671)</f>
        <v>1.2442682971117567</v>
      </c>
      <c r="S177" s="55" cm="1">
        <f t="array" ref="S177">(VLOOKUP($A177,'The List'!$B1:$AH671,31,FALSE)-AVERAGE('The List'!AF2:AF671))/STDEV('The List'!AF2:AF671)</f>
        <v>-0.54394315858173514</v>
      </c>
      <c r="T177" s="55" cm="1">
        <f t="array" ref="T177">(VLOOKUP($A177,'The List'!$B1:$AH671,32,FALSE)-AVERAGE('The List'!AG2:AG671))/STDEV('The List'!AG2:AG671)</f>
        <v>-0.5451835216047396</v>
      </c>
      <c r="U177" s="55" cm="1">
        <f t="array" ref="U177">(VLOOKUP($A177,'The List'!$B1:$AH671,33,FALSE)-AVERAGE('The List'!AH2:AH671))/STDEV('The List'!AH2:AH671)</f>
        <v>0.40070941684540695</v>
      </c>
      <c r="V177" s="55"/>
      <c r="W177" s="77"/>
      <c r="X177" s="57"/>
      <c r="Y177" s="57"/>
      <c r="Z177" s="57"/>
      <c r="AA177" s="57"/>
      <c r="AB177" s="57"/>
      <c r="AC177" s="60"/>
      <c r="AD177" s="61"/>
      <c r="AE177" s="55"/>
    </row>
    <row r="178" spans="1:31" ht="21.25" customHeight="1" x14ac:dyDescent="0.15">
      <c r="A178" s="10" t="s">
        <v>215</v>
      </c>
      <c r="B178" s="18" t="str" cm="1">
        <f t="array" ref="B178">VLOOKUP(A178,'Player Data'!A1:B673,2,FALSE)</f>
        <v>SEA</v>
      </c>
      <c r="C178" s="52" cm="1">
        <f t="array" ref="C178">((E178)*Settings!$C$12)+(F178*Settings!$C$2)+(G178*Settings!$C$3)+(H178*Settings!$C$4)+(I178*Settings!$C$5)+(K178*Settings!$C$9)+(N178*Settings!$C$6)+(J178*Settings!$C$8)+(O178*Settings!$C$7)+(P178*Settings!$C$14)+(Q178*Settings!$C$15)+(R178*Settings!$C$16)+(S178*Settings!$C$17)+(T178*Settings!$C$18)+(U178*Settings!$C$19)+(L178*Settings!$C$10)+(Settings!$C$11*M178)</f>
        <v>-0.51894248766618056</v>
      </c>
      <c r="D178" s="57" cm="1">
        <f t="array" ref="D178">IF(Settings!$E$12="YES",VLOOKUP(A178,'Player Data'!A1:E673,5,FALSE),82)</f>
        <v>79</v>
      </c>
      <c r="E178" s="55" cm="1">
        <f t="array" ref="E178">(VLOOKUP($A178,'The List'!$B1:$AH671,17,FALSE)-AVERAGE('The List'!R2:R671))/STDEV('The List'!R2:R671)</f>
        <v>1.2816074025978461</v>
      </c>
      <c r="F178" s="55" cm="1">
        <f t="array" ref="F178">(VLOOKUP($A178,'The List'!$B1:$AH671,18,FALSE)-AVERAGE('The List'!S2:S671))/STDEV('The List'!S2:S671)</f>
        <v>-0.34760951212717678</v>
      </c>
      <c r="G178" s="55" cm="1">
        <f t="array" ref="G178">(VLOOKUP($A178,'The List'!$B1:$AH671,19,FALSE)-AVERAGE('The List'!T2:T671))/STDEV('The List'!T2:T671)</f>
        <v>0.83589902352999845</v>
      </c>
      <c r="H178" s="55" cm="1">
        <f t="array" ref="H178">(VLOOKUP($A178,'The List'!$B1:$AH671,20,FALSE)-AVERAGE('The List'!U2:U671))/STDEV('The List'!U2:U671)</f>
        <v>0.37185650669465592</v>
      </c>
      <c r="I178" s="55" cm="1">
        <f t="array" ref="I178">(VLOOKUP($A178,'The List'!$B1:$AH671,21,FALSE)-AVERAGE('The List'!V2:V671))/STDEV('The List'!V2:V671)</f>
        <v>0.65489368384616675</v>
      </c>
      <c r="J178" s="55" cm="1">
        <f t="array" ref="J178">(VLOOKUP($A178,'The List'!$B1:$AH671,22,FALSE)-AVERAGE('The List'!W2:W671))/STDEV('The List'!W2:W671)</f>
        <v>-8.3952459646623456E-2</v>
      </c>
      <c r="K178" s="55" cm="1">
        <f t="array" ref="K178">(VLOOKUP($A178,'The List'!$B1:$AH671,23,FALSE)-AVERAGE('The List'!X2:X671))/STDEV('The List'!X2:X671)</f>
        <v>0.94502694963856793</v>
      </c>
      <c r="L178" s="55" cm="1">
        <f t="array" ref="L178">(VLOOKUP($A178,'The List'!$B1:$AH671,24,FALSE)-AVERAGE('The List'!Y2:Y671))/STDEV('The List'!Y2:Y671)</f>
        <v>-0.47546929358800777</v>
      </c>
      <c r="M178" s="55" cm="1">
        <f t="array" ref="M178">(VLOOKUP($A178,'The List'!$B1:$AH671,25,FALSE)-AVERAGE('The List'!Z2:Z671))/STDEV('The List'!Z2:Z671)</f>
        <v>-0.64388478613809508</v>
      </c>
      <c r="N178" s="55" cm="1">
        <f t="array" ref="N178">(VLOOKUP($A178,'The List'!$B1:$AH671,26,FALSE)-AVERAGE('The List'!AA2:AA671))/STDEV('The List'!AA2:AA671)</f>
        <v>0.73778226912068801</v>
      </c>
      <c r="O178" s="55" cm="1">
        <f t="array" ref="O178">(VLOOKUP($A178,'The List'!$B1:$AH671,27,FALSE)-AVERAGE('The List'!AB2:AB671))/STDEV('The List'!AB2:AB671)</f>
        <v>-0.95909191490278145</v>
      </c>
      <c r="P178" s="55" cm="1">
        <f t="array" ref="P178">(VLOOKUP($A178,'The List'!$B1:$AH671,28,FALSE)-AVERAGE('The List'!AC2:AC671))/STDEV('The List'!AC2:AC671)</f>
        <v>-1.6480607176509554</v>
      </c>
      <c r="Q178" s="55" cm="1">
        <f t="array" ref="Q178">(VLOOKUP($A178,'The List'!$B1:$AH671,29,FALSE)-AVERAGE('The List'!AD2:AD671))/STDEV('The List'!AD2:AD671)</f>
        <v>1.3034146182565463</v>
      </c>
      <c r="R178" s="55" cm="1">
        <f t="array" ref="R178">(VLOOKUP($A178,'The List'!$B1:$AH671,30,FALSE)-AVERAGE('The List'!AE2:AE671))/STDEV('The List'!AE2:AE671)</f>
        <v>-0.35889487331938924</v>
      </c>
      <c r="S178" s="55" cm="1">
        <f t="array" ref="S178">(VLOOKUP($A178,'The List'!$B1:$AH671,31,FALSE)-AVERAGE('The List'!AF2:AF671))/STDEV('The List'!AF2:AF671)</f>
        <v>-0.59581850454342256</v>
      </c>
      <c r="T178" s="55" cm="1">
        <f t="array" ref="T178">(VLOOKUP($A178,'The List'!$B1:$AH671,32,FALSE)-AVERAGE('The List'!AG2:AG671))/STDEV('The List'!AG2:AG671)</f>
        <v>-0.64684275008198677</v>
      </c>
      <c r="U178" s="55" cm="1">
        <f t="array" ref="U178">(VLOOKUP($A178,'The List'!$B1:$AH671,33,FALSE)-AVERAGE('The List'!AH2:AH671))/STDEV('The List'!AH2:AH671)</f>
        <v>-1.2552626683789523</v>
      </c>
      <c r="V178" s="55"/>
      <c r="W178" s="77"/>
      <c r="X178" s="57"/>
      <c r="Y178" s="57"/>
      <c r="Z178" s="57"/>
      <c r="AA178" s="57"/>
      <c r="AB178" s="57"/>
      <c r="AC178" s="60"/>
      <c r="AD178" s="61"/>
      <c r="AE178" s="55"/>
    </row>
    <row r="179" spans="1:31" ht="21.25" customHeight="1" x14ac:dyDescent="0.15">
      <c r="A179" s="10" t="s">
        <v>460</v>
      </c>
      <c r="B179" s="18" t="str" cm="1">
        <f t="array" ref="B179">VLOOKUP(A179,'Player Data'!A1:B673,2,FALSE)</f>
        <v>NYI</v>
      </c>
      <c r="C179" s="52" cm="1">
        <f t="array" ref="C179">((E179)*Settings!$C$12)+(F179*Settings!$C$2)+(G179*Settings!$C$3)+(H179*Settings!$C$4)+(I179*Settings!$C$5)+(K179*Settings!$C$9)+(N179*Settings!$C$6)+(J179*Settings!$C$8)+(O179*Settings!$C$7)+(P179*Settings!$C$14)+(Q179*Settings!$C$15)+(R179*Settings!$C$16)+(S179*Settings!$C$17)+(T179*Settings!$C$18)+(U179*Settings!$C$19)+(L179*Settings!$C$10)+(Settings!$C$11*M179)</f>
        <v>-1.5582882553853754</v>
      </c>
      <c r="D179" s="57" cm="1">
        <f t="array" ref="D179">IF(Settings!$E$12="YES",VLOOKUP(A179,'Player Data'!A1:E673,5,FALSE),82)</f>
        <v>82</v>
      </c>
      <c r="E179" s="55" cm="1">
        <f t="array" ref="E179">(VLOOKUP($A179,'The List'!$B1:$AH671,17,FALSE)-AVERAGE('The List'!R2:R671))/STDEV('The List'!R2:R671)</f>
        <v>0.20609088539090101</v>
      </c>
      <c r="F179" s="55" cm="1">
        <f t="array" ref="F179">(VLOOKUP($A179,'The List'!$B1:$AH671,18,FALSE)-AVERAGE('The List'!S2:S671))/STDEV('The List'!S2:S671)</f>
        <v>0.83694443691947995</v>
      </c>
      <c r="G179" s="55" cm="1">
        <f t="array" ref="G179">(VLOOKUP($A179,'The List'!$B1:$AH671,19,FALSE)-AVERAGE('The List'!T2:T671))/STDEV('The List'!T2:T671)</f>
        <v>0.124028737840557</v>
      </c>
      <c r="H179" s="55" cm="1">
        <f t="array" ref="H179">(VLOOKUP($A179,'The List'!$B1:$AH671,20,FALSE)-AVERAGE('The List'!U2:U671))/STDEV('The List'!U2:U671)</f>
        <v>0.4487770540677139</v>
      </c>
      <c r="I179" s="55" cm="1">
        <f t="array" ref="I179">(VLOOKUP($A179,'The List'!$B1:$AH671,21,FALSE)-AVERAGE('The List'!V2:V671))/STDEV('The List'!V2:V671)</f>
        <v>-0.21484346944445895</v>
      </c>
      <c r="J179" s="55" cm="1">
        <f t="array" ref="J179">(VLOOKUP($A179,'The List'!$B1:$AH671,22,FALSE)-AVERAGE('The List'!W2:W671))/STDEV('The List'!W2:W671)</f>
        <v>-0.28557618778018184</v>
      </c>
      <c r="K179" s="55" cm="1">
        <f t="array" ref="K179">(VLOOKUP($A179,'The List'!$B1:$AH671,23,FALSE)-AVERAGE('The List'!X2:X671))/STDEV('The List'!X2:X671)</f>
        <v>-0.30712415493690071</v>
      </c>
      <c r="L179" s="55" cm="1">
        <f t="array" ref="L179">(VLOOKUP($A179,'The List'!$B1:$AH671,24,FALSE)-AVERAGE('The List'!Y2:Y671))/STDEV('The List'!Y2:Y671)</f>
        <v>4.034077748715454</v>
      </c>
      <c r="M179" s="55" cm="1">
        <f t="array" ref="M179">(VLOOKUP($A179,'The List'!$B1:$AH671,25,FALSE)-AVERAGE('The List'!Z2:Z671))/STDEV('The List'!Z2:Z671)</f>
        <v>5.5933108904170732</v>
      </c>
      <c r="N179" s="55" cm="1">
        <f t="array" ref="N179">(VLOOKUP($A179,'The List'!$B1:$AH671,26,FALSE)-AVERAGE('The List'!AA2:AA671))/STDEV('The List'!AA2:AA671)</f>
        <v>-0.26163553553462943</v>
      </c>
      <c r="O179" s="55" cm="1">
        <f t="array" ref="O179">(VLOOKUP($A179,'The List'!$B1:$AH671,27,FALSE)-AVERAGE('The List'!AB2:AB671))/STDEV('The List'!AB2:AB671)</f>
        <v>-1.1804783490892523</v>
      </c>
      <c r="P179" s="55" cm="1">
        <f t="array" ref="P179">(VLOOKUP($A179,'The List'!$B1:$AH671,28,FALSE)-AVERAGE('The List'!AC2:AC671))/STDEV('The List'!AC2:AC671)</f>
        <v>-0.81681545667480038</v>
      </c>
      <c r="Q179" s="55" cm="1">
        <f t="array" ref="Q179">(VLOOKUP($A179,'The List'!$B1:$AH671,29,FALSE)-AVERAGE('The List'!AD2:AD671))/STDEV('The List'!AD2:AD671)</f>
        <v>-0.91976684596146563</v>
      </c>
      <c r="R179" s="55" cm="1">
        <f t="array" ref="R179">(VLOOKUP($A179,'The List'!$B1:$AH671,30,FALSE)-AVERAGE('The List'!AE2:AE671))/STDEV('The List'!AE2:AE671)</f>
        <v>0.70156325498136884</v>
      </c>
      <c r="S179" s="55" cm="1">
        <f t="array" ref="S179">(VLOOKUP($A179,'The List'!$B1:$AH671,31,FALSE)-AVERAGE('The List'!AF2:AF671))/STDEV('The List'!AF2:AF671)</f>
        <v>-0.57610683462285561</v>
      </c>
      <c r="T179" s="55" cm="1">
        <f t="array" ref="T179">(VLOOKUP($A179,'The List'!$B1:$AH671,32,FALSE)-AVERAGE('The List'!AG2:AG671))/STDEV('The List'!AG2:AG671)</f>
        <v>-0.5798864710849243</v>
      </c>
      <c r="U179" s="55" cm="1">
        <f t="array" ref="U179">(VLOOKUP($A179,'The List'!$B1:$AH671,33,FALSE)-AVERAGE('The List'!AH2:AH671))/STDEV('The List'!AH2:AH671)</f>
        <v>-0.15128127822937942</v>
      </c>
      <c r="V179" s="55"/>
      <c r="W179" s="77"/>
      <c r="X179" s="57"/>
      <c r="Y179" s="57"/>
      <c r="Z179" s="57"/>
      <c r="AA179" s="57"/>
      <c r="AB179" s="57"/>
      <c r="AC179" s="60"/>
      <c r="AD179" s="61"/>
      <c r="AE179" s="55"/>
    </row>
    <row r="180" spans="1:31" ht="21.25" customHeight="1" x14ac:dyDescent="0.15">
      <c r="A180" s="10" t="s">
        <v>497</v>
      </c>
      <c r="B180" s="18" t="str" cm="1">
        <f t="array" ref="B180">VLOOKUP(A180,'Player Data'!A1:B673,2,FALSE)</f>
        <v>PIT</v>
      </c>
      <c r="C180" s="52" cm="1">
        <f t="array" ref="C180">((E180)*Settings!$C$12)+(F180*Settings!$C$2)+(G180*Settings!$C$3)+(H180*Settings!$C$4)+(I180*Settings!$C$5)+(K180*Settings!$C$9)+(N180*Settings!$C$6)+(J180*Settings!$C$8)+(O180*Settings!$C$7)+(P180*Settings!$C$14)+(Q180*Settings!$C$15)+(R180*Settings!$C$16)+(S180*Settings!$C$17)+(T180*Settings!$C$18)+(U180*Settings!$C$19)+(L180*Settings!$C$10)+(Settings!$C$11*M180)</f>
        <v>4.3036012412418709E-2</v>
      </c>
      <c r="D180" s="57" cm="1">
        <f t="array" ref="D180">IF(Settings!$E$12="YES",VLOOKUP(A180,'Player Data'!A1:E673,5,FALSE),82)</f>
        <v>72</v>
      </c>
      <c r="E180" s="55" cm="1">
        <f t="array" ref="E180">(VLOOKUP($A180,'The List'!$B1:$AH671,17,FALSE)-AVERAGE('The List'!R2:R671))/STDEV('The List'!R2:R671)</f>
        <v>-0.4759439791793576</v>
      </c>
      <c r="F180" s="55" cm="1">
        <f t="array" ref="F180">(VLOOKUP($A180,'The List'!$B1:$AH671,18,FALSE)-AVERAGE('The List'!S2:S671))/STDEV('The List'!S2:S671)</f>
        <v>0.63935245552837838</v>
      </c>
      <c r="G180" s="55" cm="1">
        <f t="array" ref="G180">(VLOOKUP($A180,'The List'!$B1:$AH671,19,FALSE)-AVERAGE('The List'!T2:T671))/STDEV('The List'!T2:T671)</f>
        <v>-0.1444159306030427</v>
      </c>
      <c r="H180" s="55" cm="1">
        <f t="array" ref="H180">(VLOOKUP($A180,'The List'!$B1:$AH671,20,FALSE)-AVERAGE('The List'!U2:U671))/STDEV('The List'!U2:U671)</f>
        <v>0.19237522949085337</v>
      </c>
      <c r="I180" s="55" cm="1">
        <f t="array" ref="I180">(VLOOKUP($A180,'The List'!$B1:$AH671,21,FALSE)-AVERAGE('The List'!V2:V671))/STDEV('The List'!V2:V671)</f>
        <v>0.40333681153962103</v>
      </c>
      <c r="J180" s="55" cm="1">
        <f t="array" ref="J180">(VLOOKUP($A180,'The List'!$B1:$AH671,22,FALSE)-AVERAGE('The List'!W2:W671))/STDEV('The List'!W2:W671)</f>
        <v>-0.14195380609600325</v>
      </c>
      <c r="K180" s="55" cm="1">
        <f t="array" ref="K180">(VLOOKUP($A180,'The List'!$B1:$AH671,23,FALSE)-AVERAGE('The List'!X2:X671))/STDEV('The List'!X2:X671)</f>
        <v>-0.29506491476442415</v>
      </c>
      <c r="L180" s="55" cm="1">
        <f t="array" ref="L180">(VLOOKUP($A180,'The List'!$B1:$AH671,24,FALSE)-AVERAGE('The List'!Y2:Y671))/STDEV('The List'!Y2:Y671)</f>
        <v>-0.47546929358800777</v>
      </c>
      <c r="M180" s="55" cm="1">
        <f t="array" ref="M180">(VLOOKUP($A180,'The List'!$B1:$AH671,25,FALSE)-AVERAGE('The List'!Z2:Z671))/STDEV('The List'!Z2:Z671)</f>
        <v>-0.64388478613809508</v>
      </c>
      <c r="N180" s="55" cm="1">
        <f t="array" ref="N180">(VLOOKUP($A180,'The List'!$B1:$AH671,26,FALSE)-AVERAGE('The List'!AA2:AA671))/STDEV('The List'!AA2:AA671)</f>
        <v>-0.79544162082203418</v>
      </c>
      <c r="O180" s="55" cm="1">
        <f t="array" ref="O180">(VLOOKUP($A180,'The List'!$B1:$AH671,27,FALSE)-AVERAGE('The List'!AB2:AB671))/STDEV('The List'!AB2:AB671)</f>
        <v>-0.45523278968949865</v>
      </c>
      <c r="P180" s="55" cm="1">
        <f t="array" ref="P180">(VLOOKUP($A180,'The List'!$B1:$AH671,28,FALSE)-AVERAGE('The List'!AC2:AC671))/STDEV('The List'!AC2:AC671)</f>
        <v>-0.1049396195986151</v>
      </c>
      <c r="Q180" s="55" cm="1">
        <f t="array" ref="Q180">(VLOOKUP($A180,'The List'!$B1:$AH671,29,FALSE)-AVERAGE('The List'!AD2:AD671))/STDEV('The List'!AD2:AD671)</f>
        <v>-1.2566796899905164</v>
      </c>
      <c r="R180" s="55" cm="1">
        <f t="array" ref="R180">(VLOOKUP($A180,'The List'!$B1:$AH671,30,FALSE)-AVERAGE('The List'!AE2:AE671))/STDEV('The List'!AE2:AE671)</f>
        <v>0.45204369538119027</v>
      </c>
      <c r="S180" s="55" cm="1">
        <f t="array" ref="S180">(VLOOKUP($A180,'The List'!$B1:$AH671,31,FALSE)-AVERAGE('The List'!AF2:AF671))/STDEV('The List'!AF2:AF671)</f>
        <v>-0.58543381990234333</v>
      </c>
      <c r="T180" s="55" cm="1">
        <f t="array" ref="T180">(VLOOKUP($A180,'The List'!$B1:$AH671,32,FALSE)-AVERAGE('The List'!AG2:AG671))/STDEV('The List'!AG2:AG671)</f>
        <v>-0.60274959074245782</v>
      </c>
      <c r="U180" s="55" cm="1">
        <f t="array" ref="U180">(VLOOKUP($A180,'The List'!$B1:$AH671,33,FALSE)-AVERAGE('The List'!AH2:AH671))/STDEV('The List'!AH2:AH671)</f>
        <v>-0.38127740117720704</v>
      </c>
      <c r="V180" s="55"/>
      <c r="W180" s="77"/>
      <c r="X180" s="57"/>
      <c r="Y180" s="57"/>
      <c r="Z180" s="57"/>
      <c r="AA180" s="57"/>
      <c r="AB180" s="57"/>
      <c r="AC180" s="60"/>
      <c r="AD180" s="61"/>
      <c r="AE180" s="55"/>
    </row>
    <row r="181" spans="1:31" ht="21.25" customHeight="1" x14ac:dyDescent="0.15">
      <c r="A181" s="10" t="s">
        <v>516</v>
      </c>
      <c r="B181" s="18" t="str" cm="1">
        <f t="array" ref="B181">VLOOKUP(A181,'Player Data'!A1:B673,2,FALSE)</f>
        <v>BUF</v>
      </c>
      <c r="C181" s="52" cm="1">
        <f t="array" ref="C181">((E181)*Settings!$C$12)+(F181*Settings!$C$2)+(G181*Settings!$C$3)+(H181*Settings!$C$4)+(I181*Settings!$C$5)+(K181*Settings!$C$9)+(N181*Settings!$C$6)+(J181*Settings!$C$8)+(O181*Settings!$C$7)+(P181*Settings!$C$14)+(Q181*Settings!$C$15)+(R181*Settings!$C$16)+(S181*Settings!$C$17)+(T181*Settings!$C$18)+(U181*Settings!$C$19)+(L181*Settings!$C$10)+(Settings!$C$11*M181)</f>
        <v>8.5333851978878453E-2</v>
      </c>
      <c r="D181" s="57" cm="1">
        <f t="array" ref="D181">IF(Settings!$E$12="YES",VLOOKUP(A181,'Player Data'!A1:E673,5,FALSE),82)</f>
        <v>71</v>
      </c>
      <c r="E181" s="55" cm="1">
        <f t="array" ref="E181">(VLOOKUP($A181,'The List'!$B1:$AH671,17,FALSE)-AVERAGE('The List'!R2:R671))/STDEV('The List'!R2:R671)</f>
        <v>-0.4759439791793576</v>
      </c>
      <c r="F181" s="55" cm="1">
        <f t="array" ref="F181">(VLOOKUP($A181,'The List'!$B1:$AH671,18,FALSE)-AVERAGE('The List'!S2:S671))/STDEV('The List'!S2:S671)</f>
        <v>0.46970277453601778</v>
      </c>
      <c r="G181" s="55" cm="1">
        <f t="array" ref="G181">(VLOOKUP($A181,'The List'!$B1:$AH671,19,FALSE)-AVERAGE('The List'!T2:T671))/STDEV('The List'!T2:T671)</f>
        <v>-0.21539213875174298</v>
      </c>
      <c r="H181" s="55" cm="1">
        <f t="array" ref="H181">(VLOOKUP($A181,'The List'!$B1:$AH671,20,FALSE)-AVERAGE('The List'!U2:U671))/STDEV('The List'!U2:U671)</f>
        <v>7.2573687317871574E-2</v>
      </c>
      <c r="I181" s="55" cm="1">
        <f t="array" ref="I181">(VLOOKUP($A181,'The List'!$B1:$AH671,21,FALSE)-AVERAGE('The List'!V2:V671))/STDEV('The List'!V2:V671)</f>
        <v>-0.33181050416391727</v>
      </c>
      <c r="J181" s="55" cm="1">
        <f t="array" ref="J181">(VLOOKUP($A181,'The List'!$B1:$AH671,22,FALSE)-AVERAGE('The List'!W2:W671))/STDEV('The List'!W2:W671)</f>
        <v>0.24195986802132027</v>
      </c>
      <c r="K181" s="55" cm="1">
        <f t="array" ref="K181">(VLOOKUP($A181,'The List'!$B1:$AH671,23,FALSE)-AVERAGE('The List'!X2:X671))/STDEV('The List'!X2:X671)</f>
        <v>5.465305023739199E-2</v>
      </c>
      <c r="L181" s="55" cm="1">
        <f t="array" ref="L181">(VLOOKUP($A181,'The List'!$B1:$AH671,24,FALSE)-AVERAGE('The List'!Y2:Y671))/STDEV('The List'!Y2:Y671)</f>
        <v>-0.47546929358800777</v>
      </c>
      <c r="M181" s="55" cm="1">
        <f t="array" ref="M181">(VLOOKUP($A181,'The List'!$B1:$AH671,25,FALSE)-AVERAGE('The List'!Z2:Z671))/STDEV('The List'!Z2:Z671)</f>
        <v>-0.64388478613809508</v>
      </c>
      <c r="N181" s="55" cm="1">
        <f t="array" ref="N181">(VLOOKUP($A181,'The List'!$B1:$AH671,26,FALSE)-AVERAGE('The List'!AA2:AA671))/STDEV('The List'!AA2:AA671)</f>
        <v>-0.55305790075612649</v>
      </c>
      <c r="O181" s="55" cm="1">
        <f t="array" ref="O181">(VLOOKUP($A181,'The List'!$B1:$AH671,27,FALSE)-AVERAGE('The List'!AB2:AB671))/STDEV('The List'!AB2:AB671)</f>
        <v>-9.5069859258360506E-2</v>
      </c>
      <c r="P181" s="55" cm="1">
        <f t="array" ref="P181">(VLOOKUP($A181,'The List'!$B1:$AH671,28,FALSE)-AVERAGE('The List'!AC2:AC671))/STDEV('The List'!AC2:AC671)</f>
        <v>0.20325052937948943</v>
      </c>
      <c r="Q181" s="55" cm="1">
        <f t="array" ref="Q181">(VLOOKUP($A181,'The List'!$B1:$AH671,29,FALSE)-AVERAGE('The List'!AD2:AD671))/STDEV('The List'!AD2:AD671)</f>
        <v>-0.2754949161515266</v>
      </c>
      <c r="R181" s="55" cm="1">
        <f t="array" ref="R181">(VLOOKUP($A181,'The List'!$B1:$AH671,30,FALSE)-AVERAGE('The List'!AE2:AE671))/STDEV('The List'!AE2:AE671)</f>
        <v>0.4270917394211724</v>
      </c>
      <c r="S181" s="55" cm="1">
        <f t="array" ref="S181">(VLOOKUP($A181,'The List'!$B1:$AH671,31,FALSE)-AVERAGE('The List'!AF2:AF671))/STDEV('The List'!AF2:AF671)</f>
        <v>1.5478496379400986</v>
      </c>
      <c r="T181" s="55" cm="1">
        <f t="array" ref="T181">(VLOOKUP($A181,'The List'!$B1:$AH671,32,FALSE)-AVERAGE('The List'!AG2:AG671))/STDEV('The List'!AG2:AG671)</f>
        <v>1.4619738358300638</v>
      </c>
      <c r="U181" s="55" cm="1">
        <f t="array" ref="U181">(VLOOKUP($A181,'The List'!$B1:$AH671,33,FALSE)-AVERAGE('The List'!AH2:AH671))/STDEV('The List'!AH2:AH671)</f>
        <v>1.1366970102784557</v>
      </c>
      <c r="V181" s="55"/>
      <c r="W181" s="77"/>
      <c r="X181" s="57"/>
      <c r="Y181" s="57"/>
      <c r="Z181" s="57"/>
      <c r="AA181" s="57"/>
      <c r="AB181" s="57"/>
      <c r="AC181" s="60"/>
      <c r="AD181" s="61"/>
      <c r="AE181" s="55"/>
    </row>
    <row r="182" spans="1:31" ht="21.25" customHeight="1" x14ac:dyDescent="0.15">
      <c r="A182" s="10" t="s">
        <v>197</v>
      </c>
      <c r="B182" s="18" t="str" cm="1">
        <f t="array" ref="B182">VLOOKUP(A182,'Player Data'!A1:B673,2,FALSE)</f>
        <v>DAL</v>
      </c>
      <c r="C182" s="52" cm="1">
        <f t="array" ref="C182">((E182)*Settings!$C$12)+(F182*Settings!$C$2)+(G182*Settings!$C$3)+(H182*Settings!$C$4)+(I182*Settings!$C$5)+(K182*Settings!$C$9)+(N182*Settings!$C$6)+(J182*Settings!$C$8)+(O182*Settings!$C$7)+(P182*Settings!$C$14)+(Q182*Settings!$C$15)+(R182*Settings!$C$16)+(S182*Settings!$C$17)+(T182*Settings!$C$18)+(U182*Settings!$C$19)+(L182*Settings!$C$10)+(Settings!$C$11*M182)</f>
        <v>2.0393318062471257</v>
      </c>
      <c r="D182" s="57" cm="1">
        <f t="array" ref="D182">IF(Settings!$E$12="YES",VLOOKUP(A182,'Player Data'!A1:E673,5,FALSE),82)</f>
        <v>81</v>
      </c>
      <c r="E182" s="55" cm="1">
        <f t="array" ref="E182">(VLOOKUP($A182,'The List'!$B1:$AH671,17,FALSE)-AVERAGE('The List'!R2:R671))/STDEV('The List'!R2:R671)</f>
        <v>1.5439285043556377</v>
      </c>
      <c r="F182" s="55" cm="1">
        <f t="array" ref="F182">(VLOOKUP($A182,'The List'!$B1:$AH671,18,FALSE)-AVERAGE('The List'!S2:S671))/STDEV('The List'!S2:S671)</f>
        <v>-9.9372111263355434E-2</v>
      </c>
      <c r="G182" s="55" cm="1">
        <f t="array" ref="G182">(VLOOKUP($A182,'The List'!$B1:$AH671,19,FALSE)-AVERAGE('The List'!T2:T671))/STDEV('The List'!T2:T671)</f>
        <v>0.90768337662296605</v>
      </c>
      <c r="H182" s="55" cm="1">
        <f t="array" ref="H182">(VLOOKUP($A182,'The List'!$B1:$AH671,20,FALSE)-AVERAGE('The List'!U2:U671))/STDEV('The List'!U2:U671)</f>
        <v>0.52697961056365639</v>
      </c>
      <c r="I182" s="55" cm="1">
        <f t="array" ref="I182">(VLOOKUP($A182,'The List'!$B1:$AH671,21,FALSE)-AVERAGE('The List'!V2:V671))/STDEV('The List'!V2:V671)</f>
        <v>0.44092780500946804</v>
      </c>
      <c r="J182" s="55" cm="1">
        <f t="array" ref="J182">(VLOOKUP($A182,'The List'!$B1:$AH671,22,FALSE)-AVERAGE('The List'!W2:W671))/STDEV('The List'!W2:W671)</f>
        <v>-0.50363363074106449</v>
      </c>
      <c r="K182" s="55" cm="1">
        <f t="array" ref="K182">(VLOOKUP($A182,'The List'!$B1:$AH671,23,FALSE)-AVERAGE('The List'!X2:X671))/STDEV('The List'!X2:X671)</f>
        <v>0.22408537466068573</v>
      </c>
      <c r="L182" s="55" cm="1">
        <f t="array" ref="L182">(VLOOKUP($A182,'The List'!$B1:$AH671,24,FALSE)-AVERAGE('The List'!Y2:Y671))/STDEV('The List'!Y2:Y671)</f>
        <v>-0.47546929358800777</v>
      </c>
      <c r="M182" s="55" cm="1">
        <f t="array" ref="M182">(VLOOKUP($A182,'The List'!$B1:$AH671,25,FALSE)-AVERAGE('The List'!Z2:Z671))/STDEV('The List'!Z2:Z671)</f>
        <v>-0.64388478613809508</v>
      </c>
      <c r="N182" s="55" cm="1">
        <f t="array" ref="N182">(VLOOKUP($A182,'The List'!$B1:$AH671,26,FALSE)-AVERAGE('The List'!AA2:AA671))/STDEV('The List'!AA2:AA671)</f>
        <v>2.0181506449799032</v>
      </c>
      <c r="O182" s="55" cm="1">
        <f t="array" ref="O182">(VLOOKUP($A182,'The List'!$B1:$AH671,27,FALSE)-AVERAGE('The List'!AB2:AB671))/STDEV('The List'!AB2:AB671)</f>
        <v>-0.80576131048474431</v>
      </c>
      <c r="P182" s="55" cm="1">
        <f t="array" ref="P182">(VLOOKUP($A182,'The List'!$B1:$AH671,28,FALSE)-AVERAGE('The List'!AC2:AC671))/STDEV('The List'!AC2:AC671)</f>
        <v>1.3717686717021058</v>
      </c>
      <c r="Q182" s="55" cm="1">
        <f t="array" ref="Q182">(VLOOKUP($A182,'The List'!$B1:$AH671,29,FALSE)-AVERAGE('The List'!AD2:AD671))/STDEV('The List'!AD2:AD671)</f>
        <v>-0.45872821729013308</v>
      </c>
      <c r="R182" s="55" cm="1">
        <f t="array" ref="R182">(VLOOKUP($A182,'The List'!$B1:$AH671,30,FALSE)-AVERAGE('The List'!AE2:AE671))/STDEV('The List'!AE2:AE671)</f>
        <v>0.24712575705954382</v>
      </c>
      <c r="S182" s="55" cm="1">
        <f t="array" ref="S182">(VLOOKUP($A182,'The List'!$B1:$AH671,31,FALSE)-AVERAGE('The List'!AF2:AF671))/STDEV('The List'!AF2:AF671)</f>
        <v>-0.59581850454342256</v>
      </c>
      <c r="T182" s="55" cm="1">
        <f t="array" ref="T182">(VLOOKUP($A182,'The List'!$B1:$AH671,32,FALSE)-AVERAGE('The List'!AG2:AG671))/STDEV('The List'!AG2:AG671)</f>
        <v>-0.64684275008198677</v>
      </c>
      <c r="U182" s="55" cm="1">
        <f t="array" ref="U182">(VLOOKUP($A182,'The List'!$B1:$AH671,33,FALSE)-AVERAGE('The List'!AH2:AH671))/STDEV('The List'!AH2:AH671)</f>
        <v>-1.2552626683789523</v>
      </c>
      <c r="V182" s="55"/>
      <c r="W182" s="77"/>
      <c r="X182" s="57"/>
      <c r="Y182" s="57"/>
      <c r="Z182" s="57"/>
      <c r="AA182" s="57"/>
      <c r="AB182" s="57"/>
      <c r="AC182" s="60"/>
      <c r="AD182" s="61"/>
      <c r="AE182" s="55"/>
    </row>
    <row r="183" spans="1:31" ht="21.25" customHeight="1" x14ac:dyDescent="0.15">
      <c r="A183" s="10" t="s">
        <v>319</v>
      </c>
      <c r="B183" s="18" t="str" cm="1">
        <f t="array" ref="B183">VLOOKUP(A183,'Player Data'!A1:B673,2,FALSE)</f>
        <v>VAN</v>
      </c>
      <c r="C183" s="52" cm="1">
        <f t="array" ref="C183">((E183)*Settings!$C$12)+(F183*Settings!$C$2)+(G183*Settings!$C$3)+(H183*Settings!$C$4)+(I183*Settings!$C$5)+(K183*Settings!$C$9)+(N183*Settings!$C$6)+(J183*Settings!$C$8)+(O183*Settings!$C$7)+(P183*Settings!$C$14)+(Q183*Settings!$C$15)+(R183*Settings!$C$16)+(S183*Settings!$C$17)+(T183*Settings!$C$18)+(U183*Settings!$C$19)+(L183*Settings!$C$10)+(Settings!$C$11*M183)</f>
        <v>1.8804872106825958</v>
      </c>
      <c r="D183" s="57" cm="1">
        <f t="array" ref="D183">IF(Settings!$E$12="YES",VLOOKUP(A183,'Player Data'!A1:E673,5,FALSE),82)</f>
        <v>84</v>
      </c>
      <c r="E183" s="55" cm="1">
        <f t="array" ref="E183">(VLOOKUP($A183,'The List'!$B1:$AH671,17,FALSE)-AVERAGE('The List'!R2:R671))/STDEV('The List'!R2:R671)</f>
        <v>0.28478721591823775</v>
      </c>
      <c r="F183" s="55" cm="1">
        <f t="array" ref="F183">(VLOOKUP($A183,'The List'!$B1:$AH671,18,FALSE)-AVERAGE('The List'!S2:S671))/STDEV('The List'!S2:S671)</f>
        <v>1.2261407639019535</v>
      </c>
      <c r="G183" s="55" cm="1">
        <f t="array" ref="G183">(VLOOKUP($A183,'The List'!$B1:$AH671,19,FALSE)-AVERAGE('The List'!T2:T671))/STDEV('The List'!T2:T671)</f>
        <v>-9.4908616470969365E-3</v>
      </c>
      <c r="H183" s="55" cm="1">
        <f t="array" ref="H183">(VLOOKUP($A183,'The List'!$B1:$AH671,20,FALSE)-AVERAGE('The List'!U2:U671))/STDEV('The List'!U2:U671)</f>
        <v>0.53719147633559694</v>
      </c>
      <c r="I183" s="55" cm="1">
        <f t="array" ref="I183">(VLOOKUP($A183,'The List'!$B1:$AH671,21,FALSE)-AVERAGE('The List'!V2:V671))/STDEV('The List'!V2:V671)</f>
        <v>1.6908380563393317</v>
      </c>
      <c r="J183" s="55" cm="1">
        <f t="array" ref="J183">(VLOOKUP($A183,'The List'!$B1:$AH671,22,FALSE)-AVERAGE('The List'!W2:W671))/STDEV('The List'!W2:W671)</f>
        <v>3.4375578604942931</v>
      </c>
      <c r="K183" s="55" cm="1">
        <f t="array" ref="K183">(VLOOKUP($A183,'The List'!$B1:$AH671,23,FALSE)-AVERAGE('The List'!X2:X671))/STDEV('The List'!X2:X671)</f>
        <v>1.47764339058961</v>
      </c>
      <c r="L183" s="55" cm="1">
        <f t="array" ref="L183">(VLOOKUP($A183,'The List'!$B1:$AH671,24,FALSE)-AVERAGE('The List'!Y2:Y671))/STDEV('The List'!Y2:Y671)</f>
        <v>1.0643760379302476</v>
      </c>
      <c r="M183" s="55" cm="1">
        <f t="array" ref="M183">(VLOOKUP($A183,'The List'!$B1:$AH671,25,FALSE)-AVERAGE('The List'!Z2:Z671))/STDEV('The List'!Z2:Z671)</f>
        <v>0.26887555677241731</v>
      </c>
      <c r="N183" s="55" cm="1">
        <f t="array" ref="N183">(VLOOKUP($A183,'The List'!$B1:$AH671,26,FALSE)-AVERAGE('The List'!AA2:AA671))/STDEV('The List'!AA2:AA671)</f>
        <v>-0.46443076602180622</v>
      </c>
      <c r="O183" s="55" cm="1">
        <f t="array" ref="O183">(VLOOKUP($A183,'The List'!$B1:$AH671,27,FALSE)-AVERAGE('The List'!AB2:AB671))/STDEV('The List'!AB2:AB671)</f>
        <v>-2.9678866197726729E-2</v>
      </c>
      <c r="P183" s="55" cm="1">
        <f t="array" ref="P183">(VLOOKUP($A183,'The List'!$B1:$AH671,28,FALSE)-AVERAGE('The List'!AC2:AC671))/STDEV('The List'!AC2:AC671)</f>
        <v>-2.4749652723034754</v>
      </c>
      <c r="Q183" s="55" cm="1">
        <f t="array" ref="Q183">(VLOOKUP($A183,'The List'!$B1:$AH671,29,FALSE)-AVERAGE('The List'!AD2:AD671))/STDEV('The List'!AD2:AD671)</f>
        <v>-0.82223944374252989</v>
      </c>
      <c r="R183" s="55" cm="1">
        <f t="array" ref="R183">(VLOOKUP($A183,'The List'!$B1:$AH671,30,FALSE)-AVERAGE('The List'!AE2:AE671))/STDEV('The List'!AE2:AE671)</f>
        <v>0.75146716690140425</v>
      </c>
      <c r="S183" s="55" cm="1">
        <f t="array" ref="S183">(VLOOKUP($A183,'The List'!$B1:$AH671,31,FALSE)-AVERAGE('The List'!AF2:AF671))/STDEV('The List'!AF2:AF671)</f>
        <v>-0.53524117747046041</v>
      </c>
      <c r="T183" s="55" cm="1">
        <f t="array" ref="T183">(VLOOKUP($A183,'The List'!$B1:$AH671,32,FALSE)-AVERAGE('The List'!AG2:AG671))/STDEV('The List'!AG2:AG671)</f>
        <v>-0.53967187668729855</v>
      </c>
      <c r="U183" s="55" cm="1">
        <f t="array" ref="U183">(VLOOKUP($A183,'The List'!$B1:$AH671,33,FALSE)-AVERAGE('The List'!AH2:AH671))/STDEV('The List'!AH2:AH671)</f>
        <v>0.49270786602453809</v>
      </c>
      <c r="V183" s="55"/>
      <c r="W183" s="57"/>
      <c r="X183" s="57"/>
      <c r="Y183" s="57"/>
      <c r="Z183" s="57"/>
      <c r="AA183" s="57"/>
      <c r="AB183" s="57"/>
      <c r="AC183" s="60"/>
      <c r="AD183" s="61"/>
      <c r="AE183" s="55"/>
    </row>
    <row r="184" spans="1:31" ht="21.25" customHeight="1" x14ac:dyDescent="0.15">
      <c r="A184" s="10" t="s">
        <v>178</v>
      </c>
      <c r="B184" s="18" t="str" cm="1">
        <f t="array" ref="B184">VLOOKUP(A184,'Player Data'!A1:B673,2,FALSE)</f>
        <v>MTL</v>
      </c>
      <c r="C184" s="52" cm="1">
        <f t="array" ref="C184">((E184)*Settings!$C$12)+(F184*Settings!$C$2)+(G184*Settings!$C$3)+(H184*Settings!$C$4)+(I184*Settings!$C$5)+(K184*Settings!$C$9)+(N184*Settings!$C$6)+(J184*Settings!$C$8)+(O184*Settings!$C$7)+(P184*Settings!$C$14)+(Q184*Settings!$C$15)+(R184*Settings!$C$16)+(S184*Settings!$C$17)+(T184*Settings!$C$18)+(U184*Settings!$C$19)+(L184*Settings!$C$10)+(Settings!$C$11*M184)</f>
        <v>1.4431460622167667</v>
      </c>
      <c r="D184" s="57" cm="1">
        <f t="array" ref="D184">IF(Settings!$E$12="YES",VLOOKUP(A184,'Player Data'!A1:E673,5,FALSE),82)</f>
        <v>82</v>
      </c>
      <c r="E184" s="55" cm="1">
        <f t="array" ref="E184">(VLOOKUP($A184,'The List'!$B1:$AH671,17,FALSE)-AVERAGE('The List'!R2:R671))/STDEV('The List'!R2:R671)</f>
        <v>1.6488569450587549</v>
      </c>
      <c r="F184" s="55" cm="1">
        <f t="array" ref="F184">(VLOOKUP($A184,'The List'!$B1:$AH671,18,FALSE)-AVERAGE('The List'!S2:S671))/STDEV('The List'!S2:S671)</f>
        <v>-0.30868987942892939</v>
      </c>
      <c r="G184" s="55" cm="1">
        <f t="array" ref="G184">(VLOOKUP($A184,'The List'!$B1:$AH671,19,FALSE)-AVERAGE('The List'!T2:T671))/STDEV('The List'!T2:T671)</f>
        <v>0.93076821263964715</v>
      </c>
      <c r="H184" s="55" cm="1">
        <f t="array" ref="H184">(VLOOKUP($A184,'The List'!$B1:$AH671,20,FALSE)-AVERAGE('The List'!U2:U671))/STDEV('The List'!U2:U671)</f>
        <v>0.4487770540677139</v>
      </c>
      <c r="I184" s="55" cm="1">
        <f t="array" ref="I184">(VLOOKUP($A184,'The List'!$B1:$AH671,21,FALSE)-AVERAGE('The List'!V2:V671))/STDEV('The List'!V2:V671)</f>
        <v>0.77687112330250008</v>
      </c>
      <c r="J184" s="55" cm="1">
        <f t="array" ref="J184">(VLOOKUP($A184,'The List'!$B1:$AH671,22,FALSE)-AVERAGE('The List'!W2:W671))/STDEV('The List'!W2:W671)</f>
        <v>-0.51205763582061725</v>
      </c>
      <c r="K184" s="55" cm="1">
        <f t="array" ref="K184">(VLOOKUP($A184,'The List'!$B1:$AH671,23,FALSE)-AVERAGE('The List'!X2:X671))/STDEV('The List'!X2:X671)</f>
        <v>2.2495076444121676E-2</v>
      </c>
      <c r="L184" s="55" cm="1">
        <f t="array" ref="L184">(VLOOKUP($A184,'The List'!$B1:$AH671,24,FALSE)-AVERAGE('The List'!Y2:Y671))/STDEV('The List'!Y2:Y671)</f>
        <v>-0.47546929358800777</v>
      </c>
      <c r="M184" s="55" cm="1">
        <f t="array" ref="M184">(VLOOKUP($A184,'The List'!$B1:$AH671,25,FALSE)-AVERAGE('The List'!Z2:Z671))/STDEV('The List'!Z2:Z671)</f>
        <v>0.24714316765550046</v>
      </c>
      <c r="N184" s="55" cm="1">
        <f t="array" ref="N184">(VLOOKUP($A184,'The List'!$B1:$AH671,26,FALSE)-AVERAGE('The List'!AA2:AA671))/STDEV('The List'!AA2:AA671)</f>
        <v>2.8380154936749116</v>
      </c>
      <c r="O184" s="55" cm="1">
        <f t="array" ref="O184">(VLOOKUP($A184,'The List'!$B1:$AH671,27,FALSE)-AVERAGE('The List'!AB2:AB671))/STDEV('The List'!AB2:AB671)</f>
        <v>-0.40726572894909657</v>
      </c>
      <c r="P184" s="55" cm="1">
        <f t="array" ref="P184">(VLOOKUP($A184,'The List'!$B1:$AH671,28,FALSE)-AVERAGE('The List'!AC2:AC671))/STDEV('The List'!AC2:AC671)</f>
        <v>0.42896725820852377</v>
      </c>
      <c r="Q184" s="55" cm="1">
        <f t="array" ref="Q184">(VLOOKUP($A184,'The List'!$B1:$AH671,29,FALSE)-AVERAGE('The List'!AD2:AD671))/STDEV('The List'!AD2:AD671)</f>
        <v>0.41310765103065555</v>
      </c>
      <c r="R184" s="55" cm="1">
        <f t="array" ref="R184">(VLOOKUP($A184,'The List'!$B1:$AH671,30,FALSE)-AVERAGE('The List'!AE2:AE671))/STDEV('The List'!AE2:AE671)</f>
        <v>-0.32146693937936244</v>
      </c>
      <c r="S184" s="55" cm="1">
        <f t="array" ref="S184">(VLOOKUP($A184,'The List'!$B1:$AH671,31,FALSE)-AVERAGE('The List'!AF2:AF671))/STDEV('The List'!AF2:AF671)</f>
        <v>-0.59581850454342256</v>
      </c>
      <c r="T184" s="55" cm="1">
        <f t="array" ref="T184">(VLOOKUP($A184,'The List'!$B1:$AH671,32,FALSE)-AVERAGE('The List'!AG2:AG671))/STDEV('The List'!AG2:AG671)</f>
        <v>-0.64684275008198677</v>
      </c>
      <c r="U184" s="55" cm="1">
        <f t="array" ref="U184">(VLOOKUP($A184,'The List'!$B1:$AH671,33,FALSE)-AVERAGE('The List'!AH2:AH671))/STDEV('The List'!AH2:AH671)</f>
        <v>-1.2552626683789523</v>
      </c>
      <c r="V184" s="55"/>
      <c r="W184" s="57"/>
      <c r="X184" s="55"/>
      <c r="Y184" s="55"/>
      <c r="Z184" s="55"/>
      <c r="AA184" s="55"/>
      <c r="AB184" s="55"/>
      <c r="AC184" s="55"/>
      <c r="AD184" s="55"/>
      <c r="AE184" s="55"/>
    </row>
    <row r="185" spans="1:31" ht="21.25" customHeight="1" x14ac:dyDescent="0.15">
      <c r="A185" s="10" t="s">
        <v>527</v>
      </c>
      <c r="B185" s="18" t="str" cm="1">
        <f t="array" ref="B185">VLOOKUP(A185,'Player Data'!A1:B673,2,FALSE)</f>
        <v>SEA</v>
      </c>
      <c r="C185" s="52" cm="1">
        <f t="array" ref="C185">((E185)*Settings!$C$12)+(F185*Settings!$C$2)+(G185*Settings!$C$3)+(H185*Settings!$C$4)+(I185*Settings!$C$5)+(K185*Settings!$C$9)+(N185*Settings!$C$6)+(J185*Settings!$C$8)+(O185*Settings!$C$7)+(P185*Settings!$C$14)+(Q185*Settings!$C$15)+(R185*Settings!$C$16)+(S185*Settings!$C$17)+(T185*Settings!$C$18)+(U185*Settings!$C$19)+(L185*Settings!$C$10)+(Settings!$C$11*M185)</f>
        <v>-1.3644384587056608</v>
      </c>
      <c r="D185" s="57" cm="1">
        <f t="array" ref="D185">IF(Settings!$E$12="YES",VLOOKUP(A185,'Player Data'!A1:E673,5,FALSE),82)</f>
        <v>79</v>
      </c>
      <c r="E185" s="55" cm="1">
        <f t="array" ref="E185">(VLOOKUP($A185,'The List'!$B1:$AH671,17,FALSE)-AVERAGE('The List'!R2:R671))/STDEV('The List'!R2:R671)</f>
        <v>-0.44971186900357851</v>
      </c>
      <c r="F185" s="55" cm="1">
        <f t="array" ref="F185">(VLOOKUP($A185,'The List'!$B1:$AH671,18,FALSE)-AVERAGE('The List'!S2:S671))/STDEV('The List'!S2:S671)</f>
        <v>0.28308812544442141</v>
      </c>
      <c r="G185" s="55" cm="1">
        <f t="array" ref="G185">(VLOOKUP($A185,'The List'!$B1:$AH671,19,FALSE)-AVERAGE('The List'!T2:T671))/STDEV('The List'!T2:T671)</f>
        <v>0.39177067155001127</v>
      </c>
      <c r="H185" s="55" cm="1">
        <f t="array" ref="H185">(VLOOKUP($A185,'The List'!$B1:$AH671,20,FALSE)-AVERAGE('The List'!U2:U671))/STDEV('The List'!U2:U671)</f>
        <v>0.37185650669465564</v>
      </c>
      <c r="I185" s="55" cm="1">
        <f t="array" ref="I185">(VLOOKUP($A185,'The List'!$B1:$AH671,21,FALSE)-AVERAGE('The List'!V2:V671))/STDEV('The List'!V2:V671)</f>
        <v>-0.23229349973495406</v>
      </c>
      <c r="J185" s="55" cm="1">
        <f t="array" ref="J185">(VLOOKUP($A185,'The List'!$B1:$AH671,22,FALSE)-AVERAGE('The List'!W2:W671))/STDEV('The List'!W2:W671)</f>
        <v>0.35243862316299607</v>
      </c>
      <c r="K185" s="55" cm="1">
        <f t="array" ref="K185">(VLOOKUP($A185,'The List'!$B1:$AH671,23,FALSE)-AVERAGE('The List'!X2:X671))/STDEV('The List'!X2:X671)</f>
        <v>0.23051696941933983</v>
      </c>
      <c r="L185" s="55" cm="1">
        <f t="array" ref="L185">(VLOOKUP($A185,'The List'!$B1:$AH671,24,FALSE)-AVERAGE('The List'!Y2:Y671))/STDEV('The List'!Y2:Y671)</f>
        <v>-0.47546929358800777</v>
      </c>
      <c r="M185" s="55" cm="1">
        <f t="array" ref="M185">(VLOOKUP($A185,'The List'!$B1:$AH671,25,FALSE)-AVERAGE('The List'!Z2:Z671))/STDEV('The List'!Z2:Z671)</f>
        <v>-0.64388478613809508</v>
      </c>
      <c r="N185" s="55" cm="1">
        <f t="array" ref="N185">(VLOOKUP($A185,'The List'!$B1:$AH671,26,FALSE)-AVERAGE('The List'!AA2:AA671))/STDEV('The List'!AA2:AA671)</f>
        <v>-1.0781800592972286</v>
      </c>
      <c r="O185" s="55" cm="1">
        <f t="array" ref="O185">(VLOOKUP($A185,'The List'!$B1:$AH671,27,FALSE)-AVERAGE('The List'!AB2:AB671))/STDEV('The List'!AB2:AB671)</f>
        <v>-0.73237580730071028</v>
      </c>
      <c r="P185" s="55" cm="1">
        <f t="array" ref="P185">(VLOOKUP($A185,'The List'!$B1:$AH671,28,FALSE)-AVERAGE('The List'!AC2:AC671))/STDEV('The List'!AC2:AC671)</f>
        <v>-1.3051449180837689</v>
      </c>
      <c r="Q185" s="55" cm="1">
        <f t="array" ref="Q185">(VLOOKUP($A185,'The List'!$B1:$AH671,29,FALSE)-AVERAGE('The List'!AD2:AD671))/STDEV('The List'!AD2:AD671)</f>
        <v>-0.44764555794707234</v>
      </c>
      <c r="R185" s="55" cm="1">
        <f t="array" ref="R185">(VLOOKUP($A185,'The List'!$B1:$AH671,30,FALSE)-AVERAGE('The List'!AE2:AE671))/STDEV('The List'!AE2:AE671)</f>
        <v>0.13390625689096303</v>
      </c>
      <c r="S185" s="55" cm="1">
        <f t="array" ref="S185">(VLOOKUP($A185,'The List'!$B1:$AH671,31,FALSE)-AVERAGE('The List'!AF2:AF671))/STDEV('The List'!AF2:AF671)</f>
        <v>-0.4628849256888668</v>
      </c>
      <c r="T185" s="55" cm="1">
        <f t="array" ref="T185">(VLOOKUP($A185,'The List'!$B1:$AH671,32,FALSE)-AVERAGE('The List'!AG2:AG671))/STDEV('The List'!AG2:AG671)</f>
        <v>-0.50573443344564728</v>
      </c>
      <c r="U185" s="55" cm="1">
        <f t="array" ref="U185">(VLOOKUP($A185,'The List'!$B1:$AH671,33,FALSE)-AVERAGE('The List'!AH2:AH671))/STDEV('The List'!AH2:AH671)</f>
        <v>1.0446985610993245</v>
      </c>
      <c r="V185" s="55"/>
      <c r="W185" s="57"/>
      <c r="X185" s="55"/>
      <c r="Y185" s="55"/>
      <c r="Z185" s="55"/>
      <c r="AA185" s="55"/>
      <c r="AB185" s="55"/>
      <c r="AC185" s="55"/>
      <c r="AD185" s="55"/>
      <c r="AE185" s="55"/>
    </row>
    <row r="186" spans="1:31" ht="21.25" customHeight="1" x14ac:dyDescent="0.15">
      <c r="A186" s="10" t="s">
        <v>438</v>
      </c>
      <c r="B186" s="18" t="str" cm="1">
        <f t="array" ref="B186">VLOOKUP(A186,'Player Data'!A1:B673,2,FALSE)</f>
        <v>ANA</v>
      </c>
      <c r="C186" s="52" cm="1">
        <f t="array" ref="C186">((E186)*Settings!$C$12)+(F186*Settings!$C$2)+(G186*Settings!$C$3)+(H186*Settings!$C$4)+(I186*Settings!$C$5)+(K186*Settings!$C$9)+(N186*Settings!$C$6)+(J186*Settings!$C$8)+(O186*Settings!$C$7)+(P186*Settings!$C$14)+(Q186*Settings!$C$15)+(R186*Settings!$C$16)+(S186*Settings!$C$17)+(T186*Settings!$C$18)+(U186*Settings!$C$19)+(L186*Settings!$C$10)+(Settings!$C$11*M186)</f>
        <v>-0.11116062319155884</v>
      </c>
      <c r="D186" s="57" cm="1">
        <f t="array" ref="D186">IF(Settings!$E$12="YES",VLOOKUP(A186,'Player Data'!A1:E673,5,FALSE),82)</f>
        <v>81</v>
      </c>
      <c r="E186" s="55" cm="1">
        <f t="array" ref="E186">(VLOOKUP($A186,'The List'!$B1:$AH671,17,FALSE)-AVERAGE('The List'!R2:R671))/STDEV('The List'!R2:R671)</f>
        <v>-3.7659960153324803E-3</v>
      </c>
      <c r="F186" s="55" cm="1">
        <f t="array" ref="F186">(VLOOKUP($A186,'The List'!$B1:$AH671,18,FALSE)-AVERAGE('The List'!S2:S671))/STDEV('The List'!S2:S671)</f>
        <v>0.48666774263525397</v>
      </c>
      <c r="G186" s="55" cm="1">
        <f t="array" ref="G186">(VLOOKUP($A186,'The List'!$B1:$AH671,19,FALSE)-AVERAGE('The List'!T2:T671))/STDEV('The List'!T2:T671)</f>
        <v>-0.23928511971269165</v>
      </c>
      <c r="H186" s="55" cm="1">
        <f t="array" ref="H186">(VLOOKUP($A186,'The List'!$B1:$AH671,20,FALSE)-AVERAGE('The List'!U2:U671))/STDEV('The List'!U2:U671)</f>
        <v>6.5058461425101757E-2</v>
      </c>
      <c r="I186" s="55" cm="1">
        <f t="array" ref="I186">(VLOOKUP($A186,'The List'!$B1:$AH671,21,FALSE)-AVERAGE('The List'!V2:V671))/STDEV('The List'!V2:V671)</f>
        <v>0.30692971349906328</v>
      </c>
      <c r="J186" s="55" cm="1">
        <f t="array" ref="J186">(VLOOKUP($A186,'The List'!$B1:$AH671,22,FALSE)-AVERAGE('The List'!W2:W671))/STDEV('The List'!W2:W671)</f>
        <v>0.38005831194841494</v>
      </c>
      <c r="K186" s="55" cm="1">
        <f t="array" ref="K186">(VLOOKUP($A186,'The List'!$B1:$AH671,23,FALSE)-AVERAGE('The List'!X2:X671))/STDEV('The List'!X2:X671)</f>
        <v>-0.15035403269470712</v>
      </c>
      <c r="L186" s="55" cm="1">
        <f t="array" ref="L186">(VLOOKUP($A186,'The List'!$B1:$AH671,24,FALSE)-AVERAGE('The List'!Y2:Y671))/STDEV('The List'!Y2:Y671)</f>
        <v>1.0093815618045958</v>
      </c>
      <c r="M186" s="55" cm="1">
        <f t="array" ref="M186">(VLOOKUP($A186,'The List'!$B1:$AH671,25,FALSE)-AVERAGE('The List'!Z2:Z671))/STDEV('The List'!Z2:Z671)</f>
        <v>0.23627697309704196</v>
      </c>
      <c r="N186" s="55" cm="1">
        <f t="array" ref="N186">(VLOOKUP($A186,'The List'!$B1:$AH671,26,FALSE)-AVERAGE('The List'!AA2:AA671))/STDEV('The List'!AA2:AA671)</f>
        <v>-0.96094704822214805</v>
      </c>
      <c r="O186" s="55" cm="1">
        <f t="array" ref="O186">(VLOOKUP($A186,'The List'!$B1:$AH671,27,FALSE)-AVERAGE('The List'!AB2:AB671))/STDEV('The List'!AB2:AB671)</f>
        <v>-5.8582095105404804E-2</v>
      </c>
      <c r="P186" s="55" cm="1">
        <f t="array" ref="P186">(VLOOKUP($A186,'The List'!$B1:$AH671,28,FALSE)-AVERAGE('The List'!AC2:AC671))/STDEV('The List'!AC2:AC671)</f>
        <v>-0.45653683181307247</v>
      </c>
      <c r="Q186" s="55" cm="1">
        <f t="array" ref="Q186">(VLOOKUP($A186,'The List'!$B1:$AH671,29,FALSE)-AVERAGE('The List'!AD2:AD671))/STDEV('The List'!AD2:AD671)</f>
        <v>-9.9650054574960775E-2</v>
      </c>
      <c r="R186" s="55" cm="1">
        <f t="array" ref="R186">(VLOOKUP($A186,'The List'!$B1:$AH671,30,FALSE)-AVERAGE('The List'!AE2:AE671))/STDEV('The List'!AE2:AE671)</f>
        <v>0.17133419083098952</v>
      </c>
      <c r="S186" s="55" cm="1">
        <f t="array" ref="S186">(VLOOKUP($A186,'The List'!$B1:$AH671,31,FALSE)-AVERAGE('The List'!AF2:AF671))/STDEV('The List'!AF2:AF671)</f>
        <v>-0.49456782929290011</v>
      </c>
      <c r="T186" s="55" cm="1">
        <f t="array" ref="T186">(VLOOKUP($A186,'The List'!$B1:$AH671,32,FALSE)-AVERAGE('The List'!AG2:AG671))/STDEV('The List'!AG2:AG671)</f>
        <v>-0.46495846780643019</v>
      </c>
      <c r="U186" s="55" cm="1">
        <f t="array" ref="U186">(VLOOKUP($A186,'The List'!$B1:$AH671,33,FALSE)-AVERAGE('The List'!AH2:AH671))/STDEV('The List'!AH2:AH671)</f>
        <v>0.44670864143497252</v>
      </c>
      <c r="V186" s="55"/>
      <c r="W186" s="77"/>
      <c r="X186" s="57"/>
      <c r="Y186" s="57"/>
      <c r="Z186" s="57"/>
      <c r="AA186" s="57"/>
      <c r="AB186" s="57"/>
      <c r="AC186" s="60"/>
      <c r="AD186" s="61"/>
      <c r="AE186" s="55"/>
    </row>
    <row r="187" spans="1:31" ht="21.25" customHeight="1" x14ac:dyDescent="0.15">
      <c r="A187" s="10" t="s">
        <v>511</v>
      </c>
      <c r="B187" s="18" t="str" cm="1">
        <f t="array" ref="B187">VLOOKUP(A187,'Player Data'!A1:B673,2,FALSE)</f>
        <v>CAR</v>
      </c>
      <c r="C187" s="52" cm="1">
        <f t="array" ref="C187">((E187)*Settings!$C$12)+(F187*Settings!$C$2)+(G187*Settings!$C$3)+(H187*Settings!$C$4)+(I187*Settings!$C$5)+(K187*Settings!$C$9)+(N187*Settings!$C$6)+(J187*Settings!$C$8)+(O187*Settings!$C$7)+(P187*Settings!$C$14)+(Q187*Settings!$C$15)+(R187*Settings!$C$16)+(S187*Settings!$C$17)+(T187*Settings!$C$18)+(U187*Settings!$C$19)+(L187*Settings!$C$10)+(Settings!$C$11*M187)</f>
        <v>1.4364954754847701</v>
      </c>
      <c r="D187" s="57" cm="1">
        <f t="array" ref="D187">IF(Settings!$E$12="YES",VLOOKUP(A187,'Player Data'!A1:E673,5,FALSE),82)</f>
        <v>76</v>
      </c>
      <c r="E187" s="55" cm="1">
        <f t="array" ref="E187">(VLOOKUP($A187,'The List'!$B1:$AH671,17,FALSE)-AVERAGE('The List'!R2:R671))/STDEV('The List'!R2:R671)</f>
        <v>-0.31855131812468268</v>
      </c>
      <c r="F187" s="55" cm="1">
        <f t="array" ref="F187">(VLOOKUP($A187,'The List'!$B1:$AH671,18,FALSE)-AVERAGE('The List'!S2:S671))/STDEV('The List'!S2:S671)</f>
        <v>0.37190472314042183</v>
      </c>
      <c r="G187" s="55" cm="1">
        <f t="array" ref="G187">(VLOOKUP($A187,'The List'!$B1:$AH671,19,FALSE)-AVERAGE('The List'!T2:T671))/STDEV('The List'!T2:T671)</f>
        <v>0.15354359667467044</v>
      </c>
      <c r="H187" s="55" cm="1">
        <f t="array" ref="H187">(VLOOKUP($A187,'The List'!$B1:$AH671,20,FALSE)-AVERAGE('The List'!U2:U671))/STDEV('The List'!U2:U671)</f>
        <v>0.26133847885980221</v>
      </c>
      <c r="I187" s="55" cm="1">
        <f t="array" ref="I187">(VLOOKUP($A187,'The List'!$B1:$AH671,21,FALSE)-AVERAGE('The List'!V2:V671))/STDEV('The List'!V2:V671)</f>
        <v>0.23194641502307364</v>
      </c>
      <c r="J187" s="55" cm="1">
        <f t="array" ref="J187">(VLOOKUP($A187,'The List'!$B1:$AH671,22,FALSE)-AVERAGE('The List'!W2:W671))/STDEV('The List'!W2:W671)</f>
        <v>0.10109945521568353</v>
      </c>
      <c r="K187" s="55" cm="1">
        <f t="array" ref="K187">(VLOOKUP($A187,'The List'!$B1:$AH671,23,FALSE)-AVERAGE('The List'!X2:X671))/STDEV('The List'!X2:X671)</f>
        <v>-3.7801124418260494E-2</v>
      </c>
      <c r="L187" s="55" cm="1">
        <f t="array" ref="L187">(VLOOKUP($A187,'The List'!$B1:$AH671,24,FALSE)-AVERAGE('The List'!Y2:Y671))/STDEV('The List'!Y2:Y671)</f>
        <v>-0.47546929358800777</v>
      </c>
      <c r="M187" s="55" cm="1">
        <f t="array" ref="M187">(VLOOKUP($A187,'The List'!$B1:$AH671,25,FALSE)-AVERAGE('The List'!Z2:Z671))/STDEV('The List'!Z2:Z671)</f>
        <v>-0.64388478613809508</v>
      </c>
      <c r="N187" s="55" cm="1">
        <f t="array" ref="N187">(VLOOKUP($A187,'The List'!$B1:$AH671,26,FALSE)-AVERAGE('The List'!AA2:AA671))/STDEV('The List'!AA2:AA671)</f>
        <v>-0.74946789098866906</v>
      </c>
      <c r="O187" s="55" cm="1">
        <f t="array" ref="O187">(VLOOKUP($A187,'The List'!$B1:$AH671,27,FALSE)-AVERAGE('The List'!AB2:AB671))/STDEV('The List'!AB2:AB671)</f>
        <v>-0.66268007801978446</v>
      </c>
      <c r="P187" s="55" cm="1">
        <f t="array" ref="P187">(VLOOKUP($A187,'The List'!$B1:$AH671,28,FALSE)-AVERAGE('The List'!AC2:AC671))/STDEV('The List'!AC2:AC671)</f>
        <v>1.379581943084649</v>
      </c>
      <c r="Q187" s="55" cm="1">
        <f t="array" ref="Q187">(VLOOKUP($A187,'The List'!$B1:$AH671,29,FALSE)-AVERAGE('The List'!AD2:AD671))/STDEV('The List'!AD2:AD671)</f>
        <v>9.6882437775318492E-2</v>
      </c>
      <c r="R187" s="55" cm="1">
        <f t="array" ref="R187">(VLOOKUP($A187,'The List'!$B1:$AH671,30,FALSE)-AVERAGE('The List'!AE2:AE671))/STDEV('The List'!AE2:AE671)</f>
        <v>0.55185151922126174</v>
      </c>
      <c r="S187" s="55" cm="1">
        <f t="array" ref="S187">(VLOOKUP($A187,'The List'!$B1:$AH671,31,FALSE)-AVERAGE('The List'!AF2:AF671))/STDEV('The List'!AF2:AF671)</f>
        <v>-0.47158690680014143</v>
      </c>
      <c r="T187" s="55" cm="1">
        <f t="array" ref="T187">(VLOOKUP($A187,'The List'!$B1:$AH671,32,FALSE)-AVERAGE('The List'!AG2:AG671))/STDEV('The List'!AG2:AG671)</f>
        <v>-0.48394302252206062</v>
      </c>
      <c r="U187" s="55" cm="1">
        <f t="array" ref="U187">(VLOOKUP($A187,'The List'!$B1:$AH671,33,FALSE)-AVERAGE('The List'!AH2:AH671))/STDEV('The List'!AH2:AH671)</f>
        <v>0.76870321356193128</v>
      </c>
      <c r="V187" s="55"/>
      <c r="W187" s="77"/>
      <c r="X187" s="57"/>
      <c r="Y187" s="57"/>
      <c r="Z187" s="57"/>
      <c r="AA187" s="57"/>
      <c r="AB187" s="57"/>
      <c r="AC187" s="60"/>
      <c r="AD187" s="61"/>
      <c r="AE187" s="55"/>
    </row>
    <row r="188" spans="1:31" ht="21.25" customHeight="1" x14ac:dyDescent="0.15">
      <c r="A188" s="10" t="s">
        <v>441</v>
      </c>
      <c r="B188" s="18" t="str" cm="1">
        <f t="array" ref="B188">VLOOKUP(A188,'Player Data'!A1:B673,2,FALSE)</f>
        <v>STL</v>
      </c>
      <c r="C188" s="52" cm="1">
        <f t="array" ref="C188">((E188)*Settings!$C$12)+(F188*Settings!$C$2)+(G188*Settings!$C$3)+(H188*Settings!$C$4)+(I188*Settings!$C$5)+(K188*Settings!$C$9)+(N188*Settings!$C$6)+(J188*Settings!$C$8)+(O188*Settings!$C$7)+(P188*Settings!$C$14)+(Q188*Settings!$C$15)+(R188*Settings!$C$16)+(S188*Settings!$C$17)+(T188*Settings!$C$18)+(U188*Settings!$C$19)+(L188*Settings!$C$10)+(Settings!$C$11*M188)</f>
        <v>0.35096192515902436</v>
      </c>
      <c r="D188" s="57" cm="1">
        <f t="array" ref="D188">IF(Settings!$E$12="YES",VLOOKUP(A188,'Player Data'!A1:E673,5,FALSE),82)</f>
        <v>83</v>
      </c>
      <c r="E188" s="55" cm="1">
        <f t="array" ref="E188">(VLOOKUP($A188,'The List'!$B1:$AH671,17,FALSE)-AVERAGE('The List'!R2:R671))/STDEV('The List'!R2:R671)</f>
        <v>-5.6230216366890615E-2</v>
      </c>
      <c r="F188" s="55" cm="1">
        <f t="array" ref="F188">(VLOOKUP($A188,'The List'!$B1:$AH671,18,FALSE)-AVERAGE('The List'!S2:S671))/STDEV('The List'!S2:S671)</f>
        <v>0.6154019123294564</v>
      </c>
      <c r="G188" s="55" cm="1">
        <f t="array" ref="G188">(VLOOKUP($A188,'The List'!$B1:$AH671,19,FALSE)-AVERAGE('The List'!T2:T671))/STDEV('The List'!T2:T671)</f>
        <v>0.49577541220355253</v>
      </c>
      <c r="H188" s="55" cm="1">
        <f t="array" ref="H188">(VLOOKUP($A188,'The List'!$B1:$AH671,20,FALSE)-AVERAGE('The List'!U2:U671))/STDEV('The List'!U2:U671)</f>
        <v>0.58449319224891394</v>
      </c>
      <c r="I188" s="55" cm="1">
        <f t="array" ref="I188">(VLOOKUP($A188,'The List'!$B1:$AH671,21,FALSE)-AVERAGE('The List'!V2:V671))/STDEV('The List'!V2:V671)</f>
        <v>0.58353860948998326</v>
      </c>
      <c r="J188" s="55" cm="1">
        <f t="array" ref="J188">(VLOOKUP($A188,'The List'!$B1:$AH671,22,FALSE)-AVERAGE('The List'!W2:W671))/STDEV('The List'!W2:W671)</f>
        <v>0.17843458381485669</v>
      </c>
      <c r="K188" s="55" cm="1">
        <f t="array" ref="K188">(VLOOKUP($A188,'The List'!$B1:$AH671,23,FALSE)-AVERAGE('The List'!X2:X671))/STDEV('The List'!X2:X671)</f>
        <v>3.2544443254518662E-2</v>
      </c>
      <c r="L188" s="55" cm="1">
        <f t="array" ref="L188">(VLOOKUP($A188,'The List'!$B1:$AH671,24,FALSE)-AVERAGE('The List'!Y2:Y671))/STDEV('The List'!Y2:Y671)</f>
        <v>-0.47546929358800777</v>
      </c>
      <c r="M188" s="55" cm="1">
        <f t="array" ref="M188">(VLOOKUP($A188,'The List'!$B1:$AH671,25,FALSE)-AVERAGE('The List'!Z2:Z671))/STDEV('The List'!Z2:Z671)</f>
        <v>1.1599035105660132</v>
      </c>
      <c r="N188" s="55" cm="1">
        <f t="array" ref="N188">(VLOOKUP($A188,'The List'!$B1:$AH671,26,FALSE)-AVERAGE('The List'!AA2:AA671))/STDEV('The List'!AA2:AA671)</f>
        <v>-0.45702388732643062</v>
      </c>
      <c r="O188" s="55" cm="1">
        <f t="array" ref="O188">(VLOOKUP($A188,'The List'!$B1:$AH671,27,FALSE)-AVERAGE('The List'!AB2:AB671))/STDEV('The List'!AB2:AB671)</f>
        <v>-0.73094089522727956</v>
      </c>
      <c r="P188" s="55" cm="1">
        <f t="array" ref="P188">(VLOOKUP($A188,'The List'!$B1:$AH671,28,FALSE)-AVERAGE('The List'!AC2:AC671))/STDEV('The List'!AC2:AC671)</f>
        <v>-0.64535755689120688</v>
      </c>
      <c r="Q188" s="55" cm="1">
        <f t="array" ref="Q188">(VLOOKUP($A188,'The List'!$B1:$AH671,29,FALSE)-AVERAGE('The List'!AD2:AD671))/STDEV('The List'!AD2:AD671)</f>
        <v>0.2017982795562949</v>
      </c>
      <c r="R188" s="55" cm="1">
        <f t="array" ref="R188">(VLOOKUP($A188,'The List'!$B1:$AH671,30,FALSE)-AVERAGE('The List'!AE2:AE671))/STDEV('The List'!AE2:AE671)</f>
        <v>0.20876212477101633</v>
      </c>
      <c r="S188" s="55" cm="1">
        <f t="array" ref="S188">(VLOOKUP($A188,'The List'!$B1:$AH671,31,FALSE)-AVERAGE('The List'!AF2:AF671))/STDEV('The List'!AF2:AF671)</f>
        <v>0.68909391081529681</v>
      </c>
      <c r="T188" s="55" cm="1">
        <f t="array" ref="T188">(VLOOKUP($A188,'The List'!$B1:$AH671,32,FALSE)-AVERAGE('The List'!AG2:AG671))/STDEV('The List'!AG2:AG671)</f>
        <v>1.0771283328446619</v>
      </c>
      <c r="U188" s="55" cm="1">
        <f t="array" ref="U188">(VLOOKUP($A188,'The List'!$B1:$AH671,33,FALSE)-AVERAGE('The List'!AH2:AH671))/STDEV('The List'!AH2:AH671)</f>
        <v>0.76870321356193128</v>
      </c>
      <c r="V188" s="55"/>
      <c r="W188" s="77"/>
      <c r="X188" s="57"/>
      <c r="Y188" s="57"/>
      <c r="Z188" s="57"/>
      <c r="AA188" s="57"/>
      <c r="AB188" s="57"/>
      <c r="AC188" s="60"/>
      <c r="AD188" s="61"/>
      <c r="AE188" s="55"/>
    </row>
    <row r="189" spans="1:31" ht="21.25" customHeight="1" x14ac:dyDescent="0.15">
      <c r="A189" s="10" t="s">
        <v>211</v>
      </c>
      <c r="B189" s="18" t="str" cm="1">
        <f t="array" ref="B189">VLOOKUP(A189,'Player Data'!A1:B673,2,FALSE)</f>
        <v>N.J</v>
      </c>
      <c r="C189" s="52" cm="1">
        <f t="array" ref="C189">((E189)*Settings!$C$12)+(F189*Settings!$C$2)+(G189*Settings!$C$3)+(H189*Settings!$C$4)+(I189*Settings!$C$5)+(K189*Settings!$C$9)+(N189*Settings!$C$6)+(J189*Settings!$C$8)+(O189*Settings!$C$7)+(P189*Settings!$C$14)+(Q189*Settings!$C$15)+(R189*Settings!$C$16)+(S189*Settings!$C$17)+(T189*Settings!$C$18)+(U189*Settings!$C$19)+(L189*Settings!$C$10)+(Settings!$C$11*M189)</f>
        <v>2.406050345948743</v>
      </c>
      <c r="D189" s="57" cm="1">
        <f t="array" ref="D189">IF(Settings!$E$12="YES",VLOOKUP(A189,'Player Data'!A1:E673,5,FALSE),82)</f>
        <v>80</v>
      </c>
      <c r="E189" s="55" cm="1">
        <f t="array" ref="E189">(VLOOKUP($A189,'The List'!$B1:$AH671,17,FALSE)-AVERAGE('The List'!R2:R671))/STDEV('The List'!R2:R671)</f>
        <v>1.6750890552345334</v>
      </c>
      <c r="F189" s="55" cm="1">
        <f t="array" ref="F189">(VLOOKUP($A189,'The List'!$B1:$AH671,18,FALSE)-AVERAGE('The List'!S2:S671))/STDEV('The List'!S2:S671)</f>
        <v>-0.40648793082452517</v>
      </c>
      <c r="G189" s="55" cm="1">
        <f t="array" ref="G189">(VLOOKUP($A189,'The List'!$B1:$AH671,19,FALSE)-AVERAGE('The List'!T2:T671))/STDEV('The List'!T2:T671)</f>
        <v>1.553391187092604</v>
      </c>
      <c r="H189" s="55" cm="1">
        <f t="array" ref="H189">(VLOOKUP($A189,'The List'!$B1:$AH671,20,FALSE)-AVERAGE('The List'!U2:U671))/STDEV('The List'!U2:U671)</f>
        <v>0.79712987780317301</v>
      </c>
      <c r="I189" s="55" cm="1">
        <f t="array" ref="I189">(VLOOKUP($A189,'The List'!$B1:$AH671,21,FALSE)-AVERAGE('The List'!V2:V671))/STDEV('The List'!V2:V671)</f>
        <v>0.90714164646124684</v>
      </c>
      <c r="J189" s="55" cm="1">
        <f t="array" ref="J189">(VLOOKUP($A189,'The List'!$B1:$AH671,22,FALSE)-AVERAGE('The List'!W2:W671))/STDEV('The List'!W2:W671)</f>
        <v>-9.3792999259922662E-3</v>
      </c>
      <c r="K189" s="55" cm="1">
        <f t="array" ref="K189">(VLOOKUP($A189,'The List'!$B1:$AH671,23,FALSE)-AVERAGE('The List'!X2:X671))/STDEV('The List'!X2:X671)</f>
        <v>1.5861765521418982</v>
      </c>
      <c r="L189" s="55" cm="1">
        <f t="array" ref="L189">(VLOOKUP($A189,'The List'!$B1:$AH671,24,FALSE)-AVERAGE('The List'!Y2:Y671))/STDEV('The List'!Y2:Y671)</f>
        <v>-0.47546929358800777</v>
      </c>
      <c r="M189" s="55" cm="1">
        <f t="array" ref="M189">(VLOOKUP($A189,'The List'!$B1:$AH671,25,FALSE)-AVERAGE('The List'!Z2:Z671))/STDEV('The List'!Z2:Z671)</f>
        <v>-0.64388478613809508</v>
      </c>
      <c r="N189" s="55" cm="1">
        <f t="array" ref="N189">(VLOOKUP($A189,'The List'!$B1:$AH671,26,FALSE)-AVERAGE('The List'!AA2:AA671))/STDEV('The List'!AA2:AA671)</f>
        <v>0.37944258603062681</v>
      </c>
      <c r="O189" s="55" cm="1">
        <f t="array" ref="O189">(VLOOKUP($A189,'The List'!$B1:$AH671,27,FALSE)-AVERAGE('The List'!AB2:AB671))/STDEV('The List'!AB2:AB671)</f>
        <v>-1.1292314893238655</v>
      </c>
      <c r="P189" s="55" cm="1">
        <f t="array" ref="P189">(VLOOKUP($A189,'The List'!$B1:$AH671,28,FALSE)-AVERAGE('The List'!AC2:AC671))/STDEV('The List'!AC2:AC671)</f>
        <v>-0.1049396195986151</v>
      </c>
      <c r="Q189" s="55" cm="1">
        <f t="array" ref="Q189">(VLOOKUP($A189,'The List'!$B1:$AH671,29,FALSE)-AVERAGE('The List'!AD2:AD671))/STDEV('The List'!AD2:AD671)</f>
        <v>4.9596424578258712E-2</v>
      </c>
      <c r="R189" s="55" cm="1">
        <f t="array" ref="R189">(VLOOKUP($A189,'The List'!$B1:$AH671,30,FALSE)-AVERAGE('The List'!AE2:AE671))/STDEV('The List'!AE2:AE671)</f>
        <v>-0.24661107149930886</v>
      </c>
      <c r="S189" s="55" cm="1">
        <f t="array" ref="S189">(VLOOKUP($A189,'The List'!$B1:$AH671,31,FALSE)-AVERAGE('The List'!AF2:AF671))/STDEV('The List'!AF2:AF671)</f>
        <v>-0.59581850454342256</v>
      </c>
      <c r="T189" s="55" cm="1">
        <f t="array" ref="T189">(VLOOKUP($A189,'The List'!$B1:$AH671,32,FALSE)-AVERAGE('The List'!AG2:AG671))/STDEV('The List'!AG2:AG671)</f>
        <v>-0.64684275008198677</v>
      </c>
      <c r="U189" s="55" cm="1">
        <f t="array" ref="U189">(VLOOKUP($A189,'The List'!$B1:$AH671,33,FALSE)-AVERAGE('The List'!AH2:AH671))/STDEV('The List'!AH2:AH671)</f>
        <v>-1.2552626683789523</v>
      </c>
      <c r="V189" s="55"/>
      <c r="W189" s="77"/>
      <c r="X189" s="57"/>
      <c r="Y189" s="57"/>
      <c r="Z189" s="57"/>
      <c r="AA189" s="57"/>
      <c r="AB189" s="57"/>
      <c r="AC189" s="60"/>
      <c r="AD189" s="61"/>
      <c r="AE189" s="55"/>
    </row>
    <row r="190" spans="1:31" ht="21.25" customHeight="1" x14ac:dyDescent="0.15">
      <c r="A190" s="10" t="s">
        <v>443</v>
      </c>
      <c r="B190" s="18" t="str" cm="1">
        <f t="array" ref="B190">VLOOKUP(A190,'Player Data'!A1:B673,2,FALSE)</f>
        <v>PHI</v>
      </c>
      <c r="C190" s="52" cm="1">
        <f t="array" ref="C190">((E190)*Settings!$C$12)+(F190*Settings!$C$2)+(G190*Settings!$C$3)+(H190*Settings!$C$4)+(I190*Settings!$C$5)+(K190*Settings!$C$9)+(N190*Settings!$C$6)+(J190*Settings!$C$8)+(O190*Settings!$C$7)+(P190*Settings!$C$14)+(Q190*Settings!$C$15)+(R190*Settings!$C$16)+(S190*Settings!$C$17)+(T190*Settings!$C$18)+(U190*Settings!$C$19)+(L190*Settings!$C$10)+(Settings!$C$11*M190)</f>
        <v>1.5627608533187733</v>
      </c>
      <c r="D190" s="57" cm="1">
        <f t="array" ref="D190">IF(Settings!$E$12="YES",VLOOKUP(A190,'Player Data'!A1:E673,5,FALSE),82)</f>
        <v>74</v>
      </c>
      <c r="E190" s="55" cm="1">
        <f t="array" ref="E190">(VLOOKUP($A190,'The List'!$B1:$AH671,17,FALSE)-AVERAGE('The List'!R2:R671))/STDEV('The List'!R2:R671)</f>
        <v>0.15362666503934194</v>
      </c>
      <c r="F190" s="55" cm="1">
        <f t="array" ref="F190">(VLOOKUP($A190,'The List'!$B1:$AH671,18,FALSE)-AVERAGE('The List'!S2:S671))/STDEV('The List'!S2:S671)</f>
        <v>1.1863229858337467</v>
      </c>
      <c r="G190" s="55" cm="1">
        <f t="array" ref="G190">(VLOOKUP($A190,'The List'!$B1:$AH671,19,FALSE)-AVERAGE('The List'!T2:T671))/STDEV('The List'!T2:T671)</f>
        <v>-0.35186322412280857</v>
      </c>
      <c r="H190" s="55" cm="1">
        <f t="array" ref="H190">(VLOOKUP($A190,'The List'!$B1:$AH671,20,FALSE)-AVERAGE('The List'!U2:U671))/STDEV('The List'!U2:U671)</f>
        <v>0.30417526644859127</v>
      </c>
      <c r="I190" s="55" cm="1">
        <f t="array" ref="I190">(VLOOKUP($A190,'The List'!$B1:$AH671,21,FALSE)-AVERAGE('The List'!V2:V671))/STDEV('The List'!V2:V671)</f>
        <v>0.48927389140588223</v>
      </c>
      <c r="J190" s="55" cm="1">
        <f t="array" ref="J190">(VLOOKUP($A190,'The List'!$B1:$AH671,22,FALSE)-AVERAGE('The List'!W2:W671))/STDEV('The List'!W2:W671)</f>
        <v>0.7636957891778845</v>
      </c>
      <c r="K190" s="55" cm="1">
        <f t="array" ref="K190">(VLOOKUP($A190,'The List'!$B1:$AH671,23,FALSE)-AVERAGE('The List'!X2:X671))/STDEV('The List'!X2:X671)</f>
        <v>0.13544995939298404</v>
      </c>
      <c r="L190" s="55" cm="1">
        <f t="array" ref="L190">(VLOOKUP($A190,'The List'!$B1:$AH671,24,FALSE)-AVERAGE('The List'!Y2:Y671))/STDEV('The List'!Y2:Y671)</f>
        <v>0.88106111751140781</v>
      </c>
      <c r="M190" s="55" cm="1">
        <f t="array" ref="M190">(VLOOKUP($A190,'The List'!$B1:$AH671,25,FALSE)-AVERAGE('The List'!Z2:Z671))/STDEV('The List'!Z2:Z671)</f>
        <v>0.16021361118783253</v>
      </c>
      <c r="N190" s="55" cm="1">
        <f t="array" ref="N190">(VLOOKUP($A190,'The List'!$B1:$AH671,26,FALSE)-AVERAGE('The List'!AA2:AA671))/STDEV('The List'!AA2:AA671)</f>
        <v>-0.28104666590871702</v>
      </c>
      <c r="O190" s="55" cm="1">
        <f t="array" ref="O190">(VLOOKUP($A190,'The List'!$B1:$AH671,27,FALSE)-AVERAGE('The List'!AB2:AB671))/STDEV('The List'!AB2:AB671)</f>
        <v>-0.29739246161210731</v>
      </c>
      <c r="P190" s="55" cm="1">
        <f t="array" ref="P190">(VLOOKUP($A190,'The List'!$B1:$AH671,28,FALSE)-AVERAGE('The List'!AC2:AC671))/STDEV('The List'!AC2:AC671)</f>
        <v>0.40096970242107621</v>
      </c>
      <c r="Q190" s="55" cm="1">
        <f t="array" ref="Q190">(VLOOKUP($A190,'The List'!$B1:$AH671,29,FALSE)-AVERAGE('The List'!AD2:AD671))/STDEV('The List'!AD2:AD671)</f>
        <v>3.1864169629361686E-2</v>
      </c>
      <c r="R190" s="55" cm="1">
        <f t="array" ref="R190">(VLOOKUP($A190,'The List'!$B1:$AH671,30,FALSE)-AVERAGE('The List'!AE2:AE671))/STDEV('The List'!AE2:AE671)</f>
        <v>1.0789615888766386</v>
      </c>
      <c r="S190" s="55" cm="1">
        <f t="array" ref="S190">(VLOOKUP($A190,'The List'!$B1:$AH671,31,FALSE)-AVERAGE('The List'!AF2:AF671))/STDEV('The List'!AF2:AF671)</f>
        <v>-0.59226078850897879</v>
      </c>
      <c r="T190" s="55" cm="1">
        <f t="array" ref="T190">(VLOOKUP($A190,'The List'!$B1:$AH671,32,FALSE)-AVERAGE('The List'!AG2:AG671))/STDEV('The List'!AG2:AG671)</f>
        <v>-0.63173676030825932</v>
      </c>
      <c r="U190" s="55" cm="1">
        <f t="array" ref="U190">(VLOOKUP($A190,'The List'!$B1:$AH671,33,FALSE)-AVERAGE('The List'!AH2:AH671))/STDEV('The List'!AH2:AH671)</f>
        <v>-0.28927895199807602</v>
      </c>
      <c r="V190" s="55"/>
      <c r="W190" s="57"/>
      <c r="X190" s="55"/>
      <c r="Y190" s="55"/>
      <c r="Z190" s="55"/>
      <c r="AA190" s="55"/>
      <c r="AB190" s="55"/>
      <c r="AC190" s="55"/>
      <c r="AD190" s="55"/>
      <c r="AE190" s="55"/>
    </row>
    <row r="191" spans="1:31" ht="21.25" customHeight="1" x14ac:dyDescent="0.15">
      <c r="A191" s="10" t="s">
        <v>165</v>
      </c>
      <c r="B191" s="18" t="str" cm="1">
        <f t="array" ref="B191">VLOOKUP(A191,'Player Data'!A1:B673,2,FALSE)</f>
        <v>L.A</v>
      </c>
      <c r="C191" s="52" cm="1">
        <f t="array" ref="C191">((E191)*Settings!$C$12)+(F191*Settings!$C$2)+(G191*Settings!$C$3)+(H191*Settings!$C$4)+(I191*Settings!$C$5)+(K191*Settings!$C$9)+(N191*Settings!$C$6)+(J191*Settings!$C$8)+(O191*Settings!$C$7)+(P191*Settings!$C$14)+(Q191*Settings!$C$15)+(R191*Settings!$C$16)+(S191*Settings!$C$17)+(T191*Settings!$C$18)+(U191*Settings!$C$19)+(L191*Settings!$C$10)+(Settings!$C$11*M191)</f>
        <v>2.2702082891641147</v>
      </c>
      <c r="D191" s="57" cm="1">
        <f t="array" ref="D191">IF(Settings!$E$12="YES",VLOOKUP(A191,'Player Data'!A1:E673,5,FALSE),82)</f>
        <v>82</v>
      </c>
      <c r="E191" s="55" cm="1">
        <f t="array" ref="E191">(VLOOKUP($A191,'The List'!$B1:$AH671,17,FALSE)-AVERAGE('The List'!R2:R671))/STDEV('The List'!R2:R671)</f>
        <v>1.1242147415431716</v>
      </c>
      <c r="F191" s="55" cm="1">
        <f t="array" ref="F191">(VLOOKUP($A191,'The List'!$B1:$AH671,18,FALSE)-AVERAGE('The List'!S2:S671))/STDEV('The List'!S2:S671)</f>
        <v>-0.34142228846745531</v>
      </c>
      <c r="G191" s="55" cm="1">
        <f t="array" ref="G191">(VLOOKUP($A191,'The List'!$B1:$AH671,19,FALSE)-AVERAGE('The List'!T2:T671))/STDEV('The List'!T2:T671)</f>
        <v>1.1814336923093645</v>
      </c>
      <c r="H191" s="55" cm="1">
        <f t="array" ref="H191">(VLOOKUP($A191,'The List'!$B1:$AH671,20,FALSE)-AVERAGE('The List'!U2:U671))/STDEV('The List'!U2:U671)</f>
        <v>0.59196421093055029</v>
      </c>
      <c r="I191" s="55" cm="1">
        <f t="array" ref="I191">(VLOOKUP($A191,'The List'!$B1:$AH671,21,FALSE)-AVERAGE('The List'!V2:V671))/STDEV('The List'!V2:V671)</f>
        <v>0.92350320951580034</v>
      </c>
      <c r="J191" s="55" cm="1">
        <f t="array" ref="J191">(VLOOKUP($A191,'The List'!$B1:$AH671,22,FALSE)-AVERAGE('The List'!W2:W671))/STDEV('The List'!W2:W671)</f>
        <v>-2.5122522533681056E-2</v>
      </c>
      <c r="K191" s="55" cm="1">
        <f t="array" ref="K191">(VLOOKUP($A191,'The List'!$B1:$AH671,23,FALSE)-AVERAGE('The List'!X2:X671))/STDEV('The List'!X2:X671)</f>
        <v>0.92894796274193303</v>
      </c>
      <c r="L191" s="55" cm="1">
        <f t="array" ref="L191">(VLOOKUP($A191,'The List'!$B1:$AH671,24,FALSE)-AVERAGE('The List'!Y2:Y671))/STDEV('The List'!Y2:Y671)</f>
        <v>-0.47546929358800777</v>
      </c>
      <c r="M191" s="55" cm="1">
        <f t="array" ref="M191">(VLOOKUP($A191,'The List'!$B1:$AH671,25,FALSE)-AVERAGE('The List'!Z2:Z671))/STDEV('The List'!Z2:Z671)</f>
        <v>-0.64388478613809508</v>
      </c>
      <c r="N191" s="55" cm="1">
        <f t="array" ref="N191">(VLOOKUP($A191,'The List'!$B1:$AH671,26,FALSE)-AVERAGE('The List'!AA2:AA671))/STDEV('The List'!AA2:AA671)</f>
        <v>2.7751847295693133</v>
      </c>
      <c r="O191" s="55" cm="1">
        <f t="array" ref="O191">(VLOOKUP($A191,'The List'!$B1:$AH671,27,FALSE)-AVERAGE('The List'!AB2:AB671))/STDEV('The List'!AB2:AB671)</f>
        <v>-0.87791688903440879</v>
      </c>
      <c r="P191" s="55" cm="1">
        <f t="array" ref="P191">(VLOOKUP($A191,'The List'!$B1:$AH671,28,FALSE)-AVERAGE('The List'!AC2:AC671))/STDEV('The List'!AC2:AC671)</f>
        <v>0.45566260209888071</v>
      </c>
      <c r="Q191" s="55" cm="1">
        <f t="array" ref="Q191">(VLOOKUP($A191,'The List'!$B1:$AH671,29,FALSE)-AVERAGE('The List'!AD2:AD671))/STDEV('The List'!AD2:AD671)</f>
        <v>1.8065673524315096</v>
      </c>
      <c r="R191" s="55" cm="1">
        <f t="array" ref="R191">(VLOOKUP($A191,'The List'!$B1:$AH671,30,FALSE)-AVERAGE('The List'!AE2:AE671))/STDEV('The List'!AE2:AE671)</f>
        <v>-0.27031542966132582</v>
      </c>
      <c r="S191" s="55" cm="1">
        <f t="array" ref="S191">(VLOOKUP($A191,'The List'!$B1:$AH671,31,FALSE)-AVERAGE('The List'!AF2:AF671))/STDEV('The List'!AF2:AF671)</f>
        <v>-0.59581850454342256</v>
      </c>
      <c r="T191" s="55" cm="1">
        <f t="array" ref="T191">(VLOOKUP($A191,'The List'!$B1:$AH671,32,FALSE)-AVERAGE('The List'!AG2:AG671))/STDEV('The List'!AG2:AG671)</f>
        <v>-0.64684275008198677</v>
      </c>
      <c r="U191" s="55" cm="1">
        <f t="array" ref="U191">(VLOOKUP($A191,'The List'!$B1:$AH671,33,FALSE)-AVERAGE('The List'!AH2:AH671))/STDEV('The List'!AH2:AH671)</f>
        <v>-1.2552626683789523</v>
      </c>
      <c r="V191" s="55"/>
      <c r="W191" s="57"/>
      <c r="X191" s="55"/>
      <c r="Y191" s="55"/>
      <c r="Z191" s="55"/>
      <c r="AA191" s="55"/>
      <c r="AB191" s="55"/>
      <c r="AC191" s="55"/>
      <c r="AD191" s="55"/>
      <c r="AE191" s="55"/>
    </row>
    <row r="192" spans="1:31" ht="21.25" customHeight="1" x14ac:dyDescent="0.15">
      <c r="A192" s="10" t="s">
        <v>508</v>
      </c>
      <c r="B192" s="18" t="str" cm="1">
        <f t="array" ref="B192">VLOOKUP(A192,'Player Data'!A1:B673,2,FALSE)</f>
        <v>NYR</v>
      </c>
      <c r="C192" s="52" cm="1">
        <f t="array" ref="C192">((E192)*Settings!$C$12)+(F192*Settings!$C$2)+(G192*Settings!$C$3)+(H192*Settings!$C$4)+(I192*Settings!$C$5)+(K192*Settings!$C$9)+(N192*Settings!$C$6)+(J192*Settings!$C$8)+(O192*Settings!$C$7)+(P192*Settings!$C$14)+(Q192*Settings!$C$15)+(R192*Settings!$C$16)+(S192*Settings!$C$17)+(T192*Settings!$C$18)+(U192*Settings!$C$19)+(L192*Settings!$C$10)+(Settings!$C$11*M192)</f>
        <v>-0.36153253412186837</v>
      </c>
      <c r="D192" s="57" cm="1">
        <f t="array" ref="D192">IF(Settings!$E$12="YES",VLOOKUP(A192,'Player Data'!A1:E673,5,FALSE),82)</f>
        <v>79</v>
      </c>
      <c r="E192" s="55" cm="1">
        <f t="array" ref="E192">(VLOOKUP($A192,'The List'!$B1:$AH671,17,FALSE)-AVERAGE('The List'!R2:R671))/STDEV('The List'!R2:R671)</f>
        <v>-0.29231920794890365</v>
      </c>
      <c r="F192" s="55" cm="1">
        <f t="array" ref="F192">(VLOOKUP($A192,'The List'!$B1:$AH671,18,FALSE)-AVERAGE('The List'!S2:S671))/STDEV('The List'!S2:S671)</f>
        <v>0.51959973953377081</v>
      </c>
      <c r="G192" s="55" cm="1">
        <f t="array" ref="G192">(VLOOKUP($A192,'The List'!$B1:$AH671,19,FALSE)-AVERAGE('The List'!T2:T671))/STDEV('The List'!T2:T671)</f>
        <v>5.8674407565020972E-2</v>
      </c>
      <c r="H192" s="55" cm="1">
        <f t="array" ref="H192">(VLOOKUP($A192,'The List'!$B1:$AH671,20,FALSE)-AVERAGE('The List'!U2:U671))/STDEV('The List'!U2:U671)</f>
        <v>0.26708541630721438</v>
      </c>
      <c r="I192" s="55" cm="1">
        <f t="array" ref="I192">(VLOOKUP($A192,'The List'!$B1:$AH671,21,FALSE)-AVERAGE('The List'!V2:V671))/STDEV('The List'!V2:V671)</f>
        <v>-0.10945219739295271</v>
      </c>
      <c r="J192" s="55" cm="1">
        <f t="array" ref="J192">(VLOOKUP($A192,'The List'!$B1:$AH671,22,FALSE)-AVERAGE('The List'!W2:W671))/STDEV('The List'!W2:W671)</f>
        <v>0.35243862316299607</v>
      </c>
      <c r="K192" s="55" cm="1">
        <f t="array" ref="K192">(VLOOKUP($A192,'The List'!$B1:$AH671,23,FALSE)-AVERAGE('The List'!X2:X671))/STDEV('The List'!X2:X671)</f>
        <v>7.1736973815066912E-2</v>
      </c>
      <c r="L192" s="55" cm="1">
        <f t="array" ref="L192">(VLOOKUP($A192,'The List'!$B1:$AH671,24,FALSE)-AVERAGE('The List'!Y2:Y671))/STDEV('The List'!Y2:Y671)</f>
        <v>-0.47546929358800777</v>
      </c>
      <c r="M192" s="55" cm="1">
        <f t="array" ref="M192">(VLOOKUP($A192,'The List'!$B1:$AH671,25,FALSE)-AVERAGE('The List'!Z2:Z671))/STDEV('The List'!Z2:Z671)</f>
        <v>-0.64388478613809508</v>
      </c>
      <c r="N192" s="55" cm="1">
        <f t="array" ref="N192">(VLOOKUP($A192,'The List'!$B1:$AH671,26,FALSE)-AVERAGE('The List'!AA2:AA671))/STDEV('The List'!AA2:AA671)</f>
        <v>-0.73516495281828897</v>
      </c>
      <c r="O192" s="55" cm="1">
        <f t="array" ref="O192">(VLOOKUP($A192,'The List'!$B1:$AH671,27,FALSE)-AVERAGE('The List'!AB2:AB671))/STDEV('The List'!AB2:AB671)</f>
        <v>-0.79715183804415923</v>
      </c>
      <c r="P192" s="55" cm="1">
        <f t="array" ref="P192">(VLOOKUP($A192,'The List'!$B1:$AH671,28,FALSE)-AVERAGE('The List'!AC2:AC671))/STDEV('The List'!AC2:AC671)</f>
        <v>-0.1049396195986151</v>
      </c>
      <c r="Q192" s="55" cm="1">
        <f t="array" ref="Q192">(VLOOKUP($A192,'The List'!$B1:$AH671,29,FALSE)-AVERAGE('The List'!AD2:AD671))/STDEV('The List'!AD2:AD671)</f>
        <v>-0.73948892064767535</v>
      </c>
      <c r="R192" s="55" cm="1">
        <f t="array" ref="R192">(VLOOKUP($A192,'The List'!$B1:$AH671,30,FALSE)-AVERAGE('The List'!AE2:AE671))/STDEV('The List'!AE2:AE671)</f>
        <v>0.62670738710131524</v>
      </c>
      <c r="S192" s="55" cm="1">
        <f t="array" ref="S192">(VLOOKUP($A192,'The List'!$B1:$AH671,31,FALSE)-AVERAGE('The List'!AF2:AF671))/STDEV('The List'!AF2:AF671)</f>
        <v>-0.56163558426653681</v>
      </c>
      <c r="T192" s="55" cm="1">
        <f t="array" ref="T192">(VLOOKUP($A192,'The List'!$B1:$AH671,32,FALSE)-AVERAGE('The List'!AG2:AG671))/STDEV('The List'!AG2:AG671)</f>
        <v>-0.60249442199628001</v>
      </c>
      <c r="U192" s="55" cm="1">
        <f t="array" ref="U192">(VLOOKUP($A192,'The List'!$B1:$AH671,33,FALSE)-AVERAGE('The List'!AH2:AH671))/STDEV('The List'!AH2:AH671)</f>
        <v>0.86070166274106241</v>
      </c>
      <c r="V192" s="55"/>
      <c r="W192" s="77"/>
      <c r="X192" s="57"/>
      <c r="Y192" s="57"/>
      <c r="Z192" s="57"/>
      <c r="AA192" s="57"/>
      <c r="AB192" s="57"/>
      <c r="AC192" s="60"/>
      <c r="AD192" s="61"/>
      <c r="AE192" s="55"/>
    </row>
    <row r="193" spans="1:31" ht="21.25" customHeight="1" x14ac:dyDescent="0.15">
      <c r="A193" s="10" t="s">
        <v>468</v>
      </c>
      <c r="B193" s="18" t="str" cm="1">
        <f t="array" ref="B193">VLOOKUP(A193,'Player Data'!A1:B673,2,FALSE)</f>
        <v>CBJ</v>
      </c>
      <c r="C193" s="52" cm="1">
        <f t="array" ref="C193">((E193)*Settings!$C$12)+(F193*Settings!$C$2)+(G193*Settings!$C$3)+(H193*Settings!$C$4)+(I193*Settings!$C$5)+(K193*Settings!$C$9)+(N193*Settings!$C$6)+(J193*Settings!$C$8)+(O193*Settings!$C$7)+(P193*Settings!$C$14)+(Q193*Settings!$C$15)+(R193*Settings!$C$16)+(S193*Settings!$C$17)+(T193*Settings!$C$18)+(U193*Settings!$C$19)+(L193*Settings!$C$10)+(Settings!$C$11*M193)</f>
        <v>1.6074994153132207</v>
      </c>
      <c r="D193" s="57" cm="1">
        <f t="array" ref="D193">IF(Settings!$E$12="YES",VLOOKUP(A193,'Player Data'!A1:E673,5,FALSE),82)</f>
        <v>79</v>
      </c>
      <c r="E193" s="55" cm="1">
        <f t="array" ref="E193">(VLOOKUP($A193,'The List'!$B1:$AH671,17,FALSE)-AVERAGE('The List'!R2:R671))/STDEV('The List'!R2:R671)</f>
        <v>-0.44971186900357851</v>
      </c>
      <c r="F193" s="55" cm="1">
        <f t="array" ref="F193">(VLOOKUP($A193,'The List'!$B1:$AH671,18,FALSE)-AVERAGE('The List'!S2:S671))/STDEV('The List'!S2:S671)</f>
        <v>0.51959973953377081</v>
      </c>
      <c r="G193" s="55" cm="1">
        <f t="array" ref="G193">(VLOOKUP($A193,'The List'!$B1:$AH671,19,FALSE)-AVERAGE('The List'!T2:T671))/STDEV('The List'!T2:T671)</f>
        <v>-0.16338976842497224</v>
      </c>
      <c r="H193" s="55" cm="1">
        <f t="array" ref="H193">(VLOOKUP($A193,'The List'!$B1:$AH671,20,FALSE)-AVERAGE('The List'!U2:U671))/STDEV('The List'!U2:U671)</f>
        <v>0.12739062912395943</v>
      </c>
      <c r="I193" s="55" cm="1">
        <f t="array" ref="I193">(VLOOKUP($A193,'The List'!$B1:$AH671,21,FALSE)-AVERAGE('The List'!V2:V671))/STDEV('The List'!V2:V671)</f>
        <v>0.25907170963305132</v>
      </c>
      <c r="J193" s="55" cm="1">
        <f t="array" ref="J193">(VLOOKUP($A193,'The List'!$B1:$AH671,22,FALSE)-AVERAGE('The List'!W2:W671))/STDEV('The List'!W2:W671)</f>
        <v>0.5706341645678058</v>
      </c>
      <c r="K193" s="55" cm="1">
        <f t="array" ref="K193">(VLOOKUP($A193,'The List'!$B1:$AH671,23,FALSE)-AVERAGE('The List'!X2:X671))/STDEV('The List'!X2:X671)</f>
        <v>-8.7043021789206004E-2</v>
      </c>
      <c r="L193" s="55" cm="1">
        <f t="array" ref="L193">(VLOOKUP($A193,'The List'!$B1:$AH671,24,FALSE)-AVERAGE('The List'!Y2:Y671))/STDEV('The List'!Y2:Y671)</f>
        <v>-0.47546929358800777</v>
      </c>
      <c r="M193" s="55" cm="1">
        <f t="array" ref="M193">(VLOOKUP($A193,'The List'!$B1:$AH671,25,FALSE)-AVERAGE('The List'!Z2:Z671))/STDEV('The List'!Z2:Z671)</f>
        <v>-0.64388478613809508</v>
      </c>
      <c r="N193" s="55" cm="1">
        <f t="array" ref="N193">(VLOOKUP($A193,'The List'!$B1:$AH671,26,FALSE)-AVERAGE('The List'!AA2:AA671))/STDEV('The List'!AA2:AA671)</f>
        <v>-0.57374607918114084</v>
      </c>
      <c r="O193" s="55" cm="1">
        <f t="array" ref="O193">(VLOOKUP($A193,'The List'!$B1:$AH671,27,FALSE)-AVERAGE('The List'!AB2:AB671))/STDEV('The List'!AB2:AB671)</f>
        <v>0.49836877682481845</v>
      </c>
      <c r="P193" s="55" cm="1">
        <f t="array" ref="P193">(VLOOKUP($A193,'The List'!$B1:$AH671,28,FALSE)-AVERAGE('The List'!AC2:AC671))/STDEV('The List'!AC2:AC671)</f>
        <v>0.58089197953575833</v>
      </c>
      <c r="Q193" s="55" cm="1">
        <f t="array" ref="Q193">(VLOOKUP($A193,'The List'!$B1:$AH671,29,FALSE)-AVERAGE('The List'!AD2:AD671))/STDEV('The List'!AD2:AD671)</f>
        <v>1.3617832907966667</v>
      </c>
      <c r="R193" s="55" cm="1">
        <f t="array" ref="R193">(VLOOKUP($A193,'The List'!$B1:$AH671,30,FALSE)-AVERAGE('The List'!AE2:AE671))/STDEV('The List'!AE2:AE671)</f>
        <v>0.62670738710131524</v>
      </c>
      <c r="S193" s="55" cm="1">
        <f t="array" ref="S193">(VLOOKUP($A193,'The List'!$B1:$AH671,31,FALSE)-AVERAGE('The List'!AF2:AF671))/STDEV('The List'!AF2:AF671)</f>
        <v>-0.32235514232833629</v>
      </c>
      <c r="T193" s="55" cm="1">
        <f t="array" ref="T193">(VLOOKUP($A193,'The List'!$B1:$AH671,32,FALSE)-AVERAGE('The List'!AG2:AG671))/STDEV('The List'!AG2:AG671)</f>
        <v>-0.12272614543272581</v>
      </c>
      <c r="U193" s="55" cm="1">
        <f t="array" ref="U193">(VLOOKUP($A193,'The List'!$B1:$AH671,33,FALSE)-AVERAGE('The List'!AH2:AH671))/STDEV('The List'!AH2:AH671)</f>
        <v>0.40070941684540695</v>
      </c>
      <c r="V193" s="55"/>
      <c r="W193" s="77"/>
      <c r="X193" s="57"/>
      <c r="Y193" s="57"/>
      <c r="Z193" s="57"/>
      <c r="AA193" s="57"/>
      <c r="AB193" s="57"/>
      <c r="AC193" s="60"/>
      <c r="AD193" s="61"/>
      <c r="AE193" s="55"/>
    </row>
    <row r="194" spans="1:31" ht="21.25" customHeight="1" x14ac:dyDescent="0.15">
      <c r="A194" s="10" t="s">
        <v>419</v>
      </c>
      <c r="B194" s="18" t="str" cm="1">
        <f t="array" ref="B194">VLOOKUP(A194,'Player Data'!A1:B673,2,FALSE)</f>
        <v>S.J</v>
      </c>
      <c r="C194" s="52" cm="1">
        <f t="array" ref="C194">((E194)*Settings!$C$12)+(F194*Settings!$C$2)+(G194*Settings!$C$3)+(H194*Settings!$C$4)+(I194*Settings!$C$5)+(K194*Settings!$C$9)+(N194*Settings!$C$6)+(J194*Settings!$C$8)+(O194*Settings!$C$7)+(P194*Settings!$C$14)+(Q194*Settings!$C$15)+(R194*Settings!$C$16)+(S194*Settings!$C$17)+(T194*Settings!$C$18)+(U194*Settings!$C$19)+(L194*Settings!$C$10)+(Settings!$C$11*M194)</f>
        <v>-1.3285785019127041</v>
      </c>
      <c r="D194" s="57" cm="1">
        <f t="array" ref="D194">IF(Settings!$E$12="YES",VLOOKUP(A194,'Player Data'!A1:E673,5,FALSE),82)</f>
        <v>83</v>
      </c>
      <c r="E194" s="55" cm="1">
        <f t="array" ref="E194">(VLOOKUP($A194,'The List'!$B1:$AH671,17,FALSE)-AVERAGE('The List'!R2:R671))/STDEV('The List'!R2:R671)</f>
        <v>0.70450097873070472</v>
      </c>
      <c r="F194" s="55" cm="1">
        <f t="array" ref="F194">(VLOOKUP($A194,'The List'!$B1:$AH671,18,FALSE)-AVERAGE('The List'!S2:S671))/STDEV('The List'!S2:S671)</f>
        <v>0.11842814095183642</v>
      </c>
      <c r="G194" s="55" cm="1">
        <f t="array" ref="G194">(VLOOKUP($A194,'The List'!$B1:$AH671,19,FALSE)-AVERAGE('The List'!T2:T671))/STDEV('The List'!T2:T671)</f>
        <v>0.49577541220355253</v>
      </c>
      <c r="H194" s="55" cm="1">
        <f t="array" ref="H194">(VLOOKUP($A194,'The List'!$B1:$AH671,20,FALSE)-AVERAGE('The List'!U2:U671))/STDEV('The List'!U2:U671)</f>
        <v>0.36434128080188549</v>
      </c>
      <c r="I194" s="55" cm="1">
        <f t="array" ref="I194">(VLOOKUP($A194,'The List'!$B1:$AH671,21,FALSE)-AVERAGE('The List'!V2:V671))/STDEV('The List'!V2:V671)</f>
        <v>-0.46329043536259945</v>
      </c>
      <c r="J194" s="55" cm="1">
        <f t="array" ref="J194">(VLOOKUP($A194,'The List'!$B1:$AH671,22,FALSE)-AVERAGE('The List'!W2:W671))/STDEV('The List'!W2:W671)</f>
        <v>0.86616483457178872</v>
      </c>
      <c r="K194" s="55" cm="1">
        <f t="array" ref="K194">(VLOOKUP($A194,'The List'!$B1:$AH671,23,FALSE)-AVERAGE('The List'!X2:X671))/STDEV('The List'!X2:X671)</f>
        <v>0.36618342135969972</v>
      </c>
      <c r="L194" s="55" cm="1">
        <f t="array" ref="L194">(VLOOKUP($A194,'The List'!$B1:$AH671,24,FALSE)-AVERAGE('The List'!Y2:Y671))/STDEV('The List'!Y2:Y671)</f>
        <v>-0.47546929358800777</v>
      </c>
      <c r="M194" s="55" cm="1">
        <f t="array" ref="M194">(VLOOKUP($A194,'The List'!$B1:$AH671,25,FALSE)-AVERAGE('The List'!Z2:Z671))/STDEV('The List'!Z2:Z671)</f>
        <v>0.25800936221395893</v>
      </c>
      <c r="N194" s="55" cm="1">
        <f t="array" ref="N194">(VLOOKUP($A194,'The List'!$B1:$AH671,26,FALSE)-AVERAGE('The List'!AA2:AA671))/STDEV('The List'!AA2:AA671)</f>
        <v>0.62412499258820264</v>
      </c>
      <c r="O194" s="55" cm="1">
        <f t="array" ref="O194">(VLOOKUP($A194,'The List'!$B1:$AH671,27,FALSE)-AVERAGE('The List'!AB2:AB671))/STDEV('The List'!AB2:AB671)</f>
        <v>-1.0201781717431224</v>
      </c>
      <c r="P194" s="55" cm="1">
        <f t="array" ref="P194">(VLOOKUP($A194,'The List'!$B1:$AH671,28,FALSE)-AVERAGE('The List'!AC2:AC671))/STDEV('The List'!AC2:AC671)</f>
        <v>-0.82549686932207089</v>
      </c>
      <c r="Q194" s="55" cm="1">
        <f t="array" ref="Q194">(VLOOKUP($A194,'The List'!$B1:$AH671,29,FALSE)-AVERAGE('The List'!AD2:AD671))/STDEV('The List'!AD2:AD671)</f>
        <v>-0.84071054264763134</v>
      </c>
      <c r="R194" s="55" cm="1">
        <f t="array" ref="R194">(VLOOKUP($A194,'The List'!$B1:$AH671,30,FALSE)-AVERAGE('The List'!AE2:AE671))/STDEV('The List'!AE2:AE671)</f>
        <v>0.20876212477101633</v>
      </c>
      <c r="S194" s="55" cm="1">
        <f t="array" ref="S194">(VLOOKUP($A194,'The List'!$B1:$AH671,31,FALSE)-AVERAGE('The List'!AF2:AF671))/STDEV('The List'!AF2:AF671)</f>
        <v>2.456846084740492</v>
      </c>
      <c r="T194" s="55" cm="1">
        <f t="array" ref="T194">(VLOOKUP($A194,'The List'!$B1:$AH671,32,FALSE)-AVERAGE('The List'!AG2:AG671))/STDEV('The List'!AG2:AG671)</f>
        <v>3.0128894750989086</v>
      </c>
      <c r="U194" s="55" cm="1">
        <f t="array" ref="U194">(VLOOKUP($A194,'The List'!$B1:$AH671,33,FALSE)-AVERAGE('The List'!AH2:AH671))/STDEV('The List'!AH2:AH671)</f>
        <v>0.90670088733062781</v>
      </c>
      <c r="V194" s="55"/>
      <c r="W194" s="77"/>
      <c r="X194" s="57"/>
      <c r="Y194" s="57"/>
      <c r="Z194" s="57"/>
      <c r="AA194" s="57"/>
      <c r="AB194" s="57"/>
      <c r="AC194" s="60"/>
      <c r="AD194" s="61"/>
      <c r="AE194" s="55"/>
    </row>
    <row r="195" spans="1:31" ht="21.25" customHeight="1" x14ac:dyDescent="0.15">
      <c r="A195" s="10" t="s">
        <v>435</v>
      </c>
      <c r="B195" s="18" t="str" cm="1">
        <f t="array" ref="B195">VLOOKUP(A195,'Player Data'!A1:B673,2,FALSE)</f>
        <v>SEA</v>
      </c>
      <c r="C195" s="52" cm="1">
        <f t="array" ref="C195">((E195)*Settings!$C$12)+(F195*Settings!$C$2)+(G195*Settings!$C$3)+(H195*Settings!$C$4)+(I195*Settings!$C$5)+(K195*Settings!$C$9)+(N195*Settings!$C$6)+(J195*Settings!$C$8)+(O195*Settings!$C$7)+(P195*Settings!$C$14)+(Q195*Settings!$C$15)+(R195*Settings!$C$16)+(S195*Settings!$C$17)+(T195*Settings!$C$18)+(U195*Settings!$C$19)+(L195*Settings!$C$10)+(Settings!$C$11*M195)</f>
        <v>1.6638795859358606</v>
      </c>
      <c r="D195" s="57" cm="1">
        <f t="array" ref="D195">IF(Settings!$E$12="YES",VLOOKUP(A195,'Player Data'!A1:E673,5,FALSE),82)</f>
        <v>80</v>
      </c>
      <c r="E195" s="55" cm="1">
        <f t="array" ref="E195">(VLOOKUP($A195,'The List'!$B1:$AH671,17,FALSE)-AVERAGE('The List'!R2:R671))/STDEV('The List'!R2:R671)</f>
        <v>-0.18739076724578643</v>
      </c>
      <c r="F195" s="55" cm="1">
        <f t="array" ref="F195">(VLOOKUP($A195,'The List'!$B1:$AH671,18,FALSE)-AVERAGE('The List'!S2:S671))/STDEV('The List'!S2:S671)</f>
        <v>1.1822314347039309</v>
      </c>
      <c r="G195" s="55" cm="1">
        <f t="array" ref="G195">(VLOOKUP($A195,'The List'!$B1:$AH671,19,FALSE)-AVERAGE('The List'!T2:T671))/STDEV('The List'!T2:T671)</f>
        <v>-0.36929104552961806</v>
      </c>
      <c r="H195" s="55" cm="1">
        <f t="array" ref="H195">(VLOOKUP($A195,'The List'!$B1:$AH671,20,FALSE)-AVERAGE('The List'!U2:U671))/STDEV('The List'!U2:U671)</f>
        <v>0.29139938243088209</v>
      </c>
      <c r="I195" s="55" cm="1">
        <f t="array" ref="I195">(VLOOKUP($A195,'The List'!$B1:$AH671,21,FALSE)-AVERAGE('The List'!V2:V671))/STDEV('The List'!V2:V671)</f>
        <v>1.1054845650106384</v>
      </c>
      <c r="J195" s="55" cm="1">
        <f t="array" ref="J195">(VLOOKUP($A195,'The List'!$B1:$AH671,22,FALSE)-AVERAGE('The List'!W2:W671))/STDEV('The List'!W2:W671)</f>
        <v>0.14529095727235389</v>
      </c>
      <c r="K195" s="55" cm="1">
        <f t="array" ref="K195">(VLOOKUP($A195,'The List'!$B1:$AH671,23,FALSE)-AVERAGE('The List'!X2:X671))/STDEV('The List'!X2:X671)</f>
        <v>-0.23878846062620088</v>
      </c>
      <c r="L195" s="55" cm="1">
        <f t="array" ref="L195">(VLOOKUP($A195,'The List'!$B1:$AH671,24,FALSE)-AVERAGE('The List'!Y2:Y671))/STDEV('The List'!Y2:Y671)</f>
        <v>-0.47546929358800777</v>
      </c>
      <c r="M195" s="55" cm="1">
        <f t="array" ref="M195">(VLOOKUP($A195,'The List'!$B1:$AH671,25,FALSE)-AVERAGE('The List'!Z2:Z671))/STDEV('The List'!Z2:Z671)</f>
        <v>-0.64388478613809508</v>
      </c>
      <c r="N195" s="55" cm="1">
        <f t="array" ref="N195">(VLOOKUP($A195,'The List'!$B1:$AH671,26,FALSE)-AVERAGE('The List'!AA2:AA671))/STDEV('The List'!AA2:AA671)</f>
        <v>-0.86695631167393516</v>
      </c>
      <c r="O195" s="55" cm="1">
        <f t="array" ref="O195">(VLOOKUP($A195,'The List'!$B1:$AH671,27,FALSE)-AVERAGE('The List'!AB2:AB671))/STDEV('The List'!AB2:AB671)</f>
        <v>1.4782087355390139</v>
      </c>
      <c r="P195" s="55" cm="1">
        <f t="array" ref="P195">(VLOOKUP($A195,'The List'!$B1:$AH671,28,FALSE)-AVERAGE('The List'!AC2:AC671))/STDEV('The List'!AC2:AC671)</f>
        <v>-1.4939656431619033</v>
      </c>
      <c r="Q195" s="55" cm="1">
        <f t="array" ref="Q195">(VLOOKUP($A195,'The List'!$B1:$AH671,29,FALSE)-AVERAGE('The List'!AD2:AD671))/STDEV('The List'!AD2:AD671)</f>
        <v>0.34513400705988256</v>
      </c>
      <c r="R195" s="55" cm="1">
        <f t="array" ref="R195">(VLOOKUP($A195,'The List'!$B1:$AH671,30,FALSE)-AVERAGE('The List'!AE2:AE671))/STDEV('The List'!AE2:AE671)</f>
        <v>0.65165934306133311</v>
      </c>
      <c r="S195" s="55" cm="1">
        <f t="array" ref="S195">(VLOOKUP($A195,'The List'!$B1:$AH671,31,FALSE)-AVERAGE('The List'!AF2:AF671))/STDEV('The List'!AF2:AF671)</f>
        <v>-0.56504906856985448</v>
      </c>
      <c r="T195" s="55" cm="1">
        <f t="array" ref="T195">(VLOOKUP($A195,'The List'!$B1:$AH671,32,FALSE)-AVERAGE('The List'!AG2:AG671))/STDEV('The List'!AG2:AG671)</f>
        <v>-0.59376765087699823</v>
      </c>
      <c r="U195" s="55" cm="1">
        <f t="array" ref="U195">(VLOOKUP($A195,'The List'!$B1:$AH671,33,FALSE)-AVERAGE('The List'!AH2:AH671))/STDEV('The List'!AH2:AH671)</f>
        <v>0.53870709061410371</v>
      </c>
      <c r="V195" s="55"/>
      <c r="W195" s="77"/>
      <c r="X195" s="57"/>
      <c r="Y195" s="57"/>
      <c r="Z195" s="57"/>
      <c r="AA195" s="57"/>
      <c r="AB195" s="57"/>
      <c r="AC195" s="60"/>
      <c r="AD195" s="61"/>
      <c r="AE195" s="55"/>
    </row>
    <row r="196" spans="1:31" ht="21.25" customHeight="1" x14ac:dyDescent="0.15">
      <c r="A196" s="10" t="s">
        <v>269</v>
      </c>
      <c r="B196" s="18" t="str" cm="1">
        <f t="array" ref="B196">VLOOKUP(A196,'Player Data'!A1:B673,2,FALSE)</f>
        <v>T.B</v>
      </c>
      <c r="C196" s="52" cm="1">
        <f t="array" ref="C196">((E196)*Settings!$C$12)+(F196*Settings!$C$2)+(G196*Settings!$C$3)+(H196*Settings!$C$4)+(I196*Settings!$C$5)+(K196*Settings!$C$9)+(N196*Settings!$C$6)+(J196*Settings!$C$8)+(O196*Settings!$C$7)+(P196*Settings!$C$14)+(Q196*Settings!$C$15)+(R196*Settings!$C$16)+(S196*Settings!$C$17)+(T196*Settings!$C$18)+(U196*Settings!$C$19)+(L196*Settings!$C$10)+(Settings!$C$11*M196)</f>
        <v>0.70603314089046432</v>
      </c>
      <c r="D196" s="57" cm="1">
        <f t="array" ref="D196">IF(Settings!$E$12="YES",VLOOKUP(A196,'Player Data'!A1:E673,5,FALSE),82)</f>
        <v>75</v>
      </c>
      <c r="E196" s="55" cm="1">
        <f t="array" ref="E196">(VLOOKUP($A196,'The List'!$B1:$AH671,17,FALSE)-AVERAGE('The List'!R2:R671))/STDEV('The List'!R2:R671)</f>
        <v>0.57334042785180894</v>
      </c>
      <c r="F196" s="55" cm="1">
        <f t="array" ref="F196">(VLOOKUP($A196,'The List'!$B1:$AH671,18,FALSE)-AVERAGE('The List'!S2:S671))/STDEV('The List'!S2:S671)</f>
        <v>-0.62403869821472846</v>
      </c>
      <c r="G196" s="55" cm="1">
        <f t="array" ref="G196">(VLOOKUP($A196,'The List'!$B1:$AH671,19,FALSE)-AVERAGE('The List'!T2:T671))/STDEV('The List'!T2:T671)</f>
        <v>0.65670166632288318</v>
      </c>
      <c r="H196" s="55" cm="1">
        <f t="array" ref="H196">(VLOOKUP($A196,'The List'!$B1:$AH671,20,FALSE)-AVERAGE('The List'!U2:U671))/STDEV('The List'!U2:U671)</f>
        <v>0.13667414346208687</v>
      </c>
      <c r="I196" s="55" cm="1">
        <f t="array" ref="I196">(VLOOKUP($A196,'The List'!$B1:$AH671,21,FALSE)-AVERAGE('The List'!V2:V671))/STDEV('The List'!V2:V671)</f>
        <v>-0.11083437801002162</v>
      </c>
      <c r="J196" s="55" cm="1">
        <f t="array" ref="J196">(VLOOKUP($A196,'The List'!$B1:$AH671,22,FALSE)-AVERAGE('The List'!W2:W671))/STDEV('The List'!W2:W671)</f>
        <v>-0.32424375207976841</v>
      </c>
      <c r="K196" s="55" cm="1">
        <f t="array" ref="K196">(VLOOKUP($A196,'The List'!$B1:$AH671,23,FALSE)-AVERAGE('The List'!X2:X671))/STDEV('The List'!X2:X671)</f>
        <v>0.17826026200527537</v>
      </c>
      <c r="L196" s="55" cm="1">
        <f t="array" ref="L196">(VLOOKUP($A196,'The List'!$B1:$AH671,24,FALSE)-AVERAGE('The List'!Y2:Y671))/STDEV('The List'!Y2:Y671)</f>
        <v>-0.47546929358800777</v>
      </c>
      <c r="M196" s="55" cm="1">
        <f t="array" ref="M196">(VLOOKUP($A196,'The List'!$B1:$AH671,25,FALSE)-AVERAGE('The List'!Z2:Z671))/STDEV('The List'!Z2:Z671)</f>
        <v>-0.64388478613809508</v>
      </c>
      <c r="N196" s="55" cm="1">
        <f t="array" ref="N196">(VLOOKUP($A196,'The List'!$B1:$AH671,26,FALSE)-AVERAGE('The List'!AA2:AA671))/STDEV('The List'!AA2:AA671)</f>
        <v>0.98220926606807912</v>
      </c>
      <c r="O196" s="55" cm="1">
        <f t="array" ref="O196">(VLOOKUP($A196,'The List'!$B1:$AH671,27,FALSE)-AVERAGE('The List'!AB2:AB671))/STDEV('The List'!AB2:AB671)</f>
        <v>-0.7541044758412343</v>
      </c>
      <c r="P196" s="55" cm="1">
        <f t="array" ref="P196">(VLOOKUP($A196,'The List'!$B1:$AH671,28,FALSE)-AVERAGE('The List'!AC2:AC671))/STDEV('The List'!AC2:AC671)</f>
        <v>1.3600487646282902</v>
      </c>
      <c r="Q196" s="55" cm="1">
        <f t="array" ref="Q196">(VLOOKUP($A196,'The List'!$B1:$AH671,29,FALSE)-AVERAGE('The List'!AD2:AD671))/STDEV('The List'!AD2:AD671)</f>
        <v>-0.21269317987418179</v>
      </c>
      <c r="R196" s="55" cm="1">
        <f t="array" ref="R196">(VLOOKUP($A196,'The List'!$B1:$AH671,30,FALSE)-AVERAGE('The List'!AE2:AE671))/STDEV('The List'!AE2:AE671)</f>
        <v>-0.40879878523942492</v>
      </c>
      <c r="S196" s="55" cm="1">
        <f t="array" ref="S196">(VLOOKUP($A196,'The List'!$B1:$AH671,31,FALSE)-AVERAGE('The List'!AF2:AF671))/STDEV('The List'!AF2:AF671)</f>
        <v>-0.59581850454342256</v>
      </c>
      <c r="T196" s="55" cm="1">
        <f t="array" ref="T196">(VLOOKUP($A196,'The List'!$B1:$AH671,32,FALSE)-AVERAGE('The List'!AG2:AG671))/STDEV('The List'!AG2:AG671)</f>
        <v>-0.64684275008198677</v>
      </c>
      <c r="U196" s="55" cm="1">
        <f t="array" ref="U196">(VLOOKUP($A196,'The List'!$B1:$AH671,33,FALSE)-AVERAGE('The List'!AH2:AH671))/STDEV('The List'!AH2:AH671)</f>
        <v>-1.2552626683789523</v>
      </c>
      <c r="V196" s="55"/>
      <c r="W196" s="57"/>
      <c r="X196" s="55"/>
      <c r="Y196" s="55"/>
      <c r="Z196" s="55"/>
      <c r="AA196" s="55"/>
      <c r="AB196" s="55"/>
      <c r="AC196" s="55"/>
      <c r="AD196" s="55"/>
      <c r="AE196" s="55"/>
    </row>
    <row r="197" spans="1:31" ht="21.25" customHeight="1" x14ac:dyDescent="0.15">
      <c r="A197" s="10" t="s">
        <v>482</v>
      </c>
      <c r="B197" s="18" t="str" cm="1">
        <f t="array" ref="B197">VLOOKUP(A197,'Player Data'!A1:B673,2,FALSE)</f>
        <v>NSH</v>
      </c>
      <c r="C197" s="52" cm="1">
        <f t="array" ref="C197">((E197)*Settings!$C$12)+(F197*Settings!$C$2)+(G197*Settings!$C$3)+(H197*Settings!$C$4)+(I197*Settings!$C$5)+(K197*Settings!$C$9)+(N197*Settings!$C$6)+(J197*Settings!$C$8)+(O197*Settings!$C$7)+(P197*Settings!$C$14)+(Q197*Settings!$C$15)+(R197*Settings!$C$16)+(S197*Settings!$C$17)+(T197*Settings!$C$18)+(U197*Settings!$C$19)+(L197*Settings!$C$10)+(Settings!$C$11*M197)</f>
        <v>0.62485121821834455</v>
      </c>
      <c r="D197" s="57" cm="1">
        <f t="array" ref="D197">IF(Settings!$E$12="YES",VLOOKUP(A197,'Player Data'!A1:E673,5,FALSE),82)</f>
        <v>82</v>
      </c>
      <c r="E197" s="55" cm="1">
        <f t="array" ref="E197">(VLOOKUP($A197,'The List'!$B1:$AH671,17,FALSE)-AVERAGE('The List'!R2:R671))/STDEV('The List'!R2:R671)</f>
        <v>-0.13492654689422828</v>
      </c>
      <c r="F197" s="55" cm="1">
        <f t="array" ref="F197">(VLOOKUP($A197,'The List'!$B1:$AH671,18,FALSE)-AVERAGE('The List'!S2:S671))/STDEV('The List'!S2:S671)</f>
        <v>0.67328239172685</v>
      </c>
      <c r="G197" s="55" cm="1">
        <f t="array" ref="G197">(VLOOKUP($A197,'The List'!$B1:$AH671,19,FALSE)-AVERAGE('The List'!T2:T671))/STDEV('The List'!T2:T671)</f>
        <v>0.124028737840557</v>
      </c>
      <c r="H197" s="55" cm="1">
        <f t="array" ref="H197">(VLOOKUP($A197,'The List'!$B1:$AH671,20,FALSE)-AVERAGE('The List'!U2:U671))/STDEV('The List'!U2:U671)</f>
        <v>0.37627722780804984</v>
      </c>
      <c r="I197" s="55" cm="1">
        <f t="array" ref="I197">(VLOOKUP($A197,'The List'!$B1:$AH671,21,FALSE)-AVERAGE('The List'!V2:V671))/STDEV('The List'!V2:V671)</f>
        <v>0.45102204282849956</v>
      </c>
      <c r="J197" s="55" cm="1">
        <f t="array" ref="J197">(VLOOKUP($A197,'The List'!$B1:$AH671,22,FALSE)-AVERAGE('The List'!W2:W671))/STDEV('The List'!W2:W671)</f>
        <v>-5.9094739739746431E-2</v>
      </c>
      <c r="K197" s="55" cm="1">
        <f t="array" ref="K197">(VLOOKUP($A197,'The List'!$B1:$AH671,23,FALSE)-AVERAGE('The List'!X2:X671))/STDEV('The List'!X2:X671)</f>
        <v>0.18730469213463269</v>
      </c>
      <c r="L197" s="55" cm="1">
        <f t="array" ref="L197">(VLOOKUP($A197,'The List'!$B1:$AH671,24,FALSE)-AVERAGE('The List'!Y2:Y671))/STDEV('The List'!Y2:Y671)</f>
        <v>-0.47546929358800777</v>
      </c>
      <c r="M197" s="55" cm="1">
        <f t="array" ref="M197">(VLOOKUP($A197,'The List'!$B1:$AH671,25,FALSE)-AVERAGE('The List'!Z2:Z671))/STDEV('The List'!Z2:Z671)</f>
        <v>-0.64388478613809508</v>
      </c>
      <c r="N197" s="55" cm="1">
        <f t="array" ref="N197">(VLOOKUP($A197,'The List'!$B1:$AH671,26,FALSE)-AVERAGE('The List'!AA2:AA671))/STDEV('The List'!AA2:AA671)</f>
        <v>-0.84805600052021857</v>
      </c>
      <c r="O197" s="55" cm="1">
        <f t="array" ref="O197">(VLOOKUP($A197,'The List'!$B1:$AH671,27,FALSE)-AVERAGE('The List'!AB2:AB671))/STDEV('The List'!AB2:AB671)</f>
        <v>-0.17194014890644069</v>
      </c>
      <c r="P197" s="55" cm="1">
        <f t="array" ref="P197">(VLOOKUP($A197,'The List'!$B1:$AH671,28,FALSE)-AVERAGE('The List'!AC2:AC671))/STDEV('The List'!AC2:AC671)</f>
        <v>-0.63884649740575394</v>
      </c>
      <c r="Q197" s="55" cm="1">
        <f t="array" ref="Q197">(VLOOKUP($A197,'The List'!$B1:$AH671,29,FALSE)-AVERAGE('The List'!AD2:AD671))/STDEV('The List'!AD2:AD671)</f>
        <v>-0.67742602832653442</v>
      </c>
      <c r="R197" s="55" cm="1">
        <f t="array" ref="R197">(VLOOKUP($A197,'The List'!$B1:$AH671,30,FALSE)-AVERAGE('The List'!AE2:AE671))/STDEV('The List'!AE2:AE671)</f>
        <v>0.19004815780100306</v>
      </c>
      <c r="S197" s="55" cm="1">
        <f t="array" ref="S197">(VLOOKUP($A197,'The List'!$B1:$AH671,31,FALSE)-AVERAGE('The List'!AF2:AF671))/STDEV('The List'!AF2:AF671)</f>
        <v>2.3127930962382866E-2</v>
      </c>
      <c r="T197" s="55" cm="1">
        <f t="array" ref="T197">(VLOOKUP($A197,'The List'!$B1:$AH671,32,FALSE)-AVERAGE('The List'!AG2:AG671))/STDEV('The List'!AG2:AG671)</f>
        <v>0.13570876069617946</v>
      </c>
      <c r="U197" s="55" cm="1">
        <f t="array" ref="U197">(VLOOKUP($A197,'The List'!$B1:$AH671,33,FALSE)-AVERAGE('The List'!AH2:AH671))/STDEV('The List'!AH2:AH671)</f>
        <v>0.86070166274106241</v>
      </c>
      <c r="V197" s="55"/>
      <c r="W197" s="57"/>
      <c r="X197" s="55"/>
      <c r="Y197" s="55"/>
      <c r="Z197" s="55"/>
      <c r="AA197" s="55"/>
      <c r="AB197" s="55"/>
      <c r="AC197" s="55"/>
      <c r="AD197" s="55"/>
      <c r="AE197" s="55"/>
    </row>
    <row r="198" spans="1:31" ht="21.25" customHeight="1" x14ac:dyDescent="0.15">
      <c r="A198" s="10" t="s">
        <v>596</v>
      </c>
      <c r="B198" s="18" t="str" cm="1">
        <f t="array" ref="B198">VLOOKUP(A198,'Player Data'!A1:B673,2,FALSE)</f>
        <v>COL</v>
      </c>
      <c r="C198" s="52" cm="1">
        <f t="array" ref="C198">((E198)*Settings!$C$12)+(F198*Settings!$C$2)+(G198*Settings!$C$3)+(H198*Settings!$C$4)+(I198*Settings!$C$5)+(K198*Settings!$C$9)+(N198*Settings!$C$6)+(J198*Settings!$C$8)+(O198*Settings!$C$7)+(P198*Settings!$C$14)+(Q198*Settings!$C$15)+(R198*Settings!$C$16)+(S198*Settings!$C$17)+(T198*Settings!$C$18)+(U198*Settings!$C$19)+(L198*Settings!$C$10)+(Settings!$C$11*M198)</f>
        <v>0.81570949302161677</v>
      </c>
      <c r="D198" s="57" cm="1">
        <f t="array" ref="D198">IF(Settings!$E$12="YES",VLOOKUP(A198,'Player Data'!A1:E673,5,FALSE),82)</f>
        <v>62</v>
      </c>
      <c r="E198" s="55" cm="1">
        <f t="array" ref="E198">(VLOOKUP($A198,'The List'!$B1:$AH671,17,FALSE)-AVERAGE('The List'!R2:R671))/STDEV('The List'!R2:R671)</f>
        <v>-0.21362287742156597</v>
      </c>
      <c r="F198" s="55" cm="1">
        <f t="array" ref="F198">(VLOOKUP($A198,'The List'!$B1:$AH671,18,FALSE)-AVERAGE('The List'!S2:S671))/STDEV('The List'!S2:S671)</f>
        <v>-7.317620463953517E-2</v>
      </c>
      <c r="G198" s="55" cm="1">
        <f t="array" ref="G198">(VLOOKUP($A198,'The List'!$B1:$AH671,19,FALSE)-AVERAGE('The List'!T2:T671))/STDEV('The List'!T2:T671)</f>
        <v>-0.22452769029563505</v>
      </c>
      <c r="H198" s="55" cm="1">
        <f t="array" ref="H198">(VLOOKUP($A198,'The List'!$B1:$AH671,20,FALSE)-AVERAGE('The List'!U2:U671))/STDEV('The List'!U2:U671)</f>
        <v>-0.17366047869818224</v>
      </c>
      <c r="I198" s="55" cm="1">
        <f t="array" ref="I198">(VLOOKUP($A198,'The List'!$B1:$AH671,21,FALSE)-AVERAGE('The List'!V2:V671))/STDEV('The List'!V2:V671)</f>
        <v>3.3257951319414635E-2</v>
      </c>
      <c r="J198" s="55" cm="1">
        <f t="array" ref="J198">(VLOOKUP($A198,'The List'!$B1:$AH671,22,FALSE)-AVERAGE('The List'!W2:W671))/STDEV('The List'!W2:W671)</f>
        <v>-5.3570801982662633E-2</v>
      </c>
      <c r="K198" s="55" cm="1">
        <f t="array" ref="K198">(VLOOKUP($A198,'The List'!$B1:$AH671,23,FALSE)-AVERAGE('The List'!X2:X671))/STDEV('The List'!X2:X671)</f>
        <v>-0.1784922597638188</v>
      </c>
      <c r="L198" s="55" cm="1">
        <f t="array" ref="L198">(VLOOKUP($A198,'The List'!$B1:$AH671,24,FALSE)-AVERAGE('The List'!Y2:Y671))/STDEV('The List'!Y2:Y671)</f>
        <v>-0.47546929358800777</v>
      </c>
      <c r="M198" s="55" cm="1">
        <f t="array" ref="M198">(VLOOKUP($A198,'The List'!$B1:$AH671,25,FALSE)-AVERAGE('The List'!Z2:Z671))/STDEV('The List'!Z2:Z671)</f>
        <v>-0.64388478613809508</v>
      </c>
      <c r="N198" s="55" cm="1">
        <f t="array" ref="N198">(VLOOKUP($A198,'The List'!$B1:$AH671,26,FALSE)-AVERAGE('The List'!AA2:AA671))/STDEV('The List'!AA2:AA671)</f>
        <v>-0.83119896624798473</v>
      </c>
      <c r="O198" s="55" cm="1">
        <f t="array" ref="O198">(VLOOKUP($A198,'The List'!$B1:$AH671,27,FALSE)-AVERAGE('The List'!AB2:AB671))/STDEV('The List'!AB2:AB671)</f>
        <v>-0.1165935403598226</v>
      </c>
      <c r="P198" s="55" cm="1">
        <f t="array" ref="P198">(VLOOKUP($A198,'The List'!$B1:$AH671,28,FALSE)-AVERAGE('The List'!AC2:AC671))/STDEV('The List'!AC2:AC671)</f>
        <v>1.3752412367610138</v>
      </c>
      <c r="Q198" s="55" cm="1">
        <f t="array" ref="Q198">(VLOOKUP($A198,'The List'!$B1:$AH671,29,FALSE)-AVERAGE('The List'!AD2:AD671))/STDEV('The List'!AD2:AD671)</f>
        <v>0.32887944002339287</v>
      </c>
      <c r="R198" s="55" cm="1">
        <f t="array" ref="R198">(VLOOKUP($A198,'The List'!$B1:$AH671,30,FALSE)-AVERAGE('The List'!AE2:AE671))/STDEV('The List'!AE2:AE671)</f>
        <v>0.202524135781012</v>
      </c>
      <c r="S198" s="55" cm="1">
        <f t="array" ref="S198">(VLOOKUP($A198,'The List'!$B1:$AH671,31,FALSE)-AVERAGE('The List'!AF2:AF671))/STDEV('The List'!AF2:AF671)</f>
        <v>0.19110982048058109</v>
      </c>
      <c r="T198" s="55" cm="1">
        <f t="array" ref="T198">(VLOOKUP($A198,'The List'!$B1:$AH671,32,FALSE)-AVERAGE('The List'!AG2:AG671))/STDEV('The List'!AG2:AG671)</f>
        <v>-0.14058795766517385</v>
      </c>
      <c r="U198" s="55" cm="1">
        <f t="array" ref="U198">(VLOOKUP($A198,'The List'!$B1:$AH671,33,FALSE)-AVERAGE('The List'!AH2:AH671))/STDEV('The List'!AH2:AH671)</f>
        <v>1.5966892561741108</v>
      </c>
      <c r="V198" s="55"/>
      <c r="W198" s="77"/>
      <c r="X198" s="57"/>
      <c r="Y198" s="57"/>
      <c r="Z198" s="57"/>
      <c r="AA198" s="57"/>
      <c r="AB198" s="57"/>
      <c r="AC198" s="60"/>
      <c r="AD198" s="61"/>
      <c r="AE198" s="55"/>
    </row>
    <row r="199" spans="1:31" ht="21.25" customHeight="1" x14ac:dyDescent="0.15">
      <c r="A199" s="10" t="s">
        <v>442</v>
      </c>
      <c r="B199" s="18" t="str" cm="1">
        <f t="array" ref="B199">VLOOKUP(A199,'Player Data'!A1:B673,2,FALSE)</f>
        <v>CBJ</v>
      </c>
      <c r="C199" s="52" cm="1">
        <f t="array" ref="C199">((E199)*Settings!$C$12)+(F199*Settings!$C$2)+(G199*Settings!$C$3)+(H199*Settings!$C$4)+(I199*Settings!$C$5)+(K199*Settings!$C$9)+(N199*Settings!$C$6)+(J199*Settings!$C$8)+(O199*Settings!$C$7)+(P199*Settings!$C$14)+(Q199*Settings!$C$15)+(R199*Settings!$C$16)+(S199*Settings!$C$17)+(T199*Settings!$C$18)+(U199*Settings!$C$19)+(L199*Settings!$C$10)+(Settings!$C$11*M199)</f>
        <v>2.7470006652397121</v>
      </c>
      <c r="D199" s="57" cm="1">
        <f t="array" ref="D199">IF(Settings!$E$12="YES",VLOOKUP(A199,'Player Data'!A1:E673,5,FALSE),82)</f>
        <v>84</v>
      </c>
      <c r="E199" s="55" cm="1">
        <f t="array" ref="E199">(VLOOKUP($A199,'The List'!$B1:$AH671,17,FALSE)-AVERAGE('The List'!R2:R671))/STDEV('The List'!R2:R671)</f>
        <v>-3.7659960153324803E-3</v>
      </c>
      <c r="F199" s="55" cm="1">
        <f t="array" ref="F199">(VLOOKUP($A199,'The List'!$B1:$AH671,18,FALSE)-AVERAGE('The List'!S2:S671))/STDEV('The List'!S2:S671)</f>
        <v>0.63935245552837805</v>
      </c>
      <c r="G199" s="55" cm="1">
        <f t="array" ref="G199">(VLOOKUP($A199,'The List'!$B1:$AH671,19,FALSE)-AVERAGE('The List'!T2:T671))/STDEV('The List'!T2:T671)</f>
        <v>0.46274687969871159</v>
      </c>
      <c r="H199" s="55" cm="1">
        <f t="array" ref="H199">(VLOOKUP($A199,'The List'!$B1:$AH671,20,FALSE)-AVERAGE('The List'!U2:U671))/STDEV('The List'!U2:U671)</f>
        <v>0.57432553368810757</v>
      </c>
      <c r="I199" s="55" cm="1">
        <f t="array" ref="I199">(VLOOKUP($A199,'The List'!$B1:$AH671,21,FALSE)-AVERAGE('The List'!V2:V671))/STDEV('The List'!V2:V671)</f>
        <v>0.26857420137540045</v>
      </c>
      <c r="J199" s="55" cm="1">
        <f t="array" ref="J199">(VLOOKUP($A199,'The List'!$B1:$AH671,22,FALSE)-AVERAGE('The List'!W2:W671))/STDEV('The List'!W2:W671)</f>
        <v>1.1175040025191012</v>
      </c>
      <c r="K199" s="55" cm="1">
        <f t="array" ref="K199">(VLOOKUP($A199,'The List'!$B1:$AH671,23,FALSE)-AVERAGE('The List'!X2:X671))/STDEV('The List'!X2:X671)</f>
        <v>0.4646672161015904</v>
      </c>
      <c r="L199" s="55" cm="1">
        <f t="array" ref="L199">(VLOOKUP($A199,'The List'!$B1:$AH671,24,FALSE)-AVERAGE('The List'!Y2:Y671))/STDEV('The List'!Y2:Y671)</f>
        <v>-0.47546929358800777</v>
      </c>
      <c r="M199" s="55" cm="1">
        <f t="array" ref="M199">(VLOOKUP($A199,'The List'!$B1:$AH671,25,FALSE)-AVERAGE('The List'!Z2:Z671))/STDEV('The List'!Z2:Z671)</f>
        <v>0.26887555677241731</v>
      </c>
      <c r="N199" s="55" cm="1">
        <f t="array" ref="N199">(VLOOKUP($A199,'The List'!$B1:$AH671,26,FALSE)-AVERAGE('The List'!AA2:AA671))/STDEV('The List'!AA2:AA671)</f>
        <v>-0.22843228621053258</v>
      </c>
      <c r="O199" s="55" cm="1">
        <f t="array" ref="O199">(VLOOKUP($A199,'The List'!$B1:$AH671,27,FALSE)-AVERAGE('The List'!AB2:AB671))/STDEV('The List'!AB2:AB671)</f>
        <v>0.46967053535620207</v>
      </c>
      <c r="P199" s="55" cm="1">
        <f t="array" ref="P199">(VLOOKUP($A199,'The List'!$B1:$AH671,28,FALSE)-AVERAGE('The List'!AC2:AC671))/STDEV('The List'!AC2:AC671)</f>
        <v>0.44198937717942954</v>
      </c>
      <c r="Q199" s="55" cm="1">
        <f t="array" ref="Q199">(VLOOKUP($A199,'The List'!$B1:$AH671,29,FALSE)-AVERAGE('The List'!AD2:AD671))/STDEV('The List'!AD2:AD671)</f>
        <v>-0.5739878744579664</v>
      </c>
      <c r="R199" s="55" cm="1">
        <f t="array" ref="R199">(VLOOKUP($A199,'The List'!$B1:$AH671,30,FALSE)-AVERAGE('The List'!AE2:AE671))/STDEV('The List'!AE2:AE671)</f>
        <v>0.75146716690140425</v>
      </c>
      <c r="S199" s="55" cm="1">
        <f t="array" ref="S199">(VLOOKUP($A199,'The List'!$B1:$AH671,31,FALSE)-AVERAGE('The List'!AF2:AF671))/STDEV('The List'!AF2:AF671)</f>
        <v>2.1826615638697748</v>
      </c>
      <c r="T199" s="55" cm="1">
        <f t="array" ref="T199">(VLOOKUP($A199,'The List'!$B1:$AH671,32,FALSE)-AVERAGE('The List'!AG2:AG671))/STDEV('The List'!AG2:AG671)</f>
        <v>2.2724918411893196</v>
      </c>
      <c r="U199" s="55" cm="1">
        <f t="array" ref="U199">(VLOOKUP($A199,'The List'!$B1:$AH671,33,FALSE)-AVERAGE('The List'!AH2:AH671))/STDEV('The List'!AH2:AH671)</f>
        <v>1.0446985610993245</v>
      </c>
      <c r="V199" s="55"/>
      <c r="W199" s="57"/>
      <c r="X199" s="55"/>
      <c r="Y199" s="55"/>
      <c r="Z199" s="55"/>
      <c r="AA199" s="55"/>
      <c r="AB199" s="55"/>
      <c r="AC199" s="55"/>
      <c r="AD199" s="55"/>
      <c r="AE199" s="55"/>
    </row>
    <row r="200" spans="1:31" ht="21.25" customHeight="1" x14ac:dyDescent="0.15">
      <c r="A200" s="10" t="s">
        <v>203</v>
      </c>
      <c r="B200" s="18" t="str" cm="1">
        <f t="array" ref="B200">VLOOKUP(A200,'Player Data'!A1:B673,2,FALSE)</f>
        <v>MIN</v>
      </c>
      <c r="C200" s="52" cm="1">
        <f t="array" ref="C200">((E200)*Settings!$C$12)+(F200*Settings!$C$2)+(G200*Settings!$C$3)+(H200*Settings!$C$4)+(I200*Settings!$C$5)+(K200*Settings!$C$9)+(N200*Settings!$C$6)+(J200*Settings!$C$8)+(O200*Settings!$C$7)+(P200*Settings!$C$14)+(Q200*Settings!$C$15)+(R200*Settings!$C$16)+(S200*Settings!$C$17)+(T200*Settings!$C$18)+(U200*Settings!$C$19)+(L200*Settings!$C$10)+(Settings!$C$11*M200)</f>
        <v>0.8518329494199981</v>
      </c>
      <c r="D200" s="57" cm="1">
        <f t="array" ref="D200">IF(Settings!$E$12="YES",VLOOKUP(A200,'Player Data'!A1:E673,5,FALSE),82)</f>
        <v>83</v>
      </c>
      <c r="E200" s="55" cm="1">
        <f t="array" ref="E200">(VLOOKUP($A200,'The List'!$B1:$AH671,17,FALSE)-AVERAGE('The List'!R2:R671))/STDEV('The List'!R2:R671)</f>
        <v>2.1210349282227789</v>
      </c>
      <c r="F200" s="55" cm="1">
        <f t="array" ref="F200">(VLOOKUP($A200,'The List'!$B1:$AH671,18,FALSE)-AVERAGE('The List'!S2:S671))/STDEV('The List'!S2:S671)</f>
        <v>-4.7229782840703449E-2</v>
      </c>
      <c r="G200" s="55" cm="1">
        <f t="array" ref="G200">(VLOOKUP($A200,'The List'!$B1:$AH671,19,FALSE)-AVERAGE('The List'!T2:T671))/STDEV('The List'!T2:T671)</f>
        <v>0.55410239513763304</v>
      </c>
      <c r="H200" s="55" cm="1">
        <f t="array" ref="H200">(VLOOKUP($A200,'The List'!$B1:$AH671,20,FALSE)-AVERAGE('The List'!U2:U671))/STDEV('The List'!U2:U671)</f>
        <v>0.32764929556071415</v>
      </c>
      <c r="I200" s="55" cm="1">
        <f t="array" ref="I200">(VLOOKUP($A200,'The List'!$B1:$AH671,21,FALSE)-AVERAGE('The List'!V2:V671))/STDEV('The List'!V2:V671)</f>
        <v>0.59787873339207309</v>
      </c>
      <c r="J200" s="55" cm="1">
        <f t="array" ref="J200">(VLOOKUP($A200,'The List'!$B1:$AH671,22,FALSE)-AVERAGE('The List'!W2:W671))/STDEV('The List'!W2:W671)</f>
        <v>-0.5092956669420754</v>
      </c>
      <c r="K200" s="55" cm="1">
        <f t="array" ref="K200">(VLOOKUP($A200,'The List'!$B1:$AH671,23,FALSE)-AVERAGE('The List'!X2:X671))/STDEV('The List'!X2:X671)</f>
        <v>3.2544443254518662E-2</v>
      </c>
      <c r="L200" s="55" cm="1">
        <f t="array" ref="L200">(VLOOKUP($A200,'The List'!$B1:$AH671,24,FALSE)-AVERAGE('The List'!Y2:Y671))/STDEV('The List'!Y2:Y671)</f>
        <v>1.0460445458883638</v>
      </c>
      <c r="M200" s="55" cm="1">
        <f t="array" ref="M200">(VLOOKUP($A200,'The List'!$B1:$AH671,25,FALSE)-AVERAGE('The List'!Z2:Z671))/STDEV('The List'!Z2:Z671)</f>
        <v>1.1599035105660132</v>
      </c>
      <c r="N200" s="55" cm="1">
        <f t="array" ref="N200">(VLOOKUP($A200,'The List'!$B1:$AH671,26,FALSE)-AVERAGE('The List'!AA2:AA671))/STDEV('The List'!AA2:AA671)</f>
        <v>2.1080548277651503</v>
      </c>
      <c r="O200" s="55" cm="1">
        <f t="array" ref="O200">(VLOOKUP($A200,'The List'!$B1:$AH671,27,FALSE)-AVERAGE('The List'!AB2:AB671))/STDEV('The List'!AB2:AB671)</f>
        <v>-0.90108046964836364</v>
      </c>
      <c r="P200" s="55" cm="1">
        <f t="array" ref="P200">(VLOOKUP($A200,'The List'!$B1:$AH671,28,FALSE)-AVERAGE('The List'!AC2:AC671))/STDEV('The List'!AC2:AC671)</f>
        <v>0.61561763012484061</v>
      </c>
      <c r="Q200" s="55" cm="1">
        <f t="array" ref="Q200">(VLOOKUP($A200,'The List'!$B1:$AH671,29,FALSE)-AVERAGE('The List'!AD2:AD671))/STDEV('The List'!AD2:AD671)</f>
        <v>-4.3497913903452493E-2</v>
      </c>
      <c r="R200" s="55" cm="1">
        <f t="array" ref="R200">(VLOOKUP($A200,'The List'!$B1:$AH671,30,FALSE)-AVERAGE('The List'!AE2:AE671))/STDEV('The List'!AE2:AE671)</f>
        <v>0.20876212477101633</v>
      </c>
      <c r="S200" s="55" cm="1">
        <f t="array" ref="S200">(VLOOKUP($A200,'The List'!$B1:$AH671,31,FALSE)-AVERAGE('The List'!AF2:AF671))/STDEV('The List'!AF2:AF671)</f>
        <v>-0.59581850454342256</v>
      </c>
      <c r="T200" s="55" cm="1">
        <f t="array" ref="T200">(VLOOKUP($A200,'The List'!$B1:$AH671,32,FALSE)-AVERAGE('The List'!AG2:AG671))/STDEV('The List'!AG2:AG671)</f>
        <v>-0.64684275008198677</v>
      </c>
      <c r="U200" s="55" cm="1">
        <f t="array" ref="U200">(VLOOKUP($A200,'The List'!$B1:$AH671,33,FALSE)-AVERAGE('The List'!AH2:AH671))/STDEV('The List'!AH2:AH671)</f>
        <v>-1.2552626683789523</v>
      </c>
      <c r="V200" s="55"/>
      <c r="W200" s="77"/>
      <c r="X200" s="57"/>
      <c r="Y200" s="57"/>
      <c r="Z200" s="57"/>
      <c r="AA200" s="57"/>
      <c r="AB200" s="57"/>
      <c r="AC200" s="60"/>
      <c r="AD200" s="61"/>
      <c r="AE200" s="55"/>
    </row>
    <row r="201" spans="1:31" ht="21.25" customHeight="1" x14ac:dyDescent="0.15">
      <c r="A201" s="10" t="s">
        <v>230</v>
      </c>
      <c r="B201" s="18" t="str" cm="1">
        <f t="array" ref="B201">VLOOKUP(A201,'Player Data'!A1:B673,2,FALSE)</f>
        <v>FLA</v>
      </c>
      <c r="C201" s="52" cm="1">
        <f t="array" ref="C201">((E201)*Settings!$C$12)+(F201*Settings!$C$2)+(G201*Settings!$C$3)+(H201*Settings!$C$4)+(I201*Settings!$C$5)+(K201*Settings!$C$9)+(N201*Settings!$C$6)+(J201*Settings!$C$8)+(O201*Settings!$C$7)+(P201*Settings!$C$14)+(Q201*Settings!$C$15)+(R201*Settings!$C$16)+(S201*Settings!$C$17)+(T201*Settings!$C$18)+(U201*Settings!$C$19)+(L201*Settings!$C$10)+(Settings!$C$11*M201)</f>
        <v>1.1825786610612372</v>
      </c>
      <c r="D201" s="57" cm="1">
        <f t="array" ref="D201">IF(Settings!$E$12="YES",VLOOKUP(A201,'Player Data'!A1:E673,5,FALSE),82)</f>
        <v>75</v>
      </c>
      <c r="E201" s="55" cm="1">
        <f t="array" ref="E201">(VLOOKUP($A201,'The List'!$B1:$AH671,17,FALSE)-AVERAGE('The List'!R2:R671))/STDEV('The List'!R2:R671)</f>
        <v>2.0423385976954425</v>
      </c>
      <c r="F201" s="55" cm="1">
        <f t="array" ref="F201">(VLOOKUP($A201,'The List'!$B1:$AH671,18,FALSE)-AVERAGE('The List'!S2:S671))/STDEV('The List'!S2:S671)</f>
        <v>-0.62403869821472846</v>
      </c>
      <c r="G201" s="55" cm="1">
        <f t="array" ref="G201">(VLOOKUP($A201,'The List'!$B1:$AH671,19,FALSE)-AVERAGE('The List'!T2:T671))/STDEV('The List'!T2:T671)</f>
        <v>0.39317614101830234</v>
      </c>
      <c r="H201" s="55" cm="1">
        <f t="array" ref="H201">(VLOOKUP($A201,'The List'!$B1:$AH671,20,FALSE)-AVERAGE('The List'!U2:U671))/STDEV('The List'!U2:U671)</f>
        <v>-2.9102898290193736E-2</v>
      </c>
      <c r="I201" s="55" cm="1">
        <f t="array" ref="I201">(VLOOKUP($A201,'The List'!$B1:$AH671,21,FALSE)-AVERAGE('The List'!V2:V671))/STDEV('The List'!V2:V671)</f>
        <v>0.14832448769040318</v>
      </c>
      <c r="J201" s="55" cm="1">
        <f t="array" ref="J201">(VLOOKUP($A201,'The List'!$B1:$AH671,22,FALSE)-AVERAGE('The List'!W2:W671))/STDEV('The List'!W2:W671)</f>
        <v>0.2971992455921581</v>
      </c>
      <c r="K201" s="55" cm="1">
        <f t="array" ref="K201">(VLOOKUP($A201,'The List'!$B1:$AH671,23,FALSE)-AVERAGE('The List'!X2:X671))/STDEV('The List'!X2:X671)</f>
        <v>0.78122227062909655</v>
      </c>
      <c r="L201" s="55" cm="1">
        <f t="array" ref="L201">(VLOOKUP($A201,'The List'!$B1:$AH671,24,FALSE)-AVERAGE('The List'!Y2:Y671))/STDEV('The List'!Y2:Y671)</f>
        <v>-0.47546929358800777</v>
      </c>
      <c r="M201" s="55" cm="1">
        <f t="array" ref="M201">(VLOOKUP($A201,'The List'!$B1:$AH671,25,FALSE)-AVERAGE('The List'!Z2:Z671))/STDEV('The List'!Z2:Z671)</f>
        <v>-0.64388478613809508</v>
      </c>
      <c r="N201" s="55" cm="1">
        <f t="array" ref="N201">(VLOOKUP($A201,'The List'!$B1:$AH671,26,FALSE)-AVERAGE('The List'!AA2:AA671))/STDEV('The List'!AA2:AA671)</f>
        <v>1.2120779152349037</v>
      </c>
      <c r="O201" s="55" cm="1">
        <f t="array" ref="O201">(VLOOKUP($A201,'The List'!$B1:$AH671,27,FALSE)-AVERAGE('The List'!AB2:AB671))/STDEV('The List'!AB2:AB671)</f>
        <v>-6.2271869008512497E-2</v>
      </c>
      <c r="P201" s="55" cm="1">
        <f t="array" ref="P201">(VLOOKUP($A201,'The List'!$B1:$AH671,28,FALSE)-AVERAGE('The List'!AC2:AC671))/STDEV('The List'!AC2:AC671)</f>
        <v>0.54616632894667616</v>
      </c>
      <c r="Q201" s="55" cm="1">
        <f t="array" ref="Q201">(VLOOKUP($A201,'The List'!$B1:$AH671,29,FALSE)-AVERAGE('The List'!AD2:AD671))/STDEV('The List'!AD2:AD671)</f>
        <v>8.9600069870357114E-3</v>
      </c>
      <c r="R201" s="55" cm="1">
        <f t="array" ref="R201">(VLOOKUP($A201,'The List'!$B1:$AH671,30,FALSE)-AVERAGE('The List'!AE2:AE671))/STDEV('The List'!AE2:AE671)</f>
        <v>-0.40879878523942492</v>
      </c>
      <c r="S201" s="55" cm="1">
        <f t="array" ref="S201">(VLOOKUP($A201,'The List'!$B1:$AH671,31,FALSE)-AVERAGE('The List'!AF2:AF671))/STDEV('The List'!AF2:AF671)</f>
        <v>-0.59581850454342256</v>
      </c>
      <c r="T201" s="55" cm="1">
        <f t="array" ref="T201">(VLOOKUP($A201,'The List'!$B1:$AH671,32,FALSE)-AVERAGE('The List'!AG2:AG671))/STDEV('The List'!AG2:AG671)</f>
        <v>-0.64684275008198677</v>
      </c>
      <c r="U201" s="55" cm="1">
        <f t="array" ref="U201">(VLOOKUP($A201,'The List'!$B1:$AH671,33,FALSE)-AVERAGE('The List'!AH2:AH671))/STDEV('The List'!AH2:AH671)</f>
        <v>-1.2552626683789523</v>
      </c>
      <c r="V201" s="55"/>
      <c r="W201" s="57"/>
      <c r="X201" s="55"/>
      <c r="Y201" s="55"/>
      <c r="Z201" s="55"/>
      <c r="AA201" s="55"/>
      <c r="AB201" s="55"/>
      <c r="AC201" s="55"/>
      <c r="AD201" s="55"/>
      <c r="AE201" s="55"/>
    </row>
    <row r="202" spans="1:31" ht="21.25" customHeight="1" x14ac:dyDescent="0.15">
      <c r="A202" s="10" t="s">
        <v>218</v>
      </c>
      <c r="B202" s="18" t="str" cm="1">
        <f t="array" ref="B202">VLOOKUP(A202,'Player Data'!A1:B673,2,FALSE)</f>
        <v>N.J</v>
      </c>
      <c r="C202" s="52" cm="1">
        <f t="array" ref="C202">((E202)*Settings!$C$12)+(F202*Settings!$C$2)+(G202*Settings!$C$3)+(H202*Settings!$C$4)+(I202*Settings!$C$5)+(K202*Settings!$C$9)+(N202*Settings!$C$6)+(J202*Settings!$C$8)+(O202*Settings!$C$7)+(P202*Settings!$C$14)+(Q202*Settings!$C$15)+(R202*Settings!$C$16)+(S202*Settings!$C$17)+(T202*Settings!$C$18)+(U202*Settings!$C$19)+(L202*Settings!$C$10)+(Settings!$C$11*M202)</f>
        <v>0.98466025721642669</v>
      </c>
      <c r="D202" s="57" cm="1">
        <f t="array" ref="D202">IF(Settings!$E$12="YES",VLOOKUP(A202,'Player Data'!A1:E673,5,FALSE),82)</f>
        <v>74</v>
      </c>
      <c r="E202" s="55" cm="1">
        <f t="array" ref="E202">(VLOOKUP($A202,'The List'!$B1:$AH671,17,FALSE)-AVERAGE('The List'!R2:R671))/STDEV('The List'!R2:R671)</f>
        <v>1.5176963941798591</v>
      </c>
      <c r="F202" s="55" cm="1">
        <f t="array" ref="F202">(VLOOKUP($A202,'The List'!$B1:$AH671,18,FALSE)-AVERAGE('The List'!S2:S671))/STDEV('The List'!S2:S671)</f>
        <v>-0.56017058301760458</v>
      </c>
      <c r="G202" s="55" cm="1">
        <f t="array" ref="G202">(VLOOKUP($A202,'The List'!$B1:$AH671,19,FALSE)-AVERAGE('The List'!T2:T671))/STDEV('The List'!T2:T671)</f>
        <v>0.26176474573308467</v>
      </c>
      <c r="H202" s="55" cm="1">
        <f t="array" ref="H202">(VLOOKUP($A202,'The List'!$B1:$AH671,20,FALSE)-AVERAGE('The List'!U2:U671))/STDEV('The List'!U2:U671)</f>
        <v>-8.3477767984941956E-2</v>
      </c>
      <c r="I202" s="55" cm="1">
        <f t="array" ref="I202">(VLOOKUP($A202,'The List'!$B1:$AH671,21,FALSE)-AVERAGE('The List'!V2:V671))/STDEV('The List'!V2:V671)</f>
        <v>1.0121873733584859</v>
      </c>
      <c r="J202" s="55" cm="1">
        <f t="array" ref="J202">(VLOOKUP($A202,'The List'!$B1:$AH671,22,FALSE)-AVERAGE('The List'!W2:W671))/STDEV('The List'!W2:W671)</f>
        <v>7.9003704187348353E-2</v>
      </c>
      <c r="K202" s="55" cm="1">
        <f t="array" ref="K202">(VLOOKUP($A202,'The List'!$B1:$AH671,23,FALSE)-AVERAGE('The List'!X2:X671))/STDEV('The List'!X2:X671)</f>
        <v>0.23956139954869732</v>
      </c>
      <c r="L202" s="55" cm="1">
        <f t="array" ref="L202">(VLOOKUP($A202,'The List'!$B1:$AH671,24,FALSE)-AVERAGE('The List'!Y2:Y671))/STDEV('The List'!Y2:Y671)</f>
        <v>-0.47546929358800777</v>
      </c>
      <c r="M202" s="55" cm="1">
        <f t="array" ref="M202">(VLOOKUP($A202,'The List'!$B1:$AH671,25,FALSE)-AVERAGE('The List'!Z2:Z671))/STDEV('The List'!Z2:Z671)</f>
        <v>-0.64388478613809508</v>
      </c>
      <c r="N202" s="55" cm="1">
        <f t="array" ref="N202">(VLOOKUP($A202,'The List'!$B1:$AH671,26,FALSE)-AVERAGE('The List'!AA2:AA671))/STDEV('The List'!AA2:AA671)</f>
        <v>0.73957013639198577</v>
      </c>
      <c r="O202" s="55" cm="1">
        <f t="array" ref="O202">(VLOOKUP($A202,'The List'!$B1:$AH671,27,FALSE)-AVERAGE('The List'!AB2:AB671))/STDEV('The List'!AB2:AB671)</f>
        <v>-2.4349192782126688E-2</v>
      </c>
      <c r="P202" s="55" cm="1">
        <f t="array" ref="P202">(VLOOKUP($A202,'The List'!$B1:$AH671,28,FALSE)-AVERAGE('The List'!AC2:AC671))/STDEV('The List'!AC2:AC671)</f>
        <v>5.5666514375890076E-2</v>
      </c>
      <c r="Q202" s="55" cm="1">
        <f t="array" ref="Q202">(VLOOKUP($A202,'The List'!$B1:$AH671,29,FALSE)-AVERAGE('The List'!AD2:AD671))/STDEV('The List'!AD2:AD671)</f>
        <v>1.1253532248113678</v>
      </c>
      <c r="R202" s="55" cm="1">
        <f t="array" ref="R202">(VLOOKUP($A202,'The List'!$B1:$AH671,30,FALSE)-AVERAGE('The List'!AE2:AE671))/STDEV('The List'!AE2:AE671)</f>
        <v>-0.42127476321943386</v>
      </c>
      <c r="S202" s="55" cm="1">
        <f t="array" ref="S202">(VLOOKUP($A202,'The List'!$B1:$AH671,31,FALSE)-AVERAGE('The List'!AF2:AF671))/STDEV('The List'!AF2:AF671)</f>
        <v>-0.59581850454342256</v>
      </c>
      <c r="T202" s="55" cm="1">
        <f t="array" ref="T202">(VLOOKUP($A202,'The List'!$B1:$AH671,32,FALSE)-AVERAGE('The List'!AG2:AG671))/STDEV('The List'!AG2:AG671)</f>
        <v>-0.64684275008198677</v>
      </c>
      <c r="U202" s="55" cm="1">
        <f t="array" ref="U202">(VLOOKUP($A202,'The List'!$B1:$AH671,33,FALSE)-AVERAGE('The List'!AH2:AH671))/STDEV('The List'!AH2:AH671)</f>
        <v>-1.2552626683789523</v>
      </c>
      <c r="V202" s="55"/>
      <c r="W202" s="77"/>
      <c r="X202" s="57"/>
      <c r="Y202" s="57"/>
      <c r="Z202" s="57"/>
      <c r="AA202" s="57"/>
      <c r="AB202" s="57"/>
      <c r="AC202" s="60"/>
      <c r="AD202" s="61"/>
      <c r="AE202" s="55"/>
    </row>
    <row r="203" spans="1:31" ht="21.25" customHeight="1" x14ac:dyDescent="0.15">
      <c r="A203" s="10" t="s">
        <v>265</v>
      </c>
      <c r="B203" s="18" t="str" cm="1">
        <f t="array" ref="B203">VLOOKUP(A203,'Player Data'!A1:B673,2,FALSE)</f>
        <v>VAN</v>
      </c>
      <c r="C203" s="52" cm="1">
        <f t="array" ref="C203">((E203)*Settings!$C$12)+(F203*Settings!$C$2)+(G203*Settings!$C$3)+(H203*Settings!$C$4)+(I203*Settings!$C$5)+(K203*Settings!$C$9)+(N203*Settings!$C$6)+(J203*Settings!$C$8)+(O203*Settings!$C$7)+(P203*Settings!$C$14)+(Q203*Settings!$C$15)+(R203*Settings!$C$16)+(S203*Settings!$C$17)+(T203*Settings!$C$18)+(U203*Settings!$C$19)+(L203*Settings!$C$10)+(Settings!$C$11*M203)</f>
        <v>-2.0778155682660193</v>
      </c>
      <c r="D203" s="57" cm="1">
        <f t="array" ref="D203">IF(Settings!$E$12="YES",VLOOKUP(A203,'Player Data'!A1:E673,5,FALSE),82)</f>
        <v>82</v>
      </c>
      <c r="E203" s="55" cm="1">
        <f t="array" ref="E203">(VLOOKUP($A203,'The List'!$B1:$AH671,17,FALSE)-AVERAGE('The List'!R2:R671))/STDEV('The List'!R2:R671)</f>
        <v>1.5701606145314173</v>
      </c>
      <c r="F203" s="55" cm="1">
        <f t="array" ref="F203">(VLOOKUP($A203,'The List'!$B1:$AH671,18,FALSE)-AVERAGE('The List'!S2:S671))/STDEV('The List'!S2:S671)</f>
        <v>-0.22685885683261439</v>
      </c>
      <c r="G203" s="55" cm="1">
        <f t="array" ref="G203">(VLOOKUP($A203,'The List'!$B1:$AH671,19,FALSE)-AVERAGE('The List'!T2:T671))/STDEV('The List'!T2:T671)</f>
        <v>0.64264697163997253</v>
      </c>
      <c r="H203" s="55" cm="1">
        <f t="array" ref="H203">(VLOOKUP($A203,'The List'!$B1:$AH671,20,FALSE)-AVERAGE('The List'!U2:U671))/STDEV('The List'!U2:U671)</f>
        <v>0.30377740154838578</v>
      </c>
      <c r="I203" s="55" cm="1">
        <f t="array" ref="I203">(VLOOKUP($A203,'The List'!$B1:$AH671,21,FALSE)-AVERAGE('The List'!V2:V671))/STDEV('The List'!V2:V671)</f>
        <v>-0.29984757739419809</v>
      </c>
      <c r="J203" s="55" cm="1">
        <f t="array" ref="J203">(VLOOKUP($A203,'The List'!$B1:$AH671,22,FALSE)-AVERAGE('The List'!W2:W671))/STDEV('The List'!W2:W671)</f>
        <v>0.84683105242199541</v>
      </c>
      <c r="K203" s="55" cm="1">
        <f t="array" ref="K203">(VLOOKUP($A203,'The List'!$B1:$AH671,23,FALSE)-AVERAGE('The List'!X2:X671))/STDEV('The List'!X2:X671)</f>
        <v>1.3409720019682105</v>
      </c>
      <c r="L203" s="55" cm="1">
        <f t="array" ref="L203">(VLOOKUP($A203,'The List'!$B1:$AH671,24,FALSE)-AVERAGE('The List'!Y2:Y671))/STDEV('The List'!Y2:Y671)</f>
        <v>-0.47546929358800777</v>
      </c>
      <c r="M203" s="55" cm="1">
        <f t="array" ref="M203">(VLOOKUP($A203,'The List'!$B1:$AH671,25,FALSE)-AVERAGE('The List'!Z2:Z671))/STDEV('The List'!Z2:Z671)</f>
        <v>-0.64388478613809508</v>
      </c>
      <c r="N203" s="55" cm="1">
        <f t="array" ref="N203">(VLOOKUP($A203,'The List'!$B1:$AH671,26,FALSE)-AVERAGE('The List'!AA2:AA671))/STDEV('The List'!AA2:AA671)</f>
        <v>0.53422080980295561</v>
      </c>
      <c r="O203" s="55" cm="1">
        <f t="array" ref="O203">(VLOOKUP($A203,'The List'!$B1:$AH671,27,FALSE)-AVERAGE('The List'!AB2:AB671))/STDEV('The List'!AB2:AB671)</f>
        <v>-0.76025409901308083</v>
      </c>
      <c r="P203" s="55" cm="1">
        <f t="array" ref="P203">(VLOOKUP($A203,'The List'!$B1:$AH671,28,FALSE)-AVERAGE('The List'!AC2:AC671))/STDEV('The List'!AC2:AC671)</f>
        <v>-2.7744740086343089</v>
      </c>
      <c r="Q203" s="55" cm="1">
        <f t="array" ref="Q203">(VLOOKUP($A203,'The List'!$B1:$AH671,29,FALSE)-AVERAGE('The List'!AD2:AD671))/STDEV('The List'!AD2:AD671)</f>
        <v>0.65544846866558681</v>
      </c>
      <c r="R203" s="55" cm="1">
        <f t="array" ref="R203">(VLOOKUP($A203,'The List'!$B1:$AH671,30,FALSE)-AVERAGE('The List'!AE2:AE671))/STDEV('The List'!AE2:AE671)</f>
        <v>-0.32146693937936244</v>
      </c>
      <c r="S203" s="55" cm="1">
        <f t="array" ref="S203">(VLOOKUP($A203,'The List'!$B1:$AH671,31,FALSE)-AVERAGE('The List'!AF2:AF671))/STDEV('The List'!AF2:AF671)</f>
        <v>-0.59581850454342256</v>
      </c>
      <c r="T203" s="55" cm="1">
        <f t="array" ref="T203">(VLOOKUP($A203,'The List'!$B1:$AH671,32,FALSE)-AVERAGE('The List'!AG2:AG671))/STDEV('The List'!AG2:AG671)</f>
        <v>-0.64684275008198677</v>
      </c>
      <c r="U203" s="55" cm="1">
        <f t="array" ref="U203">(VLOOKUP($A203,'The List'!$B1:$AH671,33,FALSE)-AVERAGE('The List'!AH2:AH671))/STDEV('The List'!AH2:AH671)</f>
        <v>-1.2552626683789523</v>
      </c>
      <c r="V203" s="55"/>
      <c r="W203" s="77"/>
      <c r="X203" s="57"/>
      <c r="Y203" s="57"/>
      <c r="Z203" s="57"/>
      <c r="AA203" s="57"/>
      <c r="AB203" s="57"/>
      <c r="AC203" s="60"/>
      <c r="AD203" s="61"/>
      <c r="AE203" s="55"/>
    </row>
    <row r="204" spans="1:31" ht="21.25" customHeight="1" x14ac:dyDescent="0.15">
      <c r="A204" s="10" t="s">
        <v>403</v>
      </c>
      <c r="B204" s="18" t="str" cm="1">
        <f t="array" ref="B204">VLOOKUP(A204,'Player Data'!A1:B673,2,FALSE)</f>
        <v>NYR</v>
      </c>
      <c r="C204" s="52" cm="1">
        <f t="array" ref="C204">((E204)*Settings!$C$12)+(F204*Settings!$C$2)+(G204*Settings!$C$3)+(H204*Settings!$C$4)+(I204*Settings!$C$5)+(K204*Settings!$C$9)+(N204*Settings!$C$6)+(J204*Settings!$C$8)+(O204*Settings!$C$7)+(P204*Settings!$C$14)+(Q204*Settings!$C$15)+(R204*Settings!$C$16)+(S204*Settings!$C$17)+(T204*Settings!$C$18)+(U204*Settings!$C$19)+(L204*Settings!$C$10)+(Settings!$C$11*M204)</f>
        <v>5.0264346670579334</v>
      </c>
      <c r="D204" s="57" cm="1">
        <f t="array" ref="D204">IF(Settings!$E$12="YES",VLOOKUP(A204,'Player Data'!A1:E673,5,FALSE),82)</f>
        <v>84</v>
      </c>
      <c r="E204" s="55" cm="1">
        <f t="array" ref="E204">(VLOOKUP($A204,'The List'!$B1:$AH671,17,FALSE)-AVERAGE('The List'!R2:R671))/STDEV('The List'!R2:R671)</f>
        <v>-2.9998106191112015E-2</v>
      </c>
      <c r="F204" s="55" cm="1">
        <f t="array" ref="F204">(VLOOKUP($A204,'The List'!$B1:$AH671,18,FALSE)-AVERAGE('The List'!S2:S671))/STDEV('The List'!S2:S671)</f>
        <v>0.7231793567246031</v>
      </c>
      <c r="G204" s="55" cm="1">
        <f t="array" ref="G204">(VLOOKUP($A204,'The List'!$B1:$AH671,19,FALSE)-AVERAGE('The List'!T2:T671))/STDEV('The List'!T2:T671)</f>
        <v>-6.852057931532328E-2</v>
      </c>
      <c r="H204" s="55" cm="1">
        <f t="array" ref="H204">(VLOOKUP($A204,'The List'!$B1:$AH671,20,FALSE)-AVERAGE('The List'!U2:U671))/STDEV('The List'!U2:U671)</f>
        <v>0.27725307486802081</v>
      </c>
      <c r="I204" s="55" cm="1">
        <f t="array" ref="I204">(VLOOKUP($A204,'The List'!$B1:$AH671,21,FALSE)-AVERAGE('The List'!V2:V671))/STDEV('The List'!V2:V671)</f>
        <v>0.58785792391832359</v>
      </c>
      <c r="J204" s="55" cm="1">
        <f t="array" ref="J204">(VLOOKUP($A204,'The List'!$B1:$AH671,22,FALSE)-AVERAGE('The List'!W2:W671))/STDEV('The List'!W2:W671)</f>
        <v>0.18948245932902416</v>
      </c>
      <c r="K204" s="55" cm="1">
        <f t="array" ref="K204">(VLOOKUP($A204,'The List'!$B1:$AH671,23,FALSE)-AVERAGE('The List'!X2:X671))/STDEV('The List'!X2:X671)</f>
        <v>-4.1820871142419398E-2</v>
      </c>
      <c r="L204" s="55" cm="1">
        <f t="array" ref="L204">(VLOOKUP($A204,'The List'!$B1:$AH671,24,FALSE)-AVERAGE('The List'!Y2:Y671))/STDEV('The List'!Y2:Y671)</f>
        <v>1.0643760379302476</v>
      </c>
      <c r="M204" s="55" cm="1">
        <f t="array" ref="M204">(VLOOKUP($A204,'The List'!$B1:$AH671,25,FALSE)-AVERAGE('The List'!Z2:Z671))/STDEV('The List'!Z2:Z671)</f>
        <v>1.1816358996829295</v>
      </c>
      <c r="N204" s="55" cm="1">
        <f t="array" ref="N204">(VLOOKUP($A204,'The List'!$B1:$AH671,26,FALSE)-AVERAGE('The List'!AA2:AA671))/STDEV('The List'!AA2:AA671)</f>
        <v>-7.8251435421540408E-2</v>
      </c>
      <c r="O204" s="55" cm="1">
        <f t="array" ref="O204">(VLOOKUP($A204,'The List'!$B1:$AH671,27,FALSE)-AVERAGE('The List'!AB2:AB671))/STDEV('The List'!AB2:AB671)</f>
        <v>3.9306784564713642</v>
      </c>
      <c r="P204" s="55" cm="1">
        <f t="array" ref="P204">(VLOOKUP($A204,'The List'!$B1:$AH671,28,FALSE)-AVERAGE('The List'!AC2:AC671))/STDEV('The List'!AC2:AC671)</f>
        <v>-0.1049396195986151</v>
      </c>
      <c r="Q204" s="55" cm="1">
        <f t="array" ref="Q204">(VLOOKUP($A204,'The List'!$B1:$AH671,29,FALSE)-AVERAGE('The List'!AD2:AD671))/STDEV('The List'!AD2:AD671)</f>
        <v>1.7844020337453881</v>
      </c>
      <c r="R204" s="55" cm="1">
        <f t="array" ref="R204">(VLOOKUP($A204,'The List'!$B1:$AH671,30,FALSE)-AVERAGE('The List'!AE2:AE671))/STDEV('The List'!AE2:AE671)</f>
        <v>0.75146716690140425</v>
      </c>
      <c r="S204" s="55" cm="1">
        <f t="array" ref="S204">(VLOOKUP($A204,'The List'!$B1:$AH671,31,FALSE)-AVERAGE('The List'!AF2:AF671))/STDEV('The List'!AF2:AF671)</f>
        <v>-0.46658687345443667</v>
      </c>
      <c r="T204" s="55" cm="1">
        <f t="array" ref="T204">(VLOOKUP($A204,'The List'!$B1:$AH671,32,FALSE)-AVERAGE('The List'!AG2:AG671))/STDEV('The List'!AG2:AG671)</f>
        <v>-0.41106682861367266</v>
      </c>
      <c r="U204" s="55" cm="1">
        <f t="array" ref="U204">(VLOOKUP($A204,'The List'!$B1:$AH671,33,FALSE)-AVERAGE('The List'!AH2:AH671))/STDEV('The List'!AH2:AH671)</f>
        <v>0.44670864143497252</v>
      </c>
      <c r="V204" s="55"/>
      <c r="W204" s="77"/>
      <c r="X204" s="57"/>
      <c r="Y204" s="57"/>
      <c r="Z204" s="57"/>
      <c r="AA204" s="57"/>
      <c r="AB204" s="57"/>
      <c r="AC204" s="60"/>
      <c r="AD204" s="61"/>
      <c r="AE204" s="55"/>
    </row>
    <row r="205" spans="1:31" ht="21.25" customHeight="1" x14ac:dyDescent="0.15">
      <c r="A205" s="10" t="s">
        <v>425</v>
      </c>
      <c r="B205" s="18" t="str" cm="1">
        <f t="array" ref="B205">VLOOKUP(A205,'Player Data'!A1:B673,2,FALSE)</f>
        <v>BOS</v>
      </c>
      <c r="C205" s="52" cm="1">
        <f t="array" ref="C205">((E205)*Settings!$C$12)+(F205*Settings!$C$2)+(G205*Settings!$C$3)+(H205*Settings!$C$4)+(I205*Settings!$C$5)+(K205*Settings!$C$9)+(N205*Settings!$C$6)+(J205*Settings!$C$8)+(O205*Settings!$C$7)+(P205*Settings!$C$14)+(Q205*Settings!$C$15)+(R205*Settings!$C$16)+(S205*Settings!$C$17)+(T205*Settings!$C$18)+(U205*Settings!$C$19)+(L205*Settings!$C$10)+(Settings!$C$11*M205)</f>
        <v>-5.458255523612765E-2</v>
      </c>
      <c r="D205" s="57" cm="1">
        <f t="array" ref="D205">IF(Settings!$E$12="YES",VLOOKUP(A205,'Player Data'!A1:E673,5,FALSE),82)</f>
        <v>81</v>
      </c>
      <c r="E205" s="55" cm="1">
        <f t="array" ref="E205">(VLOOKUP($A205,'The List'!$B1:$AH671,17,FALSE)-AVERAGE('The List'!R2:R671))/STDEV('The List'!R2:R671)</f>
        <v>-3.7659960153324803E-3</v>
      </c>
      <c r="F205" s="55" cm="1">
        <f t="array" ref="F205">(VLOOKUP($A205,'The List'!$B1:$AH671,18,FALSE)-AVERAGE('The List'!S2:S671))/STDEV('The List'!S2:S671)</f>
        <v>0.16333540944981423</v>
      </c>
      <c r="G205" s="55" cm="1">
        <f t="array" ref="G205">(VLOOKUP($A205,'The List'!$B1:$AH671,19,FALSE)-AVERAGE('The List'!T2:T671))/STDEV('The List'!T2:T671)</f>
        <v>0.27300850147941369</v>
      </c>
      <c r="H205" s="55" cm="1">
        <f t="array" ref="H205">(VLOOKUP($A205,'The List'!$B1:$AH671,20,FALSE)-AVERAGE('The List'!U2:U671))/STDEV('The List'!U2:U671)</f>
        <v>0.24409766651756498</v>
      </c>
      <c r="I205" s="55" cm="1">
        <f t="array" ref="I205">(VLOOKUP($A205,'The List'!$B1:$AH671,21,FALSE)-AVERAGE('The List'!V2:V671))/STDEV('The List'!V2:V671)</f>
        <v>0.11100561102954208</v>
      </c>
      <c r="J205" s="55" cm="1">
        <f t="array" ref="J205">(VLOOKUP($A205,'The List'!$B1:$AH671,22,FALSE)-AVERAGE('The List'!W2:W671))/STDEV('The List'!W2:W671)</f>
        <v>0.1563388327865215</v>
      </c>
      <c r="K205" s="55" cm="1">
        <f t="array" ref="K205">(VLOOKUP($A205,'The List'!$B1:$AH671,23,FALSE)-AVERAGE('The List'!X2:X671))/STDEV('The List'!X2:X671)</f>
        <v>0.33804519429058816</v>
      </c>
      <c r="L205" s="55" cm="1">
        <f t="array" ref="L205">(VLOOKUP($A205,'The List'!$B1:$AH671,24,FALSE)-AVERAGE('The List'!Y2:Y671))/STDEV('The List'!Y2:Y671)</f>
        <v>-0.47546929358800777</v>
      </c>
      <c r="M205" s="55" cm="1">
        <f t="array" ref="M205">(VLOOKUP($A205,'The List'!$B1:$AH671,25,FALSE)-AVERAGE('The List'!Z2:Z671))/STDEV('The List'!Z2:Z671)</f>
        <v>0.23627697309704196</v>
      </c>
      <c r="N205" s="55" cm="1">
        <f t="array" ref="N205">(VLOOKUP($A205,'The List'!$B1:$AH671,26,FALSE)-AVERAGE('The List'!AA2:AA671))/STDEV('The List'!AA2:AA671)</f>
        <v>7.3461873028564176E-2</v>
      </c>
      <c r="O205" s="55" cm="1">
        <f t="array" ref="O205">(VLOOKUP($A205,'The List'!$B1:$AH671,27,FALSE)-AVERAGE('The List'!AB2:AB671))/STDEV('The List'!AB2:AB671)</f>
        <v>-0.30764183356518465</v>
      </c>
      <c r="P205" s="55" cm="1">
        <f t="array" ref="P205">(VLOOKUP($A205,'The List'!$B1:$AH671,28,FALSE)-AVERAGE('The List'!AC2:AC671))/STDEV('The List'!AC2:AC671)</f>
        <v>-0.632335437920301</v>
      </c>
      <c r="Q205" s="55" cm="1">
        <f t="array" ref="Q205">(VLOOKUP($A205,'The List'!$B1:$AH671,29,FALSE)-AVERAGE('The List'!AD2:AD671))/STDEV('The List'!AD2:AD671)</f>
        <v>-0.57842093819519058</v>
      </c>
      <c r="R205" s="55" cm="1">
        <f t="array" ref="R205">(VLOOKUP($A205,'The List'!$B1:$AH671,30,FALSE)-AVERAGE('The List'!AE2:AE671))/STDEV('The List'!AE2:AE671)</f>
        <v>0.17133419083098952</v>
      </c>
      <c r="S205" s="55" cm="1">
        <f t="array" ref="S205">(VLOOKUP($A205,'The List'!$B1:$AH671,31,FALSE)-AVERAGE('The List'!AF2:AF671))/STDEV('The List'!AF2:AF671)</f>
        <v>2.8505987107147459</v>
      </c>
      <c r="T205" s="55" cm="1">
        <f t="array" ref="T205">(VLOOKUP($A205,'The List'!$B1:$AH671,32,FALSE)-AVERAGE('The List'!AG2:AG671))/STDEV('The List'!AG2:AG671)</f>
        <v>2.2467708315745947</v>
      </c>
      <c r="U205" s="55" cm="1">
        <f t="array" ref="U205">(VLOOKUP($A205,'The List'!$B1:$AH671,33,FALSE)-AVERAGE('The List'!AH2:AH671))/STDEV('The List'!AH2:AH671)</f>
        <v>1.320693908636718</v>
      </c>
      <c r="V205" s="55"/>
      <c r="W205" s="57"/>
      <c r="X205" s="55"/>
      <c r="Y205" s="55"/>
      <c r="Z205" s="55"/>
      <c r="AA205" s="55"/>
      <c r="AB205" s="55"/>
      <c r="AC205" s="55"/>
      <c r="AD205" s="55"/>
      <c r="AE205" s="55"/>
    </row>
    <row r="206" spans="1:31" ht="21.25" customHeight="1" x14ac:dyDescent="0.15">
      <c r="A206" s="10" t="s">
        <v>473</v>
      </c>
      <c r="B206" s="18" t="str" cm="1">
        <f t="array" ref="B206">VLOOKUP(A206,'Player Data'!A1:B673,2,FALSE)</f>
        <v>PHI</v>
      </c>
      <c r="C206" s="52" cm="1">
        <f t="array" ref="C206">((E206)*Settings!$C$12)+(F206*Settings!$C$2)+(G206*Settings!$C$3)+(H206*Settings!$C$4)+(I206*Settings!$C$5)+(K206*Settings!$C$9)+(N206*Settings!$C$6)+(J206*Settings!$C$8)+(O206*Settings!$C$7)+(P206*Settings!$C$14)+(Q206*Settings!$C$15)+(R206*Settings!$C$16)+(S206*Settings!$C$17)+(T206*Settings!$C$18)+(U206*Settings!$C$19)+(L206*Settings!$C$10)+(Settings!$C$11*M206)</f>
        <v>-1.3604702784414373</v>
      </c>
      <c r="D206" s="57" cm="1">
        <f t="array" ref="D206">IF(Settings!$E$12="YES",VLOOKUP(A206,'Player Data'!A1:E673,5,FALSE),82)</f>
        <v>78</v>
      </c>
      <c r="E206" s="55" cm="1">
        <f t="array" ref="E206">(VLOOKUP($A206,'The List'!$B1:$AH671,17,FALSE)-AVERAGE('The List'!R2:R671))/STDEV('The List'!R2:R671)</f>
        <v>0.15362666503934194</v>
      </c>
      <c r="F206" s="55" cm="1">
        <f t="array" ref="F206">(VLOOKUP($A206,'The List'!$B1:$AH671,18,FALSE)-AVERAGE('The List'!S2:S671))/STDEV('The List'!S2:S671)</f>
        <v>2.8613603955880942E-2</v>
      </c>
      <c r="G206" s="55" cm="1">
        <f t="array" ref="G206">(VLOOKUP($A206,'The List'!$B1:$AH671,19,FALSE)-AVERAGE('The List'!T2:T671))/STDEV('The List'!T2:T671)</f>
        <v>9.1702940069861946E-2</v>
      </c>
      <c r="H206" s="55" cm="1">
        <f t="array" ref="H206">(VLOOKUP($A206,'The List'!$B1:$AH671,20,FALSE)-AVERAGE('The List'!U2:U671))/STDEV('The List'!U2:U671)</f>
        <v>7.0363326761174627E-2</v>
      </c>
      <c r="I206" s="55" cm="1">
        <f t="array" ref="I206">(VLOOKUP($A206,'The List'!$B1:$AH671,21,FALSE)-AVERAGE('The List'!V2:V671))/STDEV('The List'!V2:V671)</f>
        <v>-1.4427279969463374E-2</v>
      </c>
      <c r="J206" s="55" cm="1">
        <f t="array" ref="J206">(VLOOKUP($A206,'The List'!$B1:$AH671,22,FALSE)-AVERAGE('The List'!W2:W671))/STDEV('The List'!W2:W671)</f>
        <v>-0.30767193880851701</v>
      </c>
      <c r="K206" s="55" cm="1">
        <f t="array" ref="K206">(VLOOKUP($A206,'The List'!$B1:$AH671,23,FALSE)-AVERAGE('The List'!X2:X671))/STDEV('The List'!X2:X671)</f>
        <v>-0.48801275752404699</v>
      </c>
      <c r="L206" s="55" cm="1">
        <f t="array" ref="L206">(VLOOKUP($A206,'The List'!$B1:$AH671,24,FALSE)-AVERAGE('The List'!Y2:Y671))/STDEV('The List'!Y2:Y671)</f>
        <v>-0.47546929358800777</v>
      </c>
      <c r="M206" s="55" cm="1">
        <f t="array" ref="M206">(VLOOKUP($A206,'The List'!$B1:$AH671,25,FALSE)-AVERAGE('The List'!Z2:Z671))/STDEV('The List'!Z2:Z671)</f>
        <v>0.20367838942166649</v>
      </c>
      <c r="N206" s="55" cm="1">
        <f t="array" ref="N206">(VLOOKUP($A206,'The List'!$B1:$AH671,26,FALSE)-AVERAGE('The List'!AA2:AA671))/STDEV('The List'!AA2:AA671)</f>
        <v>-0.24835423580499094</v>
      </c>
      <c r="O206" s="55" cm="1">
        <f t="array" ref="O206">(VLOOKUP($A206,'The List'!$B1:$AH671,27,FALSE)-AVERAGE('The List'!AB2:AB671))/STDEV('The List'!AB2:AB671)</f>
        <v>-0.87340716537505458</v>
      </c>
      <c r="P206" s="55" cm="1">
        <f t="array" ref="P206">(VLOOKUP($A206,'The List'!$B1:$AH671,28,FALSE)-AVERAGE('The List'!AC2:AC671))/STDEV('The List'!AC2:AC671)</f>
        <v>-0.1049396195986151</v>
      </c>
      <c r="Q206" s="55" cm="1">
        <f t="array" ref="Q206">(VLOOKUP($A206,'The List'!$B1:$AH671,29,FALSE)-AVERAGE('The List'!AD2:AD671))/STDEV('The List'!AD2:AD671)</f>
        <v>-0.64491689425355603</v>
      </c>
      <c r="R206" s="55" cm="1">
        <f t="array" ref="R206">(VLOOKUP($A206,'The List'!$B1:$AH671,30,FALSE)-AVERAGE('The List'!AE2:AE671))/STDEV('The List'!AE2:AE671)</f>
        <v>0.1151922899209495</v>
      </c>
      <c r="S206" s="55" cm="1">
        <f t="array" ref="S206">(VLOOKUP($A206,'The List'!$B1:$AH671,31,FALSE)-AVERAGE('The List'!AF2:AF671))/STDEV('The List'!AF2:AF671)</f>
        <v>2.2542005025083207</v>
      </c>
      <c r="T206" s="55" cm="1">
        <f t="array" ref="T206">(VLOOKUP($A206,'The List'!$B1:$AH671,32,FALSE)-AVERAGE('The List'!AG2:AG671))/STDEV('The List'!AG2:AG671)</f>
        <v>1.8012462007481054</v>
      </c>
      <c r="U206" s="55" cm="1">
        <f t="array" ref="U206">(VLOOKUP($A206,'The List'!$B1:$AH671,33,FALSE)-AVERAGE('The List'!AH2:AH671))/STDEV('The List'!AH2:AH671)</f>
        <v>1.2746946840471525</v>
      </c>
      <c r="V206" s="55"/>
      <c r="W206" s="77"/>
      <c r="X206" s="57"/>
      <c r="Y206" s="57"/>
      <c r="Z206" s="57"/>
      <c r="AA206" s="57"/>
      <c r="AB206" s="57"/>
      <c r="AC206" s="60"/>
      <c r="AD206" s="61"/>
      <c r="AE206" s="55"/>
    </row>
    <row r="207" spans="1:31" ht="21.25" customHeight="1" x14ac:dyDescent="0.15">
      <c r="A207" s="10" t="s">
        <v>238</v>
      </c>
      <c r="B207" s="18" t="str" cm="1">
        <f t="array" ref="B207">VLOOKUP(A207,'Player Data'!A1:B673,2,FALSE)</f>
        <v>STL</v>
      </c>
      <c r="C207" s="52" cm="1">
        <f t="array" ref="C207">((E207)*Settings!$C$12)+(F207*Settings!$C$2)+(G207*Settings!$C$3)+(H207*Settings!$C$4)+(I207*Settings!$C$5)+(K207*Settings!$C$9)+(N207*Settings!$C$6)+(J207*Settings!$C$8)+(O207*Settings!$C$7)+(P207*Settings!$C$14)+(Q207*Settings!$C$15)+(R207*Settings!$C$16)+(S207*Settings!$C$17)+(T207*Settings!$C$18)+(U207*Settings!$C$19)+(L207*Settings!$C$10)+(Settings!$C$11*M207)</f>
        <v>0.16516633466125408</v>
      </c>
      <c r="D207" s="57" cm="1">
        <f t="array" ref="D207">IF(Settings!$E$12="YES",VLOOKUP(A207,'Player Data'!A1:E673,5,FALSE),82)</f>
        <v>81</v>
      </c>
      <c r="E207" s="55" cm="1">
        <f t="array" ref="E207">(VLOOKUP($A207,'The List'!$B1:$AH671,17,FALSE)-AVERAGE('The List'!R2:R671))/STDEV('The List'!R2:R671)</f>
        <v>2.068570707871221</v>
      </c>
      <c r="F207" s="55" cm="1">
        <f t="array" ref="F207">(VLOOKUP($A207,'The List'!$B1:$AH671,18,FALSE)-AVERAGE('The List'!S2:S671))/STDEV('The List'!S2:S671)</f>
        <v>-0.40249617362470519</v>
      </c>
      <c r="G207" s="55" cm="1">
        <f t="array" ref="G207">(VLOOKUP($A207,'The List'!$B1:$AH671,19,FALSE)-AVERAGE('The List'!T2:T671))/STDEV('The List'!T2:T671)</f>
        <v>0.67145909573993978</v>
      </c>
      <c r="H207" s="55" cm="1">
        <f t="array" ref="H207">(VLOOKUP($A207,'The List'!$B1:$AH671,20,FALSE)-AVERAGE('The List'!U2:U671))/STDEV('The List'!U2:U671)</f>
        <v>0.24409766651756468</v>
      </c>
      <c r="I207" s="55" cm="1">
        <f t="array" ref="I207">(VLOOKUP($A207,'The List'!$B1:$AH671,21,FALSE)-AVERAGE('The List'!V2:V671))/STDEV('The List'!V2:V671)</f>
        <v>-9.5101895304151006E-4</v>
      </c>
      <c r="J207" s="55" cm="1">
        <f t="array" ref="J207">(VLOOKUP($A207,'The List'!$B1:$AH671,22,FALSE)-AVERAGE('The List'!W2:W671))/STDEV('The List'!W2:W671)</f>
        <v>0.38005831194841494</v>
      </c>
      <c r="K207" s="55" cm="1">
        <f t="array" ref="K207">(VLOOKUP($A207,'The List'!$B1:$AH671,23,FALSE)-AVERAGE('The List'!X2:X671))/STDEV('The List'!X2:X671)</f>
        <v>0.58224480778323573</v>
      </c>
      <c r="L207" s="55" cm="1">
        <f t="array" ref="L207">(VLOOKUP($A207,'The List'!$B1:$AH671,24,FALSE)-AVERAGE('The List'!Y2:Y671))/STDEV('The List'!Y2:Y671)</f>
        <v>-0.47546929358800777</v>
      </c>
      <c r="M207" s="55" cm="1">
        <f t="array" ref="M207">(VLOOKUP($A207,'The List'!$B1:$AH671,25,FALSE)-AVERAGE('The List'!Z2:Z671))/STDEV('The List'!Z2:Z671)</f>
        <v>-0.64388478613809508</v>
      </c>
      <c r="N207" s="55" cm="1">
        <f t="array" ref="N207">(VLOOKUP($A207,'The List'!$B1:$AH671,26,FALSE)-AVERAGE('The List'!AA2:AA671))/STDEV('The List'!AA2:AA671)</f>
        <v>1.3354407569544331</v>
      </c>
      <c r="O207" s="55" cm="1">
        <f t="array" ref="O207">(VLOOKUP($A207,'The List'!$B1:$AH671,27,FALSE)-AVERAGE('The List'!AB2:AB671))/STDEV('The List'!AB2:AB671)</f>
        <v>-0.75594936279278835</v>
      </c>
      <c r="P207" s="55" cm="1">
        <f t="array" ref="P207">(VLOOKUP($A207,'The List'!$B1:$AH671,28,FALSE)-AVERAGE('The List'!AC2:AC671))/STDEV('The List'!AC2:AC671)</f>
        <v>7.0858986508613553E-2</v>
      </c>
      <c r="Q207" s="55" cm="1">
        <f t="array" ref="Q207">(VLOOKUP($A207,'The List'!$B1:$AH671,29,FALSE)-AVERAGE('The List'!AD2:AD671))/STDEV('The List'!AD2:AD671)</f>
        <v>-0.57842093819519058</v>
      </c>
      <c r="R207" s="55" cm="1">
        <f t="array" ref="R207">(VLOOKUP($A207,'The List'!$B1:$AH671,30,FALSE)-AVERAGE('The List'!AE2:AE671))/STDEV('The List'!AE2:AE671)</f>
        <v>-0.33394291735937137</v>
      </c>
      <c r="S207" s="55" cm="1">
        <f t="array" ref="S207">(VLOOKUP($A207,'The List'!$B1:$AH671,31,FALSE)-AVERAGE('The List'!AF2:AF671))/STDEV('The List'!AF2:AF671)</f>
        <v>-0.59581850454342256</v>
      </c>
      <c r="T207" s="55" cm="1">
        <f t="array" ref="T207">(VLOOKUP($A207,'The List'!$B1:$AH671,32,FALSE)-AVERAGE('The List'!AG2:AG671))/STDEV('The List'!AG2:AG671)</f>
        <v>-0.64684275008198677</v>
      </c>
      <c r="U207" s="55" cm="1">
        <f t="array" ref="U207">(VLOOKUP($A207,'The List'!$B1:$AH671,33,FALSE)-AVERAGE('The List'!AH2:AH671))/STDEV('The List'!AH2:AH671)</f>
        <v>-1.2552626683789523</v>
      </c>
      <c r="V207" s="55"/>
      <c r="W207" s="57"/>
      <c r="X207" s="55"/>
      <c r="Y207" s="55"/>
      <c r="Z207" s="55"/>
      <c r="AA207" s="55"/>
      <c r="AB207" s="55"/>
      <c r="AC207" s="55"/>
      <c r="AD207" s="55"/>
      <c r="AE207" s="55"/>
    </row>
    <row r="208" spans="1:31" ht="21.25" customHeight="1" x14ac:dyDescent="0.15">
      <c r="A208" s="10" t="s">
        <v>540</v>
      </c>
      <c r="B208" s="18" t="str" cm="1">
        <f t="array" ref="B208">VLOOKUP(A208,'Player Data'!A1:B673,2,FALSE)</f>
        <v>TOR</v>
      </c>
      <c r="C208" s="52" cm="1">
        <f t="array" ref="C208">((E208)*Settings!$C$12)+(F208*Settings!$C$2)+(G208*Settings!$C$3)+(H208*Settings!$C$4)+(I208*Settings!$C$5)+(K208*Settings!$C$9)+(N208*Settings!$C$6)+(J208*Settings!$C$8)+(O208*Settings!$C$7)+(P208*Settings!$C$14)+(Q208*Settings!$C$15)+(R208*Settings!$C$16)+(S208*Settings!$C$17)+(T208*Settings!$C$18)+(U208*Settings!$C$19)+(L208*Settings!$C$10)+(Settings!$C$11*M208)</f>
        <v>1.0756906888957918E-3</v>
      </c>
      <c r="D208" s="57" cm="1">
        <f t="array" ref="D208">IF(Settings!$E$12="YES",VLOOKUP(A208,'Player Data'!A1:E673,5,FALSE),82)</f>
        <v>77</v>
      </c>
      <c r="E208" s="55" cm="1">
        <f t="array" ref="E208">(VLOOKUP($A208,'The List'!$B1:$AH671,17,FALSE)-AVERAGE('The List'!R2:R671))/STDEV('The List'!R2:R671)</f>
        <v>-0.26608709777312411</v>
      </c>
      <c r="F208" s="55" cm="1">
        <f t="array" ref="F208">(VLOOKUP($A208,'The List'!$B1:$AH671,18,FALSE)-AVERAGE('The List'!S2:S671))/STDEV('The List'!S2:S671)</f>
        <v>0.16433334874976926</v>
      </c>
      <c r="G208" s="55" cm="1">
        <f t="array" ref="G208">(VLOOKUP($A208,'The List'!$B1:$AH671,19,FALSE)-AVERAGE('The List'!T2:T671))/STDEV('The List'!T2:T671)</f>
        <v>1.5104854047997125E-2</v>
      </c>
      <c r="H208" s="55" cm="1">
        <f t="array" ref="H208">(VLOOKUP($A208,'The List'!$B1:$AH671,20,FALSE)-AVERAGE('The List'!U2:U671))/STDEV('The List'!U2:U671)</f>
        <v>8.2299273767338962E-2</v>
      </c>
      <c r="I208" s="55" cm="1">
        <f t="array" ref="I208">(VLOOKUP($A208,'The List'!$B1:$AH671,21,FALSE)-AVERAGE('The List'!V2:V671))/STDEV('The List'!V2:V671)</f>
        <v>-0.1486715724022836</v>
      </c>
      <c r="J208" s="55" cm="1">
        <f t="array" ref="J208">(VLOOKUP($A208,'The List'!$B1:$AH671,22,FALSE)-AVERAGE('The List'!W2:W671))/STDEV('The List'!W2:W671)</f>
        <v>-0.10052427291787484</v>
      </c>
      <c r="K208" s="55" cm="1">
        <f t="array" ref="K208">(VLOOKUP($A208,'The List'!$B1:$AH671,23,FALSE)-AVERAGE('The List'!X2:X671))/STDEV('The List'!X2:X671)</f>
        <v>-2.7751757607863511E-2</v>
      </c>
      <c r="L208" s="55" cm="1">
        <f t="array" ref="L208">(VLOOKUP($A208,'The List'!$B1:$AH671,24,FALSE)-AVERAGE('The List'!Y2:Y671))/STDEV('The List'!Y2:Y671)</f>
        <v>-0.47546929358800777</v>
      </c>
      <c r="M208" s="55" cm="1">
        <f t="array" ref="M208">(VLOOKUP($A208,'The List'!$B1:$AH671,25,FALSE)-AVERAGE('The List'!Z2:Z671))/STDEV('The List'!Z2:Z671)</f>
        <v>-0.64388478613809508</v>
      </c>
      <c r="N208" s="55" cm="1">
        <f t="array" ref="N208">(VLOOKUP($A208,'The List'!$B1:$AH671,26,FALSE)-AVERAGE('The List'!AA2:AA671))/STDEV('The List'!AA2:AA671)</f>
        <v>-0.63964175860896388</v>
      </c>
      <c r="O208" s="55" cm="1">
        <f t="array" ref="O208">(VLOOKUP($A208,'The List'!$B1:$AH671,27,FALSE)-AVERAGE('The List'!AB2:AB671))/STDEV('The List'!AB2:AB671)</f>
        <v>-6.4116755960066496E-2</v>
      </c>
      <c r="P208" s="55" cm="1">
        <f t="array" ref="P208">(VLOOKUP($A208,'The List'!$B1:$AH671,28,FALSE)-AVERAGE('The List'!AC2:AC671))/STDEV('The List'!AC2:AC671)</f>
        <v>6.2177573861342997E-2</v>
      </c>
      <c r="Q208" s="55" cm="1">
        <f t="array" ref="Q208">(VLOOKUP($A208,'The List'!$B1:$AH671,29,FALSE)-AVERAGE('The List'!AD2:AD671))/STDEV('The List'!AD2:AD671)</f>
        <v>0.35695551035914724</v>
      </c>
      <c r="R208" s="55" cm="1">
        <f t="array" ref="R208">(VLOOKUP($A208,'The List'!$B1:$AH671,30,FALSE)-AVERAGE('The List'!AE2:AE671))/STDEV('The List'!AE2:AE671)</f>
        <v>9.6478322950936238E-2</v>
      </c>
      <c r="S208" s="55" cm="1">
        <f t="array" ref="S208">(VLOOKUP($A208,'The List'!$B1:$AH671,31,FALSE)-AVERAGE('The List'!AF2:AF671))/STDEV('The List'!AF2:AF671)</f>
        <v>-0.58471266124671284</v>
      </c>
      <c r="T208" s="55" cm="1">
        <f t="array" ref="T208">(VLOOKUP($A208,'The List'!$B1:$AH671,32,FALSE)-AVERAGE('The List'!AG2:AG671))/STDEV('The List'!AG2:AG671)</f>
        <v>-0.61933555924401673</v>
      </c>
      <c r="U208" s="55" cm="1">
        <f t="array" ref="U208">(VLOOKUP($A208,'The List'!$B1:$AH671,33,FALSE)-AVERAGE('The List'!AH2:AH671))/STDEV('The List'!AH2:AH671)</f>
        <v>0.26271174307671047</v>
      </c>
      <c r="V208" s="55"/>
      <c r="W208" s="77"/>
      <c r="X208" s="57"/>
      <c r="Y208" s="57"/>
      <c r="Z208" s="57"/>
      <c r="AA208" s="57"/>
      <c r="AB208" s="57"/>
      <c r="AC208" s="60"/>
      <c r="AD208" s="61"/>
      <c r="AE208" s="55"/>
    </row>
    <row r="209" spans="1:31" ht="21.25" customHeight="1" x14ac:dyDescent="0.15">
      <c r="A209" s="10" t="s">
        <v>416</v>
      </c>
      <c r="B209" s="18" t="str" cm="1">
        <f t="array" ref="B209">VLOOKUP(A209,'Player Data'!A1:B673,2,FALSE)</f>
        <v>CGY</v>
      </c>
      <c r="C209" s="52" cm="1">
        <f t="array" ref="C209">((E209)*Settings!$C$12)+(F209*Settings!$C$2)+(G209*Settings!$C$3)+(H209*Settings!$C$4)+(I209*Settings!$C$5)+(K209*Settings!$C$9)+(N209*Settings!$C$6)+(J209*Settings!$C$8)+(O209*Settings!$C$7)+(P209*Settings!$C$14)+(Q209*Settings!$C$15)+(R209*Settings!$C$16)+(S209*Settings!$C$17)+(T209*Settings!$C$18)+(U209*Settings!$C$19)+(L209*Settings!$C$10)+(Settings!$C$11*M209)</f>
        <v>-1.7596548786048993E-2</v>
      </c>
      <c r="D209" s="57" cm="1">
        <f t="array" ref="D209">IF(Settings!$E$12="YES",VLOOKUP(A209,'Player Data'!A1:E673,5,FALSE),82)</f>
        <v>83</v>
      </c>
      <c r="E209" s="55" cm="1">
        <f t="array" ref="E209">(VLOOKUP($A209,'The List'!$B1:$AH671,17,FALSE)-AVERAGE('The List'!R2:R671))/STDEV('The List'!R2:R671)</f>
        <v>-0.23985498759734503</v>
      </c>
      <c r="F209" s="55" cm="1">
        <f t="array" ref="F209">(VLOOKUP($A209,'The List'!$B1:$AH671,18,FALSE)-AVERAGE('The List'!S2:S671))/STDEV('The List'!S2:S671)</f>
        <v>0.6154019123294564</v>
      </c>
      <c r="G209" s="55" cm="1">
        <f t="array" ref="G209">(VLOOKUP($A209,'The List'!$B1:$AH671,19,FALSE)-AVERAGE('The List'!T2:T671))/STDEV('The List'!T2:T671)</f>
        <v>0.20414049753314986</v>
      </c>
      <c r="H209" s="55" cm="1">
        <f t="array" ref="H209">(VLOOKUP($A209,'The List'!$B1:$AH671,20,FALSE)-AVERAGE('The List'!U2:U671))/STDEV('The List'!U2:U671)</f>
        <v>0.40103326604305717</v>
      </c>
      <c r="I209" s="55" cm="1">
        <f t="array" ref="I209">(VLOOKUP($A209,'The List'!$B1:$AH671,21,FALSE)-AVERAGE('The List'!V2:V671))/STDEV('The List'!V2:V671)</f>
        <v>0.51183798997953223</v>
      </c>
      <c r="J209" s="55" cm="1">
        <f t="array" ref="J209">(VLOOKUP($A209,'The List'!$B1:$AH671,22,FALSE)-AVERAGE('The List'!W2:W671))/STDEV('The List'!W2:W671)</f>
        <v>0.86616483457178872</v>
      </c>
      <c r="K209" s="55" cm="1">
        <f t="array" ref="K209">(VLOOKUP($A209,'The List'!$B1:$AH671,23,FALSE)-AVERAGE('The List'!X2:X671))/STDEV('The List'!X2:X671)</f>
        <v>0.69982239946488067</v>
      </c>
      <c r="L209" s="55" cm="1">
        <f t="array" ref="L209">(VLOOKUP($A209,'The List'!$B1:$AH671,24,FALSE)-AVERAGE('The List'!Y2:Y671))/STDEV('The List'!Y2:Y671)</f>
        <v>-0.47546929358800777</v>
      </c>
      <c r="M209" s="55" cm="1">
        <f t="array" ref="M209">(VLOOKUP($A209,'The List'!$B1:$AH671,25,FALSE)-AVERAGE('The List'!Z2:Z671))/STDEV('The List'!Z2:Z671)</f>
        <v>-0.64388478613809508</v>
      </c>
      <c r="N209" s="55" cm="1">
        <f t="array" ref="N209">(VLOOKUP($A209,'The List'!$B1:$AH671,26,FALSE)-AVERAGE('The List'!AA2:AA671))/STDEV('The List'!AA2:AA671)</f>
        <v>-0.35102889909950596</v>
      </c>
      <c r="O209" s="55" cm="1">
        <f t="array" ref="O209">(VLOOKUP($A209,'The List'!$B1:$AH671,27,FALSE)-AVERAGE('The List'!AB2:AB671))/STDEV('The List'!AB2:AB671)</f>
        <v>-0.3226059166166777</v>
      </c>
      <c r="P209" s="55" cm="1">
        <f t="array" ref="P209">(VLOOKUP($A209,'The List'!$B1:$AH671,28,FALSE)-AVERAGE('The List'!AC2:AC671))/STDEV('The List'!AC2:AC671)</f>
        <v>-1.7261934314763905</v>
      </c>
      <c r="Q209" s="55" cm="1">
        <f t="array" ref="Q209">(VLOOKUP($A209,'The List'!$B1:$AH671,29,FALSE)-AVERAGE('The List'!AD2:AD671))/STDEV('The List'!AD2:AD671)</f>
        <v>-0.35011815572813659</v>
      </c>
      <c r="R209" s="55" cm="1">
        <f t="array" ref="R209">(VLOOKUP($A209,'The List'!$B1:$AH671,30,FALSE)-AVERAGE('The List'!AE2:AE671))/STDEV('The List'!AE2:AE671)</f>
        <v>0.20876212477101633</v>
      </c>
      <c r="S209" s="55" cm="1">
        <f t="array" ref="S209">(VLOOKUP($A209,'The List'!$B1:$AH671,31,FALSE)-AVERAGE('The List'!AF2:AF671))/STDEV('The List'!AF2:AF671)</f>
        <v>2.1495844201981891</v>
      </c>
      <c r="T209" s="55" cm="1">
        <f t="array" ref="T209">(VLOOKUP($A209,'The List'!$B1:$AH671,32,FALSE)-AVERAGE('The List'!AG2:AG671))/STDEV('The List'!AG2:AG671)</f>
        <v>1.9285243713416063</v>
      </c>
      <c r="U209" s="55" cm="1">
        <f t="array" ref="U209">(VLOOKUP($A209,'The List'!$B1:$AH671,33,FALSE)-AVERAGE('The List'!AH2:AH671))/STDEV('The List'!AH2:AH671)</f>
        <v>1.1826962348680212</v>
      </c>
      <c r="V209" s="55"/>
      <c r="W209" s="57"/>
      <c r="X209" s="57"/>
      <c r="Y209" s="57"/>
      <c r="Z209" s="57"/>
      <c r="AA209" s="57"/>
      <c r="AB209" s="57"/>
      <c r="AC209" s="60"/>
      <c r="AD209" s="61"/>
      <c r="AE209" s="55"/>
    </row>
    <row r="210" spans="1:31" ht="21.25" customHeight="1" x14ac:dyDescent="0.15">
      <c r="A210" s="10" t="s">
        <v>498</v>
      </c>
      <c r="B210" s="18" t="str" cm="1">
        <f t="array" ref="B210">VLOOKUP(A210,'Player Data'!A1:B673,2,FALSE)</f>
        <v>DET</v>
      </c>
      <c r="C210" s="52" cm="1">
        <f t="array" ref="C210">((E210)*Settings!$C$12)+(F210*Settings!$C$2)+(G210*Settings!$C$3)+(H210*Settings!$C$4)+(I210*Settings!$C$5)+(K210*Settings!$C$9)+(N210*Settings!$C$6)+(J210*Settings!$C$8)+(O210*Settings!$C$7)+(P210*Settings!$C$14)+(Q210*Settings!$C$15)+(R210*Settings!$C$16)+(S210*Settings!$C$17)+(T210*Settings!$C$18)+(U210*Settings!$C$19)+(L210*Settings!$C$10)+(Settings!$C$11*M210)</f>
        <v>-1.0872197422009546</v>
      </c>
      <c r="D210" s="57" cm="1">
        <f t="array" ref="D210">IF(Settings!$E$12="YES",VLOOKUP(A210,'Player Data'!A1:E673,5,FALSE),82)</f>
        <v>80</v>
      </c>
      <c r="E210" s="55" cm="1">
        <f t="array" ref="E210">(VLOOKUP($A210,'The List'!$B1:$AH671,17,FALSE)-AVERAGE('The List'!R2:R671))/STDEV('The List'!R2:R671)</f>
        <v>0.10116244468778379</v>
      </c>
      <c r="F210" s="55" cm="1">
        <f t="array" ref="F210">(VLOOKUP($A210,'The List'!$B1:$AH671,18,FALSE)-AVERAGE('The List'!S2:S671))/STDEV('The List'!S2:S671)</f>
        <v>-0.17496601323495128</v>
      </c>
      <c r="G210" s="55" cm="1">
        <f t="array" ref="G210">(VLOOKUP($A210,'The List'!$B1:$AH671,19,FALSE)-AVERAGE('The List'!T2:T671))/STDEV('The List'!T2:T671)</f>
        <v>0.36155307798175246</v>
      </c>
      <c r="H210" s="55" cm="1">
        <f t="array" ref="H210">(VLOOKUP($A210,'The List'!$B1:$AH671,20,FALSE)-AVERAGE('The List'!U2:U671))/STDEV('The List'!U2:U671)</f>
        <v>0.14993630680226919</v>
      </c>
      <c r="I210" s="55" cm="1">
        <f t="array" ref="I210">(VLOOKUP($A210,'The List'!$B1:$AH671,21,FALSE)-AVERAGE('The List'!V2:V671))/STDEV('The List'!V2:V671)</f>
        <v>-8.3190765668643071E-2</v>
      </c>
      <c r="J210" s="55" cm="1">
        <f t="array" ref="J210">(VLOOKUP($A210,'The List'!$B1:$AH671,22,FALSE)-AVERAGE('The List'!W2:W671))/STDEV('The List'!W2:W671)</f>
        <v>-0.29662406329434943</v>
      </c>
      <c r="K210" s="55" cm="1">
        <f t="array" ref="K210">(VLOOKUP($A210,'The List'!$B1:$AH671,23,FALSE)-AVERAGE('The List'!X2:X671))/STDEV('The List'!X2:X671)</f>
        <v>-7.7998591659848696E-2</v>
      </c>
      <c r="L210" s="55" cm="1">
        <f t="array" ref="L210">(VLOOKUP($A210,'The List'!$B1:$AH671,24,FALSE)-AVERAGE('The List'!Y2:Y671))/STDEV('The List'!Y2:Y671)</f>
        <v>0.99105006976271182</v>
      </c>
      <c r="M210" s="55" cm="1">
        <f t="array" ref="M210">(VLOOKUP($A210,'The List'!$B1:$AH671,25,FALSE)-AVERAGE('The List'!Z2:Z671))/STDEV('The List'!Z2:Z671)</f>
        <v>0.22541077853858349</v>
      </c>
      <c r="N210" s="55" cm="1">
        <f t="array" ref="N210">(VLOOKUP($A210,'The List'!$B1:$AH671,26,FALSE)-AVERAGE('The List'!AA2:AA671))/STDEV('The List'!AA2:AA671)</f>
        <v>-4.9645559080779854E-2</v>
      </c>
      <c r="O210" s="55" cm="1">
        <f t="array" ref="O210">(VLOOKUP($A210,'The List'!$B1:$AH671,27,FALSE)-AVERAGE('The List'!AB2:AB671))/STDEV('The List'!AB2:AB671)</f>
        <v>-0.83404957707523786</v>
      </c>
      <c r="P210" s="55" cm="1">
        <f t="array" ref="P210">(VLOOKUP($A210,'The List'!$B1:$AH671,28,FALSE)-AVERAGE('The List'!AC2:AC671))/STDEV('The List'!AC2:AC671)</f>
        <v>-0.2785678725440261</v>
      </c>
      <c r="Q210" s="55" cm="1">
        <f t="array" ref="Q210">(VLOOKUP($A210,'The List'!$B1:$AH671,29,FALSE)-AVERAGE('The List'!AD2:AD671))/STDEV('The List'!AD2:AD671)</f>
        <v>-0.48237122388866299</v>
      </c>
      <c r="R210" s="55" cm="1">
        <f t="array" ref="R210">(VLOOKUP($A210,'The List'!$B1:$AH671,30,FALSE)-AVERAGE('The List'!AE2:AE671))/STDEV('The List'!AE2:AE671)</f>
        <v>-0.34641889533938031</v>
      </c>
      <c r="S210" s="55" cm="1">
        <f t="array" ref="S210">(VLOOKUP($A210,'The List'!$B1:$AH671,31,FALSE)-AVERAGE('The List'!AF2:AF671))/STDEV('The List'!AF2:AF671)</f>
        <v>2.0734300661636085</v>
      </c>
      <c r="T210" s="55" cm="1">
        <f t="array" ref="T210">(VLOOKUP($A210,'The List'!$B1:$AH671,32,FALSE)-AVERAGE('The List'!AG2:AG671))/STDEV('The List'!AG2:AG671)</f>
        <v>1.8762658121243869</v>
      </c>
      <c r="U210" s="55" cm="1">
        <f t="array" ref="U210">(VLOOKUP($A210,'The List'!$B1:$AH671,33,FALSE)-AVERAGE('The List'!AH2:AH671))/STDEV('The List'!AH2:AH671)</f>
        <v>1.1826962348680212</v>
      </c>
      <c r="V210" s="55"/>
      <c r="W210" s="77"/>
      <c r="X210" s="57"/>
      <c r="Y210" s="57"/>
      <c r="Z210" s="57"/>
      <c r="AA210" s="57"/>
      <c r="AB210" s="57"/>
      <c r="AC210" s="60"/>
      <c r="AD210" s="61"/>
      <c r="AE210" s="55"/>
    </row>
    <row r="211" spans="1:31" ht="21.25" customHeight="1" x14ac:dyDescent="0.15">
      <c r="A211" s="10" t="s">
        <v>570</v>
      </c>
      <c r="B211" s="18" t="str" cm="1">
        <f t="array" ref="B211">VLOOKUP(A211,'Player Data'!A1:B673,2,FALSE)</f>
        <v>BOS</v>
      </c>
      <c r="C211" s="52" cm="1">
        <f t="array" ref="C211">((E211)*Settings!$C$12)+(F211*Settings!$C$2)+(G211*Settings!$C$3)+(H211*Settings!$C$4)+(I211*Settings!$C$5)+(K211*Settings!$C$9)+(N211*Settings!$C$6)+(J211*Settings!$C$8)+(O211*Settings!$C$7)+(P211*Settings!$C$14)+(Q211*Settings!$C$15)+(R211*Settings!$C$16)+(S211*Settings!$C$17)+(T211*Settings!$C$18)+(U211*Settings!$C$19)+(L211*Settings!$C$10)+(Settings!$C$11*M211)</f>
        <v>-1.5396413667959146</v>
      </c>
      <c r="D211" s="57" cm="1">
        <f t="array" ref="D211">IF(Settings!$E$12="YES",VLOOKUP(A211,'Player Data'!A1:E673,5,FALSE),82)</f>
        <v>82</v>
      </c>
      <c r="E211" s="55" cm="1">
        <f t="array" ref="E211">(VLOOKUP($A211,'The List'!$B1:$AH671,17,FALSE)-AVERAGE('The List'!R2:R671))/STDEV('The List'!R2:R671)</f>
        <v>-0.44971186900357851</v>
      </c>
      <c r="F211" s="55" cm="1">
        <f t="array" ref="F211">(VLOOKUP($A211,'The List'!$B1:$AH671,18,FALSE)-AVERAGE('The List'!S2:S671))/STDEV('The List'!S2:S671)</f>
        <v>0.18229625614896033</v>
      </c>
      <c r="G211" s="55" cm="1">
        <f t="array" ref="G211">(VLOOKUP($A211,'The List'!$B1:$AH671,19,FALSE)-AVERAGE('The List'!T2:T671))/STDEV('The List'!T2:T671)</f>
        <v>0.29690148244036235</v>
      </c>
      <c r="H211" s="55" cm="1">
        <f t="array" ref="H211">(VLOOKUP($A211,'The List'!$B1:$AH671,20,FALSE)-AVERAGE('The List'!U2:U671))/STDEV('The List'!U2:U671)</f>
        <v>0.26752748841855373</v>
      </c>
      <c r="I211" s="55" cm="1">
        <f t="array" ref="I211">(VLOOKUP($A211,'The List'!$B1:$AH671,21,FALSE)-AVERAGE('The List'!V2:V671))/STDEV('The List'!V2:V671)</f>
        <v>-0.48402314461863349</v>
      </c>
      <c r="J211" s="55" cm="1">
        <f t="array" ref="J211">(VLOOKUP($A211,'The List'!$B1:$AH671,22,FALSE)-AVERAGE('The List'!W2:W671))/STDEV('The List'!W2:W671)</f>
        <v>-5.9094739739746431E-2</v>
      </c>
      <c r="K211" s="55" cm="1">
        <f t="array" ref="K211">(VLOOKUP($A211,'The List'!$B1:$AH671,23,FALSE)-AVERAGE('The List'!X2:X671))/STDEV('The List'!X2:X671)</f>
        <v>2.2495076444121676E-2</v>
      </c>
      <c r="L211" s="55" cm="1">
        <f t="array" ref="L211">(VLOOKUP($A211,'The List'!$B1:$AH671,24,FALSE)-AVERAGE('The List'!Y2:Y671))/STDEV('The List'!Y2:Y671)</f>
        <v>-0.47546929358800777</v>
      </c>
      <c r="M211" s="55" cm="1">
        <f t="array" ref="M211">(VLOOKUP($A211,'The List'!$B1:$AH671,25,FALSE)-AVERAGE('The List'!Z2:Z671))/STDEV('The List'!Z2:Z671)</f>
        <v>-0.64388478613809508</v>
      </c>
      <c r="N211" s="55" cm="1">
        <f t="array" ref="N211">(VLOOKUP($A211,'The List'!$B1:$AH671,26,FALSE)-AVERAGE('The List'!AA2:AA671))/STDEV('The List'!AA2:AA671)</f>
        <v>-0.88994317659061783</v>
      </c>
      <c r="O211" s="55" cm="1">
        <f t="array" ref="O211">(VLOOKUP($A211,'The List'!$B1:$AH671,27,FALSE)-AVERAGE('The List'!AB2:AB671))/STDEV('The List'!AB2:AB671)</f>
        <v>-1.0964334990740179</v>
      </c>
      <c r="P211" s="55" cm="1">
        <f t="array" ref="P211">(VLOOKUP($A211,'The List'!$B1:$AH671,28,FALSE)-AVERAGE('The List'!AC2:AC671))/STDEV('The List'!AC2:AC671)</f>
        <v>-0.46087753813670773</v>
      </c>
      <c r="Q211" s="55" cm="1">
        <f t="array" ref="Q211">(VLOOKUP($A211,'The List'!$B1:$AH671,29,FALSE)-AVERAGE('The List'!AD2:AD671))/STDEV('The List'!AD2:AD671)</f>
        <v>-0.73801123273526725</v>
      </c>
      <c r="R211" s="55" cm="1">
        <f t="array" ref="R211">(VLOOKUP($A211,'The List'!$B1:$AH671,30,FALSE)-AVERAGE('The List'!AE2:AE671))/STDEV('The List'!AE2:AE671)</f>
        <v>0.19004815780100306</v>
      </c>
      <c r="S211" s="55" cm="1">
        <f t="array" ref="S211">(VLOOKUP($A211,'The List'!$B1:$AH671,31,FALSE)-AVERAGE('The List'!AF2:AF671))/STDEV('The List'!AF2:AF671)</f>
        <v>0.45284233523074457</v>
      </c>
      <c r="T211" s="55" cm="1">
        <f t="array" ref="T211">(VLOOKUP($A211,'The List'!$B1:$AH671,32,FALSE)-AVERAGE('The List'!AG2:AG671))/STDEV('The List'!AG2:AG671)</f>
        <v>0.62114178342488136</v>
      </c>
      <c r="U211" s="55" cm="1">
        <f t="array" ref="U211">(VLOOKUP($A211,'The List'!$B1:$AH671,33,FALSE)-AVERAGE('The List'!AH2:AH671))/STDEV('The List'!AH2:AH671)</f>
        <v>0.90670088733062781</v>
      </c>
      <c r="V211" s="55"/>
      <c r="W211" s="57"/>
      <c r="X211" s="55"/>
      <c r="Y211" s="55"/>
      <c r="Z211" s="55"/>
      <c r="AA211" s="55"/>
      <c r="AB211" s="55"/>
      <c r="AC211" s="55"/>
      <c r="AD211" s="55"/>
      <c r="AE211" s="55"/>
    </row>
    <row r="212" spans="1:31" ht="21.25" customHeight="1" x14ac:dyDescent="0.15">
      <c r="A212" s="10" t="s">
        <v>247</v>
      </c>
      <c r="B212" s="18" t="str" cm="1">
        <f t="array" ref="B212">VLOOKUP(A212,'Player Data'!A1:B673,2,FALSE)</f>
        <v>S.J</v>
      </c>
      <c r="C212" s="52" cm="1">
        <f t="array" ref="C212">((E212)*Settings!$C$12)+(F212*Settings!$C$2)+(G212*Settings!$C$3)+(H212*Settings!$C$4)+(I212*Settings!$C$5)+(K212*Settings!$C$9)+(N212*Settings!$C$6)+(J212*Settings!$C$8)+(O212*Settings!$C$7)+(P212*Settings!$C$14)+(Q212*Settings!$C$15)+(R212*Settings!$C$16)+(S212*Settings!$C$17)+(T212*Settings!$C$18)+(U212*Settings!$C$19)+(L212*Settings!$C$10)+(Settings!$C$11*M212)</f>
        <v>-0.38602041544637899</v>
      </c>
      <c r="D212" s="57" cm="1">
        <f t="array" ref="D212">IF(Settings!$E$12="YES",VLOOKUP(A212,'Player Data'!A1:E673,5,FALSE),82)</f>
        <v>83</v>
      </c>
      <c r="E212" s="55" cm="1">
        <f t="array" ref="E212">(VLOOKUP($A212,'The List'!$B1:$AH671,17,FALSE)-AVERAGE('The List'!R2:R671))/STDEV('The List'!R2:R671)</f>
        <v>1.5176963941798591</v>
      </c>
      <c r="F212" s="55" cm="1">
        <f t="array" ref="F212">(VLOOKUP($A212,'The List'!$B1:$AH671,18,FALSE)-AVERAGE('The List'!S2:S671))/STDEV('The List'!S2:S671)</f>
        <v>-0.8755194018034036</v>
      </c>
      <c r="G212" s="55" cm="1">
        <f t="array" ref="G212">(VLOOKUP($A212,'The List'!$B1:$AH671,19,FALSE)-AVERAGE('The List'!T2:T671))/STDEV('The List'!T2:T671)</f>
        <v>0.55410239513763304</v>
      </c>
      <c r="H212" s="55" cm="1">
        <f t="array" ref="H212">(VLOOKUP($A212,'The List'!$B1:$AH671,20,FALSE)-AVERAGE('The List'!U2:U671))/STDEV('The List'!U2:U671)</f>
        <v>-3.9270556851000456E-2</v>
      </c>
      <c r="I212" s="55" cm="1">
        <f t="array" ref="I212">(VLOOKUP($A212,'The List'!$B1:$AH671,21,FALSE)-AVERAGE('The List'!V2:V671))/STDEV('The List'!V2:V671)</f>
        <v>-0.33422932024378765</v>
      </c>
      <c r="J212" s="55" cm="1">
        <f t="array" ref="J212">(VLOOKUP($A212,'The List'!$B1:$AH671,22,FALSE)-AVERAGE('The List'!W2:W671))/STDEV('The List'!W2:W671)</f>
        <v>-0.5092956669420754</v>
      </c>
      <c r="K212" s="55" cm="1">
        <f t="array" ref="K212">(VLOOKUP($A212,'The List'!$B1:$AH671,23,FALSE)-AVERAGE('The List'!X2:X671))/STDEV('The List'!X2:X671)</f>
        <v>0.53300291041229031</v>
      </c>
      <c r="L212" s="55" cm="1">
        <f t="array" ref="L212">(VLOOKUP($A212,'The List'!$B1:$AH671,24,FALSE)-AVERAGE('The List'!Y2:Y671))/STDEV('The List'!Y2:Y671)</f>
        <v>-0.47546929358800777</v>
      </c>
      <c r="M212" s="55" cm="1">
        <f t="array" ref="M212">(VLOOKUP($A212,'The List'!$B1:$AH671,25,FALSE)-AVERAGE('The List'!Z2:Z671))/STDEV('The List'!Z2:Z671)</f>
        <v>-0.64388478613809508</v>
      </c>
      <c r="N212" s="55" cm="1">
        <f t="array" ref="N212">(VLOOKUP($A212,'The List'!$B1:$AH671,26,FALSE)-AVERAGE('The List'!AA2:AA671))/STDEV('The List'!AA2:AA671)</f>
        <v>0.56052799965204791</v>
      </c>
      <c r="O212" s="55" cm="1">
        <f t="array" ref="O212">(VLOOKUP($A212,'The List'!$B1:$AH671,27,FALSE)-AVERAGE('The List'!AB2:AB671))/STDEV('The List'!AB2:AB671)</f>
        <v>0.56211987037295985</v>
      </c>
      <c r="P212" s="55" cm="1">
        <f t="array" ref="P212">(VLOOKUP($A212,'The List'!$B1:$AH671,28,FALSE)-AVERAGE('The List'!AC2:AC671))/STDEV('The List'!AC2:AC671)</f>
        <v>-0.82549686932207089</v>
      </c>
      <c r="Q212" s="55" cm="1">
        <f t="array" ref="Q212">(VLOOKUP($A212,'The List'!$B1:$AH671,29,FALSE)-AVERAGE('The List'!AD2:AD671))/STDEV('The List'!AD2:AD671)</f>
        <v>0.75371471484072639</v>
      </c>
      <c r="R212" s="55" cm="1">
        <f t="array" ref="R212">(VLOOKUP($A212,'The List'!$B1:$AH671,30,FALSE)-AVERAGE('The List'!AE2:AE671))/STDEV('The List'!AE2:AE671)</f>
        <v>-0.82674404756972364</v>
      </c>
      <c r="S212" s="55" cm="1">
        <f t="array" ref="S212">(VLOOKUP($A212,'The List'!$B1:$AH671,31,FALSE)-AVERAGE('The List'!AF2:AF671))/STDEV('The List'!AF2:AF671)</f>
        <v>-0.59581850454342256</v>
      </c>
      <c r="T212" s="55" cm="1">
        <f t="array" ref="T212">(VLOOKUP($A212,'The List'!$B1:$AH671,32,FALSE)-AVERAGE('The List'!AG2:AG671))/STDEV('The List'!AG2:AG671)</f>
        <v>-0.64684275008198677</v>
      </c>
      <c r="U212" s="55" cm="1">
        <f t="array" ref="U212">(VLOOKUP($A212,'The List'!$B1:$AH671,33,FALSE)-AVERAGE('The List'!AH2:AH671))/STDEV('The List'!AH2:AH671)</f>
        <v>-1.2552626683789523</v>
      </c>
      <c r="V212" s="55"/>
      <c r="W212" s="77"/>
      <c r="X212" s="57"/>
      <c r="Y212" s="57"/>
      <c r="Z212" s="57"/>
      <c r="AA212" s="57"/>
      <c r="AB212" s="57"/>
      <c r="AC212" s="60"/>
      <c r="AD212" s="61"/>
      <c r="AE212" s="55"/>
    </row>
    <row r="213" spans="1:31" ht="21.25" customHeight="1" x14ac:dyDescent="0.15">
      <c r="A213" s="10" t="s">
        <v>545</v>
      </c>
      <c r="B213" s="18" t="str" cm="1">
        <f t="array" ref="B213">VLOOKUP(A213,'Player Data'!A1:B673,2,FALSE)</f>
        <v>BUF</v>
      </c>
      <c r="C213" s="52" cm="1">
        <f t="array" ref="C213">((E213)*Settings!$C$12)+(F213*Settings!$C$2)+(G213*Settings!$C$3)+(H213*Settings!$C$4)+(I213*Settings!$C$5)+(K213*Settings!$C$9)+(N213*Settings!$C$6)+(J213*Settings!$C$8)+(O213*Settings!$C$7)+(P213*Settings!$C$14)+(Q213*Settings!$C$15)+(R213*Settings!$C$16)+(S213*Settings!$C$17)+(T213*Settings!$C$18)+(U213*Settings!$C$19)+(L213*Settings!$C$10)+(Settings!$C$11*M213)</f>
        <v>-1.3274487032188691</v>
      </c>
      <c r="D213" s="57" cm="1">
        <f t="array" ref="D213">IF(Settings!$E$12="YES",VLOOKUP(A213,'Player Data'!A1:E673,5,FALSE),82)</f>
        <v>67</v>
      </c>
      <c r="E213" s="55" cm="1">
        <f t="array" ref="E213">(VLOOKUP($A213,'The List'!$B1:$AH671,17,FALSE)-AVERAGE('The List'!R2:R671))/STDEV('The List'!R2:R671)</f>
        <v>-0.16115865707000782</v>
      </c>
      <c r="F213" s="55" cm="1">
        <f t="array" ref="F213">(VLOOKUP($A213,'The List'!$B1:$AH671,18,FALSE)-AVERAGE('The List'!S2:S671))/STDEV('The List'!S2:S671)</f>
        <v>0.36591708734069162</v>
      </c>
      <c r="G213" s="55" cm="1">
        <f t="array" ref="G213">(VLOOKUP($A213,'The List'!$B1:$AH671,19,FALSE)-AVERAGE('The List'!T2:T671))/STDEV('The List'!T2:T671)</f>
        <v>-0.57940873103913726</v>
      </c>
      <c r="H213" s="55" cm="1">
        <f t="array" ref="H213">(VLOOKUP($A213,'The List'!$B1:$AH671,20,FALSE)-AVERAGE('The List'!U2:U671))/STDEV('The List'!U2:U671)</f>
        <v>-0.20239516593524445</v>
      </c>
      <c r="I213" s="55" cm="1">
        <f t="array" ref="I213">(VLOOKUP($A213,'The List'!$B1:$AH671,21,FALSE)-AVERAGE('The List'!V2:V671))/STDEV('The List'!V2:V671)</f>
        <v>6.1592653969327511E-2</v>
      </c>
      <c r="J213" s="55" cm="1">
        <f t="array" ref="J213">(VLOOKUP($A213,'The List'!$B1:$AH671,22,FALSE)-AVERAGE('The List'!W2:W671))/STDEV('The List'!W2:W671)</f>
        <v>-0.36843525413643868</v>
      </c>
      <c r="K213" s="55" cm="1">
        <f t="array" ref="K213">(VLOOKUP($A213,'The List'!$B1:$AH671,23,FALSE)-AVERAGE('The List'!X2:X671))/STDEV('The List'!X2:X671)</f>
        <v>-0.5322299714897939</v>
      </c>
      <c r="L213" s="55" cm="1">
        <f t="array" ref="L213">(VLOOKUP($A213,'The List'!$B1:$AH671,24,FALSE)-AVERAGE('The List'!Y2:Y671))/STDEV('The List'!Y2:Y671)</f>
        <v>-0.47546929358800777</v>
      </c>
      <c r="M213" s="55" cm="1">
        <f t="array" ref="M213">(VLOOKUP($A213,'The List'!$B1:$AH671,25,FALSE)-AVERAGE('The List'!Z2:Z671))/STDEV('The List'!Z2:Z671)</f>
        <v>-0.64388478613809508</v>
      </c>
      <c r="N213" s="55" cm="1">
        <f t="array" ref="N213">(VLOOKUP($A213,'The List'!$B1:$AH671,26,FALSE)-AVERAGE('The List'!AA2:AA671))/STDEV('The List'!AA2:AA671)</f>
        <v>-0.51065990546535645</v>
      </c>
      <c r="O213" s="55" cm="1">
        <f t="array" ref="O213">(VLOOKUP($A213,'The List'!$B1:$AH671,27,FALSE)-AVERAGE('The List'!AB2:AB671))/STDEV('The List'!AB2:AB671)</f>
        <v>-0.68379378424312365</v>
      </c>
      <c r="P213" s="55" cm="1">
        <f t="array" ref="P213">(VLOOKUP($A213,'The List'!$B1:$AH671,28,FALSE)-AVERAGE('The List'!AC2:AC671))/STDEV('The List'!AC2:AC671)</f>
        <v>4.0474042243166621E-2</v>
      </c>
      <c r="Q213" s="55" cm="1">
        <f t="array" ref="Q213">(VLOOKUP($A213,'The List'!$B1:$AH671,29,FALSE)-AVERAGE('The List'!AD2:AD671))/STDEV('The List'!AD2:AD671)</f>
        <v>-0.59172012940686392</v>
      </c>
      <c r="R213" s="55" cm="1">
        <f t="array" ref="R213">(VLOOKUP($A213,'The List'!$B1:$AH671,30,FALSE)-AVERAGE('The List'!AE2:AE671))/STDEV('The List'!AE2:AE671)</f>
        <v>0.32728391558110126</v>
      </c>
      <c r="S213" s="55" cm="1">
        <f t="array" ref="S213">(VLOOKUP($A213,'The List'!$B1:$AH671,31,FALSE)-AVERAGE('The List'!AF2:AF671))/STDEV('The List'!AF2:AF671)</f>
        <v>1.0566444389683092</v>
      </c>
      <c r="T213" s="55" cm="1">
        <f t="array" ref="T213">(VLOOKUP($A213,'The List'!$B1:$AH671,32,FALSE)-AVERAGE('The List'!AG2:AG671))/STDEV('The List'!AG2:AG671)</f>
        <v>1.5551614619342069</v>
      </c>
      <c r="U213" s="55" cm="1">
        <f t="array" ref="U213">(VLOOKUP($A213,'The List'!$B1:$AH671,33,FALSE)-AVERAGE('The List'!AH2:AH671))/STDEV('The List'!AH2:AH671)</f>
        <v>0.76870321356193128</v>
      </c>
      <c r="V213" s="55"/>
      <c r="W213" s="57"/>
      <c r="X213" s="55"/>
      <c r="Y213" s="55"/>
      <c r="Z213" s="55"/>
      <c r="AA213" s="55"/>
      <c r="AB213" s="55"/>
      <c r="AC213" s="55"/>
      <c r="AD213" s="55"/>
      <c r="AE213" s="55"/>
    </row>
    <row r="214" spans="1:31" ht="21.25" customHeight="1" x14ac:dyDescent="0.15">
      <c r="A214" s="10" t="s">
        <v>528</v>
      </c>
      <c r="B214" s="18" t="str" cm="1">
        <f t="array" ref="B214">VLOOKUP(A214,'Player Data'!A1:B673,2,FALSE)</f>
        <v>STL</v>
      </c>
      <c r="C214" s="52" cm="1">
        <f t="array" ref="C214">((E214)*Settings!$C$12)+(F214*Settings!$C$2)+(G214*Settings!$C$3)+(H214*Settings!$C$4)+(I214*Settings!$C$5)+(K214*Settings!$C$9)+(N214*Settings!$C$6)+(J214*Settings!$C$8)+(O214*Settings!$C$7)+(P214*Settings!$C$14)+(Q214*Settings!$C$15)+(R214*Settings!$C$16)+(S214*Settings!$C$17)+(T214*Settings!$C$18)+(U214*Settings!$C$19)+(L214*Settings!$C$10)+(Settings!$C$11*M214)</f>
        <v>1.5012186707405824</v>
      </c>
      <c r="D214" s="57" cm="1">
        <f t="array" ref="D214">IF(Settings!$E$12="YES",VLOOKUP(A214,'Player Data'!A1:E673,5,FALSE),82)</f>
        <v>81</v>
      </c>
      <c r="E214" s="55" cm="1">
        <f t="array" ref="E214">(VLOOKUP($A214,'The List'!$B1:$AH671,17,FALSE)-AVERAGE('The List'!R2:R671))/STDEV('The List'!R2:R671)</f>
        <v>-0.60710453005825338</v>
      </c>
      <c r="F214" s="55" cm="1">
        <f t="array" ref="F214">(VLOOKUP($A214,'The List'!$B1:$AH671,18,FALSE)-AVERAGE('The List'!S2:S671))/STDEV('The List'!S2:S671)</f>
        <v>0.56750082593161344</v>
      </c>
      <c r="G214" s="55" cm="1">
        <f t="array" ref="G214">(VLOOKUP($A214,'The List'!$B1:$AH671,19,FALSE)-AVERAGE('The List'!T2:T671))/STDEV('The List'!T2:T671)</f>
        <v>-6.852057931532303E-2</v>
      </c>
      <c r="H214" s="55" cm="1">
        <f t="array" ref="H214">(VLOOKUP($A214,'The List'!$B1:$AH671,20,FALSE)-AVERAGE('The List'!U2:U671))/STDEV('The List'!U2:U671)</f>
        <v>0.2082898254990723</v>
      </c>
      <c r="I214" s="55" cm="1">
        <f t="array" ref="I214">(VLOOKUP($A214,'The List'!$B1:$AH671,21,FALSE)-AVERAGE('The List'!V2:V671))/STDEV('The List'!V2:V671)</f>
        <v>-0.29483717265732307</v>
      </c>
      <c r="J214" s="55" cm="1">
        <f t="array" ref="J214">(VLOOKUP($A214,'The List'!$B1:$AH671,22,FALSE)-AVERAGE('The List'!W2:W671))/STDEV('The List'!W2:W671)</f>
        <v>0.1563388327865215</v>
      </c>
      <c r="K214" s="55" cm="1">
        <f t="array" ref="K214">(VLOOKUP($A214,'The List'!$B1:$AH671,23,FALSE)-AVERAGE('The List'!X2:X671))/STDEV('The List'!X2:X671)</f>
        <v>0.17524545196215616</v>
      </c>
      <c r="L214" s="55" cm="1">
        <f t="array" ref="L214">(VLOOKUP($A214,'The List'!$B1:$AH671,24,FALSE)-AVERAGE('The List'!Y2:Y671))/STDEV('The List'!Y2:Y671)</f>
        <v>-0.47546929358800777</v>
      </c>
      <c r="M214" s="55" cm="1">
        <f t="array" ref="M214">(VLOOKUP($A214,'The List'!$B1:$AH671,25,FALSE)-AVERAGE('The List'!Z2:Z671))/STDEV('The List'!Z2:Z671)</f>
        <v>-0.64388478613809508</v>
      </c>
      <c r="N214" s="55" cm="1">
        <f t="array" ref="N214">(VLOOKUP($A214,'The List'!$B1:$AH671,26,FALSE)-AVERAGE('The List'!AA2:AA671))/STDEV('The List'!AA2:AA671)</f>
        <v>-0.50580712287183471</v>
      </c>
      <c r="O214" s="55" cm="1">
        <f t="array" ref="O214">(VLOOKUP($A214,'The List'!$B1:$AH671,27,FALSE)-AVERAGE('The List'!AB2:AB671))/STDEV('The List'!AB2:AB671)</f>
        <v>1.4025683705253025</v>
      </c>
      <c r="P214" s="55" cm="1">
        <f t="array" ref="P214">(VLOOKUP($A214,'The List'!$B1:$AH671,28,FALSE)-AVERAGE('The List'!AC2:AC671))/STDEV('The List'!AC2:AC671)</f>
        <v>-0.28073822570584378</v>
      </c>
      <c r="Q214" s="55" cm="1">
        <f t="array" ref="Q214">(VLOOKUP($A214,'The List'!$B1:$AH671,29,FALSE)-AVERAGE('The List'!AD2:AD671))/STDEV('The List'!AD2:AD671)</f>
        <v>0.49881354995032606</v>
      </c>
      <c r="R214" s="55" cm="1">
        <f t="array" ref="R214">(VLOOKUP($A214,'The List'!$B1:$AH671,30,FALSE)-AVERAGE('The List'!AE2:AE671))/STDEV('The List'!AE2:AE671)</f>
        <v>0.17133419083098952</v>
      </c>
      <c r="S214" s="55" cm="1">
        <f t="array" ref="S214">(VLOOKUP($A214,'The List'!$B1:$AH671,31,FALSE)-AVERAGE('The List'!AF2:AF671))/STDEV('The List'!AF2:AF671)</f>
        <v>-0.56077019387978011</v>
      </c>
      <c r="T214" s="55" cm="1">
        <f t="array" ref="T214">(VLOOKUP($A214,'The List'!$B1:$AH671,32,FALSE)-AVERAGE('The List'!AG2:AG671))/STDEV('The List'!AG2:AG671)</f>
        <v>-0.56830181000845092</v>
      </c>
      <c r="U214" s="55" cm="1">
        <f t="array" ref="U214">(VLOOKUP($A214,'The List'!$B1:$AH671,33,FALSE)-AVERAGE('The List'!AH2:AH671))/STDEV('The List'!AH2:AH671)</f>
        <v>0.21671251848714493</v>
      </c>
      <c r="V214" s="55"/>
      <c r="W214" s="77"/>
      <c r="X214" s="57"/>
      <c r="Y214" s="57"/>
      <c r="Z214" s="57"/>
      <c r="AA214" s="57"/>
      <c r="AB214" s="57"/>
      <c r="AC214" s="60"/>
      <c r="AD214" s="61"/>
      <c r="AE214" s="55"/>
    </row>
    <row r="215" spans="1:31" ht="21.25" customHeight="1" x14ac:dyDescent="0.15">
      <c r="A215" s="10" t="s">
        <v>489</v>
      </c>
      <c r="B215" s="18" t="str" cm="1">
        <f t="array" ref="B215">VLOOKUP(A215,'Player Data'!A1:B673,2,FALSE)</f>
        <v>SEA</v>
      </c>
      <c r="C215" s="52" cm="1">
        <f t="array" ref="C215">((E215)*Settings!$C$12)+(F215*Settings!$C$2)+(G215*Settings!$C$3)+(H215*Settings!$C$4)+(I215*Settings!$C$5)+(K215*Settings!$C$9)+(N215*Settings!$C$6)+(J215*Settings!$C$8)+(O215*Settings!$C$7)+(P215*Settings!$C$14)+(Q215*Settings!$C$15)+(R215*Settings!$C$16)+(S215*Settings!$C$17)+(T215*Settings!$C$18)+(U215*Settings!$C$19)+(L215*Settings!$C$10)+(Settings!$C$11*M215)</f>
        <v>-1.2188232551746023</v>
      </c>
      <c r="D215" s="57" cm="1">
        <f t="array" ref="D215">IF(Settings!$E$12="YES",VLOOKUP(A215,'Player Data'!A1:E673,5,FALSE),82)</f>
        <v>81</v>
      </c>
      <c r="E215" s="55" cm="1">
        <f t="array" ref="E215">(VLOOKUP($A215,'The List'!$B1:$AH671,17,FALSE)-AVERAGE('The List'!R2:R671))/STDEV('The List'!R2:R671)</f>
        <v>-0.4759439791793576</v>
      </c>
      <c r="F215" s="55" cm="1">
        <f t="array" ref="F215">(VLOOKUP($A215,'The List'!$B1:$AH671,18,FALSE)-AVERAGE('The List'!S2:S671))/STDEV('The List'!S2:S671)</f>
        <v>0.4058346593388939</v>
      </c>
      <c r="G215" s="55" cm="1">
        <f t="array" ref="G215">(VLOOKUP($A215,'The List'!$B1:$AH671,19,FALSE)-AVERAGE('The List'!T2:T671))/STDEV('The List'!T2:T671)</f>
        <v>-1.1599065849533914E-2</v>
      </c>
      <c r="H215" s="55" cm="1">
        <f t="array" ref="H215">(VLOOKUP($A215,'The List'!$B1:$AH671,20,FALSE)-AVERAGE('The List'!U2:U671))/STDEV('The List'!U2:U671)</f>
        <v>0.17248198448057958</v>
      </c>
      <c r="I215" s="55" cm="1">
        <f t="array" ref="I215">(VLOOKUP($A215,'The List'!$B1:$AH671,21,FALSE)-AVERAGE('The List'!V2:V671))/STDEV('The List'!V2:V671)</f>
        <v>-0.15489138517909379</v>
      </c>
      <c r="J215" s="55" cm="1">
        <f t="array" ref="J215">(VLOOKUP($A215,'The List'!$B1:$AH671,22,FALSE)-AVERAGE('The List'!W2:W671))/STDEV('The List'!W2:W671)</f>
        <v>0.38005831194841494</v>
      </c>
      <c r="K215" s="55" cm="1">
        <f t="array" ref="K215">(VLOOKUP($A215,'The List'!$B1:$AH671,23,FALSE)-AVERAGE('The List'!X2:X671))/STDEV('The List'!X2:X671)</f>
        <v>0.17524545196215616</v>
      </c>
      <c r="L215" s="55" cm="1">
        <f t="array" ref="L215">(VLOOKUP($A215,'The List'!$B1:$AH671,24,FALSE)-AVERAGE('The List'!Y2:Y671))/STDEV('The List'!Y2:Y671)</f>
        <v>-0.47546929358800777</v>
      </c>
      <c r="M215" s="55" cm="1">
        <f t="array" ref="M215">(VLOOKUP($A215,'The List'!$B1:$AH671,25,FALSE)-AVERAGE('The List'!Z2:Z671))/STDEV('The List'!Z2:Z671)</f>
        <v>-0.64388478613809508</v>
      </c>
      <c r="N215" s="55" cm="1">
        <f t="array" ref="N215">(VLOOKUP($A215,'The List'!$B1:$AH671,26,FALSE)-AVERAGE('The List'!AA2:AA671))/STDEV('The List'!AA2:AA671)</f>
        <v>1.1397337753521452E-2</v>
      </c>
      <c r="O215" s="55" cm="1">
        <f t="array" ref="O215">(VLOOKUP($A215,'The List'!$B1:$AH671,27,FALSE)-AVERAGE('The List'!AB2:AB671))/STDEV('The List'!AB2:AB671)</f>
        <v>-0.47368165920503785</v>
      </c>
      <c r="P215" s="55" cm="1">
        <f t="array" ref="P215">(VLOOKUP($A215,'The List'!$B1:$AH671,28,FALSE)-AVERAGE('The List'!AC2:AC671))/STDEV('The List'!AC2:AC671)</f>
        <v>-1.1597312562419868</v>
      </c>
      <c r="Q215" s="55" cm="1">
        <f t="array" ref="Q215">(VLOOKUP($A215,'The List'!$B1:$AH671,29,FALSE)-AVERAGE('The List'!AD2:AD671))/STDEV('The List'!AD2:AD671)</f>
        <v>-0.99734546136289159</v>
      </c>
      <c r="R215" s="55" cm="1">
        <f t="array" ref="R215">(VLOOKUP($A215,'The List'!$B1:$AH671,30,FALSE)-AVERAGE('The List'!AE2:AE671))/STDEV('The List'!AE2:AE671)</f>
        <v>0.17133419083098952</v>
      </c>
      <c r="S215" s="55" cm="1">
        <f t="array" ref="S215">(VLOOKUP($A215,'The List'!$B1:$AH671,31,FALSE)-AVERAGE('The List'!AF2:AF671))/STDEV('The List'!AF2:AF671)</f>
        <v>0.82558520570429639</v>
      </c>
      <c r="T215" s="55" cm="1">
        <f t="array" ref="T215">(VLOOKUP($A215,'The List'!$B1:$AH671,32,FALSE)-AVERAGE('The List'!AG2:AG671))/STDEV('The List'!AG2:AG671)</f>
        <v>1.4241578276465094</v>
      </c>
      <c r="U215" s="55" cm="1">
        <f t="array" ref="U215">(VLOOKUP($A215,'The List'!$B1:$AH671,33,FALSE)-AVERAGE('The List'!AH2:AH671))/STDEV('The List'!AH2:AH671)</f>
        <v>0.67670476438280014</v>
      </c>
      <c r="V215" s="55"/>
      <c r="W215" s="57"/>
      <c r="X215" s="55"/>
      <c r="Y215" s="55"/>
      <c r="Z215" s="55"/>
      <c r="AA215" s="55"/>
      <c r="AB215" s="55"/>
      <c r="AC215" s="55"/>
      <c r="AD215" s="55"/>
      <c r="AE215" s="55"/>
    </row>
    <row r="216" spans="1:31" ht="21.25" customHeight="1" x14ac:dyDescent="0.15">
      <c r="A216" s="10" t="s">
        <v>231</v>
      </c>
      <c r="B216" s="18" t="str" cm="1">
        <f t="array" ref="B216">VLOOKUP(A216,'Player Data'!A1:B673,2,FALSE)</f>
        <v>OTT</v>
      </c>
      <c r="C216" s="52" cm="1">
        <f t="array" ref="C216">((E216)*Settings!$C$12)+(F216*Settings!$C$2)+(G216*Settings!$C$3)+(H216*Settings!$C$4)+(I216*Settings!$C$5)+(K216*Settings!$C$9)+(N216*Settings!$C$6)+(J216*Settings!$C$8)+(O216*Settings!$C$7)+(P216*Settings!$C$14)+(Q216*Settings!$C$15)+(R216*Settings!$C$16)+(S216*Settings!$C$17)+(T216*Settings!$C$18)+(U216*Settings!$C$19)+(L216*Settings!$C$10)+(Settings!$C$11*M216)</f>
        <v>8.4311150407319624E-3</v>
      </c>
      <c r="D216" s="57" cm="1">
        <f t="array" ref="D216">IF(Settings!$E$12="YES",VLOOKUP(A216,'Player Data'!A1:E673,5,FALSE),82)</f>
        <v>76</v>
      </c>
      <c r="E216" s="55" cm="1">
        <f t="array" ref="E216">(VLOOKUP($A216,'The List'!$B1:$AH671,17,FALSE)-AVERAGE('The List'!R2:R671))/STDEV('The List'!R2:R671)</f>
        <v>1.3603037331251837</v>
      </c>
      <c r="F216" s="55" cm="1">
        <f t="array" ref="F216">(VLOOKUP($A216,'The List'!$B1:$AH671,18,FALSE)-AVERAGE('The List'!S2:S671))/STDEV('The List'!S2:S671)</f>
        <v>-0.46237253162200875</v>
      </c>
      <c r="G216" s="55" cm="1">
        <f t="array" ref="G216">(VLOOKUP($A216,'The List'!$B1:$AH671,19,FALSE)-AVERAGE('The List'!T2:T671))/STDEV('The List'!T2:T671)</f>
        <v>0.47399063544504061</v>
      </c>
      <c r="H216" s="55" cm="1">
        <f t="array" ref="H216">(VLOOKUP($A216,'The List'!$B1:$AH671,20,FALSE)-AVERAGE('The List'!U2:U671))/STDEV('The List'!U2:U671)</f>
        <v>9.3351076550824336E-2</v>
      </c>
      <c r="I216" s="55" cm="1">
        <f t="array" ref="I216">(VLOOKUP($A216,'The List'!$B1:$AH671,21,FALSE)-AVERAGE('The List'!V2:V671))/STDEV('The List'!V2:V671)</f>
        <v>0.24507713088522834</v>
      </c>
      <c r="J216" s="55" cm="1">
        <f t="array" ref="J216">(VLOOKUP($A216,'The List'!$B1:$AH671,22,FALSE)-AVERAGE('The List'!W2:W671))/STDEV('The List'!W2:W671)</f>
        <v>-0.31871981432268459</v>
      </c>
      <c r="K216" s="55" cm="1">
        <f t="array" ref="K216">(VLOOKUP($A216,'The List'!$B1:$AH671,23,FALSE)-AVERAGE('The List'!X2:X671))/STDEV('The List'!X2:X671)</f>
        <v>-3.7801124418260494E-2</v>
      </c>
      <c r="L216" s="55" cm="1">
        <f t="array" ref="L216">(VLOOKUP($A216,'The List'!$B1:$AH671,24,FALSE)-AVERAGE('The List'!Y2:Y671))/STDEV('The List'!Y2:Y671)</f>
        <v>0.91772410159517581</v>
      </c>
      <c r="M216" s="55" cm="1">
        <f t="array" ref="M216">(VLOOKUP($A216,'The List'!$B1:$AH671,25,FALSE)-AVERAGE('The List'!Z2:Z671))/STDEV('The List'!Z2:Z671)</f>
        <v>0.18194600030474953</v>
      </c>
      <c r="N216" s="55" cm="1">
        <f t="array" ref="N216">(VLOOKUP($A216,'The List'!$B1:$AH671,26,FALSE)-AVERAGE('The List'!AA2:AA671))/STDEV('The List'!AA2:AA671)</f>
        <v>1.7933901880167851</v>
      </c>
      <c r="O216" s="55" cm="1">
        <f t="array" ref="O216">(VLOOKUP($A216,'The List'!$B1:$AH671,27,FALSE)-AVERAGE('The List'!AB2:AB671))/STDEV('The List'!AB2:AB671)</f>
        <v>-0.60036389654507394</v>
      </c>
      <c r="P216" s="55" cm="1">
        <f t="array" ref="P216">(VLOOKUP($A216,'The List'!$B1:$AH671,28,FALSE)-AVERAGE('The List'!AC2:AC671))/STDEV('The List'!AC2:AC671)</f>
        <v>0.38990090129580623</v>
      </c>
      <c r="Q216" s="55" cm="1">
        <f t="array" ref="Q216">(VLOOKUP($A216,'The List'!$B1:$AH671,29,FALSE)-AVERAGE('The List'!AD2:AD671))/STDEV('The List'!AD2:AD671)</f>
        <v>-0.18387826558222348</v>
      </c>
      <c r="R216" s="55" cm="1">
        <f t="array" ref="R216">(VLOOKUP($A216,'The List'!$B1:$AH671,30,FALSE)-AVERAGE('The List'!AE2:AE671))/STDEV('The List'!AE2:AE671)</f>
        <v>-0.39632280725941599</v>
      </c>
      <c r="S216" s="55" cm="1">
        <f t="array" ref="S216">(VLOOKUP($A216,'The List'!$B1:$AH671,31,FALSE)-AVERAGE('The List'!AF2:AF671))/STDEV('The List'!AF2:AF671)</f>
        <v>-0.59581850454342256</v>
      </c>
      <c r="T216" s="55" cm="1">
        <f t="array" ref="T216">(VLOOKUP($A216,'The List'!$B1:$AH671,32,FALSE)-AVERAGE('The List'!AG2:AG671))/STDEV('The List'!AG2:AG671)</f>
        <v>-0.64684275008198677</v>
      </c>
      <c r="U216" s="55" cm="1">
        <f t="array" ref="U216">(VLOOKUP($A216,'The List'!$B1:$AH671,33,FALSE)-AVERAGE('The List'!AH2:AH671))/STDEV('The List'!AH2:AH671)</f>
        <v>-1.2552626683789523</v>
      </c>
      <c r="V216" s="55"/>
      <c r="W216" s="77"/>
      <c r="X216" s="57"/>
      <c r="Y216" s="57"/>
      <c r="Z216" s="57"/>
      <c r="AA216" s="57"/>
      <c r="AB216" s="57"/>
      <c r="AC216" s="60"/>
      <c r="AD216" s="61"/>
      <c r="AE216" s="55"/>
    </row>
    <row r="217" spans="1:31" ht="21.25" customHeight="1" x14ac:dyDescent="0.15">
      <c r="A217" s="10" t="s">
        <v>412</v>
      </c>
      <c r="B217" s="18" t="str" cm="1">
        <f t="array" ref="B217">VLOOKUP(A217,'Player Data'!A1:B673,2,FALSE)</f>
        <v>L.A</v>
      </c>
      <c r="C217" s="52" cm="1">
        <f t="array" ref="C217">((E217)*Settings!$C$12)+(F217*Settings!$C$2)+(G217*Settings!$C$3)+(H217*Settings!$C$4)+(I217*Settings!$C$5)+(K217*Settings!$C$9)+(N217*Settings!$C$6)+(J217*Settings!$C$8)+(O217*Settings!$C$7)+(P217*Settings!$C$14)+(Q217*Settings!$C$15)+(R217*Settings!$C$16)+(S217*Settings!$C$17)+(T217*Settings!$C$18)+(U217*Settings!$C$19)+(L217*Settings!$C$10)+(Settings!$C$11*M217)</f>
        <v>3.5095118872038258</v>
      </c>
      <c r="D217" s="57" cm="1">
        <f t="array" ref="D217">IF(Settings!$E$12="YES",VLOOKUP(A217,'Player Data'!A1:E673,5,FALSE),82)</f>
        <v>83</v>
      </c>
      <c r="E217" s="55" cm="1">
        <f t="array" ref="E217">(VLOOKUP($A217,'The List'!$B1:$AH671,17,FALSE)-AVERAGE('The List'!R2:R671))/STDEV('The List'!R2:R671)</f>
        <v>-5.6230216366890615E-2</v>
      </c>
      <c r="F217" s="55" cm="1">
        <f t="array" ref="F217">(VLOOKUP($A217,'The List'!$B1:$AH671,18,FALSE)-AVERAGE('The List'!S2:S671))/STDEV('The List'!S2:S671)</f>
        <v>0.6154019123294564</v>
      </c>
      <c r="G217" s="55" cm="1">
        <f t="array" ref="G217">(VLOOKUP($A217,'The List'!$B1:$AH671,19,FALSE)-AVERAGE('The List'!T2:T671))/STDEV('The List'!T2:T671)</f>
        <v>-8.7494417137253075E-2</v>
      </c>
      <c r="H217" s="55" cm="1">
        <f t="array" ref="H217">(VLOOKUP($A217,'The List'!$B1:$AH671,20,FALSE)-AVERAGE('The List'!U2:U671))/STDEV('The List'!U2:U671)</f>
        <v>0.21757333983719973</v>
      </c>
      <c r="I217" s="55" cm="1">
        <f t="array" ref="I217">(VLOOKUP($A217,'The List'!$B1:$AH671,21,FALSE)-AVERAGE('The List'!V2:V671))/STDEV('The List'!V2:V671)</f>
        <v>1.1141231938673193</v>
      </c>
      <c r="J217" s="55" cm="1">
        <f t="array" ref="J217">(VLOOKUP($A217,'The List'!$B1:$AH671,22,FALSE)-AVERAGE('The List'!W2:W671))/STDEV('The List'!W2:W671)</f>
        <v>-5.08088331041208E-2</v>
      </c>
      <c r="K217" s="55" cm="1">
        <f t="array" ref="K217">(VLOOKUP($A217,'The List'!$B1:$AH671,23,FALSE)-AVERAGE('The List'!X2:X671))/STDEV('The List'!X2:X671)</f>
        <v>-0.30109453485066251</v>
      </c>
      <c r="L217" s="55" cm="1">
        <f t="array" ref="L217">(VLOOKUP($A217,'The List'!$B1:$AH671,24,FALSE)-AVERAGE('The List'!Y2:Y671))/STDEV('The List'!Y2:Y671)</f>
        <v>2.5675583853647357</v>
      </c>
      <c r="M217" s="55" cm="1">
        <f t="array" ref="M217">(VLOOKUP($A217,'The List'!$B1:$AH671,25,FALSE)-AVERAGE('The List'!Z2:Z671))/STDEV('The List'!Z2:Z671)</f>
        <v>1.1599035105660132</v>
      </c>
      <c r="N217" s="55" cm="1">
        <f t="array" ref="N217">(VLOOKUP($A217,'The List'!$B1:$AH671,26,FALSE)-AVERAGE('The List'!AA2:AA671))/STDEV('The List'!AA2:AA671)</f>
        <v>-0.4782228849718157</v>
      </c>
      <c r="O217" s="55" cm="1">
        <f t="array" ref="O217">(VLOOKUP($A217,'The List'!$B1:$AH671,27,FALSE)-AVERAGE('The List'!AB2:AB671))/STDEV('The List'!AB2:AB671)</f>
        <v>2.0933760401627168</v>
      </c>
      <c r="P217" s="55" cm="1">
        <f t="array" ref="P217">(VLOOKUP($A217,'The List'!$B1:$AH671,28,FALSE)-AVERAGE('The List'!AC2:AC671))/STDEV('The List'!AC2:AC671)</f>
        <v>7.5199692832248838E-2</v>
      </c>
      <c r="Q217" s="55" cm="1">
        <f t="array" ref="Q217">(VLOOKUP($A217,'The List'!$B1:$AH671,29,FALSE)-AVERAGE('The List'!AD2:AD671))/STDEV('The List'!AD2:AD671)</f>
        <v>-0.2887941073631996</v>
      </c>
      <c r="R217" s="55" cm="1">
        <f t="array" ref="R217">(VLOOKUP($A217,'The List'!$B1:$AH671,30,FALSE)-AVERAGE('The List'!AE2:AE671))/STDEV('The List'!AE2:AE671)</f>
        <v>0.72651521094138671</v>
      </c>
      <c r="S217" s="55" cm="1">
        <f t="array" ref="S217">(VLOOKUP($A217,'The List'!$B1:$AH671,31,FALSE)-AVERAGE('The List'!AF2:AF671))/STDEV('The List'!AF2:AF671)</f>
        <v>0.10649387155326889</v>
      </c>
      <c r="T217" s="55" cm="1">
        <f t="array" ref="T217">(VLOOKUP($A217,'The List'!$B1:$AH671,32,FALSE)-AVERAGE('The List'!AG2:AG671))/STDEV('The List'!AG2:AG671)</f>
        <v>0.34857052875772448</v>
      </c>
      <c r="U217" s="55" cm="1">
        <f t="array" ref="U217">(VLOOKUP($A217,'The List'!$B1:$AH671,33,FALSE)-AVERAGE('The List'!AH2:AH671))/STDEV('The List'!AH2:AH671)</f>
        <v>0.72270398897236576</v>
      </c>
      <c r="V217" s="55"/>
      <c r="W217" s="57"/>
      <c r="X217" s="55"/>
      <c r="Y217" s="55"/>
      <c r="Z217" s="55"/>
      <c r="AA217" s="55"/>
      <c r="AB217" s="55"/>
      <c r="AC217" s="55"/>
      <c r="AD217" s="55"/>
      <c r="AE217" s="55"/>
    </row>
    <row r="218" spans="1:31" ht="21.25" customHeight="1" x14ac:dyDescent="0.15">
      <c r="A218" s="10" t="s">
        <v>541</v>
      </c>
      <c r="B218" s="18" t="str" cm="1">
        <f t="array" ref="B218">VLOOKUP(A218,'Player Data'!A1:B673,2,FALSE)</f>
        <v>PIT</v>
      </c>
      <c r="C218" s="52" cm="1">
        <f t="array" ref="C218">((E218)*Settings!$C$12)+(F218*Settings!$C$2)+(G218*Settings!$C$3)+(H218*Settings!$C$4)+(I218*Settings!$C$5)+(K218*Settings!$C$9)+(N218*Settings!$C$6)+(J218*Settings!$C$8)+(O218*Settings!$C$7)+(P218*Settings!$C$14)+(Q218*Settings!$C$15)+(R218*Settings!$C$16)+(S218*Settings!$C$17)+(T218*Settings!$C$18)+(U218*Settings!$C$19)+(L218*Settings!$C$10)+(Settings!$C$11*M218)</f>
        <v>-1.0781224379880312</v>
      </c>
      <c r="D218" s="57" cm="1">
        <f t="array" ref="D218">IF(Settings!$E$12="YES",VLOOKUP(A218,'Player Data'!A1:E673,5,FALSE),82)</f>
        <v>79</v>
      </c>
      <c r="E218" s="55" cm="1">
        <f t="array" ref="E218">(VLOOKUP($A218,'The List'!$B1:$AH671,17,FALSE)-AVERAGE('The List'!R2:R671))/STDEV('The List'!R2:R671)</f>
        <v>-0.60710453005825338</v>
      </c>
      <c r="F218" s="55" cm="1">
        <f t="array" ref="F218">(VLOOKUP($A218,'The List'!$B1:$AH671,18,FALSE)-AVERAGE('The List'!S2:S671))/STDEV('The List'!S2:S671)</f>
        <v>0.28308812544442141</v>
      </c>
      <c r="G218" s="55" cm="1">
        <f t="array" ref="G218">(VLOOKUP($A218,'The List'!$B1:$AH671,19,FALSE)-AVERAGE('The List'!T2:T671))/STDEV('The List'!T2:T671)</f>
        <v>-5.2357680429975628E-2</v>
      </c>
      <c r="H218" s="55" cm="1">
        <f t="array" ref="H218">(VLOOKUP($A218,'The List'!$B1:$AH671,20,FALSE)-AVERAGE('The List'!U2:U671))/STDEV('The List'!U2:U671)</f>
        <v>9.2466932328145374E-2</v>
      </c>
      <c r="I218" s="55" cm="1">
        <f t="array" ref="I218">(VLOOKUP($A218,'The List'!$B1:$AH671,21,FALSE)-AVERAGE('The List'!V2:V671))/STDEV('The List'!V2:V671)</f>
        <v>-2.5992864450693587E-4</v>
      </c>
      <c r="J218" s="55" cm="1">
        <f t="array" ref="J218">(VLOOKUP($A218,'The List'!$B1:$AH671,22,FALSE)-AVERAGE('The List'!W2:W671))/STDEV('The List'!W2:W671)</f>
        <v>0.13424308175818631</v>
      </c>
      <c r="K218" s="55" cm="1">
        <f t="array" ref="K218">(VLOOKUP($A218,'The List'!$B1:$AH671,23,FALSE)-AVERAGE('The List'!X2:X671))/STDEV('The List'!X2:X671)</f>
        <v>-0.16643301959134238</v>
      </c>
      <c r="L218" s="55" cm="1">
        <f t="array" ref="L218">(VLOOKUP($A218,'The List'!$B1:$AH671,24,FALSE)-AVERAGE('The List'!Y2:Y671))/STDEV('The List'!Y2:Y671)</f>
        <v>-0.47546929358800777</v>
      </c>
      <c r="M218" s="55" cm="1">
        <f t="array" ref="M218">(VLOOKUP($A218,'The List'!$B1:$AH671,25,FALSE)-AVERAGE('The List'!Z2:Z671))/STDEV('The List'!Z2:Z671)</f>
        <v>-0.64388478613809508</v>
      </c>
      <c r="N218" s="55" cm="1">
        <f t="array" ref="N218">(VLOOKUP($A218,'The List'!$B1:$AH671,26,FALSE)-AVERAGE('The List'!AA2:AA671))/STDEV('The List'!AA2:AA671)</f>
        <v>-0.73516495281828897</v>
      </c>
      <c r="O218" s="55" cm="1">
        <f t="array" ref="O218">(VLOOKUP($A218,'The List'!$B1:$AH671,27,FALSE)-AVERAGE('The List'!AB2:AB671))/STDEV('The List'!AB2:AB671)</f>
        <v>-1.3801361147351994</v>
      </c>
      <c r="P218" s="55" cm="1">
        <f t="array" ref="P218">(VLOOKUP($A218,'The List'!$B1:$AH671,28,FALSE)-AVERAGE('The List'!AC2:AC671))/STDEV('The List'!AC2:AC671)</f>
        <v>0.23797617996857168</v>
      </c>
      <c r="Q218" s="55" cm="1">
        <f t="array" ref="Q218">(VLOOKUP($A218,'The List'!$B1:$AH671,29,FALSE)-AVERAGE('The List'!AD2:AD671))/STDEV('The List'!AD2:AD671)</f>
        <v>-0.97296361080815774</v>
      </c>
      <c r="R218" s="55" cm="1">
        <f t="array" ref="R218">(VLOOKUP($A218,'The List'!$B1:$AH671,30,FALSE)-AVERAGE('The List'!AE2:AE671))/STDEV('The List'!AE2:AE671)</f>
        <v>0.13390625689096303</v>
      </c>
      <c r="S218" s="55" cm="1">
        <f t="array" ref="S218">(VLOOKUP($A218,'The List'!$B1:$AH671,31,FALSE)-AVERAGE('The List'!AF2:AF671))/STDEV('The List'!AF2:AF671)</f>
        <v>0.40688049024522721</v>
      </c>
      <c r="T218" s="55" cm="1">
        <f t="array" ref="T218">(VLOOKUP($A218,'The List'!$B1:$AH671,32,FALSE)-AVERAGE('The List'!AG2:AG671))/STDEV('The List'!AG2:AG671)</f>
        <v>0.78439874722945635</v>
      </c>
      <c r="U218" s="55" cm="1">
        <f t="array" ref="U218">(VLOOKUP($A218,'The List'!$B1:$AH671,33,FALSE)-AVERAGE('The List'!AH2:AH671))/STDEV('The List'!AH2:AH671)</f>
        <v>0.72270398897236576</v>
      </c>
      <c r="V218" s="55"/>
      <c r="W218" s="57"/>
      <c r="X218" s="55"/>
      <c r="Y218" s="55"/>
      <c r="Z218" s="55"/>
      <c r="AA218" s="55"/>
      <c r="AB218" s="55"/>
      <c r="AC218" s="55"/>
      <c r="AD218" s="55"/>
      <c r="AE218" s="55"/>
    </row>
    <row r="219" spans="1:31" ht="21.25" customHeight="1" x14ac:dyDescent="0.15">
      <c r="A219" s="10" t="s">
        <v>582</v>
      </c>
      <c r="B219" s="18" t="str" cm="1">
        <f t="array" ref="B219">VLOOKUP(A219,'Player Data'!A1:B673,2,FALSE)</f>
        <v>DAL</v>
      </c>
      <c r="C219" s="52" cm="1">
        <f t="array" ref="C219">((E219)*Settings!$C$12)+(F219*Settings!$C$2)+(G219*Settings!$C$3)+(H219*Settings!$C$4)+(I219*Settings!$C$5)+(K219*Settings!$C$9)+(N219*Settings!$C$6)+(J219*Settings!$C$8)+(O219*Settings!$C$7)+(P219*Settings!$C$14)+(Q219*Settings!$C$15)+(R219*Settings!$C$16)+(S219*Settings!$C$17)+(T219*Settings!$C$18)+(U219*Settings!$C$19)+(L219*Settings!$C$10)+(Settings!$C$11*M219)</f>
        <v>1.2688511221708321</v>
      </c>
      <c r="D219" s="57" cm="1">
        <f t="array" ref="D219">IF(Settings!$E$12="YES",VLOOKUP(A219,'Player Data'!A1:E673,5,FALSE),82)</f>
        <v>80</v>
      </c>
      <c r="E219" s="55" cm="1">
        <f t="array" ref="E219">(VLOOKUP($A219,'The List'!$B1:$AH671,17,FALSE)-AVERAGE('The List'!R2:R671))/STDEV('The List'!R2:R671)</f>
        <v>-1.1317467335738367</v>
      </c>
      <c r="F219" s="55" cm="1">
        <f t="array" ref="F219">(VLOOKUP($A219,'The List'!$B1:$AH671,18,FALSE)-AVERAGE('The List'!S2:S671))/STDEV('The List'!S2:S671)</f>
        <v>0.22420970674707286</v>
      </c>
      <c r="G219" s="55" cm="1">
        <f t="array" ref="G219">(VLOOKUP($A219,'The List'!$B1:$AH671,19,FALSE)-AVERAGE('The List'!T2:T671))/STDEV('The List'!T2:T671)</f>
        <v>8.0459184323533148E-2</v>
      </c>
      <c r="H219" s="55" cm="1">
        <f t="array" ref="H219">(VLOOKUP($A219,'The List'!$B1:$AH671,20,FALSE)-AVERAGE('The List'!U2:U671))/STDEV('The List'!U2:U671)</f>
        <v>0.14993630680226919</v>
      </c>
      <c r="I219" s="55" cm="1">
        <f t="array" ref="I219">(VLOOKUP($A219,'The List'!$B1:$AH671,21,FALSE)-AVERAGE('The List'!V2:V671))/STDEV('The List'!V2:V671)</f>
        <v>-0.31816147057036148</v>
      </c>
      <c r="J219" s="55" cm="1">
        <f t="array" ref="J219">(VLOOKUP($A219,'The List'!$B1:$AH671,22,FALSE)-AVERAGE('The List'!W2:W671))/STDEV('The List'!W2:W671)</f>
        <v>-0.29662406329434943</v>
      </c>
      <c r="K219" s="55" cm="1">
        <f t="array" ref="K219">(VLOOKUP($A219,'The List'!$B1:$AH671,23,FALSE)-AVERAGE('The List'!X2:X671))/STDEV('The List'!X2:X671)</f>
        <v>-0.15839352614302474</v>
      </c>
      <c r="L219" s="55" cm="1">
        <f t="array" ref="L219">(VLOOKUP($A219,'The List'!$B1:$AH671,24,FALSE)-AVERAGE('The List'!Y2:Y671))/STDEV('The List'!Y2:Y671)</f>
        <v>-0.47546929358800777</v>
      </c>
      <c r="M219" s="55" cm="1">
        <f t="array" ref="M219">(VLOOKUP($A219,'The List'!$B1:$AH671,25,FALSE)-AVERAGE('The List'!Z2:Z671))/STDEV('The List'!Z2:Z671)</f>
        <v>-0.64388478613809508</v>
      </c>
      <c r="N219" s="55" cm="1">
        <f t="array" ref="N219">(VLOOKUP($A219,'The List'!$B1:$AH671,26,FALSE)-AVERAGE('The List'!AA2:AA671))/STDEV('The List'!AA2:AA671)</f>
        <v>-0.72392692997013297</v>
      </c>
      <c r="O219" s="55" cm="1">
        <f t="array" ref="O219">(VLOOKUP($A219,'The List'!$B1:$AH671,27,FALSE)-AVERAGE('The List'!AB2:AB671))/STDEV('The List'!AB2:AB671)</f>
        <v>0.33027907679435003</v>
      </c>
      <c r="P219" s="55" cm="1">
        <f t="array" ref="P219">(VLOOKUP($A219,'The List'!$B1:$AH671,28,FALSE)-AVERAGE('The List'!AC2:AC671))/STDEV('The List'!AC2:AC671)</f>
        <v>1.1104581510192622</v>
      </c>
      <c r="Q219" s="55" cm="1">
        <f t="array" ref="Q219">(VLOOKUP($A219,'The List'!$B1:$AH671,29,FALSE)-AVERAGE('The List'!AD2:AD671))/STDEV('The List'!AD2:AD671)</f>
        <v>1.8228219194679987</v>
      </c>
      <c r="R219" s="55" cm="1">
        <f t="array" ref="R219">(VLOOKUP($A219,'The List'!$B1:$AH671,30,FALSE)-AVERAGE('The List'!AE2:AE671))/STDEV('The List'!AE2:AE671)</f>
        <v>0.15262022386097629</v>
      </c>
      <c r="S219" s="55" cm="1">
        <f t="array" ref="S219">(VLOOKUP($A219,'The List'!$B1:$AH671,31,FALSE)-AVERAGE('The List'!AF2:AF671))/STDEV('The List'!AF2:AF671)</f>
        <v>0.12726324083542717</v>
      </c>
      <c r="T219" s="55" cm="1">
        <f t="array" ref="T219">(VLOOKUP($A219,'The List'!$B1:$AH671,32,FALSE)-AVERAGE('The List'!AG2:AG671))/STDEV('The List'!AG2:AG671)</f>
        <v>-2.218965943866115E-2</v>
      </c>
      <c r="U219" s="55" cm="1">
        <f t="array" ref="U219">(VLOOKUP($A219,'The List'!$B1:$AH671,33,FALSE)-AVERAGE('The List'!AH2:AH671))/STDEV('The List'!AH2:AH671)</f>
        <v>1.2746946840471525</v>
      </c>
      <c r="V219" s="55"/>
      <c r="W219" s="77"/>
      <c r="X219" s="57"/>
      <c r="Y219" s="57"/>
      <c r="Z219" s="57"/>
      <c r="AA219" s="57"/>
      <c r="AB219" s="57"/>
      <c r="AC219" s="60"/>
      <c r="AD219" s="61"/>
      <c r="AE219" s="55"/>
    </row>
    <row r="220" spans="1:31" ht="21.25" customHeight="1" x14ac:dyDescent="0.15">
      <c r="A220" s="10" t="s">
        <v>503</v>
      </c>
      <c r="B220" s="18" t="str" cm="1">
        <f t="array" ref="B220">VLOOKUP(A220,'Player Data'!A1:B673,2,FALSE)</f>
        <v>CBJ</v>
      </c>
      <c r="C220" s="52" cm="1">
        <f t="array" ref="C220">((E220)*Settings!$C$12)+(F220*Settings!$C$2)+(G220*Settings!$C$3)+(H220*Settings!$C$4)+(I220*Settings!$C$5)+(K220*Settings!$C$9)+(N220*Settings!$C$6)+(J220*Settings!$C$8)+(O220*Settings!$C$7)+(P220*Settings!$C$14)+(Q220*Settings!$C$15)+(R220*Settings!$C$16)+(S220*Settings!$C$17)+(T220*Settings!$C$18)+(U220*Settings!$C$19)+(L220*Settings!$C$10)+(Settings!$C$11*M220)</f>
        <v>0.11555335280860674</v>
      </c>
      <c r="D220" s="57" cm="1">
        <f t="array" ref="D220">IF(Settings!$E$12="YES",VLOOKUP(A220,'Player Data'!A1:E673,5,FALSE),82)</f>
        <v>80</v>
      </c>
      <c r="E220" s="55" cm="1">
        <f t="array" ref="E220">(VLOOKUP($A220,'The List'!$B1:$AH671,17,FALSE)-AVERAGE('The List'!R2:R671))/STDEV('The List'!R2:R671)</f>
        <v>-0.29231920794890365</v>
      </c>
      <c r="F220" s="55" cm="1">
        <f t="array" ref="F220">(VLOOKUP($A220,'The List'!$B1:$AH671,18,FALSE)-AVERAGE('The List'!S2:S671))/STDEV('The List'!S2:S671)</f>
        <v>0.14437456275066796</v>
      </c>
      <c r="G220" s="55" cm="1">
        <f t="array" ref="G220">(VLOOKUP($A220,'The List'!$B1:$AH671,19,FALSE)-AVERAGE('The List'!T2:T671))/STDEV('The List'!T2:T671)</f>
        <v>0.1366779630551771</v>
      </c>
      <c r="H220" s="55" cm="1">
        <f t="array" ref="H220">(VLOOKUP($A220,'The List'!$B1:$AH671,20,FALSE)-AVERAGE('The List'!U2:U671))/STDEV('The List'!U2:U671)</f>
        <v>0.14993630680226919</v>
      </c>
      <c r="I220" s="55" cm="1">
        <f t="array" ref="I220">(VLOOKUP($A220,'The List'!$B1:$AH671,21,FALSE)-AVERAGE('The List'!V2:V671))/STDEV('The List'!V2:V671)</f>
        <v>2.7383683696871611E-2</v>
      </c>
      <c r="J220" s="55" cm="1">
        <f t="array" ref="J220">(VLOOKUP($A220,'The List'!$B1:$AH671,22,FALSE)-AVERAGE('The List'!W2:W671))/STDEV('The List'!W2:W671)</f>
        <v>-7.5666553010997825E-2</v>
      </c>
      <c r="K220" s="55" cm="1">
        <f t="array" ref="K220">(VLOOKUP($A220,'The List'!$B1:$AH671,23,FALSE)-AVERAGE('The List'!X2:X671))/STDEV('The List'!X2:X671)</f>
        <v>2.3963428233275295E-3</v>
      </c>
      <c r="L220" s="55" cm="1">
        <f t="array" ref="L220">(VLOOKUP($A220,'The List'!$B1:$AH671,24,FALSE)-AVERAGE('The List'!Y2:Y671))/STDEV('The List'!Y2:Y671)</f>
        <v>2.4575694331134317</v>
      </c>
      <c r="M220" s="55" cm="1">
        <f t="array" ref="M220">(VLOOKUP($A220,'The List'!$B1:$AH671,25,FALSE)-AVERAGE('The List'!Z2:Z671))/STDEV('The List'!Z2:Z671)</f>
        <v>1.9640019078919404</v>
      </c>
      <c r="N220" s="55" cm="1">
        <f t="array" ref="N220">(VLOOKUP($A220,'The List'!$B1:$AH671,26,FALSE)-AVERAGE('The List'!AA2:AA671))/STDEV('The List'!AA2:AA671)</f>
        <v>-0.66262862352564655</v>
      </c>
      <c r="O220" s="55" cm="1">
        <f t="array" ref="O220">(VLOOKUP($A220,'The List'!$B1:$AH671,27,FALSE)-AVERAGE('The List'!AB2:AB671))/STDEV('The List'!AB2:AB671)</f>
        <v>-0.7848525917004664</v>
      </c>
      <c r="P220" s="55" cm="1">
        <f t="array" ref="P220">(VLOOKUP($A220,'The List'!$B1:$AH671,28,FALSE)-AVERAGE('The List'!AC2:AC671))/STDEV('The List'!AC2:AC671)</f>
        <v>0.58957339218302895</v>
      </c>
      <c r="Q220" s="55" cm="1">
        <f t="array" ref="Q220">(VLOOKUP($A220,'The List'!$B1:$AH671,29,FALSE)-AVERAGE('The List'!AD2:AD671))/STDEV('The List'!AD2:AD671)</f>
        <v>-1.0734463888519097</v>
      </c>
      <c r="R220" s="55" cm="1">
        <f t="array" ref="R220">(VLOOKUP($A220,'The List'!$B1:$AH671,30,FALSE)-AVERAGE('The List'!AE2:AE671))/STDEV('The List'!AE2:AE671)</f>
        <v>0.15262022386097629</v>
      </c>
      <c r="S220" s="55" cm="1">
        <f t="array" ref="S220">(VLOOKUP($A220,'The List'!$B1:$AH671,31,FALSE)-AVERAGE('The List'!AF2:AF671))/STDEV('The List'!AF2:AF671)</f>
        <v>2.3772782464025934</v>
      </c>
      <c r="T220" s="55" cm="1">
        <f t="array" ref="T220">(VLOOKUP($A220,'The List'!$B1:$AH671,32,FALSE)-AVERAGE('The List'!AG2:AG671))/STDEV('The List'!AG2:AG671)</f>
        <v>2.1457240080881745</v>
      </c>
      <c r="U220" s="55" cm="1">
        <f t="array" ref="U220">(VLOOKUP($A220,'The List'!$B1:$AH671,33,FALSE)-AVERAGE('The List'!AH2:AH671))/STDEV('The List'!AH2:AH671)</f>
        <v>1.1826962348680212</v>
      </c>
      <c r="V220" s="55"/>
      <c r="W220" s="57"/>
      <c r="X220" s="55"/>
      <c r="Y220" s="55"/>
      <c r="Z220" s="55"/>
      <c r="AA220" s="55"/>
      <c r="AB220" s="55"/>
      <c r="AC220" s="55"/>
      <c r="AD220" s="55"/>
      <c r="AE220" s="55"/>
    </row>
    <row r="221" spans="1:31" ht="21.25" customHeight="1" x14ac:dyDescent="0.15">
      <c r="A221" s="10" t="s">
        <v>494</v>
      </c>
      <c r="B221" s="18" t="str" cm="1">
        <f t="array" ref="B221">VLOOKUP(A221,'Player Data'!A1:B673,2,FALSE)</f>
        <v>NSH</v>
      </c>
      <c r="C221" s="52" cm="1">
        <f t="array" ref="C221">((E221)*Settings!$C$12)+(F221*Settings!$C$2)+(G221*Settings!$C$3)+(H221*Settings!$C$4)+(I221*Settings!$C$5)+(K221*Settings!$C$9)+(N221*Settings!$C$6)+(J221*Settings!$C$8)+(O221*Settings!$C$7)+(P221*Settings!$C$14)+(Q221*Settings!$C$15)+(R221*Settings!$C$16)+(S221*Settings!$C$17)+(T221*Settings!$C$18)+(U221*Settings!$C$19)+(L221*Settings!$C$10)+(Settings!$C$11*M221)</f>
        <v>4.0514667757939105E-2</v>
      </c>
      <c r="D221" s="57" cm="1">
        <f t="array" ref="D221">IF(Settings!$E$12="YES",VLOOKUP(A221,'Player Data'!A1:E673,5,FALSE),82)</f>
        <v>80</v>
      </c>
      <c r="E221" s="55" cm="1">
        <f t="array" ref="E221">(VLOOKUP($A221,'The List'!$B1:$AH671,17,FALSE)-AVERAGE('The List'!R2:R671))/STDEV('The List'!R2:R671)</f>
        <v>-0.37101553847624086</v>
      </c>
      <c r="F221" s="55" cm="1">
        <f t="array" ref="F221">(VLOOKUP($A221,'The List'!$B1:$AH671,18,FALSE)-AVERAGE('The List'!S2:S671))/STDEV('The List'!S2:S671)</f>
        <v>0.30404485074347776</v>
      </c>
      <c r="G221" s="55" cm="1">
        <f t="array" ref="G221">(VLOOKUP($A221,'The List'!$B1:$AH671,19,FALSE)-AVERAGE('The List'!T2:T671))/STDEV('The List'!T2:T671)</f>
        <v>-3.1978373139754775E-2</v>
      </c>
      <c r="H221" s="55" cm="1">
        <f t="array" ref="H221">(VLOOKUP($A221,'The List'!$B1:$AH671,20,FALSE)-AVERAGE('The List'!U2:U671))/STDEV('The List'!U2:U671)</f>
        <v>0.11457053789511612</v>
      </c>
      <c r="I221" s="55" cm="1">
        <f t="array" ref="I221">(VLOOKUP($A221,'The List'!$B1:$AH671,21,FALSE)-AVERAGE('The List'!V2:V671))/STDEV('The List'!V2:V671)</f>
        <v>0.71847399223133779</v>
      </c>
      <c r="J221" s="55" cm="1">
        <f t="array" ref="J221">(VLOOKUP($A221,'The List'!$B1:$AH671,22,FALSE)-AVERAGE('The List'!W2:W671))/STDEV('The List'!W2:W671)</f>
        <v>0.14529095727235389</v>
      </c>
      <c r="K221" s="55" cm="1">
        <f t="array" ref="K221">(VLOOKUP($A221,'The List'!$B1:$AH671,23,FALSE)-AVERAGE('The List'!X2:X671))/STDEV('The List'!X2:X671)</f>
        <v>0.24358114627285604</v>
      </c>
      <c r="L221" s="55" cm="1">
        <f t="array" ref="L221">(VLOOKUP($A221,'The List'!$B1:$AH671,24,FALSE)-AVERAGE('The List'!Y2:Y671))/STDEV('The List'!Y2:Y671)</f>
        <v>-0.47546929358800777</v>
      </c>
      <c r="M221" s="55" cm="1">
        <f t="array" ref="M221">(VLOOKUP($A221,'The List'!$B1:$AH671,25,FALSE)-AVERAGE('The List'!Z2:Z671))/STDEV('The List'!Z2:Z671)</f>
        <v>-0.64388478613809508</v>
      </c>
      <c r="N221" s="55" cm="1">
        <f t="array" ref="N221">(VLOOKUP($A221,'The List'!$B1:$AH671,26,FALSE)-AVERAGE('The List'!AA2:AA671))/STDEV('The List'!AA2:AA671)</f>
        <v>-1.1530150750815396</v>
      </c>
      <c r="O221" s="55" cm="1">
        <f t="array" ref="O221">(VLOOKUP($A221,'The List'!$B1:$AH671,27,FALSE)-AVERAGE('The List'!AB2:AB671))/STDEV('The List'!AB2:AB671)</f>
        <v>-4.6897811078896755E-2</v>
      </c>
      <c r="P221" s="55" cm="1">
        <f t="array" ref="P221">(VLOOKUP($A221,'The List'!$B1:$AH671,28,FALSE)-AVERAGE('The List'!AC2:AC671))/STDEV('The List'!AC2:AC671)</f>
        <v>-1.1467091372710811</v>
      </c>
      <c r="Q221" s="55" cm="1">
        <f t="array" ref="Q221">(VLOOKUP($A221,'The List'!$B1:$AH671,29,FALSE)-AVERAGE('The List'!AD2:AD671))/STDEV('The List'!AD2:AD671)</f>
        <v>-0.18683364140703965</v>
      </c>
      <c r="R221" s="55" cm="1">
        <f t="array" ref="R221">(VLOOKUP($A221,'The List'!$B1:$AH671,30,FALSE)-AVERAGE('The List'!AE2:AE671))/STDEV('The List'!AE2:AE671)</f>
        <v>0.15262022386097629</v>
      </c>
      <c r="S221" s="55" cm="1">
        <f t="array" ref="S221">(VLOOKUP($A221,'The List'!$B1:$AH671,31,FALSE)-AVERAGE('The List'!AF2:AF671))/STDEV('The List'!AF2:AF671)</f>
        <v>-0.53043345309959034</v>
      </c>
      <c r="T221" s="55" cm="1">
        <f t="array" ref="T221">(VLOOKUP($A221,'The List'!$B1:$AH671,32,FALSE)-AVERAGE('The List'!AG2:AG671))/STDEV('The List'!AG2:AG671)</f>
        <v>-0.48353475252817613</v>
      </c>
      <c r="U221" s="55" cm="1">
        <f t="array" ref="U221">(VLOOKUP($A221,'The List'!$B1:$AH671,33,FALSE)-AVERAGE('The List'!AH2:AH671))/STDEV('The List'!AH2:AH671)</f>
        <v>0.12471406930801376</v>
      </c>
      <c r="V221" s="55"/>
      <c r="W221" s="57"/>
      <c r="X221" s="55"/>
      <c r="Y221" s="55"/>
      <c r="Z221" s="55"/>
      <c r="AA221" s="55"/>
      <c r="AB221" s="55"/>
      <c r="AC221" s="55"/>
      <c r="AD221" s="55"/>
      <c r="AE221" s="55"/>
    </row>
    <row r="222" spans="1:31" ht="21.25" customHeight="1" x14ac:dyDescent="0.15">
      <c r="A222" s="10" t="s">
        <v>253</v>
      </c>
      <c r="B222" s="18" t="str" cm="1">
        <f t="array" ref="B222">VLOOKUP(A222,'Player Data'!A1:B673,2,FALSE)</f>
        <v>CGY</v>
      </c>
      <c r="C222" s="52" cm="1">
        <f t="array" ref="C222">((E222)*Settings!$C$12)+(F222*Settings!$C$2)+(G222*Settings!$C$3)+(H222*Settings!$C$4)+(I222*Settings!$C$5)+(K222*Settings!$C$9)+(N222*Settings!$C$6)+(J222*Settings!$C$8)+(O222*Settings!$C$7)+(P222*Settings!$C$14)+(Q222*Settings!$C$15)+(R222*Settings!$C$16)+(S222*Settings!$C$17)+(T222*Settings!$C$18)+(U222*Settings!$C$19)+(L222*Settings!$C$10)+(Settings!$C$11*M222)</f>
        <v>-2.9482075529377969</v>
      </c>
      <c r="D222" s="57" cm="1">
        <f t="array" ref="D222">IF(Settings!$E$12="YES",VLOOKUP(A222,'Player Data'!A1:E673,5,FALSE),82)</f>
        <v>72</v>
      </c>
      <c r="E222" s="55" cm="1">
        <f t="array" ref="E222">(VLOOKUP($A222,'The List'!$B1:$AH671,17,FALSE)-AVERAGE('The List'!R2:R671))/STDEV('The List'!R2:R671)</f>
        <v>1.7800174959376507</v>
      </c>
      <c r="F222" s="55" cm="1">
        <f t="array" ref="F222">(VLOOKUP($A222,'The List'!$B1:$AH671,18,FALSE)-AVERAGE('The List'!S2:S671))/STDEV('The List'!S2:S671)</f>
        <v>-0.24083000703198529</v>
      </c>
      <c r="G222" s="55" cm="1">
        <f t="array" ref="G222">(VLOOKUP($A222,'The List'!$B1:$AH671,19,FALSE)-AVERAGE('The List'!T2:T671))/STDEV('The List'!T2:T671)</f>
        <v>0.14398640429029078</v>
      </c>
      <c r="H222" s="55" cm="1">
        <f t="array" ref="H222">(VLOOKUP($A222,'The List'!$B1:$AH671,20,FALSE)-AVERAGE('The List'!U2:U671))/STDEV('The List'!U2:U671)</f>
        <v>-1.6105978216815073E-2</v>
      </c>
      <c r="I222" s="55" cm="1">
        <f t="array" ref="I222">(VLOOKUP($A222,'The List'!$B1:$AH671,21,FALSE)-AVERAGE('The List'!V2:V671))/STDEV('The List'!V2:V671)</f>
        <v>0.18750930818430744</v>
      </c>
      <c r="J222" s="55" cm="1">
        <f t="array" ref="J222">(VLOOKUP($A222,'The List'!$B1:$AH671,22,FALSE)-AVERAGE('The List'!W2:W671))/STDEV('The List'!W2:W671)</f>
        <v>-0.32092938942551813</v>
      </c>
      <c r="K222" s="55" cm="1">
        <f t="array" ref="K222">(VLOOKUP($A222,'The List'!$B1:$AH671,23,FALSE)-AVERAGE('The List'!X2:X671))/STDEV('The List'!X2:X671)</f>
        <v>0.11012555503078368</v>
      </c>
      <c r="L222" s="55" cm="1">
        <f t="array" ref="L222">(VLOOKUP($A222,'The List'!$B1:$AH671,24,FALSE)-AVERAGE('The List'!Y2:Y671))/STDEV('The List'!Y2:Y671)</f>
        <v>-0.47546929358800777</v>
      </c>
      <c r="M222" s="55" cm="1">
        <f t="array" ref="M222">(VLOOKUP($A222,'The List'!$B1:$AH671,25,FALSE)-AVERAGE('The List'!Z2:Z671))/STDEV('The List'!Z2:Z671)</f>
        <v>-0.64388478613809508</v>
      </c>
      <c r="N222" s="55" cm="1">
        <f t="array" ref="N222">(VLOOKUP($A222,'The List'!$B1:$AH671,26,FALSE)-AVERAGE('The List'!AA2:AA671))/STDEV('The List'!AA2:AA671)</f>
        <v>1.4112974111794852</v>
      </c>
      <c r="O222" s="55" cm="1">
        <f t="array" ref="O222">(VLOOKUP($A222,'The List'!$B1:$AH671,27,FALSE)-AVERAGE('The List'!AB2:AB671))/STDEV('The List'!AB2:AB671)</f>
        <v>-1.0751148054116171</v>
      </c>
      <c r="P222" s="55" cm="1">
        <f t="array" ref="P222">(VLOOKUP($A222,'The List'!$B1:$AH671,28,FALSE)-AVERAGE('The List'!AC2:AC671))/STDEV('The List'!AC2:AC671)</f>
        <v>-2.0738840079995762</v>
      </c>
      <c r="Q222" s="55" cm="1">
        <f t="array" ref="Q222">(VLOOKUP($A222,'The List'!$B1:$AH671,29,FALSE)-AVERAGE('The List'!AD2:AD671))/STDEV('The List'!AD2:AD671)</f>
        <v>0.60520707964371134</v>
      </c>
      <c r="R222" s="55" cm="1">
        <f t="array" ref="R222">(VLOOKUP($A222,'The List'!$B1:$AH671,30,FALSE)-AVERAGE('The List'!AE2:AE671))/STDEV('The List'!AE2:AE671)</f>
        <v>-0.40131319845141955</v>
      </c>
      <c r="S222" s="55" cm="1">
        <f t="array" ref="S222">(VLOOKUP($A222,'The List'!$B1:$AH671,31,FALSE)-AVERAGE('The List'!AF2:AF671))/STDEV('The List'!AF2:AF671)</f>
        <v>-0.59581850454342256</v>
      </c>
      <c r="T222" s="55" cm="1">
        <f t="array" ref="T222">(VLOOKUP($A222,'The List'!$B1:$AH671,32,FALSE)-AVERAGE('The List'!AG2:AG671))/STDEV('The List'!AG2:AG671)</f>
        <v>-0.64684275008198677</v>
      </c>
      <c r="U222" s="55" cm="1">
        <f t="array" ref="U222">(VLOOKUP($A222,'The List'!$B1:$AH671,33,FALSE)-AVERAGE('The List'!AH2:AH671))/STDEV('The List'!AH2:AH671)</f>
        <v>-1.2552626683789523</v>
      </c>
      <c r="V222" s="55"/>
      <c r="W222" s="57"/>
      <c r="X222" s="57"/>
      <c r="Y222" s="57"/>
      <c r="Z222" s="57"/>
      <c r="AA222" s="57"/>
      <c r="AB222" s="57"/>
      <c r="AC222" s="60"/>
      <c r="AD222" s="61"/>
      <c r="AE222" s="55"/>
    </row>
    <row r="223" spans="1:31" ht="21.25" customHeight="1" x14ac:dyDescent="0.15">
      <c r="A223" s="10" t="s">
        <v>589</v>
      </c>
      <c r="B223" s="18" t="str" cm="1">
        <f t="array" ref="B223">VLOOKUP(A223,'Player Data'!A1:B673,2,FALSE)</f>
        <v>NYI</v>
      </c>
      <c r="C223" s="52" cm="1">
        <f t="array" ref="C223">((E223)*Settings!$C$12)+(F223*Settings!$C$2)+(G223*Settings!$C$3)+(H223*Settings!$C$4)+(I223*Settings!$C$5)+(K223*Settings!$C$9)+(N223*Settings!$C$6)+(J223*Settings!$C$8)+(O223*Settings!$C$7)+(P223*Settings!$C$14)+(Q223*Settings!$C$15)+(R223*Settings!$C$16)+(S223*Settings!$C$17)+(T223*Settings!$C$18)+(U223*Settings!$C$19)+(L223*Settings!$C$10)+(Settings!$C$11*M223)</f>
        <v>-2.3126938165404245</v>
      </c>
      <c r="D223" s="57" cm="1">
        <f t="array" ref="D223">IF(Settings!$E$12="YES",VLOOKUP(A223,'Player Data'!A1:E673,5,FALSE),82)</f>
        <v>78</v>
      </c>
      <c r="E223" s="55" cm="1">
        <f t="array" ref="E223">(VLOOKUP($A223,'The List'!$B1:$AH671,17,FALSE)-AVERAGE('The List'!R2:R671))/STDEV('The List'!R2:R671)</f>
        <v>-0.65956875040981156</v>
      </c>
      <c r="F223" s="55" cm="1">
        <f t="array" ref="F223">(VLOOKUP($A223,'The List'!$B1:$AH671,18,FALSE)-AVERAGE('The List'!S2:S671))/STDEV('The List'!S2:S671)</f>
        <v>2.8613603955880942E-2</v>
      </c>
      <c r="G223" s="55" cm="1">
        <f t="array" ref="G223">(VLOOKUP($A223,'The List'!$B1:$AH671,19,FALSE)-AVERAGE('The List'!T2:T671))/STDEV('The List'!T2:T671)</f>
        <v>3.6889630806509047E-2</v>
      </c>
      <c r="H223" s="55" cm="1">
        <f t="array" ref="H223">(VLOOKUP($A223,'The List'!$B1:$AH671,20,FALSE)-AVERAGE('The List'!U2:U671))/STDEV('The List'!U2:U671)</f>
        <v>3.588170207670021E-2</v>
      </c>
      <c r="I223" s="55" cm="1">
        <f t="array" ref="I223">(VLOOKUP($A223,'The List'!$B1:$AH671,21,FALSE)-AVERAGE('The List'!V2:V671))/STDEV('The List'!V2:V671)</f>
        <v>-0.32438128334717192</v>
      </c>
      <c r="J223" s="55" cm="1">
        <f t="array" ref="J223">(VLOOKUP($A223,'The List'!$B1:$AH671,22,FALSE)-AVERAGE('The List'!W2:W671))/STDEV('The List'!W2:W671)</f>
        <v>-0.30767193880851701</v>
      </c>
      <c r="K223" s="55" cm="1">
        <f t="array" ref="K223">(VLOOKUP($A223,'The List'!$B1:$AH671,23,FALSE)-AVERAGE('The List'!X2:X671))/STDEV('The List'!X2:X671)</f>
        <v>-0.17447251303965999</v>
      </c>
      <c r="L223" s="55" cm="1">
        <f t="array" ref="L223">(VLOOKUP($A223,'The List'!$B1:$AH671,24,FALSE)-AVERAGE('The List'!Y2:Y671))/STDEV('The List'!Y2:Y671)</f>
        <v>-0.47546929358800777</v>
      </c>
      <c r="M223" s="55" cm="1">
        <f t="array" ref="M223">(VLOOKUP($A223,'The List'!$B1:$AH671,25,FALSE)-AVERAGE('The List'!Z2:Z671))/STDEV('The List'!Z2:Z671)</f>
        <v>-0.64388478613809508</v>
      </c>
      <c r="N223" s="55" cm="1">
        <f t="array" ref="N223">(VLOOKUP($A223,'The List'!$B1:$AH671,26,FALSE)-AVERAGE('The List'!AA2:AA671))/STDEV('The List'!AA2:AA671)</f>
        <v>-1.1049980683666918</v>
      </c>
      <c r="O223" s="55" cm="1">
        <f t="array" ref="O223">(VLOOKUP($A223,'The List'!$B1:$AH671,27,FALSE)-AVERAGE('The List'!AB2:AB671))/STDEV('The List'!AB2:AB671)</f>
        <v>-1.0972534488302643</v>
      </c>
      <c r="P223" s="55" cm="1">
        <f t="array" ref="P223">(VLOOKUP($A223,'The List'!$B1:$AH671,28,FALSE)-AVERAGE('The List'!AC2:AC671))/STDEV('The List'!AC2:AC671)</f>
        <v>-0.7820898060857181</v>
      </c>
      <c r="Q223" s="55" cm="1">
        <f t="array" ref="Q223">(VLOOKUP($A223,'The List'!$B1:$AH671,29,FALSE)-AVERAGE('The List'!AD2:AD671))/STDEV('The List'!AD2:AD671)</f>
        <v>-1.2212151800927213</v>
      </c>
      <c r="R223" s="55" cm="1">
        <f t="array" ref="R223">(VLOOKUP($A223,'The List'!$B1:$AH671,30,FALSE)-AVERAGE('The List'!AE2:AE671))/STDEV('The List'!AE2:AE671)</f>
        <v>0.1151922899209495</v>
      </c>
      <c r="S223" s="55" cm="1">
        <f t="array" ref="S223">(VLOOKUP($A223,'The List'!$B1:$AH671,31,FALSE)-AVERAGE('The List'!AF2:AF671))/STDEV('The List'!AF2:AF671)</f>
        <v>-0.57706837949702949</v>
      </c>
      <c r="T223" s="55" cm="1">
        <f t="array" ref="T223">(VLOOKUP($A223,'The List'!$B1:$AH671,32,FALSE)-AVERAGE('The List'!AG2:AG671))/STDEV('The List'!AG2:AG671)</f>
        <v>-0.61897832299936784</v>
      </c>
      <c r="U223" s="55" cm="1">
        <f t="array" ref="U223">(VLOOKUP($A223,'The List'!$B1:$AH671,33,FALSE)-AVERAGE('The List'!AH2:AH671))/STDEV('The List'!AH2:AH671)</f>
        <v>0.72270398897236576</v>
      </c>
      <c r="V223" s="55"/>
      <c r="W223" s="77"/>
      <c r="X223" s="57"/>
      <c r="Y223" s="57"/>
      <c r="Z223" s="57"/>
      <c r="AA223" s="57"/>
      <c r="AB223" s="57"/>
      <c r="AC223" s="60"/>
      <c r="AD223" s="61"/>
      <c r="AE223" s="55"/>
    </row>
    <row r="224" spans="1:31" ht="21.25" customHeight="1" x14ac:dyDescent="0.15">
      <c r="A224" s="10" t="s">
        <v>229</v>
      </c>
      <c r="B224" s="18" t="str" cm="1">
        <f t="array" ref="B224">VLOOKUP(A224,'Player Data'!A1:B673,2,FALSE)</f>
        <v>BUF</v>
      </c>
      <c r="C224" s="52" cm="1">
        <f t="array" ref="C224">((E224)*Settings!$C$12)+(F224*Settings!$C$2)+(G224*Settings!$C$3)+(H224*Settings!$C$4)+(I224*Settings!$C$5)+(K224*Settings!$C$9)+(N224*Settings!$C$6)+(J224*Settings!$C$8)+(O224*Settings!$C$7)+(P224*Settings!$C$14)+(Q224*Settings!$C$15)+(R224*Settings!$C$16)+(S224*Settings!$C$17)+(T224*Settings!$C$18)+(U224*Settings!$C$19)+(L224*Settings!$C$10)+(Settings!$C$11*M224)</f>
        <v>-0.47501528981463437</v>
      </c>
      <c r="D224" s="57" cm="1">
        <f t="array" ref="D224">IF(Settings!$E$12="YES",VLOOKUP(A224,'Player Data'!A1:E673,5,FALSE),82)</f>
        <v>83</v>
      </c>
      <c r="E224" s="55" cm="1">
        <f t="array" ref="E224">(VLOOKUP($A224,'The List'!$B1:$AH671,17,FALSE)-AVERAGE('The List'!R2:R671))/STDEV('The List'!R2:R671)</f>
        <v>1.8587138264649874</v>
      </c>
      <c r="F224" s="55" cm="1">
        <f t="array" ref="F224">(VLOOKUP($A224,'The List'!$B1:$AH671,18,FALSE)-AVERAGE('The List'!S2:S671))/STDEV('The List'!S2:S671)</f>
        <v>-0.41581866327910505</v>
      </c>
      <c r="G224" s="55" cm="1">
        <f t="array" ref="G224">(VLOOKUP($A224,'The List'!$B1:$AH671,19,FALSE)-AVERAGE('The List'!T2:T671))/STDEV('The List'!T2:T671)</f>
        <v>0.6649236627123859</v>
      </c>
      <c r="H224" s="55" cm="1">
        <f t="array" ref="H224">(VLOOKUP($A224,'The List'!$B1:$AH671,20,FALSE)-AVERAGE('The List'!U2:U671))/STDEV('The List'!U2:U671)</f>
        <v>0.23408473319572687</v>
      </c>
      <c r="I224" s="55" cm="1">
        <f t="array" ref="I224">(VLOOKUP($A224,'The List'!$B1:$AH671,21,FALSE)-AVERAGE('The List'!V2:V671))/STDEV('The List'!V2:V671)</f>
        <v>0.40285304832364704</v>
      </c>
      <c r="J224" s="55" cm="1">
        <f t="array" ref="J224">(VLOOKUP($A224,'The List'!$B1:$AH671,22,FALSE)-AVERAGE('The List'!W2:W671))/STDEV('The List'!W2:W671)</f>
        <v>-0.49783349609612648</v>
      </c>
      <c r="K224" s="55" cm="1">
        <f t="array" ref="K224">(VLOOKUP($A224,'The List'!$B1:$AH671,23,FALSE)-AVERAGE('The List'!X2:X671))/STDEV('The List'!X2:X671)</f>
        <v>-0.27607161149277387</v>
      </c>
      <c r="L224" s="55" cm="1">
        <f t="array" ref="L224">(VLOOKUP($A224,'The List'!$B1:$AH671,24,FALSE)-AVERAGE('The List'!Y2:Y671))/STDEV('The List'!Y2:Y671)</f>
        <v>-0.47546929358800777</v>
      </c>
      <c r="M224" s="55" cm="1">
        <f t="array" ref="M224">(VLOOKUP($A224,'The List'!$B1:$AH671,25,FALSE)-AVERAGE('The List'!Z2:Z671))/STDEV('The List'!Z2:Z671)</f>
        <v>1.1599035105660132</v>
      </c>
      <c r="N224" s="55" cm="1">
        <f t="array" ref="N224">(VLOOKUP($A224,'The List'!$B1:$AH671,26,FALSE)-AVERAGE('The List'!AA2:AA671))/STDEV('The List'!AA2:AA671)</f>
        <v>1.3872889078220614</v>
      </c>
      <c r="O224" s="55" cm="1">
        <f t="array" ref="O224">(VLOOKUP($A224,'The List'!$B1:$AH671,27,FALSE)-AVERAGE('The List'!AB2:AB671))/STDEV('The List'!AB2:AB671)</f>
        <v>-0.93510838453258038</v>
      </c>
      <c r="P224" s="55" cm="1">
        <f t="array" ref="P224">(VLOOKUP($A224,'The List'!$B1:$AH671,28,FALSE)-AVERAGE('The List'!AC2:AC671))/STDEV('The List'!AC2:AC671)</f>
        <v>8.4206658453792049E-2</v>
      </c>
      <c r="Q224" s="55" cm="1">
        <f t="array" ref="Q224">(VLOOKUP($A224,'The List'!$B1:$AH671,29,FALSE)-AVERAGE('The List'!AD2:AD671))/STDEV('The List'!AD2:AD671)</f>
        <v>-0.59541434918788427</v>
      </c>
      <c r="R224" s="55" cm="1">
        <f t="array" ref="R224">(VLOOKUP($A224,'The List'!$B1:$AH671,30,FALSE)-AVERAGE('The List'!AE2:AE671))/STDEV('The List'!AE2:AE671)</f>
        <v>-0.2572156527823164</v>
      </c>
      <c r="S224" s="55" cm="1">
        <f t="array" ref="S224">(VLOOKUP($A224,'The List'!$B1:$AH671,31,FALSE)-AVERAGE('The List'!AF2:AF671))/STDEV('The List'!AF2:AF671)</f>
        <v>-0.59581850454342256</v>
      </c>
      <c r="T224" s="55" cm="1">
        <f t="array" ref="T224">(VLOOKUP($A224,'The List'!$B1:$AH671,32,FALSE)-AVERAGE('The List'!AG2:AG671))/STDEV('The List'!AG2:AG671)</f>
        <v>-0.64684275008198677</v>
      </c>
      <c r="U224" s="55" cm="1">
        <f t="array" ref="U224">(VLOOKUP($A224,'The List'!$B1:$AH671,33,FALSE)-AVERAGE('The List'!AH2:AH671))/STDEV('The List'!AH2:AH671)</f>
        <v>-1.2552626683789523</v>
      </c>
      <c r="V224" s="55"/>
      <c r="W224" s="77"/>
      <c r="X224" s="57"/>
      <c r="Y224" s="57"/>
      <c r="Z224" s="57"/>
      <c r="AA224" s="57"/>
      <c r="AB224" s="57"/>
      <c r="AC224" s="60"/>
      <c r="AD224" s="61"/>
      <c r="AE224" s="55"/>
    </row>
    <row r="225" spans="1:31" ht="21.25" customHeight="1" x14ac:dyDescent="0.15">
      <c r="A225" s="10" t="s">
        <v>496</v>
      </c>
      <c r="B225" s="18" t="str" cm="1">
        <f t="array" ref="B225">VLOOKUP(A225,'Player Data'!A1:B673,2,FALSE)</f>
        <v>S.J</v>
      </c>
      <c r="C225" s="52" cm="1">
        <f t="array" ref="C225">((E225)*Settings!$C$12)+(F225*Settings!$C$2)+(G225*Settings!$C$3)+(H225*Settings!$C$4)+(I225*Settings!$C$5)+(K225*Settings!$C$9)+(N225*Settings!$C$6)+(J225*Settings!$C$8)+(O225*Settings!$C$7)+(P225*Settings!$C$14)+(Q225*Settings!$C$15)+(R225*Settings!$C$16)+(S225*Settings!$C$17)+(T225*Settings!$C$18)+(U225*Settings!$C$19)+(L225*Settings!$C$10)+(Settings!$C$11*M225)</f>
        <v>0.71954987042451113</v>
      </c>
      <c r="D225" s="57" cm="1">
        <f t="array" ref="D225">IF(Settings!$E$12="YES",VLOOKUP(A225,'Player Data'!A1:E673,5,FALSE),82)</f>
        <v>83</v>
      </c>
      <c r="E225" s="55" cm="1">
        <f t="array" ref="E225">(VLOOKUP($A225,'The List'!$B1:$AH671,17,FALSE)-AVERAGE('The List'!R2:R671))/STDEV('The List'!R2:R671)</f>
        <v>-0.86942563181604504</v>
      </c>
      <c r="F225" s="55" cm="1">
        <f t="array" ref="F225">(VLOOKUP($A225,'The List'!$B1:$AH671,18,FALSE)-AVERAGE('The List'!S2:S671))/STDEV('The List'!S2:S671)</f>
        <v>0.7810598361219967</v>
      </c>
      <c r="G225" s="55" cm="1">
        <f t="array" ref="G225">(VLOOKUP($A225,'The List'!$B1:$AH671,19,FALSE)-AVERAGE('The List'!T2:T671))/STDEV('The List'!T2:T671)</f>
        <v>-2.9167434203172388E-2</v>
      </c>
      <c r="H225" s="55" cm="1">
        <f t="array" ref="H225">(VLOOKUP($A225,'The List'!$B1:$AH671,20,FALSE)-AVERAGE('The List'!U2:U671))/STDEV('The List'!U2:U671)</f>
        <v>0.32764929556071443</v>
      </c>
      <c r="I225" s="55" cm="1">
        <f t="array" ref="I225">(VLOOKUP($A225,'The List'!$B1:$AH671,21,FALSE)-AVERAGE('The List'!V2:V671))/STDEV('The List'!V2:V671)</f>
        <v>0.8416608397276063</v>
      </c>
      <c r="J225" s="55" cm="1">
        <f t="array" ref="J225">(VLOOKUP($A225,'The List'!$B1:$AH671,22,FALSE)-AVERAGE('The List'!W2:W671))/STDEV('The List'!W2:W671)</f>
        <v>0.63692141765281118</v>
      </c>
      <c r="K225" s="55" cm="1">
        <f t="array" ref="K225">(VLOOKUP($A225,'The List'!$B1:$AH671,23,FALSE)-AVERAGE('The List'!X2:X671))/STDEV('The List'!X2:X671)</f>
        <v>0.36618342135969972</v>
      </c>
      <c r="L225" s="55" cm="1">
        <f t="array" ref="L225">(VLOOKUP($A225,'The List'!$B1:$AH671,24,FALSE)-AVERAGE('The List'!Y2:Y671))/STDEV('The List'!Y2:Y671)</f>
        <v>-0.47546929358800777</v>
      </c>
      <c r="M225" s="55" cm="1">
        <f t="array" ref="M225">(VLOOKUP($A225,'The List'!$B1:$AH671,25,FALSE)-AVERAGE('The List'!Z2:Z671))/STDEV('The List'!Z2:Z671)</f>
        <v>-0.64388478613809508</v>
      </c>
      <c r="N225" s="55" cm="1">
        <f t="array" ref="N225">(VLOOKUP($A225,'The List'!$B1:$AH671,26,FALSE)-AVERAGE('The List'!AA2:AA671))/STDEV('The List'!AA2:AA671)</f>
        <v>-0.8386058449433601</v>
      </c>
      <c r="O225" s="55" cm="1">
        <f t="array" ref="O225">(VLOOKUP($A225,'The List'!$B1:$AH671,27,FALSE)-AVERAGE('The List'!AB2:AB671))/STDEV('The List'!AB2:AB671)</f>
        <v>-0.59482923569041224</v>
      </c>
      <c r="P225" s="55" cm="1">
        <f t="array" ref="P225">(VLOOKUP($A225,'The List'!$B1:$AH671,28,FALSE)-AVERAGE('The List'!AC2:AC671))/STDEV('The List'!AC2:AC671)</f>
        <v>-0.64535755689120688</v>
      </c>
      <c r="Q225" s="55" cm="1">
        <f t="array" ref="Q225">(VLOOKUP($A225,'The List'!$B1:$AH671,29,FALSE)-AVERAGE('The List'!AD2:AD671))/STDEV('The List'!AD2:AD671)</f>
        <v>-1.3313029295671261</v>
      </c>
      <c r="R225" s="55" cm="1">
        <f t="array" ref="R225">(VLOOKUP($A225,'The List'!$B1:$AH671,30,FALSE)-AVERAGE('The List'!AE2:AE671))/STDEV('The List'!AE2:AE671)</f>
        <v>0.72651521094138671</v>
      </c>
      <c r="S225" s="55" cm="1">
        <f t="array" ref="S225">(VLOOKUP($A225,'The List'!$B1:$AH671,31,FALSE)-AVERAGE('The List'!AF2:AF671))/STDEV('The List'!AF2:AF671)</f>
        <v>-0.54394315858173514</v>
      </c>
      <c r="T225" s="55" cm="1">
        <f t="array" ref="T225">(VLOOKUP($A225,'The List'!$B1:$AH671,32,FALSE)-AVERAGE('The List'!AG2:AG671))/STDEV('The List'!AG2:AG671)</f>
        <v>-0.5621267263509474</v>
      </c>
      <c r="U225" s="55" cm="1">
        <f t="array" ref="U225">(VLOOKUP($A225,'The List'!$B1:$AH671,33,FALSE)-AVERAGE('The List'!AH2:AH671))/STDEV('The List'!AH2:AH671)</f>
        <v>0.58470631520366922</v>
      </c>
      <c r="V225" s="55"/>
      <c r="W225" s="57"/>
      <c r="X225" s="55"/>
      <c r="Y225" s="55"/>
      <c r="Z225" s="55"/>
      <c r="AA225" s="55"/>
      <c r="AB225" s="55"/>
      <c r="AC225" s="55"/>
      <c r="AD225" s="55"/>
      <c r="AE225" s="55"/>
    </row>
    <row r="226" spans="1:31" ht="21.25" customHeight="1" x14ac:dyDescent="0.15">
      <c r="A226" s="10" t="s">
        <v>555</v>
      </c>
      <c r="B226" s="18" t="str" cm="1">
        <f t="array" ref="B226">VLOOKUP(A226,'Player Data'!A1:B673,2,FALSE)</f>
        <v>BUF</v>
      </c>
      <c r="C226" s="52" cm="1">
        <f t="array" ref="C226">((E226)*Settings!$C$12)+(F226*Settings!$C$2)+(G226*Settings!$C$3)+(H226*Settings!$C$4)+(I226*Settings!$C$5)+(K226*Settings!$C$9)+(N226*Settings!$C$6)+(J226*Settings!$C$8)+(O226*Settings!$C$7)+(P226*Settings!$C$14)+(Q226*Settings!$C$15)+(R226*Settings!$C$16)+(S226*Settings!$C$17)+(T226*Settings!$C$18)+(U226*Settings!$C$19)+(L226*Settings!$C$10)+(Settings!$C$11*M226)</f>
        <v>-1.2003558507675713</v>
      </c>
      <c r="D226" s="57" cm="1">
        <f t="array" ref="D226">IF(Settings!$E$12="YES",VLOOKUP(A226,'Player Data'!A1:E673,5,FALSE),82)</f>
        <v>75</v>
      </c>
      <c r="E226" s="55" cm="1">
        <f t="array" ref="E226">(VLOOKUP($A226,'The List'!$B1:$AH671,17,FALSE)-AVERAGE('The List'!R2:R671))/STDEV('The List'!R2:R671)</f>
        <v>-0.18739076724578643</v>
      </c>
      <c r="F226" s="55" cm="1">
        <f t="array" ref="F226">(VLOOKUP($A226,'The List'!$B1:$AH671,18,FALSE)-AVERAGE('The List'!S2:S671))/STDEV('The List'!S2:S671)</f>
        <v>0.19926122424819634</v>
      </c>
      <c r="G226" s="55" cm="1">
        <f t="array" ref="G226">(VLOOKUP($A226,'The List'!$B1:$AH671,19,FALSE)-AVERAGE('The List'!T2:T671))/STDEV('The List'!T2:T671)</f>
        <v>-8.1169804529943143E-2</v>
      </c>
      <c r="H226" s="55" cm="1">
        <f t="array" ref="H226">(VLOOKUP($A226,'The List'!$B1:$AH671,20,FALSE)-AVERAGE('The List'!U2:U671))/STDEV('The List'!U2:U671)</f>
        <v>3.72079184107185E-2</v>
      </c>
      <c r="I226" s="55" cm="1">
        <f t="array" ref="I226">(VLOOKUP($A226,'The List'!$B1:$AH671,21,FALSE)-AVERAGE('The List'!V2:V671))/STDEV('The List'!V2:V671)</f>
        <v>-0.51253061984568005</v>
      </c>
      <c r="J226" s="55" cm="1">
        <f t="array" ref="J226">(VLOOKUP($A226,'The List'!$B1:$AH671,22,FALSE)-AVERAGE('The List'!W2:W671))/STDEV('The List'!W2:W671)</f>
        <v>9.0051579701515935E-2</v>
      </c>
      <c r="K226" s="55" cm="1">
        <f t="array" ref="K226">(VLOOKUP($A226,'The List'!$B1:$AH671,23,FALSE)-AVERAGE('The List'!X2:X671))/STDEV('The List'!X2:X671)</f>
        <v>0.10289001092729773</v>
      </c>
      <c r="L226" s="55" cm="1">
        <f t="array" ref="L226">(VLOOKUP($A226,'The List'!$B1:$AH671,24,FALSE)-AVERAGE('The List'!Y2:Y671))/STDEV('The List'!Y2:Y671)</f>
        <v>0.89939260955329181</v>
      </c>
      <c r="M226" s="55" cm="1">
        <f t="array" ref="M226">(VLOOKUP($A226,'The List'!$B1:$AH671,25,FALSE)-AVERAGE('The List'!Z2:Z671))/STDEV('The List'!Z2:Z671)</f>
        <v>0.17107980574629103</v>
      </c>
      <c r="N226" s="55" cm="1">
        <f t="array" ref="N226">(VLOOKUP($A226,'The List'!$B1:$AH671,26,FALSE)-AVERAGE('The List'!AA2:AA671))/STDEV('The List'!AA2:AA671)</f>
        <v>-0.30122402511336072</v>
      </c>
      <c r="O226" s="55" cm="1">
        <f t="array" ref="O226">(VLOOKUP($A226,'The List'!$B1:$AH671,27,FALSE)-AVERAGE('The List'!AB2:AB671))/STDEV('The List'!AB2:AB671)</f>
        <v>-1.2921965033777956</v>
      </c>
      <c r="P226" s="55" cm="1">
        <f t="array" ref="P226">(VLOOKUP($A226,'The List'!$B1:$AH671,28,FALSE)-AVERAGE('The List'!AC2:AC671))/STDEV('The List'!AC2:AC671)</f>
        <v>0.38338984181035335</v>
      </c>
      <c r="Q226" s="55" cm="1">
        <f t="array" ref="Q226">(VLOOKUP($A226,'The List'!$B1:$AH671,29,FALSE)-AVERAGE('The List'!AD2:AD671))/STDEV('The List'!AD2:AD671)</f>
        <v>-0.54517296016600802</v>
      </c>
      <c r="R226" s="55" cm="1">
        <f t="array" ref="R226">(VLOOKUP($A226,'The List'!$B1:$AH671,30,FALSE)-AVERAGE('The List'!AE2:AE671))/STDEV('The List'!AE2:AE671)</f>
        <v>5.9050389010909463E-2</v>
      </c>
      <c r="S226" s="55" cm="1">
        <f t="array" ref="S226">(VLOOKUP($A226,'The List'!$B1:$AH671,31,FALSE)-AVERAGE('The List'!AF2:AF671))/STDEV('The List'!AF2:AF671)</f>
        <v>2.74317962989397E-3</v>
      </c>
      <c r="T226" s="55" cm="1">
        <f t="array" ref="T226">(VLOOKUP($A226,'The List'!$B1:$AH671,32,FALSE)-AVERAGE('The List'!AG2:AG671))/STDEV('The List'!AG2:AG671)</f>
        <v>0.71575835450762038</v>
      </c>
      <c r="U226" s="55" cm="1">
        <f t="array" ref="U226">(VLOOKUP($A226,'The List'!$B1:$AH671,33,FALSE)-AVERAGE('The List'!AH2:AH671))/STDEV('The List'!AH2:AH671)</f>
        <v>0.21671251848714493</v>
      </c>
      <c r="V226" s="55"/>
      <c r="W226" s="57"/>
      <c r="X226" s="55"/>
      <c r="Y226" s="55"/>
      <c r="Z226" s="55"/>
      <c r="AA226" s="55"/>
      <c r="AB226" s="55"/>
      <c r="AC226" s="55"/>
      <c r="AD226" s="55"/>
      <c r="AE226" s="55"/>
    </row>
    <row r="227" spans="1:31" ht="21.25" customHeight="1" x14ac:dyDescent="0.15">
      <c r="A227" s="10" t="s">
        <v>469</v>
      </c>
      <c r="B227" s="18" t="str" cm="1">
        <f t="array" ref="B227">VLOOKUP(A227,'Player Data'!A1:B673,2,FALSE)</f>
        <v>N.J</v>
      </c>
      <c r="C227" s="52" cm="1">
        <f t="array" ref="C227">((E227)*Settings!$C$12)+(F227*Settings!$C$2)+(G227*Settings!$C$3)+(H227*Settings!$C$4)+(I227*Settings!$C$5)+(K227*Settings!$C$9)+(N227*Settings!$C$6)+(J227*Settings!$C$8)+(O227*Settings!$C$7)+(P227*Settings!$C$14)+(Q227*Settings!$C$15)+(R227*Settings!$C$16)+(S227*Settings!$C$17)+(T227*Settings!$C$18)+(U227*Settings!$C$19)+(L227*Settings!$C$10)+(Settings!$C$11*M227)</f>
        <v>-1.7040895708625621</v>
      </c>
      <c r="D227" s="57" cm="1">
        <f t="array" ref="D227">IF(Settings!$E$12="YES",VLOOKUP(A227,'Player Data'!A1:E673,5,FALSE),82)</f>
        <v>84</v>
      </c>
      <c r="E227" s="55" cm="1">
        <f t="array" ref="E227">(VLOOKUP($A227,'The List'!$B1:$AH671,17,FALSE)-AVERAGE('The List'!R2:R671))/STDEV('The List'!R2:R671)</f>
        <v>0.25855510574245916</v>
      </c>
      <c r="F227" s="55" cm="1">
        <f t="array" ref="F227">(VLOOKUP($A227,'The List'!$B1:$AH671,18,FALSE)-AVERAGE('The List'!S2:S671))/STDEV('The List'!S2:S671)</f>
        <v>0.30404485074347776</v>
      </c>
      <c r="G227" s="55" cm="1">
        <f t="array" ref="G227">(VLOOKUP($A227,'The List'!$B1:$AH671,19,FALSE)-AVERAGE('The List'!T2:T671))/STDEV('The List'!T2:T671)</f>
        <v>-0.48172860299290599</v>
      </c>
      <c r="H227" s="55" cm="1">
        <f t="array" ref="H227">(VLOOKUP($A227,'The List'!$B1:$AH671,20,FALSE)-AVERAGE('The List'!U2:U671))/STDEV('The List'!U2:U671)</f>
        <v>-0.16835561336210939</v>
      </c>
      <c r="I227" s="55" cm="1">
        <f t="array" ref="I227">(VLOOKUP($A227,'The List'!$B1:$AH671,21,FALSE)-AVERAGE('The List'!V2:V671))/STDEV('The List'!V2:V671)</f>
        <v>3.6367857707819848E-2</v>
      </c>
      <c r="J227" s="55" cm="1">
        <f t="array" ref="J227">(VLOOKUP($A227,'The List'!$B1:$AH671,22,FALSE)-AVERAGE('The List'!W2:W671))/STDEV('The List'!W2:W671)</f>
        <v>-0.27452831226601432</v>
      </c>
      <c r="K227" s="55" cm="1">
        <f t="array" ref="K227">(VLOOKUP($A227,'The List'!$B1:$AH671,23,FALSE)-AVERAGE('The List'!X2:X671))/STDEV('The List'!X2:X671)</f>
        <v>-0.46389427717909426</v>
      </c>
      <c r="L227" s="55" cm="1">
        <f t="array" ref="L227">(VLOOKUP($A227,'The List'!$B1:$AH671,24,FALSE)-AVERAGE('The List'!Y2:Y671))/STDEV('The List'!Y2:Y671)</f>
        <v>2.6042213694485032</v>
      </c>
      <c r="M227" s="55" cm="1">
        <f t="array" ref="M227">(VLOOKUP($A227,'The List'!$B1:$AH671,25,FALSE)-AVERAGE('The List'!Z2:Z671))/STDEV('The List'!Z2:Z671)</f>
        <v>1.1816358996829295</v>
      </c>
      <c r="N227" s="55" cm="1">
        <f t="array" ref="N227">(VLOOKUP($A227,'The List'!$B1:$AH671,26,FALSE)-AVERAGE('The List'!AA2:AA671))/STDEV('The List'!AA2:AA671)</f>
        <v>-0.44297635876623581</v>
      </c>
      <c r="O227" s="55" cm="1">
        <f t="array" ref="O227">(VLOOKUP($A227,'The List'!$B1:$AH671,27,FALSE)-AVERAGE('The List'!AB2:AB671))/STDEV('The List'!AB2:AB671)</f>
        <v>-0.99393977954324442</v>
      </c>
      <c r="P227" s="55" cm="1">
        <f t="array" ref="P227">(VLOOKUP($A227,'The List'!$B1:$AH671,28,FALSE)-AVERAGE('The List'!AC2:AC671))/STDEV('The List'!AC2:AC671)</f>
        <v>-0.1049396195986151</v>
      </c>
      <c r="Q227" s="55" cm="1">
        <f t="array" ref="Q227">(VLOOKUP($A227,'The List'!$B1:$AH671,29,FALSE)-AVERAGE('The List'!AD2:AD671))/STDEV('The List'!AD2:AD671)</f>
        <v>-0.63605076677910699</v>
      </c>
      <c r="R227" s="55" cm="1">
        <f t="array" ref="R227">(VLOOKUP($A227,'The List'!$B1:$AH671,30,FALSE)-AVERAGE('The List'!AE2:AE671))/STDEV('The List'!AE2:AE671)</f>
        <v>0.22747609174102984</v>
      </c>
      <c r="S227" s="55" cm="1">
        <f t="array" ref="S227">(VLOOKUP($A227,'The List'!$B1:$AH671,31,FALSE)-AVERAGE('The List'!AF2:AF671))/STDEV('The List'!AF2:AF671)</f>
        <v>-3.8507095472170794E-2</v>
      </c>
      <c r="T227" s="55" cm="1">
        <f t="array" ref="T227">(VLOOKUP($A227,'The List'!$B1:$AH671,32,FALSE)-AVERAGE('The List'!AG2:AG671))/STDEV('The List'!AG2:AG671)</f>
        <v>0.21052423707551893</v>
      </c>
      <c r="U227" s="55" cm="1">
        <f t="array" ref="U227">(VLOOKUP($A227,'The List'!$B1:$AH671,33,FALSE)-AVERAGE('The List'!AH2:AH671))/STDEV('The List'!AH2:AH671)</f>
        <v>0.63070553979323463</v>
      </c>
      <c r="V227" s="55"/>
      <c r="W227" s="77"/>
      <c r="X227" s="57"/>
      <c r="Y227" s="57"/>
      <c r="Z227" s="57"/>
      <c r="AA227" s="57"/>
      <c r="AB227" s="57"/>
      <c r="AC227" s="60"/>
      <c r="AD227" s="61"/>
      <c r="AE227" s="55"/>
    </row>
    <row r="228" spans="1:31" ht="21.25" customHeight="1" x14ac:dyDescent="0.15">
      <c r="A228" s="10" t="s">
        <v>490</v>
      </c>
      <c r="B228" s="18" t="str" cm="1">
        <f t="array" ref="B228">VLOOKUP(A228,'Player Data'!A1:B673,2,FALSE)</f>
        <v>EDM</v>
      </c>
      <c r="C228" s="52" cm="1">
        <f t="array" ref="C228">((E228)*Settings!$C$12)+(F228*Settings!$C$2)+(G228*Settings!$C$3)+(H228*Settings!$C$4)+(I228*Settings!$C$5)+(K228*Settings!$C$9)+(N228*Settings!$C$6)+(J228*Settings!$C$8)+(O228*Settings!$C$7)+(P228*Settings!$C$14)+(Q228*Settings!$C$15)+(R228*Settings!$C$16)+(S228*Settings!$C$17)+(T228*Settings!$C$18)+(U228*Settings!$C$19)+(L228*Settings!$C$10)+(Settings!$C$11*M228)</f>
        <v>0.45346267784411021</v>
      </c>
      <c r="D228" s="57" cm="1">
        <f t="array" ref="D228">IF(Settings!$E$12="YES",VLOOKUP(A228,'Player Data'!A1:E673,5,FALSE),82)</f>
        <v>81</v>
      </c>
      <c r="E228" s="55" cm="1">
        <f t="array" ref="E228">(VLOOKUP($A228,'The List'!$B1:$AH671,17,FALSE)-AVERAGE('The List'!R2:R671))/STDEV('The List'!R2:R671)</f>
        <v>-0.26608709777312411</v>
      </c>
      <c r="F228" s="55" cm="1">
        <f t="array" ref="F228">(VLOOKUP($A228,'The List'!$B1:$AH671,18,FALSE)-AVERAGE('The List'!S2:S671))/STDEV('The List'!S2:S671)</f>
        <v>0.49475105096488992</v>
      </c>
      <c r="G228" s="55" cm="1">
        <f t="array" ref="G228">(VLOOKUP($A228,'The List'!$B1:$AH671,19,FALSE)-AVERAGE('The List'!T2:T671))/STDEV('The List'!T2:T671)</f>
        <v>-4.8598049602296717E-2</v>
      </c>
      <c r="H228" s="55" cm="1">
        <f t="array" ref="H228">(VLOOKUP($A228,'The List'!$B1:$AH671,20,FALSE)-AVERAGE('The List'!U2:U671))/STDEV('The List'!U2:U671)</f>
        <v>0.18859551293890153</v>
      </c>
      <c r="I228" s="55" cm="1">
        <f t="array" ref="I228">(VLOOKUP($A228,'The List'!$B1:$AH671,21,FALSE)-AVERAGE('The List'!V2:V671))/STDEV('The List'!V2:V671)</f>
        <v>0.4122389185764308</v>
      </c>
      <c r="J228" s="55" cm="1">
        <f t="array" ref="J228">(VLOOKUP($A228,'The List'!$B1:$AH671,22,FALSE)-AVERAGE('The List'!W2:W671))/STDEV('The List'!W2:W671)</f>
        <v>0.20108272861890031</v>
      </c>
      <c r="K228" s="55" cm="1">
        <f t="array" ref="K228">(VLOOKUP($A228,'The List'!$B1:$AH671,23,FALSE)-AVERAGE('The List'!X2:X671))/STDEV('The List'!X2:X671)</f>
        <v>-0.20326394895144739</v>
      </c>
      <c r="L228" s="55" cm="1">
        <f t="array" ref="L228">(VLOOKUP($A228,'The List'!$B1:$AH671,24,FALSE)-AVERAGE('The List'!Y2:Y671))/STDEV('The List'!Y2:Y671)</f>
        <v>2.4942324171971997</v>
      </c>
      <c r="M228" s="55" cm="1">
        <f t="array" ref="M228">(VLOOKUP($A228,'The List'!$B1:$AH671,25,FALSE)-AVERAGE('The List'!Z2:Z671))/STDEV('The List'!Z2:Z671)</f>
        <v>1.1164387323321792</v>
      </c>
      <c r="N228" s="55" cm="1">
        <f t="array" ref="N228">(VLOOKUP($A228,'The List'!$B1:$AH671,26,FALSE)-AVERAGE('The List'!AA2:AA671))/STDEV('The List'!AA2:AA671)</f>
        <v>-0.60924801499690595</v>
      </c>
      <c r="O228" s="55" cm="1">
        <f t="array" ref="O228">(VLOOKUP($A228,'The List'!$B1:$AH671,27,FALSE)-AVERAGE('The List'!AB2:AB671))/STDEV('The List'!AB2:AB671)</f>
        <v>-1.2042568920203918</v>
      </c>
      <c r="P228" s="55" cm="1">
        <f t="array" ref="P228">(VLOOKUP($A228,'The List'!$B1:$AH671,28,FALSE)-AVERAGE('The List'!AC2:AC671))/STDEV('The List'!AC2:AC671)</f>
        <v>1.0025915988769254</v>
      </c>
      <c r="Q228" s="55" cm="1">
        <f t="array" ref="Q228">(VLOOKUP($A228,'The List'!$B1:$AH671,29,FALSE)-AVERAGE('The List'!AD2:AD671))/STDEV('The List'!AD2:AD671)</f>
        <v>-0.81780638000530537</v>
      </c>
      <c r="R228" s="55" cm="1">
        <f t="array" ref="R228">(VLOOKUP($A228,'The List'!$B1:$AH671,30,FALSE)-AVERAGE('The List'!AE2:AE671))/STDEV('The List'!AE2:AE671)</f>
        <v>0.77766672065942344</v>
      </c>
      <c r="S228" s="55" cm="1">
        <f t="array" ref="S228">(VLOOKUP($A228,'The List'!$B1:$AH671,31,FALSE)-AVERAGE('The List'!AF2:AF671))/STDEV('The List'!AF2:AF671)</f>
        <v>-0.42836546470602005</v>
      </c>
      <c r="T228" s="55" cm="1">
        <f t="array" ref="T228">(VLOOKUP($A228,'The List'!$B1:$AH671,32,FALSE)-AVERAGE('The List'!AG2:AG671))/STDEV('The List'!AG2:AG671)</f>
        <v>-0.39055126142097524</v>
      </c>
      <c r="U228" s="55" cm="1">
        <f t="array" ref="U228">(VLOOKUP($A228,'The List'!$B1:$AH671,33,FALSE)-AVERAGE('The List'!AH2:AH671))/STDEV('The List'!AH2:AH671)</f>
        <v>0.63070553979323463</v>
      </c>
      <c r="V228" s="55"/>
      <c r="W228" s="77"/>
      <c r="X228" s="57"/>
      <c r="Y228" s="57"/>
      <c r="Z228" s="57"/>
      <c r="AA228" s="57"/>
      <c r="AB228" s="57"/>
      <c r="AC228" s="60"/>
      <c r="AD228" s="61"/>
      <c r="AE228" s="55"/>
    </row>
    <row r="229" spans="1:31" ht="21.25" customHeight="1" x14ac:dyDescent="0.15">
      <c r="A229" s="10" t="s">
        <v>420</v>
      </c>
      <c r="B229" s="18" t="str" cm="1">
        <f t="array" ref="B229">VLOOKUP(A229,'Player Data'!A1:B673,2,FALSE)</f>
        <v>PIT</v>
      </c>
      <c r="C229" s="52" cm="1">
        <f t="array" ref="C229">((E229)*Settings!$C$12)+(F229*Settings!$C$2)+(G229*Settings!$C$3)+(H229*Settings!$C$4)+(I229*Settings!$C$5)+(K229*Settings!$C$9)+(N229*Settings!$C$6)+(J229*Settings!$C$8)+(O229*Settings!$C$7)+(P229*Settings!$C$14)+(Q229*Settings!$C$15)+(R229*Settings!$C$16)+(S229*Settings!$C$17)+(T229*Settings!$C$18)+(U229*Settings!$C$19)+(L229*Settings!$C$10)+(Settings!$C$11*M229)</f>
        <v>-6.9349538817844794E-2</v>
      </c>
      <c r="D229" s="57" cm="1">
        <f t="array" ref="D229">IF(Settings!$E$12="YES",VLOOKUP(A229,'Player Data'!A1:E673,5,FALSE),82)</f>
        <v>82</v>
      </c>
      <c r="E229" s="55" cm="1">
        <f t="array" ref="E229">(VLOOKUP($A229,'The List'!$B1:$AH671,17,FALSE)-AVERAGE('The List'!R2:R671))/STDEV('The List'!R2:R671)</f>
        <v>-0.23985498759734503</v>
      </c>
      <c r="F229" s="55" cm="1">
        <f t="array" ref="F229">(VLOOKUP($A229,'The List'!$B1:$AH671,18,FALSE)-AVERAGE('The List'!S2:S671))/STDEV('The List'!S2:S671)</f>
        <v>0.42778932393790509</v>
      </c>
      <c r="G229" s="55" cm="1">
        <f t="array" ref="G229">(VLOOKUP($A229,'The List'!$B1:$AH671,19,FALSE)-AVERAGE('The List'!T2:T671))/STDEV('The List'!T2:T671)</f>
        <v>-0.16409250315911789</v>
      </c>
      <c r="H229" s="55" cm="1">
        <f t="array" ref="H229">(VLOOKUP($A229,'The List'!$B1:$AH671,20,FALSE)-AVERAGE('The List'!U2:U671))/STDEV('The List'!U2:U671)</f>
        <v>8.6277922769393542E-2</v>
      </c>
      <c r="I229" s="55" cm="1">
        <f t="array" ref="I229">(VLOOKUP($A229,'The List'!$B1:$AH671,21,FALSE)-AVERAGE('The List'!V2:V671))/STDEV('The List'!V2:V671)</f>
        <v>0.57852820475310851</v>
      </c>
      <c r="J229" s="55" cm="1">
        <f t="array" ref="J229">(VLOOKUP($A229,'The List'!$B1:$AH671,22,FALSE)-AVERAGE('The List'!W2:W671))/STDEV('The List'!W2:W671)</f>
        <v>0.16738670830068908</v>
      </c>
      <c r="K229" s="55" cm="1">
        <f t="array" ref="K229">(VLOOKUP($A229,'The List'!$B1:$AH671,23,FALSE)-AVERAGE('The List'!X2:X671))/STDEV('The List'!X2:X671)</f>
        <v>0.10489988428937709</v>
      </c>
      <c r="L229" s="55" cm="1">
        <f t="array" ref="L229">(VLOOKUP($A229,'The List'!$B1:$AH671,24,FALSE)-AVERAGE('The List'!Y2:Y671))/STDEV('The List'!Y2:Y671)</f>
        <v>-0.47546929358800777</v>
      </c>
      <c r="M229" s="55" cm="1">
        <f t="array" ref="M229">(VLOOKUP($A229,'The List'!$B1:$AH671,25,FALSE)-AVERAGE('The List'!Z2:Z671))/STDEV('The List'!Z2:Z671)</f>
        <v>1.1381711214490962</v>
      </c>
      <c r="N229" s="55" cm="1">
        <f t="array" ref="N229">(VLOOKUP($A229,'The List'!$B1:$AH671,26,FALSE)-AVERAGE('The List'!AA2:AA671))/STDEV('The List'!AA2:AA671)</f>
        <v>-5.2199655182633496E-2</v>
      </c>
      <c r="O229" s="55" cm="1">
        <f t="array" ref="O229">(VLOOKUP($A229,'The List'!$B1:$AH671,27,FALSE)-AVERAGE('The List'!AB2:AB671))/STDEV('The List'!AB2:AB671)</f>
        <v>-0.91153482904050254</v>
      </c>
      <c r="P229" s="55" cm="1">
        <f t="array" ref="P229">(VLOOKUP($A229,'The List'!$B1:$AH671,28,FALSE)-AVERAGE('The List'!AC2:AC671))/STDEV('The List'!AC2:AC671)</f>
        <v>-0.1049396195986151</v>
      </c>
      <c r="Q229" s="55" cm="1">
        <f t="array" ref="Q229">(VLOOKUP($A229,'The List'!$B1:$AH671,29,FALSE)-AVERAGE('The List'!AD2:AD671))/STDEV('The List'!AD2:AD671)</f>
        <v>-0.5562556195090691</v>
      </c>
      <c r="R229" s="55" cm="1">
        <f t="array" ref="R229">(VLOOKUP($A229,'The List'!$B1:$AH671,30,FALSE)-AVERAGE('The List'!AE2:AE671))/STDEV('The List'!AE2:AE671)</f>
        <v>0.19004815780100306</v>
      </c>
      <c r="S229" s="55" cm="1">
        <f t="array" ref="S229">(VLOOKUP($A229,'The List'!$B1:$AH671,31,FALSE)-AVERAGE('The List'!AF2:AF671))/STDEV('The List'!AF2:AF671)</f>
        <v>0.92986474730846724</v>
      </c>
      <c r="T229" s="55" cm="1">
        <f t="array" ref="T229">(VLOOKUP($A229,'The List'!$B1:$AH671,32,FALSE)-AVERAGE('The List'!AG2:AG671))/STDEV('The List'!AG2:AG671)</f>
        <v>1.4580952708881609</v>
      </c>
      <c r="U229" s="55" cm="1">
        <f t="array" ref="U229">(VLOOKUP($A229,'The List'!$B1:$AH671,33,FALSE)-AVERAGE('The List'!AH2:AH671))/STDEV('The List'!AH2:AH671)</f>
        <v>0.72270398897236576</v>
      </c>
      <c r="V229" s="55"/>
      <c r="W229" s="77"/>
      <c r="X229" s="57"/>
      <c r="Y229" s="57"/>
      <c r="Z229" s="57"/>
      <c r="AA229" s="57"/>
      <c r="AB229" s="57"/>
      <c r="AC229" s="60"/>
      <c r="AD229" s="61"/>
      <c r="AE229" s="55"/>
    </row>
    <row r="230" spans="1:31" ht="21.25" customHeight="1" x14ac:dyDescent="0.15">
      <c r="A230" s="10" t="s">
        <v>472</v>
      </c>
      <c r="B230" s="18" t="str" cm="1">
        <f t="array" ref="B230">VLOOKUP(A230,'Player Data'!A1:B673,2,FALSE)</f>
        <v>S.J</v>
      </c>
      <c r="C230" s="52" cm="1">
        <f t="array" ref="C230">((E230)*Settings!$C$12)+(F230*Settings!$C$2)+(G230*Settings!$C$3)+(H230*Settings!$C$4)+(I230*Settings!$C$5)+(K230*Settings!$C$9)+(N230*Settings!$C$6)+(J230*Settings!$C$8)+(O230*Settings!$C$7)+(P230*Settings!$C$14)+(Q230*Settings!$C$15)+(R230*Settings!$C$16)+(S230*Settings!$C$17)+(T230*Settings!$C$18)+(U230*Settings!$C$19)+(L230*Settings!$C$10)+(Settings!$C$11*M230)</f>
        <v>4.2151180224389782</v>
      </c>
      <c r="D230" s="57" cm="1">
        <f t="array" ref="D230">IF(Settings!$E$12="YES",VLOOKUP(A230,'Player Data'!A1:E673,5,FALSE),82)</f>
        <v>80</v>
      </c>
      <c r="E230" s="55" cm="1">
        <f t="array" ref="E230">(VLOOKUP($A230,'The List'!$B1:$AH671,17,FALSE)-AVERAGE('The List'!R2:R671))/STDEV('The List'!R2:R671)</f>
        <v>4.8698224336225657E-2</v>
      </c>
      <c r="F230" s="55" cm="1">
        <f t="array" ref="F230">(VLOOKUP($A230,'The List'!$B1:$AH671,18,FALSE)-AVERAGE('The List'!S2:S671))/STDEV('The List'!S2:S671)</f>
        <v>0.30404485074347776</v>
      </c>
      <c r="G230" s="55" cm="1">
        <f t="array" ref="G230">(VLOOKUP($A230,'The List'!$B1:$AH671,19,FALSE)-AVERAGE('The List'!T2:T671))/STDEV('The List'!T2:T671)</f>
        <v>-0.6503849391878378</v>
      </c>
      <c r="H230" s="55" cm="1">
        <f t="array" ref="H230">(VLOOKUP($A230,'The List'!$B1:$AH671,20,FALSE)-AVERAGE('The List'!U2:U671))/STDEV('The List'!U2:U671)</f>
        <v>-0.27445292008356903</v>
      </c>
      <c r="I230" s="55" cm="1">
        <f t="array" ref="I230">(VLOOKUP($A230,'The List'!$B1:$AH671,21,FALSE)-AVERAGE('The List'!V2:V671))/STDEV('The List'!V2:V671)</f>
        <v>0.4420378688175513</v>
      </c>
      <c r="J230" s="55" cm="1">
        <f t="array" ref="J230">(VLOOKUP($A230,'The List'!$B1:$AH671,22,FALSE)-AVERAGE('The List'!W2:W671))/STDEV('The List'!W2:W671)</f>
        <v>-0.29662406329434943</v>
      </c>
      <c r="K230" s="55" cm="1">
        <f t="array" ref="K230">(VLOOKUP($A230,'The List'!$B1:$AH671,23,FALSE)-AVERAGE('The List'!X2:X671))/STDEV('The List'!X2:X671)</f>
        <v>-0.39957832959255324</v>
      </c>
      <c r="L230" s="55" cm="1">
        <f t="array" ref="L230">(VLOOKUP($A230,'The List'!$B1:$AH671,24,FALSE)-AVERAGE('The List'!Y2:Y671))/STDEV('The List'!Y2:Y671)</f>
        <v>2.4575694331134317</v>
      </c>
      <c r="M230" s="55" cm="1">
        <f t="array" ref="M230">(VLOOKUP($A230,'The List'!$B1:$AH671,25,FALSE)-AVERAGE('The List'!Z2:Z671))/STDEV('The List'!Z2:Z671)</f>
        <v>1.9640019078919404</v>
      </c>
      <c r="N230" s="55" cm="1">
        <f t="array" ref="N230">(VLOOKUP($A230,'The List'!$B1:$AH671,26,FALSE)-AVERAGE('The List'!AA2:AA671))/STDEV('The List'!AA2:AA671)</f>
        <v>-0.744359698784962</v>
      </c>
      <c r="O230" s="55" cm="1">
        <f t="array" ref="O230">(VLOOKUP($A230,'The List'!$B1:$AH671,27,FALSE)-AVERAGE('The List'!AB2:AB671))/STDEV('The List'!AB2:AB671)</f>
        <v>4.9711946971477774</v>
      </c>
      <c r="P230" s="55" cm="1">
        <f t="array" ref="P230">(VLOOKUP($A230,'The List'!$B1:$AH671,28,FALSE)-AVERAGE('The List'!AC2:AC671))/STDEV('The List'!AC2:AC671)</f>
        <v>-0.45219612548943716</v>
      </c>
      <c r="Q230" s="55" cm="1">
        <f t="array" ref="Q230">(VLOOKUP($A230,'The List'!$B1:$AH671,29,FALSE)-AVERAGE('The List'!AD2:AD671))/STDEV('The List'!AD2:AD671)</f>
        <v>0.8771016555268043</v>
      </c>
      <c r="R230" s="55" cm="1">
        <f t="array" ref="R230">(VLOOKUP($A230,'The List'!$B1:$AH671,30,FALSE)-AVERAGE('The List'!AE2:AE671))/STDEV('The List'!AE2:AE671)</f>
        <v>0.15262022386097629</v>
      </c>
      <c r="S230" s="55" cm="1">
        <f t="array" ref="S230">(VLOOKUP($A230,'The List'!$B1:$AH671,31,FALSE)-AVERAGE('The List'!AF2:AF671))/STDEV('The List'!AF2:AF671)</f>
        <v>-0.49581783762932635</v>
      </c>
      <c r="T230" s="55" cm="1">
        <f t="array" ref="T230">(VLOOKUP($A230,'The List'!$B1:$AH671,32,FALSE)-AVERAGE('The List'!AG2:AG671))/STDEV('The List'!AG2:AG671)</f>
        <v>-0.49578285234471187</v>
      </c>
      <c r="U230" s="55" cm="1">
        <f t="array" ref="U230">(VLOOKUP($A230,'The List'!$B1:$AH671,33,FALSE)-AVERAGE('The List'!AH2:AH671))/STDEV('The List'!AH2:AH671)</f>
        <v>0.63070553979323463</v>
      </c>
      <c r="V230" s="55"/>
      <c r="W230" s="77"/>
      <c r="X230" s="57"/>
      <c r="Y230" s="57"/>
      <c r="Z230" s="57"/>
      <c r="AA230" s="57"/>
      <c r="AB230" s="57"/>
      <c r="AC230" s="60"/>
      <c r="AD230" s="61"/>
      <c r="AE230" s="55"/>
    </row>
    <row r="231" spans="1:31" ht="21.25" customHeight="1" x14ac:dyDescent="0.15">
      <c r="A231" s="10" t="s">
        <v>481</v>
      </c>
      <c r="B231" s="18" t="str" cm="1">
        <f t="array" ref="B231">VLOOKUP(A231,'Player Data'!A1:B673,2,FALSE)</f>
        <v>ANA</v>
      </c>
      <c r="C231" s="52" cm="1">
        <f t="array" ref="C231">((E231)*Settings!$C$12)+(F231*Settings!$C$2)+(G231*Settings!$C$3)+(H231*Settings!$C$4)+(I231*Settings!$C$5)+(K231*Settings!$C$9)+(N231*Settings!$C$6)+(J231*Settings!$C$8)+(O231*Settings!$C$7)+(P231*Settings!$C$14)+(Q231*Settings!$C$15)+(R231*Settings!$C$16)+(S231*Settings!$C$17)+(T231*Settings!$C$18)+(U231*Settings!$C$19)+(L231*Settings!$C$10)+(Settings!$C$11*M231)</f>
        <v>-3.7869636785873473</v>
      </c>
      <c r="D231" s="57" cm="1">
        <f t="array" ref="D231">IF(Settings!$E$12="YES",VLOOKUP(A231,'Player Data'!A1:E673,5,FALSE),82)</f>
        <v>68</v>
      </c>
      <c r="E231" s="55" cm="1">
        <f t="array" ref="E231">(VLOOKUP($A231,'The List'!$B1:$AH671,17,FALSE)-AVERAGE('The List'!R2:R671))/STDEV('The List'!R2:R671)</f>
        <v>2.2466114160446121E-2</v>
      </c>
      <c r="F231" s="55" cm="1">
        <f t="array" ref="F231">(VLOOKUP($A231,'The List'!$B1:$AH671,18,FALSE)-AVERAGE('The List'!S2:S671))/STDEV('The List'!S2:S671)</f>
        <v>-0.69389444921158261</v>
      </c>
      <c r="G231" s="55" cm="1">
        <f t="array" ref="G231">(VLOOKUP($A231,'The List'!$B1:$AH671,19,FALSE)-AVERAGE('The List'!T2:T671))/STDEV('The List'!T2:T671)</f>
        <v>-0.61103179407568697</v>
      </c>
      <c r="H231" s="55" cm="1">
        <f t="array" ref="H231">(VLOOKUP($A231,'The List'!$B1:$AH671,20,FALSE)-AVERAGE('The List'!U2:U671))/STDEV('The List'!U2:U671)</f>
        <v>-0.69176899318797669</v>
      </c>
      <c r="I231" s="55" cm="1">
        <f t="array" ref="I231">(VLOOKUP($A231,'The List'!$B1:$AH671,21,FALSE)-AVERAGE('The List'!V2:V671))/STDEV('The List'!V2:V671)</f>
        <v>-0.62155011601699217</v>
      </c>
      <c r="J231" s="55" cm="1">
        <f t="array" ref="J231">(VLOOKUP($A231,'The List'!$B1:$AH671,22,FALSE)-AVERAGE('The List'!W2:W671))/STDEV('The List'!W2:W671)</f>
        <v>-0.73853908386105271</v>
      </c>
      <c r="K231" s="55" cm="1">
        <f t="array" ref="K231">(VLOOKUP($A231,'The List'!$B1:$AH671,23,FALSE)-AVERAGE('The List'!X2:X671))/STDEV('The List'!X2:X671)</f>
        <v>-0.66488161338703455</v>
      </c>
      <c r="L231" s="55" cm="1">
        <f t="array" ref="L231">(VLOOKUP($A231,'The List'!$B1:$AH671,24,FALSE)-AVERAGE('The List'!Y2:Y671))/STDEV('The List'!Y2:Y671)</f>
        <v>-0.47546929358800777</v>
      </c>
      <c r="M231" s="55" cm="1">
        <f t="array" ref="M231">(VLOOKUP($A231,'The List'!$B1:$AH671,25,FALSE)-AVERAGE('The List'!Z2:Z671))/STDEV('The List'!Z2:Z671)</f>
        <v>-0.64388478613809508</v>
      </c>
      <c r="N231" s="55" cm="1">
        <f t="array" ref="N231">(VLOOKUP($A231,'The List'!$B1:$AH671,26,FALSE)-AVERAGE('The List'!AA2:AA671))/STDEV('The List'!AA2:AA671)</f>
        <v>0.56538078224556965</v>
      </c>
      <c r="O231" s="55" cm="1">
        <f t="array" ref="O231">(VLOOKUP($A231,'The List'!$B1:$AH671,27,FALSE)-AVERAGE('The List'!AB2:AB671))/STDEV('The List'!AB2:AB671)</f>
        <v>-0.50033002628303891</v>
      </c>
      <c r="P231" s="55" cm="1">
        <f t="array" ref="P231">(VLOOKUP($A231,'The List'!$B1:$AH671,28,FALSE)-AVERAGE('The List'!AC2:AC671))/STDEV('The List'!AC2:AC671)</f>
        <v>-0.69527567961301262</v>
      </c>
      <c r="Q231" s="55" cm="1">
        <f t="array" ref="Q231">(VLOOKUP($A231,'The List'!$B1:$AH671,29,FALSE)-AVERAGE('The List'!AD2:AD671))/STDEV('The List'!AD2:AD671)</f>
        <v>-0.51488035796164167</v>
      </c>
      <c r="R231" s="55" cm="1">
        <f t="array" ref="R231">(VLOOKUP($A231,'The List'!$B1:$AH671,30,FALSE)-AVERAGE('The List'!AE2:AE671))/STDEV('The List'!AE2:AE671)</f>
        <v>-0.9203138824197904</v>
      </c>
      <c r="S231" s="55" cm="1">
        <f t="array" ref="S231">(VLOOKUP($A231,'The List'!$B1:$AH671,31,FALSE)-AVERAGE('The List'!AF2:AF671))/STDEV('The List'!AF2:AF671)</f>
        <v>-0.59581850454342256</v>
      </c>
      <c r="T231" s="55" cm="1">
        <f t="array" ref="T231">(VLOOKUP($A231,'The List'!$B1:$AH671,32,FALSE)-AVERAGE('The List'!AG2:AG671))/STDEV('The List'!AG2:AG671)</f>
        <v>-0.64684275008198677</v>
      </c>
      <c r="U231" s="55" cm="1">
        <f t="array" ref="U231">(VLOOKUP($A231,'The List'!$B1:$AH671,33,FALSE)-AVERAGE('The List'!AH2:AH671))/STDEV('The List'!AH2:AH671)</f>
        <v>-1.2552626683789523</v>
      </c>
      <c r="V231" s="55"/>
      <c r="W231" s="77"/>
      <c r="X231" s="57"/>
      <c r="Y231" s="57"/>
      <c r="Z231" s="57"/>
      <c r="AA231" s="57"/>
      <c r="AB231" s="57"/>
      <c r="AC231" s="60"/>
      <c r="AD231" s="61"/>
      <c r="AE231" s="55"/>
    </row>
    <row r="232" spans="1:31" ht="21.25" customHeight="1" x14ac:dyDescent="0.15">
      <c r="A232" s="10" t="s">
        <v>470</v>
      </c>
      <c r="B232" s="18" t="str" cm="1">
        <f t="array" ref="B232">VLOOKUP(A232,'Player Data'!A1:B673,2,FALSE)</f>
        <v>CGY</v>
      </c>
      <c r="C232" s="52" cm="1">
        <f t="array" ref="C232">((E232)*Settings!$C$12)+(F232*Settings!$C$2)+(G232*Settings!$C$3)+(H232*Settings!$C$4)+(I232*Settings!$C$5)+(K232*Settings!$C$9)+(N232*Settings!$C$6)+(J232*Settings!$C$8)+(O232*Settings!$C$7)+(P232*Settings!$C$14)+(Q232*Settings!$C$15)+(R232*Settings!$C$16)+(S232*Settings!$C$17)+(T232*Settings!$C$18)+(U232*Settings!$C$19)+(L232*Settings!$C$10)+(Settings!$C$11*M232)</f>
        <v>-1.0029587954988544</v>
      </c>
      <c r="D232" s="57" cm="1">
        <f t="array" ref="D232">IF(Settings!$E$12="YES",VLOOKUP(A232,'Player Data'!A1:E673,5,FALSE),82)</f>
        <v>84</v>
      </c>
      <c r="E232" s="55" cm="1">
        <f t="array" ref="E232">(VLOOKUP($A232,'The List'!$B1:$AH671,17,FALSE)-AVERAGE('The List'!R2:R671))/STDEV('The List'!R2:R671)</f>
        <v>7.4930334512005189E-2</v>
      </c>
      <c r="F232" s="55" cm="1">
        <f t="array" ref="F232">(VLOOKUP($A232,'The List'!$B1:$AH671,18,FALSE)-AVERAGE('The List'!S2:S671))/STDEV('The List'!S2:S671)</f>
        <v>0.63935245552837805</v>
      </c>
      <c r="G232" s="55" cm="1">
        <f t="array" ref="G232">(VLOOKUP($A232,'The List'!$B1:$AH671,19,FALSE)-AVERAGE('The List'!T2:T671))/STDEV('The List'!T2:T671)</f>
        <v>-6.852057931532328E-2</v>
      </c>
      <c r="H232" s="55" cm="1">
        <f t="array" ref="H232">(VLOOKUP($A232,'The List'!$B1:$AH671,20,FALSE)-AVERAGE('The List'!U2:U671))/STDEV('The List'!U2:U671)</f>
        <v>0.2401190175155101</v>
      </c>
      <c r="I232" s="55" cm="1">
        <f t="array" ref="I232">(VLOOKUP($A232,'The List'!$B1:$AH671,21,FALSE)-AVERAGE('The List'!V2:V671))/STDEV('The List'!V2:V671)</f>
        <v>0.68944819927289003</v>
      </c>
      <c r="J232" s="55" cm="1">
        <f t="array" ref="J232">(VLOOKUP($A232,'The List'!$B1:$AH671,22,FALSE)-AVERAGE('The List'!W2:W671))/STDEV('The List'!W2:W671)</f>
        <v>-0.27452831226601432</v>
      </c>
      <c r="K232" s="55" cm="1">
        <f t="array" ref="K232">(VLOOKUP($A232,'The List'!$B1:$AH671,23,FALSE)-AVERAGE('The List'!X2:X671))/STDEV('The List'!X2:X671)</f>
        <v>-0.12623555234975434</v>
      </c>
      <c r="L232" s="55" cm="1">
        <f t="array" ref="L232">(VLOOKUP($A232,'The List'!$B1:$AH671,24,FALSE)-AVERAGE('The List'!Y2:Y671))/STDEV('The List'!Y2:Y671)</f>
        <v>4.1440667009667589</v>
      </c>
      <c r="M232" s="55" cm="1">
        <f t="array" ref="M232">(VLOOKUP($A232,'The List'!$B1:$AH671,25,FALSE)-AVERAGE('The List'!Z2:Z671))/STDEV('The List'!Z2:Z671)</f>
        <v>3.0071565855039544</v>
      </c>
      <c r="N232" s="55" cm="1">
        <f t="array" ref="N232">(VLOOKUP($A232,'The List'!$B1:$AH671,26,FALSE)-AVERAGE('The List'!AA2:AA671))/STDEV('The List'!AA2:AA671)</f>
        <v>-0.20697787895496217</v>
      </c>
      <c r="O232" s="55" cm="1">
        <f t="array" ref="O232">(VLOOKUP($A232,'The List'!$B1:$AH671,27,FALSE)-AVERAGE('The List'!AB2:AB671))/STDEV('The List'!AB2:AB671)</f>
        <v>-0.39127670870229586</v>
      </c>
      <c r="P232" s="55" cm="1">
        <f t="array" ref="P232">(VLOOKUP($A232,'The List'!$B1:$AH671,28,FALSE)-AVERAGE('The List'!AC2:AC671))/STDEV('The List'!AC2:AC671)</f>
        <v>-1.7457266099327491</v>
      </c>
      <c r="Q232" s="55" cm="1">
        <f t="array" ref="Q232">(VLOOKUP($A232,'The List'!$B1:$AH671,29,FALSE)-AVERAGE('The List'!AD2:AD671))/STDEV('The List'!AD2:AD671)</f>
        <v>4.6641048753442542E-2</v>
      </c>
      <c r="R232" s="55" cm="1">
        <f t="array" ref="R232">(VLOOKUP($A232,'The List'!$B1:$AH671,30,FALSE)-AVERAGE('The List'!AE2:AE671))/STDEV('The List'!AE2:AE671)</f>
        <v>0.22747609174102984</v>
      </c>
      <c r="S232" s="55" cm="1">
        <f t="array" ref="S232">(VLOOKUP($A232,'The List'!$B1:$AH671,31,FALSE)-AVERAGE('The List'!AF2:AF671))/STDEV('The List'!AF2:AF671)</f>
        <v>-0.47062536192596743</v>
      </c>
      <c r="T232" s="55" cm="1">
        <f t="array" ref="T232">(VLOOKUP($A232,'The List'!$B1:$AH671,32,FALSE)-AVERAGE('The List'!AG2:AG671))/STDEV('The List'!AG2:AG671)</f>
        <v>-0.45393517797154798</v>
      </c>
      <c r="U232" s="55" cm="1">
        <f t="array" ref="U232">(VLOOKUP($A232,'The List'!$B1:$AH671,33,FALSE)-AVERAGE('The List'!AH2:AH671))/STDEV('The List'!AH2:AH671)</f>
        <v>0.63070553979323463</v>
      </c>
      <c r="V232" s="55"/>
      <c r="W232" s="77"/>
      <c r="X232" s="57"/>
      <c r="Y232" s="57"/>
      <c r="Z232" s="57"/>
      <c r="AA232" s="57"/>
      <c r="AB232" s="57"/>
      <c r="AC232" s="60"/>
      <c r="AD232" s="61"/>
      <c r="AE232" s="55"/>
    </row>
    <row r="233" spans="1:31" ht="21.25" customHeight="1" x14ac:dyDescent="0.15">
      <c r="A233" s="10" t="s">
        <v>576</v>
      </c>
      <c r="B233" s="18" t="str" cm="1">
        <f t="array" ref="B233">VLOOKUP(A233,'Player Data'!A1:B673,2,FALSE)</f>
        <v>BUF</v>
      </c>
      <c r="C233" s="52" cm="1">
        <f t="array" ref="C233">((E233)*Settings!$C$12)+(F233*Settings!$C$2)+(G233*Settings!$C$3)+(H233*Settings!$C$4)+(I233*Settings!$C$5)+(K233*Settings!$C$9)+(N233*Settings!$C$6)+(J233*Settings!$C$8)+(O233*Settings!$C$7)+(P233*Settings!$C$14)+(Q233*Settings!$C$15)+(R233*Settings!$C$16)+(S233*Settings!$C$17)+(T233*Settings!$C$18)+(U233*Settings!$C$19)+(L233*Settings!$C$10)+(Settings!$C$11*M233)</f>
        <v>-0.17366143142901694</v>
      </c>
      <c r="D233" s="57" cm="1">
        <f t="array" ref="D233">IF(Settings!$E$12="YES",VLOOKUP(A233,'Player Data'!A1:E673,5,FALSE),82)</f>
        <v>78</v>
      </c>
      <c r="E233" s="55" cm="1">
        <f t="array" ref="E233">(VLOOKUP($A233,'The List'!$B1:$AH671,17,FALSE)-AVERAGE('The List'!R2:R671))/STDEV('The List'!R2:R671)</f>
        <v>-0.92188985216760311</v>
      </c>
      <c r="F233" s="55" cm="1">
        <f t="array" ref="F233">(VLOOKUP($A233,'The List'!$B1:$AH671,18,FALSE)-AVERAGE('The List'!S2:S671))/STDEV('The List'!S2:S671)</f>
        <v>0.1842921347488706</v>
      </c>
      <c r="G233" s="55" cm="1">
        <f t="array" ref="G233">(VLOOKUP($A233,'The List'!$B1:$AH671,19,FALSE)-AVERAGE('The List'!T2:T671))/STDEV('The List'!T2:T671)</f>
        <v>-0.23717691551025491</v>
      </c>
      <c r="H233" s="55" cm="1">
        <f t="array" ref="H233">(VLOOKUP($A233,'The List'!$B1:$AH671,20,FALSE)-AVERAGE('The List'!U2:U671))/STDEV('The List'!U2:U671)</f>
        <v>-6.7563171976722722E-2</v>
      </c>
      <c r="I233" s="55" cm="1">
        <f t="array" ref="I233">(VLOOKUP($A233,'The List'!$B1:$AH671,21,FALSE)-AVERAGE('The List'!V2:V671))/STDEV('The List'!V2:V671)</f>
        <v>3.9477764096224575E-2</v>
      </c>
      <c r="J233" s="55" cm="1">
        <f t="array" ref="J233">(VLOOKUP($A233,'The List'!$B1:$AH671,22,FALSE)-AVERAGE('The List'!W2:W671))/STDEV('The List'!W2:W671)</f>
        <v>0.33862877877028663</v>
      </c>
      <c r="K233" s="55" cm="1">
        <f t="array" ref="K233">(VLOOKUP($A233,'The List'!$B1:$AH671,23,FALSE)-AVERAGE('The List'!X2:X671))/STDEV('The List'!X2:X671)</f>
        <v>-9.6087451918563299E-2</v>
      </c>
      <c r="L233" s="55" cm="1">
        <f t="array" ref="L233">(VLOOKUP($A233,'The List'!$B1:$AH671,24,FALSE)-AVERAGE('The List'!Y2:Y671))/STDEV('The List'!Y2:Y671)</f>
        <v>-0.47546929358800777</v>
      </c>
      <c r="M233" s="55" cm="1">
        <f t="array" ref="M233">(VLOOKUP($A233,'The List'!$B1:$AH671,25,FALSE)-AVERAGE('The List'!Z2:Z671))/STDEV('The List'!Z2:Z671)</f>
        <v>-0.64388478613809508</v>
      </c>
      <c r="N233" s="55" cm="1">
        <f t="array" ref="N233">(VLOOKUP($A233,'The List'!$B1:$AH671,26,FALSE)-AVERAGE('The List'!AA2:AA671))/STDEV('The List'!AA2:AA671)</f>
        <v>-0.9854663707999427</v>
      </c>
      <c r="O233" s="55" cm="1">
        <f t="array" ref="O233">(VLOOKUP($A233,'The List'!$B1:$AH671,27,FALSE)-AVERAGE('The List'!AB2:AB671))/STDEV('The List'!AB2:AB671)</f>
        <v>-0.2978024364902303</v>
      </c>
      <c r="P233" s="55" cm="1">
        <f t="array" ref="P233">(VLOOKUP($A233,'The List'!$B1:$AH671,28,FALSE)-AVERAGE('The List'!AC2:AC671))/STDEV('The List'!AC2:AC671)</f>
        <v>0.23363547364493639</v>
      </c>
      <c r="Q233" s="55" cm="1">
        <f t="array" ref="Q233">(VLOOKUP($A233,'The List'!$B1:$AH671,29,FALSE)-AVERAGE('The List'!AD2:AD671))/STDEV('The List'!AD2:AD671)</f>
        <v>-1.0988779830474095E-2</v>
      </c>
      <c r="R233" s="55" cm="1">
        <f t="array" ref="R233">(VLOOKUP($A233,'The List'!$B1:$AH671,30,FALSE)-AVERAGE('The List'!AE2:AE671))/STDEV('The List'!AE2:AE671)</f>
        <v>0.1151922899209495</v>
      </c>
      <c r="S233" s="55" cm="1">
        <f t="array" ref="S233">(VLOOKUP($A233,'The List'!$B1:$AH671,31,FALSE)-AVERAGE('The List'!AF2:AF671))/STDEV('The List'!AF2:AF671)</f>
        <v>-0.38581710402382041</v>
      </c>
      <c r="T233" s="55" cm="1">
        <f t="array" ref="T233">(VLOOKUP($A233,'The List'!$B1:$AH671,32,FALSE)-AVERAGE('The List'!AG2:AG671))/STDEV('The List'!AG2:AG671)</f>
        <v>-0.30052772776943715</v>
      </c>
      <c r="U233" s="55" cm="1">
        <f t="array" ref="U233">(VLOOKUP($A233,'The List'!$B1:$AH671,33,FALSE)-AVERAGE('The List'!AH2:AH671))/STDEV('The List'!AH2:AH671)</f>
        <v>0.53870709061410371</v>
      </c>
      <c r="V233" s="55"/>
      <c r="W233" s="57"/>
      <c r="X233" s="55"/>
      <c r="Y233" s="55"/>
      <c r="Z233" s="55"/>
      <c r="AA233" s="55"/>
      <c r="AB233" s="55"/>
      <c r="AC233" s="55"/>
      <c r="AD233" s="55"/>
      <c r="AE233" s="55"/>
    </row>
    <row r="234" spans="1:31" ht="21.25" customHeight="1" x14ac:dyDescent="0.15">
      <c r="A234" s="10" t="s">
        <v>575</v>
      </c>
      <c r="B234" s="18" t="str" cm="1">
        <f t="array" ref="B234">VLOOKUP(A234,'Player Data'!A1:B673,2,FALSE)</f>
        <v>MIN</v>
      </c>
      <c r="C234" s="52" cm="1">
        <f t="array" ref="C234">((E234)*Settings!$C$12)+(F234*Settings!$C$2)+(G234*Settings!$C$3)+(H234*Settings!$C$4)+(I234*Settings!$C$5)+(K234*Settings!$C$9)+(N234*Settings!$C$6)+(J234*Settings!$C$8)+(O234*Settings!$C$7)+(P234*Settings!$C$14)+(Q234*Settings!$C$15)+(R234*Settings!$C$16)+(S234*Settings!$C$17)+(T234*Settings!$C$18)+(U234*Settings!$C$19)+(L234*Settings!$C$10)+(Settings!$C$11*M234)</f>
        <v>-0.22850821603657123</v>
      </c>
      <c r="D234" s="57" cm="1">
        <f t="array" ref="D234">IF(Settings!$E$12="YES",VLOOKUP(A234,'Player Data'!A1:E673,5,FALSE),82)</f>
        <v>79</v>
      </c>
      <c r="E234" s="55" cm="1">
        <f t="array" ref="E234">(VLOOKUP($A234,'The List'!$B1:$AH671,17,FALSE)-AVERAGE('The List'!R2:R671))/STDEV('The List'!R2:R671)</f>
        <v>-0.5546403097066952</v>
      </c>
      <c r="F234" s="55" cm="1">
        <f t="array" ref="F234">(VLOOKUP($A234,'The List'!$B1:$AH671,18,FALSE)-AVERAGE('The List'!S2:S671))/STDEV('The List'!S2:S671)</f>
        <v>4.6576511355072001E-2</v>
      </c>
      <c r="G234" s="55" cm="1">
        <f t="array" ref="G234">(VLOOKUP($A234,'The List'!$B1:$AH671,19,FALSE)-AVERAGE('The List'!T2:T671))/STDEV('The List'!T2:T671)</f>
        <v>-0.16338976842497224</v>
      </c>
      <c r="H234" s="55" cm="1">
        <f t="array" ref="H234">(VLOOKUP($A234,'The List'!$B1:$AH671,20,FALSE)-AVERAGE('The List'!U2:U671))/STDEV('The List'!U2:U671)</f>
        <v>-8.2151551650923652E-2</v>
      </c>
      <c r="I234" s="55" cm="1">
        <f t="array" ref="I234">(VLOOKUP($A234,'The List'!$B1:$AH671,21,FALSE)-AVERAGE('The List'!V2:V671))/STDEV('The List'!V2:V671)</f>
        <v>-0.27324060051562127</v>
      </c>
      <c r="J234" s="55" cm="1">
        <f t="array" ref="J234">(VLOOKUP($A234,'The List'!$B1:$AH671,22,FALSE)-AVERAGE('The List'!W2:W671))/STDEV('The List'!W2:W671)</f>
        <v>-8.3952459646623456E-2</v>
      </c>
      <c r="K234" s="55" cm="1">
        <f t="array" ref="K234">(VLOOKUP($A234,'The List'!$B1:$AH671,23,FALSE)-AVERAGE('The List'!X2:X671))/STDEV('The List'!X2:X671)</f>
        <v>-0.3252130151956153</v>
      </c>
      <c r="L234" s="55" cm="1">
        <f t="array" ref="L234">(VLOOKUP($A234,'The List'!$B1:$AH671,24,FALSE)-AVERAGE('The List'!Y2:Y671))/STDEV('The List'!Y2:Y671)</f>
        <v>-0.47546929358800777</v>
      </c>
      <c r="M234" s="55" cm="1">
        <f t="array" ref="M234">(VLOOKUP($A234,'The List'!$B1:$AH671,25,FALSE)-AVERAGE('The List'!Z2:Z671))/STDEV('The List'!Z2:Z671)</f>
        <v>-0.64388478613809508</v>
      </c>
      <c r="N234" s="55" cm="1">
        <f t="array" ref="N234">(VLOOKUP($A234,'The List'!$B1:$AH671,26,FALSE)-AVERAGE('The List'!AA2:AA671))/STDEV('The List'!AA2:AA671)</f>
        <v>-0.63427815679507127</v>
      </c>
      <c r="O234" s="55" cm="1">
        <f t="array" ref="O234">(VLOOKUP($A234,'The List'!$B1:$AH671,27,FALSE)-AVERAGE('The List'!AB2:AB671))/STDEV('The List'!AB2:AB671)</f>
        <v>7.7324576992400557E-2</v>
      </c>
      <c r="P234" s="55" cm="1">
        <f t="array" ref="P234">(VLOOKUP($A234,'The List'!$B1:$AH671,28,FALSE)-AVERAGE('The List'!AC2:AC671))/STDEV('The List'!AC2:AC671)</f>
        <v>0.40943407975216506</v>
      </c>
      <c r="Q234" s="55" cm="1">
        <f t="array" ref="Q234">(VLOOKUP($A234,'The List'!$B1:$AH671,29,FALSE)-AVERAGE('The List'!AD2:AD671))/STDEV('The List'!AD2:AD671)</f>
        <v>-0.56438290302731364</v>
      </c>
      <c r="R234" s="55" cm="1">
        <f t="array" ref="R234">(VLOOKUP($A234,'The List'!$B1:$AH671,30,FALSE)-AVERAGE('The List'!AE2:AE671))/STDEV('The List'!AE2:AE671)</f>
        <v>0.13390625689096303</v>
      </c>
      <c r="S234" s="55" cm="1">
        <f t="array" ref="S234">(VLOOKUP($A234,'The List'!$B1:$AH671,31,FALSE)-AVERAGE('The List'!AF2:AF671))/STDEV('The List'!AF2:AF671)</f>
        <v>-0.50466405047172713</v>
      </c>
      <c r="T234" s="55" cm="1">
        <f t="array" ref="T234">(VLOOKUP($A234,'The List'!$B1:$AH671,32,FALSE)-AVERAGE('The List'!AG2:AG671))/STDEV('The List'!AG2:AG671)</f>
        <v>-0.48557610249759869</v>
      </c>
      <c r="U234" s="55" cm="1">
        <f t="array" ref="U234">(VLOOKUP($A234,'The List'!$B1:$AH671,33,FALSE)-AVERAGE('The List'!AH2:AH671))/STDEV('The List'!AH2:AH671)</f>
        <v>0.49270786602453809</v>
      </c>
      <c r="V234" s="55"/>
      <c r="W234" s="77"/>
      <c r="X234" s="57"/>
      <c r="Y234" s="57"/>
      <c r="Z234" s="57"/>
      <c r="AA234" s="57"/>
      <c r="AB234" s="57"/>
      <c r="AC234" s="60"/>
      <c r="AD234" s="61"/>
      <c r="AE234" s="55"/>
    </row>
    <row r="235" spans="1:31" ht="21.25" customHeight="1" x14ac:dyDescent="0.15">
      <c r="A235" s="10" t="s">
        <v>446</v>
      </c>
      <c r="B235" s="18" t="str" cm="1">
        <f t="array" ref="B235">VLOOKUP(A235,'Player Data'!A1:B673,2,FALSE)</f>
        <v>MIN</v>
      </c>
      <c r="C235" s="52" cm="1">
        <f t="array" ref="C235">((E235)*Settings!$C$12)+(F235*Settings!$C$2)+(G235*Settings!$C$3)+(H235*Settings!$C$4)+(I235*Settings!$C$5)+(K235*Settings!$C$9)+(N235*Settings!$C$6)+(J235*Settings!$C$8)+(O235*Settings!$C$7)+(P235*Settings!$C$14)+(Q235*Settings!$C$15)+(R235*Settings!$C$16)+(S235*Settings!$C$17)+(T235*Settings!$C$18)+(U235*Settings!$C$19)+(L235*Settings!$C$10)+(Settings!$C$11*M235)</f>
        <v>2.9755536799609792</v>
      </c>
      <c r="D235" s="57" cm="1">
        <f t="array" ref="D235">IF(Settings!$E$12="YES",VLOOKUP(A235,'Player Data'!A1:E673,5,FALSE),82)</f>
        <v>81</v>
      </c>
      <c r="E235" s="55" cm="1">
        <f t="array" ref="E235">(VLOOKUP($A235,'The List'!$B1:$AH671,17,FALSE)-AVERAGE('The List'!R2:R671))/STDEV('The List'!R2:R671)</f>
        <v>0.10116244468778379</v>
      </c>
      <c r="F235" s="55" cm="1">
        <f t="array" ref="F235">(VLOOKUP($A235,'The List'!$B1:$AH671,18,FALSE)-AVERAGE('The List'!S2:S671))/STDEV('The List'!S2:S671)</f>
        <v>0.48666774263525397</v>
      </c>
      <c r="G235" s="55" cm="1">
        <f t="array" ref="G235">(VLOOKUP($A235,'The List'!$B1:$AH671,19,FALSE)-AVERAGE('The List'!T2:T671))/STDEV('The List'!T2:T671)</f>
        <v>-0.29620663317848128</v>
      </c>
      <c r="H235" s="55" cm="1">
        <f t="array" ref="H235">(VLOOKUP($A235,'The List'!$B1:$AH671,20,FALSE)-AVERAGE('The List'!U2:U671))/STDEV('The List'!U2:U671)</f>
        <v>2.9250620406609047E-2</v>
      </c>
      <c r="I235" s="55" cm="1">
        <f t="array" ref="I235">(VLOOKUP($A235,'The List'!$B1:$AH671,21,FALSE)-AVERAGE('The List'!V2:V671))/STDEV('The List'!V2:V671)</f>
        <v>1.1605990171162626</v>
      </c>
      <c r="J235" s="55" cm="1">
        <f t="array" ref="J235">(VLOOKUP($A235,'The List'!$B1:$AH671,22,FALSE)-AVERAGE('The List'!W2:W671))/STDEV('The List'!W2:W671)</f>
        <v>-6.738064637537218E-2</v>
      </c>
      <c r="K235" s="55" cm="1">
        <f t="array" ref="K235">(VLOOKUP($A235,'The List'!$B1:$AH671,23,FALSE)-AVERAGE('The List'!X2:X671))/STDEV('The List'!X2:X671)</f>
        <v>-0.4759535173515706</v>
      </c>
      <c r="L235" s="55" cm="1">
        <f t="array" ref="L235">(VLOOKUP($A235,'The List'!$B1:$AH671,24,FALSE)-AVERAGE('The List'!Y2:Y671))/STDEV('The List'!Y2:Y671)</f>
        <v>3.979083272589802</v>
      </c>
      <c r="M235" s="55" cm="1">
        <f t="array" ref="M235">(VLOOKUP($A235,'The List'!$B1:$AH671,25,FALSE)-AVERAGE('The List'!Z2:Z671))/STDEV('The List'!Z2:Z671)</f>
        <v>2.8767622508024533</v>
      </c>
      <c r="N235" s="55" cm="1">
        <f t="array" ref="N235">(VLOOKUP($A235,'The List'!$B1:$AH671,26,FALSE)-AVERAGE('The List'!AA2:AA671))/STDEV('The List'!AA2:AA671)</f>
        <v>-0.19548444649662122</v>
      </c>
      <c r="O235" s="55" cm="1">
        <f t="array" ref="O235">(VLOOKUP($A235,'The List'!$B1:$AH671,27,FALSE)-AVERAGE('The List'!AB2:AB671))/STDEV('The List'!AB2:AB671)</f>
        <v>1.5021922659092146</v>
      </c>
      <c r="P235" s="55" cm="1">
        <f t="array" ref="P235">(VLOOKUP($A235,'The List'!$B1:$AH671,28,FALSE)-AVERAGE('The List'!AC2:AC671))/STDEV('The List'!AC2:AC671)</f>
        <v>0.59825480483029947</v>
      </c>
      <c r="Q235" s="55" cm="1">
        <f t="array" ref="Q235">(VLOOKUP($A235,'The List'!$B1:$AH671,29,FALSE)-AVERAGE('The List'!AD2:AD671))/STDEV('The List'!AD2:AD671)</f>
        <v>1.2169698753806713</v>
      </c>
      <c r="R235" s="55" cm="1">
        <f t="array" ref="R235">(VLOOKUP($A235,'The List'!$B1:$AH671,30,FALSE)-AVERAGE('The List'!AE2:AE671))/STDEV('The List'!AE2:AE671)</f>
        <v>0.67661129902135098</v>
      </c>
      <c r="S235" s="55" cm="1">
        <f t="array" ref="S235">(VLOOKUP($A235,'The List'!$B1:$AH671,31,FALSE)-AVERAGE('The List'!AF2:AF671))/STDEV('The List'!AF2:AF671)</f>
        <v>-0.49067357255249539</v>
      </c>
      <c r="T235" s="55" cm="1">
        <f t="array" ref="T235">(VLOOKUP($A235,'The List'!$B1:$AH671,32,FALSE)-AVERAGE('The List'!AG2:AG671))/STDEV('The List'!AG2:AG671)</f>
        <v>-0.49802833731107682</v>
      </c>
      <c r="U235" s="55" cm="1">
        <f t="array" ref="U235">(VLOOKUP($A235,'The List'!$B1:$AH671,33,FALSE)-AVERAGE('The List'!AH2:AH671))/STDEV('The List'!AH2:AH671)</f>
        <v>0.72270398897236576</v>
      </c>
      <c r="V235" s="55"/>
      <c r="W235" s="77"/>
      <c r="X235" s="57"/>
      <c r="Y235" s="57"/>
      <c r="Z235" s="57"/>
      <c r="AA235" s="57"/>
      <c r="AB235" s="57"/>
      <c r="AC235" s="60"/>
      <c r="AD235" s="61"/>
      <c r="AE235" s="55"/>
    </row>
    <row r="236" spans="1:31" ht="21.25" customHeight="1" x14ac:dyDescent="0.15">
      <c r="A236" s="10" t="s">
        <v>495</v>
      </c>
      <c r="B236" s="18" t="str" cm="1">
        <f t="array" ref="B236">VLOOKUP(A236,'Player Data'!A1:B673,2,FALSE)</f>
        <v>CBJ</v>
      </c>
      <c r="C236" s="52" cm="1">
        <f t="array" ref="C236">((E236)*Settings!$C$12)+(F236*Settings!$C$2)+(G236*Settings!$C$3)+(H236*Settings!$C$4)+(I236*Settings!$C$5)+(K236*Settings!$C$9)+(N236*Settings!$C$6)+(J236*Settings!$C$8)+(O236*Settings!$C$7)+(P236*Settings!$C$14)+(Q236*Settings!$C$15)+(R236*Settings!$C$16)+(S236*Settings!$C$17)+(T236*Settings!$C$18)+(U236*Settings!$C$19)+(L236*Settings!$C$10)+(Settings!$C$11*M236)</f>
        <v>-0.40306146667967141</v>
      </c>
      <c r="D236" s="57" cm="1">
        <f t="array" ref="D236">IF(Settings!$E$12="YES",VLOOKUP(A236,'Player Data'!A1:E673,5,FALSE),82)</f>
        <v>82</v>
      </c>
      <c r="E236" s="55" cm="1">
        <f t="array" ref="E236">(VLOOKUP($A236,'The List'!$B1:$AH671,17,FALSE)-AVERAGE('The List'!R2:R671))/STDEV('The List'!R2:R671)</f>
        <v>-5.6230216366890615E-2</v>
      </c>
      <c r="F236" s="55" cm="1">
        <f t="array" ref="F236">(VLOOKUP($A236,'The List'!$B1:$AH671,18,FALSE)-AVERAGE('The List'!S2:S671))/STDEV('The List'!S2:S671)</f>
        <v>-6.3196811639984432E-2</v>
      </c>
      <c r="G236" s="55" cm="1">
        <f t="array" ref="G236">(VLOOKUP($A236,'The List'!$B1:$AH671,19,FALSE)-AVERAGE('The List'!T2:T671))/STDEV('The List'!T2:T671)</f>
        <v>-0.16409250315911789</v>
      </c>
      <c r="H236" s="55" cm="1">
        <f t="array" ref="H236">(VLOOKUP($A236,'The List'!$B1:$AH671,20,FALSE)-AVERAGE('The List'!U2:U671))/STDEV('The List'!U2:U671)</f>
        <v>-0.1312215560095987</v>
      </c>
      <c r="I236" s="55" cm="1">
        <f t="array" ref="I236">(VLOOKUP($A236,'The List'!$B1:$AH671,21,FALSE)-AVERAGE('The List'!V2:V671))/STDEV('The List'!V2:V671)</f>
        <v>0.30934852957893366</v>
      </c>
      <c r="J236" s="55" cm="1">
        <f t="array" ref="J236">(VLOOKUP($A236,'The List'!$B1:$AH671,22,FALSE)-AVERAGE('The List'!W2:W671))/STDEV('The List'!W2:W671)</f>
        <v>-5.9094739739746431E-2</v>
      </c>
      <c r="K236" s="55" cm="1">
        <f t="array" ref="K236">(VLOOKUP($A236,'The List'!$B1:$AH671,23,FALSE)-AVERAGE('The List'!X2:X671))/STDEV('The List'!X2:X671)</f>
        <v>-5.9909731401134002E-2</v>
      </c>
      <c r="L236" s="55" cm="1">
        <f t="array" ref="L236">(VLOOKUP($A236,'The List'!$B1:$AH671,24,FALSE)-AVERAGE('The List'!Y2:Y671))/STDEV('The List'!Y2:Y671)</f>
        <v>-0.47546929358800777</v>
      </c>
      <c r="M236" s="55" cm="1">
        <f t="array" ref="M236">(VLOOKUP($A236,'The List'!$B1:$AH671,25,FALSE)-AVERAGE('The List'!Z2:Z671))/STDEV('The List'!Z2:Z671)</f>
        <v>-0.64388478613809508</v>
      </c>
      <c r="N236" s="55" cm="1">
        <f t="array" ref="N236">(VLOOKUP($A236,'The List'!$B1:$AH671,26,FALSE)-AVERAGE('The List'!AA2:AA671))/STDEV('The List'!AA2:AA671)</f>
        <v>-0.59673294409782329</v>
      </c>
      <c r="O236" s="55" cm="1">
        <f t="array" ref="O236">(VLOOKUP($A236,'The List'!$B1:$AH671,27,FALSE)-AVERAGE('The List'!AB2:AB671))/STDEV('The List'!AB2:AB671)</f>
        <v>-0.67620924899784629</v>
      </c>
      <c r="P236" s="55" cm="1">
        <f t="array" ref="P236">(VLOOKUP($A236,'The List'!$B1:$AH671,28,FALSE)-AVERAGE('The List'!AC2:AC671))/STDEV('The List'!AC2:AC671)</f>
        <v>0.2509982989394775</v>
      </c>
      <c r="Q236" s="55" cm="1">
        <f t="array" ref="Q236">(VLOOKUP($A236,'The List'!$B1:$AH671,29,FALSE)-AVERAGE('The List'!AD2:AD671))/STDEV('The List'!AD2:AD671)</f>
        <v>0.23135203780445712</v>
      </c>
      <c r="R236" s="55" cm="1">
        <f t="array" ref="R236">(VLOOKUP($A236,'The List'!$B1:$AH671,30,FALSE)-AVERAGE('The List'!AE2:AE671))/STDEV('The List'!AE2:AE671)</f>
        <v>0.19004815780100306</v>
      </c>
      <c r="S236" s="55" cm="1">
        <f t="array" ref="S236">(VLOOKUP($A236,'The List'!$B1:$AH671,31,FALSE)-AVERAGE('The List'!AF2:AF671))/STDEV('The List'!AF2:AF671)</f>
        <v>-0.55245283071817508</v>
      </c>
      <c r="T236" s="55" cm="1">
        <f t="array" ref="T236">(VLOOKUP($A236,'The List'!$B1:$AH671,32,FALSE)-AVERAGE('The List'!AG2:AG671))/STDEV('The List'!AG2:AG671)</f>
        <v>-0.5422235641490768</v>
      </c>
      <c r="U236" s="55" cm="1">
        <f t="array" ref="U236">(VLOOKUP($A236,'The List'!$B1:$AH671,33,FALSE)-AVERAGE('The List'!AH2:AH671))/STDEV('The List'!AH2:AH671)</f>
        <v>0.21671251848714493</v>
      </c>
      <c r="V236" s="55"/>
      <c r="W236" s="77"/>
      <c r="X236" s="57"/>
      <c r="Y236" s="57"/>
      <c r="Z236" s="57"/>
      <c r="AA236" s="57"/>
      <c r="AB236" s="57"/>
      <c r="AC236" s="60"/>
      <c r="AD236" s="61"/>
      <c r="AE236" s="55"/>
    </row>
    <row r="237" spans="1:31" ht="21.25" customHeight="1" x14ac:dyDescent="0.15">
      <c r="A237" s="10" t="s">
        <v>551</v>
      </c>
      <c r="B237" s="18" t="str" cm="1">
        <f t="array" ref="B237">VLOOKUP(A237,'Player Data'!A1:B673,2,FALSE)</f>
        <v>TOR</v>
      </c>
      <c r="C237" s="52" cm="1">
        <f t="array" ref="C237">((E237)*Settings!$C$12)+(F237*Settings!$C$2)+(G237*Settings!$C$3)+(H237*Settings!$C$4)+(I237*Settings!$C$5)+(K237*Settings!$C$9)+(N237*Settings!$C$6)+(J237*Settings!$C$8)+(O237*Settings!$C$7)+(P237*Settings!$C$14)+(Q237*Settings!$C$15)+(R237*Settings!$C$16)+(S237*Settings!$C$17)+(T237*Settings!$C$18)+(U237*Settings!$C$19)+(L237*Settings!$C$10)+(Settings!$C$11*M237)</f>
        <v>0.31408262778479779</v>
      </c>
      <c r="D237" s="57" cm="1">
        <f t="array" ref="D237">IF(Settings!$E$12="YES",VLOOKUP(A237,'Player Data'!A1:E673,5,FALSE),82)</f>
        <v>79</v>
      </c>
      <c r="E237" s="55" cm="1">
        <f t="array" ref="E237">(VLOOKUP($A237,'The List'!$B1:$AH671,17,FALSE)-AVERAGE('The List'!R2:R671))/STDEV('The List'!R2:R671)</f>
        <v>-0.60710453005825338</v>
      </c>
      <c r="F237" s="55" cm="1">
        <f t="array" ref="F237">(VLOOKUP($A237,'The List'!$B1:$AH671,18,FALSE)-AVERAGE('The List'!S2:S671))/STDEV('The List'!S2:S671)</f>
        <v>0.75611135362312021</v>
      </c>
      <c r="G237" s="55" cm="1">
        <f t="array" ref="G237">(VLOOKUP($A237,'The List'!$B1:$AH671,19,FALSE)-AVERAGE('The List'!T2:T671))/STDEV('The List'!T2:T671)</f>
        <v>-0.16338976842497224</v>
      </c>
      <c r="H237" s="55" cm="1">
        <f t="array" ref="H237">(VLOOKUP($A237,'The List'!$B1:$AH671,20,FALSE)-AVERAGE('The List'!U2:U671))/STDEV('The List'!U2:U671)</f>
        <v>0.23216171951140066</v>
      </c>
      <c r="I237" s="55" cm="1">
        <f t="array" ref="I237">(VLOOKUP($A237,'The List'!$B1:$AH671,21,FALSE)-AVERAGE('The List'!V2:V671))/STDEV('The List'!V2:V671)</f>
        <v>0.60029754947194403</v>
      </c>
      <c r="J237" s="55" cm="1">
        <f t="array" ref="J237">(VLOOKUP($A237,'The List'!$B1:$AH671,22,FALSE)-AVERAGE('The List'!W2:W671))/STDEV('The List'!W2:W671)</f>
        <v>0.35243862316299607</v>
      </c>
      <c r="K237" s="55" cm="1">
        <f t="array" ref="K237">(VLOOKUP($A237,'The List'!$B1:$AH671,23,FALSE)-AVERAGE('The List'!X2:X671))/STDEV('The List'!X2:X671)</f>
        <v>7.1736973815066912E-2</v>
      </c>
      <c r="L237" s="55" cm="1">
        <f t="array" ref="L237">(VLOOKUP($A237,'The List'!$B1:$AH671,24,FALSE)-AVERAGE('The List'!Y2:Y671))/STDEV('The List'!Y2:Y671)</f>
        <v>-0.47546929358800777</v>
      </c>
      <c r="M237" s="55" cm="1">
        <f t="array" ref="M237">(VLOOKUP($A237,'The List'!$B1:$AH671,25,FALSE)-AVERAGE('The List'!Z2:Z671))/STDEV('The List'!Z2:Z671)</f>
        <v>-0.64388478613809508</v>
      </c>
      <c r="N237" s="55" cm="1">
        <f t="array" ref="N237">(VLOOKUP($A237,'The List'!$B1:$AH671,26,FALSE)-AVERAGE('The List'!AA2:AA671))/STDEV('The List'!AA2:AA671)</f>
        <v>-0.87640646725079363</v>
      </c>
      <c r="O237" s="55" cm="1">
        <f t="array" ref="O237">(VLOOKUP($A237,'The List'!$B1:$AH671,27,FALSE)-AVERAGE('The List'!AB2:AB671))/STDEV('The List'!AB2:AB671)</f>
        <v>-0.84573386110174598</v>
      </c>
      <c r="P237" s="55" cm="1">
        <f t="array" ref="P237">(VLOOKUP($A237,'The List'!$B1:$AH671,28,FALSE)-AVERAGE('The List'!AC2:AC671))/STDEV('The List'!AC2:AC671)</f>
        <v>-0.1049396195986151</v>
      </c>
      <c r="Q237" s="55" cm="1">
        <f t="array" ref="Q237">(VLOOKUP($A237,'The List'!$B1:$AH671,29,FALSE)-AVERAGE('The List'!AD2:AD671))/STDEV('The List'!AD2:AD671)</f>
        <v>-1.0313322833482783</v>
      </c>
      <c r="R237" s="55" cm="1">
        <f t="array" ref="R237">(VLOOKUP($A237,'The List'!$B1:$AH671,30,FALSE)-AVERAGE('The List'!AE2:AE671))/STDEV('The List'!AE2:AE671)</f>
        <v>0.62670738710131524</v>
      </c>
      <c r="S237" s="55" cm="1">
        <f t="array" ref="S237">(VLOOKUP($A237,'The List'!$B1:$AH671,31,FALSE)-AVERAGE('The List'!AF2:AF671))/STDEV('The List'!AF2:AF671)</f>
        <v>8.7839900994293271E-2</v>
      </c>
      <c r="T237" s="55" cm="1">
        <f t="array" ref="T237">(VLOOKUP($A237,'The List'!$B1:$AH671,32,FALSE)-AVERAGE('The List'!AG2:AG671))/STDEV('The List'!AG2:AG671)</f>
        <v>4.6603834530881516E-2</v>
      </c>
      <c r="U237" s="55" cm="1">
        <f t="array" ref="U237">(VLOOKUP($A237,'The List'!$B1:$AH671,33,FALSE)-AVERAGE('The List'!AH2:AH671))/STDEV('The List'!AH2:AH671)</f>
        <v>1.09069778568889</v>
      </c>
      <c r="V237" s="55"/>
      <c r="W237" s="77"/>
      <c r="X237" s="57"/>
      <c r="Y237" s="57"/>
      <c r="Z237" s="57"/>
      <c r="AA237" s="57"/>
      <c r="AB237" s="57"/>
      <c r="AC237" s="60"/>
      <c r="AD237" s="61"/>
      <c r="AE237" s="55"/>
    </row>
    <row r="238" spans="1:31" ht="21.25" customHeight="1" x14ac:dyDescent="0.15">
      <c r="A238" s="10" t="s">
        <v>571</v>
      </c>
      <c r="B238" s="18" t="str" cm="1">
        <f t="array" ref="B238">VLOOKUP(A238,'Player Data'!A1:B673,2,FALSE)</f>
        <v>MTL</v>
      </c>
      <c r="C238" s="52" cm="1">
        <f t="array" ref="C238">((E238)*Settings!$C$12)+(F238*Settings!$C$2)+(G238*Settings!$C$3)+(H238*Settings!$C$4)+(I238*Settings!$C$5)+(K238*Settings!$C$9)+(N238*Settings!$C$6)+(J238*Settings!$C$8)+(O238*Settings!$C$7)+(P238*Settings!$C$14)+(Q238*Settings!$C$15)+(R238*Settings!$C$16)+(S238*Settings!$C$17)+(T238*Settings!$C$18)+(U238*Settings!$C$19)+(L238*Settings!$C$10)+(Settings!$C$11*M238)</f>
        <v>1.1862128219755155</v>
      </c>
      <c r="D238" s="57" cm="1">
        <f t="array" ref="D238">IF(Settings!$E$12="YES",VLOOKUP(A238,'Player Data'!A1:E673,5,FALSE),82)</f>
        <v>76</v>
      </c>
      <c r="E238" s="55" cm="1">
        <f t="array" ref="E238">(VLOOKUP($A238,'The List'!$B1:$AH671,17,FALSE)-AVERAGE('The List'!R2:R671))/STDEV('The List'!R2:R671)</f>
        <v>-0.60710453005825338</v>
      </c>
      <c r="F238" s="55" cm="1">
        <f t="array" ref="F238">(VLOOKUP($A238,'The List'!$B1:$AH671,18,FALSE)-AVERAGE('The List'!S2:S671))/STDEV('The List'!S2:S671)</f>
        <v>0.14437456275066815</v>
      </c>
      <c r="G238" s="55" cm="1">
        <f t="array" ref="G238">(VLOOKUP($A238,'The List'!$B1:$AH671,19,FALSE)-AVERAGE('The List'!T2:T671))/STDEV('The List'!T2:T671)</f>
        <v>-0.43394264107100866</v>
      </c>
      <c r="H238" s="55" cm="1">
        <f t="array" ref="H238">(VLOOKUP($A238,'The List'!$B1:$AH671,20,FALSE)-AVERAGE('The List'!U2:U671))/STDEV('The List'!U2:U671)</f>
        <v>-0.20902624760533561</v>
      </c>
      <c r="I238" s="55" cm="1">
        <f t="array" ref="I238">(VLOOKUP($A238,'The List'!$B1:$AH671,21,FALSE)-AVERAGE('The List'!V2:V671))/STDEV('The List'!V2:V671)</f>
        <v>-0.31954365118743061</v>
      </c>
      <c r="J238" s="55" cm="1">
        <f t="array" ref="J238">(VLOOKUP($A238,'The List'!$B1:$AH671,22,FALSE)-AVERAGE('The List'!W2:W671))/STDEV('The List'!W2:W671)</f>
        <v>0.31100908998486765</v>
      </c>
      <c r="K238" s="55" cm="1">
        <f t="array" ref="K238">(VLOOKUP($A238,'The List'!$B1:$AH671,23,FALSE)-AVERAGE('The List'!X2:X671))/STDEV('The List'!X2:X671)</f>
        <v>-3.7801124418260494E-2</v>
      </c>
      <c r="L238" s="55" cm="1">
        <f t="array" ref="L238">(VLOOKUP($A238,'The List'!$B1:$AH671,24,FALSE)-AVERAGE('The List'!Y2:Y671))/STDEV('The List'!Y2:Y671)</f>
        <v>-0.47546929358800777</v>
      </c>
      <c r="M238" s="55" cm="1">
        <f t="array" ref="M238">(VLOOKUP($A238,'The List'!$B1:$AH671,25,FALSE)-AVERAGE('The List'!Z2:Z671))/STDEV('The List'!Z2:Z671)</f>
        <v>-0.64388478613809508</v>
      </c>
      <c r="N238" s="55" cm="1">
        <f t="array" ref="N238">(VLOOKUP($A238,'The List'!$B1:$AH671,26,FALSE)-AVERAGE('The List'!AA2:AA671))/STDEV('The List'!AA2:AA671)</f>
        <v>-0.59417884799596965</v>
      </c>
      <c r="O238" s="55" cm="1">
        <f t="array" ref="O238">(VLOOKUP($A238,'The List'!$B1:$AH671,27,FALSE)-AVERAGE('The List'!AB2:AB671))/STDEV('The List'!AB2:AB671)</f>
        <v>1.1133310940094598</v>
      </c>
      <c r="P238" s="55" cm="1">
        <f t="array" ref="P238">(VLOOKUP($A238,'The List'!$B1:$AH671,28,FALSE)-AVERAGE('The List'!AC2:AC671))/STDEV('The List'!AC2:AC671)</f>
        <v>0.71979458189208723</v>
      </c>
      <c r="Q238" s="55" cm="1">
        <f t="array" ref="Q238">(VLOOKUP($A238,'The List'!$B1:$AH671,29,FALSE)-AVERAGE('The List'!AD2:AD671))/STDEV('The List'!AD2:AD671)</f>
        <v>-0.24003040625373204</v>
      </c>
      <c r="R238" s="55" cm="1">
        <f t="array" ref="R238">(VLOOKUP($A238,'The List'!$B1:$AH671,30,FALSE)-AVERAGE('The List'!AE2:AE671))/STDEV('The List'!AE2:AE671)</f>
        <v>7.7764355980922711E-2</v>
      </c>
      <c r="S238" s="55" cm="1">
        <f t="array" ref="S238">(VLOOKUP($A238,'The List'!$B1:$AH671,31,FALSE)-AVERAGE('The List'!AF2:AF671))/STDEV('The List'!AF2:AF671)</f>
        <v>-0.52639496462805957</v>
      </c>
      <c r="T238" s="55" cm="1">
        <f t="array" ref="T238">(VLOOKUP($A238,'The List'!$B1:$AH671,32,FALSE)-AVERAGE('The List'!AG2:AG671))/STDEV('The List'!AG2:AG671)</f>
        <v>-0.54212149665060572</v>
      </c>
      <c r="U238" s="55" cm="1">
        <f t="array" ref="U238">(VLOOKUP($A238,'The List'!$B1:$AH671,33,FALSE)-AVERAGE('The List'!AH2:AH671))/STDEV('The List'!AH2:AH671)</f>
        <v>0.63070553979323463</v>
      </c>
      <c r="V238" s="55"/>
      <c r="W238" s="77"/>
      <c r="X238" s="57"/>
      <c r="Y238" s="57"/>
      <c r="Z238" s="57"/>
      <c r="AA238" s="57"/>
      <c r="AB238" s="57"/>
      <c r="AC238" s="60"/>
      <c r="AD238" s="61"/>
      <c r="AE238" s="55"/>
    </row>
    <row r="239" spans="1:31" ht="21.25" customHeight="1" x14ac:dyDescent="0.15">
      <c r="A239" s="10" t="s">
        <v>538</v>
      </c>
      <c r="B239" s="18" t="str" cm="1">
        <f t="array" ref="B239">VLOOKUP(A239,'Player Data'!A1:B673,2,FALSE)</f>
        <v>PHI</v>
      </c>
      <c r="C239" s="52" cm="1">
        <f t="array" ref="C239">((E239)*Settings!$C$12)+(F239*Settings!$C$2)+(G239*Settings!$C$3)+(H239*Settings!$C$4)+(I239*Settings!$C$5)+(K239*Settings!$C$9)+(N239*Settings!$C$6)+(J239*Settings!$C$8)+(O239*Settings!$C$7)+(P239*Settings!$C$14)+(Q239*Settings!$C$15)+(R239*Settings!$C$16)+(S239*Settings!$C$17)+(T239*Settings!$C$18)+(U239*Settings!$C$19)+(L239*Settings!$C$10)+(Settings!$C$11*M239)</f>
        <v>0.53333738844142942</v>
      </c>
      <c r="D239" s="57" cm="1">
        <f t="array" ref="D239">IF(Settings!$E$12="YES",VLOOKUP(A239,'Player Data'!A1:E673,5,FALSE),82)</f>
        <v>81</v>
      </c>
      <c r="E239" s="55" cm="1">
        <f t="array" ref="E239">(VLOOKUP($A239,'The List'!$B1:$AH671,17,FALSE)-AVERAGE('The List'!R2:R671))/STDEV('The List'!R2:R671)</f>
        <v>-0.50217608935513669</v>
      </c>
      <c r="F239" s="55" cm="1">
        <f t="array" ref="F239">(VLOOKUP($A239,'The List'!$B1:$AH671,18,FALSE)-AVERAGE('The List'!S2:S671))/STDEV('The List'!S2:S671)</f>
        <v>0.244168492746174</v>
      </c>
      <c r="G239" s="55" cm="1">
        <f t="array" ref="G239">(VLOOKUP($A239,'The List'!$B1:$AH671,19,FALSE)-AVERAGE('The List'!T2:T671))/STDEV('The List'!T2:T671)</f>
        <v>4.5322447616255708E-2</v>
      </c>
      <c r="H239" s="55" cm="1">
        <f t="array" ref="H239">(VLOOKUP($A239,'The List'!$B1:$AH671,20,FALSE)-AVERAGE('The List'!U2:U671))/STDEV('The List'!U2:U671)</f>
        <v>0.13667414346208687</v>
      </c>
      <c r="I239" s="55" cm="1">
        <f t="array" ref="I239">(VLOOKUP($A239,'The List'!$B1:$AH671,21,FALSE)-AVERAGE('The List'!V2:V671))/STDEV('The List'!V2:V671)</f>
        <v>-4.2934755196510202E-2</v>
      </c>
      <c r="J239" s="55" cm="1">
        <f t="array" ref="J239">(VLOOKUP($A239,'The List'!$B1:$AH671,22,FALSE)-AVERAGE('The List'!W2:W671))/STDEV('The List'!W2:W671)</f>
        <v>-6.738064637537218E-2</v>
      </c>
      <c r="K239" s="55" cm="1">
        <f t="array" ref="K239">(VLOOKUP($A239,'The List'!$B1:$AH671,23,FALSE)-AVERAGE('The List'!X2:X671))/STDEV('The List'!X2:X671)</f>
        <v>-0.15035403269470712</v>
      </c>
      <c r="L239" s="55" cm="1">
        <f t="array" ref="L239">(VLOOKUP($A239,'The List'!$B1:$AH671,24,FALSE)-AVERAGE('The List'!Y2:Y671))/STDEV('The List'!Y2:Y671)</f>
        <v>1.0093815618045958</v>
      </c>
      <c r="M239" s="55" cm="1">
        <f t="array" ref="M239">(VLOOKUP($A239,'The List'!$B1:$AH671,25,FALSE)-AVERAGE('The List'!Z2:Z671))/STDEV('The List'!Z2:Z671)</f>
        <v>0.23627697309704196</v>
      </c>
      <c r="N239" s="55" cm="1">
        <f t="array" ref="N239">(VLOOKUP($A239,'The List'!$B1:$AH671,26,FALSE)-AVERAGE('The List'!AA2:AA671))/STDEV('The List'!AA2:AA671)</f>
        <v>-0.36098987389673509</v>
      </c>
      <c r="O239" s="55" cm="1">
        <f t="array" ref="O239">(VLOOKUP($A239,'The List'!$B1:$AH671,27,FALSE)-AVERAGE('The List'!AB2:AB671))/STDEV('The List'!AB2:AB671)</f>
        <v>0.19047764335437478</v>
      </c>
      <c r="P239" s="55" cm="1">
        <f t="array" ref="P239">(VLOOKUP($A239,'The List'!$B1:$AH671,28,FALSE)-AVERAGE('The List'!AC2:AC671))/STDEV('The List'!AC2:AC671)</f>
        <v>0.24665759261584222</v>
      </c>
      <c r="Q239" s="55" cm="1">
        <f t="array" ref="Q239">(VLOOKUP($A239,'The List'!$B1:$AH671,29,FALSE)-AVERAGE('The List'!AD2:AD671))/STDEV('The List'!AD2:AD671)</f>
        <v>-0.75796001955277681</v>
      </c>
      <c r="R239" s="55" cm="1">
        <f t="array" ref="R239">(VLOOKUP($A239,'The List'!$B1:$AH671,30,FALSE)-AVERAGE('The List'!AE2:AE671))/STDEV('The List'!AE2:AE671)</f>
        <v>0.17133419083098952</v>
      </c>
      <c r="S239" s="55" cm="1">
        <f t="array" ref="S239">(VLOOKUP($A239,'The List'!$B1:$AH671,31,FALSE)-AVERAGE('The List'!AF2:AF671))/STDEV('The List'!AF2:AF671)</f>
        <v>1.3707811493609561</v>
      </c>
      <c r="T239" s="55" cm="1">
        <f t="array" ref="T239">(VLOOKUP($A239,'The List'!$B1:$AH671,32,FALSE)-AVERAGE('The List'!AG2:AG671))/STDEV('The List'!AG2:AG671)</f>
        <v>1.920205870216209</v>
      </c>
      <c r="U239" s="55" cm="1">
        <f t="array" ref="U239">(VLOOKUP($A239,'The List'!$B1:$AH671,33,FALSE)-AVERAGE('The List'!AH2:AH671))/STDEV('The List'!AH2:AH671)</f>
        <v>0.8147024381514969</v>
      </c>
      <c r="V239" s="55"/>
      <c r="W239" s="77"/>
      <c r="X239" s="57"/>
      <c r="Y239" s="57"/>
      <c r="Z239" s="57"/>
      <c r="AA239" s="57"/>
      <c r="AB239" s="57"/>
      <c r="AC239" s="60"/>
      <c r="AD239" s="61"/>
      <c r="AE239" s="55"/>
    </row>
    <row r="240" spans="1:31" ht="21.25" customHeight="1" x14ac:dyDescent="0.15">
      <c r="A240" s="10" t="s">
        <v>625</v>
      </c>
      <c r="B240" s="18" t="str" cm="1">
        <f t="array" ref="B240">VLOOKUP(A240,'Player Data'!A1:B673,2,FALSE)</f>
        <v>VAN</v>
      </c>
      <c r="C240" s="52" cm="1">
        <f t="array" ref="C240">((E240)*Settings!$C$12)+(F240*Settings!$C$2)+(G240*Settings!$C$3)+(H240*Settings!$C$4)+(I240*Settings!$C$5)+(K240*Settings!$C$9)+(N240*Settings!$C$6)+(J240*Settings!$C$8)+(O240*Settings!$C$7)+(P240*Settings!$C$14)+(Q240*Settings!$C$15)+(R240*Settings!$C$16)+(S240*Settings!$C$17)+(T240*Settings!$C$18)+(U240*Settings!$C$19)+(L240*Settings!$C$10)+(Settings!$C$11*M240)</f>
        <v>-3.4729374871748071</v>
      </c>
      <c r="D240" s="57" cm="1">
        <f t="array" ref="D240">IF(Settings!$E$12="YES",VLOOKUP(A240,'Player Data'!A1:E673,5,FALSE),82)</f>
        <v>61</v>
      </c>
      <c r="E240" s="55" cm="1">
        <f t="array" ref="E240">(VLOOKUP($A240,'The List'!$B1:$AH671,17,FALSE)-AVERAGE('The List'!R2:R671))/STDEV('The List'!R2:R671)</f>
        <v>-0.37101553847624086</v>
      </c>
      <c r="F240" s="55" cm="1">
        <f t="array" ref="F240">(VLOOKUP($A240,'The List'!$B1:$AH671,18,FALSE)-AVERAGE('The List'!S2:S671))/STDEV('The List'!S2:S671)</f>
        <v>2.7615664655926079E-2</v>
      </c>
      <c r="G240" s="55" cm="1">
        <f t="array" ref="G240">(VLOOKUP($A240,'The List'!$B1:$AH671,19,FALSE)-AVERAGE('The List'!T2:T671))/STDEV('The List'!T2:T671)</f>
        <v>-0.59065248678546611</v>
      </c>
      <c r="H240" s="55" cm="1">
        <f t="array" ref="H240">(VLOOKUP($A240,'The List'!$B1:$AH671,20,FALSE)-AVERAGE('The List'!U2:U671))/STDEV('The List'!U2:U671)</f>
        <v>-0.35933076546073667</v>
      </c>
      <c r="I240" s="55" cm="1">
        <f t="array" ref="I240">(VLOOKUP($A240,'The List'!$B1:$AH671,21,FALSE)-AVERAGE('The List'!V2:V671))/STDEV('The List'!V2:V671)</f>
        <v>9.2346172699111759E-2</v>
      </c>
      <c r="J240" s="55" cm="1">
        <f t="array" ref="J240">(VLOOKUP($A240,'The List'!$B1:$AH671,22,FALSE)-AVERAGE('The List'!W2:W671))/STDEV('The List'!W2:W671)</f>
        <v>-0.40157888067894149</v>
      </c>
      <c r="K240" s="55" cm="1">
        <f t="array" ref="K240">(VLOOKUP($A240,'The List'!$B1:$AH671,23,FALSE)-AVERAGE('The List'!X2:X671))/STDEV('The List'!X2:X671)</f>
        <v>-0.37244503920448124</v>
      </c>
      <c r="L240" s="55" cm="1">
        <f t="array" ref="L240">(VLOOKUP($A240,'The List'!$B1:$AH671,24,FALSE)-AVERAGE('The List'!Y2:Y671))/STDEV('The List'!Y2:Y671)</f>
        <v>-0.47546929358800777</v>
      </c>
      <c r="M240" s="55" cm="1">
        <f t="array" ref="M240">(VLOOKUP($A240,'The List'!$B1:$AH671,25,FALSE)-AVERAGE('The List'!Z2:Z671))/STDEV('The List'!Z2:Z671)</f>
        <v>-0.64388478613809508</v>
      </c>
      <c r="N240" s="55" cm="1">
        <f t="array" ref="N240">(VLOOKUP($A240,'The List'!$B1:$AH671,26,FALSE)-AVERAGE('The List'!AA2:AA671))/STDEV('The List'!AA2:AA671)</f>
        <v>-1.0776692400768579</v>
      </c>
      <c r="O240" s="55" cm="1">
        <f t="array" ref="O240">(VLOOKUP($A240,'The List'!$B1:$AH671,27,FALSE)-AVERAGE('The List'!AB2:AB671))/STDEV('The List'!AB2:AB671)</f>
        <v>-1.0685552073616476</v>
      </c>
      <c r="P240" s="55" cm="1">
        <f t="array" ref="P240">(VLOOKUP($A240,'The List'!$B1:$AH671,28,FALSE)-AVERAGE('The List'!AC2:AC671))/STDEV('The List'!AC2:AC671)</f>
        <v>-1.56124659117825</v>
      </c>
      <c r="Q240" s="55" cm="1">
        <f t="array" ref="Q240">(VLOOKUP($A240,'The List'!$B1:$AH671,29,FALSE)-AVERAGE('The List'!AD2:AD671))/STDEV('The List'!AD2:AD671)</f>
        <v>-0.7062409426184928</v>
      </c>
      <c r="R240" s="55" cm="1">
        <f t="array" ref="R240">(VLOOKUP($A240,'The List'!$B1:$AH671,30,FALSE)-AVERAGE('The List'!AE2:AE671))/STDEV('The List'!AE2:AE671)</f>
        <v>-0.20294514856927789</v>
      </c>
      <c r="S240" s="55" cm="1">
        <f t="array" ref="S240">(VLOOKUP($A240,'The List'!$B1:$AH671,31,FALSE)-AVERAGE('The List'!AF2:AF671))/STDEV('The List'!AF2:AF671)</f>
        <v>0.78255607258500992</v>
      </c>
      <c r="T240" s="55" cm="1">
        <f t="array" ref="T240">(VLOOKUP($A240,'The List'!$B1:$AH671,32,FALSE)-AVERAGE('The List'!AG2:AG671))/STDEV('The List'!AG2:AG671)</f>
        <v>1.0186436562207033</v>
      </c>
      <c r="U240" s="55" cm="1">
        <f t="array" ref="U240">(VLOOKUP($A240,'The List'!$B1:$AH671,33,FALSE)-AVERAGE('The List'!AH2:AH671))/STDEV('The List'!AH2:AH671)</f>
        <v>0.90670088733062781</v>
      </c>
      <c r="V240" s="55"/>
      <c r="W240" s="57"/>
      <c r="X240" s="55"/>
      <c r="Y240" s="55"/>
      <c r="Z240" s="55"/>
      <c r="AA240" s="55"/>
      <c r="AB240" s="55"/>
      <c r="AC240" s="55"/>
      <c r="AD240" s="55"/>
      <c r="AE240" s="55"/>
    </row>
    <row r="241" spans="1:31" ht="21.25" customHeight="1" x14ac:dyDescent="0.15">
      <c r="A241" s="10" t="s">
        <v>574</v>
      </c>
      <c r="B241" s="18" t="str" cm="1">
        <f t="array" ref="B241">VLOOKUP(A241,'Player Data'!A1:B673,2,FALSE)</f>
        <v>VGK</v>
      </c>
      <c r="C241" s="52" cm="1">
        <f t="array" ref="C241">((E241)*Settings!$C$12)+(F241*Settings!$C$2)+(G241*Settings!$C$3)+(H241*Settings!$C$4)+(I241*Settings!$C$5)+(K241*Settings!$C$9)+(N241*Settings!$C$6)+(J241*Settings!$C$8)+(O241*Settings!$C$7)+(P241*Settings!$C$14)+(Q241*Settings!$C$15)+(R241*Settings!$C$16)+(S241*Settings!$C$17)+(T241*Settings!$C$18)+(U241*Settings!$C$19)+(L241*Settings!$C$10)+(Settings!$C$11*M241)</f>
        <v>-1.3439693578780743</v>
      </c>
      <c r="D241" s="57" cm="1">
        <f t="array" ref="D241">IF(Settings!$E$12="YES",VLOOKUP(A241,'Player Data'!A1:E673,5,FALSE),82)</f>
        <v>67</v>
      </c>
      <c r="E241" s="55" cm="1">
        <f t="array" ref="E241">(VLOOKUP($A241,'The List'!$B1:$AH671,17,FALSE)-AVERAGE('The List'!R2:R671))/STDEV('The List'!R2:R671)</f>
        <v>-0.39724764865201989</v>
      </c>
      <c r="F241" s="55" cm="1">
        <f t="array" ref="F241">(VLOOKUP($A241,'The List'!$B1:$AH671,18,FALSE)-AVERAGE('The List'!S2:S671))/STDEV('The List'!S2:S671)</f>
        <v>-3.5254511241242799E-2</v>
      </c>
      <c r="G241" s="55" cm="1">
        <f t="array" ref="G241">(VLOOKUP($A241,'The List'!$B1:$AH671,19,FALSE)-AVERAGE('The List'!T2:T671))/STDEV('The List'!T2:T671)</f>
        <v>-0.43815904947588186</v>
      </c>
      <c r="H241" s="55" cm="1">
        <f t="array" ref="H241">(VLOOKUP($A241,'The List'!$B1:$AH671,20,FALSE)-AVERAGE('The List'!U2:U671))/STDEV('The List'!U2:U671)</f>
        <v>-0.29125166031446675</v>
      </c>
      <c r="I241" s="55" cm="1">
        <f t="array" ref="I241">(VLOOKUP($A241,'The List'!$B1:$AH671,21,FALSE)-AVERAGE('The List'!V2:V671))/STDEV('The List'!V2:V671)</f>
        <v>0.10789570464113686</v>
      </c>
      <c r="J241" s="55" cm="1">
        <f t="array" ref="J241">(VLOOKUP($A241,'The List'!$B1:$AH671,22,FALSE)-AVERAGE('The List'!W2:W671))/STDEV('The List'!W2:W671)</f>
        <v>-0.36843525413643868</v>
      </c>
      <c r="K241" s="55" cm="1">
        <f t="array" ref="K241">(VLOOKUP($A241,'The List'!$B1:$AH671,23,FALSE)-AVERAGE('The List'!X2:X671))/STDEV('The List'!X2:X671)</f>
        <v>-0.5322299714897939</v>
      </c>
      <c r="L241" s="55" cm="1">
        <f t="array" ref="L241">(VLOOKUP($A241,'The List'!$B1:$AH671,24,FALSE)-AVERAGE('The List'!Y2:Y671))/STDEV('The List'!Y2:Y671)</f>
        <v>1.9809506400244477</v>
      </c>
      <c r="M241" s="55" cm="1">
        <f t="array" ref="M241">(VLOOKUP($A241,'The List'!$B1:$AH671,25,FALSE)-AVERAGE('The List'!Z2:Z671))/STDEV('The List'!Z2:Z671)</f>
        <v>1.5402203201120594</v>
      </c>
      <c r="N241" s="55" cm="1">
        <f t="array" ref="N241">(VLOOKUP($A241,'The List'!$B1:$AH671,26,FALSE)-AVERAGE('The List'!AA2:AA671))/STDEV('The List'!AA2:AA671)</f>
        <v>-0.45932257381809893</v>
      </c>
      <c r="O241" s="55" cm="1">
        <f t="array" ref="O241">(VLOOKUP($A241,'The List'!$B1:$AH671,27,FALSE)-AVERAGE('The List'!AB2:AB671))/STDEV('The List'!AB2:AB671)</f>
        <v>-1.0683502199225861</v>
      </c>
      <c r="P241" s="55" cm="1">
        <f t="array" ref="P241">(VLOOKUP($A241,'The List'!$B1:$AH671,28,FALSE)-AVERAGE('The List'!AC2:AC671))/STDEV('The List'!AC2:AC671)</f>
        <v>0.62212868961029344</v>
      </c>
      <c r="Q241" s="55" cm="1">
        <f t="array" ref="Q241">(VLOOKUP($A241,'The List'!$B1:$AH671,29,FALSE)-AVERAGE('The List'!AD2:AD671))/STDEV('The List'!AD2:AD671)</f>
        <v>-1.3342583053919423</v>
      </c>
      <c r="R241" s="55" cm="1">
        <f t="array" ref="R241">(VLOOKUP($A241,'The List'!$B1:$AH671,30,FALSE)-AVERAGE('The List'!AE2:AE671))/STDEV('The List'!AE2:AE671)</f>
        <v>0.32728391558110126</v>
      </c>
      <c r="S241" s="55" cm="1">
        <f t="array" ref="S241">(VLOOKUP($A241,'The List'!$B1:$AH671,31,FALSE)-AVERAGE('The List'!AF2:AF671))/STDEV('The List'!AF2:AF671)</f>
        <v>1.5913595434964722</v>
      </c>
      <c r="T241" s="55" cm="1">
        <f t="array" ref="T241">(VLOOKUP($A241,'The List'!$B1:$AH671,32,FALSE)-AVERAGE('The List'!AG2:AG671))/STDEV('The List'!AG2:AG671)</f>
        <v>1.0867226777009482</v>
      </c>
      <c r="U241" s="55" cm="1">
        <f t="array" ref="U241">(VLOOKUP($A241,'The List'!$B1:$AH671,33,FALSE)-AVERAGE('The List'!AH2:AH671))/STDEV('The List'!AH2:AH671)</f>
        <v>1.3666931332262831</v>
      </c>
      <c r="V241" s="55"/>
      <c r="W241" s="77"/>
      <c r="X241" s="57"/>
      <c r="Y241" s="57"/>
      <c r="Z241" s="57"/>
      <c r="AA241" s="57"/>
      <c r="AB241" s="57"/>
      <c r="AC241" s="60"/>
      <c r="AD241" s="61"/>
      <c r="AE241" s="55"/>
    </row>
    <row r="242" spans="1:31" ht="21.25" customHeight="1" x14ac:dyDescent="0.15">
      <c r="A242" s="10" t="s">
        <v>618</v>
      </c>
      <c r="B242" s="18" t="str" cm="1">
        <f t="array" ref="B242">VLOOKUP(A242,'Player Data'!A1:B673,2,FALSE)</f>
        <v>VAN</v>
      </c>
      <c r="C242" s="52" cm="1">
        <f t="array" ref="C242">((E242)*Settings!$C$12)+(F242*Settings!$C$2)+(G242*Settings!$C$3)+(H242*Settings!$C$4)+(I242*Settings!$C$5)+(K242*Settings!$C$9)+(N242*Settings!$C$6)+(J242*Settings!$C$8)+(O242*Settings!$C$7)+(P242*Settings!$C$14)+(Q242*Settings!$C$15)+(R242*Settings!$C$16)+(S242*Settings!$C$17)+(T242*Settings!$C$18)+(U242*Settings!$C$19)+(L242*Settings!$C$10)+(Settings!$C$11*M242)</f>
        <v>-2.3291493433084089</v>
      </c>
      <c r="D242" s="57" cm="1">
        <f t="array" ref="D242">IF(Settings!$E$12="YES",VLOOKUP(A242,'Player Data'!A1:E673,5,FALSE),82)</f>
        <v>74</v>
      </c>
      <c r="E242" s="55" cm="1">
        <f t="array" ref="E242">(VLOOKUP($A242,'The List'!$B1:$AH671,17,FALSE)-AVERAGE('The List'!R2:R671))/STDEV('The List'!R2:R671)</f>
        <v>-0.73826508093714915</v>
      </c>
      <c r="F242" s="55" cm="1">
        <f t="array" ref="F242">(VLOOKUP($A242,'The List'!$B1:$AH671,18,FALSE)-AVERAGE('The List'!S2:S671))/STDEV('The List'!S2:S671)</f>
        <v>0.17830449894913999</v>
      </c>
      <c r="G242" s="55" cm="1">
        <f t="array" ref="G242">(VLOOKUP($A242,'The List'!$B1:$AH671,19,FALSE)-AVERAGE('The List'!T2:T671))/STDEV('The List'!T2:T671)</f>
        <v>-0.20625658720785067</v>
      </c>
      <c r="H242" s="55" cm="1">
        <f t="array" ref="H242">(VLOOKUP($A242,'The List'!$B1:$AH671,20,FALSE)-AVERAGE('The List'!U2:U671))/STDEV('The List'!U2:U671)</f>
        <v>-5.0764431745824845E-2</v>
      </c>
      <c r="I242" s="55" cm="1">
        <f t="array" ref="I242">(VLOOKUP($A242,'The List'!$B1:$AH671,21,FALSE)-AVERAGE('The List'!V2:V671))/STDEV('The List'!V2:V671)</f>
        <v>-1.0626283272524075E-2</v>
      </c>
      <c r="J242" s="55" cm="1">
        <f t="array" ref="J242">(VLOOKUP($A242,'The List'!$B1:$AH671,22,FALSE)-AVERAGE('The List'!W2:W671))/STDEV('The List'!W2:W671)</f>
        <v>-0.12538199282475199</v>
      </c>
      <c r="K242" s="55" cm="1">
        <f t="array" ref="K242">(VLOOKUP($A242,'The List'!$B1:$AH671,23,FALSE)-AVERAGE('The List'!X2:X671))/STDEV('The List'!X2:X671)</f>
        <v>-0.35536111562680645</v>
      </c>
      <c r="L242" s="55" cm="1">
        <f t="array" ref="L242">(VLOOKUP($A242,'The List'!$B1:$AH671,24,FALSE)-AVERAGE('The List'!Y2:Y671))/STDEV('The List'!Y2:Y671)</f>
        <v>-0.47546929358800777</v>
      </c>
      <c r="M242" s="55" cm="1">
        <f t="array" ref="M242">(VLOOKUP($A242,'The List'!$B1:$AH671,25,FALSE)-AVERAGE('The List'!Z2:Z671))/STDEV('The List'!Z2:Z671)</f>
        <v>-0.64388478613809508</v>
      </c>
      <c r="N242" s="55" cm="1">
        <f t="array" ref="N242">(VLOOKUP($A242,'The List'!$B1:$AH671,26,FALSE)-AVERAGE('The List'!AA2:AA671))/STDEV('The List'!AA2:AA671)</f>
        <v>-0.92365724513508529</v>
      </c>
      <c r="O242" s="55" cm="1">
        <f t="array" ref="O242">(VLOOKUP($A242,'The List'!$B1:$AH671,27,FALSE)-AVERAGE('The List'!AB2:AB671))/STDEV('The List'!AB2:AB671)</f>
        <v>9.7003371142309239E-2</v>
      </c>
      <c r="P242" s="55" cm="1">
        <f t="array" ref="P242">(VLOOKUP($A242,'The List'!$B1:$AH671,28,FALSE)-AVERAGE('The List'!AC2:AC671))/STDEV('The List'!AC2:AC671)</f>
        <v>-2.0322132272926772</v>
      </c>
      <c r="Q242" s="55" cm="1">
        <f t="array" ref="Q242">(VLOOKUP($A242,'The List'!$B1:$AH671,29,FALSE)-AVERAGE('The List'!AD2:AD671))/STDEV('The List'!AD2:AD671)</f>
        <v>-0.62422926347984231</v>
      </c>
      <c r="R242" s="55" cm="1">
        <f t="array" ref="R242">(VLOOKUP($A242,'The List'!$B1:$AH671,30,FALSE)-AVERAGE('The List'!AE2:AE671))/STDEV('The List'!AE2:AE671)</f>
        <v>4.0336422040895929E-2</v>
      </c>
      <c r="S242" s="55" cm="1">
        <f t="array" ref="S242">(VLOOKUP($A242,'The List'!$B1:$AH671,31,FALSE)-AVERAGE('The List'!AF2:AF671))/STDEV('The List'!AF2:AF671)</f>
        <v>-0.52466418385454638</v>
      </c>
      <c r="T242" s="55" cm="1">
        <f t="array" ref="T242">(VLOOKUP($A242,'The List'!$B1:$AH671,32,FALSE)-AVERAGE('The List'!AG2:AG671))/STDEV('The List'!AG2:AG671)</f>
        <v>-0.45046488302352944</v>
      </c>
      <c r="U242" s="55" cm="1">
        <f t="array" ref="U242">(VLOOKUP($A242,'The List'!$B1:$AH671,33,FALSE)-AVERAGE('The List'!AH2:AH671))/STDEV('The List'!AH2:AH671)</f>
        <v>3.271562012888287E-2</v>
      </c>
      <c r="V242" s="55"/>
      <c r="W242" s="77"/>
      <c r="X242" s="57"/>
      <c r="Y242" s="57"/>
      <c r="Z242" s="57"/>
      <c r="AA242" s="57"/>
      <c r="AB242" s="57"/>
      <c r="AC242" s="60"/>
      <c r="AD242" s="61"/>
      <c r="AE242" s="55"/>
    </row>
    <row r="243" spans="1:31" ht="21.25" customHeight="1" x14ac:dyDescent="0.15">
      <c r="A243" s="10" t="s">
        <v>566</v>
      </c>
      <c r="B243" s="18" t="str" cm="1">
        <f t="array" ref="B243">VLOOKUP(A243,'Player Data'!A1:B673,2,FALSE)</f>
        <v>NYI</v>
      </c>
      <c r="C243" s="52" cm="1">
        <f t="array" ref="C243">((E243)*Settings!$C$12)+(F243*Settings!$C$2)+(G243*Settings!$C$3)+(H243*Settings!$C$4)+(I243*Settings!$C$5)+(K243*Settings!$C$9)+(N243*Settings!$C$6)+(J243*Settings!$C$8)+(O243*Settings!$C$7)+(P243*Settings!$C$14)+(Q243*Settings!$C$15)+(R243*Settings!$C$16)+(S243*Settings!$C$17)+(T243*Settings!$C$18)+(U243*Settings!$C$19)+(L243*Settings!$C$10)+(Settings!$C$11*M243)</f>
        <v>4.1407157569736119E-2</v>
      </c>
      <c r="D243" s="57" cm="1">
        <f t="array" ref="D243">IF(Settings!$E$12="YES",VLOOKUP(A243,'Player Data'!A1:E673,5,FALSE),82)</f>
        <v>84</v>
      </c>
      <c r="E243" s="55" cm="1">
        <f t="array" ref="E243">(VLOOKUP($A243,'The List'!$B1:$AH671,17,FALSE)-AVERAGE('The List'!R2:R671))/STDEV('The List'!R2:R671)</f>
        <v>-0.31855131812468268</v>
      </c>
      <c r="F243" s="55" cm="1">
        <f t="array" ref="F243">(VLOOKUP($A243,'The List'!$B1:$AH671,18,FALSE)-AVERAGE('The List'!S2:S671))/STDEV('The List'!S2:S671)</f>
        <v>0.13639104835102747</v>
      </c>
      <c r="G243" s="55" cm="1">
        <f t="array" ref="G243">(VLOOKUP($A243,'The List'!$B1:$AH671,19,FALSE)-AVERAGE('The List'!T2:T671))/STDEV('The List'!T2:T671)</f>
        <v>-0.12755029698354939</v>
      </c>
      <c r="H243" s="55" cm="1">
        <f t="array" ref="H243">(VLOOKUP($A243,'The List'!$B1:$AH671,20,FALSE)-AVERAGE('The List'!U2:U671))/STDEV('The List'!U2:U671)</f>
        <v>-1.9819383952065985E-2</v>
      </c>
      <c r="I243" s="55" cm="1">
        <f t="array" ref="I243">(VLOOKUP($A243,'The List'!$B1:$AH671,21,FALSE)-AVERAGE('The List'!V2:V671))/STDEV('The List'!V2:V671)</f>
        <v>-0.18132558948053737</v>
      </c>
      <c r="J243" s="55" cm="1">
        <f t="array" ref="J243">(VLOOKUP($A243,'The List'!$B1:$AH671,22,FALSE)-AVERAGE('The List'!W2:W671))/STDEV('The List'!W2:W671)</f>
        <v>-0.27452831226601432</v>
      </c>
      <c r="K243" s="55" cm="1">
        <f t="array" ref="K243">(VLOOKUP($A243,'The List'!$B1:$AH671,23,FALSE)-AVERAGE('The List'!X2:X671))/STDEV('The List'!X2:X671)</f>
        <v>-0.2106502335570892</v>
      </c>
      <c r="L243" s="55" cm="1">
        <f t="array" ref="L243">(VLOOKUP($A243,'The List'!$B1:$AH671,24,FALSE)-AVERAGE('The List'!Y2:Y671))/STDEV('The List'!Y2:Y671)</f>
        <v>-0.47546929358800777</v>
      </c>
      <c r="M243" s="55" cm="1">
        <f t="array" ref="M243">(VLOOKUP($A243,'The List'!$B1:$AH671,25,FALSE)-AVERAGE('The List'!Z2:Z671))/STDEV('The List'!Z2:Z671)</f>
        <v>-0.64388478613809508</v>
      </c>
      <c r="N243" s="55" cm="1">
        <f t="array" ref="N243">(VLOOKUP($A243,'The List'!$B1:$AH671,26,FALSE)-AVERAGE('The List'!AA2:AA671))/STDEV('The List'!AA2:AA671)</f>
        <v>-0.59315720955522822</v>
      </c>
      <c r="O243" s="55" cm="1">
        <f t="array" ref="O243">(VLOOKUP($A243,'The List'!$B1:$AH671,27,FALSE)-AVERAGE('The List'!AB2:AB671))/STDEV('The List'!AB2:AB671)</f>
        <v>1.6233398423945891</v>
      </c>
      <c r="P243" s="55" cm="1">
        <f t="array" ref="P243">(VLOOKUP($A243,'The List'!$B1:$AH671,28,FALSE)-AVERAGE('The List'!AC2:AC671))/STDEV('The List'!AC2:AC671)</f>
        <v>-1.1987976131547045</v>
      </c>
      <c r="Q243" s="55" cm="1">
        <f t="array" ref="Q243">(VLOOKUP($A243,'The List'!$B1:$AH671,29,FALSE)-AVERAGE('The List'!AD2:AD671))/STDEV('The List'!AD2:AD671)</f>
        <v>1.2878988951762604</v>
      </c>
      <c r="R243" s="55" cm="1">
        <f t="array" ref="R243">(VLOOKUP($A243,'The List'!$B1:$AH671,30,FALSE)-AVERAGE('The List'!AE2:AE671))/STDEV('The List'!AE2:AE671)</f>
        <v>0.22747609174102984</v>
      </c>
      <c r="S243" s="55" cm="1">
        <f t="array" ref="S243">(VLOOKUP($A243,'The List'!$B1:$AH671,31,FALSE)-AVERAGE('The List'!AF2:AF671))/STDEV('The List'!AF2:AF671)</f>
        <v>1.5526573623109685</v>
      </c>
      <c r="T243" s="55" cm="1">
        <f t="array" ref="T243">(VLOOKUP($A243,'The List'!$B1:$AH671,32,FALSE)-AVERAGE('The List'!AG2:AG671))/STDEV('The List'!AG2:AG671)</f>
        <v>1.4194116889676018</v>
      </c>
      <c r="U243" s="55" cm="1">
        <f t="array" ref="U243">(VLOOKUP($A243,'The List'!$B1:$AH671,33,FALSE)-AVERAGE('The List'!AH2:AH671))/STDEV('The List'!AH2:AH671)</f>
        <v>1.1366970102784557</v>
      </c>
      <c r="V243" s="55"/>
      <c r="W243" s="57"/>
      <c r="X243" s="55"/>
      <c r="Y243" s="55"/>
      <c r="Z243" s="55"/>
      <c r="AA243" s="55"/>
      <c r="AB243" s="55"/>
      <c r="AC243" s="55"/>
      <c r="AD243" s="55"/>
      <c r="AE243" s="55"/>
    </row>
    <row r="244" spans="1:31" ht="21.25" customHeight="1" x14ac:dyDescent="0.15">
      <c r="A244" s="10" t="s">
        <v>485</v>
      </c>
      <c r="B244" s="18" t="str" cm="1">
        <f t="array" ref="B244">VLOOKUP(A244,'Player Data'!A1:B673,2,FALSE)</f>
        <v>UTA</v>
      </c>
      <c r="C244" s="52" cm="1">
        <f t="array" ref="C244">((E244)*Settings!$C$12)+(F244*Settings!$C$2)+(G244*Settings!$C$3)+(H244*Settings!$C$4)+(I244*Settings!$C$5)+(K244*Settings!$C$9)+(N244*Settings!$C$6)+(J244*Settings!$C$8)+(O244*Settings!$C$7)+(P244*Settings!$C$14)+(Q244*Settings!$C$15)+(R244*Settings!$C$16)+(S244*Settings!$C$17)+(T244*Settings!$C$18)+(U244*Settings!$C$19)+(L244*Settings!$C$10)+(Settings!$C$11*M244)</f>
        <v>2.0357275775707722</v>
      </c>
      <c r="D244" s="57" cm="1">
        <f t="array" ref="D244">IF(Settings!$E$12="YES",VLOOKUP(A244,'Player Data'!A1:E673,5,FALSE),82)</f>
        <v>84</v>
      </c>
      <c r="E244" s="55" cm="1">
        <f t="array" ref="E244">(VLOOKUP($A244,'The List'!$B1:$AH671,17,FALSE)-AVERAGE('The List'!R2:R671))/STDEV('The List'!R2:R671)</f>
        <v>-0.50217608935513669</v>
      </c>
      <c r="F244" s="55" cm="1">
        <f t="array" ref="F244">(VLOOKUP($A244,'The List'!$B1:$AH671,18,FALSE)-AVERAGE('The List'!S2:S671))/STDEV('The List'!S2:S671)</f>
        <v>0.4716986531359279</v>
      </c>
      <c r="G244" s="55" cm="1">
        <f t="array" ref="G244">(VLOOKUP($A244,'The List'!$B1:$AH671,19,FALSE)-AVERAGE('The List'!T2:T671))/STDEV('The List'!T2:T671)</f>
        <v>-0.24560973232000158</v>
      </c>
      <c r="H244" s="55" cm="1">
        <f t="array" ref="H244">(VLOOKUP($A244,'The List'!$B1:$AH671,20,FALSE)-AVERAGE('The List'!U2:U671))/STDEV('The List'!U2:U671)</f>
        <v>5.4448730752955712E-2</v>
      </c>
      <c r="I244" s="55" cm="1">
        <f t="array" ref="I244">(VLOOKUP($A244,'The List'!$B1:$AH671,21,FALSE)-AVERAGE('The List'!V2:V671))/STDEV('The List'!V2:V671)</f>
        <v>1.0522706112534848</v>
      </c>
      <c r="J244" s="55" cm="1">
        <f t="array" ref="J244">(VLOOKUP($A244,'The List'!$B1:$AH671,22,FALSE)-AVERAGE('The List'!W2:W671))/STDEV('The List'!W2:W671)</f>
        <v>0.18948245932902416</v>
      </c>
      <c r="K244" s="55" cm="1">
        <f t="array" ref="K244">(VLOOKUP($A244,'The List'!$B1:$AH671,23,FALSE)-AVERAGE('The List'!X2:X671))/STDEV('The List'!X2:X671)</f>
        <v>-0.29506491476442426</v>
      </c>
      <c r="L244" s="55" cm="1">
        <f t="array" ref="L244">(VLOOKUP($A244,'The List'!$B1:$AH671,24,FALSE)-AVERAGE('The List'!Y2:Y671))/STDEV('The List'!Y2:Y671)</f>
        <v>-0.47546929358800777</v>
      </c>
      <c r="M244" s="55" cm="1">
        <f t="array" ref="M244">(VLOOKUP($A244,'The List'!$B1:$AH671,25,FALSE)-AVERAGE('The List'!Z2:Z671))/STDEV('The List'!Z2:Z671)</f>
        <v>-0.64388478613809508</v>
      </c>
      <c r="N244" s="55" cm="1">
        <f t="array" ref="N244">(VLOOKUP($A244,'The List'!$B1:$AH671,26,FALSE)-AVERAGE('The List'!AA2:AA671))/STDEV('The List'!AA2:AA671)</f>
        <v>-0.65752043132193905</v>
      </c>
      <c r="O244" s="55" cm="1">
        <f t="array" ref="O244">(VLOOKUP($A244,'The List'!$B1:$AH671,27,FALSE)-AVERAGE('The List'!AB2:AB671))/STDEV('The List'!AB2:AB671)</f>
        <v>0.24582425190099255</v>
      </c>
      <c r="P244" s="55" cm="1">
        <f t="array" ref="P244">(VLOOKUP($A244,'The List'!$B1:$AH671,28,FALSE)-AVERAGE('The List'!AC2:AC671))/STDEV('The List'!AC2:AC671)</f>
        <v>0.8066087083647927</v>
      </c>
      <c r="Q244" s="55" cm="1">
        <f t="array" ref="Q244">(VLOOKUP($A244,'The List'!$B1:$AH671,29,FALSE)-AVERAGE('The List'!AD2:AD671))/STDEV('The List'!AD2:AD671)</f>
        <v>0.60520707964371079</v>
      </c>
      <c r="R244" s="55" cm="1">
        <f t="array" ref="R244">(VLOOKUP($A244,'The List'!$B1:$AH671,30,FALSE)-AVERAGE('The List'!AE2:AE671))/STDEV('The List'!AE2:AE671)</f>
        <v>0.75146716690140425</v>
      </c>
      <c r="S244" s="55" cm="1">
        <f t="array" ref="S244">(VLOOKUP($A244,'The List'!$B1:$AH671,31,FALSE)-AVERAGE('The List'!AF2:AF671))/STDEV('The List'!AF2:AF671)</f>
        <v>-0.38177861555228965</v>
      </c>
      <c r="T244" s="55" cm="1">
        <f t="array" ref="T244">(VLOOKUP($A244,'The List'!$B1:$AH671,32,FALSE)-AVERAGE('The List'!AG2:AG671))/STDEV('The List'!AG2:AG671)</f>
        <v>-0.3982063238063101</v>
      </c>
      <c r="U244" s="55" cm="1">
        <f t="array" ref="U244">(VLOOKUP($A244,'The List'!$B1:$AH671,33,FALSE)-AVERAGE('The List'!AH2:AH671))/STDEV('The List'!AH2:AH671)</f>
        <v>0.95270011192019333</v>
      </c>
      <c r="V244" s="55"/>
      <c r="W244" s="57"/>
      <c r="X244" s="55"/>
      <c r="Y244" s="55"/>
      <c r="Z244" s="55"/>
      <c r="AA244" s="55"/>
      <c r="AB244" s="55"/>
      <c r="AC244" s="55"/>
      <c r="AD244" s="55"/>
      <c r="AE244" s="55"/>
    </row>
    <row r="245" spans="1:31" ht="21.25" customHeight="1" x14ac:dyDescent="0.15">
      <c r="A245" s="10" t="s">
        <v>521</v>
      </c>
      <c r="B245" s="18" t="str" cm="1">
        <f t="array" ref="B245">VLOOKUP(A245,'Player Data'!A1:B673,2,FALSE)</f>
        <v>CGY</v>
      </c>
      <c r="C245" s="52" cm="1">
        <f t="array" ref="C245">((E245)*Settings!$C$12)+(F245*Settings!$C$2)+(G245*Settings!$C$3)+(H245*Settings!$C$4)+(I245*Settings!$C$5)+(K245*Settings!$C$9)+(N245*Settings!$C$6)+(J245*Settings!$C$8)+(O245*Settings!$C$7)+(P245*Settings!$C$14)+(Q245*Settings!$C$15)+(R245*Settings!$C$16)+(S245*Settings!$C$17)+(T245*Settings!$C$18)+(U245*Settings!$C$19)+(L245*Settings!$C$10)+(Settings!$C$11*M245)</f>
        <v>-3.0471179319455439</v>
      </c>
      <c r="D245" s="57" cm="1">
        <f t="array" ref="D245">IF(Settings!$E$12="YES",VLOOKUP(A245,'Player Data'!A1:E673,5,FALSE),82)</f>
        <v>82</v>
      </c>
      <c r="E245" s="55" cm="1">
        <f t="array" ref="E245">(VLOOKUP($A245,'The List'!$B1:$AH671,17,FALSE)-AVERAGE('The List'!R2:R671))/STDEV('The List'!R2:R671)</f>
        <v>-0.13492654689422828</v>
      </c>
      <c r="F245" s="55" cm="1">
        <f t="array" ref="F245">(VLOOKUP($A245,'The List'!$B1:$AH671,18,FALSE)-AVERAGE('The List'!S2:S671))/STDEV('The List'!S2:S671)</f>
        <v>0.42778932393790509</v>
      </c>
      <c r="G245" s="55" cm="1">
        <f t="array" ref="G245">(VLOOKUP($A245,'The List'!$B1:$AH671,19,FALSE)-AVERAGE('The List'!T2:T671))/STDEV('The List'!T2:T671)</f>
        <v>-0.39458949595885801</v>
      </c>
      <c r="H245" s="55" cm="1">
        <f t="array" ref="H245">(VLOOKUP($A245,'The List'!$B1:$AH671,20,FALSE)-AVERAGE('The List'!U2:U671))/STDEV('The List'!U2:U671)</f>
        <v>-5.8721729749934615E-2</v>
      </c>
      <c r="I245" s="55" cm="1">
        <f t="array" ref="I245">(VLOOKUP($A245,'The List'!$B1:$AH671,21,FALSE)-AVERAGE('The List'!V2:V671))/STDEV('The List'!V2:V671)</f>
        <v>0.3518505835538035</v>
      </c>
      <c r="J245" s="55" cm="1">
        <f t="array" ref="J245">(VLOOKUP($A245,'The List'!$B1:$AH671,22,FALSE)-AVERAGE('The List'!W2:W671))/STDEV('The List'!W2:W671)</f>
        <v>0.3938681563411246</v>
      </c>
      <c r="K245" s="55" cm="1">
        <f t="array" ref="K245">(VLOOKUP($A245,'The List'!$B1:$AH671,23,FALSE)-AVERAGE('The List'!X2:X671))/STDEV('The List'!X2:X671)</f>
        <v>2.2495076444121676E-2</v>
      </c>
      <c r="L245" s="55" cm="1">
        <f t="array" ref="L245">(VLOOKUP($A245,'The List'!$B1:$AH671,24,FALSE)-AVERAGE('The List'!Y2:Y671))/STDEV('The List'!Y2:Y671)</f>
        <v>2.5308954012809677</v>
      </c>
      <c r="M245" s="55" cm="1">
        <f t="array" ref="M245">(VLOOKUP($A245,'The List'!$B1:$AH671,25,FALSE)-AVERAGE('The List'!Z2:Z671))/STDEV('The List'!Z2:Z671)</f>
        <v>2.0291990752426914</v>
      </c>
      <c r="N245" s="55" cm="1">
        <f t="array" ref="N245">(VLOOKUP($A245,'The List'!$B1:$AH671,26,FALSE)-AVERAGE('The List'!AA2:AA671))/STDEV('The List'!AA2:AA671)</f>
        <v>-0.74333806034422056</v>
      </c>
      <c r="O245" s="55" cm="1">
        <f t="array" ref="O245">(VLOOKUP($A245,'The List'!$B1:$AH671,27,FALSE)-AVERAGE('The List'!AB2:AB671))/STDEV('The List'!AB2:AB671)</f>
        <v>-1.2140962890953459</v>
      </c>
      <c r="P245" s="55" cm="1">
        <f t="array" ref="P245">(VLOOKUP($A245,'The List'!$B1:$AH671,28,FALSE)-AVERAGE('The List'!AC2:AC671))/STDEV('The List'!AC2:AC671)</f>
        <v>-2.2405671308271704</v>
      </c>
      <c r="Q245" s="55" cm="1">
        <f t="array" ref="Q245">(VLOOKUP($A245,'The List'!$B1:$AH671,29,FALSE)-AVERAGE('The List'!AD2:AD671))/STDEV('The List'!AD2:AD671)</f>
        <v>-1.2832780724138624</v>
      </c>
      <c r="R245" s="55" cm="1">
        <f t="array" ref="R245">(VLOOKUP($A245,'The List'!$B1:$AH671,30,FALSE)-AVERAGE('The List'!AE2:AE671))/STDEV('The List'!AE2:AE671)</f>
        <v>0.19004815780100306</v>
      </c>
      <c r="S245" s="55" cm="1">
        <f t="array" ref="S245">(VLOOKUP($A245,'The List'!$B1:$AH671,31,FALSE)-AVERAGE('The List'!AF2:AF671))/STDEV('The List'!AF2:AF671)</f>
        <v>-0.25677778190966932</v>
      </c>
      <c r="T245" s="55" cm="1">
        <f t="array" ref="T245">(VLOOKUP($A245,'The List'!$B1:$AH671,32,FALSE)-AVERAGE('The List'!AG2:AG671))/STDEV('The List'!AG2:AG671)</f>
        <v>-0.11119251810548791</v>
      </c>
      <c r="U245" s="55" cm="1">
        <f t="array" ref="U245">(VLOOKUP($A245,'The List'!$B1:$AH671,33,FALSE)-AVERAGE('The List'!AH2:AH671))/STDEV('The List'!AH2:AH671)</f>
        <v>0.58470631520366922</v>
      </c>
      <c r="V245" s="55"/>
      <c r="W245" s="77"/>
      <c r="X245" s="57"/>
      <c r="Y245" s="57"/>
      <c r="Z245" s="57"/>
      <c r="AA245" s="57"/>
      <c r="AB245" s="57"/>
      <c r="AC245" s="60"/>
      <c r="AD245" s="61"/>
      <c r="AE245" s="55"/>
    </row>
    <row r="246" spans="1:31" ht="21.25" customHeight="1" x14ac:dyDescent="0.15">
      <c r="A246" s="10" t="s">
        <v>518</v>
      </c>
      <c r="B246" s="18" t="str" cm="1">
        <f t="array" ref="B246">VLOOKUP(A246,'Player Data'!A1:B673,2,FALSE)</f>
        <v>OTT</v>
      </c>
      <c r="C246" s="52" cm="1">
        <f t="array" ref="C246">((E246)*Settings!$C$12)+(F246*Settings!$C$2)+(G246*Settings!$C$3)+(H246*Settings!$C$4)+(I246*Settings!$C$5)+(K246*Settings!$C$9)+(N246*Settings!$C$6)+(J246*Settings!$C$8)+(O246*Settings!$C$7)+(P246*Settings!$C$14)+(Q246*Settings!$C$15)+(R246*Settings!$C$16)+(S246*Settings!$C$17)+(T246*Settings!$C$18)+(U246*Settings!$C$19)+(L246*Settings!$C$10)+(Settings!$C$11*M246)</f>
        <v>0.24881976396979089</v>
      </c>
      <c r="D246" s="57" cm="1">
        <f t="array" ref="D246">IF(Settings!$E$12="YES",VLOOKUP(A246,'Player Data'!A1:E673,5,FALSE),82)</f>
        <v>84</v>
      </c>
      <c r="E246" s="55" cm="1">
        <f t="array" ref="E246">(VLOOKUP($A246,'The List'!$B1:$AH671,17,FALSE)-AVERAGE('The List'!R2:R671))/STDEV('The List'!R2:R671)</f>
        <v>-0.39724764865201989</v>
      </c>
      <c r="F246" s="55" cm="1">
        <f t="array" ref="F246">(VLOOKUP($A246,'The List'!$B1:$AH671,18,FALSE)-AVERAGE('The List'!S2:S671))/STDEV('The List'!S2:S671)</f>
        <v>-0.28274345763009784</v>
      </c>
      <c r="G246" s="55" cm="1">
        <f t="array" ref="G246">(VLOOKUP($A246,'The List'!$B1:$AH671,19,FALSE)-AVERAGE('The List'!T2:T671))/STDEV('The List'!T2:T671)</f>
        <v>0.22662800902580721</v>
      </c>
      <c r="H246" s="55" cm="1">
        <f t="array" ref="H246">(VLOOKUP($A246,'The List'!$B1:$AH671,20,FALSE)-AVERAGE('The List'!U2:U671))/STDEV('The List'!U2:U671)</f>
        <v>1.7314673400444704E-2</v>
      </c>
      <c r="I246" s="55" cm="1">
        <f t="array" ref="I246">(VLOOKUP($A246,'The List'!$B1:$AH671,21,FALSE)-AVERAGE('The List'!V2:V671))/STDEV('The List'!V2:V671)</f>
        <v>-3.6196624688299393E-2</v>
      </c>
      <c r="J246" s="55" cm="1">
        <f t="array" ref="J246">(VLOOKUP($A246,'The List'!$B1:$AH671,22,FALSE)-AVERAGE('The List'!W2:W671))/STDEV('The List'!W2:W671)</f>
        <v>-0.27452831226601432</v>
      </c>
      <c r="K246" s="55" cm="1">
        <f t="array" ref="K246">(VLOOKUP($A246,'The List'!$B1:$AH671,23,FALSE)-AVERAGE('The List'!X2:X671))/STDEV('The List'!X2:X671)</f>
        <v>0.21142317247958556</v>
      </c>
      <c r="L246" s="55" cm="1">
        <f t="array" ref="L246">(VLOOKUP($A246,'The List'!$B1:$AH671,24,FALSE)-AVERAGE('The List'!Y2:Y671))/STDEV('The List'!Y2:Y671)</f>
        <v>-0.47546929358800777</v>
      </c>
      <c r="M246" s="55" cm="1">
        <f t="array" ref="M246">(VLOOKUP($A246,'The List'!$B1:$AH671,25,FALSE)-AVERAGE('The List'!Z2:Z671))/STDEV('The List'!Z2:Z671)</f>
        <v>0.26887555677241731</v>
      </c>
      <c r="N246" s="55" cm="1">
        <f t="array" ref="N246">(VLOOKUP($A246,'The List'!$B1:$AH671,26,FALSE)-AVERAGE('The List'!AA2:AA671))/STDEV('The List'!AA2:AA671)</f>
        <v>-0.89351891113321269</v>
      </c>
      <c r="O246" s="55" cm="1">
        <f t="array" ref="O246">(VLOOKUP($A246,'The List'!$B1:$AH671,27,FALSE)-AVERAGE('The List'!AB2:AB671))/STDEV('The List'!AB2:AB671)</f>
        <v>-0.49459037798931577</v>
      </c>
      <c r="P246" s="55" cm="1">
        <f t="array" ref="P246">(VLOOKUP($A246,'The List'!$B1:$AH671,28,FALSE)-AVERAGE('The List'!AC2:AC671))/STDEV('The List'!AC2:AC671)</f>
        <v>0.62429904277211112</v>
      </c>
      <c r="Q246" s="55" cm="1">
        <f t="array" ref="Q246">(VLOOKUP($A246,'The List'!$B1:$AH671,29,FALSE)-AVERAGE('The List'!AD2:AD671))/STDEV('The List'!AD2:AD671)</f>
        <v>-0.51192498213682547</v>
      </c>
      <c r="R246" s="55" cm="1">
        <f t="array" ref="R246">(VLOOKUP($A246,'The List'!$B1:$AH671,30,FALSE)-AVERAGE('The List'!AE2:AE671))/STDEV('The List'!AE2:AE671)</f>
        <v>-0.29651498341934474</v>
      </c>
      <c r="S246" s="55" cm="1">
        <f t="array" ref="S246">(VLOOKUP($A246,'The List'!$B1:$AH671,31,FALSE)-AVERAGE('The List'!AF2:AF671))/STDEV('The List'!AF2:AF671)</f>
        <v>1.75862027435904</v>
      </c>
      <c r="T246" s="55" cm="1">
        <f t="array" ref="T246">(VLOOKUP($A246,'The List'!$B1:$AH671,32,FALSE)-AVERAGE('The List'!AG2:AG671))/STDEV('The List'!AG2:AG671)</f>
        <v>0.9435730110951861</v>
      </c>
      <c r="U246" s="55" cm="1">
        <f t="array" ref="U246">(VLOOKUP($A246,'The List'!$B1:$AH671,33,FALSE)-AVERAGE('The List'!AH2:AH671))/STDEV('The List'!AH2:AH671)</f>
        <v>1.5506900315845453</v>
      </c>
      <c r="V246" s="55"/>
      <c r="W246" s="77"/>
      <c r="X246" s="57"/>
      <c r="Y246" s="57"/>
      <c r="Z246" s="57"/>
      <c r="AA246" s="57"/>
      <c r="AB246" s="57"/>
      <c r="AC246" s="60"/>
      <c r="AD246" s="61"/>
      <c r="AE246" s="55"/>
    </row>
    <row r="247" spans="1:31" ht="21.25" customHeight="1" x14ac:dyDescent="0.15">
      <c r="A247" s="10" t="s">
        <v>600</v>
      </c>
      <c r="B247" s="18" t="str" cm="1">
        <f t="array" ref="B247">VLOOKUP(A247,'Player Data'!A1:B673,2,FALSE)</f>
        <v>S.J</v>
      </c>
      <c r="C247" s="52" cm="1">
        <f t="array" ref="C247">((E247)*Settings!$C$12)+(F247*Settings!$C$2)+(G247*Settings!$C$3)+(H247*Settings!$C$4)+(I247*Settings!$C$5)+(K247*Settings!$C$9)+(N247*Settings!$C$6)+(J247*Settings!$C$8)+(O247*Settings!$C$7)+(P247*Settings!$C$14)+(Q247*Settings!$C$15)+(R247*Settings!$C$16)+(S247*Settings!$C$17)+(T247*Settings!$C$18)+(U247*Settings!$C$19)+(L247*Settings!$C$10)+(Settings!$C$11*M247)</f>
        <v>-1.6670101965604309</v>
      </c>
      <c r="D247" s="57" cm="1">
        <f t="array" ref="D247">IF(Settings!$E$12="YES",VLOOKUP(A247,'Player Data'!A1:E673,5,FALSE),82)</f>
        <v>80</v>
      </c>
      <c r="E247" s="55" cm="1">
        <f t="array" ref="E247">(VLOOKUP($A247,'The List'!$B1:$AH671,17,FALSE)-AVERAGE('The List'!R2:R671))/STDEV('The List'!R2:R671)</f>
        <v>-0.52840819953091567</v>
      </c>
      <c r="F247" s="55" cm="1">
        <f t="array" ref="F247">(VLOOKUP($A247,'The List'!$B1:$AH671,18,FALSE)-AVERAGE('The List'!S2:S671))/STDEV('The List'!S2:S671)</f>
        <v>0.38387999473988266</v>
      </c>
      <c r="G247" s="55" cm="1">
        <f t="array" ref="G247">(VLOOKUP($A247,'The List'!$B1:$AH671,19,FALSE)-AVERAGE('The List'!T2:T671))/STDEV('The List'!T2:T671)</f>
        <v>-0.25685348806633035</v>
      </c>
      <c r="H247" s="55" cm="1">
        <f t="array" ref="H247">(VLOOKUP($A247,'The List'!$B1:$AH671,20,FALSE)-AVERAGE('The List'!U2:U671))/STDEV('The List'!U2:U671)</f>
        <v>8.4732311736565955E-3</v>
      </c>
      <c r="I247" s="55" cm="1">
        <f t="array" ref="I247">(VLOOKUP($A247,'The List'!$B1:$AH671,21,FALSE)-AVERAGE('The List'!V2:V671))/STDEV('The List'!V2:V671)</f>
        <v>-0.31816147057036148</v>
      </c>
      <c r="J247" s="55" cm="1">
        <f t="array" ref="J247">(VLOOKUP($A247,'The List'!$B1:$AH671,22,FALSE)-AVERAGE('The List'!W2:W671))/STDEV('The List'!W2:W671)</f>
        <v>-0.73853908386105271</v>
      </c>
      <c r="K247" s="55" cm="1">
        <f t="array" ref="K247">(VLOOKUP($A247,'The List'!$B1:$AH671,23,FALSE)-AVERAGE('The List'!X2:X671))/STDEV('The List'!X2:X671)</f>
        <v>-0.72115806752525791</v>
      </c>
      <c r="L247" s="55" cm="1">
        <f t="array" ref="L247">(VLOOKUP($A247,'The List'!$B1:$AH671,24,FALSE)-AVERAGE('The List'!Y2:Y671))/STDEV('The List'!Y2:Y671)</f>
        <v>3.9240887964641509</v>
      </c>
      <c r="M247" s="55" cm="1">
        <f t="array" ref="M247">(VLOOKUP($A247,'The List'!$B1:$AH671,25,FALSE)-AVERAGE('The List'!Z2:Z671))/STDEV('The List'!Z2:Z671)</f>
        <v>2.8332974725686193</v>
      </c>
      <c r="N247" s="55" cm="1">
        <f t="array" ref="N247">(VLOOKUP($A247,'The List'!$B1:$AH671,26,FALSE)-AVERAGE('The List'!AA2:AA671))/STDEV('The List'!AA2:AA671)</f>
        <v>-0.4787337041921863</v>
      </c>
      <c r="O247" s="55" cm="1">
        <f t="array" ref="O247">(VLOOKUP($A247,'The List'!$B1:$AH671,27,FALSE)-AVERAGE('The List'!AB2:AB671))/STDEV('The List'!AB2:AB671)</f>
        <v>-0.12889278670351562</v>
      </c>
      <c r="P247" s="55" cm="1">
        <f t="array" ref="P247">(VLOOKUP($A247,'The List'!$B1:$AH671,28,FALSE)-AVERAGE('The List'!AC2:AC671))/STDEV('The List'!AC2:AC671)</f>
        <v>-0.62582437843484817</v>
      </c>
      <c r="Q247" s="55" cm="1">
        <f t="array" ref="Q247">(VLOOKUP($A247,'The List'!$B1:$AH671,29,FALSE)-AVERAGE('The List'!AD2:AD671))/STDEV('The List'!AD2:AD671)</f>
        <v>-1.1325539053482343</v>
      </c>
      <c r="R247" s="55" cm="1">
        <f t="array" ref="R247">(VLOOKUP($A247,'The List'!$B1:$AH671,30,FALSE)-AVERAGE('The List'!AE2:AE671))/STDEV('The List'!AE2:AE671)</f>
        <v>0.15262022386097629</v>
      </c>
      <c r="S247" s="55" cm="1">
        <f t="array" ref="S247">(VLOOKUP($A247,'The List'!$B1:$AH671,31,FALSE)-AVERAGE('The List'!AF2:AF671))/STDEV('The List'!AF2:AF671)</f>
        <v>-0.56504906856985448</v>
      </c>
      <c r="T247" s="55" cm="1">
        <f t="array" ref="T247">(VLOOKUP($A247,'The List'!$B1:$AH671,32,FALSE)-AVERAGE('The List'!AG2:AG671))/STDEV('The List'!AG2:AG671)</f>
        <v>-0.56927145124392664</v>
      </c>
      <c r="U247" s="55" cm="1">
        <f t="array" ref="U247">(VLOOKUP($A247,'The List'!$B1:$AH671,33,FALSE)-AVERAGE('The List'!AH2:AH671))/STDEV('The List'!AH2:AH671)</f>
        <v>7.8714844718448196E-2</v>
      </c>
      <c r="V247" s="55"/>
      <c r="W247" s="77"/>
      <c r="X247" s="57"/>
      <c r="Y247" s="57"/>
      <c r="Z247" s="57"/>
      <c r="AA247" s="57"/>
      <c r="AB247" s="57"/>
      <c r="AC247" s="60"/>
      <c r="AD247" s="61"/>
      <c r="AE247" s="55"/>
    </row>
    <row r="248" spans="1:31" ht="21.25" customHeight="1" x14ac:dyDescent="0.15">
      <c r="A248" s="10" t="s">
        <v>547</v>
      </c>
      <c r="B248" s="18" t="str" cm="1">
        <f t="array" ref="B248">VLOOKUP(A248,'Player Data'!A1:B673,2,FALSE)</f>
        <v>N.J</v>
      </c>
      <c r="C248" s="52" cm="1">
        <f t="array" ref="C248">((E248)*Settings!$C$12)+(F248*Settings!$C$2)+(G248*Settings!$C$3)+(H248*Settings!$C$4)+(I248*Settings!$C$5)+(K248*Settings!$C$9)+(N248*Settings!$C$6)+(J248*Settings!$C$8)+(O248*Settings!$C$7)+(P248*Settings!$C$14)+(Q248*Settings!$C$15)+(R248*Settings!$C$16)+(S248*Settings!$C$17)+(T248*Settings!$C$18)+(U248*Settings!$C$19)+(L248*Settings!$C$10)+(Settings!$C$11*M248)</f>
        <v>-1.3544900706919008E-2</v>
      </c>
      <c r="D248" s="57" cm="1">
        <f t="array" ref="D248">IF(Settings!$E$12="YES",VLOOKUP(A248,'Player Data'!A1:E673,5,FALSE),82)</f>
        <v>77</v>
      </c>
      <c r="E248" s="55" cm="1">
        <f t="array" ref="E248">(VLOOKUP($A248,'The List'!$B1:$AH671,17,FALSE)-AVERAGE('The List'!R2:R671))/STDEV('The List'!R2:R671)</f>
        <v>-0.63333664023403247</v>
      </c>
      <c r="F248" s="55" cm="1">
        <f t="array" ref="F248">(VLOOKUP($A248,'The List'!$B1:$AH671,18,FALSE)-AVERAGE('The List'!S2:S671))/STDEV('The List'!S2:S671)</f>
        <v>0.16049128244494237</v>
      </c>
      <c r="G248" s="55" cm="1">
        <f t="array" ref="G248">(VLOOKUP($A248,'The List'!$B1:$AH671,19,FALSE)-AVERAGE('The List'!T2:T671))/STDEV('The List'!T2:T671)</f>
        <v>-0.128288168454402</v>
      </c>
      <c r="H248" s="55" cm="1">
        <f t="array" ref="H248">(VLOOKUP($A248,'The List'!$B1:$AH671,20,FALSE)-AVERAGE('The List'!U2:U671))/STDEV('The List'!U2:U671)</f>
        <v>-9.6075181801254274E-3</v>
      </c>
      <c r="I248" s="55" cm="1">
        <f t="array" ref="I248">(VLOOKUP($A248,'The List'!$B1:$AH671,21,FALSE)-AVERAGE('The List'!V2:V671))/STDEV('The List'!V2:V671)</f>
        <v>0.62492628034234099</v>
      </c>
      <c r="J248" s="55" cm="1">
        <f t="array" ref="J248">(VLOOKUP($A248,'The List'!$B1:$AH671,22,FALSE)-AVERAGE('The List'!W2:W671))/STDEV('The List'!W2:W671)</f>
        <v>-6.8623532370715959E-2</v>
      </c>
      <c r="K248" s="55" cm="1">
        <f t="array" ref="K248">(VLOOKUP($A248,'The List'!$B1:$AH671,23,FALSE)-AVERAGE('The List'!X2:X671))/STDEV('The List'!X2:X671)</f>
        <v>-0.31405821803607464</v>
      </c>
      <c r="L248" s="55" cm="1">
        <f t="array" ref="L248">(VLOOKUP($A248,'The List'!$B1:$AH671,24,FALSE)-AVERAGE('The List'!Y2:Y671))/STDEV('The List'!Y2:Y671)</f>
        <v>-0.47546929358800777</v>
      </c>
      <c r="M248" s="55" cm="1">
        <f t="array" ref="M248">(VLOOKUP($A248,'The List'!$B1:$AH671,25,FALSE)-AVERAGE('The List'!Z2:Z671))/STDEV('The List'!Z2:Z671)</f>
        <v>-0.64388478613809508</v>
      </c>
      <c r="N248" s="55" cm="1">
        <f t="array" ref="N248">(VLOOKUP($A248,'The List'!$B1:$AH671,26,FALSE)-AVERAGE('The List'!AA2:AA671))/STDEV('The List'!AA2:AA671)</f>
        <v>-1.0526390982786928</v>
      </c>
      <c r="O248" s="55" cm="1">
        <f t="array" ref="O248">(VLOOKUP($A248,'The List'!$B1:$AH671,27,FALSE)-AVERAGE('The List'!AB2:AB671))/STDEV('The List'!AB2:AB671)</f>
        <v>-0.4271495105380666</v>
      </c>
      <c r="P248" s="55" cm="1">
        <f t="array" ref="P248">(VLOOKUP($A248,'The List'!$B1:$AH671,28,FALSE)-AVERAGE('The List'!AC2:AC671))/STDEV('The List'!AC2:AC671)</f>
        <v>7.0533433534340925E-2</v>
      </c>
      <c r="Q248" s="55" cm="1">
        <f t="array" ref="Q248">(VLOOKUP($A248,'The List'!$B1:$AH671,29,FALSE)-AVERAGE('The List'!AD2:AD671))/STDEV('The List'!AD2:AD671)</f>
        <v>-0.26884532054569032</v>
      </c>
      <c r="R248" s="55" cm="1">
        <f t="array" ref="R248">(VLOOKUP($A248,'The List'!$B1:$AH671,30,FALSE)-AVERAGE('The List'!AE2:AE671))/STDEV('The List'!AE2:AE671)</f>
        <v>0.16852709578548769</v>
      </c>
      <c r="S248" s="55" cm="1">
        <f t="array" ref="S248">(VLOOKUP($A248,'The List'!$B1:$AH671,31,FALSE)-AVERAGE('The List'!AF2:AF671))/STDEV('The List'!AF2:AF671)</f>
        <v>-0.57360681795000312</v>
      </c>
      <c r="T248" s="55" cm="1">
        <f t="array" ref="T248">(VLOOKUP($A248,'The List'!$B1:$AH671,32,FALSE)-AVERAGE('The List'!AG2:AG671))/STDEV('The List'!AG2:AG671)</f>
        <v>-0.59575796709718531</v>
      </c>
      <c r="U248" s="55" cm="1">
        <f t="array" ref="U248">(VLOOKUP($A248,'The List'!$B1:$AH671,33,FALSE)-AVERAGE('The List'!AH2:AH671))/STDEV('The List'!AH2:AH671)</f>
        <v>0.17071329389757933</v>
      </c>
      <c r="V248" s="55"/>
      <c r="W248" s="57"/>
      <c r="X248" s="55"/>
      <c r="Y248" s="55"/>
      <c r="Z248" s="55"/>
      <c r="AA248" s="55"/>
      <c r="AB248" s="55"/>
      <c r="AC248" s="55"/>
      <c r="AD248" s="55"/>
      <c r="AE248" s="55"/>
    </row>
    <row r="249" spans="1:31" ht="21.25" customHeight="1" x14ac:dyDescent="0.15">
      <c r="A249" s="10" t="s">
        <v>640</v>
      </c>
      <c r="B249" s="18" t="str" cm="1">
        <f t="array" ref="B249">VLOOKUP(A249,'Player Data'!A1:B673,2,FALSE)</f>
        <v>MTL</v>
      </c>
      <c r="C249" s="52" cm="1">
        <f t="array" ref="C249">((E249)*Settings!$C$12)+(F249*Settings!$C$2)+(G249*Settings!$C$3)+(H249*Settings!$C$4)+(I249*Settings!$C$5)+(K249*Settings!$C$9)+(N249*Settings!$C$6)+(J249*Settings!$C$8)+(O249*Settings!$C$7)+(P249*Settings!$C$14)+(Q249*Settings!$C$15)+(R249*Settings!$C$16)+(S249*Settings!$C$17)+(T249*Settings!$C$18)+(U249*Settings!$C$19)+(L249*Settings!$C$10)+(Settings!$C$11*M249)</f>
        <v>-1.2106531449017033</v>
      </c>
      <c r="D249" s="57" cm="1">
        <f t="array" ref="D249">IF(Settings!$E$12="YES",VLOOKUP(A249,'Player Data'!A1:E673,5,FALSE),82)</f>
        <v>74</v>
      </c>
      <c r="E249" s="55" cm="1">
        <f t="array" ref="E249">(VLOOKUP($A249,'The List'!$B1:$AH671,17,FALSE)-AVERAGE('The List'!R2:R671))/STDEV('The List'!R2:R671)</f>
        <v>-0.5546403097066952</v>
      </c>
      <c r="F249" s="55" cm="1">
        <f t="array" ref="F249">(VLOOKUP($A249,'The List'!$B1:$AH671,18,FALSE)-AVERAGE('The List'!S2:S671))/STDEV('The List'!S2:S671)</f>
        <v>0.25215200714581465</v>
      </c>
      <c r="G249" s="55" cm="1">
        <f t="array" ref="G249">(VLOOKUP($A249,'The List'!$B1:$AH671,19,FALSE)-AVERAGE('The List'!T2:T671))/STDEV('The List'!T2:T671)</f>
        <v>-0.57027317949524525</v>
      </c>
      <c r="H249" s="55" cm="1">
        <f t="array" ref="H249">(VLOOKUP($A249,'The List'!$B1:$AH671,20,FALSE)-AVERAGE('The List'!U2:U671))/STDEV('The List'!U2:U671)</f>
        <v>-0.24704444918052529</v>
      </c>
      <c r="I249" s="55" cm="1">
        <f t="array" ref="I249">(VLOOKUP($A249,'The List'!$B1:$AH671,21,FALSE)-AVERAGE('The List'!V2:V671))/STDEV('The List'!V2:V671)</f>
        <v>-0.44532208734070322</v>
      </c>
      <c r="J249" s="55" cm="1">
        <f t="array" ref="J249">(VLOOKUP($A249,'The List'!$B1:$AH671,22,FALSE)-AVERAGE('The List'!W2:W671))/STDEV('The List'!W2:W671)</f>
        <v>-0.53415338684895242</v>
      </c>
      <c r="K249" s="55" cm="1">
        <f t="array" ref="K249">(VLOOKUP($A249,'The List'!$B1:$AH671,23,FALSE)-AVERAGE('The List'!X2:X671))/STDEV('The List'!X2:X671)</f>
        <v>-0.57845705881762022</v>
      </c>
      <c r="L249" s="55" cm="1">
        <f t="array" ref="L249">(VLOOKUP($A249,'The List'!$B1:$AH671,24,FALSE)-AVERAGE('The List'!Y2:Y671))/STDEV('The List'!Y2:Y671)</f>
        <v>-0.47546929358800777</v>
      </c>
      <c r="M249" s="55" cm="1">
        <f t="array" ref="M249">(VLOOKUP($A249,'The List'!$B1:$AH671,25,FALSE)-AVERAGE('The List'!Z2:Z671))/STDEV('The List'!Z2:Z671)</f>
        <v>-0.64388478613809508</v>
      </c>
      <c r="N249" s="55" cm="1">
        <f t="array" ref="N249">(VLOOKUP($A249,'The List'!$B1:$AH671,26,FALSE)-AVERAGE('The List'!AA2:AA671))/STDEV('The List'!AA2:AA671)</f>
        <v>-0.81025537821278504</v>
      </c>
      <c r="O249" s="55" cm="1">
        <f t="array" ref="O249">(VLOOKUP($A249,'The List'!$B1:$AH671,27,FALSE)-AVERAGE('The List'!AB2:AB671))/STDEV('The List'!AB2:AB671)</f>
        <v>-8.5025474744344506E-2</v>
      </c>
      <c r="P249" s="55" cm="1">
        <f t="array" ref="P249">(VLOOKUP($A249,'The List'!$B1:$AH671,28,FALSE)-AVERAGE('The List'!AC2:AC671))/STDEV('The List'!AC2:AC671)</f>
        <v>0.21627264835039528</v>
      </c>
      <c r="Q249" s="55" cm="1">
        <f t="array" ref="Q249">(VLOOKUP($A249,'The List'!$B1:$AH671,29,FALSE)-AVERAGE('The List'!AD2:AD671))/STDEV('The List'!AD2:AD671)</f>
        <v>-0.73357816899804296</v>
      </c>
      <c r="R249" s="55" cm="1">
        <f t="array" ref="R249">(VLOOKUP($A249,'The List'!$B1:$AH671,30,FALSE)-AVERAGE('The List'!AE2:AE671))/STDEV('The List'!AE2:AE671)</f>
        <v>0.50194760730122601</v>
      </c>
      <c r="S249" s="55" cm="1">
        <f t="array" ref="S249">(VLOOKUP($A249,'The List'!$B1:$AH671,31,FALSE)-AVERAGE('The List'!AF2:AF671))/STDEV('The List'!AF2:AF671)</f>
        <v>0.4750540218241639</v>
      </c>
      <c r="T249" s="55" cm="1">
        <f t="array" ref="T249">(VLOOKUP($A249,'The List'!$B1:$AH671,32,FALSE)-AVERAGE('The List'!AG2:AG671))/STDEV('The List'!AG2:AG671)</f>
        <v>0.73913181165750941</v>
      </c>
      <c r="U249" s="55" cm="1">
        <f t="array" ref="U249">(VLOOKUP($A249,'The List'!$B1:$AH671,33,FALSE)-AVERAGE('The List'!AH2:AH671))/STDEV('The List'!AH2:AH671)</f>
        <v>0.8147024381514969</v>
      </c>
      <c r="V249" s="55"/>
      <c r="W249" s="77"/>
      <c r="X249" s="57"/>
      <c r="Y249" s="57"/>
      <c r="Z249" s="57"/>
      <c r="AA249" s="57"/>
      <c r="AB249" s="57"/>
      <c r="AC249" s="60"/>
      <c r="AD249" s="61"/>
      <c r="AE249" s="55"/>
    </row>
    <row r="250" spans="1:31" ht="21.25" customHeight="1" x14ac:dyDescent="0.15">
      <c r="A250" s="10" t="s">
        <v>284</v>
      </c>
      <c r="B250" s="18" t="str" cm="1">
        <f t="array" ref="B250">VLOOKUP(A250,'Player Data'!A1:B673,2,FALSE)</f>
        <v>PHI</v>
      </c>
      <c r="C250" s="52" cm="1">
        <f t="array" ref="C250">((E250)*Settings!$C$12)+(F250*Settings!$C$2)+(G250*Settings!$C$3)+(H250*Settings!$C$4)+(I250*Settings!$C$5)+(K250*Settings!$C$9)+(N250*Settings!$C$6)+(J250*Settings!$C$8)+(O250*Settings!$C$7)+(P250*Settings!$C$14)+(Q250*Settings!$C$15)+(R250*Settings!$C$16)+(S250*Settings!$C$17)+(T250*Settings!$C$18)+(U250*Settings!$C$19)+(L250*Settings!$C$10)+(Settings!$C$11*M250)</f>
        <v>-1.1412151555754744</v>
      </c>
      <c r="D250" s="57" cm="1">
        <f t="array" ref="D250">IF(Settings!$E$12="YES",VLOOKUP(A250,'Player Data'!A1:E673,5,FALSE),82)</f>
        <v>77</v>
      </c>
      <c r="E250" s="55" cm="1">
        <f t="array" ref="E250">(VLOOKUP($A250,'The List'!$B1:$AH671,17,FALSE)-AVERAGE('The List'!R2:R671))/STDEV('The List'!R2:R671)</f>
        <v>1.3603037331251837</v>
      </c>
      <c r="F250" s="55" cm="1">
        <f t="array" ref="F250">(VLOOKUP($A250,'The List'!$B1:$AH671,18,FALSE)-AVERAGE('The List'!S2:S671))/STDEV('The List'!S2:S671)</f>
        <v>-0.35818766870670021</v>
      </c>
      <c r="G250" s="55" cm="1">
        <f t="array" ref="G250">(VLOOKUP($A250,'The List'!$B1:$AH671,19,FALSE)-AVERAGE('The List'!T2:T671))/STDEV('The List'!T2:T671)</f>
        <v>0.24236926707066775</v>
      </c>
      <c r="H250" s="55" cm="1">
        <f t="array" ref="H250">(VLOOKUP($A250,'The List'!$B1:$AH671,20,FALSE)-AVERAGE('The List'!U2:U671))/STDEV('The List'!U2:U671)</f>
        <v>-6.2035629228120127E-3</v>
      </c>
      <c r="I250" s="55" cm="1">
        <f t="array" ref="I250">(VLOOKUP($A250,'The List'!$B1:$AH671,21,FALSE)-AVERAGE('The List'!V2:V671))/STDEV('The List'!V2:V671)</f>
        <v>-0.24246116589926758</v>
      </c>
      <c r="J250" s="55" cm="1">
        <f t="array" ref="J250">(VLOOKUP($A250,'The List'!$B1:$AH671,22,FALSE)-AVERAGE('The List'!W2:W671))/STDEV('The List'!W2:W671)</f>
        <v>-3.6722791823556963E-2</v>
      </c>
      <c r="K250" s="55" cm="1">
        <f t="array" ref="K250">(VLOOKUP($A250,'The List'!$B1:$AH671,23,FALSE)-AVERAGE('The List'!X2:X671))/STDEV('The List'!X2:X671)</f>
        <v>0.4752190512525073</v>
      </c>
      <c r="L250" s="55" cm="1">
        <f t="array" ref="L250">(VLOOKUP($A250,'The List'!$B1:$AH671,24,FALSE)-AVERAGE('The List'!Y2:Y671))/STDEV('The List'!Y2:Y671)</f>
        <v>-0.47546929358800777</v>
      </c>
      <c r="M250" s="55" cm="1">
        <f t="array" ref="M250">(VLOOKUP($A250,'The List'!$B1:$AH671,25,FALSE)-AVERAGE('The List'!Z2:Z671))/STDEV('The List'!Z2:Z671)</f>
        <v>-0.64388478613809508</v>
      </c>
      <c r="N250" s="55" cm="1">
        <f t="array" ref="N250">(VLOOKUP($A250,'The List'!$B1:$AH671,26,FALSE)-AVERAGE('The List'!AA2:AA671))/STDEV('The List'!AA2:AA671)</f>
        <v>0.97301452010140577</v>
      </c>
      <c r="O250" s="55" cm="1">
        <f t="array" ref="O250">(VLOOKUP($A250,'The List'!$B1:$AH671,27,FALSE)-AVERAGE('The List'!AB2:AB671))/STDEV('The List'!AB2:AB671)</f>
        <v>-1.1532150196940665</v>
      </c>
      <c r="P250" s="55" cm="1">
        <f t="array" ref="P250">(VLOOKUP($A250,'The List'!$B1:$AH671,28,FALSE)-AVERAGE('The List'!AC2:AC671))/STDEV('The List'!AC2:AC671)</f>
        <v>-0.1049396195986151</v>
      </c>
      <c r="Q250" s="55" cm="1">
        <f t="array" ref="Q250">(VLOOKUP($A250,'The List'!$B1:$AH671,29,FALSE)-AVERAGE('The List'!AD2:AD671))/STDEV('The List'!AD2:AD671)</f>
        <v>-0.38262728980111527</v>
      </c>
      <c r="R250" s="55" cm="1">
        <f t="array" ref="R250">(VLOOKUP($A250,'The List'!$B1:$AH671,30,FALSE)-AVERAGE('The List'!AE2:AE671))/STDEV('The List'!AE2:AE671)</f>
        <v>-0.28778179883333832</v>
      </c>
      <c r="S250" s="55" cm="1">
        <f t="array" ref="S250">(VLOOKUP($A250,'The List'!$B1:$AH671,31,FALSE)-AVERAGE('The List'!AF2:AF671))/STDEV('The List'!AF2:AF671)</f>
        <v>-0.59581850454342256</v>
      </c>
      <c r="T250" s="55" cm="1">
        <f t="array" ref="T250">(VLOOKUP($A250,'The List'!$B1:$AH671,32,FALSE)-AVERAGE('The List'!AG2:AG671))/STDEV('The List'!AG2:AG671)</f>
        <v>-0.64684275008198677</v>
      </c>
      <c r="U250" s="55" cm="1">
        <f t="array" ref="U250">(VLOOKUP($A250,'The List'!$B1:$AH671,33,FALSE)-AVERAGE('The List'!AH2:AH671))/STDEV('The List'!AH2:AH671)</f>
        <v>-1.2552626683789523</v>
      </c>
      <c r="V250" s="55"/>
      <c r="W250" s="57"/>
      <c r="X250" s="55"/>
      <c r="Y250" s="55"/>
      <c r="Z250" s="55"/>
      <c r="AA250" s="55"/>
      <c r="AB250" s="55"/>
      <c r="AC250" s="55"/>
      <c r="AD250" s="55"/>
      <c r="AE250" s="55"/>
    </row>
    <row r="251" spans="1:31" ht="21.25" customHeight="1" x14ac:dyDescent="0.15">
      <c r="A251" s="10" t="s">
        <v>609</v>
      </c>
      <c r="B251" s="18" t="str" cm="1">
        <f t="array" ref="B251">VLOOKUP(A251,'Player Data'!A1:B673,2,FALSE)</f>
        <v>CBJ</v>
      </c>
      <c r="C251" s="52" cm="1">
        <f t="array" ref="C251">((E251)*Settings!$C$12)+(F251*Settings!$C$2)+(G251*Settings!$C$3)+(H251*Settings!$C$4)+(I251*Settings!$C$5)+(K251*Settings!$C$9)+(N251*Settings!$C$6)+(J251*Settings!$C$8)+(O251*Settings!$C$7)+(P251*Settings!$C$14)+(Q251*Settings!$C$15)+(R251*Settings!$C$16)+(S251*Settings!$C$17)+(T251*Settings!$C$18)+(U251*Settings!$C$19)+(L251*Settings!$C$10)+(Settings!$C$11*M251)</f>
        <v>-0.74485413039234549</v>
      </c>
      <c r="D251" s="57" cm="1">
        <f t="array" ref="D251">IF(Settings!$E$12="YES",VLOOKUP(A251,'Player Data'!A1:E673,5,FALSE),82)</f>
        <v>77</v>
      </c>
      <c r="E251" s="55" cm="1">
        <f t="array" ref="E251">(VLOOKUP($A251,'The List'!$B1:$AH671,17,FALSE)-AVERAGE('The List'!R2:R671))/STDEV('The List'!R2:R671)</f>
        <v>-0.84319352164026595</v>
      </c>
      <c r="F251" s="55" cm="1">
        <f t="array" ref="F251">(VLOOKUP($A251,'The List'!$B1:$AH671,18,FALSE)-AVERAGE('The List'!S2:S671))/STDEV('The List'!S2:S671)</f>
        <v>0.2411746748463087</v>
      </c>
      <c r="G251" s="55" cm="1">
        <f t="array" ref="G251">(VLOOKUP($A251,'The List'!$B1:$AH671,19,FALSE)-AVERAGE('The List'!T2:T671))/STDEV('The List'!T2:T671)</f>
        <v>6.9215428577204363E-2</v>
      </c>
      <c r="H251" s="55" cm="1">
        <f t="array" ref="H251">(VLOOKUP($A251,'The List'!$B1:$AH671,20,FALSE)-AVERAGE('The List'!U2:U671))/STDEV('The List'!U2:U671)</f>
        <v>0.15037837891360883</v>
      </c>
      <c r="I251" s="55" cm="1">
        <f t="array" ref="I251">(VLOOKUP($A251,'The List'!$B1:$AH671,21,FALSE)-AVERAGE('The List'!V2:V671))/STDEV('The List'!V2:V671)</f>
        <v>0.14400517326206277</v>
      </c>
      <c r="J251" s="55" cm="1">
        <f t="array" ref="J251">(VLOOKUP($A251,'The List'!$B1:$AH671,22,FALSE)-AVERAGE('The List'!W2:W671))/STDEV('The List'!W2:W671)</f>
        <v>0.11214733072985113</v>
      </c>
      <c r="K251" s="55" cm="1">
        <f t="array" ref="K251">(VLOOKUP($A251,'The List'!$B1:$AH671,23,FALSE)-AVERAGE('The List'!X2:X671))/STDEV('The List'!X2:X671)</f>
        <v>4.9628366832193585E-2</v>
      </c>
      <c r="L251" s="55" cm="1">
        <f t="array" ref="L251">(VLOOKUP($A251,'The List'!$B1:$AH671,24,FALSE)-AVERAGE('The List'!Y2:Y671))/STDEV('The List'!Y2:Y671)</f>
        <v>-0.47546929358800777</v>
      </c>
      <c r="M251" s="55" cm="1">
        <f t="array" ref="M251">(VLOOKUP($A251,'The List'!$B1:$AH671,25,FALSE)-AVERAGE('The List'!Z2:Z671))/STDEV('The List'!Z2:Z671)</f>
        <v>-0.64388478613809508</v>
      </c>
      <c r="N251" s="55" cm="1">
        <f t="array" ref="N251">(VLOOKUP($A251,'The List'!$B1:$AH671,26,FALSE)-AVERAGE('The List'!AA2:AA671))/STDEV('The List'!AA2:AA671)</f>
        <v>-0.61997521862469096</v>
      </c>
      <c r="O251" s="55" cm="1">
        <f t="array" ref="O251">(VLOOKUP($A251,'The List'!$B1:$AH671,27,FALSE)-AVERAGE('The List'!AB2:AB671))/STDEV('The List'!AB2:AB671)</f>
        <v>-1.3110553477714579</v>
      </c>
      <c r="P251" s="55" cm="1">
        <f t="array" ref="P251">(VLOOKUP($A251,'The List'!$B1:$AH671,28,FALSE)-AVERAGE('The List'!AC2:AC671))/STDEV('The List'!AC2:AC671)</f>
        <v>6.2177573861342997E-2</v>
      </c>
      <c r="Q251" s="55" cm="1">
        <f t="array" ref="Q251">(VLOOKUP($A251,'The List'!$B1:$AH671,29,FALSE)-AVERAGE('The List'!AD2:AD671))/STDEV('The List'!AD2:AD671)</f>
        <v>-0.89464615145052773</v>
      </c>
      <c r="R251" s="55" cm="1">
        <f t="array" ref="R251">(VLOOKUP($A251,'The List'!$B1:$AH671,30,FALSE)-AVERAGE('The List'!AE2:AE671))/STDEV('The List'!AE2:AE671)</f>
        <v>9.6478322950936238E-2</v>
      </c>
      <c r="S251" s="55" cm="1">
        <f t="array" ref="S251">(VLOOKUP($A251,'The List'!$B1:$AH671,31,FALSE)-AVERAGE('The List'!AF2:AF671))/STDEV('The List'!AF2:AF671)</f>
        <v>-0.59581850454342256</v>
      </c>
      <c r="T251" s="55" cm="1">
        <f t="array" ref="T251">(VLOOKUP($A251,'The List'!$B1:$AH671,32,FALSE)-AVERAGE('The List'!AG2:AG671))/STDEV('The List'!AG2:AG671)</f>
        <v>-0.62326515793515525</v>
      </c>
      <c r="U251" s="55" cm="1">
        <f t="array" ref="U251">(VLOOKUP($A251,'The List'!$B1:$AH671,33,FALSE)-AVERAGE('The List'!AH2:AH671))/STDEV('The List'!AH2:AH671)</f>
        <v>-0.97926732084155899</v>
      </c>
      <c r="V251" s="55"/>
      <c r="W251" s="77"/>
      <c r="X251" s="57"/>
      <c r="Y251" s="57"/>
      <c r="Z251" s="57"/>
      <c r="AA251" s="57"/>
      <c r="AB251" s="57"/>
      <c r="AC251" s="60"/>
      <c r="AD251" s="61"/>
      <c r="AE251" s="55"/>
    </row>
    <row r="252" spans="1:31" ht="21.25" customHeight="1" x14ac:dyDescent="0.15">
      <c r="A252" s="10" t="s">
        <v>606</v>
      </c>
      <c r="B252" s="18" t="str" cm="1">
        <f t="array" ref="B252">VLOOKUP(A252,'Player Data'!A1:B673,2,FALSE)</f>
        <v>CGY</v>
      </c>
      <c r="C252" s="52" cm="1">
        <f t="array" ref="C252">((E252)*Settings!$C$12)+(F252*Settings!$C$2)+(G252*Settings!$C$3)+(H252*Settings!$C$4)+(I252*Settings!$C$5)+(K252*Settings!$C$9)+(N252*Settings!$C$6)+(J252*Settings!$C$8)+(O252*Settings!$C$7)+(P252*Settings!$C$14)+(Q252*Settings!$C$15)+(R252*Settings!$C$16)+(S252*Settings!$C$17)+(T252*Settings!$C$18)+(U252*Settings!$C$19)+(L252*Settings!$C$10)+(Settings!$C$11*M252)</f>
        <v>-2.8241249987362189</v>
      </c>
      <c r="D252" s="57" cm="1">
        <f t="array" ref="D252">IF(Settings!$E$12="YES",VLOOKUP(A252,'Player Data'!A1:E673,5,FALSE),82)</f>
        <v>77</v>
      </c>
      <c r="E252" s="55" cm="1">
        <f t="array" ref="E252">(VLOOKUP($A252,'The List'!$B1:$AH671,17,FALSE)-AVERAGE('The List'!R2:R671))/STDEV('The List'!R2:R671)</f>
        <v>-0.39724764865201989</v>
      </c>
      <c r="F252" s="55" cm="1">
        <f t="array" ref="F252">(VLOOKUP($A252,'The List'!$B1:$AH671,18,FALSE)-AVERAGE('The List'!S2:S671))/STDEV('The List'!S2:S671)</f>
        <v>0.16433334874976926</v>
      </c>
      <c r="G252" s="55" cm="1">
        <f t="array" ref="G252">(VLOOKUP($A252,'The List'!$B1:$AH671,19,FALSE)-AVERAGE('The List'!T2:T671))/STDEV('The List'!T2:T671)</f>
        <v>-0.417779742185661</v>
      </c>
      <c r="H252" s="55" cm="1">
        <f t="array" ref="H252">(VLOOKUP($A252,'The List'!$B1:$AH671,20,FALSE)-AVERAGE('The List'!U2:U671))/STDEV('The List'!U2:U671)</f>
        <v>-0.19001714681774079</v>
      </c>
      <c r="I252" s="55" cm="1">
        <f t="array" ref="I252">(VLOOKUP($A252,'The List'!$B1:$AH671,21,FALSE)-AVERAGE('The List'!V2:V671))/STDEV('The List'!V2:V671)</f>
        <v>-8.2154130205841086E-2</v>
      </c>
      <c r="J252" s="55" cm="1">
        <f t="array" ref="J252">(VLOOKUP($A252,'The List'!$B1:$AH671,22,FALSE)-AVERAGE('The List'!W2:W671))/STDEV('The List'!W2:W671)</f>
        <v>-0.31319587656560083</v>
      </c>
      <c r="K252" s="55" cm="1">
        <f t="array" ref="K252">(VLOOKUP($A252,'The List'!$B1:$AH671,23,FALSE)-AVERAGE('The List'!X2:X671))/STDEV('The List'!X2:X671)</f>
        <v>-0.10513188204792061</v>
      </c>
      <c r="L252" s="55" cm="1">
        <f t="array" ref="L252">(VLOOKUP($A252,'The List'!$B1:$AH671,24,FALSE)-AVERAGE('The List'!Y2:Y671))/STDEV('The List'!Y2:Y671)</f>
        <v>-0.47546929358800777</v>
      </c>
      <c r="M252" s="55" cm="1">
        <f t="array" ref="M252">(VLOOKUP($A252,'The List'!$B1:$AH671,25,FALSE)-AVERAGE('The List'!Z2:Z671))/STDEV('The List'!Z2:Z671)</f>
        <v>-0.64388478613809508</v>
      </c>
      <c r="N252" s="55" cm="1">
        <f t="array" ref="N252">(VLOOKUP($A252,'The List'!$B1:$AH671,26,FALSE)-AVERAGE('The List'!AA2:AA671))/STDEV('The List'!AA2:AA671)</f>
        <v>-0.99363947832587429</v>
      </c>
      <c r="O252" s="55" cm="1">
        <f t="array" ref="O252">(VLOOKUP($A252,'The List'!$B1:$AH671,27,FALSE)-AVERAGE('The List'!AB2:AB671))/STDEV('The List'!AB2:AB671)</f>
        <v>-0.77439823230832749</v>
      </c>
      <c r="P252" s="55" cm="1">
        <f t="array" ref="P252">(VLOOKUP($A252,'The List'!$B1:$AH671,28,FALSE)-AVERAGE('The List'!AC2:AC671))/STDEV('The List'!AC2:AC671)</f>
        <v>-1.608994360738238</v>
      </c>
      <c r="Q252" s="55" cm="1">
        <f t="array" ref="Q252">(VLOOKUP($A252,'The List'!$B1:$AH671,29,FALSE)-AVERAGE('The List'!AD2:AD671))/STDEV('The List'!AD2:AD671)</f>
        <v>-0.49640925905654021</v>
      </c>
      <c r="R252" s="55" cm="1">
        <f t="array" ref="R252">(VLOOKUP($A252,'The List'!$B1:$AH671,30,FALSE)-AVERAGE('The List'!AE2:AE671))/STDEV('The List'!AE2:AE671)</f>
        <v>9.6478322950936238E-2</v>
      </c>
      <c r="S252" s="55" cm="1">
        <f t="array" ref="S252">(VLOOKUP($A252,'The List'!$B1:$AH671,31,FALSE)-AVERAGE('The List'!AF2:AF671))/STDEV('The List'!AF2:AF671)</f>
        <v>-0.19600814586187229</v>
      </c>
      <c r="T252" s="55" cm="1">
        <f t="array" ref="T252">(VLOOKUP($A252,'The List'!$B1:$AH671,32,FALSE)-AVERAGE('The List'!AG2:AG671))/STDEV('The List'!AG2:AG671)</f>
        <v>-8.0980538558033013E-2</v>
      </c>
      <c r="U252" s="55" cm="1">
        <f t="array" ref="U252">(VLOOKUP($A252,'The List'!$B1:$AH671,33,FALSE)-AVERAGE('The List'!AH2:AH671))/STDEV('The List'!AH2:AH671)</f>
        <v>0.72270398897236576</v>
      </c>
      <c r="V252" s="55"/>
      <c r="W252" s="77"/>
      <c r="X252" s="57"/>
      <c r="Y252" s="57"/>
      <c r="Z252" s="57"/>
      <c r="AA252" s="57"/>
      <c r="AB252" s="57"/>
      <c r="AC252" s="60"/>
      <c r="AD252" s="61"/>
      <c r="AE252" s="55"/>
    </row>
    <row r="253" spans="1:31" ht="21.25" customHeight="1" x14ac:dyDescent="0.15">
      <c r="A253" s="10" t="s">
        <v>270</v>
      </c>
      <c r="B253" s="18" t="str" cm="1">
        <f t="array" ref="B253">VLOOKUP(A253,'Player Data'!A1:B673,2,FALSE)</f>
        <v>ANA</v>
      </c>
      <c r="C253" s="52" cm="1">
        <f t="array" ref="C253">((E253)*Settings!$C$12)+(F253*Settings!$C$2)+(G253*Settings!$C$3)+(H253*Settings!$C$4)+(I253*Settings!$C$5)+(K253*Settings!$C$9)+(N253*Settings!$C$6)+(J253*Settings!$C$8)+(O253*Settings!$C$7)+(P253*Settings!$C$14)+(Q253*Settings!$C$15)+(R253*Settings!$C$16)+(S253*Settings!$C$17)+(T253*Settings!$C$18)+(U253*Settings!$C$19)+(L253*Settings!$C$10)+(Settings!$C$11*M253)</f>
        <v>-1.9097894544299547</v>
      </c>
      <c r="D253" s="57" cm="1">
        <f t="array" ref="D253">IF(Settings!$E$12="YES",VLOOKUP(A253,'Player Data'!A1:E673,5,FALSE),82)</f>
        <v>79</v>
      </c>
      <c r="E253" s="55" cm="1">
        <f t="array" ref="E253">(VLOOKUP($A253,'The List'!$B1:$AH671,17,FALSE)-AVERAGE('The List'!R2:R671))/STDEV('The List'!R2:R671)</f>
        <v>1.4127679534767419</v>
      </c>
      <c r="F253" s="55" cm="1">
        <f t="array" ref="F253">(VLOOKUP($A253,'The List'!$B1:$AH671,18,FALSE)-AVERAGE('The List'!S2:S671))/STDEV('The List'!S2:S671)</f>
        <v>-0.37914439400575656</v>
      </c>
      <c r="G253" s="55" cm="1">
        <f t="array" ref="G253">(VLOOKUP($A253,'The List'!$B1:$AH671,19,FALSE)-AVERAGE('The List'!T2:T671))/STDEV('The List'!T2:T671)</f>
        <v>0.20301612195851712</v>
      </c>
      <c r="H253" s="55" cm="1">
        <f t="array" ref="H253">(VLOOKUP($A253,'The List'!$B1:$AH671,20,FALSE)-AVERAGE('The List'!U2:U671))/STDEV('The List'!U2:U671)</f>
        <v>-4.0243115495946787E-2</v>
      </c>
      <c r="I253" s="55" cm="1">
        <f t="array" ref="I253">(VLOOKUP($A253,'The List'!$B1:$AH671,21,FALSE)-AVERAGE('The List'!V2:V671))/STDEV('The List'!V2:V671)</f>
        <v>-0.18349820463799255</v>
      </c>
      <c r="J253" s="55" cm="1">
        <f t="array" ref="J253">(VLOOKUP($A253,'The List'!$B1:$AH671,22,FALSE)-AVERAGE('The List'!W2:W671))/STDEV('The List'!W2:W671)</f>
        <v>-0.73853908386105271</v>
      </c>
      <c r="K253" s="55" cm="1">
        <f t="array" ref="K253">(VLOOKUP($A253,'The List'!$B1:$AH671,23,FALSE)-AVERAGE('The List'!X2:X671))/STDEV('The List'!X2:X671)</f>
        <v>-0.13467702047048771</v>
      </c>
      <c r="L253" s="55" cm="1">
        <f t="array" ref="L253">(VLOOKUP($A253,'The List'!$B1:$AH671,24,FALSE)-AVERAGE('The List'!Y2:Y671))/STDEV('The List'!Y2:Y671)</f>
        <v>-0.47546929358800777</v>
      </c>
      <c r="M253" s="55" cm="1">
        <f t="array" ref="M253">(VLOOKUP($A253,'The List'!$B1:$AH671,25,FALSE)-AVERAGE('The List'!Z2:Z671))/STDEV('The List'!Z2:Z671)</f>
        <v>0.21454458398012499</v>
      </c>
      <c r="N253" s="55" cm="1">
        <f t="array" ref="N253">(VLOOKUP($A253,'The List'!$B1:$AH671,26,FALSE)-AVERAGE('The List'!AA2:AA671))/STDEV('The List'!AA2:AA671)</f>
        <v>1.8273596661714384</v>
      </c>
      <c r="O253" s="55" cm="1">
        <f t="array" ref="O253">(VLOOKUP($A253,'The List'!$B1:$AH671,27,FALSE)-AVERAGE('The List'!AB2:AB671))/STDEV('The List'!AB2:AB671)</f>
        <v>-0.2303615690389815</v>
      </c>
      <c r="P253" s="55" cm="1">
        <f t="array" ref="P253">(VLOOKUP($A253,'The List'!$B1:$AH671,28,FALSE)-AVERAGE('The List'!AC2:AC671))/STDEV('The List'!AC2:AC671)</f>
        <v>-1.1851243882352536</v>
      </c>
      <c r="Q253" s="55" cm="1">
        <f t="array" ref="Q253">(VLOOKUP($A253,'The List'!$B1:$AH671,29,FALSE)-AVERAGE('The List'!AD2:AD671))/STDEV('The List'!AD2:AD671)</f>
        <v>-0.15580219524646932</v>
      </c>
      <c r="R253" s="55" cm="1">
        <f t="array" ref="R253">(VLOOKUP($A253,'The List'!$B1:$AH671,30,FALSE)-AVERAGE('The List'!AE2:AE671))/STDEV('The List'!AE2:AE671)</f>
        <v>-0.30961476029835389</v>
      </c>
      <c r="S253" s="55" cm="1">
        <f t="array" ref="S253">(VLOOKUP($A253,'The List'!$B1:$AH671,31,FALSE)-AVERAGE('The List'!AF2:AF671))/STDEV('The List'!AF2:AF671)</f>
        <v>-0.59581850454342256</v>
      </c>
      <c r="T253" s="55" cm="1">
        <f t="array" ref="T253">(VLOOKUP($A253,'The List'!$B1:$AH671,32,FALSE)-AVERAGE('The List'!AG2:AG671))/STDEV('The List'!AG2:AG671)</f>
        <v>-0.64684275008198677</v>
      </c>
      <c r="U253" s="55" cm="1">
        <f t="array" ref="U253">(VLOOKUP($A253,'The List'!$B1:$AH671,33,FALSE)-AVERAGE('The List'!AH2:AH671))/STDEV('The List'!AH2:AH671)</f>
        <v>-1.2552626683789523</v>
      </c>
      <c r="V253" s="55"/>
      <c r="W253" s="77"/>
      <c r="X253" s="57"/>
      <c r="Y253" s="57"/>
      <c r="Z253" s="57"/>
      <c r="AA253" s="57"/>
      <c r="AB253" s="57"/>
      <c r="AC253" s="60"/>
      <c r="AD253" s="61"/>
      <c r="AE253" s="55"/>
    </row>
    <row r="254" spans="1:31" ht="21.25" customHeight="1" x14ac:dyDescent="0.15">
      <c r="A254" s="10" t="s">
        <v>588</v>
      </c>
      <c r="B254" s="18" t="str" cm="1">
        <f t="array" ref="B254">VLOOKUP(A254,'Player Data'!A1:B673,2,FALSE)</f>
        <v>BUF</v>
      </c>
      <c r="C254" s="52" cm="1">
        <f t="array" ref="C254">((E254)*Settings!$C$12)+(F254*Settings!$C$2)+(G254*Settings!$C$3)+(H254*Settings!$C$4)+(I254*Settings!$C$5)+(K254*Settings!$C$9)+(N254*Settings!$C$6)+(J254*Settings!$C$8)+(O254*Settings!$C$7)+(P254*Settings!$C$14)+(Q254*Settings!$C$15)+(R254*Settings!$C$16)+(S254*Settings!$C$17)+(T254*Settings!$C$18)+(U254*Settings!$C$19)+(L254*Settings!$C$10)+(Settings!$C$11*M254)</f>
        <v>-0.70735233844897383</v>
      </c>
      <c r="D254" s="57" cm="1">
        <f t="array" ref="D254">IF(Settings!$E$12="YES",VLOOKUP(A254,'Player Data'!A1:E673,5,FALSE),82)</f>
        <v>76</v>
      </c>
      <c r="E254" s="55" cm="1">
        <f t="array" ref="E254">(VLOOKUP($A254,'The List'!$B1:$AH671,17,FALSE)-AVERAGE('The List'!R2:R671))/STDEV('The List'!R2:R671)</f>
        <v>-1.0268182928707199</v>
      </c>
      <c r="F254" s="55" cm="1">
        <f t="array" ref="F254">(VLOOKUP($A254,'The List'!$B1:$AH671,18,FALSE)-AVERAGE('The List'!S2:S671))/STDEV('The List'!S2:S671)</f>
        <v>6.0946837274425063E-2</v>
      </c>
      <c r="G254" s="55" cm="1">
        <f t="array" ref="G254">(VLOOKUP($A254,'The List'!$B1:$AH671,19,FALSE)-AVERAGE('The List'!T2:T671))/STDEV('The List'!T2:T671)</f>
        <v>-3.605423459779894E-2</v>
      </c>
      <c r="H254" s="55" cm="1">
        <f t="array" ref="H254">(VLOOKUP($A254,'The List'!$B1:$AH671,20,FALSE)-AVERAGE('The List'!U2:U671))/STDEV('The List'!U2:U671)</f>
        <v>4.3177533270660423E-3</v>
      </c>
      <c r="I254" s="55" cm="1">
        <f t="array" ref="I254">(VLOOKUP($A254,'The List'!$B1:$AH671,21,FALSE)-AVERAGE('The List'!V2:V671))/STDEV('The List'!V2:V671)</f>
        <v>2.316803281481088E-2</v>
      </c>
      <c r="J254" s="55" cm="1">
        <f t="array" ref="J254">(VLOOKUP($A254,'The List'!$B1:$AH671,22,FALSE)-AVERAGE('The List'!W2:W671))/STDEV('The List'!W2:W671)</f>
        <v>-0.73853908386105271</v>
      </c>
      <c r="K254" s="55" cm="1">
        <f t="array" ref="K254">(VLOOKUP($A254,'The List'!$B1:$AH671,23,FALSE)-AVERAGE('The List'!X2:X671))/STDEV('The List'!X2:X671)</f>
        <v>-0.80155300200843405</v>
      </c>
      <c r="L254" s="55" cm="1">
        <f t="array" ref="L254">(VLOOKUP($A254,'The List'!$B1:$AH671,24,FALSE)-AVERAGE('The List'!Y2:Y671))/STDEV('The List'!Y2:Y671)</f>
        <v>-0.47546929358800777</v>
      </c>
      <c r="M254" s="55" cm="1">
        <f t="array" ref="M254">(VLOOKUP($A254,'The List'!$B1:$AH671,25,FALSE)-AVERAGE('The List'!Z2:Z671))/STDEV('The List'!Z2:Z671)</f>
        <v>-0.64388478613809508</v>
      </c>
      <c r="N254" s="55" cm="1">
        <f t="array" ref="N254">(VLOOKUP($A254,'The List'!$B1:$AH671,26,FALSE)-AVERAGE('The List'!AA2:AA671))/STDEV('The List'!AA2:AA671)</f>
        <v>-0.80770128211093151</v>
      </c>
      <c r="O254" s="55" cm="1">
        <f t="array" ref="O254">(VLOOKUP($A254,'The List'!$B1:$AH671,27,FALSE)-AVERAGE('The List'!AB2:AB671))/STDEV('The List'!AB2:AB671)</f>
        <v>-0.19530871695945676</v>
      </c>
      <c r="P254" s="55" cm="1">
        <f t="array" ref="P254">(VLOOKUP($A254,'The List'!$B1:$AH671,28,FALSE)-AVERAGE('The List'!AC2:AC671))/STDEV('The List'!AC2:AC671)</f>
        <v>0.2414487450274799</v>
      </c>
      <c r="Q254" s="55" cm="1">
        <f t="array" ref="Q254">(VLOOKUP($A254,'The List'!$B1:$AH671,29,FALSE)-AVERAGE('The List'!AD2:AD671))/STDEV('The List'!AD2:AD671)</f>
        <v>-0.85770395364032448</v>
      </c>
      <c r="R254" s="55" cm="1">
        <f t="array" ref="R254">(VLOOKUP($A254,'The List'!$B1:$AH671,30,FALSE)-AVERAGE('The List'!AE2:AE671))/STDEV('The List'!AE2:AE671)</f>
        <v>0.14887743046697346</v>
      </c>
      <c r="S254" s="55" cm="1">
        <f t="array" ref="S254">(VLOOKUP($A254,'The List'!$B1:$AH671,31,FALSE)-AVERAGE('The List'!AF2:AF671))/STDEV('The List'!AF2:AF671)</f>
        <v>-0.15735404192007743</v>
      </c>
      <c r="T254" s="55" cm="1">
        <f t="array" ref="T254">(VLOOKUP($A254,'The List'!$B1:$AH671,32,FALSE)-AVERAGE('The List'!AG2:AG671))/STDEV('The List'!AG2:AG671)</f>
        <v>8.6347250996205629E-3</v>
      </c>
      <c r="U254" s="55" cm="1">
        <f t="array" ref="U254">(VLOOKUP($A254,'The List'!$B1:$AH671,33,FALSE)-AVERAGE('The List'!AH2:AH671))/STDEV('The List'!AH2:AH671)</f>
        <v>0.67670476438280014</v>
      </c>
      <c r="V254" s="55"/>
      <c r="W254" s="77"/>
      <c r="X254" s="57"/>
      <c r="Y254" s="57"/>
      <c r="Z254" s="57"/>
      <c r="AA254" s="57"/>
      <c r="AB254" s="57"/>
      <c r="AC254" s="60"/>
      <c r="AD254" s="61"/>
      <c r="AE254" s="55"/>
    </row>
    <row r="255" spans="1:31" ht="21.25" customHeight="1" x14ac:dyDescent="0.15">
      <c r="A255" s="10" t="s">
        <v>294</v>
      </c>
      <c r="B255" s="18" t="str" cm="1">
        <f t="array" ref="B255">VLOOKUP(A255,'Player Data'!A1:B673,2,FALSE)</f>
        <v>CAR</v>
      </c>
      <c r="C255" s="52" cm="1">
        <f t="array" ref="C255">((E255)*Settings!$C$12)+(F255*Settings!$C$2)+(G255*Settings!$C$3)+(H255*Settings!$C$4)+(I255*Settings!$C$5)+(K255*Settings!$C$9)+(N255*Settings!$C$6)+(J255*Settings!$C$8)+(O255*Settings!$C$7)+(P255*Settings!$C$14)+(Q255*Settings!$C$15)+(R255*Settings!$C$16)+(S255*Settings!$C$17)+(T255*Settings!$C$18)+(U255*Settings!$C$19)+(L255*Settings!$C$10)+(Settings!$C$11*M255)</f>
        <v>1.1308564844572015</v>
      </c>
      <c r="D255" s="57" cm="1">
        <f t="array" ref="D255">IF(Settings!$E$12="YES",VLOOKUP(A255,'Player Data'!A1:E673,5,FALSE),82)</f>
        <v>81</v>
      </c>
      <c r="E255" s="55" cm="1">
        <f t="array" ref="E255">(VLOOKUP($A255,'The List'!$B1:$AH671,17,FALSE)-AVERAGE('The List'!R2:R671))/STDEV('The List'!R2:R671)</f>
        <v>1.5176963941798591</v>
      </c>
      <c r="F255" s="55" cm="1">
        <f t="array" ref="F255">(VLOOKUP($A255,'The List'!$B1:$AH671,18,FALSE)-AVERAGE('The List'!S2:S671))/STDEV('The List'!S2:S671)</f>
        <v>-0.48332925692106493</v>
      </c>
      <c r="G255" s="55" cm="1">
        <f t="array" ref="G255">(VLOOKUP($A255,'The List'!$B1:$AH671,19,FALSE)-AVERAGE('The List'!T2:T671))/STDEV('The List'!T2:T671)</f>
        <v>0.3299300149452028</v>
      </c>
      <c r="H255" s="55" cm="1">
        <f t="array" ref="H255">(VLOOKUP($A255,'The List'!$B1:$AH671,20,FALSE)-AVERAGE('The List'!U2:U671))/STDEV('The List'!U2:U671)</f>
        <v>-6.5572206118836626E-3</v>
      </c>
      <c r="I255" s="55" cm="1">
        <f t="array" ref="I255">(VLOOKUP($A255,'The List'!$B1:$AH671,21,FALSE)-AVERAGE('The List'!V2:V671))/STDEV('The List'!V2:V671)</f>
        <v>0.12500018977736504</v>
      </c>
      <c r="J255" s="55" cm="1">
        <f t="array" ref="J255">(VLOOKUP($A255,'The List'!$B1:$AH671,22,FALSE)-AVERAGE('The List'!W2:W671))/STDEV('The List'!W2:W671)</f>
        <v>-0.51481960469915922</v>
      </c>
      <c r="K255" s="55" cm="1">
        <f t="array" ref="K255">(VLOOKUP($A255,'The List'!$B1:$AH671,23,FALSE)-AVERAGE('The List'!X2:X671))/STDEV('The List'!X2:X671)</f>
        <v>-0.31315377502313896</v>
      </c>
      <c r="L255" s="55" cm="1">
        <f t="array" ref="L255">(VLOOKUP($A255,'The List'!$B1:$AH671,24,FALSE)-AVERAGE('The List'!Y2:Y671))/STDEV('The List'!Y2:Y671)</f>
        <v>1.0093815618045958</v>
      </c>
      <c r="M255" s="55" cm="1">
        <f t="array" ref="M255">(VLOOKUP($A255,'The List'!$B1:$AH671,25,FALSE)-AVERAGE('The List'!Z2:Z671))/STDEV('The List'!Z2:Z671)</f>
        <v>1.1164387323321792</v>
      </c>
      <c r="N255" s="55" cm="1">
        <f t="array" ref="N255">(VLOOKUP($A255,'The List'!$B1:$AH671,26,FALSE)-AVERAGE('The List'!AA2:AA671))/STDEV('The List'!AA2:AA671)</f>
        <v>1.149247151129305</v>
      </c>
      <c r="O255" s="55" cm="1">
        <f t="array" ref="O255">(VLOOKUP($A255,'The List'!$B1:$AH671,27,FALSE)-AVERAGE('The List'!AB2:AB671))/STDEV('The List'!AB2:AB671)</f>
        <v>0.52255729463408085</v>
      </c>
      <c r="P255" s="55" cm="1">
        <f t="array" ref="P255">(VLOOKUP($A255,'The List'!$B1:$AH671,28,FALSE)-AVERAGE('The List'!AC2:AC671))/STDEV('The List'!AC2:AC671)</f>
        <v>0.94985201704475664</v>
      </c>
      <c r="Q255" s="55" cm="1">
        <f t="array" ref="Q255">(VLOOKUP($A255,'The List'!$B1:$AH671,29,FALSE)-AVERAGE('The List'!AD2:AD671))/STDEV('The List'!AD2:AD671)</f>
        <v>0.97758443357055669</v>
      </c>
      <c r="R255" s="55" cm="1">
        <f t="array" ref="R255">(VLOOKUP($A255,'The List'!$B1:$AH671,30,FALSE)-AVERAGE('The List'!AE2:AE671))/STDEV('The List'!AE2:AE671)</f>
        <v>-0.33394291735937137</v>
      </c>
      <c r="S255" s="55" cm="1">
        <f t="array" ref="S255">(VLOOKUP($A255,'The List'!$B1:$AH671,31,FALSE)-AVERAGE('The List'!AF2:AF671))/STDEV('The List'!AF2:AF671)</f>
        <v>-0.59581850454342256</v>
      </c>
      <c r="T255" s="55" cm="1">
        <f t="array" ref="T255">(VLOOKUP($A255,'The List'!$B1:$AH671,32,FALSE)-AVERAGE('The List'!AG2:AG671))/STDEV('The List'!AG2:AG671)</f>
        <v>-0.64270901639390587</v>
      </c>
      <c r="U255" s="55" cm="1">
        <f t="array" ref="U255">(VLOOKUP($A255,'The List'!$B1:$AH671,33,FALSE)-AVERAGE('The List'!AH2:AH671))/STDEV('The List'!AH2:AH671)</f>
        <v>-1.2552626683789523</v>
      </c>
      <c r="V255" s="55"/>
      <c r="W255" s="77"/>
      <c r="X255" s="57"/>
      <c r="Y255" s="57"/>
      <c r="Z255" s="57"/>
      <c r="AA255" s="57"/>
      <c r="AB255" s="57"/>
      <c r="AC255" s="60"/>
      <c r="AD255" s="61"/>
      <c r="AE255" s="55"/>
    </row>
    <row r="256" spans="1:31" ht="21.25" customHeight="1" x14ac:dyDescent="0.15">
      <c r="A256" s="10" t="s">
        <v>252</v>
      </c>
      <c r="B256" s="18" t="str" cm="1">
        <f t="array" ref="B256">VLOOKUP(A256,'Player Data'!A1:B673,2,FALSE)</f>
        <v>VGK</v>
      </c>
      <c r="C256" s="52" cm="1">
        <f t="array" ref="C256">((E256)*Settings!$C$12)+(F256*Settings!$C$2)+(G256*Settings!$C$3)+(H256*Settings!$C$4)+(I256*Settings!$C$5)+(K256*Settings!$C$9)+(N256*Settings!$C$6)+(J256*Settings!$C$8)+(O256*Settings!$C$7)+(P256*Settings!$C$14)+(Q256*Settings!$C$15)+(R256*Settings!$C$16)+(S256*Settings!$C$17)+(T256*Settings!$C$18)+(U256*Settings!$C$19)+(L256*Settings!$C$10)+(Settings!$C$11*M256)</f>
        <v>0.31863390590296747</v>
      </c>
      <c r="D256" s="57" cm="1">
        <f t="array" ref="D256">IF(Settings!$E$12="YES",VLOOKUP(A256,'Player Data'!A1:E673,5,FALSE),82)</f>
        <v>82</v>
      </c>
      <c r="E256" s="55" cm="1">
        <f t="array" ref="E256">(VLOOKUP($A256,'The List'!$B1:$AH671,17,FALSE)-AVERAGE('The List'!R2:R671))/STDEV('The List'!R2:R671)</f>
        <v>1.5176963941798591</v>
      </c>
      <c r="F256" s="55" cm="1">
        <f t="array" ref="F256">(VLOOKUP($A256,'The List'!$B1:$AH671,18,FALSE)-AVERAGE('The List'!S2:S671))/STDEV('The List'!S2:S671)</f>
        <v>-0.55418294721787409</v>
      </c>
      <c r="G256" s="55" cm="1">
        <f t="array" ref="G256">(VLOOKUP($A256,'The List'!$B1:$AH671,19,FALSE)-AVERAGE('The List'!T2:T671))/STDEV('The List'!T2:T671)</f>
        <v>0.29690148244036235</v>
      </c>
      <c r="H256" s="55" cm="1">
        <f t="array" ref="H256">(VLOOKUP($A256,'The List'!$B1:$AH671,20,FALSE)-AVERAGE('The List'!U2:U671))/STDEV('The List'!U2:U671)</f>
        <v>-5.8721729749934296E-2</v>
      </c>
      <c r="I256" s="55" cm="1">
        <f t="array" ref="I256">(VLOOKUP($A256,'The List'!$B1:$AH671,21,FALSE)-AVERAGE('The List'!V2:V671))/STDEV('The List'!V2:V671)</f>
        <v>0.43685469150354311</v>
      </c>
      <c r="J256" s="55" cm="1">
        <f t="array" ref="J256">(VLOOKUP($A256,'The List'!$B1:$AH671,22,FALSE)-AVERAGE('The List'!W2:W671))/STDEV('The List'!W2:W671)</f>
        <v>-0.51205763582061725</v>
      </c>
      <c r="K256" s="55" cm="1">
        <f t="array" ref="K256">(VLOOKUP($A256,'The List'!$B1:$AH671,23,FALSE)-AVERAGE('The List'!X2:X671))/STDEV('The List'!X2:X671)</f>
        <v>-0.22471934709164509</v>
      </c>
      <c r="L256" s="55" cm="1">
        <f t="array" ref="L256">(VLOOKUP($A256,'The List'!$B1:$AH671,24,FALSE)-AVERAGE('The List'!Y2:Y671))/STDEV('The List'!Y2:Y671)</f>
        <v>-0.47546929358800777</v>
      </c>
      <c r="M256" s="55" cm="1">
        <f t="array" ref="M256">(VLOOKUP($A256,'The List'!$B1:$AH671,25,FALSE)-AVERAGE('The List'!Z2:Z671))/STDEV('The List'!Z2:Z671)</f>
        <v>0.24714316765550046</v>
      </c>
      <c r="N256" s="55" cm="1">
        <f t="array" ref="N256">(VLOOKUP($A256,'The List'!$B1:$AH671,26,FALSE)-AVERAGE('The List'!AA2:AA671))/STDEV('The List'!AA2:AA671)</f>
        <v>1.6442309756685347</v>
      </c>
      <c r="O256" s="55" cm="1">
        <f t="array" ref="O256">(VLOOKUP($A256,'The List'!$B1:$AH671,27,FALSE)-AVERAGE('The List'!AB2:AB671))/STDEV('The List'!AB2:AB671)</f>
        <v>-0.77706306901612765</v>
      </c>
      <c r="P256" s="55" cm="1">
        <f t="array" ref="P256">(VLOOKUP($A256,'The List'!$B1:$AH671,28,FALSE)-AVERAGE('The List'!AC2:AC671))/STDEV('The List'!AC2:AC671)</f>
        <v>1.1408430952847088</v>
      </c>
      <c r="Q256" s="55" cm="1">
        <f t="array" ref="Q256">(VLOOKUP($A256,'The List'!$B1:$AH671,29,FALSE)-AVERAGE('The List'!AD2:AD671))/STDEV('The List'!AD2:AD671)</f>
        <v>-0.61684082391780193</v>
      </c>
      <c r="R256" s="55" cm="1">
        <f t="array" ref="R256">(VLOOKUP($A256,'The List'!$B1:$AH671,30,FALSE)-AVERAGE('The List'!AE2:AE671))/STDEV('The List'!AE2:AE671)</f>
        <v>-0.32146693937936244</v>
      </c>
      <c r="S256" s="55" cm="1">
        <f t="array" ref="S256">(VLOOKUP($A256,'The List'!$B1:$AH671,31,FALSE)-AVERAGE('The List'!AF2:AF671))/STDEV('The List'!AF2:AF671)</f>
        <v>-0.59581850454342256</v>
      </c>
      <c r="T256" s="55" cm="1">
        <f t="array" ref="T256">(VLOOKUP($A256,'The List'!$B1:$AH671,32,FALSE)-AVERAGE('The List'!AG2:AG671))/STDEV('The List'!AG2:AG671)</f>
        <v>-0.64684275008198677</v>
      </c>
      <c r="U256" s="55" cm="1">
        <f t="array" ref="U256">(VLOOKUP($A256,'The List'!$B1:$AH671,33,FALSE)-AVERAGE('The List'!AH2:AH671))/STDEV('The List'!AH2:AH671)</f>
        <v>-1.2552626683789523</v>
      </c>
      <c r="V256" s="55"/>
      <c r="W256" s="77"/>
      <c r="X256" s="57"/>
      <c r="Y256" s="57"/>
      <c r="Z256" s="57"/>
      <c r="AA256" s="57"/>
      <c r="AB256" s="57"/>
      <c r="AC256" s="60"/>
      <c r="AD256" s="61"/>
      <c r="AE256" s="55"/>
    </row>
    <row r="257" spans="1:31" ht="21.25" customHeight="1" x14ac:dyDescent="0.15">
      <c r="A257" s="10" t="s">
        <v>529</v>
      </c>
      <c r="B257" s="18" t="str" cm="1">
        <f t="array" ref="B257">VLOOKUP(A257,'Player Data'!A1:B673,2,FALSE)</f>
        <v>SEA</v>
      </c>
      <c r="C257" s="52" cm="1">
        <f t="array" ref="C257">((E257)*Settings!$C$12)+(F257*Settings!$C$2)+(G257*Settings!$C$3)+(H257*Settings!$C$4)+(I257*Settings!$C$5)+(K257*Settings!$C$9)+(N257*Settings!$C$6)+(J257*Settings!$C$8)+(O257*Settings!$C$7)+(P257*Settings!$C$14)+(Q257*Settings!$C$15)+(R257*Settings!$C$16)+(S257*Settings!$C$17)+(T257*Settings!$C$18)+(U257*Settings!$C$19)+(L257*Settings!$C$10)+(Settings!$C$11*M257)</f>
        <v>0.56844503962675152</v>
      </c>
      <c r="D257" s="57" cm="1">
        <f t="array" ref="D257">IF(Settings!$E$12="YES",VLOOKUP(A257,'Player Data'!A1:E673,5,FALSE),82)</f>
        <v>81</v>
      </c>
      <c r="E257" s="55" cm="1">
        <f t="array" ref="E257">(VLOOKUP($A257,'The List'!$B1:$AH671,17,FALSE)-AVERAGE('The List'!R2:R671))/STDEV('The List'!R2:R671)</f>
        <v>-0.50217608935513669</v>
      </c>
      <c r="F257" s="55" cm="1">
        <f t="array" ref="F257">(VLOOKUP($A257,'The List'!$B1:$AH671,18,FALSE)-AVERAGE('The List'!S2:S671))/STDEV('The List'!S2:S671)</f>
        <v>0.16333540944981423</v>
      </c>
      <c r="G257" s="55" cm="1">
        <f t="array" ref="G257">(VLOOKUP($A257,'The List'!$B1:$AH671,19,FALSE)-AVERAGE('The List'!T2:T671))/STDEV('The List'!T2:T671)</f>
        <v>-0.18236360624690201</v>
      </c>
      <c r="H257" s="55" cm="1">
        <f t="array" ref="H257">(VLOOKUP($A257,'The List'!$B1:$AH671,20,FALSE)-AVERAGE('The List'!U2:U671))/STDEV('The List'!U2:U671)</f>
        <v>-4.2365061630376059E-2</v>
      </c>
      <c r="I257" s="55" cm="1">
        <f t="array" ref="I257">(VLOOKUP($A257,'The List'!$B1:$AH671,21,FALSE)-AVERAGE('The List'!V2:V671))/STDEV('The List'!V2:V671)</f>
        <v>0.67078876094245976</v>
      </c>
      <c r="J257" s="55" cm="1">
        <f t="array" ref="J257">(VLOOKUP($A257,'The List'!$B1:$AH671,22,FALSE)-AVERAGE('The List'!W2:W671))/STDEV('The List'!W2:W671)</f>
        <v>-6.738064637537218E-2</v>
      </c>
      <c r="K257" s="55" cm="1">
        <f t="array" ref="K257">(VLOOKUP($A257,'The List'!$B1:$AH671,23,FALSE)-AVERAGE('The List'!X2:X671))/STDEV('The List'!X2:X671)</f>
        <v>-0.15035403269470712</v>
      </c>
      <c r="L257" s="55" cm="1">
        <f t="array" ref="L257">(VLOOKUP($A257,'The List'!$B1:$AH671,24,FALSE)-AVERAGE('The List'!Y2:Y671))/STDEV('The List'!Y2:Y671)</f>
        <v>-0.47546929358800777</v>
      </c>
      <c r="M257" s="55" cm="1">
        <f t="array" ref="M257">(VLOOKUP($A257,'The List'!$B1:$AH671,25,FALSE)-AVERAGE('The List'!Z2:Z671))/STDEV('The List'!Z2:Z671)</f>
        <v>-0.64388478613809508</v>
      </c>
      <c r="N257" s="55" cm="1">
        <f t="array" ref="N257">(VLOOKUP($A257,'The List'!$B1:$AH671,26,FALSE)-AVERAGE('The List'!AA2:AA671))/STDEV('The List'!AA2:AA671)</f>
        <v>-0.5885598365718917</v>
      </c>
      <c r="O257" s="55" cm="1">
        <f t="array" ref="O257">(VLOOKUP($A257,'The List'!$B1:$AH671,27,FALSE)-AVERAGE('The List'!AB2:AB671))/STDEV('The List'!AB2:AB671)</f>
        <v>1.4025683705253025</v>
      </c>
      <c r="P257" s="55" cm="1">
        <f t="array" ref="P257">(VLOOKUP($A257,'The List'!$B1:$AH671,28,FALSE)-AVERAGE('The List'!AC2:AC671))/STDEV('The List'!AC2:AC671)</f>
        <v>-1.3355298623492158</v>
      </c>
      <c r="Q257" s="55" cm="1">
        <f t="array" ref="Q257">(VLOOKUP($A257,'The List'!$B1:$AH671,29,FALSE)-AVERAGE('The List'!AD2:AD671))/STDEV('The List'!AD2:AD671)</f>
        <v>-0.45872821729013308</v>
      </c>
      <c r="R257" s="55" cm="1">
        <f t="array" ref="R257">(VLOOKUP($A257,'The List'!$B1:$AH671,30,FALSE)-AVERAGE('The List'!AE2:AE671))/STDEV('The List'!AE2:AE671)</f>
        <v>0.17133419083098952</v>
      </c>
      <c r="S257" s="55" cm="1">
        <f t="array" ref="S257">(VLOOKUP($A257,'The List'!$B1:$AH671,31,FALSE)-AVERAGE('The List'!AF2:AF671))/STDEV('The List'!AF2:AF671)</f>
        <v>-0.58413573432220844</v>
      </c>
      <c r="T257" s="55" cm="1">
        <f t="array" ref="T257">(VLOOKUP($A257,'The List'!$B1:$AH671,32,FALSE)-AVERAGE('The List'!AG2:AG671))/STDEV('The List'!AG2:AG671)</f>
        <v>-0.60137167951309756</v>
      </c>
      <c r="U257" s="55" cm="1">
        <f t="array" ref="U257">(VLOOKUP($A257,'The List'!$B1:$AH671,33,FALSE)-AVERAGE('The List'!AH2:AH671))/STDEV('The List'!AH2:AH671)</f>
        <v>-0.15128127822937942</v>
      </c>
      <c r="V257" s="55"/>
      <c r="W257" s="77"/>
      <c r="X257" s="57"/>
      <c r="Y257" s="57"/>
      <c r="Z257" s="57"/>
      <c r="AA257" s="57"/>
      <c r="AB257" s="57"/>
      <c r="AC257" s="60"/>
      <c r="AD257" s="61"/>
      <c r="AE257" s="55"/>
    </row>
    <row r="258" spans="1:31" ht="21.25" customHeight="1" x14ac:dyDescent="0.15">
      <c r="A258" s="10" t="s">
        <v>585</v>
      </c>
      <c r="B258" s="18" t="str" cm="1">
        <f t="array" ref="B258">VLOOKUP(A258,'Player Data'!A1:B673,2,FALSE)</f>
        <v>CHI</v>
      </c>
      <c r="C258" s="52" cm="1">
        <f t="array" ref="C258">((E258)*Settings!$C$12)+(F258*Settings!$C$2)+(G258*Settings!$C$3)+(H258*Settings!$C$4)+(I258*Settings!$C$5)+(K258*Settings!$C$9)+(N258*Settings!$C$6)+(J258*Settings!$C$8)+(O258*Settings!$C$7)+(P258*Settings!$C$14)+(Q258*Settings!$C$15)+(R258*Settings!$C$16)+(S258*Settings!$C$17)+(T258*Settings!$C$18)+(U258*Settings!$C$19)+(L258*Settings!$C$10)+(Settings!$C$11*M258)</f>
        <v>-4.7590727663433832</v>
      </c>
      <c r="D258" s="57" cm="1">
        <f t="array" ref="D258">IF(Settings!$E$12="YES",VLOOKUP(A258,'Player Data'!A1:E673,5,FALSE),82)</f>
        <v>82</v>
      </c>
      <c r="E258" s="55" cm="1">
        <f t="array" ref="E258">(VLOOKUP($A258,'The List'!$B1:$AH671,17,FALSE)-AVERAGE('The List'!R2:R671))/STDEV('The List'!R2:R671)</f>
        <v>-0.10869443671844968</v>
      </c>
      <c r="F258" s="55" cm="1">
        <f t="array" ref="F258">(VLOOKUP($A258,'The List'!$B1:$AH671,18,FALSE)-AVERAGE('The List'!S2:S671))/STDEV('The List'!S2:S671)</f>
        <v>-0.39052090202524437</v>
      </c>
      <c r="G258" s="55" cm="1">
        <f t="array" ref="G258">(VLOOKUP($A258,'The List'!$B1:$AH671,19,FALSE)-AVERAGE('The List'!T2:T671))/STDEV('The List'!T2:T671)</f>
        <v>-0.27934099955898795</v>
      </c>
      <c r="H258" s="55" cm="1">
        <f t="array" ref="H258">(VLOOKUP($A258,'The List'!$B1:$AH671,20,FALSE)-AVERAGE('The List'!U2:U671))/STDEV('The List'!U2:U671)</f>
        <v>-0.34872103478859073</v>
      </c>
      <c r="I258" s="55" cm="1">
        <f t="array" ref="I258">(VLOOKUP($A258,'The List'!$B1:$AH671,21,FALSE)-AVERAGE('The List'!V2:V671))/STDEV('The List'!V2:V671)</f>
        <v>-0.63986400919315534</v>
      </c>
      <c r="J258" s="55" cm="1">
        <f t="array" ref="J258">(VLOOKUP($A258,'The List'!$B1:$AH671,22,FALSE)-AVERAGE('The List'!W2:W671))/STDEV('The List'!W2:W671)</f>
        <v>-0.28557618778018184</v>
      </c>
      <c r="K258" s="55" cm="1">
        <f t="array" ref="K258">(VLOOKUP($A258,'The List'!$B1:$AH671,23,FALSE)-AVERAGE('The List'!X2:X671))/STDEV('The List'!X2:X671)</f>
        <v>-0.30712415493690071</v>
      </c>
      <c r="L258" s="55" cm="1">
        <f t="array" ref="L258">(VLOOKUP($A258,'The List'!$B1:$AH671,24,FALSE)-AVERAGE('The List'!Y2:Y671))/STDEV('The List'!Y2:Y671)</f>
        <v>1.0277130538464798</v>
      </c>
      <c r="M258" s="55" cm="1">
        <f t="array" ref="M258">(VLOOKUP($A258,'The List'!$B1:$AH671,25,FALSE)-AVERAGE('The List'!Z2:Z671))/STDEV('The List'!Z2:Z671)</f>
        <v>2.0291990752426914</v>
      </c>
      <c r="N258" s="55" cm="1">
        <f t="array" ref="N258">(VLOOKUP($A258,'The List'!$B1:$AH671,26,FALSE)-AVERAGE('The List'!AA2:AA671))/STDEV('The List'!AA2:AA671)</f>
        <v>-0.53390217999222445</v>
      </c>
      <c r="O258" s="55" cm="1">
        <f t="array" ref="O258">(VLOOKUP($A258,'The List'!$B1:$AH671,27,FALSE)-AVERAGE('The List'!AB2:AB671))/STDEV('The List'!AB2:AB671)</f>
        <v>-1.0796245290709712</v>
      </c>
      <c r="P258" s="55" cm="1">
        <f t="array" ref="P258">(VLOOKUP($A258,'The List'!$B1:$AH671,28,FALSE)-AVERAGE('The List'!AC2:AC671))/STDEV('The List'!AC2:AC671)</f>
        <v>-2.0625981715581241</v>
      </c>
      <c r="Q258" s="55" cm="1">
        <f t="array" ref="Q258">(VLOOKUP($A258,'The List'!$B1:$AH671,29,FALSE)-AVERAGE('The List'!AD2:AD671))/STDEV('The List'!AD2:AD671)</f>
        <v>-1.3438632768225951</v>
      </c>
      <c r="R258" s="55" cm="1">
        <f t="array" ref="R258">(VLOOKUP($A258,'The List'!$B1:$AH671,30,FALSE)-AVERAGE('The List'!AE2:AE671))/STDEV('The List'!AE2:AE671)</f>
        <v>-0.32146693937936244</v>
      </c>
      <c r="S258" s="55" cm="1">
        <f t="array" ref="S258">(VLOOKUP($A258,'The List'!$B1:$AH671,31,FALSE)-AVERAGE('The List'!AF2:AF671))/STDEV('The List'!AF2:AF671)</f>
        <v>-0.33956679557605091</v>
      </c>
      <c r="T258" s="55" cm="1">
        <f t="array" ref="T258">(VLOOKUP($A258,'The List'!$B1:$AH671,32,FALSE)-AVERAGE('The List'!AG2:AG671))/STDEV('The List'!AG2:AG671)</f>
        <v>-0.25765937841156183</v>
      </c>
      <c r="U258" s="55" cm="1">
        <f t="array" ref="U258">(VLOOKUP($A258,'The List'!$B1:$AH671,33,FALSE)-AVERAGE('The List'!AH2:AH671))/STDEV('The List'!AH2:AH671)</f>
        <v>0.63070553979323463</v>
      </c>
      <c r="V258" s="55"/>
      <c r="W258" s="57"/>
      <c r="X258" s="55"/>
      <c r="Y258" s="55"/>
      <c r="Z258" s="55"/>
      <c r="AA258" s="55"/>
      <c r="AB258" s="55"/>
      <c r="AC258" s="55"/>
      <c r="AD258" s="55"/>
      <c r="AE258" s="55"/>
    </row>
    <row r="259" spans="1:31" ht="21.25" customHeight="1" x14ac:dyDescent="0.15">
      <c r="A259" s="10" t="s">
        <v>282</v>
      </c>
      <c r="B259" s="18" t="str" cm="1">
        <f t="array" ref="B259">VLOOKUP(A259,'Player Data'!A1:B673,2,FALSE)</f>
        <v>EDM</v>
      </c>
      <c r="C259" s="52" cm="1">
        <f t="array" ref="C259">((E259)*Settings!$C$12)+(F259*Settings!$C$2)+(G259*Settings!$C$3)+(H259*Settings!$C$4)+(I259*Settings!$C$5)+(K259*Settings!$C$9)+(N259*Settings!$C$6)+(J259*Settings!$C$8)+(O259*Settings!$C$7)+(P259*Settings!$C$14)+(Q259*Settings!$C$15)+(R259*Settings!$C$16)+(S259*Settings!$C$17)+(T259*Settings!$C$18)+(U259*Settings!$C$19)+(L259*Settings!$C$10)+(Settings!$C$11*M259)</f>
        <v>0.28242985531275888</v>
      </c>
      <c r="D259" s="57" cm="1">
        <f t="array" ref="D259">IF(Settings!$E$12="YES",VLOOKUP(A259,'Player Data'!A1:E673,5,FALSE),82)</f>
        <v>81</v>
      </c>
      <c r="E259" s="55" cm="1">
        <f t="array" ref="E259">(VLOOKUP($A259,'The List'!$B1:$AH671,17,FALSE)-AVERAGE('The List'!R2:R671))/STDEV('The List'!R2:R671)</f>
        <v>1.0192863008400543</v>
      </c>
      <c r="F259" s="55" cm="1">
        <f t="array" ref="F259">(VLOOKUP($A259,'The List'!$B1:$AH671,18,FALSE)-AVERAGE('The List'!S2:S671))/STDEV('The List'!S2:S671)</f>
        <v>-0.75816174012868864</v>
      </c>
      <c r="G259" s="55" cm="1">
        <f t="array" ref="G259">(VLOOKUP($A259,'The List'!$B1:$AH671,19,FALSE)-AVERAGE('The List'!T2:T671))/STDEV('The List'!T2:T671)</f>
        <v>0.1221664907950714</v>
      </c>
      <c r="H259" s="55" cm="1">
        <f t="array" ref="H259">(VLOOKUP($A259,'The List'!$B1:$AH671,20,FALSE)-AVERAGE('The List'!U2:U671))/STDEV('The List'!U2:U671)</f>
        <v>-0.25900249979225654</v>
      </c>
      <c r="I259" s="55" cm="1">
        <f t="array" ref="I259">(VLOOKUP($A259,'The List'!$B1:$AH671,21,FALSE)-AVERAGE('The List'!V2:V671))/STDEV('The List'!V2:V671)</f>
        <v>1.2693695326085821E-2</v>
      </c>
      <c r="J259" s="55" cm="1">
        <f t="array" ref="J259">(VLOOKUP($A259,'The List'!$B1:$AH671,22,FALSE)-AVERAGE('The List'!W2:W671))/STDEV('The List'!W2:W671)</f>
        <v>-0.52600557865725395</v>
      </c>
      <c r="K259" s="55" cm="1">
        <f t="array" ref="K259">(VLOOKUP($A259,'The List'!$B1:$AH671,23,FALSE)-AVERAGE('The List'!X2:X671))/STDEV('The List'!X2:X671)</f>
        <v>-0.56956336919041883</v>
      </c>
      <c r="L259" s="55" cm="1">
        <f t="array" ref="L259">(VLOOKUP($A259,'The List'!$B1:$AH671,24,FALSE)-AVERAGE('The List'!Y2:Y671))/STDEV('The List'!Y2:Y671)</f>
        <v>-0.47546929358800777</v>
      </c>
      <c r="M259" s="55" cm="1">
        <f t="array" ref="M259">(VLOOKUP($A259,'The List'!$B1:$AH671,25,FALSE)-AVERAGE('The List'!Z2:Z671))/STDEV('The List'!Z2:Z671)</f>
        <v>-0.64388478613809508</v>
      </c>
      <c r="N259" s="55" cm="1">
        <f t="array" ref="N259">(VLOOKUP($A259,'The List'!$B1:$AH671,26,FALSE)-AVERAGE('The List'!AA2:AA671))/STDEV('The List'!AA2:AA671)</f>
        <v>1.3147525785294187</v>
      </c>
      <c r="O259" s="55" cm="1">
        <f t="array" ref="O259">(VLOOKUP($A259,'The List'!$B1:$AH671,27,FALSE)-AVERAGE('The List'!AB2:AB671))/STDEV('The List'!AB2:AB671)</f>
        <v>-0.42386971151308195</v>
      </c>
      <c r="P259" s="55" cm="1">
        <f t="array" ref="P259">(VLOOKUP($A259,'The List'!$B1:$AH671,28,FALSE)-AVERAGE('The List'!AC2:AC671))/STDEV('The List'!AC2:AC671)</f>
        <v>1.8991644900237912</v>
      </c>
      <c r="Q259" s="55" cm="1">
        <f t="array" ref="Q259">(VLOOKUP($A259,'The List'!$B1:$AH671,29,FALSE)-AVERAGE('The List'!AD2:AD671))/STDEV('The List'!AD2:AD671)</f>
        <v>0.31927446859274045</v>
      </c>
      <c r="R259" s="55" cm="1">
        <f t="array" ref="R259">(VLOOKUP($A259,'The List'!$B1:$AH671,30,FALSE)-AVERAGE('The List'!AE2:AE671))/STDEV('The List'!AE2:AE671)</f>
        <v>-0.86448388095925066</v>
      </c>
      <c r="S259" s="55" cm="1">
        <f t="array" ref="S259">(VLOOKUP($A259,'The List'!$B1:$AH671,31,FALSE)-AVERAGE('The List'!AF2:AF671))/STDEV('The List'!AF2:AF671)</f>
        <v>-0.59581850454342256</v>
      </c>
      <c r="T259" s="55" cm="1">
        <f t="array" ref="T259">(VLOOKUP($A259,'The List'!$B1:$AH671,32,FALSE)-AVERAGE('The List'!AG2:AG671))/STDEV('The List'!AG2:AG671)</f>
        <v>-0.64684275008198677</v>
      </c>
      <c r="U259" s="55" cm="1">
        <f t="array" ref="U259">(VLOOKUP($A259,'The List'!$B1:$AH671,33,FALSE)-AVERAGE('The List'!AH2:AH671))/STDEV('The List'!AH2:AH671)</f>
        <v>-1.2552626683789523</v>
      </c>
      <c r="V259" s="55"/>
      <c r="W259" s="77"/>
      <c r="X259" s="57"/>
      <c r="Y259" s="57"/>
      <c r="Z259" s="57"/>
      <c r="AA259" s="57"/>
      <c r="AB259" s="57"/>
      <c r="AC259" s="60"/>
      <c r="AD259" s="61"/>
      <c r="AE259" s="55"/>
    </row>
    <row r="260" spans="1:31" ht="21.25" customHeight="1" x14ac:dyDescent="0.15">
      <c r="A260" s="10" t="s">
        <v>553</v>
      </c>
      <c r="B260" s="18" t="str" cm="1">
        <f t="array" ref="B260">VLOOKUP(A260,'Player Data'!A1:B673,2,FALSE)</f>
        <v>OTT</v>
      </c>
      <c r="C260" s="52" cm="1">
        <f t="array" ref="C260">((E260)*Settings!$C$12)+(F260*Settings!$C$2)+(G260*Settings!$C$3)+(H260*Settings!$C$4)+(I260*Settings!$C$5)+(K260*Settings!$C$9)+(N260*Settings!$C$6)+(J260*Settings!$C$8)+(O260*Settings!$C$7)+(P260*Settings!$C$14)+(Q260*Settings!$C$15)+(R260*Settings!$C$16)+(S260*Settings!$C$17)+(T260*Settings!$C$18)+(U260*Settings!$C$19)+(L260*Settings!$C$10)+(Settings!$C$11*M260)</f>
        <v>-0.23543836571466814</v>
      </c>
      <c r="D260" s="57" cm="1">
        <f t="array" ref="D260">IF(Settings!$E$12="YES",VLOOKUP(A260,'Player Data'!A1:E673,5,FALSE),82)</f>
        <v>82</v>
      </c>
      <c r="E260" s="55" cm="1">
        <f t="array" ref="E260">(VLOOKUP($A260,'The List'!$B1:$AH671,17,FALSE)-AVERAGE('The List'!R2:R671))/STDEV('The List'!R2:R671)</f>
        <v>-0.13492654689422828</v>
      </c>
      <c r="F260" s="55" cm="1">
        <f t="array" ref="F260">(VLOOKUP($A260,'The List'!$B1:$AH671,18,FALSE)-AVERAGE('The List'!S2:S671))/STDEV('The List'!S2:S671)</f>
        <v>-6.3196811639984432E-2</v>
      </c>
      <c r="G260" s="55" cm="1">
        <f t="array" ref="G260">(VLOOKUP($A260,'The List'!$B1:$AH671,19,FALSE)-AVERAGE('The List'!T2:T671))/STDEV('The List'!T2:T671)</f>
        <v>-0.27934099955898795</v>
      </c>
      <c r="H260" s="55" cm="1">
        <f t="array" ref="H260">(VLOOKUP($A260,'The List'!$B1:$AH671,20,FALSE)-AVERAGE('The List'!U2:U671))/STDEV('The List'!U2:U671)</f>
        <v>-0.20372138226926276</v>
      </c>
      <c r="I260" s="55" cm="1">
        <f t="array" ref="I260">(VLOOKUP($A260,'The List'!$B1:$AH671,21,FALSE)-AVERAGE('The List'!V2:V671))/STDEV('The List'!V2:V671)</f>
        <v>-7.3169956194893346E-2</v>
      </c>
      <c r="J260" s="55" cm="1">
        <f t="array" ref="J260">(VLOOKUP($A260,'The List'!$B1:$AH671,22,FALSE)-AVERAGE('The List'!W2:W671))/STDEV('The List'!W2:W671)</f>
        <v>-0.51205763582061725</v>
      </c>
      <c r="K260" s="55" cm="1">
        <f t="array" ref="K260">(VLOOKUP($A260,'The List'!$B1:$AH671,23,FALSE)-AVERAGE('The List'!X2:X671))/STDEV('The List'!X2:X671)</f>
        <v>-0.55433857847266732</v>
      </c>
      <c r="L260" s="55" cm="1">
        <f t="array" ref="L260">(VLOOKUP($A260,'The List'!$B1:$AH671,24,FALSE)-AVERAGE('The List'!Y2:Y671))/STDEV('The List'!Y2:Y671)</f>
        <v>2.5308954012809677</v>
      </c>
      <c r="M260" s="55" cm="1">
        <f t="array" ref="M260">(VLOOKUP($A260,'The List'!$B1:$AH671,25,FALSE)-AVERAGE('The List'!Z2:Z671))/STDEV('The List'!Z2:Z671)</f>
        <v>2.0291990752426914</v>
      </c>
      <c r="N260" s="55" cm="1">
        <f t="array" ref="N260">(VLOOKUP($A260,'The List'!$B1:$AH671,26,FALSE)-AVERAGE('The List'!AA2:AA671))/STDEV('The List'!AA2:AA671)</f>
        <v>-0.32446629964022844</v>
      </c>
      <c r="O260" s="55" cm="1">
        <f t="array" ref="O260">(VLOOKUP($A260,'The List'!$B1:$AH671,27,FALSE)-AVERAGE('The List'!AB2:AB671))/STDEV('The List'!AB2:AB671)</f>
        <v>0.4836096812123874</v>
      </c>
      <c r="P260" s="55" cm="1">
        <f t="array" ref="P260">(VLOOKUP($A260,'The List'!$B1:$AH671,28,FALSE)-AVERAGE('The List'!AC2:AC671))/STDEV('The List'!AC2:AC671)</f>
        <v>0.2509982989394775</v>
      </c>
      <c r="Q260" s="55" cm="1">
        <f t="array" ref="Q260">(VLOOKUP($A260,'The List'!$B1:$AH671,29,FALSE)-AVERAGE('The List'!AD2:AD671))/STDEV('The List'!AD2:AD671)</f>
        <v>2.1094933744751736</v>
      </c>
      <c r="R260" s="55" cm="1">
        <f t="array" ref="R260">(VLOOKUP($A260,'The List'!$B1:$AH671,30,FALSE)-AVERAGE('The List'!AE2:AE671))/STDEV('The List'!AE2:AE671)</f>
        <v>0.19004815780100306</v>
      </c>
      <c r="S260" s="55" cm="1">
        <f t="array" ref="S260">(VLOOKUP($A260,'The List'!$B1:$AH671,31,FALSE)-AVERAGE('The List'!AF2:AF671))/STDEV('The List'!AF2:AF671)</f>
        <v>0.66178603638875511</v>
      </c>
      <c r="T260" s="55" cm="1">
        <f t="array" ref="T260">(VLOOKUP($A260,'The List'!$B1:$AH671,32,FALSE)-AVERAGE('The List'!AG2:AG671))/STDEV('The List'!AG2:AG671)</f>
        <v>0.63788085317414689</v>
      </c>
      <c r="U260" s="55" cm="1">
        <f t="array" ref="U260">(VLOOKUP($A260,'The List'!$B1:$AH671,33,FALSE)-AVERAGE('The List'!AH2:AH671))/STDEV('The List'!AH2:AH671)</f>
        <v>1.09069778568889</v>
      </c>
      <c r="V260" s="55"/>
      <c r="W260" s="57"/>
      <c r="X260" s="55"/>
      <c r="Y260" s="55"/>
      <c r="Z260" s="55"/>
      <c r="AA260" s="55"/>
      <c r="AB260" s="55"/>
      <c r="AC260" s="55"/>
      <c r="AD260" s="55"/>
      <c r="AE260" s="55"/>
    </row>
    <row r="261" spans="1:31" ht="21.25" customHeight="1" x14ac:dyDescent="0.15">
      <c r="A261" s="10" t="s">
        <v>587</v>
      </c>
      <c r="B261" s="18" t="str" cm="1">
        <f t="array" ref="B261">VLOOKUP(A261,'Player Data'!A1:B673,2,FALSE)</f>
        <v>NSH</v>
      </c>
      <c r="C261" s="52" cm="1">
        <f t="array" ref="C261">((E261)*Settings!$C$12)+(F261*Settings!$C$2)+(G261*Settings!$C$3)+(H261*Settings!$C$4)+(I261*Settings!$C$5)+(K261*Settings!$C$9)+(N261*Settings!$C$6)+(J261*Settings!$C$8)+(O261*Settings!$C$7)+(P261*Settings!$C$14)+(Q261*Settings!$C$15)+(R261*Settings!$C$16)+(S261*Settings!$C$17)+(T261*Settings!$C$18)+(U261*Settings!$C$19)+(L261*Settings!$C$10)+(Settings!$C$11*M261)</f>
        <v>1.4115741189852895</v>
      </c>
      <c r="D261" s="57" cm="1">
        <f t="array" ref="D261">IF(Settings!$E$12="YES",VLOOKUP(A261,'Player Data'!A1:E673,5,FALSE),82)</f>
        <v>79</v>
      </c>
      <c r="E261" s="55" cm="1">
        <f t="array" ref="E261">(VLOOKUP($A261,'The List'!$B1:$AH671,17,FALSE)-AVERAGE('The List'!R2:R671))/STDEV('The List'!R2:R671)</f>
        <v>-0.89565774199182402</v>
      </c>
      <c r="F261" s="55" cm="1">
        <f t="array" ref="F261">(VLOOKUP($A261,'The List'!$B1:$AH671,18,FALSE)-AVERAGE('The List'!S2:S671))/STDEV('The List'!S2:S671)</f>
        <v>0.99262296771246927</v>
      </c>
      <c r="G261" s="55" cm="1">
        <f t="array" ref="G261">(VLOOKUP($A261,'The List'!$B1:$AH671,19,FALSE)-AVERAGE('The List'!T2:T671))/STDEV('The List'!T2:T671)</f>
        <v>0.11419045156251953</v>
      </c>
      <c r="H261" s="55" cm="1">
        <f t="array" ref="H261">(VLOOKUP($A261,'The List'!$B1:$AH671,20,FALSE)-AVERAGE('The List'!U2:U671))/STDEV('The List'!U2:U671)</f>
        <v>0.51155129387791087</v>
      </c>
      <c r="I261" s="55" cm="1">
        <f t="array" ref="I261">(VLOOKUP($A261,'The List'!$B1:$AH671,21,FALSE)-AVERAGE('The List'!V2:V671))/STDEV('The List'!V2:V671)</f>
        <v>0.58664851587838795</v>
      </c>
      <c r="J261" s="55" cm="1">
        <f t="array" ref="J261">(VLOOKUP($A261,'The List'!$B1:$AH671,22,FALSE)-AVERAGE('The List'!W2:W671))/STDEV('The List'!W2:W671)</f>
        <v>1.0070252473774253</v>
      </c>
      <c r="K261" s="55" cm="1">
        <f t="array" ref="K261">(VLOOKUP($A261,'The List'!$B1:$AH671,23,FALSE)-AVERAGE('The List'!X2:X671))/STDEV('The List'!X2:X671)</f>
        <v>0.70685695623215861</v>
      </c>
      <c r="L261" s="55" cm="1">
        <f t="array" ref="L261">(VLOOKUP($A261,'The List'!$B1:$AH671,24,FALSE)-AVERAGE('The List'!Y2:Y671))/STDEV('The List'!Y2:Y671)</f>
        <v>-0.47546929358800777</v>
      </c>
      <c r="M261" s="55" cm="1">
        <f t="array" ref="M261">(VLOOKUP($A261,'The List'!$B1:$AH671,25,FALSE)-AVERAGE('The List'!Z2:Z671))/STDEV('The List'!Z2:Z671)</f>
        <v>-0.64388478613809508</v>
      </c>
      <c r="N261" s="55" cm="1">
        <f t="array" ref="N261">(VLOOKUP($A261,'The List'!$B1:$AH671,26,FALSE)-AVERAGE('The List'!AA2:AA671))/STDEV('The List'!AA2:AA671)</f>
        <v>-0.6948102344090018</v>
      </c>
      <c r="O261" s="55" cm="1">
        <f t="array" ref="O261">(VLOOKUP($A261,'The List'!$B1:$AH671,27,FALSE)-AVERAGE('The List'!AB2:AB671))/STDEV('The List'!AB2:AB671)</f>
        <v>-0.19797355366725708</v>
      </c>
      <c r="P261" s="55" cm="1">
        <f t="array" ref="P261">(VLOOKUP($A261,'The List'!$B1:$AH671,28,FALSE)-AVERAGE('The List'!AC2:AC671))/STDEV('The List'!AC2:AC671)</f>
        <v>-0.79077121873298861</v>
      </c>
      <c r="Q261" s="55" cm="1">
        <f t="array" ref="Q261">(VLOOKUP($A261,'The List'!$B1:$AH671,29,FALSE)-AVERAGE('The List'!AD2:AD671))/STDEV('The List'!AD2:AD671)</f>
        <v>-0.79785759318779592</v>
      </c>
      <c r="R261" s="55" cm="1">
        <f t="array" ref="R261">(VLOOKUP($A261,'The List'!$B1:$AH671,30,FALSE)-AVERAGE('The List'!AE2:AE671))/STDEV('The List'!AE2:AE671)</f>
        <v>0.62670738710131524</v>
      </c>
      <c r="S261" s="55" cm="1">
        <f t="array" ref="S261">(VLOOKUP($A261,'The List'!$B1:$AH671,31,FALSE)-AVERAGE('The List'!AF2:AF671))/STDEV('The List'!AF2:AF671)</f>
        <v>-0.12865192742598347</v>
      </c>
      <c r="T261" s="55" cm="1">
        <f t="array" ref="T261">(VLOOKUP($A261,'The List'!$B1:$AH671,32,FALSE)-AVERAGE('The List'!AG2:AG671))/STDEV('The List'!AG2:AG671)</f>
        <v>0.11514215975424644</v>
      </c>
      <c r="U261" s="55" cm="1">
        <f t="array" ref="U261">(VLOOKUP($A261,'The List'!$B1:$AH671,33,FALSE)-AVERAGE('The List'!AH2:AH671))/STDEV('The List'!AH2:AH671)</f>
        <v>0.53870709061410371</v>
      </c>
      <c r="V261" s="55"/>
      <c r="W261" s="57"/>
      <c r="X261" s="55"/>
      <c r="Y261" s="55"/>
      <c r="Z261" s="55"/>
      <c r="AA261" s="55"/>
      <c r="AB261" s="55"/>
      <c r="AC261" s="55"/>
      <c r="AD261" s="55"/>
      <c r="AE261" s="55"/>
    </row>
    <row r="262" spans="1:31" ht="21.25" customHeight="1" x14ac:dyDescent="0.15">
      <c r="A262" s="10" t="s">
        <v>612</v>
      </c>
      <c r="B262" s="18" t="str" cm="1">
        <f t="array" ref="B262">VLOOKUP(A262,'Player Data'!A1:B673,2,FALSE)</f>
        <v>WSH</v>
      </c>
      <c r="C262" s="52" cm="1">
        <f t="array" ref="C262">((E262)*Settings!$C$12)+(F262*Settings!$C$2)+(G262*Settings!$C$3)+(H262*Settings!$C$4)+(I262*Settings!$C$5)+(K262*Settings!$C$9)+(N262*Settings!$C$6)+(J262*Settings!$C$8)+(O262*Settings!$C$7)+(P262*Settings!$C$14)+(Q262*Settings!$C$15)+(R262*Settings!$C$16)+(S262*Settings!$C$17)+(T262*Settings!$C$18)+(U262*Settings!$C$19)+(L262*Settings!$C$10)+(Settings!$C$11*M262)</f>
        <v>-0.54334297119588038</v>
      </c>
      <c r="D262" s="57" cm="1">
        <f t="array" ref="D262">IF(Settings!$E$12="YES",VLOOKUP(A262,'Player Data'!A1:E673,5,FALSE),82)</f>
        <v>71</v>
      </c>
      <c r="E262" s="55" cm="1">
        <f t="array" ref="E262">(VLOOKUP($A262,'The List'!$B1:$AH671,17,FALSE)-AVERAGE('The List'!R2:R671))/STDEV('The List'!R2:R671)</f>
        <v>-0.63333664023403247</v>
      </c>
      <c r="F262" s="55" cm="1">
        <f t="array" ref="F262">(VLOOKUP($A262,'The List'!$B1:$AH671,18,FALSE)-AVERAGE('The List'!S2:S671))/STDEV('The List'!S2:S671)</f>
        <v>-0.38054150902569361</v>
      </c>
      <c r="G262" s="55" cm="1">
        <f t="array" ref="G262">(VLOOKUP($A262,'The List'!$B1:$AH671,19,FALSE)-AVERAGE('The List'!T2:T671))/STDEV('The List'!T2:T671)</f>
        <v>-0.46486296937341287</v>
      </c>
      <c r="H262" s="55" cm="1">
        <f t="array" ref="H262">(VLOOKUP($A262,'The List'!$B1:$AH671,20,FALSE)-AVERAGE('The List'!U2:U671))/STDEV('The List'!U2:U671)</f>
        <v>-0.46100735106880208</v>
      </c>
      <c r="I262" s="55" cm="1">
        <f t="array" ref="I262">(VLOOKUP($A262,'The List'!$B1:$AH671,21,FALSE)-AVERAGE('The List'!V2:V671))/STDEV('The List'!V2:V671)</f>
        <v>-0.31954365118743039</v>
      </c>
      <c r="J262" s="55" cm="1">
        <f t="array" ref="J262">(VLOOKUP($A262,'The List'!$B1:$AH671,22,FALSE)-AVERAGE('The List'!W2:W671))/STDEV('The List'!W2:W671)</f>
        <v>-0.73853908386105271</v>
      </c>
      <c r="K262" s="55" cm="1">
        <f t="array" ref="K262">(VLOOKUP($A262,'The List'!$B1:$AH671,23,FALSE)-AVERAGE('The List'!X2:X671))/STDEV('The List'!X2:X671)</f>
        <v>-0.80155300200843405</v>
      </c>
      <c r="L262" s="55" cm="1">
        <f t="array" ref="L262">(VLOOKUP($A262,'The List'!$B1:$AH671,24,FALSE)-AVERAGE('The List'!Y2:Y671))/STDEV('The List'!Y2:Y671)</f>
        <v>0.8260666413857557</v>
      </c>
      <c r="M262" s="55" cm="1">
        <f t="array" ref="M262">(VLOOKUP($A262,'The List'!$B1:$AH671,25,FALSE)-AVERAGE('The List'!Z2:Z671))/STDEV('The List'!Z2:Z671)</f>
        <v>0.12761502751245707</v>
      </c>
      <c r="N262" s="55" cm="1">
        <f t="array" ref="N262">(VLOOKUP($A262,'The List'!$B1:$AH671,26,FALSE)-AVERAGE('The List'!AA2:AA671))/STDEV('The List'!AA2:AA671)</f>
        <v>-0.22664441893923504</v>
      </c>
      <c r="O262" s="55" cm="1">
        <f t="array" ref="O262">(VLOOKUP($A262,'The List'!$B1:$AH671,27,FALSE)-AVERAGE('The List'!AB2:AB671))/STDEV('The List'!AB2:AB671)</f>
        <v>0.60352733306339201</v>
      </c>
      <c r="P262" s="55" cm="1">
        <f t="array" ref="P262">(VLOOKUP($A262,'The List'!$B1:$AH671,28,FALSE)-AVERAGE('The List'!AC2:AC671))/STDEV('The List'!AC2:AC671)</f>
        <v>0.81963082733569848</v>
      </c>
      <c r="Q262" s="55" cm="1">
        <f t="array" ref="Q262">(VLOOKUP($A262,'The List'!$B1:$AH671,29,FALSE)-AVERAGE('The List'!AD2:AD671))/STDEV('The List'!AD2:AD671)</f>
        <v>-0.22303699526103865</v>
      </c>
      <c r="R262" s="55" cm="1">
        <f t="array" ref="R262">(VLOOKUP($A262,'The List'!$B1:$AH671,30,FALSE)-AVERAGE('The List'!AE2:AE671))/STDEV('The List'!AE2:AE671)</f>
        <v>-0.45870269715946066</v>
      </c>
      <c r="S262" s="55" cm="1">
        <f t="array" ref="S262">(VLOOKUP($A262,'The List'!$B1:$AH671,31,FALSE)-AVERAGE('The List'!AF2:AF671))/STDEV('The List'!AF2:AF671)</f>
        <v>0.60572797022441083</v>
      </c>
      <c r="T262" s="55" cm="1">
        <f t="array" ref="T262">(VLOOKUP($A262,'The List'!$B1:$AH671,32,FALSE)-AVERAGE('The List'!AG2:AG671))/STDEV('The List'!AG2:AG671)</f>
        <v>0.48728025917999229</v>
      </c>
      <c r="U262" s="55" cm="1">
        <f t="array" ref="U262">(VLOOKUP($A262,'The List'!$B1:$AH671,33,FALSE)-AVERAGE('The List'!AH2:AH671))/STDEV('The List'!AH2:AH671)</f>
        <v>1.1826962348680212</v>
      </c>
      <c r="V262" s="55"/>
      <c r="W262" s="77"/>
      <c r="X262" s="57"/>
      <c r="Y262" s="57"/>
      <c r="Z262" s="57"/>
      <c r="AA262" s="57"/>
      <c r="AB262" s="57"/>
      <c r="AC262" s="60"/>
      <c r="AD262" s="61"/>
      <c r="AE262" s="55"/>
    </row>
    <row r="263" spans="1:31" ht="21.25" customHeight="1" x14ac:dyDescent="0.15">
      <c r="A263" s="10" t="s">
        <v>542</v>
      </c>
      <c r="B263" s="18" t="str" cm="1">
        <f t="array" ref="B263">VLOOKUP(A263,'Player Data'!A1:B673,2,FALSE)</f>
        <v>L.A</v>
      </c>
      <c r="C263" s="52" cm="1">
        <f t="array" ref="C263">((E263)*Settings!$C$12)+(F263*Settings!$C$2)+(G263*Settings!$C$3)+(H263*Settings!$C$4)+(I263*Settings!$C$5)+(K263*Settings!$C$9)+(N263*Settings!$C$6)+(J263*Settings!$C$8)+(O263*Settings!$C$7)+(P263*Settings!$C$14)+(Q263*Settings!$C$15)+(R263*Settings!$C$16)+(S263*Settings!$C$17)+(T263*Settings!$C$18)+(U263*Settings!$C$19)+(L263*Settings!$C$10)+(Settings!$C$11*M263)</f>
        <v>-0.39971182762958651</v>
      </c>
      <c r="D263" s="57" cm="1">
        <f t="array" ref="D263">IF(Settings!$E$12="YES",VLOOKUP(A263,'Player Data'!A1:E673,5,FALSE),82)</f>
        <v>80</v>
      </c>
      <c r="E263" s="55" cm="1">
        <f t="array" ref="E263">(VLOOKUP($A263,'The List'!$B1:$AH671,17,FALSE)-AVERAGE('The List'!R2:R671))/STDEV('The List'!R2:R671)</f>
        <v>-0.52840819953091567</v>
      </c>
      <c r="F263" s="55" cm="1">
        <f t="array" ref="F263">(VLOOKUP($A263,'The List'!$B1:$AH671,18,FALSE)-AVERAGE('The List'!S2:S671))/STDEV('The List'!S2:S671)</f>
        <v>0.14437456275066796</v>
      </c>
      <c r="G263" s="55" cm="1">
        <f t="array" ref="G263">(VLOOKUP($A263,'The List'!$B1:$AH671,19,FALSE)-AVERAGE('The List'!T2:T671))/STDEV('The List'!T2:T671)</f>
        <v>-0.31307226679797434</v>
      </c>
      <c r="H263" s="55" cm="1">
        <f t="array" ref="H263">(VLOOKUP($A263,'The List'!$B1:$AH671,20,FALSE)-AVERAGE('The List'!U2:U671))/STDEV('The List'!U2:U671)</f>
        <v>-0.13298984445495632</v>
      </c>
      <c r="I263" s="55" cm="1">
        <f t="array" ref="I263">(VLOOKUP($A263,'The List'!$B1:$AH671,21,FALSE)-AVERAGE('The List'!V2:V671))/STDEV('The List'!V2:V671)</f>
        <v>0.63554315520720162</v>
      </c>
      <c r="J263" s="55" cm="1">
        <f t="array" ref="J263">(VLOOKUP($A263,'The List'!$B1:$AH671,22,FALSE)-AVERAGE('The List'!W2:W671))/STDEV('The List'!W2:W671)</f>
        <v>-0.51758157357770107</v>
      </c>
      <c r="K263" s="55" cm="1">
        <f t="array" ref="K263">(VLOOKUP($A263,'The List'!$B1:$AH671,23,FALSE)-AVERAGE('The List'!X2:X671))/STDEV('The List'!X2:X671)</f>
        <v>-0.56036819855890552</v>
      </c>
      <c r="L263" s="55" cm="1">
        <f t="array" ref="L263">(VLOOKUP($A263,'The List'!$B1:$AH671,24,FALSE)-AVERAGE('The List'!Y2:Y671))/STDEV('The List'!Y2:Y671)</f>
        <v>0.99105006976271182</v>
      </c>
      <c r="M263" s="55" cm="1">
        <f t="array" ref="M263">(VLOOKUP($A263,'The List'!$B1:$AH671,25,FALSE)-AVERAGE('The List'!Z2:Z671))/STDEV('The List'!Z2:Z671)</f>
        <v>1.0947063432152622</v>
      </c>
      <c r="N263" s="55" cm="1">
        <f t="array" ref="N263">(VLOOKUP($A263,'The List'!$B1:$AH671,26,FALSE)-AVERAGE('The List'!AA2:AA671))/STDEV('The List'!AA2:AA671)</f>
        <v>-0.66262862352564655</v>
      </c>
      <c r="O263" s="55" cm="1">
        <f t="array" ref="O263">(VLOOKUP($A263,'The List'!$B1:$AH671,27,FALSE)-AVERAGE('The List'!AB2:AB671))/STDEV('The List'!AB2:AB671)</f>
        <v>-0.37487771357737215</v>
      </c>
      <c r="P263" s="55" cm="1">
        <f t="array" ref="P263">(VLOOKUP($A263,'The List'!$B1:$AH671,28,FALSE)-AVERAGE('The List'!AC2:AC671))/STDEV('The List'!AC2:AC671)</f>
        <v>6.868863334679591E-2</v>
      </c>
      <c r="Q263" s="55" cm="1">
        <f t="array" ref="Q263">(VLOOKUP($A263,'The List'!$B1:$AH671,29,FALSE)-AVERAGE('The List'!AD2:AD671))/STDEV('The List'!AD2:AD671)</f>
        <v>-1.0734463888519097</v>
      </c>
      <c r="R263" s="55" cm="1">
        <f t="array" ref="R263">(VLOOKUP($A263,'The List'!$B1:$AH671,30,FALSE)-AVERAGE('The List'!AE2:AE671))/STDEV('The List'!AE2:AE671)</f>
        <v>0.15262022386097629</v>
      </c>
      <c r="S263" s="55" cm="1">
        <f t="array" ref="S263">(VLOOKUP($A263,'The List'!$B1:$AH671,31,FALSE)-AVERAGE('The List'!AF2:AF671))/STDEV('The List'!AF2:AF671)</f>
        <v>-0.5765876070599425</v>
      </c>
      <c r="T263" s="55" cm="1">
        <f t="array" ref="T263">(VLOOKUP($A263,'The List'!$B1:$AH671,32,FALSE)-AVERAGE('The List'!AG2:AG671))/STDEV('The List'!AG2:AG671)</f>
        <v>-0.5570233514273909</v>
      </c>
      <c r="U263" s="55" cm="1">
        <f t="array" ref="U263">(VLOOKUP($A263,'The List'!$B1:$AH671,33,FALSE)-AVERAGE('The List'!AH2:AH671))/STDEV('The List'!AH2:AH671)</f>
        <v>-0.38127740117720704</v>
      </c>
      <c r="V263" s="55"/>
      <c r="W263" s="57"/>
      <c r="X263" s="55"/>
      <c r="Y263" s="55"/>
      <c r="Z263" s="55"/>
      <c r="AA263" s="55"/>
      <c r="AB263" s="55"/>
      <c r="AC263" s="55"/>
      <c r="AD263" s="55"/>
      <c r="AE263" s="55"/>
    </row>
    <row r="264" spans="1:31" ht="21.25" customHeight="1" x14ac:dyDescent="0.15">
      <c r="A264" s="10" t="s">
        <v>322</v>
      </c>
      <c r="B264" s="18" t="str" cm="1">
        <f t="array" ref="B264">VLOOKUP(A264,'Player Data'!A1:B673,2,FALSE)</f>
        <v>CBJ</v>
      </c>
      <c r="C264" s="52" cm="1">
        <f t="array" ref="C264">((E264)*Settings!$C$12)+(F264*Settings!$C$2)+(G264*Settings!$C$3)+(H264*Settings!$C$4)+(I264*Settings!$C$5)+(K264*Settings!$C$9)+(N264*Settings!$C$6)+(J264*Settings!$C$8)+(O264*Settings!$C$7)+(P264*Settings!$C$14)+(Q264*Settings!$C$15)+(R264*Settings!$C$16)+(S264*Settings!$C$17)+(T264*Settings!$C$18)+(U264*Settings!$C$19)+(L264*Settings!$C$10)+(Settings!$C$11*M264)</f>
        <v>-1.2838139875313739</v>
      </c>
      <c r="D264" s="57" cm="1">
        <f t="array" ref="D264">IF(Settings!$E$12="YES",VLOOKUP(A264,'Player Data'!A1:E673,5,FALSE),82)</f>
        <v>76</v>
      </c>
      <c r="E264" s="55" cm="1">
        <f t="array" ref="E264">(VLOOKUP($A264,'The List'!$B1:$AH671,17,FALSE)-AVERAGE('The List'!R2:R671))/STDEV('The List'!R2:R671)</f>
        <v>1.0192863008400543</v>
      </c>
      <c r="F264" s="55" cm="1">
        <f t="array" ref="F264">(VLOOKUP($A264,'The List'!$B1:$AH671,18,FALSE)-AVERAGE('The List'!S2:S671))/STDEV('The List'!S2:S671)</f>
        <v>-9.8324274998402586E-2</v>
      </c>
      <c r="G264" s="55" cm="1">
        <f t="array" ref="G264">(VLOOKUP($A264,'The List'!$B1:$AH671,19,FALSE)-AVERAGE('The List'!T2:T671))/STDEV('The List'!T2:T671)</f>
        <v>-3.605423459779894E-2</v>
      </c>
      <c r="H264" s="55" cm="1">
        <f t="array" ref="H264">(VLOOKUP($A264,'The List'!$B1:$AH671,20,FALSE)-AVERAGE('The List'!U2:U671))/STDEV('The List'!U2:U671)</f>
        <v>-6.6236955642704737E-2</v>
      </c>
      <c r="I264" s="55" cm="1">
        <f t="array" ref="I264">(VLOOKUP($A264,'The List'!$B1:$AH671,21,FALSE)-AVERAGE('The List'!V2:V671))/STDEV('The List'!V2:V671)</f>
        <v>-0.39406046370515924</v>
      </c>
      <c r="J264" s="55" cm="1">
        <f t="array" ref="J264">(VLOOKUP($A264,'The List'!$B1:$AH671,22,FALSE)-AVERAGE('The List'!W2:W671))/STDEV('The List'!W2:W671)</f>
        <v>-0.29772885084576617</v>
      </c>
      <c r="K264" s="55" cm="1">
        <f t="array" ref="K264">(VLOOKUP($A264,'The List'!$B1:$AH671,23,FALSE)-AVERAGE('The List'!X2:X671))/STDEV('The List'!X2:X671)</f>
        <v>-0.32038931912662483</v>
      </c>
      <c r="L264" s="55" cm="1">
        <f t="array" ref="L264">(VLOOKUP($A264,'The List'!$B1:$AH671,24,FALSE)-AVERAGE('The List'!Y2:Y671))/STDEV('The List'!Y2:Y671)</f>
        <v>-0.47546929358800777</v>
      </c>
      <c r="M264" s="55" cm="1">
        <f t="array" ref="M264">(VLOOKUP($A264,'The List'!$B1:$AH671,25,FALSE)-AVERAGE('The List'!Z2:Z671))/STDEV('The List'!Z2:Z671)</f>
        <v>-0.64388478613809508</v>
      </c>
      <c r="N264" s="55" cm="1">
        <f t="array" ref="N264">(VLOOKUP($A264,'The List'!$B1:$AH671,26,FALSE)-AVERAGE('The List'!AA2:AA671))/STDEV('The List'!AA2:AA671)</f>
        <v>1.1528228856718996</v>
      </c>
      <c r="O264" s="55" cm="1">
        <f t="array" ref="O264">(VLOOKUP($A264,'The List'!$B1:$AH671,27,FALSE)-AVERAGE('The List'!AB2:AB671))/STDEV('The List'!AB2:AB671)</f>
        <v>-0.84962862244391535</v>
      </c>
      <c r="P264" s="55" cm="1">
        <f t="array" ref="P264">(VLOOKUP($A264,'The List'!$B1:$AH671,28,FALSE)-AVERAGE('The List'!AC2:AC671))/STDEV('The List'!AC2:AC671)</f>
        <v>0.41464292734052727</v>
      </c>
      <c r="Q264" s="55" cm="1">
        <f t="array" ref="Q264">(VLOOKUP($A264,'The List'!$B1:$AH671,29,FALSE)-AVERAGE('The List'!AD2:AD671))/STDEV('The List'!AD2:AD671)</f>
        <v>-0.68924753162579933</v>
      </c>
      <c r="R264" s="55" cm="1">
        <f t="array" ref="R264">(VLOOKUP($A264,'The List'!$B1:$AH671,30,FALSE)-AVERAGE('The List'!AE2:AE671))/STDEV('The List'!AE2:AE671)</f>
        <v>0.14887743046697346</v>
      </c>
      <c r="S264" s="55" cm="1">
        <f t="array" ref="S264">(VLOOKUP($A264,'The List'!$B1:$AH671,31,FALSE)-AVERAGE('The List'!AF2:AF671))/STDEV('The List'!AF2:AF671)</f>
        <v>-0.59581850454342256</v>
      </c>
      <c r="T264" s="55" cm="1">
        <f t="array" ref="T264">(VLOOKUP($A264,'The List'!$B1:$AH671,32,FALSE)-AVERAGE('The List'!AG2:AG671))/STDEV('The List'!AG2:AG671)</f>
        <v>-0.64684275008198677</v>
      </c>
      <c r="U264" s="55" cm="1">
        <f t="array" ref="U264">(VLOOKUP($A264,'The List'!$B1:$AH671,33,FALSE)-AVERAGE('The List'!AH2:AH671))/STDEV('The List'!AH2:AH671)</f>
        <v>-1.2552626683789523</v>
      </c>
      <c r="V264" s="55"/>
      <c r="W264" s="77"/>
      <c r="X264" s="57"/>
      <c r="Y264" s="57"/>
      <c r="Z264" s="57"/>
      <c r="AA264" s="57"/>
      <c r="AB264" s="57"/>
      <c r="AC264" s="60"/>
      <c r="AD264" s="61"/>
      <c r="AE264" s="55"/>
    </row>
    <row r="265" spans="1:31" ht="21.25" customHeight="1" x14ac:dyDescent="0.15">
      <c r="A265" s="10" t="s">
        <v>594</v>
      </c>
      <c r="B265" s="18" t="str" cm="1">
        <f t="array" ref="B265">VLOOKUP(A265,'Player Data'!A1:B673,2,FALSE)</f>
        <v>BOS</v>
      </c>
      <c r="C265" s="52" cm="1">
        <f t="array" ref="C265">((E265)*Settings!$C$12)+(F265*Settings!$C$2)+(G265*Settings!$C$3)+(H265*Settings!$C$4)+(I265*Settings!$C$5)+(K265*Settings!$C$9)+(N265*Settings!$C$6)+(J265*Settings!$C$8)+(O265*Settings!$C$7)+(P265*Settings!$C$14)+(Q265*Settings!$C$15)+(R265*Settings!$C$16)+(S265*Settings!$C$17)+(T265*Settings!$C$18)+(U265*Settings!$C$19)+(L265*Settings!$C$10)+(Settings!$C$11*M265)</f>
        <v>-0.30238789209029215</v>
      </c>
      <c r="D265" s="57" cm="1">
        <f t="array" ref="D265">IF(Settings!$E$12="YES",VLOOKUP(A265,'Player Data'!A1:E673,5,FALSE),82)</f>
        <v>75</v>
      </c>
      <c r="E265" s="55" cm="1">
        <f t="array" ref="E265">(VLOOKUP($A265,'The List'!$B1:$AH671,17,FALSE)-AVERAGE('The List'!R2:R671))/STDEV('The List'!R2:R671)</f>
        <v>-0.34478342830046177</v>
      </c>
      <c r="F265" s="55" cm="1">
        <f t="array" ref="F265">(VLOOKUP($A265,'The List'!$B1:$AH671,18,FALSE)-AVERAGE('The List'!S2:S671))/STDEV('The List'!S2:S671)</f>
        <v>0.19926122424819634</v>
      </c>
      <c r="G265" s="55" cm="1">
        <f t="array" ref="G265">(VLOOKUP($A265,'The List'!$B1:$AH671,19,FALSE)-AVERAGE('The List'!T2:T671))/STDEV('The List'!T2:T671)</f>
        <v>-0.45010553995635633</v>
      </c>
      <c r="H265" s="55" cm="1">
        <f t="array" ref="H265">(VLOOKUP($A265,'The List'!$B1:$AH671,20,FALSE)-AVERAGE('The List'!U2:U671))/STDEV('The List'!U2:U671)</f>
        <v>-0.19487994004247433</v>
      </c>
      <c r="I265" s="55" cm="1">
        <f t="array" ref="I265">(VLOOKUP($A265,'The List'!$B1:$AH671,21,FALSE)-AVERAGE('The List'!V2:V671))/STDEV('The List'!V2:V671)</f>
        <v>-0.30520352728534023</v>
      </c>
      <c r="J265" s="55" cm="1">
        <f t="array" ref="J265">(VLOOKUP($A265,'The List'!$B1:$AH671,22,FALSE)-AVERAGE('The List'!W2:W671))/STDEV('The List'!W2:W671)</f>
        <v>-0.32424375207976841</v>
      </c>
      <c r="K265" s="55" cm="1">
        <f t="array" ref="K265">(VLOOKUP($A265,'The List'!$B1:$AH671,23,FALSE)-AVERAGE('The List'!X2:X671))/STDEV('The List'!X2:X671)</f>
        <v>-0.42470174661854582</v>
      </c>
      <c r="L265" s="55" cm="1">
        <f t="array" ref="L265">(VLOOKUP($A265,'The List'!$B1:$AH671,24,FALSE)-AVERAGE('The List'!Y2:Y671))/STDEV('The List'!Y2:Y671)</f>
        <v>-0.47546929358800777</v>
      </c>
      <c r="M265" s="55" cm="1">
        <f t="array" ref="M265">(VLOOKUP($A265,'The List'!$B1:$AH671,25,FALSE)-AVERAGE('The List'!Z2:Z671))/STDEV('The List'!Z2:Z671)</f>
        <v>0.17107980574629103</v>
      </c>
      <c r="N265" s="55" cm="1">
        <f t="array" ref="N265">(VLOOKUP($A265,'The List'!$B1:$AH671,26,FALSE)-AVERAGE('The List'!AA2:AA671))/STDEV('The List'!AA2:AA671)</f>
        <v>-0.49278123275238128</v>
      </c>
      <c r="O265" s="55" cm="1">
        <f t="array" ref="O265">(VLOOKUP($A265,'The List'!$B1:$AH671,27,FALSE)-AVERAGE('The List'!AB2:AB671))/STDEV('The List'!AB2:AB671)</f>
        <v>0.7833013171203691</v>
      </c>
      <c r="P265" s="55" cm="1">
        <f t="array" ref="P265">(VLOOKUP($A265,'The List'!$B1:$AH671,28,FALSE)-AVERAGE('The List'!AC2:AC671))/STDEV('The List'!AC2:AC671)</f>
        <v>-0.1049396195986151</v>
      </c>
      <c r="Q265" s="55" cm="1">
        <f t="array" ref="Q265">(VLOOKUP($A265,'The List'!$B1:$AH671,29,FALSE)-AVERAGE('The List'!AD2:AD671))/STDEV('The List'!AD2:AD671)</f>
        <v>-0.82223944374252966</v>
      </c>
      <c r="R265" s="55" cm="1">
        <f t="array" ref="R265">(VLOOKUP($A265,'The List'!$B1:$AH671,30,FALSE)-AVERAGE('The List'!AE2:AE671))/STDEV('The List'!AE2:AE671)</f>
        <v>5.9050389010909463E-2</v>
      </c>
      <c r="S265" s="55" cm="1">
        <f t="array" ref="S265">(VLOOKUP($A265,'The List'!$B1:$AH671,31,FALSE)-AVERAGE('The List'!AF2:AF671))/STDEV('The List'!AF2:AF671)</f>
        <v>1.1890491681420694</v>
      </c>
      <c r="T265" s="55" cm="1">
        <f t="array" ref="T265">(VLOOKUP($A265,'The List'!$B1:$AH671,32,FALSE)-AVERAGE('The List'!AG2:AG671))/STDEV('The List'!AG2:AG671)</f>
        <v>1.3434734701050799</v>
      </c>
      <c r="U265" s="55" cm="1">
        <f t="array" ref="U265">(VLOOKUP($A265,'The List'!$B1:$AH671,33,FALSE)-AVERAGE('The List'!AH2:AH671))/STDEV('The List'!AH2:AH671)</f>
        <v>0.99869933650975895</v>
      </c>
      <c r="V265" s="55"/>
      <c r="W265" s="77"/>
      <c r="X265" s="57"/>
      <c r="Y265" s="57"/>
      <c r="Z265" s="57"/>
      <c r="AA265" s="57"/>
      <c r="AB265" s="57"/>
      <c r="AC265" s="60"/>
      <c r="AD265" s="61"/>
      <c r="AE265" s="55"/>
    </row>
    <row r="266" spans="1:31" ht="21.25" customHeight="1" x14ac:dyDescent="0.15">
      <c r="A266" s="10" t="s">
        <v>267</v>
      </c>
      <c r="B266" s="18" t="str" cm="1">
        <f t="array" ref="B266">VLOOKUP(A266,'Player Data'!A1:B673,2,FALSE)</f>
        <v>DET</v>
      </c>
      <c r="C266" s="52" cm="1">
        <f t="array" ref="C266">((E266)*Settings!$C$12)+(F266*Settings!$C$2)+(G266*Settings!$C$3)+(H266*Settings!$C$4)+(I266*Settings!$C$5)+(K266*Settings!$C$9)+(N266*Settings!$C$6)+(J266*Settings!$C$8)+(O266*Settings!$C$7)+(P266*Settings!$C$14)+(Q266*Settings!$C$15)+(R266*Settings!$C$16)+(S266*Settings!$C$17)+(T266*Settings!$C$18)+(U266*Settings!$C$19)+(L266*Settings!$C$10)+(Settings!$C$11*M266)</f>
        <v>-1.2864003184628605</v>
      </c>
      <c r="D266" s="57" cm="1">
        <f t="array" ref="D266">IF(Settings!$E$12="YES",VLOOKUP(A266,'Player Data'!A1:E673,5,FALSE),82)</f>
        <v>81</v>
      </c>
      <c r="E266" s="55" cm="1">
        <f t="array" ref="E266">(VLOOKUP($A266,'The List'!$B1:$AH671,17,FALSE)-AVERAGE('The List'!R2:R671))/STDEV('The List'!R2:R671)</f>
        <v>1.3078395127736255</v>
      </c>
      <c r="F266" s="55" cm="1">
        <f t="array" ref="F266">(VLOOKUP($A266,'The List'!$B1:$AH671,18,FALSE)-AVERAGE('The List'!S2:S671))/STDEV('The List'!S2:S671)</f>
        <v>-0.56416234021742484</v>
      </c>
      <c r="G266" s="55" cm="1">
        <f t="array" ref="G266">(VLOOKUP($A266,'The List'!$B1:$AH671,19,FALSE)-AVERAGE('The List'!T2:T671))/STDEV('The List'!T2:T671)</f>
        <v>0.21608698801362405</v>
      </c>
      <c r="H266" s="55" cm="1">
        <f t="array" ref="H266">(VLOOKUP($A266,'The List'!$B1:$AH671,20,FALSE)-AVERAGE('The List'!U2:U671))/STDEV('The List'!U2:U671)</f>
        <v>-0.11398074366736148</v>
      </c>
      <c r="I266" s="55" cm="1">
        <f t="array" ref="I266">(VLOOKUP($A266,'The List'!$B1:$AH671,21,FALSE)-AVERAGE('The List'!V2:V671))/STDEV('The List'!V2:V671)</f>
        <v>0.19497308351647946</v>
      </c>
      <c r="J266" s="55" cm="1">
        <f t="array" ref="J266">(VLOOKUP($A266,'The List'!$B1:$AH671,22,FALSE)-AVERAGE('The List'!W2:W671))/STDEV('The List'!W2:W671)</f>
        <v>-0.51481960469915922</v>
      </c>
      <c r="K266" s="55" cm="1">
        <f t="array" ref="K266">(VLOOKUP($A266,'The List'!$B1:$AH671,23,FALSE)-AVERAGE('The List'!X2:X671))/STDEV('The List'!X2:X671)</f>
        <v>-0.15035403269470712</v>
      </c>
      <c r="L266" s="55" cm="1">
        <f t="array" ref="L266">(VLOOKUP($A266,'The List'!$B1:$AH671,24,FALSE)-AVERAGE('The List'!Y2:Y671))/STDEV('The List'!Y2:Y671)</f>
        <v>-0.47546929358800777</v>
      </c>
      <c r="M266" s="55" cm="1">
        <f t="array" ref="M266">(VLOOKUP($A266,'The List'!$B1:$AH671,25,FALSE)-AVERAGE('The List'!Z2:Z671))/STDEV('The List'!Z2:Z671)</f>
        <v>0.23627697309704196</v>
      </c>
      <c r="N266" s="55" cm="1">
        <f t="array" ref="N266">(VLOOKUP($A266,'The List'!$B1:$AH671,26,FALSE)-AVERAGE('The List'!AA2:AA671))/STDEV('The List'!AA2:AA671)</f>
        <v>1.7285161470297035</v>
      </c>
      <c r="O266" s="55" cm="1">
        <f t="array" ref="O266">(VLOOKUP($A266,'The List'!$B1:$AH671,27,FALSE)-AVERAGE('The List'!AB2:AB671))/STDEV('The List'!AB2:AB671)</f>
        <v>-0.17480997305330234</v>
      </c>
      <c r="P266" s="55" cm="1">
        <f t="array" ref="P266">(VLOOKUP($A266,'The List'!$B1:$AH671,28,FALSE)-AVERAGE('The List'!AC2:AC671))/STDEV('The List'!AC2:AC671)</f>
        <v>-0.80813404402752975</v>
      </c>
      <c r="Q266" s="55" cm="1">
        <f t="array" ref="Q266">(VLOOKUP($A266,'The List'!$B1:$AH671,29,FALSE)-AVERAGE('The List'!AD2:AD671))/STDEV('The List'!AD2:AD671)</f>
        <v>0.49881354995032606</v>
      </c>
      <c r="R266" s="55" cm="1">
        <f t="array" ref="R266">(VLOOKUP($A266,'The List'!$B1:$AH671,30,FALSE)-AVERAGE('The List'!AE2:AE671))/STDEV('The List'!AE2:AE671)</f>
        <v>-0.33394291735937137</v>
      </c>
      <c r="S266" s="55" cm="1">
        <f t="array" ref="S266">(VLOOKUP($A266,'The List'!$B1:$AH671,31,FALSE)-AVERAGE('The List'!AF2:AF671))/STDEV('The List'!AF2:AF671)</f>
        <v>-0.59581850454342256</v>
      </c>
      <c r="T266" s="55" cm="1">
        <f t="array" ref="T266">(VLOOKUP($A266,'The List'!$B1:$AH671,32,FALSE)-AVERAGE('The List'!AG2:AG671))/STDEV('The List'!AG2:AG671)</f>
        <v>-0.64684275008198677</v>
      </c>
      <c r="U266" s="55" cm="1">
        <f t="array" ref="U266">(VLOOKUP($A266,'The List'!$B1:$AH671,33,FALSE)-AVERAGE('The List'!AH2:AH671))/STDEV('The List'!AH2:AH671)</f>
        <v>-1.2552626683789523</v>
      </c>
      <c r="V266" s="55"/>
      <c r="W266" s="77"/>
      <c r="X266" s="57"/>
      <c r="Y266" s="57"/>
      <c r="Z266" s="57"/>
      <c r="AA266" s="57"/>
      <c r="AB266" s="57"/>
      <c r="AC266" s="60"/>
      <c r="AD266" s="61"/>
      <c r="AE266" s="55"/>
    </row>
    <row r="267" spans="1:31" ht="21.25" customHeight="1" x14ac:dyDescent="0.15">
      <c r="A267" s="10" t="s">
        <v>524</v>
      </c>
      <c r="B267" s="18" t="str" cm="1">
        <f t="array" ref="B267">VLOOKUP(A267,'Player Data'!A1:B673,2,FALSE)</f>
        <v>UTA</v>
      </c>
      <c r="C267" s="52" cm="1">
        <f t="array" ref="C267">((E267)*Settings!$C$12)+(F267*Settings!$C$2)+(G267*Settings!$C$3)+(H267*Settings!$C$4)+(I267*Settings!$C$5)+(K267*Settings!$C$9)+(N267*Settings!$C$6)+(J267*Settings!$C$8)+(O267*Settings!$C$7)+(P267*Settings!$C$14)+(Q267*Settings!$C$15)+(R267*Settings!$C$16)+(S267*Settings!$C$17)+(T267*Settings!$C$18)+(U267*Settings!$C$19)+(L267*Settings!$C$10)+(Settings!$C$11*M267)</f>
        <v>2.5390116468375461</v>
      </c>
      <c r="D267" s="57" cm="1">
        <f t="array" ref="D267">IF(Settings!$E$12="YES",VLOOKUP(A267,'Player Data'!A1:E673,5,FALSE),82)</f>
        <v>84</v>
      </c>
      <c r="E267" s="55" cm="1">
        <f t="array" ref="E267">(VLOOKUP($A267,'The List'!$B1:$AH671,17,FALSE)-AVERAGE('The List'!R2:R671))/STDEV('The List'!R2:R671)</f>
        <v>-8.2462326542670147E-2</v>
      </c>
      <c r="F267" s="55" cm="1">
        <f t="array" ref="F267">(VLOOKUP($A267,'The List'!$B1:$AH671,18,FALSE)-AVERAGE('The List'!S2:S671))/STDEV('The List'!S2:S671)</f>
        <v>0.55552555433215289</v>
      </c>
      <c r="G267" s="55" cm="1">
        <f t="array" ref="G267">(VLOOKUP($A267,'The List'!$B1:$AH671,19,FALSE)-AVERAGE('The List'!T2:T671))/STDEV('The List'!T2:T671)</f>
        <v>-0.48172860299290599</v>
      </c>
      <c r="H267" s="55" cm="1">
        <f t="array" ref="H267">(VLOOKUP($A267,'The List'!$B1:$AH671,20,FALSE)-AVERAGE('The List'!U2:U671))/STDEV('The List'!U2:U671)</f>
        <v>-5.6953441304576677E-2</v>
      </c>
      <c r="I267" s="55" cm="1">
        <f t="array" ref="I267">(VLOOKUP($A267,'The List'!$B1:$AH671,21,FALSE)-AVERAGE('The List'!V2:V671))/STDEV('The List'!V2:V671)</f>
        <v>0.35565158025074306</v>
      </c>
      <c r="J267" s="55" cm="1">
        <f t="array" ref="J267">(VLOOKUP($A267,'The List'!$B1:$AH671,22,FALSE)-AVERAGE('The List'!W2:W671))/STDEV('The List'!W2:W671)</f>
        <v>-0.27452831226601432</v>
      </c>
      <c r="K267" s="55" cm="1">
        <f t="array" ref="K267">(VLOOKUP($A267,'The List'!$B1:$AH671,23,FALSE)-AVERAGE('The List'!X2:X671))/STDEV('The List'!X2:X671)</f>
        <v>-0.54830895838642923</v>
      </c>
      <c r="L267" s="55" cm="1">
        <f t="array" ref="L267">(VLOOKUP($A267,'The List'!$B1:$AH671,24,FALSE)-AVERAGE('The List'!Y2:Y671))/STDEV('The List'!Y2:Y671)</f>
        <v>1.0643760379302476</v>
      </c>
      <c r="M267" s="55" cm="1">
        <f t="array" ref="M267">(VLOOKUP($A267,'The List'!$B1:$AH671,25,FALSE)-AVERAGE('The List'!Z2:Z671))/STDEV('The List'!Z2:Z671)</f>
        <v>1.1816358996829295</v>
      </c>
      <c r="N267" s="55" cm="1">
        <f t="array" ref="N267">(VLOOKUP($A267,'The List'!$B1:$AH671,26,FALSE)-AVERAGE('The List'!AA2:AA671))/STDEV('The List'!AA2:AA671)</f>
        <v>-0.18552347169939193</v>
      </c>
      <c r="O267" s="55" cm="1">
        <f t="array" ref="O267">(VLOOKUP($A267,'The List'!$B1:$AH671,27,FALSE)-AVERAGE('The List'!AB2:AB671))/STDEV('The List'!AB2:AB671)</f>
        <v>2.3981923620472374</v>
      </c>
      <c r="P267" s="55" cm="1">
        <f t="array" ref="P267">(VLOOKUP($A267,'The List'!$B1:$AH671,28,FALSE)-AVERAGE('The List'!AC2:AC671))/STDEV('The List'!AC2:AC671)</f>
        <v>0.25967971158674802</v>
      </c>
      <c r="Q267" s="55" cm="1">
        <f t="array" ref="Q267">(VLOOKUP($A267,'The List'!$B1:$AH671,29,FALSE)-AVERAGE('The List'!AD2:AD671))/STDEV('The List'!AD2:AD671)</f>
        <v>0.48108129500142904</v>
      </c>
      <c r="R267" s="55" cm="1">
        <f t="array" ref="R267">(VLOOKUP($A267,'The List'!$B1:$AH671,30,FALSE)-AVERAGE('The List'!AE2:AE671))/STDEV('The List'!AE2:AE671)</f>
        <v>0.75146716690140425</v>
      </c>
      <c r="S267" s="55" cm="1">
        <f t="array" ref="S267">(VLOOKUP($A267,'The List'!$B1:$AH671,31,FALSE)-AVERAGE('The List'!AF2:AF671))/STDEV('The List'!AF2:AF671)</f>
        <v>-0.45043291956831344</v>
      </c>
      <c r="T267" s="55" cm="1">
        <f t="array" ref="T267">(VLOOKUP($A267,'The List'!$B1:$AH671,32,FALSE)-AVERAGE('The List'!AG2:AG671))/STDEV('The List'!AG2:AG671)</f>
        <v>-0.38963265393473506</v>
      </c>
      <c r="U267" s="55" cm="1">
        <f t="array" ref="U267">(VLOOKUP($A267,'The List'!$B1:$AH671,33,FALSE)-AVERAGE('The List'!AH2:AH671))/STDEV('The List'!AH2:AH671)</f>
        <v>0.44670864143497252</v>
      </c>
      <c r="V267" s="55"/>
      <c r="W267" s="77"/>
      <c r="X267" s="57"/>
      <c r="Y267" s="57"/>
      <c r="Z267" s="57"/>
      <c r="AA267" s="57"/>
      <c r="AB267" s="57"/>
      <c r="AC267" s="60"/>
      <c r="AD267" s="61"/>
      <c r="AE267" s="55"/>
    </row>
    <row r="268" spans="1:31" ht="21.25" customHeight="1" x14ac:dyDescent="0.15">
      <c r="A268" s="10" t="s">
        <v>537</v>
      </c>
      <c r="B268" s="18" t="str" cm="1">
        <f t="array" ref="B268">VLOOKUP(A268,'Player Data'!A1:B673,2,FALSE)</f>
        <v>NSH</v>
      </c>
      <c r="C268" s="52" cm="1">
        <f t="array" ref="C268">((E268)*Settings!$C$12)+(F268*Settings!$C$2)+(G268*Settings!$C$3)+(H268*Settings!$C$4)+(I268*Settings!$C$5)+(K268*Settings!$C$9)+(N268*Settings!$C$6)+(J268*Settings!$C$8)+(O268*Settings!$C$7)+(P268*Settings!$C$14)+(Q268*Settings!$C$15)+(R268*Settings!$C$16)+(S268*Settings!$C$17)+(T268*Settings!$C$18)+(U268*Settings!$C$19)+(L268*Settings!$C$10)+(Settings!$C$11*M268)</f>
        <v>0.77160668474823146</v>
      </c>
      <c r="D268" s="57" cm="1">
        <f t="array" ref="D268">IF(Settings!$E$12="YES",VLOOKUP(A268,'Player Data'!A1:E673,5,FALSE),82)</f>
        <v>79</v>
      </c>
      <c r="E268" s="55" cm="1">
        <f t="array" ref="E268">(VLOOKUP($A268,'The List'!$B1:$AH671,17,FALSE)-AVERAGE('The List'!R2:R671))/STDEV('The List'!R2:R671)</f>
        <v>-0.52840819953091567</v>
      </c>
      <c r="F268" s="55" cm="1">
        <f t="array" ref="F268">(VLOOKUP($A268,'The List'!$B1:$AH671,18,FALSE)-AVERAGE('The List'!S2:S671))/STDEV('The List'!S2:S671)</f>
        <v>-3.226069334137751E-2</v>
      </c>
      <c r="G268" s="55" cm="1">
        <f t="array" ref="G268">(VLOOKUP($A268,'The List'!$B1:$AH671,19,FALSE)-AVERAGE('The List'!T2:T671))/STDEV('The List'!T2:T671)</f>
        <v>-0.44096998841246426</v>
      </c>
      <c r="H268" s="55" cm="1">
        <f t="array" ref="H268">(VLOOKUP($A268,'The List'!$B1:$AH671,20,FALSE)-AVERAGE('The List'!U2:U671))/STDEV('The List'!U2:U671)</f>
        <v>-0.2916937324258061</v>
      </c>
      <c r="I268" s="55" cm="1">
        <f t="array" ref="I268">(VLOOKUP($A268,'The List'!$B1:$AH671,21,FALSE)-AVERAGE('The List'!V2:V671))/STDEV('The List'!V2:V671)</f>
        <v>0.55935044869127681</v>
      </c>
      <c r="J268" s="55" cm="1">
        <f t="array" ref="J268">(VLOOKUP($A268,'The List'!$B1:$AH671,22,FALSE)-AVERAGE('The List'!W2:W671))/STDEV('The List'!W2:W671)</f>
        <v>-0.52034354245624292</v>
      </c>
      <c r="K268" s="55" cm="1">
        <f t="array" ref="K268">(VLOOKUP($A268,'The List'!$B1:$AH671,23,FALSE)-AVERAGE('The List'!X2:X671))/STDEV('The List'!X2:X671)</f>
        <v>-0.56338300860202462</v>
      </c>
      <c r="L268" s="55" cm="1">
        <f t="array" ref="L268">(VLOOKUP($A268,'The List'!$B1:$AH671,24,FALSE)-AVERAGE('The List'!Y2:Y671))/STDEV('The List'!Y2:Y671)</f>
        <v>-0.47546929358800777</v>
      </c>
      <c r="M268" s="55" cm="1">
        <f t="array" ref="M268">(VLOOKUP($A268,'The List'!$B1:$AH671,25,FALSE)-AVERAGE('The List'!Z2:Z671))/STDEV('The List'!Z2:Z671)</f>
        <v>-0.64388478613809508</v>
      </c>
      <c r="N268" s="55" cm="1">
        <f t="array" ref="N268">(VLOOKUP($A268,'The List'!$B1:$AH671,26,FALSE)-AVERAGE('The List'!AA2:AA671))/STDEV('The List'!AA2:AA671)</f>
        <v>-0.65445551599971474</v>
      </c>
      <c r="O268" s="55" cm="1">
        <f t="array" ref="O268">(VLOOKUP($A268,'The List'!$B1:$AH671,27,FALSE)-AVERAGE('The List'!AB2:AB671))/STDEV('The List'!AB2:AB671)</f>
        <v>1.6967253455786231</v>
      </c>
      <c r="P268" s="55" cm="1">
        <f t="array" ref="P268">(VLOOKUP($A268,'The List'!$B1:$AH671,28,FALSE)-AVERAGE('The List'!AC2:AC671))/STDEV('The List'!AC2:AC671)</f>
        <v>-0.4478554191658019</v>
      </c>
      <c r="Q268" s="55" cm="1">
        <f t="array" ref="Q268">(VLOOKUP($A268,'The List'!$B1:$AH671,29,FALSE)-AVERAGE('The List'!AD2:AD671))/STDEV('The List'!AD2:AD671)</f>
        <v>-0.21417086778658989</v>
      </c>
      <c r="R268" s="55" cm="1">
        <f t="array" ref="R268">(VLOOKUP($A268,'The List'!$B1:$AH671,30,FALSE)-AVERAGE('The List'!AE2:AE671))/STDEV('The List'!AE2:AE671)</f>
        <v>-0.35889487331938924</v>
      </c>
      <c r="S268" s="55" cm="1">
        <f t="array" ref="S268">(VLOOKUP($A268,'The List'!$B1:$AH671,31,FALSE)-AVERAGE('The List'!AF2:AF671))/STDEV('The List'!AF2:AF671)</f>
        <v>-1.0910757583376882E-2</v>
      </c>
      <c r="T268" s="55" cm="1">
        <f t="array" ref="T268">(VLOOKUP($A268,'The List'!$B1:$AH671,32,FALSE)-AVERAGE('The List'!AG2:AG671))/STDEV('The List'!AG2:AG671)</f>
        <v>7.0793831668539753E-2</v>
      </c>
      <c r="U268" s="55" cm="1">
        <f t="array" ref="U268">(VLOOKUP($A268,'The List'!$B1:$AH671,33,FALSE)-AVERAGE('The List'!AH2:AH671))/STDEV('The List'!AH2:AH671)</f>
        <v>0.86070166274106241</v>
      </c>
      <c r="V268" s="55"/>
      <c r="W268" s="57"/>
      <c r="X268" s="55"/>
      <c r="Y268" s="55"/>
      <c r="Z268" s="55"/>
      <c r="AA268" s="55"/>
      <c r="AB268" s="55"/>
      <c r="AC268" s="55"/>
      <c r="AD268" s="55"/>
      <c r="AE268" s="55"/>
    </row>
    <row r="269" spans="1:31" ht="21.25" customHeight="1" x14ac:dyDescent="0.15">
      <c r="A269" s="10" t="s">
        <v>578</v>
      </c>
      <c r="B269" s="18" t="str" cm="1">
        <f t="array" ref="B269">VLOOKUP(A269,'Player Data'!A1:B673,2,FALSE)</f>
        <v>EDM</v>
      </c>
      <c r="C269" s="52" cm="1">
        <f t="array" ref="C269">((E269)*Settings!$C$12)+(F269*Settings!$C$2)+(G269*Settings!$C$3)+(H269*Settings!$C$4)+(I269*Settings!$C$5)+(K269*Settings!$C$9)+(N269*Settings!$C$6)+(J269*Settings!$C$8)+(O269*Settings!$C$7)+(P269*Settings!$C$14)+(Q269*Settings!$C$15)+(R269*Settings!$C$16)+(S269*Settings!$C$17)+(T269*Settings!$C$18)+(U269*Settings!$C$19)+(L269*Settings!$C$10)+(Settings!$C$11*M269)</f>
        <v>3.0892637641088223</v>
      </c>
      <c r="D269" s="57" cm="1">
        <f t="array" ref="D269">IF(Settings!$E$12="YES",VLOOKUP(A269,'Player Data'!A1:E673,5,FALSE),82)</f>
        <v>78</v>
      </c>
      <c r="E269" s="55" cm="1">
        <f t="array" ref="E269">(VLOOKUP($A269,'The List'!$B1:$AH671,17,FALSE)-AVERAGE('The List'!R2:R671))/STDEV('The List'!R2:R671)</f>
        <v>-0.34478342830046177</v>
      </c>
      <c r="F269" s="55" cm="1">
        <f t="array" ref="F269">(VLOOKUP($A269,'The List'!$B1:$AH671,18,FALSE)-AVERAGE('The List'!S2:S671))/STDEV('The List'!S2:S671)</f>
        <v>0.10645286935237576</v>
      </c>
      <c r="G269" s="55" cm="1">
        <f t="array" ref="G269">(VLOOKUP($A269,'The List'!$B1:$AH671,19,FALSE)-AVERAGE('The List'!T2:T671))/STDEV('The List'!T2:T671)</f>
        <v>-0.34680353403696068</v>
      </c>
      <c r="H269" s="55" cm="1">
        <f t="array" ref="H269">(VLOOKUP($A269,'The List'!$B1:$AH671,20,FALSE)-AVERAGE('The List'!U2:U671))/STDEV('The List'!U2:U671)</f>
        <v>-0.17100804603014597</v>
      </c>
      <c r="I269" s="55" cm="1">
        <f t="array" ref="I269">(VLOOKUP($A269,'The List'!$B1:$AH671,21,FALSE)-AVERAGE('The List'!V2:V671))/STDEV('The List'!V2:V671)</f>
        <v>6.6430286129068788E-2</v>
      </c>
      <c r="J269" s="55" cm="1">
        <f t="array" ref="J269">(VLOOKUP($A269,'The List'!$B1:$AH671,22,FALSE)-AVERAGE('The List'!W2:W671))/STDEV('The List'!W2:W671)</f>
        <v>-0.52310551133478489</v>
      </c>
      <c r="K269" s="55" cm="1">
        <f t="array" ref="K269">(VLOOKUP($A269,'The List'!$B1:$AH671,23,FALSE)-AVERAGE('The List'!X2:X671))/STDEV('The List'!X2:X671)</f>
        <v>-0.56639781864514382</v>
      </c>
      <c r="L269" s="55" cm="1">
        <f t="array" ref="L269">(VLOOKUP($A269,'The List'!$B1:$AH671,24,FALSE)-AVERAGE('The List'!Y2:Y671))/STDEV('The List'!Y2:Y671)</f>
        <v>-0.47546929358800777</v>
      </c>
      <c r="M269" s="55" cm="1">
        <f t="array" ref="M269">(VLOOKUP($A269,'The List'!$B1:$AH671,25,FALSE)-AVERAGE('The List'!Z2:Z671))/STDEV('The List'!Z2:Z671)</f>
        <v>-0.64388478613809508</v>
      </c>
      <c r="N269" s="55" cm="1">
        <f t="array" ref="N269">(VLOOKUP($A269,'The List'!$B1:$AH671,26,FALSE)-AVERAGE('The List'!AA2:AA671))/STDEV('The List'!AA2:AA671)</f>
        <v>-0.36788593337173975</v>
      </c>
      <c r="O269" s="55" cm="1">
        <f t="array" ref="O269">(VLOOKUP($A269,'The List'!$B1:$AH671,27,FALSE)-AVERAGE('The List'!AB2:AB671))/STDEV('The List'!AB2:AB671)</f>
        <v>2.5802212079338918</v>
      </c>
      <c r="P269" s="55" cm="1">
        <f t="array" ref="P269">(VLOOKUP($A269,'The List'!$B1:$AH671,28,FALSE)-AVERAGE('The List'!AC2:AC671))/STDEV('The List'!AC2:AC671)</f>
        <v>1.2493607533755908</v>
      </c>
      <c r="Q269" s="55" cm="1">
        <f t="array" ref="Q269">(VLOOKUP($A269,'The List'!$B1:$AH671,29,FALSE)-AVERAGE('The List'!AD2:AD671))/STDEV('The List'!AD2:AD671)</f>
        <v>0.50767967742477504</v>
      </c>
      <c r="R269" s="55" cm="1">
        <f t="array" ref="R269">(VLOOKUP($A269,'The List'!$B1:$AH671,30,FALSE)-AVERAGE('The List'!AE2:AE671))/STDEV('The List'!AE2:AE671)</f>
        <v>0.1151922899209495</v>
      </c>
      <c r="S269" s="55" cm="1">
        <f t="array" ref="S269">(VLOOKUP($A269,'The List'!$B1:$AH671,31,FALSE)-AVERAGE('The List'!AF2:AF671))/STDEV('The List'!AF2:AF671)</f>
        <v>-0.5095679293300146</v>
      </c>
      <c r="T269" s="55" cm="1">
        <f t="array" ref="T269">(VLOOKUP($A269,'The List'!$B1:$AH671,32,FALSE)-AVERAGE('The List'!AG2:AG671))/STDEV('The List'!AG2:AG671)</f>
        <v>-0.42392733342103522</v>
      </c>
      <c r="U269" s="55" cm="1">
        <f t="array" ref="U269">(VLOOKUP($A269,'The List'!$B1:$AH671,33,FALSE)-AVERAGE('The List'!AH2:AH671))/STDEV('The List'!AH2:AH671)</f>
        <v>0.12471406930801376</v>
      </c>
      <c r="V269" s="55"/>
      <c r="W269" s="77"/>
      <c r="X269" s="57"/>
      <c r="Y269" s="57"/>
      <c r="Z269" s="57"/>
      <c r="AA269" s="57"/>
      <c r="AB269" s="57"/>
      <c r="AC269" s="60"/>
      <c r="AD269" s="61"/>
      <c r="AE269" s="55"/>
    </row>
    <row r="270" spans="1:31" ht="21.25" customHeight="1" x14ac:dyDescent="0.15">
      <c r="A270" s="10" t="s">
        <v>626</v>
      </c>
      <c r="B270" s="18" t="str" cm="1">
        <f t="array" ref="B270">VLOOKUP(A270,'Player Data'!A1:B673,2,FALSE)</f>
        <v>VGK</v>
      </c>
      <c r="C270" s="52" cm="1">
        <f t="array" ref="C270">((E270)*Settings!$C$12)+(F270*Settings!$C$2)+(G270*Settings!$C$3)+(H270*Settings!$C$4)+(I270*Settings!$C$5)+(K270*Settings!$C$9)+(N270*Settings!$C$6)+(J270*Settings!$C$8)+(O270*Settings!$C$7)+(P270*Settings!$C$14)+(Q270*Settings!$C$15)+(R270*Settings!$C$16)+(S270*Settings!$C$17)+(T270*Settings!$C$18)+(U270*Settings!$C$19)+(L270*Settings!$C$10)+(Settings!$C$11*M270)</f>
        <v>0.15479596181749355</v>
      </c>
      <c r="D270" s="57" cm="1">
        <f t="array" ref="D270">IF(Settings!$E$12="YES",VLOOKUP(A270,'Player Data'!A1:E673,5,FALSE),82)</f>
        <v>78</v>
      </c>
      <c r="E270" s="55" cm="1">
        <f t="array" ref="E270">(VLOOKUP($A270,'The List'!$B1:$AH671,17,FALSE)-AVERAGE('The List'!R2:R671))/STDEV('The List'!R2:R671)</f>
        <v>-0.37101553847624086</v>
      </c>
      <c r="F270" s="55" cm="1">
        <f t="array" ref="F270">(VLOOKUP($A270,'The List'!$B1:$AH671,18,FALSE)-AVERAGE('The List'!S2:S671))/STDEV('The List'!S2:S671)</f>
        <v>0.3399706655418599</v>
      </c>
      <c r="G270" s="55" cm="1">
        <f t="array" ref="G270">(VLOOKUP($A270,'The List'!$B1:$AH671,19,FALSE)-AVERAGE('The List'!T2:T671))/STDEV('The List'!T2:T671)</f>
        <v>-0.51124346182701919</v>
      </c>
      <c r="H270" s="55" cm="1">
        <f t="array" ref="H270">(VLOOKUP($A270,'The List'!$B1:$AH671,20,FALSE)-AVERAGE('The List'!U2:U671))/STDEV('The List'!U2:U671)</f>
        <v>-0.17100804603014597</v>
      </c>
      <c r="I270" s="55" cm="1">
        <f t="array" ref="I270">(VLOOKUP($A270,'The List'!$B1:$AH671,21,FALSE)-AVERAGE('The List'!V2:V671))/STDEV('The List'!V2:V671)</f>
        <v>-0.40523884944570404</v>
      </c>
      <c r="J270" s="55" cm="1">
        <f t="array" ref="J270">(VLOOKUP($A270,'The List'!$B1:$AH671,22,FALSE)-AVERAGE('The List'!W2:W671))/STDEV('The List'!W2:W671)</f>
        <v>-0.52310551133478489</v>
      </c>
      <c r="K270" s="55" cm="1">
        <f t="array" ref="K270">(VLOOKUP($A270,'The List'!$B1:$AH671,23,FALSE)-AVERAGE('The List'!X2:X671))/STDEV('The List'!X2:X671)</f>
        <v>-0.56639781864514382</v>
      </c>
      <c r="L270" s="55" cm="1">
        <f t="array" ref="L270">(VLOOKUP($A270,'The List'!$B1:$AH671,24,FALSE)-AVERAGE('The List'!Y2:Y671))/STDEV('The List'!Y2:Y671)</f>
        <v>0.95438708567894381</v>
      </c>
      <c r="M270" s="55" cm="1">
        <f t="array" ref="M270">(VLOOKUP($A270,'The List'!$B1:$AH671,25,FALSE)-AVERAGE('The List'!Z2:Z671))/STDEV('The List'!Z2:Z671)</f>
        <v>0.20367838942166649</v>
      </c>
      <c r="N270" s="55" cm="1">
        <f t="array" ref="N270">(VLOOKUP($A270,'The List'!$B1:$AH671,26,FALSE)-AVERAGE('The List'!AA2:AA671))/STDEV('The List'!AA2:AA671)</f>
        <v>-0.62687127809969589</v>
      </c>
      <c r="O270" s="55" cm="1">
        <f t="array" ref="O270">(VLOOKUP($A270,'The List'!$B1:$AH671,27,FALSE)-AVERAGE('The List'!AB2:AB671))/STDEV('The List'!AB2:AB671)</f>
        <v>0.7254948593050129</v>
      </c>
      <c r="P270" s="55" cm="1">
        <f t="array" ref="P270">(VLOOKUP($A270,'The List'!$B1:$AH671,28,FALSE)-AVERAGE('The List'!AC2:AC671))/STDEV('The List'!AC2:AC671)</f>
        <v>0.57221056688848781</v>
      </c>
      <c r="Q270" s="55" cm="1">
        <f t="array" ref="Q270">(VLOOKUP($A270,'The List'!$B1:$AH671,29,FALSE)-AVERAGE('The List'!AD2:AD671))/STDEV('The List'!AD2:AD671)</f>
        <v>0.85345864892827494</v>
      </c>
      <c r="R270" s="55" cm="1">
        <f t="array" ref="R270">(VLOOKUP($A270,'The List'!$B1:$AH671,30,FALSE)-AVERAGE('The List'!AE2:AE671))/STDEV('The List'!AE2:AE671)</f>
        <v>0.60175543114129737</v>
      </c>
      <c r="S270" s="55" cm="1">
        <f t="array" ref="S270">(VLOOKUP($A270,'The List'!$B1:$AH671,31,FALSE)-AVERAGE('The List'!AF2:AF671))/STDEV('The List'!AF2:AF671)</f>
        <v>0.95669184929792161</v>
      </c>
      <c r="T270" s="55" cm="1">
        <f t="array" ref="T270">(VLOOKUP($A270,'The List'!$B1:$AH671,32,FALSE)-AVERAGE('The List'!AG2:AG671))/STDEV('The List'!AG2:AG671)</f>
        <v>0.99715844779253027</v>
      </c>
      <c r="U270" s="55" cm="1">
        <f t="array" ref="U270">(VLOOKUP($A270,'The List'!$B1:$AH671,33,FALSE)-AVERAGE('The List'!AH2:AH671))/STDEV('The List'!AH2:AH671)</f>
        <v>1.0446985610993245</v>
      </c>
      <c r="V270" s="55"/>
      <c r="W270" s="77"/>
      <c r="X270" s="57"/>
      <c r="Y270" s="57"/>
      <c r="Z270" s="57"/>
      <c r="AA270" s="57"/>
      <c r="AB270" s="57"/>
      <c r="AC270" s="60"/>
      <c r="AD270" s="61"/>
      <c r="AE270" s="55"/>
    </row>
    <row r="271" spans="1:31" ht="21.25" customHeight="1" x14ac:dyDescent="0.15">
      <c r="A271" s="10" t="s">
        <v>563</v>
      </c>
      <c r="B271" s="18" t="str" cm="1">
        <f t="array" ref="B271">VLOOKUP(A271,'Player Data'!A1:B673,2,FALSE)</f>
        <v>CAR</v>
      </c>
      <c r="C271" s="52" cm="1">
        <f t="array" ref="C271">((E271)*Settings!$C$12)+(F271*Settings!$C$2)+(G271*Settings!$C$3)+(H271*Settings!$C$4)+(I271*Settings!$C$5)+(K271*Settings!$C$9)+(N271*Settings!$C$6)+(J271*Settings!$C$8)+(O271*Settings!$C$7)+(P271*Settings!$C$14)+(Q271*Settings!$C$15)+(R271*Settings!$C$16)+(S271*Settings!$C$17)+(T271*Settings!$C$18)+(U271*Settings!$C$19)+(L271*Settings!$C$10)+(Settings!$C$11*M271)</f>
        <v>1.6985267288324548</v>
      </c>
      <c r="D271" s="57" cm="1">
        <f t="array" ref="D271">IF(Settings!$E$12="YES",VLOOKUP(A271,'Player Data'!A1:E673,5,FALSE),82)</f>
        <v>82</v>
      </c>
      <c r="E271" s="55" cm="1">
        <f t="array" ref="E271">(VLOOKUP($A271,'The List'!$B1:$AH671,17,FALSE)-AVERAGE('The List'!R2:R671))/STDEV('The List'!R2:R671)</f>
        <v>-0.26608709777312411</v>
      </c>
      <c r="F271" s="55" cm="1">
        <f t="array" ref="F271">(VLOOKUP($A271,'The List'!$B1:$AH671,18,FALSE)-AVERAGE('The List'!S2:S671))/STDEV('The List'!S2:S671)</f>
        <v>0.18229625614896033</v>
      </c>
      <c r="G271" s="55" cm="1">
        <f t="array" ref="G271">(VLOOKUP($A271,'The List'!$B1:$AH671,19,FALSE)-AVERAGE('The List'!T2:T671))/STDEV('The List'!T2:T671)</f>
        <v>-0.27934099955898795</v>
      </c>
      <c r="H271" s="55" cm="1">
        <f t="array" ref="H271">(VLOOKUP($A271,'The List'!$B1:$AH671,20,FALSE)-AVERAGE('The List'!U2:U671))/STDEV('The List'!U2:U671)</f>
        <v>-9.4971642879766643E-2</v>
      </c>
      <c r="I271" s="55" cm="1">
        <f t="array" ref="I271">(VLOOKUP($A271,'The List'!$B1:$AH671,21,FALSE)-AVERAGE('The List'!V2:V671))/STDEV('The List'!V2:V671)</f>
        <v>-0.20067611811950226</v>
      </c>
      <c r="J271" s="55" cm="1">
        <f t="array" ref="J271">(VLOOKUP($A271,'The List'!$B1:$AH671,22,FALSE)-AVERAGE('The List'!W2:W671))/STDEV('The List'!W2:W671)</f>
        <v>-0.51205763582061725</v>
      </c>
      <c r="K271" s="55" cm="1">
        <f t="array" ref="K271">(VLOOKUP($A271,'The List'!$B1:$AH671,23,FALSE)-AVERAGE('The List'!X2:X671))/STDEV('The List'!X2:X671)</f>
        <v>-0.63674338631792282</v>
      </c>
      <c r="L271" s="55" cm="1">
        <f t="array" ref="L271">(VLOOKUP($A271,'The List'!$B1:$AH671,24,FALSE)-AVERAGE('The List'!Y2:Y671))/STDEV('The List'!Y2:Y671)</f>
        <v>1.0277130538464798</v>
      </c>
      <c r="M271" s="55" cm="1">
        <f t="array" ref="M271">(VLOOKUP($A271,'The List'!$B1:$AH671,25,FALSE)-AVERAGE('The List'!Z2:Z671))/STDEV('The List'!Z2:Z671)</f>
        <v>1.1381711214490962</v>
      </c>
      <c r="N271" s="55" cm="1">
        <f t="array" ref="N271">(VLOOKUP($A271,'The List'!$B1:$AH671,26,FALSE)-AVERAGE('The List'!AA2:AA671))/STDEV('The List'!AA2:AA671)</f>
        <v>-0.34540988767542807</v>
      </c>
      <c r="O271" s="55" cm="1">
        <f t="array" ref="O271">(VLOOKUP($A271,'The List'!$B1:$AH671,27,FALSE)-AVERAGE('The List'!AB2:AB671))/STDEV('The List'!AB2:AB671)</f>
        <v>1.4921478813951987</v>
      </c>
      <c r="P271" s="55" cm="1">
        <f t="array" ref="P271">(VLOOKUP($A271,'The List'!$B1:$AH671,28,FALSE)-AVERAGE('The List'!AC2:AC671))/STDEV('The List'!AC2:AC671)</f>
        <v>1.1408430952847088</v>
      </c>
      <c r="Q271" s="55" cm="1">
        <f t="array" ref="Q271">(VLOOKUP($A271,'The List'!$B1:$AH671,29,FALSE)-AVERAGE('The List'!AD2:AD671))/STDEV('The List'!AD2:AD671)</f>
        <v>-0.37450000628287039</v>
      </c>
      <c r="R271" s="55" cm="1">
        <f t="array" ref="R271">(VLOOKUP($A271,'The List'!$B1:$AH671,30,FALSE)-AVERAGE('The List'!AE2:AE671))/STDEV('The List'!AE2:AE671)</f>
        <v>0.19004815780100306</v>
      </c>
      <c r="S271" s="55" cm="1">
        <f t="array" ref="S271">(VLOOKUP($A271,'The List'!$B1:$AH671,31,FALSE)-AVERAGE('The List'!AF2:AF671))/STDEV('The List'!AF2:AF671)</f>
        <v>3.6185365244738126</v>
      </c>
      <c r="T271" s="55" cm="1">
        <f t="array" ref="T271">(VLOOKUP($A271,'The List'!$B1:$AH671,32,FALSE)-AVERAGE('The List'!AG2:AG671))/STDEV('The List'!AG2:AG671)</f>
        <v>2.893470501887685</v>
      </c>
      <c r="U271" s="55" cm="1">
        <f t="array" ref="U271">(VLOOKUP($A271,'The List'!$B1:$AH671,33,FALSE)-AVERAGE('The List'!AH2:AH671))/STDEV('The List'!AH2:AH671)</f>
        <v>1.320693908636718</v>
      </c>
      <c r="V271" s="55"/>
      <c r="W271" s="77"/>
      <c r="X271" s="57"/>
      <c r="Y271" s="57"/>
      <c r="Z271" s="57"/>
      <c r="AA271" s="57"/>
      <c r="AB271" s="57"/>
      <c r="AC271" s="60"/>
      <c r="AD271" s="61"/>
      <c r="AE271" s="55"/>
    </row>
    <row r="272" spans="1:31" ht="21.25" customHeight="1" x14ac:dyDescent="0.15">
      <c r="A272" s="10" t="s">
        <v>573</v>
      </c>
      <c r="B272" s="18" t="str" cm="1">
        <f t="array" ref="B272">VLOOKUP(A272,'Player Data'!A1:B673,2,FALSE)</f>
        <v>CBJ</v>
      </c>
      <c r="C272" s="52" cm="1">
        <f t="array" ref="C272">((E272)*Settings!$C$12)+(F272*Settings!$C$2)+(G272*Settings!$C$3)+(H272*Settings!$C$4)+(I272*Settings!$C$5)+(K272*Settings!$C$9)+(N272*Settings!$C$6)+(J272*Settings!$C$8)+(O272*Settings!$C$7)+(P272*Settings!$C$14)+(Q272*Settings!$C$15)+(R272*Settings!$C$16)+(S272*Settings!$C$17)+(T272*Settings!$C$18)+(U272*Settings!$C$19)+(L272*Settings!$C$10)+(Settings!$C$11*M272)</f>
        <v>-0.95055809431372806</v>
      </c>
      <c r="D272" s="57" cm="1">
        <f t="array" ref="D272">IF(Settings!$E$12="YES",VLOOKUP(A272,'Player Data'!A1:E673,5,FALSE),82)</f>
        <v>81</v>
      </c>
      <c r="E272" s="55" cm="1">
        <f t="array" ref="E272">(VLOOKUP($A272,'The List'!$B1:$AH671,17,FALSE)-AVERAGE('The List'!R2:R671))/STDEV('The List'!R2:R671)</f>
        <v>-0.60710453005825338</v>
      </c>
      <c r="F272" s="55" cm="1">
        <f t="array" ref="F272">(VLOOKUP($A272,'The List'!$B1:$AH671,18,FALSE)-AVERAGE('The List'!S2:S671))/STDEV('The List'!S2:S671)</f>
        <v>-0.32166309032834506</v>
      </c>
      <c r="G272" s="55" cm="1">
        <f t="array" ref="G272">(VLOOKUP($A272,'The List'!$B1:$AH671,19,FALSE)-AVERAGE('The List'!T2:T671))/STDEV('The List'!T2:T671)</f>
        <v>-6.852057931532303E-2</v>
      </c>
      <c r="H272" s="55" cm="1">
        <f t="array" ref="H272">(VLOOKUP($A272,'The List'!$B1:$AH671,20,FALSE)-AVERAGE('The List'!U2:U671))/STDEV('The List'!U2:U671)</f>
        <v>-0.18559642570434626</v>
      </c>
      <c r="I272" s="55" cm="1">
        <f t="array" ref="I272">(VLOOKUP($A272,'The List'!$B1:$AH671,21,FALSE)-AVERAGE('The List'!V2:V671))/STDEV('The List'!V2:V671)</f>
        <v>4.1032717290427671E-2</v>
      </c>
      <c r="J272" s="55" cm="1">
        <f t="array" ref="J272">(VLOOKUP($A272,'The List'!$B1:$AH671,22,FALSE)-AVERAGE('The List'!W2:W671))/STDEV('The List'!W2:W671)</f>
        <v>-0.51481960469915922</v>
      </c>
      <c r="K272" s="55" cm="1">
        <f t="array" ref="K272">(VLOOKUP($A272,'The List'!$B1:$AH671,23,FALSE)-AVERAGE('The List'!X2:X671))/STDEV('The List'!X2:X671)</f>
        <v>-0.72015313084421817</v>
      </c>
      <c r="L272" s="55" cm="1">
        <f t="array" ref="L272">(VLOOKUP($A272,'The List'!$B1:$AH671,24,FALSE)-AVERAGE('The List'!Y2:Y671))/STDEV('The List'!Y2:Y671)</f>
        <v>-0.47546929358800777</v>
      </c>
      <c r="M272" s="55" cm="1">
        <f t="array" ref="M272">(VLOOKUP($A272,'The List'!$B1:$AH671,25,FALSE)-AVERAGE('The List'!Z2:Z671))/STDEV('The List'!Z2:Z671)</f>
        <v>0.23627697309704196</v>
      </c>
      <c r="N272" s="55" cm="1">
        <f t="array" ref="N272">(VLOOKUP($A272,'The List'!$B1:$AH671,26,FALSE)-AVERAGE('The List'!AA2:AA671))/STDEV('The List'!AA2:AA671)</f>
        <v>-0.5471834797218631</v>
      </c>
      <c r="O272" s="55" cm="1">
        <f t="array" ref="O272">(VLOOKUP($A272,'The List'!$B1:$AH671,27,FALSE)-AVERAGE('The List'!AB2:AB671))/STDEV('The List'!AB2:AB671)</f>
        <v>0.2236856084823455</v>
      </c>
      <c r="P272" s="55" cm="1">
        <f t="array" ref="P272">(VLOOKUP($A272,'The List'!$B1:$AH671,28,FALSE)-AVERAGE('The List'!AC2:AC671))/STDEV('The List'!AC2:AC671)</f>
        <v>-0.1049396195986151</v>
      </c>
      <c r="Q272" s="55" cm="1">
        <f t="array" ref="Q272">(VLOOKUP($A272,'The List'!$B1:$AH671,29,FALSE)-AVERAGE('The List'!AD2:AD671))/STDEV('The List'!AD2:AD671)</f>
        <v>7.9889026782625369E-2</v>
      </c>
      <c r="R272" s="55" cm="1">
        <f t="array" ref="R272">(VLOOKUP($A272,'The List'!$B1:$AH671,30,FALSE)-AVERAGE('The List'!AE2:AE671))/STDEV('The List'!AE2:AE671)</f>
        <v>-0.33394291735937137</v>
      </c>
      <c r="S272" s="55" cm="1">
        <f t="array" ref="S272">(VLOOKUP($A272,'The List'!$B1:$AH671,31,FALSE)-AVERAGE('The List'!AF2:AF671))/STDEV('The List'!AF2:AF671)</f>
        <v>5.8416627844568636E-2</v>
      </c>
      <c r="T272" s="55" cm="1">
        <f t="array" ref="T272">(VLOOKUP($A272,'The List'!$B1:$AH671,32,FALSE)-AVERAGE('The List'!AG2:AG671))/STDEV('The List'!AG2:AG671)</f>
        <v>0.22950879179114941</v>
      </c>
      <c r="U272" s="55" cm="1">
        <f t="array" ref="U272">(VLOOKUP($A272,'The List'!$B1:$AH671,33,FALSE)-AVERAGE('The List'!AH2:AH671))/STDEV('The List'!AH2:AH671)</f>
        <v>0.76870321356193128</v>
      </c>
      <c r="V272" s="55"/>
      <c r="W272" s="57"/>
      <c r="X272" s="55"/>
      <c r="Y272" s="55"/>
      <c r="Z272" s="55"/>
      <c r="AA272" s="55"/>
      <c r="AB272" s="55"/>
      <c r="AC272" s="55"/>
      <c r="AD272" s="55"/>
      <c r="AE272" s="55"/>
    </row>
    <row r="273" spans="1:31" ht="21.25" customHeight="1" x14ac:dyDescent="0.15">
      <c r="A273" s="10" t="s">
        <v>532</v>
      </c>
      <c r="B273" s="18" t="str" cm="1">
        <f t="array" ref="B273">VLOOKUP(A273,'Player Data'!A1:B673,2,FALSE)</f>
        <v>ANA</v>
      </c>
      <c r="C273" s="52" cm="1">
        <f t="array" ref="C273">((E273)*Settings!$C$12)+(F273*Settings!$C$2)+(G273*Settings!$C$3)+(H273*Settings!$C$4)+(I273*Settings!$C$5)+(K273*Settings!$C$9)+(N273*Settings!$C$6)+(J273*Settings!$C$8)+(O273*Settings!$C$7)+(P273*Settings!$C$14)+(Q273*Settings!$C$15)+(R273*Settings!$C$16)+(S273*Settings!$C$17)+(T273*Settings!$C$18)+(U273*Settings!$C$19)+(L273*Settings!$C$10)+(Settings!$C$11*M273)</f>
        <v>-2.6738521194252218</v>
      </c>
      <c r="D273" s="57" cm="1">
        <f t="array" ref="D273">IF(Settings!$E$12="YES",VLOOKUP(A273,'Player Data'!A1:E673,5,FALSE),82)</f>
        <v>80</v>
      </c>
      <c r="E273" s="55" cm="1">
        <f t="array" ref="E273">(VLOOKUP($A273,'The List'!$B1:$AH671,17,FALSE)-AVERAGE('The List'!R2:R671))/STDEV('The List'!R2:R671)</f>
        <v>-0.52840819953091567</v>
      </c>
      <c r="F273" s="55" cm="1">
        <f t="array" ref="F273">(VLOOKUP($A273,'The List'!$B1:$AH671,18,FALSE)-AVERAGE('The List'!S2:S671))/STDEV('The List'!S2:S671)</f>
        <v>-9.5130869238546384E-2</v>
      </c>
      <c r="G273" s="55" cm="1">
        <f t="array" ref="G273">(VLOOKUP($A273,'The List'!$B1:$AH671,19,FALSE)-AVERAGE('The List'!T2:T671))/STDEV('The List'!T2:T671)</f>
        <v>-3.1978373139754775E-2</v>
      </c>
      <c r="H273" s="55" cm="1">
        <f t="array" ref="H273">(VLOOKUP($A273,'The List'!$B1:$AH671,20,FALSE)-AVERAGE('The List'!U2:U671))/STDEV('The List'!U2:U671)</f>
        <v>-6.2258306640649859E-2</v>
      </c>
      <c r="I273" s="55" cm="1">
        <f t="array" ref="I273">(VLOOKUP($A273,'The List'!$B1:$AH671,21,FALSE)-AVERAGE('The List'!V2:V671))/STDEV('The List'!V2:V671)</f>
        <v>-0.38727050142380809</v>
      </c>
      <c r="J273" s="55" cm="1">
        <f t="array" ref="J273">(VLOOKUP($A273,'The List'!$B1:$AH671,22,FALSE)-AVERAGE('The List'!W2:W671))/STDEV('The List'!W2:W671)</f>
        <v>-0.51758157357770107</v>
      </c>
      <c r="K273" s="55" cm="1">
        <f t="array" ref="K273">(VLOOKUP($A273,'The List'!$B1:$AH671,23,FALSE)-AVERAGE('The List'!X2:X671))/STDEV('The List'!X2:X671)</f>
        <v>-0.64076313304208177</v>
      </c>
      <c r="L273" s="55" cm="1">
        <f t="array" ref="L273">(VLOOKUP($A273,'The List'!$B1:$AH671,24,FALSE)-AVERAGE('The List'!Y2:Y671))/STDEV('The List'!Y2:Y671)</f>
        <v>2.4575694331134317</v>
      </c>
      <c r="M273" s="55" cm="1">
        <f t="array" ref="M273">(VLOOKUP($A273,'The List'!$B1:$AH671,25,FALSE)-AVERAGE('The List'!Z2:Z671))/STDEV('The List'!Z2:Z671)</f>
        <v>3.7025930372452973</v>
      </c>
      <c r="N273" s="55" cm="1">
        <f t="array" ref="N273">(VLOOKUP($A273,'The List'!$B1:$AH671,26,FALSE)-AVERAGE('The List'!AA2:AA671))/STDEV('The List'!AA2:AA671)</f>
        <v>0.66550134943823125</v>
      </c>
      <c r="O273" s="55" cm="1">
        <f t="array" ref="O273">(VLOOKUP($A273,'The List'!$B1:$AH671,27,FALSE)-AVERAGE('The List'!AB2:AB671))/STDEV('The List'!AB2:AB671)</f>
        <v>-0.71925661120077122</v>
      </c>
      <c r="P273" s="55" cm="1">
        <f t="array" ref="P273">(VLOOKUP($A273,'The List'!$B1:$AH671,28,FALSE)-AVERAGE('The List'!AC2:AC671))/STDEV('The List'!AC2:AC671)</f>
        <v>-0.79945263138025924</v>
      </c>
      <c r="Q273" s="55" cm="1">
        <f t="array" ref="Q273">(VLOOKUP($A273,'The List'!$B1:$AH671,29,FALSE)-AVERAGE('The List'!AD2:AD671))/STDEV('The List'!AD2:AD671)</f>
        <v>-1.1325539053482343</v>
      </c>
      <c r="R273" s="55" cm="1">
        <f t="array" ref="R273">(VLOOKUP($A273,'The List'!$B1:$AH671,30,FALSE)-AVERAGE('The List'!AE2:AE671))/STDEV('The List'!AE2:AE671)</f>
        <v>-0.34641889533938031</v>
      </c>
      <c r="S273" s="55" cm="1">
        <f t="array" ref="S273">(VLOOKUP($A273,'The List'!$B1:$AH671,31,FALSE)-AVERAGE('The List'!AF2:AF671))/STDEV('The List'!AF2:AF671)</f>
        <v>1.8695825528387195</v>
      </c>
      <c r="T273" s="55" cm="1">
        <f t="array" ref="T273">(VLOOKUP($A273,'The List'!$B1:$AH671,32,FALSE)-AVERAGE('The List'!AG2:AG671))/STDEV('The List'!AG2:AG671)</f>
        <v>2.0314084098005067</v>
      </c>
      <c r="U273" s="55" cm="1">
        <f t="array" ref="U273">(VLOOKUP($A273,'The List'!$B1:$AH671,33,FALSE)-AVERAGE('The List'!AH2:AH671))/STDEV('The List'!AH2:AH671)</f>
        <v>0.99869933650975895</v>
      </c>
      <c r="V273" s="55"/>
      <c r="W273" s="77"/>
      <c r="X273" s="57"/>
      <c r="Y273" s="57"/>
      <c r="Z273" s="57"/>
      <c r="AA273" s="57"/>
      <c r="AB273" s="57"/>
      <c r="AC273" s="60"/>
      <c r="AD273" s="61"/>
      <c r="AE273" s="55"/>
    </row>
    <row r="274" spans="1:31" ht="21.25" customHeight="1" x14ac:dyDescent="0.15">
      <c r="A274" s="10" t="s">
        <v>475</v>
      </c>
      <c r="B274" s="18" t="str" cm="1">
        <f t="array" ref="B274">VLOOKUP(A274,'Player Data'!A1:B673,2,FALSE)</f>
        <v>CGY</v>
      </c>
      <c r="C274" s="52" cm="1">
        <f t="array" ref="C274">((E274)*Settings!$C$12)+(F274*Settings!$C$2)+(G274*Settings!$C$3)+(H274*Settings!$C$4)+(I274*Settings!$C$5)+(K274*Settings!$C$9)+(N274*Settings!$C$6)+(J274*Settings!$C$8)+(O274*Settings!$C$7)+(P274*Settings!$C$14)+(Q274*Settings!$C$15)+(R274*Settings!$C$16)+(S274*Settings!$C$17)+(T274*Settings!$C$18)+(U274*Settings!$C$19)+(L274*Settings!$C$10)+(Settings!$C$11*M274)</f>
        <v>-2.7062861341832996</v>
      </c>
      <c r="D274" s="57" cm="1">
        <f t="array" ref="D274">IF(Settings!$E$12="YES",VLOOKUP(A274,'Player Data'!A1:E673,5,FALSE),82)</f>
        <v>83</v>
      </c>
      <c r="E274" s="55" cm="1">
        <f t="array" ref="E274">(VLOOKUP($A274,'The List'!$B1:$AH671,17,FALSE)-AVERAGE('The List'!R2:R671))/STDEV('The List'!R2:R671)</f>
        <v>0.3634835464455754</v>
      </c>
      <c r="F274" s="55" cm="1">
        <f t="array" ref="F274">(VLOOKUP($A274,'The List'!$B1:$AH671,18,FALSE)-AVERAGE('The List'!S2:S671))/STDEV('The List'!S2:S671)</f>
        <v>3.5599179055566574E-2</v>
      </c>
      <c r="G274" s="55" cm="1">
        <f t="array" ref="G274">(VLOOKUP($A274,'The List'!$B1:$AH671,19,FALSE)-AVERAGE('The List'!T2:T671))/STDEV('The List'!T2:T671)</f>
        <v>-0.26247536593949489</v>
      </c>
      <c r="H274" s="55" cm="1">
        <f t="array" ref="H274">(VLOOKUP($A274,'The List'!$B1:$AH671,20,FALSE)-AVERAGE('The List'!U2:U671))/STDEV('The List'!U2:U671)</f>
        <v>-0.14934651257451456</v>
      </c>
      <c r="I274" s="55" cm="1">
        <f t="array" ref="I274">(VLOOKUP($A274,'The List'!$B1:$AH671,21,FALSE)-AVERAGE('The List'!V2:V671))/STDEV('The List'!V2:V671)</f>
        <v>0.8846812114338769</v>
      </c>
      <c r="J274" s="55" cm="1">
        <f t="array" ref="J274">(VLOOKUP($A274,'The List'!$B1:$AH671,22,FALSE)-AVERAGE('The List'!W2:W671))/STDEV('The List'!W2:W671)</f>
        <v>-0.5092956669420754</v>
      </c>
      <c r="K274" s="55" cm="1">
        <f t="array" ref="K274">(VLOOKUP($A274,'The List'!$B1:$AH671,23,FALSE)-AVERAGE('The List'!X2:X671))/STDEV('The List'!X2:X671)</f>
        <v>-0.63473351295584346</v>
      </c>
      <c r="L274" s="55" cm="1">
        <f t="array" ref="L274">(VLOOKUP($A274,'The List'!$B1:$AH671,24,FALSE)-AVERAGE('The List'!Y2:Y671))/STDEV('The List'!Y2:Y671)</f>
        <v>1.0460445458883638</v>
      </c>
      <c r="M274" s="55" cm="1">
        <f t="array" ref="M274">(VLOOKUP($A274,'The List'!$B1:$AH671,25,FALSE)-AVERAGE('The List'!Z2:Z671))/STDEV('The List'!Z2:Z671)</f>
        <v>2.0617976589180667</v>
      </c>
      <c r="N274" s="55" cm="1">
        <f t="array" ref="N274">(VLOOKUP($A274,'The List'!$B1:$AH671,26,FALSE)-AVERAGE('The List'!AA2:AA671))/STDEV('The List'!AA2:AA671)</f>
        <v>-0.66901386378028038</v>
      </c>
      <c r="O274" s="55" cm="1">
        <f t="array" ref="O274">(VLOOKUP($A274,'The List'!$B1:$AH671,27,FALSE)-AVERAGE('The List'!AB2:AB671))/STDEV('The List'!AB2:AB671)</f>
        <v>-1.003164214301014</v>
      </c>
      <c r="P274" s="55" cm="1">
        <f t="array" ref="P274">(VLOOKUP($A274,'The List'!$B1:$AH671,28,FALSE)-AVERAGE('The List'!AC2:AC671))/STDEV('The List'!AC2:AC671)</f>
        <v>-1.7261934314763905</v>
      </c>
      <c r="Q274" s="55" cm="1">
        <f t="array" ref="Q274">(VLOOKUP($A274,'The List'!$B1:$AH671,29,FALSE)-AVERAGE('The List'!AD2:AD671))/STDEV('The List'!AD2:AD671)</f>
        <v>-0.47276625245801029</v>
      </c>
      <c r="R274" s="55" cm="1">
        <f t="array" ref="R274">(VLOOKUP($A274,'The List'!$B1:$AH671,30,FALSE)-AVERAGE('The List'!AE2:AE671))/STDEV('The List'!AE2:AE671)</f>
        <v>-0.3089909613993535</v>
      </c>
      <c r="S274" s="55" cm="1">
        <f t="array" ref="S274">(VLOOKUP($A274,'The List'!$B1:$AH671,31,FALSE)-AVERAGE('The List'!AF2:AF671))/STDEV('The List'!AF2:AF671)</f>
        <v>2.955647488218256</v>
      </c>
      <c r="T274" s="55" cm="1">
        <f t="array" ref="T274">(VLOOKUP($A274,'The List'!$B1:$AH671,32,FALSE)-AVERAGE('The List'!AG2:AG671))/STDEV('The List'!AG2:AG671)</f>
        <v>3.1865573237475395</v>
      </c>
      <c r="U274" s="55" cm="1">
        <f t="array" ref="U274">(VLOOKUP($A274,'The List'!$B1:$AH671,33,FALSE)-AVERAGE('The List'!AH2:AH671))/STDEV('The List'!AH2:AH671)</f>
        <v>1.0446985610993245</v>
      </c>
      <c r="V274" s="55"/>
      <c r="W274" s="57"/>
      <c r="X274" s="55"/>
      <c r="Y274" s="55"/>
      <c r="Z274" s="55"/>
      <c r="AA274" s="55"/>
      <c r="AB274" s="55"/>
      <c r="AC274" s="55"/>
      <c r="AD274" s="55"/>
      <c r="AE274" s="55"/>
    </row>
    <row r="275" spans="1:31" ht="21.25" customHeight="1" x14ac:dyDescent="0.15">
      <c r="A275" s="10" t="s">
        <v>241</v>
      </c>
      <c r="B275" s="18" t="str" cm="1">
        <f t="array" ref="B275">VLOOKUP(A275,'Player Data'!A1:B673,2,FALSE)</f>
        <v>SEA</v>
      </c>
      <c r="C275" s="52" cm="1">
        <f t="array" ref="C275">((E275)*Settings!$C$12)+(F275*Settings!$C$2)+(G275*Settings!$C$3)+(H275*Settings!$C$4)+(I275*Settings!$C$5)+(K275*Settings!$C$9)+(N275*Settings!$C$6)+(J275*Settings!$C$8)+(O275*Settings!$C$7)+(P275*Settings!$C$14)+(Q275*Settings!$C$15)+(R275*Settings!$C$16)+(S275*Settings!$C$17)+(T275*Settings!$C$18)+(U275*Settings!$C$19)+(L275*Settings!$C$10)+(Settings!$C$11*M275)</f>
        <v>-1.0866928103183757</v>
      </c>
      <c r="D275" s="57" cm="1">
        <f t="array" ref="D275">IF(Settings!$E$12="YES",VLOOKUP(A275,'Player Data'!A1:E673,5,FALSE),82)</f>
        <v>79</v>
      </c>
      <c r="E275" s="55" cm="1">
        <f t="array" ref="E275">(VLOOKUP($A275,'The List'!$B1:$AH671,17,FALSE)-AVERAGE('The List'!R2:R671))/STDEV('The List'!R2:R671)</f>
        <v>1.4914642840040795</v>
      </c>
      <c r="F275" s="55" cm="1">
        <f t="array" ref="F275">(VLOOKUP($A275,'The List'!$B1:$AH671,18,FALSE)-AVERAGE('The List'!S2:S671))/STDEV('The List'!S2:S671)</f>
        <v>-0.26877230743072694</v>
      </c>
      <c r="G275" s="55" cm="1">
        <f t="array" ref="G275">(VLOOKUP($A275,'The List'!$B1:$AH671,19,FALSE)-AVERAGE('The List'!T2:T671))/STDEV('The List'!T2:T671)</f>
        <v>-5.2357680429975628E-2</v>
      </c>
      <c r="H275" s="55" cm="1">
        <f t="array" ref="H275">(VLOOKUP($A275,'The List'!$B1:$AH671,20,FALSE)-AVERAGE('The List'!U2:U671))/STDEV('The List'!U2:U671)</f>
        <v>-0.15199894524255114</v>
      </c>
      <c r="I275" s="55" cm="1">
        <f t="array" ref="I275">(VLOOKUP($A275,'The List'!$B1:$AH671,21,FALSE)-AVERAGE('The List'!V2:V671))/STDEV('The List'!V2:V671)</f>
        <v>1.2691001955561731</v>
      </c>
      <c r="J275" s="55" cm="1">
        <f t="array" ref="J275">(VLOOKUP($A275,'The List'!$B1:$AH671,22,FALSE)-AVERAGE('The List'!W2:W671))/STDEV('The List'!W2:W671)</f>
        <v>-0.30214800105143319</v>
      </c>
      <c r="K275" s="55" cm="1">
        <f t="array" ref="K275">(VLOOKUP($A275,'The List'!$B1:$AH671,23,FALSE)-AVERAGE('The List'!X2:X671))/STDEV('The List'!X2:X671)</f>
        <v>-7.6530239870694541E-3</v>
      </c>
      <c r="L275" s="55" cm="1">
        <f t="array" ref="L275">(VLOOKUP($A275,'The List'!$B1:$AH671,24,FALSE)-AVERAGE('The List'!Y2:Y671))/STDEV('The List'!Y2:Y671)</f>
        <v>-0.47546929358800777</v>
      </c>
      <c r="M275" s="55" cm="1">
        <f t="array" ref="M275">(VLOOKUP($A275,'The List'!$B1:$AH671,25,FALSE)-AVERAGE('The List'!Z2:Z671))/STDEV('The List'!Z2:Z671)</f>
        <v>-0.64388478613809508</v>
      </c>
      <c r="N275" s="55" cm="1">
        <f t="array" ref="N275">(VLOOKUP($A275,'The List'!$B1:$AH671,26,FALSE)-AVERAGE('The List'!AA2:AA671))/STDEV('The List'!AA2:AA671)</f>
        <v>0.91937850196248005</v>
      </c>
      <c r="O275" s="55" cm="1">
        <f t="array" ref="O275">(VLOOKUP($A275,'The List'!$B1:$AH671,27,FALSE)-AVERAGE('The List'!AB2:AB671))/STDEV('The List'!AB2:AB671)</f>
        <v>-3.6033476808634737E-2</v>
      </c>
      <c r="P275" s="55" cm="1">
        <f t="array" ref="P275">(VLOOKUP($A275,'The List'!$B1:$AH671,28,FALSE)-AVERAGE('The List'!AC2:AC671))/STDEV('The List'!AC2:AC671)</f>
        <v>-1.990976517218142</v>
      </c>
      <c r="Q275" s="55" cm="1">
        <f t="array" ref="Q275">(VLOOKUP($A275,'The List'!$B1:$AH671,29,FALSE)-AVERAGE('The List'!AD2:AD671))/STDEV('The List'!AD2:AD671)</f>
        <v>1.5368893084170283</v>
      </c>
      <c r="R275" s="55" cm="1">
        <f t="array" ref="R275">(VLOOKUP($A275,'The List'!$B1:$AH671,30,FALSE)-AVERAGE('The List'!AE2:AE671))/STDEV('The List'!AE2:AE671)</f>
        <v>-0.35889487331938924</v>
      </c>
      <c r="S275" s="55" cm="1">
        <f t="array" ref="S275">(VLOOKUP($A275,'The List'!$B1:$AH671,31,FALSE)-AVERAGE('The List'!AF2:AF671))/STDEV('The List'!AF2:AF671)</f>
        <v>-0.59581850454342256</v>
      </c>
      <c r="T275" s="55" cm="1">
        <f t="array" ref="T275">(VLOOKUP($A275,'The List'!$B1:$AH671,32,FALSE)-AVERAGE('The List'!AG2:AG671))/STDEV('The List'!AG2:AG671)</f>
        <v>-0.64684275008198677</v>
      </c>
      <c r="U275" s="55" cm="1">
        <f t="array" ref="U275">(VLOOKUP($A275,'The List'!$B1:$AH671,33,FALSE)-AVERAGE('The List'!AH2:AH671))/STDEV('The List'!AH2:AH671)</f>
        <v>-1.2552626683789523</v>
      </c>
      <c r="V275" s="55"/>
      <c r="W275" s="77"/>
      <c r="X275" s="57"/>
      <c r="Y275" s="57"/>
      <c r="Z275" s="57"/>
      <c r="AA275" s="57"/>
      <c r="AB275" s="57"/>
      <c r="AC275" s="60"/>
      <c r="AD275" s="61"/>
      <c r="AE275" s="55"/>
    </row>
    <row r="276" spans="1:31" ht="21.25" customHeight="1" x14ac:dyDescent="0.15">
      <c r="A276" s="10" t="s">
        <v>584</v>
      </c>
      <c r="B276" s="18" t="str" cm="1">
        <f t="array" ref="B276">VLOOKUP(A276,'Player Data'!A1:B673,2,FALSE)</f>
        <v>PIT</v>
      </c>
      <c r="C276" s="52" cm="1">
        <f t="array" ref="C276">((E276)*Settings!$C$12)+(F276*Settings!$C$2)+(G276*Settings!$C$3)+(H276*Settings!$C$4)+(I276*Settings!$C$5)+(K276*Settings!$C$9)+(N276*Settings!$C$6)+(J276*Settings!$C$8)+(O276*Settings!$C$7)+(P276*Settings!$C$14)+(Q276*Settings!$C$15)+(R276*Settings!$C$16)+(S276*Settings!$C$17)+(T276*Settings!$C$18)+(U276*Settings!$C$19)+(L276*Settings!$C$10)+(Settings!$C$11*M276)</f>
        <v>-0.74166969821626472</v>
      </c>
      <c r="D276" s="57" cm="1">
        <f t="array" ref="D276">IF(Settings!$E$12="YES",VLOOKUP(A276,'Player Data'!A1:E673,5,FALSE),82)</f>
        <v>79</v>
      </c>
      <c r="E276" s="55" cm="1">
        <f t="array" ref="E276">(VLOOKUP($A276,'The List'!$B1:$AH671,17,FALSE)-AVERAGE('The List'!R2:R671))/STDEV('The List'!R2:R671)</f>
        <v>-0.94812196234338264</v>
      </c>
      <c r="F276" s="55" cm="1">
        <f t="array" ref="F276">(VLOOKUP($A276,'The List'!$B1:$AH671,18,FALSE)-AVERAGE('The List'!S2:S671))/STDEV('The List'!S2:S671)</f>
        <v>0.44076253483732114</v>
      </c>
      <c r="G276" s="55" cm="1">
        <f t="array" ref="G276">(VLOOKUP($A276,'The List'!$B1:$AH671,19,FALSE)-AVERAGE('The List'!T2:T671))/STDEV('The List'!T2:T671)</f>
        <v>-0.49648603240996253</v>
      </c>
      <c r="H276" s="55" cm="1">
        <f t="array" ref="H276">(VLOOKUP($A276,'The List'!$B1:$AH671,20,FALSE)-AVERAGE('The List'!U2:U671))/STDEV('The List'!U2:U671)</f>
        <v>-0.11707524844673708</v>
      </c>
      <c r="I276" s="55" cm="1">
        <f t="array" ref="I276">(VLOOKUP($A276,'The List'!$B1:$AH671,21,FALSE)-AVERAGE('The List'!V2:V671))/STDEV('The List'!V2:V671)</f>
        <v>0.2317736424459402</v>
      </c>
      <c r="J276" s="55" cm="1">
        <f t="array" ref="J276">(VLOOKUP($A276,'The List'!$B1:$AH671,22,FALSE)-AVERAGE('The List'!W2:W671))/STDEV('The List'!W2:W671)</f>
        <v>-0.30214800105143319</v>
      </c>
      <c r="K276" s="55" cm="1">
        <f t="array" ref="K276">(VLOOKUP($A276,'The List'!$B1:$AH671,23,FALSE)-AVERAGE('The List'!X2:X671))/STDEV('The List'!X2:X671)</f>
        <v>-0.56338300860202462</v>
      </c>
      <c r="L276" s="55" cm="1">
        <f t="array" ref="L276">(VLOOKUP($A276,'The List'!$B1:$AH671,24,FALSE)-AVERAGE('The List'!Y2:Y671))/STDEV('The List'!Y2:Y671)</f>
        <v>-0.47546929358800777</v>
      </c>
      <c r="M276" s="55" cm="1">
        <f t="array" ref="M276">(VLOOKUP($A276,'The List'!$B1:$AH671,25,FALSE)-AVERAGE('The List'!Z2:Z671))/STDEV('The List'!Z2:Z671)</f>
        <v>-0.64388478613809508</v>
      </c>
      <c r="N276" s="55" cm="1">
        <f t="array" ref="N276">(VLOOKUP($A276,'The List'!$B1:$AH671,26,FALSE)-AVERAGE('The List'!AA2:AA671))/STDEV('The List'!AA2:AA671)</f>
        <v>-0.55356871997649715</v>
      </c>
      <c r="O276" s="55" cm="1">
        <f t="array" ref="O276">(VLOOKUP($A276,'The List'!$B1:$AH671,27,FALSE)-AVERAGE('The List'!AB2:AB671))/STDEV('The List'!AB2:AB671)</f>
        <v>9.3518584678262906E-2</v>
      </c>
      <c r="P276" s="55" cm="1">
        <f t="array" ref="P276">(VLOOKUP($A276,'The List'!$B1:$AH671,28,FALSE)-AVERAGE('The List'!AC2:AC671))/STDEV('The List'!AC2:AC671)</f>
        <v>-0.4478554191658019</v>
      </c>
      <c r="Q276" s="55" cm="1">
        <f t="array" ref="Q276">(VLOOKUP($A276,'The List'!$B1:$AH671,29,FALSE)-AVERAGE('The List'!AD2:AD671))/STDEV('The List'!AD2:AD671)</f>
        <v>-1.2064383009686401</v>
      </c>
      <c r="R276" s="55" cm="1">
        <f t="array" ref="R276">(VLOOKUP($A276,'The List'!$B1:$AH671,30,FALSE)-AVERAGE('The List'!AE2:AE671))/STDEV('The List'!AE2:AE671)</f>
        <v>0.13390625689096303</v>
      </c>
      <c r="S276" s="55" cm="1">
        <f t="array" ref="S276">(VLOOKUP($A276,'The List'!$B1:$AH671,31,FALSE)-AVERAGE('The List'!AF2:AF671))/STDEV('The List'!AF2:AF671)</f>
        <v>-0.5502412775075749</v>
      </c>
      <c r="T276" s="55" cm="1">
        <f t="array" ref="T276">(VLOOKUP($A276,'The List'!$B1:$AH671,32,FALSE)-AVERAGE('The List'!AG2:AG671))/STDEV('The List'!AG2:AG671)</f>
        <v>-0.57830442485862177</v>
      </c>
      <c r="U276" s="55" cm="1">
        <f t="array" ref="U276">(VLOOKUP($A276,'The List'!$B1:$AH671,33,FALSE)-AVERAGE('The List'!AH2:AH671))/STDEV('The List'!AH2:AH671)</f>
        <v>0.67670476438280014</v>
      </c>
      <c r="V276" s="55"/>
      <c r="W276" s="77"/>
      <c r="X276" s="57"/>
      <c r="Y276" s="57"/>
      <c r="Z276" s="57"/>
      <c r="AA276" s="57"/>
      <c r="AB276" s="57"/>
      <c r="AC276" s="60"/>
      <c r="AD276" s="61"/>
      <c r="AE276" s="55"/>
    </row>
    <row r="277" spans="1:31" ht="21.25" customHeight="1" x14ac:dyDescent="0.15">
      <c r="A277" s="10" t="s">
        <v>539</v>
      </c>
      <c r="B277" s="18" t="str" cm="1">
        <f t="array" ref="B277">VLOOKUP(A277,'Player Data'!A1:B673,2,FALSE)</f>
        <v>DET</v>
      </c>
      <c r="C277" s="52" cm="1">
        <f t="array" ref="C277">((E277)*Settings!$C$12)+(F277*Settings!$C$2)+(G277*Settings!$C$3)+(H277*Settings!$C$4)+(I277*Settings!$C$5)+(K277*Settings!$C$9)+(N277*Settings!$C$6)+(J277*Settings!$C$8)+(O277*Settings!$C$7)+(P277*Settings!$C$14)+(Q277*Settings!$C$15)+(R277*Settings!$C$16)+(S277*Settings!$C$17)+(T277*Settings!$C$18)+(U277*Settings!$C$19)+(L277*Settings!$C$10)+(Settings!$C$11*M277)</f>
        <v>1.7602687179570573</v>
      </c>
      <c r="D277" s="57" cm="1">
        <f t="array" ref="D277">IF(Settings!$E$12="YES",VLOOKUP(A277,'Player Data'!A1:E673,5,FALSE),82)</f>
        <v>82</v>
      </c>
      <c r="E277" s="55" cm="1">
        <f t="array" ref="E277">(VLOOKUP($A277,'The List'!$B1:$AH671,17,FALSE)-AVERAGE('The List'!R2:R671))/STDEV('The List'!R2:R671)</f>
        <v>-0.37101553847624086</v>
      </c>
      <c r="F277" s="55" cm="1">
        <f t="array" ref="F277">(VLOOKUP($A277,'The List'!$B1:$AH671,18,FALSE)-AVERAGE('The List'!S2:S671))/STDEV('The List'!S2:S671)</f>
        <v>0.34595830134159011</v>
      </c>
      <c r="G277" s="55" cm="1">
        <f t="array" ref="G277">(VLOOKUP($A277,'The List'!$B1:$AH671,19,FALSE)-AVERAGE('The List'!T2:T671))/STDEV('The List'!T2:T671)</f>
        <v>-0.336965247758923</v>
      </c>
      <c r="H277" s="55" cm="1">
        <f t="array" ref="H277">(VLOOKUP($A277,'The List'!$B1:$AH671,20,FALSE)-AVERAGE('The List'!U2:U671))/STDEV('The List'!U2:U671)</f>
        <v>-5.8721729749934615E-2</v>
      </c>
      <c r="I277" s="55" cm="1">
        <f t="array" ref="I277">(VLOOKUP($A277,'The List'!$B1:$AH671,21,FALSE)-AVERAGE('The List'!V2:V671))/STDEV('The List'!V2:V671)</f>
        <v>0.50769144812832534</v>
      </c>
      <c r="J277" s="55" cm="1">
        <f t="array" ref="J277">(VLOOKUP($A277,'The List'!$B1:$AH671,22,FALSE)-AVERAGE('The List'!W2:W671))/STDEV('The List'!W2:W671)</f>
        <v>-5.9094739739746431E-2</v>
      </c>
      <c r="K277" s="55" cm="1">
        <f t="array" ref="K277">(VLOOKUP($A277,'The List'!$B1:$AH671,23,FALSE)-AVERAGE('The List'!X2:X671))/STDEV('The List'!X2:X671)</f>
        <v>-0.22471934709164509</v>
      </c>
      <c r="L277" s="55" cm="1">
        <f t="array" ref="L277">(VLOOKUP($A277,'The List'!$B1:$AH671,24,FALSE)-AVERAGE('The List'!Y2:Y671))/STDEV('The List'!Y2:Y671)</f>
        <v>-0.47546929358800777</v>
      </c>
      <c r="M277" s="55" cm="1">
        <f t="array" ref="M277">(VLOOKUP($A277,'The List'!$B1:$AH671,25,FALSE)-AVERAGE('The List'!Z2:Z671))/STDEV('The List'!Z2:Z671)</f>
        <v>0.24714316765550046</v>
      </c>
      <c r="N277" s="55" cm="1">
        <f t="array" ref="N277">(VLOOKUP($A277,'The List'!$B1:$AH671,26,FALSE)-AVERAGE('The List'!AA2:AA671))/STDEV('The List'!AA2:AA671)</f>
        <v>-0.28257912356982906</v>
      </c>
      <c r="O277" s="55" cm="1">
        <f t="array" ref="O277">(VLOOKUP($A277,'The List'!$B1:$AH671,27,FALSE)-AVERAGE('The List'!AB2:AB671))/STDEV('The List'!AB2:AB671)</f>
        <v>1.9291811014744176</v>
      </c>
      <c r="P277" s="55" cm="1">
        <f t="array" ref="P277">(VLOOKUP($A277,'The List'!$B1:$AH671,28,FALSE)-AVERAGE('The List'!AC2:AC671))/STDEV('The List'!AC2:AC671)</f>
        <v>-0.46087753813670773</v>
      </c>
      <c r="Q277" s="55" cm="1">
        <f t="array" ref="Q277">(VLOOKUP($A277,'The List'!$B1:$AH671,29,FALSE)-AVERAGE('The List'!AD2:AD671))/STDEV('The List'!AD2:AD671)</f>
        <v>-0.37450000628287039</v>
      </c>
      <c r="R277" s="55" cm="1">
        <f t="array" ref="R277">(VLOOKUP($A277,'The List'!$B1:$AH671,30,FALSE)-AVERAGE('The List'!AE2:AE671))/STDEV('The List'!AE2:AE671)</f>
        <v>0.19004815780100306</v>
      </c>
      <c r="S277" s="55" cm="1">
        <f t="array" ref="S277">(VLOOKUP($A277,'The List'!$B1:$AH671,31,FALSE)-AVERAGE('The List'!AF2:AF671))/STDEV('The List'!AF2:AF671)</f>
        <v>0.64207436646818827</v>
      </c>
      <c r="T277" s="55" cm="1">
        <f t="array" ref="T277">(VLOOKUP($A277,'The List'!$B1:$AH671,32,FALSE)-AVERAGE('The List'!AG2:AG671))/STDEV('The List'!AG2:AG671)</f>
        <v>0.75505434141900607</v>
      </c>
      <c r="U277" s="55" cm="1">
        <f t="array" ref="U277">(VLOOKUP($A277,'The List'!$B1:$AH671,33,FALSE)-AVERAGE('The List'!AH2:AH671))/STDEV('The List'!AH2:AH671)</f>
        <v>0.95270011192019333</v>
      </c>
      <c r="V277" s="55"/>
      <c r="W277" s="57"/>
      <c r="X277" s="55"/>
      <c r="Y277" s="55"/>
      <c r="Z277" s="55"/>
      <c r="AA277" s="55"/>
      <c r="AB277" s="55"/>
      <c r="AC277" s="55"/>
      <c r="AD277" s="55"/>
      <c r="AE277" s="55"/>
    </row>
    <row r="278" spans="1:31" ht="21.25" customHeight="1" x14ac:dyDescent="0.15">
      <c r="A278" s="10" t="s">
        <v>691</v>
      </c>
      <c r="B278" s="18" t="str" cm="1">
        <f t="array" ref="B278">VLOOKUP(A278,'Player Data'!A1:B673,2,FALSE)</f>
        <v>PHI</v>
      </c>
      <c r="C278" s="52" cm="1">
        <f t="array" ref="C278">((E278)*Settings!$C$12)+(F278*Settings!$C$2)+(G278*Settings!$C$3)+(H278*Settings!$C$4)+(I278*Settings!$C$5)+(K278*Settings!$C$9)+(N278*Settings!$C$6)+(J278*Settings!$C$8)+(O278*Settings!$C$7)+(P278*Settings!$C$14)+(Q278*Settings!$C$15)+(R278*Settings!$C$16)+(S278*Settings!$C$17)+(T278*Settings!$C$18)+(U278*Settings!$C$19)+(L278*Settings!$C$10)+(Settings!$C$11*M278)</f>
        <v>-2.542348297564009</v>
      </c>
      <c r="D278" s="57" cm="1">
        <f t="array" ref="D278">IF(Settings!$E$12="YES",VLOOKUP(A278,'Player Data'!A1:E673,5,FALSE),82)</f>
        <v>67</v>
      </c>
      <c r="E278" s="55" cm="1">
        <f t="array" ref="E278">(VLOOKUP($A278,'The List'!$B1:$AH671,17,FALSE)-AVERAGE('The List'!R2:R671))/STDEV('The List'!R2:R671)</f>
        <v>-1.2104430641011743</v>
      </c>
      <c r="F278" s="55" cm="1">
        <f t="array" ref="F278">(VLOOKUP($A278,'The List'!$B1:$AH671,18,FALSE)-AVERAGE('The List'!S2:S671))/STDEV('The List'!S2:S671)</f>
        <v>-3.5254511241242799E-2</v>
      </c>
      <c r="G278" s="55" cm="1">
        <f t="array" ref="G278">(VLOOKUP($A278,'The List'!$B1:$AH671,19,FALSE)-AVERAGE('The List'!T2:T671))/STDEV('The List'!T2:T671)</f>
        <v>-0.67357518541464079</v>
      </c>
      <c r="H278" s="55" cm="1">
        <f t="array" ref="H278">(VLOOKUP($A278,'The List'!$B1:$AH671,20,FALSE)-AVERAGE('The List'!U2:U671))/STDEV('The List'!U2:U671)</f>
        <v>-0.43934581761317082</v>
      </c>
      <c r="I278" s="55" cm="1">
        <f t="array" ref="I278">(VLOOKUP($A278,'The List'!$B1:$AH671,21,FALSE)-AVERAGE('The List'!V2:V671))/STDEV('The List'!V2:V671)</f>
        <v>-0.77186225812323861</v>
      </c>
      <c r="J278" s="55" cm="1">
        <f t="array" ref="J278">(VLOOKUP($A278,'The List'!$B1:$AH671,22,FALSE)-AVERAGE('The List'!W2:W671))/STDEV('The List'!W2:W671)</f>
        <v>-0.73853908386105271</v>
      </c>
      <c r="K278" s="55" cm="1">
        <f t="array" ref="K278">(VLOOKUP($A278,'The List'!$B1:$AH671,23,FALSE)-AVERAGE('The List'!X2:X671))/STDEV('The List'!X2:X671)</f>
        <v>-0.73422224437877404</v>
      </c>
      <c r="L278" s="55" cm="1">
        <f t="array" ref="L278">(VLOOKUP($A278,'The List'!$B1:$AH671,24,FALSE)-AVERAGE('The List'!Y2:Y671))/STDEV('The List'!Y2:Y671)</f>
        <v>-0.47546929358800777</v>
      </c>
      <c r="M278" s="55" cm="1">
        <f t="array" ref="M278">(VLOOKUP($A278,'The List'!$B1:$AH671,25,FALSE)-AVERAGE('The List'!Z2:Z671))/STDEV('The List'!Z2:Z671)</f>
        <v>-0.64388478613809508</v>
      </c>
      <c r="N278" s="55" cm="1">
        <f t="array" ref="N278">(VLOOKUP($A278,'The List'!$B1:$AH671,26,FALSE)-AVERAGE('The List'!AA2:AA671))/STDEV('The List'!AA2:AA671)</f>
        <v>-0.90424611476099792</v>
      </c>
      <c r="O278" s="55" cm="1">
        <f t="array" ref="O278">(VLOOKUP($A278,'The List'!$B1:$AH671,27,FALSE)-AVERAGE('The List'!AB2:AB671))/STDEV('The List'!AB2:AB671)</f>
        <v>-0.36790814064927946</v>
      </c>
      <c r="P278" s="55" cm="1">
        <f t="array" ref="P278">(VLOOKUP($A278,'The List'!$B1:$AH671,28,FALSE)-AVERAGE('The List'!AC2:AC671))/STDEV('The List'!AC2:AC671)</f>
        <v>4.0474042243166621E-2</v>
      </c>
      <c r="Q278" s="55" cm="1">
        <f t="array" ref="Q278">(VLOOKUP($A278,'The List'!$B1:$AH671,29,FALSE)-AVERAGE('The List'!AD2:AD671))/STDEV('The List'!AD2:AD671)</f>
        <v>-1.1362481251292547</v>
      </c>
      <c r="R278" s="55" cm="1">
        <f t="array" ref="R278">(VLOOKUP($A278,'The List'!$B1:$AH671,30,FALSE)-AVERAGE('The List'!AE2:AE671))/STDEV('The List'!AE2:AE671)</f>
        <v>-9.066134674919768E-2</v>
      </c>
      <c r="S278" s="55" cm="1">
        <f t="array" ref="S278">(VLOOKUP($A278,'The List'!$B1:$AH671,31,FALSE)-AVERAGE('The List'!AF2:AF671))/STDEV('The List'!AF2:AF671)</f>
        <v>-0.59581850454342256</v>
      </c>
      <c r="T278" s="55" cm="1">
        <f t="array" ref="T278">(VLOOKUP($A278,'The List'!$B1:$AH671,32,FALSE)-AVERAGE('The List'!AG2:AG671))/STDEV('The List'!AG2:AG671)</f>
        <v>-0.6092308768953747</v>
      </c>
      <c r="U278" s="55" cm="1">
        <f t="array" ref="U278">(VLOOKUP($A278,'The List'!$B1:$AH671,33,FALSE)-AVERAGE('The List'!AH2:AH671))/STDEV('The List'!AH2:AH671)</f>
        <v>-1.2552626683789523</v>
      </c>
      <c r="V278" s="55"/>
      <c r="W278" s="77"/>
      <c r="X278" s="57"/>
      <c r="Y278" s="57"/>
      <c r="Z278" s="57"/>
      <c r="AA278" s="57"/>
      <c r="AB278" s="57"/>
      <c r="AC278" s="60"/>
      <c r="AD278" s="61"/>
      <c r="AE278" s="55"/>
    </row>
    <row r="279" spans="1:31" ht="21.25" customHeight="1" x14ac:dyDescent="0.15">
      <c r="A279" s="10" t="s">
        <v>288</v>
      </c>
      <c r="B279" s="18" t="str" cm="1">
        <f t="array" ref="B279">VLOOKUP(A279,'Player Data'!A1:B673,2,FALSE)</f>
        <v>CAR</v>
      </c>
      <c r="C279" s="52" cm="1">
        <f t="array" ref="C279">((E279)*Settings!$C$12)+(F279*Settings!$C$2)+(G279*Settings!$C$3)+(H279*Settings!$C$4)+(I279*Settings!$C$5)+(K279*Settings!$C$9)+(N279*Settings!$C$6)+(J279*Settings!$C$8)+(O279*Settings!$C$7)+(P279*Settings!$C$14)+(Q279*Settings!$C$15)+(R279*Settings!$C$16)+(S279*Settings!$C$17)+(T279*Settings!$C$18)+(U279*Settings!$C$19)+(L279*Settings!$C$10)+(Settings!$C$11*M279)</f>
        <v>1.4542807860696725</v>
      </c>
      <c r="D279" s="57" cm="1">
        <f t="array" ref="D279">IF(Settings!$E$12="YES",VLOOKUP(A279,'Player Data'!A1:E673,5,FALSE),82)</f>
        <v>83</v>
      </c>
      <c r="E279" s="55" cm="1">
        <f t="array" ref="E279">(VLOOKUP($A279,'The List'!$B1:$AH671,17,FALSE)-AVERAGE('The List'!R2:R671))/STDEV('The List'!R2:R671)</f>
        <v>0.62580464820336701</v>
      </c>
      <c r="F279" s="55" cm="1">
        <f t="array" ref="F279">(VLOOKUP($A279,'The List'!$B1:$AH671,18,FALSE)-AVERAGE('The List'!S2:S671))/STDEV('The List'!S2:S671)</f>
        <v>-0.46137459232205352</v>
      </c>
      <c r="G279" s="55" cm="1">
        <f t="array" ref="G279">(VLOOKUP($A279,'The List'!$B1:$AH671,19,FALSE)-AVERAGE('The List'!T2:T671))/STDEV('The List'!T2:T671)</f>
        <v>-8.7494417137253075E-2</v>
      </c>
      <c r="H279" s="55" cm="1">
        <f t="array" ref="H279">(VLOOKUP($A279,'The List'!$B1:$AH671,20,FALSE)-AVERAGE('The List'!U2:U671))/STDEV('The List'!U2:U671)</f>
        <v>-0.25942246829802895</v>
      </c>
      <c r="I279" s="55" cm="1">
        <f t="array" ref="I279">(VLOOKUP($A279,'The List'!$B1:$AH671,21,FALSE)-AVERAGE('The List'!V2:V671))/STDEV('The List'!V2:V671)</f>
        <v>-6.1766966104074464E-2</v>
      </c>
      <c r="J279" s="55" cm="1">
        <f t="array" ref="J279">(VLOOKUP($A279,'The List'!$B1:$AH671,22,FALSE)-AVERAGE('The List'!W2:W671))/STDEV('The List'!W2:W671)</f>
        <v>-5.08088331041208E-2</v>
      </c>
      <c r="K279" s="55" cm="1">
        <f t="array" ref="K279">(VLOOKUP($A279,'The List'!$B1:$AH671,23,FALSE)-AVERAGE('The List'!X2:X671))/STDEV('The List'!X2:X671)</f>
        <v>-0.21768479032436716</v>
      </c>
      <c r="L279" s="55" cm="1">
        <f t="array" ref="L279">(VLOOKUP($A279,'The List'!$B1:$AH671,24,FALSE)-AVERAGE('The List'!Y2:Y671))/STDEV('The List'!Y2:Y671)</f>
        <v>1.0460445458883638</v>
      </c>
      <c r="M279" s="55" cm="1">
        <f t="array" ref="M279">(VLOOKUP($A279,'The List'!$B1:$AH671,25,FALSE)-AVERAGE('The List'!Z2:Z671))/STDEV('The List'!Z2:Z671)</f>
        <v>0.25800936221395893</v>
      </c>
      <c r="N279" s="55" cm="1">
        <f t="array" ref="N279">(VLOOKUP($A279,'The List'!$B1:$AH671,26,FALSE)-AVERAGE('The List'!AA2:AA671))/STDEV('The List'!AA2:AA671)</f>
        <v>1.0057069502051319</v>
      </c>
      <c r="O279" s="55" cm="1">
        <f t="array" ref="O279">(VLOOKUP($A279,'The List'!$B1:$AH671,27,FALSE)-AVERAGE('The List'!AB2:AB671))/STDEV('The List'!AB2:AB671)</f>
        <v>0.76628735967826067</v>
      </c>
      <c r="P279" s="55" cm="1">
        <f t="array" ref="P279">(VLOOKUP($A279,'The List'!$B1:$AH671,28,FALSE)-AVERAGE('The List'!AC2:AC671))/STDEV('The List'!AC2:AC671)</f>
        <v>1.5163141922791601</v>
      </c>
      <c r="Q279" s="55" cm="1">
        <f t="array" ref="Q279">(VLOOKUP($A279,'The List'!$B1:$AH671,29,FALSE)-AVERAGE('The List'!AD2:AD671))/STDEV('The List'!AD2:AD671)</f>
        <v>0.32444637628616885</v>
      </c>
      <c r="R279" s="55" cm="1">
        <f t="array" ref="R279">(VLOOKUP($A279,'The List'!$B1:$AH671,30,FALSE)-AVERAGE('The List'!AE2:AE671))/STDEV('The List'!AE2:AE671)</f>
        <v>-0.3089909613993535</v>
      </c>
      <c r="S279" s="55" cm="1">
        <f t="array" ref="S279">(VLOOKUP($A279,'The List'!$B1:$AH671,31,FALSE)-AVERAGE('The List'!AF2:AF671))/STDEV('The List'!AF2:AF671)</f>
        <v>-0.59581850454342256</v>
      </c>
      <c r="T279" s="55" cm="1">
        <f t="array" ref="T279">(VLOOKUP($A279,'The List'!$B1:$AH671,32,FALSE)-AVERAGE('The List'!AG2:AG671))/STDEV('The List'!AG2:AG671)</f>
        <v>-0.64684275008198677</v>
      </c>
      <c r="U279" s="55" cm="1">
        <f t="array" ref="U279">(VLOOKUP($A279,'The List'!$B1:$AH671,33,FALSE)-AVERAGE('The List'!AH2:AH671))/STDEV('The List'!AH2:AH671)</f>
        <v>-1.2552626683789523</v>
      </c>
      <c r="V279" s="55"/>
      <c r="W279" s="57"/>
      <c r="X279" s="55"/>
      <c r="Y279" s="55"/>
      <c r="Z279" s="55"/>
      <c r="AA279" s="55"/>
      <c r="AB279" s="55"/>
      <c r="AC279" s="55"/>
      <c r="AD279" s="55"/>
      <c r="AE279" s="55"/>
    </row>
    <row r="280" spans="1:31" ht="21.25" customHeight="1" x14ac:dyDescent="0.15">
      <c r="A280" s="10" t="s">
        <v>559</v>
      </c>
      <c r="B280" s="18" t="str" cm="1">
        <f t="array" ref="B280">VLOOKUP(A280,'Player Data'!A1:B673,2,FALSE)</f>
        <v>MTL</v>
      </c>
      <c r="C280" s="52" cm="1">
        <f t="array" ref="C280">((E280)*Settings!$C$12)+(F280*Settings!$C$2)+(G280*Settings!$C$3)+(H280*Settings!$C$4)+(I280*Settings!$C$5)+(K280*Settings!$C$9)+(N280*Settings!$C$6)+(J280*Settings!$C$8)+(O280*Settings!$C$7)+(P280*Settings!$C$14)+(Q280*Settings!$C$15)+(R280*Settings!$C$16)+(S280*Settings!$C$17)+(T280*Settings!$C$18)+(U280*Settings!$C$19)+(L280*Settings!$C$10)+(Settings!$C$11*M280)</f>
        <v>-1.4998526838265684</v>
      </c>
      <c r="D280" s="57" cm="1">
        <f t="array" ref="D280">IF(Settings!$E$12="YES",VLOOKUP(A280,'Player Data'!A1:E673,5,FALSE),82)</f>
        <v>78</v>
      </c>
      <c r="E280" s="55" cm="1">
        <f t="array" ref="E280">(VLOOKUP($A280,'The List'!$B1:$AH671,17,FALSE)-AVERAGE('The List'!R2:R671))/STDEV('The List'!R2:R671)</f>
        <v>-0.71203297076137018</v>
      </c>
      <c r="F280" s="55" cm="1">
        <f t="array" ref="F280">(VLOOKUP($A280,'The List'!$B1:$AH671,18,FALSE)-AVERAGE('The List'!S2:S671))/STDEV('The List'!S2:S671)</f>
        <v>0.49564919633484916</v>
      </c>
      <c r="G280" s="55" cm="1">
        <f t="array" ref="G280">(VLOOKUP($A280,'The List'!$B1:$AH671,19,FALSE)-AVERAGE('The List'!T2:T671))/STDEV('The List'!T2:T671)</f>
        <v>-0.51124346182701919</v>
      </c>
      <c r="H280" s="55" cm="1">
        <f t="array" ref="H280">(VLOOKUP($A280,'The List'!$B1:$AH671,20,FALSE)-AVERAGE('The List'!U2:U671))/STDEV('The List'!U2:U671)</f>
        <v>-0.10204479666119745</v>
      </c>
      <c r="I280" s="55" cm="1">
        <f t="array" ref="I280">(VLOOKUP($A280,'The List'!$B1:$AH671,21,FALSE)-AVERAGE('The List'!V2:V671))/STDEV('The List'!V2:V671)</f>
        <v>-1.4427279969463374E-2</v>
      </c>
      <c r="J280" s="55" cm="1">
        <f t="array" ref="J280">(VLOOKUP($A280,'The List'!$B1:$AH671,22,FALSE)-AVERAGE('The List'!W2:W671))/STDEV('The List'!W2:W671)</f>
        <v>-0.52310551133478489</v>
      </c>
      <c r="K280" s="55" cm="1">
        <f t="array" ref="K280">(VLOOKUP($A280,'The List'!$B1:$AH671,23,FALSE)-AVERAGE('The List'!X2:X671))/STDEV('The List'!X2:X671)</f>
        <v>-0.64478287976624049</v>
      </c>
      <c r="L280" s="55" cm="1">
        <f t="array" ref="L280">(VLOOKUP($A280,'The List'!$B1:$AH671,24,FALSE)-AVERAGE('The List'!Y2:Y671))/STDEV('The List'!Y2:Y671)</f>
        <v>0.95438708567894381</v>
      </c>
      <c r="M280" s="55" cm="1">
        <f t="array" ref="M280">(VLOOKUP($A280,'The List'!$B1:$AH671,25,FALSE)-AVERAGE('The List'!Z2:Z671))/STDEV('The List'!Z2:Z671)</f>
        <v>1.8988047405411894</v>
      </c>
      <c r="N280" s="55" cm="1">
        <f t="array" ref="N280">(VLOOKUP($A280,'The List'!$B1:$AH671,26,FALSE)-AVERAGE('The List'!AA2:AA671))/STDEV('The List'!AA2:AA671)</f>
        <v>-8.8978639049325431E-2</v>
      </c>
      <c r="O280" s="55" cm="1">
        <f t="array" ref="O280">(VLOOKUP($A280,'The List'!$B1:$AH671,27,FALSE)-AVERAGE('The List'!AB2:AB671))/STDEV('The List'!AB2:AB671)</f>
        <v>-0.8893961856218553</v>
      </c>
      <c r="P280" s="55" cm="1">
        <f t="array" ref="P280">(VLOOKUP($A280,'The List'!$B1:$AH671,28,FALSE)-AVERAGE('The List'!AC2:AC671))/STDEV('The List'!AC2:AC671)</f>
        <v>6.4347927023160639E-2</v>
      </c>
      <c r="Q280" s="55" cm="1">
        <f t="array" ref="Q280">(VLOOKUP($A280,'The List'!$B1:$AH671,29,FALSE)-AVERAGE('The List'!AD2:AD671))/STDEV('The List'!AD2:AD671)</f>
        <v>-0.76017655142138874</v>
      </c>
      <c r="R280" s="55" cm="1">
        <f t="array" ref="R280">(VLOOKUP($A280,'The List'!$B1:$AH671,30,FALSE)-AVERAGE('The List'!AE2:AE671))/STDEV('The List'!AE2:AE671)</f>
        <v>0.60175543114129737</v>
      </c>
      <c r="S280" s="55" cm="1">
        <f t="array" ref="S280">(VLOOKUP($A280,'The List'!$B1:$AH671,31,FALSE)-AVERAGE('The List'!AF2:AF671))/STDEV('The List'!AF2:AF671)</f>
        <v>0.73544037375048366</v>
      </c>
      <c r="T280" s="55" cm="1">
        <f t="array" ref="T280">(VLOOKUP($A280,'The List'!$B1:$AH671,32,FALSE)-AVERAGE('The List'!AG2:AG671))/STDEV('The List'!AG2:AG671)</f>
        <v>1.0648291992788905</v>
      </c>
      <c r="U280" s="55" cm="1">
        <f t="array" ref="U280">(VLOOKUP($A280,'The List'!$B1:$AH671,33,FALSE)-AVERAGE('The List'!AH2:AH671))/STDEV('The List'!AH2:AH671)</f>
        <v>0.8147024381514969</v>
      </c>
      <c r="V280" s="55"/>
      <c r="W280" s="77"/>
      <c r="X280" s="57"/>
      <c r="Y280" s="57"/>
      <c r="Z280" s="57"/>
      <c r="AA280" s="57"/>
      <c r="AB280" s="57"/>
      <c r="AC280" s="60"/>
      <c r="AD280" s="61"/>
      <c r="AE280" s="55"/>
    </row>
    <row r="281" spans="1:31" ht="21.25" customHeight="1" x14ac:dyDescent="0.15">
      <c r="A281" s="10" t="s">
        <v>579</v>
      </c>
      <c r="B281" s="18" t="str" cm="1">
        <f t="array" ref="B281">VLOOKUP(A281,'Player Data'!A1:B673,2,FALSE)</f>
        <v>DET</v>
      </c>
      <c r="C281" s="52" cm="1">
        <f t="array" ref="C281">((E281)*Settings!$C$12)+(F281*Settings!$C$2)+(G281*Settings!$C$3)+(H281*Settings!$C$4)+(I281*Settings!$C$5)+(K281*Settings!$C$9)+(N281*Settings!$C$6)+(J281*Settings!$C$8)+(O281*Settings!$C$7)+(P281*Settings!$C$14)+(Q281*Settings!$C$15)+(R281*Settings!$C$16)+(S281*Settings!$C$17)+(T281*Settings!$C$18)+(U281*Settings!$C$19)+(L281*Settings!$C$10)+(Settings!$C$11*M281)</f>
        <v>0.18515986298906389</v>
      </c>
      <c r="D281" s="57" cm="1">
        <f t="array" ref="D281">IF(Settings!$E$12="YES",VLOOKUP(A281,'Player Data'!A1:E673,5,FALSE),82)</f>
        <v>83</v>
      </c>
      <c r="E281" s="55" cm="1">
        <f t="array" ref="E281">(VLOOKUP($A281,'The List'!$B1:$AH671,17,FALSE)-AVERAGE('The List'!R2:R671))/STDEV('The List'!R2:R671)</f>
        <v>-0.39724764865201989</v>
      </c>
      <c r="F281" s="55" cm="1">
        <f t="array" ref="F281">(VLOOKUP($A281,'The List'!$B1:$AH671,18,FALSE)-AVERAGE('The List'!S2:S671))/STDEV('The List'!S2:S671)</f>
        <v>0.11842814095183642</v>
      </c>
      <c r="G281" s="55" cm="1">
        <f t="array" ref="G281">(VLOOKUP($A281,'The List'!$B1:$AH671,19,FALSE)-AVERAGE('The List'!T2:T671))/STDEV('The List'!T2:T671)</f>
        <v>-0.26247536593949489</v>
      </c>
      <c r="H281" s="55" cm="1">
        <f t="array" ref="H281">(VLOOKUP($A281,'The List'!$B1:$AH671,20,FALSE)-AVERAGE('The List'!U2:U671))/STDEV('The List'!U2:U671)</f>
        <v>-0.11265452733334319</v>
      </c>
      <c r="I281" s="55" cm="1">
        <f t="array" ref="I281">(VLOOKUP($A281,'The List'!$B1:$AH671,21,FALSE)-AVERAGE('The List'!V2:V671))/STDEV('The List'!V2:V671)</f>
        <v>-4.4064704957138901E-3</v>
      </c>
      <c r="J281" s="55" cm="1">
        <f t="array" ref="J281">(VLOOKUP($A281,'The List'!$B1:$AH671,22,FALSE)-AVERAGE('The List'!W2:W671))/STDEV('The List'!W2:W671)</f>
        <v>0.17843458381485669</v>
      </c>
      <c r="K281" s="55" cm="1">
        <f t="array" ref="K281">(VLOOKUP($A281,'The List'!$B1:$AH671,23,FALSE)-AVERAGE('The List'!X2:X671))/STDEV('The List'!X2:X671)</f>
        <v>3.2544443254518662E-2</v>
      </c>
      <c r="L281" s="55" cm="1">
        <f t="array" ref="L281">(VLOOKUP($A281,'The List'!$B1:$AH671,24,FALSE)-AVERAGE('The List'!Y2:Y671))/STDEV('The List'!Y2:Y671)</f>
        <v>-0.47546929358800777</v>
      </c>
      <c r="M281" s="55" cm="1">
        <f t="array" ref="M281">(VLOOKUP($A281,'The List'!$B1:$AH671,25,FALSE)-AVERAGE('The List'!Z2:Z671))/STDEV('The List'!Z2:Z671)</f>
        <v>-0.64388478613809508</v>
      </c>
      <c r="N281" s="55" cm="1">
        <f t="array" ref="N281">(VLOOKUP($A281,'The List'!$B1:$AH671,26,FALSE)-AVERAGE('The List'!AA2:AA671))/STDEV('The List'!AA2:AA671)</f>
        <v>-0.58421787319874052</v>
      </c>
      <c r="O281" s="55" cm="1">
        <f t="array" ref="O281">(VLOOKUP($A281,'The List'!$B1:$AH671,27,FALSE)-AVERAGE('The List'!AB2:AB671))/STDEV('The List'!AB2:AB671)</f>
        <v>0.76628735967826067</v>
      </c>
      <c r="P281" s="55" cm="1">
        <f t="array" ref="P281">(VLOOKUP($A281,'The List'!$B1:$AH671,28,FALSE)-AVERAGE('The List'!AC2:AC671))/STDEV('The List'!AC2:AC671)</f>
        <v>-0.46521824446034304</v>
      </c>
      <c r="Q281" s="55" cm="1">
        <f t="array" ref="Q281">(VLOOKUP($A281,'The List'!$B1:$AH671,29,FALSE)-AVERAGE('The List'!AD2:AD671))/STDEV('The List'!AD2:AD671)</f>
        <v>-1.2699788812021895</v>
      </c>
      <c r="R281" s="55" cm="1">
        <f t="array" ref="R281">(VLOOKUP($A281,'The List'!$B1:$AH671,30,FALSE)-AVERAGE('The List'!AE2:AE671))/STDEV('The List'!AE2:AE671)</f>
        <v>0.20876212477101633</v>
      </c>
      <c r="S281" s="55" cm="1">
        <f t="array" ref="S281">(VLOOKUP($A281,'The List'!$B1:$AH671,31,FALSE)-AVERAGE('The List'!AF2:AF671))/STDEV('The List'!AF2:AF671)</f>
        <v>-0.36836506455756235</v>
      </c>
      <c r="T281" s="55" cm="1">
        <f t="array" ref="T281">(VLOOKUP($A281,'The List'!$B1:$AH671,32,FALSE)-AVERAGE('The List'!AG2:AG671))/STDEV('The List'!AG2:AG671)</f>
        <v>-0.34186506465024541</v>
      </c>
      <c r="U281" s="55" cm="1">
        <f t="array" ref="U281">(VLOOKUP($A281,'The List'!$B1:$AH671,33,FALSE)-AVERAGE('The List'!AH2:AH671))/STDEV('The List'!AH2:AH671)</f>
        <v>0.76870321356193128</v>
      </c>
      <c r="V281" s="55"/>
      <c r="W281" s="57"/>
      <c r="X281" s="55"/>
      <c r="Y281" s="55"/>
      <c r="Z281" s="55"/>
      <c r="AA281" s="55"/>
      <c r="AB281" s="55"/>
      <c r="AC281" s="55"/>
      <c r="AD281" s="55"/>
      <c r="AE281" s="55"/>
    </row>
    <row r="282" spans="1:31" ht="21.25" customHeight="1" x14ac:dyDescent="0.15">
      <c r="A282" s="10" t="s">
        <v>568</v>
      </c>
      <c r="B282" s="18" t="str" cm="1">
        <f t="array" ref="B282">VLOOKUP(A282,'Player Data'!A1:B673,2,FALSE)</f>
        <v>NYR</v>
      </c>
      <c r="C282" s="52" cm="1">
        <f t="array" ref="C282">((E282)*Settings!$C$12)+(F282*Settings!$C$2)+(G282*Settings!$C$3)+(H282*Settings!$C$4)+(I282*Settings!$C$5)+(K282*Settings!$C$9)+(N282*Settings!$C$6)+(J282*Settings!$C$8)+(O282*Settings!$C$7)+(P282*Settings!$C$14)+(Q282*Settings!$C$15)+(R282*Settings!$C$16)+(S282*Settings!$C$17)+(T282*Settings!$C$18)+(U282*Settings!$C$19)+(L282*Settings!$C$10)+(Settings!$C$11*M282)</f>
        <v>-0.27300764253380649</v>
      </c>
      <c r="D282" s="57" cm="1">
        <f t="array" ref="D282">IF(Settings!$E$12="YES",VLOOKUP(A282,'Player Data'!A1:E673,5,FALSE),82)</f>
        <v>83</v>
      </c>
      <c r="E282" s="55" cm="1">
        <f t="array" ref="E282">(VLOOKUP($A282,'The List'!$B1:$AH671,17,FALSE)-AVERAGE('The List'!R2:R671))/STDEV('The List'!R2:R671)</f>
        <v>-0.68580086058559109</v>
      </c>
      <c r="F282" s="55" cm="1">
        <f t="array" ref="F282">(VLOOKUP($A282,'The List'!$B1:$AH671,18,FALSE)-AVERAGE('The List'!S2:S671))/STDEV('The List'!S2:S671)</f>
        <v>-4.7229782840703449E-2</v>
      </c>
      <c r="G282" s="55" cm="1">
        <f t="array" ref="G282">(VLOOKUP($A282,'The List'!$B1:$AH671,19,FALSE)-AVERAGE('The List'!T2:T671))/STDEV('The List'!T2:T671)</f>
        <v>-8.7494417137253075E-2</v>
      </c>
      <c r="H282" s="55" cm="1">
        <f t="array" ref="H282">(VLOOKUP($A282,'The List'!$B1:$AH671,20,FALSE)-AVERAGE('The List'!U2:U671))/STDEV('The List'!U2:U671)</f>
        <v>-7.596254209217182E-2</v>
      </c>
      <c r="I282" s="55" cm="1">
        <f t="array" ref="I282">(VLOOKUP($A282,'The List'!$B1:$AH671,21,FALSE)-AVERAGE('The List'!V2:V671))/STDEV('The List'!V2:V671)</f>
        <v>0.2106953880356385</v>
      </c>
      <c r="J282" s="55" cm="1">
        <f t="array" ref="J282">(VLOOKUP($A282,'The List'!$B1:$AH671,22,FALSE)-AVERAGE('The List'!W2:W671))/STDEV('The List'!W2:W671)</f>
        <v>-5.08088331041208E-2</v>
      </c>
      <c r="K282" s="55" cm="1">
        <f t="array" ref="K282">(VLOOKUP($A282,'The List'!$B1:$AH671,23,FALSE)-AVERAGE('The List'!X2:X671))/STDEV('The List'!X2:X671)</f>
        <v>-0.21768479032436716</v>
      </c>
      <c r="L282" s="55" cm="1">
        <f t="array" ref="L282">(VLOOKUP($A282,'The List'!$B1:$AH671,24,FALSE)-AVERAGE('The List'!Y2:Y671))/STDEV('The List'!Y2:Y671)</f>
        <v>-0.47546929358800777</v>
      </c>
      <c r="M282" s="55" cm="1">
        <f t="array" ref="M282">(VLOOKUP($A282,'The List'!$B1:$AH671,25,FALSE)-AVERAGE('The List'!Z2:Z671))/STDEV('The List'!Z2:Z671)</f>
        <v>-0.64388478613809508</v>
      </c>
      <c r="N282" s="55" cm="1">
        <f t="array" ref="N282">(VLOOKUP($A282,'The List'!$B1:$AH671,26,FALSE)-AVERAGE('The List'!AA2:AA671))/STDEV('The List'!AA2:AA671)</f>
        <v>-0.56301887555335561</v>
      </c>
      <c r="O282" s="55" cm="1">
        <f t="array" ref="O282">(VLOOKUP($A282,'The List'!$B1:$AH671,27,FALSE)-AVERAGE('The List'!AB2:AB671))/STDEV('The List'!AB2:AB671)</f>
        <v>0.15378489176235771</v>
      </c>
      <c r="P282" s="55" cm="1">
        <f t="array" ref="P282">(VLOOKUP($A282,'The List'!$B1:$AH671,28,FALSE)-AVERAGE('The List'!AC2:AC671))/STDEV('The List'!AC2:AC671)</f>
        <v>-0.28507893202947904</v>
      </c>
      <c r="Q282" s="55" cm="1">
        <f t="array" ref="Q282">(VLOOKUP($A282,'The List'!$B1:$AH671,29,FALSE)-AVERAGE('The List'!AD2:AD671))/STDEV('The List'!AD2:AD671)</f>
        <v>-1.0246826877424418</v>
      </c>
      <c r="R282" s="55" cm="1">
        <f t="array" ref="R282">(VLOOKUP($A282,'The List'!$B1:$AH671,30,FALSE)-AVERAGE('The List'!AE2:AE671))/STDEV('The List'!AE2:AE671)</f>
        <v>-0.3089909613993535</v>
      </c>
      <c r="S282" s="55" cm="1">
        <f t="array" ref="S282">(VLOOKUP($A282,'The List'!$B1:$AH671,31,FALSE)-AVERAGE('The List'!AF2:AF671))/STDEV('The List'!AF2:AF671)</f>
        <v>-0.56389521472084569</v>
      </c>
      <c r="T282" s="55" cm="1">
        <f t="array" ref="T282">(VLOOKUP($A282,'The List'!$B1:$AH671,32,FALSE)-AVERAGE('The List'!AG2:AG671))/STDEV('The List'!AG2:AG671)</f>
        <v>-0.59177733465681115</v>
      </c>
      <c r="U282" s="55" cm="1">
        <f t="array" ref="U282">(VLOOKUP($A282,'The List'!$B1:$AH671,33,FALSE)-AVERAGE('The List'!AH2:AH671))/STDEV('The List'!AH2:AH671)</f>
        <v>0.40070941684540695</v>
      </c>
      <c r="V282" s="55"/>
      <c r="W282" s="77"/>
      <c r="X282" s="57"/>
      <c r="Y282" s="57"/>
      <c r="Z282" s="57"/>
      <c r="AA282" s="57"/>
      <c r="AB282" s="57"/>
      <c r="AC282" s="60"/>
      <c r="AD282" s="61"/>
      <c r="AE282" s="55"/>
    </row>
    <row r="283" spans="1:31" ht="21.25" customHeight="1" x14ac:dyDescent="0.15">
      <c r="A283" s="10" t="s">
        <v>343</v>
      </c>
      <c r="B283" s="18" t="str" cm="1">
        <f t="array" ref="B283">VLOOKUP(A283,'Player Data'!A1:B673,2,FALSE)</f>
        <v>NYR</v>
      </c>
      <c r="C283" s="52" cm="1">
        <f t="array" ref="C283">((E283)*Settings!$C$12)+(F283*Settings!$C$2)+(G283*Settings!$C$3)+(H283*Settings!$C$4)+(I283*Settings!$C$5)+(K283*Settings!$C$9)+(N283*Settings!$C$6)+(J283*Settings!$C$8)+(O283*Settings!$C$7)+(P283*Settings!$C$14)+(Q283*Settings!$C$15)+(R283*Settings!$C$16)+(S283*Settings!$C$17)+(T283*Settings!$C$18)+(U283*Settings!$C$19)+(L283*Settings!$C$10)+(Settings!$C$11*M283)</f>
        <v>-2.4873347975026681</v>
      </c>
      <c r="D283" s="57" cm="1">
        <f t="array" ref="D283">IF(Settings!$E$12="YES",VLOOKUP(A283,'Player Data'!A1:E673,5,FALSE),82)</f>
        <v>72</v>
      </c>
      <c r="E283" s="55" cm="1">
        <f t="array" ref="E283">(VLOOKUP($A283,'The List'!$B1:$AH671,17,FALSE)-AVERAGE('The List'!R2:R671))/STDEV('The List'!R2:R671)</f>
        <v>0.91435786013693821</v>
      </c>
      <c r="F283" s="55" cm="1">
        <f t="array" ref="F283">(VLOOKUP($A283,'The List'!$B1:$AH671,18,FALSE)-AVERAGE('The List'!S2:S671))/STDEV('The List'!S2:S671)</f>
        <v>-0.72582850681014466</v>
      </c>
      <c r="G283" s="55" cm="1">
        <f t="array" ref="G283">(VLOOKUP($A283,'The List'!$B1:$AH671,19,FALSE)-AVERAGE('The List'!T2:T671))/STDEV('The List'!T2:T671)</f>
        <v>-4.3222128886083566E-2</v>
      </c>
      <c r="H283" s="55" cm="1">
        <f t="array" ref="H283">(VLOOKUP($A283,'The List'!$B1:$AH671,20,FALSE)-AVERAGE('The List'!U2:U671))/STDEV('The List'!U2:U671)</f>
        <v>-0.34872103478859073</v>
      </c>
      <c r="I283" s="55" cm="1">
        <f t="array" ref="I283">(VLOOKUP($A283,'The List'!$B1:$AH671,21,FALSE)-AVERAGE('The List'!V2:V671))/STDEV('The List'!V2:V671)</f>
        <v>-0.44255772610656541</v>
      </c>
      <c r="J283" s="55" cm="1">
        <f t="array" ref="J283">(VLOOKUP($A283,'The List'!$B1:$AH671,22,FALSE)-AVERAGE('The List'!W2:W671))/STDEV('The List'!W2:W671)</f>
        <v>-0.53967732460603624</v>
      </c>
      <c r="K283" s="55" cm="1">
        <f t="array" ref="K283">(VLOOKUP($A283,'The List'!$B1:$AH671,23,FALSE)-AVERAGE('The List'!X2:X671))/STDEV('The List'!X2:X671)</f>
        <v>-0.36742035579928278</v>
      </c>
      <c r="L283" s="55" cm="1">
        <f t="array" ref="L283">(VLOOKUP($A283,'The List'!$B1:$AH671,24,FALSE)-AVERAGE('The List'!Y2:Y671))/STDEV('The List'!Y2:Y671)</f>
        <v>-0.47546929358800777</v>
      </c>
      <c r="M283" s="55" cm="1">
        <f t="array" ref="M283">(VLOOKUP($A283,'The List'!$B1:$AH671,25,FALSE)-AVERAGE('The List'!Z2:Z671))/STDEV('The List'!Z2:Z671)</f>
        <v>-0.64388478613809508</v>
      </c>
      <c r="N283" s="55" cm="1">
        <f t="array" ref="N283">(VLOOKUP($A283,'The List'!$B1:$AH671,26,FALSE)-AVERAGE('The List'!AA2:AA671))/STDEV('The List'!AA2:AA671)</f>
        <v>1.2090129999126793</v>
      </c>
      <c r="O283" s="55" cm="1">
        <f t="array" ref="O283">(VLOOKUP($A283,'The List'!$B1:$AH671,27,FALSE)-AVERAGE('The List'!AB2:AB671))/STDEV('The List'!AB2:AB671)</f>
        <v>-0.64710103265110674</v>
      </c>
      <c r="P283" s="55" cm="1">
        <f t="array" ref="P283">(VLOOKUP($A283,'The List'!$B1:$AH671,28,FALSE)-AVERAGE('The List'!AC2:AC671))/STDEV('The List'!AC2:AC671)</f>
        <v>-0.26120504724948501</v>
      </c>
      <c r="Q283" s="55" cm="1">
        <f t="array" ref="Q283">(VLOOKUP($A283,'The List'!$B1:$AH671,29,FALSE)-AVERAGE('The List'!AD2:AD671))/STDEV('The List'!AD2:AD671)</f>
        <v>0.60520707964371134</v>
      </c>
      <c r="R283" s="55" cm="1">
        <f t="array" ref="R283">(VLOOKUP($A283,'The List'!$B1:$AH671,30,FALSE)-AVERAGE('The List'!AE2:AE671))/STDEV('The List'!AE2:AE671)</f>
        <v>-0.89536192645977275</v>
      </c>
      <c r="S283" s="55" cm="1">
        <f t="array" ref="S283">(VLOOKUP($A283,'The List'!$B1:$AH671,31,FALSE)-AVERAGE('The List'!AF2:AF671))/STDEV('The List'!AF2:AF671)</f>
        <v>-0.59581850454342256</v>
      </c>
      <c r="T283" s="55" cm="1">
        <f t="array" ref="T283">(VLOOKUP($A283,'The List'!$B1:$AH671,32,FALSE)-AVERAGE('The List'!AG2:AG671))/STDEV('The List'!AG2:AG671)</f>
        <v>-0.64684275008198677</v>
      </c>
      <c r="U283" s="55" cm="1">
        <f t="array" ref="U283">(VLOOKUP($A283,'The List'!$B1:$AH671,33,FALSE)-AVERAGE('The List'!AH2:AH671))/STDEV('The List'!AH2:AH671)</f>
        <v>-1.2552626683789523</v>
      </c>
      <c r="V283" s="55"/>
      <c r="W283" s="57"/>
      <c r="X283" s="55"/>
      <c r="Y283" s="55"/>
      <c r="Z283" s="55"/>
      <c r="AA283" s="55"/>
      <c r="AB283" s="55"/>
      <c r="AC283" s="55"/>
      <c r="AD283" s="55"/>
      <c r="AE283" s="55"/>
    </row>
    <row r="284" spans="1:31" ht="21.25" customHeight="1" x14ac:dyDescent="0.15">
      <c r="A284" s="10" t="s">
        <v>637</v>
      </c>
      <c r="B284" s="18" t="str" cm="1">
        <f t="array" ref="B284">VLOOKUP(A284,'Player Data'!A1:B673,2,FALSE)</f>
        <v>STL</v>
      </c>
      <c r="C284" s="52" cm="1">
        <f t="array" ref="C284">((E284)*Settings!$C$12)+(F284*Settings!$C$2)+(G284*Settings!$C$3)+(H284*Settings!$C$4)+(I284*Settings!$C$5)+(K284*Settings!$C$9)+(N284*Settings!$C$6)+(J284*Settings!$C$8)+(O284*Settings!$C$7)+(P284*Settings!$C$14)+(Q284*Settings!$C$15)+(R284*Settings!$C$16)+(S284*Settings!$C$17)+(T284*Settings!$C$18)+(U284*Settings!$C$19)+(L284*Settings!$C$10)+(Settings!$C$11*M284)</f>
        <v>-2.3395357587363774</v>
      </c>
      <c r="D284" s="57" cm="1">
        <f t="array" ref="D284">IF(Settings!$E$12="YES",VLOOKUP(A284,'Player Data'!A1:E673,5,FALSE),82)</f>
        <v>79</v>
      </c>
      <c r="E284" s="55" cm="1">
        <f t="array" ref="E284">(VLOOKUP($A284,'The List'!$B1:$AH671,17,FALSE)-AVERAGE('The List'!R2:R671))/STDEV('The List'!R2:R671)</f>
        <v>-0.63333664023403247</v>
      </c>
      <c r="F284" s="55" cm="1">
        <f t="array" ref="F284">(VLOOKUP($A284,'The List'!$B1:$AH671,18,FALSE)-AVERAGE('The List'!S2:S671))/STDEV('The List'!S2:S671)</f>
        <v>0.12541371605152185</v>
      </c>
      <c r="G284" s="55" cm="1">
        <f t="array" ref="G284">(VLOOKUP($A284,'The List'!$B1:$AH671,19,FALSE)-AVERAGE('The List'!T2:T671))/STDEV('The List'!T2:T671)</f>
        <v>-0.60751812040495923</v>
      </c>
      <c r="H284" s="55" cm="1">
        <f t="array" ref="H284">(VLOOKUP($A284,'The List'!$B1:$AH671,20,FALSE)-AVERAGE('The List'!U2:U671))/STDEV('The List'!U2:U671)</f>
        <v>-0.32661742922162001</v>
      </c>
      <c r="I284" s="55" cm="1">
        <f t="array" ref="I284">(VLOOKUP($A284,'The List'!$B1:$AH671,21,FALSE)-AVERAGE('The List'!V2:V671))/STDEV('The List'!V2:V671)</f>
        <v>-0.4097309364511782</v>
      </c>
      <c r="J284" s="55" cm="1">
        <f t="array" ref="J284">(VLOOKUP($A284,'The List'!$B1:$AH671,22,FALSE)-AVERAGE('The List'!W2:W671))/STDEV('The List'!W2:W671)</f>
        <v>-0.52034354245624292</v>
      </c>
      <c r="K284" s="55" cm="1">
        <f t="array" ref="K284">(VLOOKUP($A284,'The List'!$B1:$AH671,23,FALSE)-AVERAGE('The List'!X2:X671))/STDEV('The List'!X2:X671)</f>
        <v>-0.64277300640416113</v>
      </c>
      <c r="L284" s="55" cm="1">
        <f t="array" ref="L284">(VLOOKUP($A284,'The List'!$B1:$AH671,24,FALSE)-AVERAGE('The List'!Y2:Y671))/STDEV('The List'!Y2:Y671)</f>
        <v>0.97271857772082782</v>
      </c>
      <c r="M284" s="55" cm="1">
        <f t="array" ref="M284">(VLOOKUP($A284,'The List'!$B1:$AH671,25,FALSE)-AVERAGE('The List'!Z2:Z671))/STDEV('The List'!Z2:Z671)</f>
        <v>1.072973954098345</v>
      </c>
      <c r="N284" s="55" cm="1">
        <f t="array" ref="N284">(VLOOKUP($A284,'The List'!$B1:$AH671,26,FALSE)-AVERAGE('The List'!AA2:AA671))/STDEV('The List'!AA2:AA671)</f>
        <v>-0.83605174884150646</v>
      </c>
      <c r="O284" s="55" cm="1">
        <f t="array" ref="O284">(VLOOKUP($A284,'The List'!$B1:$AH671,27,FALSE)-AVERAGE('The List'!AB2:AB671))/STDEV('The List'!AB2:AB671)</f>
        <v>-0.69998779192898586</v>
      </c>
      <c r="P284" s="55" cm="1">
        <f t="array" ref="P284">(VLOOKUP($A284,'The List'!$B1:$AH671,28,FALSE)-AVERAGE('The List'!AC2:AC671))/STDEV('The List'!AC2:AC671)</f>
        <v>-0.1049396195986151</v>
      </c>
      <c r="Q284" s="55" cm="1">
        <f t="array" ref="Q284">(VLOOKUP($A284,'The List'!$B1:$AH671,29,FALSE)-AVERAGE('The List'!AD2:AD671))/STDEV('The List'!AD2:AD671)</f>
        <v>-0.85622626572791671</v>
      </c>
      <c r="R284" s="55" cm="1">
        <f t="array" ref="R284">(VLOOKUP($A284,'The List'!$B1:$AH671,30,FALSE)-AVERAGE('The List'!AE2:AE671))/STDEV('The List'!AE2:AE671)</f>
        <v>0.13390625689096303</v>
      </c>
      <c r="S284" s="55" cm="1">
        <f t="array" ref="S284">(VLOOKUP($A284,'The List'!$B1:$AH671,31,FALSE)-AVERAGE('The List'!AF2:AF671))/STDEV('The List'!AF2:AF671)</f>
        <v>0.74870969301408519</v>
      </c>
      <c r="T284" s="55" cm="1">
        <f t="array" ref="T284">(VLOOKUP($A284,'The List'!$B1:$AH671,32,FALSE)-AVERAGE('The List'!AG2:AG671))/STDEV('The List'!AG2:AG671)</f>
        <v>1.0142037200372094</v>
      </c>
      <c r="U284" s="55" cm="1">
        <f t="array" ref="U284">(VLOOKUP($A284,'The List'!$B1:$AH671,33,FALSE)-AVERAGE('The List'!AH2:AH671))/STDEV('The List'!AH2:AH671)</f>
        <v>0.86070166274106241</v>
      </c>
      <c r="V284" s="55"/>
      <c r="W284" s="77"/>
      <c r="X284" s="57"/>
      <c r="Y284" s="57"/>
      <c r="Z284" s="57"/>
      <c r="AA284" s="57"/>
      <c r="AB284" s="57"/>
      <c r="AC284" s="60"/>
      <c r="AD284" s="61"/>
      <c r="AE284" s="55"/>
    </row>
    <row r="285" spans="1:31" ht="21.25" customHeight="1" x14ac:dyDescent="0.15">
      <c r="A285" s="10" t="s">
        <v>307</v>
      </c>
      <c r="B285" s="18" t="str" cm="1">
        <f t="array" ref="B285">VLOOKUP(A285,'Player Data'!A1:B673,2,FALSE)</f>
        <v>COL</v>
      </c>
      <c r="C285" s="52" cm="1">
        <f t="array" ref="C285">((E285)*Settings!$C$12)+(F285*Settings!$C$2)+(G285*Settings!$C$3)+(H285*Settings!$C$4)+(I285*Settings!$C$5)+(K285*Settings!$C$9)+(N285*Settings!$C$6)+(J285*Settings!$C$8)+(O285*Settings!$C$7)+(P285*Settings!$C$14)+(Q285*Settings!$C$15)+(R285*Settings!$C$16)+(S285*Settings!$C$17)+(T285*Settings!$C$18)+(U285*Settings!$C$19)+(L285*Settings!$C$10)+(Settings!$C$11*M285)</f>
        <v>9.2930268359642687E-2</v>
      </c>
      <c r="D285" s="57" cm="1">
        <f t="array" ref="D285">IF(Settings!$E$12="YES",VLOOKUP(A285,'Player Data'!A1:E673,5,FALSE),82)</f>
        <v>81</v>
      </c>
      <c r="E285" s="55" cm="1">
        <f t="array" ref="E285">(VLOOKUP($A285,'The List'!$B1:$AH671,17,FALSE)-AVERAGE('The List'!R2:R671))/STDEV('The List'!R2:R671)</f>
        <v>1.3865358433009634</v>
      </c>
      <c r="F285" s="55" cm="1">
        <f t="array" ref="F285">(VLOOKUP($A285,'The List'!$B1:$AH671,18,FALSE)-AVERAGE('The List'!S2:S671))/STDEV('The List'!S2:S671)</f>
        <v>-0.80666159010650429</v>
      </c>
      <c r="G285" s="55" cm="1">
        <f t="array" ref="G285">(VLOOKUP($A285,'The List'!$B1:$AH671,19,FALSE)-AVERAGE('The List'!T2:T671))/STDEV('The List'!T2:T671)</f>
        <v>0.27300850147941369</v>
      </c>
      <c r="H285" s="55" cm="1">
        <f t="array" ref="H285">(VLOOKUP($A285,'The List'!$B1:$AH671,20,FALSE)-AVERAGE('The List'!U2:U671))/STDEV('The List'!U2:U671)</f>
        <v>-0.18559642570434659</v>
      </c>
      <c r="I285" s="55" cm="1">
        <f t="array" ref="I285">(VLOOKUP($A285,'The List'!$B1:$AH671,21,FALSE)-AVERAGE('The List'!V2:V671))/STDEV('The List'!V2:V671)</f>
        <v>-1.4945597700864489E-2</v>
      </c>
      <c r="J285" s="55" cm="1">
        <f t="array" ref="J285">(VLOOKUP($A285,'The List'!$B1:$AH671,22,FALSE)-AVERAGE('The List'!W2:W671))/STDEV('The List'!W2:W671)</f>
        <v>-0.51481960469915922</v>
      </c>
      <c r="K285" s="55" cm="1">
        <f t="array" ref="K285">(VLOOKUP($A285,'The List'!$B1:$AH671,23,FALSE)-AVERAGE('The List'!X2:X671))/STDEV('The List'!X2:X671)</f>
        <v>-0.55735338851578653</v>
      </c>
      <c r="L285" s="55" cm="1">
        <f t="array" ref="L285">(VLOOKUP($A285,'The List'!$B1:$AH671,24,FALSE)-AVERAGE('The List'!Y2:Y671))/STDEV('The List'!Y2:Y671)</f>
        <v>-0.47546929358800777</v>
      </c>
      <c r="M285" s="55" cm="1">
        <f t="array" ref="M285">(VLOOKUP($A285,'The List'!$B1:$AH671,25,FALSE)-AVERAGE('The List'!Z2:Z671))/STDEV('The List'!Z2:Z671)</f>
        <v>-0.64388478613809508</v>
      </c>
      <c r="N285" s="55" cm="1">
        <f t="array" ref="N285">(VLOOKUP($A285,'The List'!$B1:$AH671,26,FALSE)-AVERAGE('The List'!AA2:AA671))/STDEV('The List'!AA2:AA671)</f>
        <v>1.0871826158542621</v>
      </c>
      <c r="O285" s="55" cm="1">
        <f t="array" ref="O285">(VLOOKUP($A285,'The List'!$B1:$AH671,27,FALSE)-AVERAGE('The List'!AB2:AB671))/STDEV('The List'!AB2:AB671)</f>
        <v>-0.80576131048474431</v>
      </c>
      <c r="P285" s="55" cm="1">
        <f t="array" ref="P285">(VLOOKUP($A285,'The List'!$B1:$AH671,28,FALSE)-AVERAGE('The List'!AC2:AC671))/STDEV('The List'!AC2:AC671)</f>
        <v>2.0046436536881287</v>
      </c>
      <c r="Q285" s="55" cm="1">
        <f t="array" ref="Q285">(VLOOKUP($A285,'The List'!$B1:$AH671,29,FALSE)-AVERAGE('The List'!AD2:AD671))/STDEV('The List'!AD2:AD671)</f>
        <v>-0.15949641502748968</v>
      </c>
      <c r="R285" s="55" cm="1">
        <f t="array" ref="R285">(VLOOKUP($A285,'The List'!$B1:$AH671,30,FALSE)-AVERAGE('The List'!AE2:AE671))/STDEV('The List'!AE2:AE671)</f>
        <v>-0.83922002554973252</v>
      </c>
      <c r="S285" s="55" cm="1">
        <f t="array" ref="S285">(VLOOKUP($A285,'The List'!$B1:$AH671,31,FALSE)-AVERAGE('The List'!AF2:AF671))/STDEV('The List'!AF2:AF671)</f>
        <v>-0.59581850454342256</v>
      </c>
      <c r="T285" s="55" cm="1">
        <f t="array" ref="T285">(VLOOKUP($A285,'The List'!$B1:$AH671,32,FALSE)-AVERAGE('The List'!AG2:AG671))/STDEV('The List'!AG2:AG671)</f>
        <v>-0.64684275008198677</v>
      </c>
      <c r="U285" s="55" cm="1">
        <f t="array" ref="U285">(VLOOKUP($A285,'The List'!$B1:$AH671,33,FALSE)-AVERAGE('The List'!AH2:AH671))/STDEV('The List'!AH2:AH671)</f>
        <v>-1.2552626683789523</v>
      </c>
      <c r="V285" s="55"/>
      <c r="W285" s="77"/>
      <c r="X285" s="57"/>
      <c r="Y285" s="57"/>
      <c r="Z285" s="57"/>
      <c r="AA285" s="57"/>
      <c r="AB285" s="57"/>
      <c r="AC285" s="60"/>
      <c r="AD285" s="61"/>
      <c r="AE285" s="55"/>
    </row>
    <row r="286" spans="1:31" ht="21.25" customHeight="1" x14ac:dyDescent="0.15">
      <c r="A286" s="10" t="s">
        <v>597</v>
      </c>
      <c r="B286" s="18" t="str" cm="1">
        <f t="array" ref="B286">VLOOKUP(A286,'Player Data'!A1:B673,2,FALSE)</f>
        <v>N.J</v>
      </c>
      <c r="C286" s="52" cm="1">
        <f t="array" ref="C286">((E286)*Settings!$C$12)+(F286*Settings!$C$2)+(G286*Settings!$C$3)+(H286*Settings!$C$4)+(I286*Settings!$C$5)+(K286*Settings!$C$9)+(N286*Settings!$C$6)+(J286*Settings!$C$8)+(O286*Settings!$C$7)+(P286*Settings!$C$14)+(Q286*Settings!$C$15)+(R286*Settings!$C$16)+(S286*Settings!$C$17)+(T286*Settings!$C$18)+(U286*Settings!$C$19)+(L286*Settings!$C$10)+(Settings!$C$11*M286)</f>
        <v>-3.5555764349588568</v>
      </c>
      <c r="D286" s="57" cm="1">
        <f t="array" ref="D286">IF(Settings!$E$12="YES",VLOOKUP(A286,'Player Data'!A1:E673,5,FALSE),82)</f>
        <v>82</v>
      </c>
      <c r="E286" s="55" cm="1">
        <f t="array" ref="E286">(VLOOKUP($A286,'The List'!$B1:$AH671,17,FALSE)-AVERAGE('The List'!R2:R671))/STDEV('The List'!R2:R671)</f>
        <v>-0.34478342830046177</v>
      </c>
      <c r="F286" s="55" cm="1">
        <f t="array" ref="F286">(VLOOKUP($A286,'The List'!$B1:$AH671,18,FALSE)-AVERAGE('The List'!S2:S671))/STDEV('The List'!S2:S671)</f>
        <v>-0.39052090202524437</v>
      </c>
      <c r="G286" s="55" cm="1">
        <f t="array" ref="G286">(VLOOKUP($A286,'The List'!$B1:$AH671,19,FALSE)-AVERAGE('The List'!T2:T671))/STDEV('The List'!T2:T671)</f>
        <v>-0.62508648875859796</v>
      </c>
      <c r="H286" s="55" cm="1">
        <f t="array" ref="H286">(VLOOKUP($A286,'The List'!$B1:$AH671,20,FALSE)-AVERAGE('The List'!U2:U671))/STDEV('The List'!U2:U671)</f>
        <v>-0.56622051356758285</v>
      </c>
      <c r="I286" s="55" cm="1">
        <f t="array" ref="I286">(VLOOKUP($A286,'The List'!$B1:$AH671,21,FALSE)-AVERAGE('The List'!V2:V671))/STDEV('The List'!V2:V671)</f>
        <v>-0.54069254991845972</v>
      </c>
      <c r="J286" s="55" cm="1">
        <f t="array" ref="J286">(VLOOKUP($A286,'The List'!$B1:$AH671,22,FALSE)-AVERAGE('The List'!W2:W671))/STDEV('The List'!W2:W671)</f>
        <v>-0.51205763582061725</v>
      </c>
      <c r="K286" s="55" cm="1">
        <f t="array" ref="K286">(VLOOKUP($A286,'The List'!$B1:$AH671,23,FALSE)-AVERAGE('The List'!X2:X671))/STDEV('The List'!X2:X671)</f>
        <v>-0.63674338631792282</v>
      </c>
      <c r="L286" s="55" cm="1">
        <f t="array" ref="L286">(VLOOKUP($A286,'The List'!$B1:$AH671,24,FALSE)-AVERAGE('The List'!Y2:Y671))/STDEV('The List'!Y2:Y671)</f>
        <v>2.5308954012809677</v>
      </c>
      <c r="M286" s="55" cm="1">
        <f t="array" ref="M286">(VLOOKUP($A286,'The List'!$B1:$AH671,25,FALSE)-AVERAGE('The List'!Z2:Z671))/STDEV('The List'!Z2:Z671)</f>
        <v>1.1381711214490962</v>
      </c>
      <c r="N286" s="55" cm="1">
        <f t="array" ref="N286">(VLOOKUP($A286,'The List'!$B1:$AH671,26,FALSE)-AVERAGE('The List'!AA2:AA671))/STDEV('The List'!AA2:AA671)</f>
        <v>-0.72239447230902087</v>
      </c>
      <c r="O286" s="55" cm="1">
        <f t="array" ref="O286">(VLOOKUP($A286,'The List'!$B1:$AH671,27,FALSE)-AVERAGE('The List'!AB2:AB671))/STDEV('The List'!AB2:AB671)</f>
        <v>-1.0796245290709712</v>
      </c>
      <c r="P286" s="55" cm="1">
        <f t="array" ref="P286">(VLOOKUP($A286,'The List'!$B1:$AH671,28,FALSE)-AVERAGE('The List'!AC2:AC671))/STDEV('The List'!AC2:AC671)</f>
        <v>-0.28290857886766141</v>
      </c>
      <c r="Q286" s="55" cm="1">
        <f t="array" ref="Q286">(VLOOKUP($A286,'The List'!$B1:$AH671,29,FALSE)-AVERAGE('The List'!AD2:AD671))/STDEV('The List'!AD2:AD671)</f>
        <v>-1.1621076635963967</v>
      </c>
      <c r="R286" s="55" cm="1">
        <f t="array" ref="R286">(VLOOKUP($A286,'The List'!$B1:$AH671,30,FALSE)-AVERAGE('The List'!AE2:AE671))/STDEV('The List'!AE2:AE671)</f>
        <v>-0.32146693937936244</v>
      </c>
      <c r="S286" s="55" cm="1">
        <f t="array" ref="S286">(VLOOKUP($A286,'The List'!$B1:$AH671,31,FALSE)-AVERAGE('The List'!AF2:AF671))/STDEV('The List'!AF2:AF671)</f>
        <v>-0.54456816274994824</v>
      </c>
      <c r="T286" s="55" cm="1">
        <f t="array" ref="T286">(VLOOKUP($A286,'The List'!$B1:$AH671,32,FALSE)-AVERAGE('The List'!AG2:AG671))/STDEV('The List'!AG2:AG671)</f>
        <v>-0.5422235641490768</v>
      </c>
      <c r="U286" s="55" cm="1">
        <f t="array" ref="U286">(VLOOKUP($A286,'The List'!$B1:$AH671,33,FALSE)-AVERAGE('The List'!AH2:AH671))/STDEV('The List'!AH2:AH671)</f>
        <v>0.35471019225584138</v>
      </c>
      <c r="V286" s="55"/>
      <c r="W286" s="77"/>
      <c r="X286" s="57"/>
      <c r="Y286" s="57"/>
      <c r="Z286" s="57"/>
      <c r="AA286" s="57"/>
      <c r="AB286" s="57"/>
      <c r="AC286" s="60"/>
      <c r="AD286" s="61"/>
      <c r="AE286" s="55"/>
    </row>
    <row r="287" spans="1:31" ht="21.25" customHeight="1" x14ac:dyDescent="0.15">
      <c r="A287" s="10" t="s">
        <v>580</v>
      </c>
      <c r="B287" s="18" t="str" cm="1">
        <f t="array" ref="B287">VLOOKUP(A287,'Player Data'!A1:B673,2,FALSE)</f>
        <v>UTA</v>
      </c>
      <c r="C287" s="52" cm="1">
        <f t="array" ref="C287">((E287)*Settings!$C$12)+(F287*Settings!$C$2)+(G287*Settings!$C$3)+(H287*Settings!$C$4)+(I287*Settings!$C$5)+(K287*Settings!$C$9)+(N287*Settings!$C$6)+(J287*Settings!$C$8)+(O287*Settings!$C$7)+(P287*Settings!$C$14)+(Q287*Settings!$C$15)+(R287*Settings!$C$16)+(S287*Settings!$C$17)+(T287*Settings!$C$18)+(U287*Settings!$C$19)+(L287*Settings!$C$10)+(Settings!$C$11*M287)</f>
        <v>-1.2561332086468293</v>
      </c>
      <c r="D287" s="57" cm="1">
        <f t="array" ref="D287">IF(Settings!$E$12="YES",VLOOKUP(A287,'Player Data'!A1:E673,5,FALSE),82)</f>
        <v>76</v>
      </c>
      <c r="E287" s="55" cm="1">
        <f t="array" ref="E287">(VLOOKUP($A287,'The List'!$B1:$AH671,17,FALSE)-AVERAGE('The List'!R2:R671))/STDEV('The List'!R2:R671)</f>
        <v>-0.39724764865201989</v>
      </c>
      <c r="F287" s="55" cm="1">
        <f t="array" ref="F287">(VLOOKUP($A287,'The List'!$B1:$AH671,18,FALSE)-AVERAGE('The List'!S2:S671))/STDEV('The List'!S2:S671)</f>
        <v>-8.315559763908556E-2</v>
      </c>
      <c r="G287" s="55" cm="1">
        <f t="array" ref="G287">(VLOOKUP($A287,'The List'!$B1:$AH671,19,FALSE)-AVERAGE('The List'!T2:T671))/STDEV('The List'!T2:T671)</f>
        <v>-0.38053480127594708</v>
      </c>
      <c r="H287" s="55" cm="1">
        <f t="array" ref="H287">(VLOOKUP($A287,'The List'!$B1:$AH671,20,FALSE)-AVERAGE('The List'!U2:U671))/STDEV('The List'!U2:U671)</f>
        <v>-0.27622120852892668</v>
      </c>
      <c r="I287" s="55" cm="1">
        <f t="array" ref="I287">(VLOOKUP($A287,'The List'!$B1:$AH671,21,FALSE)-AVERAGE('The List'!V2:V671))/STDEV('The List'!V2:V671)</f>
        <v>8.7242453664408103E-3</v>
      </c>
      <c r="J287" s="55" cm="1">
        <f t="array" ref="J287">(VLOOKUP($A287,'The List'!$B1:$AH671,22,FALSE)-AVERAGE('The List'!W2:W671))/STDEV('The List'!W2:W671)</f>
        <v>0.31100908998486765</v>
      </c>
      <c r="K287" s="55" cm="1">
        <f t="array" ref="K287">(VLOOKUP($A287,'The List'!$B1:$AH671,23,FALSE)-AVERAGE('The List'!X2:X671))/STDEV('The List'!X2:X671)</f>
        <v>-0.11417631217727792</v>
      </c>
      <c r="L287" s="55" cm="1">
        <f t="array" ref="L287">(VLOOKUP($A287,'The List'!$B1:$AH671,24,FALSE)-AVERAGE('The List'!Y2:Y671))/STDEV('The List'!Y2:Y671)</f>
        <v>-0.47546929358800777</v>
      </c>
      <c r="M287" s="55" cm="1">
        <f t="array" ref="M287">(VLOOKUP($A287,'The List'!$B1:$AH671,25,FALSE)-AVERAGE('The List'!Z2:Z671))/STDEV('The List'!Z2:Z671)</f>
        <v>0.18194600030474953</v>
      </c>
      <c r="N287" s="55" cm="1">
        <f t="array" ref="N287">(VLOOKUP($A287,'The List'!$B1:$AH671,26,FALSE)-AVERAGE('The List'!AA2:AA671))/STDEV('The List'!AA2:AA671)</f>
        <v>-0.69123449986640695</v>
      </c>
      <c r="O287" s="55" cm="1">
        <f t="array" ref="O287">(VLOOKUP($A287,'The List'!$B1:$AH671,27,FALSE)-AVERAGE('The List'!AB2:AB671))/STDEV('The List'!AB2:AB671)</f>
        <v>-0.91194480391862554</v>
      </c>
      <c r="P287" s="55" cm="1">
        <f t="array" ref="P287">(VLOOKUP($A287,'The List'!$B1:$AH671,28,FALSE)-AVERAGE('The List'!AC2:AC671))/STDEV('The List'!AC2:AC671)</f>
        <v>0.22495406099766582</v>
      </c>
      <c r="Q287" s="55" cm="1">
        <f t="array" ref="Q287">(VLOOKUP($A287,'The List'!$B1:$AH671,29,FALSE)-AVERAGE('The List'!AD2:AD671))/STDEV('The List'!AD2:AD671)</f>
        <v>0.32149100046135215</v>
      </c>
      <c r="R287" s="55" cm="1">
        <f t="array" ref="R287">(VLOOKUP($A287,'The List'!$B1:$AH671,30,FALSE)-AVERAGE('The List'!AE2:AE671))/STDEV('The List'!AE2:AE671)</f>
        <v>7.7764355980922711E-2</v>
      </c>
      <c r="S287" s="55" cm="1">
        <f t="array" ref="S287">(VLOOKUP($A287,'The List'!$B1:$AH671,31,FALSE)-AVERAGE('The List'!AF2:AF671))/STDEV('The List'!AF2:AF671)</f>
        <v>1.6768889600542496</v>
      </c>
      <c r="T287" s="55" cm="1">
        <f t="array" ref="T287">(VLOOKUP($A287,'The List'!$B1:$AH671,32,FALSE)-AVERAGE('The List'!AG2:AG671))/STDEV('The List'!AG2:AG671)</f>
        <v>1.4824894030227611</v>
      </c>
      <c r="U287" s="55" cm="1">
        <f t="array" ref="U287">(VLOOKUP($A287,'The List'!$B1:$AH671,33,FALSE)-AVERAGE('The List'!AH2:AH671))/STDEV('The List'!AH2:AH671)</f>
        <v>1.1826962348680212</v>
      </c>
      <c r="V287" s="55"/>
      <c r="W287" s="77"/>
      <c r="X287" s="57"/>
      <c r="Y287" s="57"/>
      <c r="Z287" s="57"/>
      <c r="AA287" s="57"/>
      <c r="AB287" s="57"/>
      <c r="AC287" s="60"/>
      <c r="AD287" s="61"/>
      <c r="AE287" s="55"/>
    </row>
    <row r="288" spans="1:31" ht="21.25" customHeight="1" x14ac:dyDescent="0.15">
      <c r="A288" s="10" t="s">
        <v>665</v>
      </c>
      <c r="B288" s="18" t="str" cm="1">
        <f t="array" ref="B288">VLOOKUP(A288,'Player Data'!A1:B673,2,FALSE)</f>
        <v>T.B</v>
      </c>
      <c r="C288" s="52" cm="1">
        <f t="array" ref="C288">((E288)*Settings!$C$12)+(F288*Settings!$C$2)+(G288*Settings!$C$3)+(H288*Settings!$C$4)+(I288*Settings!$C$5)+(K288*Settings!$C$9)+(N288*Settings!$C$6)+(J288*Settings!$C$8)+(O288*Settings!$C$7)+(P288*Settings!$C$14)+(Q288*Settings!$C$15)+(R288*Settings!$C$16)+(S288*Settings!$C$17)+(T288*Settings!$C$18)+(U288*Settings!$C$19)+(L288*Settings!$C$10)+(Settings!$C$11*M288)</f>
        <v>4.9254592597852698E-2</v>
      </c>
      <c r="D288" s="57" cm="1">
        <f t="array" ref="D288">IF(Settings!$E$12="YES",VLOOKUP(A288,'Player Data'!A1:E673,5,FALSE),82)</f>
        <v>77</v>
      </c>
      <c r="E288" s="55" cm="1">
        <f t="array" ref="E288">(VLOOKUP($A288,'The List'!$B1:$AH671,17,FALSE)-AVERAGE('The List'!R2:R671))/STDEV('The List'!R2:R671)</f>
        <v>-1.0268182928707199</v>
      </c>
      <c r="F288" s="55" cm="1">
        <f t="array" ref="F288">(VLOOKUP($A288,'The List'!$B1:$AH671,18,FALSE)-AVERAGE('The List'!S2:S671))/STDEV('The List'!S2:S671)</f>
        <v>-0.21987328173292911</v>
      </c>
      <c r="G288" s="55" cm="1">
        <f t="array" ref="G288">(VLOOKUP($A288,'The List'!$B1:$AH671,19,FALSE)-AVERAGE('The List'!T2:T671))/STDEV('The List'!T2:T671)</f>
        <v>-0.25544801859803928</v>
      </c>
      <c r="H288" s="55" cm="1">
        <f t="array" ref="H288">(VLOOKUP($A288,'The List'!$B1:$AH671,20,FALSE)-AVERAGE('The List'!U2:U671))/STDEV('The List'!U2:U671)</f>
        <v>-0.25809625196401065</v>
      </c>
      <c r="I288" s="55" cm="1">
        <f t="array" ref="I288">(VLOOKUP($A288,'The List'!$B1:$AH671,21,FALSE)-AVERAGE('The List'!V2:V671))/STDEV('The List'!V2:V671)</f>
        <v>-0.74732855217026473</v>
      </c>
      <c r="J288" s="55" cm="1">
        <f t="array" ref="J288">(VLOOKUP($A288,'The List'!$B1:$AH671,22,FALSE)-AVERAGE('The List'!W2:W671))/STDEV('The List'!W2:W671)</f>
        <v>-0.52586748021332674</v>
      </c>
      <c r="K288" s="55" cm="1">
        <f t="array" ref="K288">(VLOOKUP($A288,'The List'!$B1:$AH671,23,FALSE)-AVERAGE('The List'!X2:X671))/STDEV('The List'!X2:X671)</f>
        <v>-0.49203250424820583</v>
      </c>
      <c r="L288" s="55" cm="1">
        <f t="array" ref="L288">(VLOOKUP($A288,'The List'!$B1:$AH671,24,FALSE)-AVERAGE('The List'!Y2:Y671))/STDEV('The List'!Y2:Y671)</f>
        <v>-0.47546929358800777</v>
      </c>
      <c r="M288" s="55" cm="1">
        <f t="array" ref="M288">(VLOOKUP($A288,'The List'!$B1:$AH671,25,FALSE)-AVERAGE('The List'!Z2:Z671))/STDEV('The List'!Z2:Z671)</f>
        <v>-0.64388478613809508</v>
      </c>
      <c r="N288" s="55" cm="1">
        <f t="array" ref="N288">(VLOOKUP($A288,'The List'!$B1:$AH671,26,FALSE)-AVERAGE('The List'!AA2:AA671))/STDEV('The List'!AA2:AA671)</f>
        <v>-0.85597369843596471</v>
      </c>
      <c r="O288" s="55" cm="1">
        <f t="array" ref="O288">(VLOOKUP($A288,'The List'!$B1:$AH671,27,FALSE)-AVERAGE('The List'!AB2:AB671))/STDEV('The List'!AB2:AB671)</f>
        <v>3.0587440886367789E-2</v>
      </c>
      <c r="P288" s="55" cm="1">
        <f t="array" ref="P288">(VLOOKUP($A288,'The List'!$B1:$AH671,28,FALSE)-AVERAGE('The List'!AC2:AC671))/STDEV('The List'!AC2:AC671)</f>
        <v>1.7333495084609241</v>
      </c>
      <c r="Q288" s="55" cm="1">
        <f t="array" ref="Q288">(VLOOKUP($A288,'The List'!$B1:$AH671,29,FALSE)-AVERAGE('The List'!AD2:AD671))/STDEV('The List'!AD2:AD671)</f>
        <v>-0.3257363051734028</v>
      </c>
      <c r="R288" s="55" cm="1">
        <f t="array" ref="R288">(VLOOKUP($A288,'The List'!$B1:$AH671,30,FALSE)-AVERAGE('The List'!AE2:AE671))/STDEV('The List'!AE2:AE671)</f>
        <v>9.6478322950936238E-2</v>
      </c>
      <c r="S288" s="55" cm="1">
        <f t="array" ref="S288">(VLOOKUP($A288,'The List'!$B1:$AH671,31,FALSE)-AVERAGE('The List'!AF2:AF671))/STDEV('The List'!AF2:AF671)</f>
        <v>-0.55509707912215356</v>
      </c>
      <c r="T288" s="55" cm="1">
        <f t="array" ref="T288">(VLOOKUP($A288,'The List'!$B1:$AH671,32,FALSE)-AVERAGE('The List'!AG2:AG671))/STDEV('The List'!AG2:AG671)</f>
        <v>-0.58003957233263104</v>
      </c>
      <c r="U288" s="55" cm="1">
        <f t="array" ref="U288">(VLOOKUP($A288,'The List'!$B1:$AH671,33,FALSE)-AVERAGE('The List'!AH2:AH671))/STDEV('The List'!AH2:AH671)</f>
        <v>0.49270786602453809</v>
      </c>
      <c r="V288" s="55"/>
      <c r="W288" s="77"/>
      <c r="X288" s="57"/>
      <c r="Y288" s="57"/>
      <c r="Z288" s="57"/>
      <c r="AA288" s="57"/>
      <c r="AB288" s="57"/>
      <c r="AC288" s="60"/>
      <c r="AD288" s="61"/>
      <c r="AE288" s="55"/>
    </row>
    <row r="289" spans="1:31" ht="21.25" customHeight="1" x14ac:dyDescent="0.15">
      <c r="A289" s="10" t="s">
        <v>287</v>
      </c>
      <c r="B289" s="18" t="str" cm="1">
        <f t="array" ref="B289">VLOOKUP(A289,'Player Data'!A1:B673,2,FALSE)</f>
        <v>DET</v>
      </c>
      <c r="C289" s="52" cm="1">
        <f t="array" ref="C289">((E289)*Settings!$C$12)+(F289*Settings!$C$2)+(G289*Settings!$C$3)+(H289*Settings!$C$4)+(I289*Settings!$C$5)+(K289*Settings!$C$9)+(N289*Settings!$C$6)+(J289*Settings!$C$8)+(O289*Settings!$C$7)+(P289*Settings!$C$14)+(Q289*Settings!$C$15)+(R289*Settings!$C$16)+(S289*Settings!$C$17)+(T289*Settings!$C$18)+(U289*Settings!$C$19)+(L289*Settings!$C$10)+(Settings!$C$11*M289)</f>
        <v>-1.473051330241087</v>
      </c>
      <c r="D289" s="57" cm="1">
        <f t="array" ref="D289">IF(Settings!$E$12="YES",VLOOKUP(A289,'Player Data'!A1:E673,5,FALSE),82)</f>
        <v>81</v>
      </c>
      <c r="E289" s="55" cm="1">
        <f t="array" ref="E289">(VLOOKUP($A289,'The List'!$B1:$AH671,17,FALSE)-AVERAGE('The List'!R2:R671))/STDEV('The List'!R2:R671)</f>
        <v>1.5176963941798591</v>
      </c>
      <c r="F289" s="55" cm="1">
        <f t="array" ref="F289">(VLOOKUP($A289,'The List'!$B1:$AH671,18,FALSE)-AVERAGE('The List'!S2:S671))/STDEV('The List'!S2:S671)</f>
        <v>-0.40249617362470519</v>
      </c>
      <c r="G289" s="55" cm="1">
        <f t="array" ref="G289">(VLOOKUP($A289,'The List'!$B1:$AH671,19,FALSE)-AVERAGE('The List'!T2:T671))/STDEV('The List'!T2:T671)</f>
        <v>-6.852057931532303E-2</v>
      </c>
      <c r="H289" s="55" cm="1">
        <f t="array" ref="H289">(VLOOKUP($A289,'The List'!$B1:$AH671,20,FALSE)-AVERAGE('The List'!U2:U671))/STDEV('The List'!U2:U671)</f>
        <v>-0.22140426672283897</v>
      </c>
      <c r="I289" s="55" cm="1">
        <f t="array" ref="I289">(VLOOKUP($A289,'The List'!$B1:$AH671,21,FALSE)-AVERAGE('The List'!V2:V671))/STDEV('The List'!V2:V671)</f>
        <v>-0.35081548764861498</v>
      </c>
      <c r="J289" s="55" cm="1">
        <f t="array" ref="J289">(VLOOKUP($A289,'The List'!$B1:$AH671,22,FALSE)-AVERAGE('The List'!W2:W671))/STDEV('The List'!W2:W671)</f>
        <v>-0.73853908386105271</v>
      </c>
      <c r="K289" s="55" cm="1">
        <f t="array" ref="K289">(VLOOKUP($A289,'The List'!$B1:$AH671,23,FALSE)-AVERAGE('The List'!X2:X671))/STDEV('The List'!X2:X671)</f>
        <v>-0.72015313084421817</v>
      </c>
      <c r="L289" s="55" cm="1">
        <f t="array" ref="L289">(VLOOKUP($A289,'The List'!$B1:$AH671,24,FALSE)-AVERAGE('The List'!Y2:Y671))/STDEV('The List'!Y2:Y671)</f>
        <v>-0.47546929358800777</v>
      </c>
      <c r="M289" s="55" cm="1">
        <f t="array" ref="M289">(VLOOKUP($A289,'The List'!$B1:$AH671,25,FALSE)-AVERAGE('The List'!Z2:Z671))/STDEV('The List'!Z2:Z671)</f>
        <v>0.23627697309704196</v>
      </c>
      <c r="N289" s="55" cm="1">
        <f t="array" ref="N289">(VLOOKUP($A289,'The List'!$B1:$AH671,26,FALSE)-AVERAGE('The List'!AA2:AA671))/STDEV('The List'!AA2:AA671)</f>
        <v>2.4112260350551731</v>
      </c>
      <c r="O289" s="55" cm="1">
        <f t="array" ref="O289">(VLOOKUP($A289,'The List'!$B1:$AH671,27,FALSE)-AVERAGE('The List'!AB2:AB671))/STDEV('The List'!AB2:AB671)</f>
        <v>0.17387366079038941</v>
      </c>
      <c r="P289" s="55" cm="1">
        <f t="array" ref="P289">(VLOOKUP($A289,'The List'!$B1:$AH671,28,FALSE)-AVERAGE('The List'!AC2:AC671))/STDEV('The List'!AC2:AC671)</f>
        <v>-0.1049396195986151</v>
      </c>
      <c r="Q289" s="55" cm="1">
        <f t="array" ref="Q289">(VLOOKUP($A289,'The List'!$B1:$AH671,29,FALSE)-AVERAGE('The List'!AD2:AD671))/STDEV('The List'!AD2:AD671)</f>
        <v>2.0548189217160733</v>
      </c>
      <c r="R289" s="55" cm="1">
        <f t="array" ref="R289">(VLOOKUP($A289,'The List'!$B1:$AH671,30,FALSE)-AVERAGE('The List'!AE2:AE671))/STDEV('The List'!AE2:AE671)</f>
        <v>-0.33394291735937137</v>
      </c>
      <c r="S289" s="55" cm="1">
        <f t="array" ref="S289">(VLOOKUP($A289,'The List'!$B1:$AH671,31,FALSE)-AVERAGE('The List'!AF2:AF671))/STDEV('The List'!AF2:AF671)</f>
        <v>-0.59581850454342256</v>
      </c>
      <c r="T289" s="55" cm="1">
        <f t="array" ref="T289">(VLOOKUP($A289,'The List'!$B1:$AH671,32,FALSE)-AVERAGE('The List'!AG2:AG671))/STDEV('The List'!AG2:AG671)</f>
        <v>-0.64684275008198677</v>
      </c>
      <c r="U289" s="55" cm="1">
        <f t="array" ref="U289">(VLOOKUP($A289,'The List'!$B1:$AH671,33,FALSE)-AVERAGE('The List'!AH2:AH671))/STDEV('The List'!AH2:AH671)</f>
        <v>-1.2552626683789523</v>
      </c>
      <c r="V289" s="55"/>
      <c r="W289" s="77"/>
      <c r="X289" s="57"/>
      <c r="Y289" s="57"/>
      <c r="Z289" s="57"/>
      <c r="AA289" s="57"/>
      <c r="AB289" s="57"/>
      <c r="AC289" s="60"/>
      <c r="AD289" s="61"/>
      <c r="AE289" s="55"/>
    </row>
    <row r="290" spans="1:31" ht="21.25" customHeight="1" x14ac:dyDescent="0.15">
      <c r="A290" s="10" t="s">
        <v>622</v>
      </c>
      <c r="B290" s="18" t="str" cm="1">
        <f t="array" ref="B290">VLOOKUP(A290,'Player Data'!A1:B673,2,FALSE)</f>
        <v>CHI</v>
      </c>
      <c r="C290" s="52" cm="1">
        <f t="array" ref="C290">((E290)*Settings!$C$12)+(F290*Settings!$C$2)+(G290*Settings!$C$3)+(H290*Settings!$C$4)+(I290*Settings!$C$5)+(K290*Settings!$C$9)+(N290*Settings!$C$6)+(J290*Settings!$C$8)+(O290*Settings!$C$7)+(P290*Settings!$C$14)+(Q290*Settings!$C$15)+(R290*Settings!$C$16)+(S290*Settings!$C$17)+(T290*Settings!$C$18)+(U290*Settings!$C$19)+(L290*Settings!$C$10)+(Settings!$C$11*M290)</f>
        <v>-2.1597569642769132</v>
      </c>
      <c r="D290" s="57" cm="1">
        <f t="array" ref="D290">IF(Settings!$E$12="YES",VLOOKUP(A290,'Player Data'!A1:E673,5,FALSE),82)</f>
        <v>83</v>
      </c>
      <c r="E290" s="55" cm="1">
        <f t="array" ref="E290">(VLOOKUP($A290,'The List'!$B1:$AH671,17,FALSE)-AVERAGE('The List'!R2:R671))/STDEV('The List'!R2:R671)</f>
        <v>-0.89565774199182402</v>
      </c>
      <c r="F290" s="55" cm="1">
        <f t="array" ref="F290">(VLOOKUP($A290,'The List'!$B1:$AH671,18,FALSE)-AVERAGE('The List'!S2:S671))/STDEV('The List'!S2:S671)</f>
        <v>0.36691502664064646</v>
      </c>
      <c r="G290" s="55" cm="1">
        <f t="array" ref="G290">(VLOOKUP($A290,'The List'!$B1:$AH671,19,FALSE)-AVERAGE('The List'!T2:T671))/STDEV('The List'!T2:T671)</f>
        <v>-0.32080234887357534</v>
      </c>
      <c r="H290" s="55" cm="1">
        <f t="array" ref="H290">(VLOOKUP($A290,'The List'!$B1:$AH671,20,FALSE)-AVERAGE('The List'!U2:U671))/STDEV('The List'!U2:U671)</f>
        <v>-3.9270556851000456E-2</v>
      </c>
      <c r="I290" s="55" cm="1">
        <f t="array" ref="I290">(VLOOKUP($A290,'The List'!$B1:$AH671,21,FALSE)-AVERAGE('The List'!V2:V671))/STDEV('The List'!V2:V671)</f>
        <v>6.729414901473707E-2</v>
      </c>
      <c r="J290" s="55" cm="1">
        <f t="array" ref="J290">(VLOOKUP($A290,'The List'!$B1:$AH671,22,FALSE)-AVERAGE('The List'!W2:W671))/STDEV('The List'!W2:W671)</f>
        <v>-0.28005225002309803</v>
      </c>
      <c r="K290" s="55" cm="1">
        <f t="array" ref="K290">(VLOOKUP($A290,'The List'!$B1:$AH671,23,FALSE)-AVERAGE('The List'!X2:X671))/STDEV('The List'!X2:X671)</f>
        <v>-0.38450427937695769</v>
      </c>
      <c r="L290" s="55" cm="1">
        <f t="array" ref="L290">(VLOOKUP($A290,'The List'!$B1:$AH671,24,FALSE)-AVERAGE('The List'!Y2:Y671))/STDEV('The List'!Y2:Y671)</f>
        <v>-0.47546929358800777</v>
      </c>
      <c r="M290" s="55" cm="1">
        <f t="array" ref="M290">(VLOOKUP($A290,'The List'!$B1:$AH671,25,FALSE)-AVERAGE('The List'!Z2:Z671))/STDEV('The List'!Z2:Z671)</f>
        <v>-0.64388478613809508</v>
      </c>
      <c r="N290" s="55" cm="1">
        <f t="array" ref="N290">(VLOOKUP($A290,'The List'!$B1:$AH671,26,FALSE)-AVERAGE('The List'!AA2:AA671))/STDEV('The List'!AA2:AA671)</f>
        <v>-1.0505958213972098</v>
      </c>
      <c r="O290" s="55" cm="1">
        <f t="array" ref="O290">(VLOOKUP($A290,'The List'!$B1:$AH671,27,FALSE)-AVERAGE('The List'!AB2:AB671))/STDEV('The List'!AB2:AB671)</f>
        <v>1.7673232225490703E-2</v>
      </c>
      <c r="P290" s="55" cm="1">
        <f t="array" ref="P290">(VLOOKUP($A290,'The List'!$B1:$AH671,28,FALSE)-AVERAGE('The List'!AC2:AC671))/STDEV('The List'!AC2:AC671)</f>
        <v>-1.9063327439072544</v>
      </c>
      <c r="Q290" s="55" cm="1">
        <f t="array" ref="Q290">(VLOOKUP($A290,'The List'!$B1:$AH671,29,FALSE)-AVERAGE('The List'!AD2:AD671))/STDEV('The List'!AD2:AD671)</f>
        <v>-0.22747005899826317</v>
      </c>
      <c r="R290" s="55" cm="1">
        <f t="array" ref="R290">(VLOOKUP($A290,'The List'!$B1:$AH671,30,FALSE)-AVERAGE('The List'!AE2:AE671))/STDEV('The List'!AE2:AE671)</f>
        <v>0.20876212477101633</v>
      </c>
      <c r="S290" s="55" cm="1">
        <f t="array" ref="S290">(VLOOKUP($A290,'The List'!$B1:$AH671,31,FALSE)-AVERAGE('The List'!AF2:AF671))/STDEV('The List'!AF2:AF671)</f>
        <v>0.14240757260366788</v>
      </c>
      <c r="T290" s="55" cm="1">
        <f t="array" ref="T290">(VLOOKUP($A290,'The List'!$B1:$AH671,32,FALSE)-AVERAGE('The List'!AG2:AG671))/STDEV('The List'!AG2:AG671)</f>
        <v>0.2977409145191009</v>
      </c>
      <c r="U290" s="55" cm="1">
        <f t="array" ref="U290">(VLOOKUP($A290,'The List'!$B1:$AH671,33,FALSE)-AVERAGE('The List'!AH2:AH671))/STDEV('The List'!AH2:AH671)</f>
        <v>0.8147024381514969</v>
      </c>
      <c r="V290" s="55"/>
      <c r="W290" s="77"/>
      <c r="X290" s="57"/>
      <c r="Y290" s="57"/>
      <c r="Z290" s="57"/>
      <c r="AA290" s="57"/>
      <c r="AB290" s="57"/>
      <c r="AC290" s="60"/>
      <c r="AD290" s="61"/>
      <c r="AE290" s="55"/>
    </row>
    <row r="291" spans="1:31" ht="21.25" customHeight="1" x14ac:dyDescent="0.15">
      <c r="A291" s="10" t="s">
        <v>704</v>
      </c>
      <c r="B291" s="18" t="str" cm="1">
        <f t="array" ref="B291">VLOOKUP(A291,'Player Data'!A1:B673,2,FALSE)</f>
        <v>WPG</v>
      </c>
      <c r="C291" s="52" cm="1">
        <f t="array" ref="C291">((E291)*Settings!$C$12)+(F291*Settings!$C$2)+(G291*Settings!$C$3)+(H291*Settings!$C$4)+(I291*Settings!$C$5)+(K291*Settings!$C$9)+(N291*Settings!$C$6)+(J291*Settings!$C$8)+(O291*Settings!$C$7)+(P291*Settings!$C$14)+(Q291*Settings!$C$15)+(R291*Settings!$C$16)+(S291*Settings!$C$17)+(T291*Settings!$C$18)+(U291*Settings!$C$19)+(L291*Settings!$C$10)+(Settings!$C$11*M291)</f>
        <v>-3.0280993589762115</v>
      </c>
      <c r="D291" s="57" cm="1">
        <f t="array" ref="D291">IF(Settings!$E$12="YES",VLOOKUP(A291,'Player Data'!A1:E673,5,FALSE),82)</f>
        <v>55</v>
      </c>
      <c r="E291" s="55" cm="1">
        <f t="array" ref="E291">(VLOOKUP($A291,'The List'!$B1:$AH671,17,FALSE)-AVERAGE('The List'!R2:R671))/STDEV('The List'!R2:R671)</f>
        <v>-0.76449719111292824</v>
      </c>
      <c r="F291" s="55" cm="1">
        <f t="array" ref="F291">(VLOOKUP($A291,'The List'!$B1:$AH671,18,FALSE)-AVERAGE('The List'!S2:S671))/STDEV('The List'!S2:S671)</f>
        <v>-0.43941992772304217</v>
      </c>
      <c r="G291" s="55" cm="1">
        <f t="array" ref="G291">(VLOOKUP($A291,'The List'!$B1:$AH671,19,FALSE)-AVERAGE('The List'!T2:T671))/STDEV('The List'!T2:T671)</f>
        <v>-0.7733635176633088</v>
      </c>
      <c r="H291" s="55" cm="1">
        <f t="array" ref="H291">(VLOOKUP($A291,'The List'!$B1:$AH671,20,FALSE)-AVERAGE('The List'!U2:U671))/STDEV('The List'!U2:U671)</f>
        <v>-0.68115926251583081</v>
      </c>
      <c r="I291" s="55" cm="1">
        <f t="array" ref="I291">(VLOOKUP($A291,'The List'!$B1:$AH671,21,FALSE)-AVERAGE('The List'!V2:V671))/STDEV('The List'!V2:V671)</f>
        <v>-0.834751476199875</v>
      </c>
      <c r="J291" s="55" cm="1">
        <f t="array" ref="J291">(VLOOKUP($A291,'The List'!$B1:$AH671,22,FALSE)-AVERAGE('The List'!W2:W671))/STDEV('The List'!W2:W671)</f>
        <v>-0.43472250722144418</v>
      </c>
      <c r="K291" s="55" cm="1">
        <f t="array" ref="K291">(VLOOKUP($A291,'The List'!$B1:$AH671,23,FALSE)-AVERAGE('The List'!X2:X671))/STDEV('The List'!X2:X671)</f>
        <v>-0.41465237980814873</v>
      </c>
      <c r="L291" s="55" cm="1">
        <f t="array" ref="L291">(VLOOKUP($A291,'The List'!$B1:$AH671,24,FALSE)-AVERAGE('The List'!Y2:Y671))/STDEV('The List'!Y2:Y671)</f>
        <v>-0.47546929358800777</v>
      </c>
      <c r="M291" s="55" cm="1">
        <f t="array" ref="M291">(VLOOKUP($A291,'The List'!$B1:$AH671,25,FALSE)-AVERAGE('The List'!Z2:Z671))/STDEV('The List'!Z2:Z671)</f>
        <v>-0.64388478613809508</v>
      </c>
      <c r="N291" s="55" cm="1">
        <f t="array" ref="N291">(VLOOKUP($A291,'The List'!$B1:$AH671,26,FALSE)-AVERAGE('The List'!AA2:AA671))/STDEV('The List'!AA2:AA671)</f>
        <v>-1.0470200868546149</v>
      </c>
      <c r="O291" s="55" cm="1">
        <f t="array" ref="O291">(VLOOKUP($A291,'The List'!$B1:$AH671,27,FALSE)-AVERAGE('The List'!AB2:AB671))/STDEV('The List'!AB2:AB671)</f>
        <v>-0.46097243798322202</v>
      </c>
      <c r="P291" s="55" cm="1">
        <f t="array" ref="P291">(VLOOKUP($A291,'The List'!$B1:$AH671,28,FALSE)-AVERAGE('The List'!AC2:AC671))/STDEV('The List'!AC2:AC671)</f>
        <v>-0.1049396195986151</v>
      </c>
      <c r="Q291" s="55" cm="1">
        <f t="array" ref="Q291">(VLOOKUP($A291,'The List'!$B1:$AH671,29,FALSE)-AVERAGE('The List'!AD2:AD671))/STDEV('The List'!AD2:AD671)</f>
        <v>-1.0328099712606864</v>
      </c>
      <c r="R291" s="55" cm="1">
        <f t="array" ref="R291">(VLOOKUP($A291,'The List'!$B1:$AH671,30,FALSE)-AVERAGE('The List'!AE2:AE671))/STDEV('The List'!AE2:AE671)</f>
        <v>-0.31522895038935811</v>
      </c>
      <c r="S291" s="55" cm="1">
        <f t="array" ref="S291">(VLOOKUP($A291,'The List'!$B1:$AH671,31,FALSE)-AVERAGE('The List'!AF2:AF671))/STDEV('The List'!AF2:AF671)</f>
        <v>-0.52442379763600289</v>
      </c>
      <c r="T291" s="55" cm="1">
        <f t="array" ref="T291">(VLOOKUP($A291,'The List'!$B1:$AH671,32,FALSE)-AVERAGE('The List'!AG2:AG671))/STDEV('The List'!AG2:AG671)</f>
        <v>-0.4700108089807512</v>
      </c>
      <c r="U291" s="55" cm="1">
        <f t="array" ref="U291">(VLOOKUP($A291,'The List'!$B1:$AH671,33,FALSE)-AVERAGE('The List'!AH2:AH671))/STDEV('The List'!AH2:AH671)</f>
        <v>0.12471406930801376</v>
      </c>
      <c r="V291" s="55"/>
      <c r="W291" s="77"/>
      <c r="X291" s="57"/>
      <c r="Y291" s="57"/>
      <c r="Z291" s="57"/>
      <c r="AA291" s="57"/>
      <c r="AB291" s="57"/>
      <c r="AC291" s="60"/>
      <c r="AD291" s="61"/>
      <c r="AE291" s="55"/>
    </row>
    <row r="292" spans="1:31" ht="21.25" customHeight="1" x14ac:dyDescent="0.15">
      <c r="A292" s="10" t="s">
        <v>244</v>
      </c>
      <c r="B292" s="18" t="str" cm="1">
        <f t="array" ref="B292">VLOOKUP(A292,'Player Data'!A1:B673,2,FALSE)</f>
        <v>VGK</v>
      </c>
      <c r="C292" s="52" cm="1">
        <f t="array" ref="C292">((E292)*Settings!$C$12)+(F292*Settings!$C$2)+(G292*Settings!$C$3)+(H292*Settings!$C$4)+(I292*Settings!$C$5)+(K292*Settings!$C$9)+(N292*Settings!$C$6)+(J292*Settings!$C$8)+(O292*Settings!$C$7)+(P292*Settings!$C$14)+(Q292*Settings!$C$15)+(R292*Settings!$C$16)+(S292*Settings!$C$17)+(T292*Settings!$C$18)+(U292*Settings!$C$19)+(L292*Settings!$C$10)+(Settings!$C$11*M292)</f>
        <v>-0.36553273758934934</v>
      </c>
      <c r="D292" s="57" cm="1">
        <f t="array" ref="D292">IF(Settings!$E$12="YES",VLOOKUP(A292,'Player Data'!A1:E673,5,FALSE),82)</f>
        <v>83</v>
      </c>
      <c r="E292" s="55" cm="1">
        <f t="array" ref="E292">(VLOOKUP($A292,'The List'!$B1:$AH671,17,FALSE)-AVERAGE('The List'!R2:R671))/STDEV('The List'!R2:R671)</f>
        <v>1.1242147415431716</v>
      </c>
      <c r="F292" s="55" cm="1">
        <f t="array" ref="F292">(VLOOKUP($A292,'The List'!$B1:$AH671,18,FALSE)-AVERAGE('The List'!S2:S671))/STDEV('The List'!S2:S671)</f>
        <v>-0.2957166685295135</v>
      </c>
      <c r="G292" s="55" cm="1">
        <f t="array" ref="G292">(VLOOKUP($A292,'The List'!$B1:$AH671,19,FALSE)-AVERAGE('The List'!T2:T671))/STDEV('The List'!T2:T671)</f>
        <v>-2.9167434203172388E-2</v>
      </c>
      <c r="H292" s="55" cm="1">
        <f t="array" ref="H292">(VLOOKUP($A292,'The List'!$B1:$AH671,20,FALSE)-AVERAGE('The List'!U2:U671))/STDEV('The List'!U2:U671)</f>
        <v>-0.14934651257451456</v>
      </c>
      <c r="I292" s="55" cm="1">
        <f t="array" ref="I292">(VLOOKUP($A292,'The List'!$B1:$AH671,21,FALSE)-AVERAGE('The List'!V2:V671))/STDEV('The List'!V2:V671)</f>
        <v>0.41145712266490148</v>
      </c>
      <c r="J292" s="55" cm="1">
        <f t="array" ref="J292">(VLOOKUP($A292,'The List'!$B1:$AH671,22,FALSE)-AVERAGE('The List'!W2:W671))/STDEV('The List'!W2:W671)</f>
        <v>-0.28005225002309803</v>
      </c>
      <c r="K292" s="55" cm="1">
        <f t="array" ref="K292">(VLOOKUP($A292,'The List'!$B1:$AH671,23,FALSE)-AVERAGE('The List'!X2:X671))/STDEV('The List'!X2:X671)</f>
        <v>-0.21768479032436716</v>
      </c>
      <c r="L292" s="55" cm="1">
        <f t="array" ref="L292">(VLOOKUP($A292,'The List'!$B1:$AH671,24,FALSE)-AVERAGE('The List'!Y2:Y671))/STDEV('The List'!Y2:Y671)</f>
        <v>1.0460445458883638</v>
      </c>
      <c r="M292" s="55" cm="1">
        <f t="array" ref="M292">(VLOOKUP($A292,'The List'!$B1:$AH671,25,FALSE)-AVERAGE('The List'!Z2:Z671))/STDEV('The List'!Z2:Z671)</f>
        <v>0.25800936221395893</v>
      </c>
      <c r="N292" s="55" cm="1">
        <f t="array" ref="N292">(VLOOKUP($A292,'The List'!$B1:$AH671,26,FALSE)-AVERAGE('The List'!AA2:AA671))/STDEV('The List'!AA2:AA671)</f>
        <v>2.1928508183466899</v>
      </c>
      <c r="O292" s="55" cm="1">
        <f t="array" ref="O292">(VLOOKUP($A292,'The List'!$B1:$AH671,27,FALSE)-AVERAGE('The List'!AB2:AB671))/STDEV('The List'!AB2:AB671)</f>
        <v>-0.85003859732203835</v>
      </c>
      <c r="P292" s="55" cm="1">
        <f t="array" ref="P292">(VLOOKUP($A292,'The List'!$B1:$AH671,28,FALSE)-AVERAGE('The List'!AC2:AC671))/STDEV('The List'!AC2:AC671)</f>
        <v>0.61561763012484061</v>
      </c>
      <c r="Q292" s="55" cm="1">
        <f t="array" ref="Q292">(VLOOKUP($A292,'The List'!$B1:$AH671,29,FALSE)-AVERAGE('The List'!AD2:AD671))/STDEV('The List'!AD2:AD671)</f>
        <v>1.060334956665411</v>
      </c>
      <c r="R292" s="55" cm="1">
        <f t="array" ref="R292">(VLOOKUP($A292,'The List'!$B1:$AH671,30,FALSE)-AVERAGE('The List'!AE2:AE671))/STDEV('The List'!AE2:AE671)</f>
        <v>-0.3089909613993535</v>
      </c>
      <c r="S292" s="55" cm="1">
        <f t="array" ref="S292">(VLOOKUP($A292,'The List'!$B1:$AH671,31,FALSE)-AVERAGE('The List'!AF2:AF671))/STDEV('The List'!AF2:AF671)</f>
        <v>-0.59581850454342256</v>
      </c>
      <c r="T292" s="55" cm="1">
        <f t="array" ref="T292">(VLOOKUP($A292,'The List'!$B1:$AH671,32,FALSE)-AVERAGE('The List'!AG2:AG671))/STDEV('The List'!AG2:AG671)</f>
        <v>-0.64684275008198677</v>
      </c>
      <c r="U292" s="55" cm="1">
        <f t="array" ref="U292">(VLOOKUP($A292,'The List'!$B1:$AH671,33,FALSE)-AVERAGE('The List'!AH2:AH671))/STDEV('The List'!AH2:AH671)</f>
        <v>-1.2552626683789523</v>
      </c>
      <c r="V292" s="55"/>
      <c r="W292" s="77"/>
      <c r="X292" s="57"/>
      <c r="Y292" s="57"/>
      <c r="Z292" s="57"/>
      <c r="AA292" s="57"/>
      <c r="AB292" s="57"/>
      <c r="AC292" s="60"/>
      <c r="AD292" s="61"/>
      <c r="AE292" s="55"/>
    </row>
    <row r="293" spans="1:31" ht="21.25" customHeight="1" x14ac:dyDescent="0.15">
      <c r="A293" s="10" t="s">
        <v>311</v>
      </c>
      <c r="B293" s="18" t="str" cm="1">
        <f t="array" ref="B293">VLOOKUP(A293,'Player Data'!A1:B673,2,FALSE)</f>
        <v>PIT</v>
      </c>
      <c r="C293" s="52" cm="1">
        <f t="array" ref="C293">((E293)*Settings!$C$12)+(F293*Settings!$C$2)+(G293*Settings!$C$3)+(H293*Settings!$C$4)+(I293*Settings!$C$5)+(K293*Settings!$C$9)+(N293*Settings!$C$6)+(J293*Settings!$C$8)+(O293*Settings!$C$7)+(P293*Settings!$C$14)+(Q293*Settings!$C$15)+(R293*Settings!$C$16)+(S293*Settings!$C$17)+(T293*Settings!$C$18)+(U293*Settings!$C$19)+(L293*Settings!$C$10)+(Settings!$C$11*M293)</f>
        <v>-1.1202120397397395</v>
      </c>
      <c r="D293" s="57" cm="1">
        <f t="array" ref="D293">IF(Settings!$E$12="YES",VLOOKUP(A293,'Player Data'!A1:E673,5,FALSE),82)</f>
        <v>82</v>
      </c>
      <c r="E293" s="55" cm="1">
        <f t="array" ref="E293">(VLOOKUP($A293,'The List'!$B1:$AH671,17,FALSE)-AVERAGE('The List'!R2:R671))/STDEV('The List'!R2:R671)</f>
        <v>1.3340716229494043</v>
      </c>
      <c r="F293" s="55" cm="1">
        <f t="array" ref="F293">(VLOOKUP($A293,'The List'!$B1:$AH671,18,FALSE)-AVERAGE('The List'!S2:S671))/STDEV('The List'!S2:S671)</f>
        <v>-0.82831687291552936</v>
      </c>
      <c r="G293" s="55" cm="1">
        <f t="array" ref="G293">(VLOOKUP($A293,'The List'!$B1:$AH671,19,FALSE)-AVERAGE('The List'!T2:T671))/STDEV('The List'!T2:T671)</f>
        <v>8.9454188920596187E-2</v>
      </c>
      <c r="H293" s="55" cm="1">
        <f t="array" ref="H293">(VLOOKUP($A293,'The List'!$B1:$AH671,20,FALSE)-AVERAGE('The List'!U2:U671))/STDEV('The List'!U2:U671)</f>
        <v>-0.31065862600226712</v>
      </c>
      <c r="I293" s="55" cm="1">
        <f t="array" ref="I293">(VLOOKUP($A293,'The List'!$B1:$AH671,21,FALSE)-AVERAGE('The List'!V2:V671))/STDEV('The List'!V2:V671)</f>
        <v>-0.11213017233852379</v>
      </c>
      <c r="J293" s="55" cm="1">
        <f t="array" ref="J293">(VLOOKUP($A293,'The List'!$B1:$AH671,22,FALSE)-AVERAGE('The List'!W2:W671))/STDEV('The List'!W2:W671)</f>
        <v>-0.52338170822263907</v>
      </c>
      <c r="K293" s="55" cm="1">
        <f t="array" ref="K293">(VLOOKUP($A293,'The List'!$B1:$AH671,23,FALSE)-AVERAGE('The List'!X2:X671))/STDEV('The List'!X2:X671)</f>
        <v>-0.17527646238449177</v>
      </c>
      <c r="L293" s="55" cm="1">
        <f t="array" ref="L293">(VLOOKUP($A293,'The List'!$B1:$AH671,24,FALSE)-AVERAGE('The List'!Y2:Y671))/STDEV('The List'!Y2:Y671)</f>
        <v>-0.47546929358800777</v>
      </c>
      <c r="M293" s="55" cm="1">
        <f t="array" ref="M293">(VLOOKUP($A293,'The List'!$B1:$AH671,25,FALSE)-AVERAGE('The List'!Z2:Z671))/STDEV('The List'!Z2:Z671)</f>
        <v>-0.64388478613809508</v>
      </c>
      <c r="N293" s="55" cm="1">
        <f t="array" ref="N293">(VLOOKUP($A293,'The List'!$B1:$AH671,26,FALSE)-AVERAGE('The List'!AA2:AA671))/STDEV('The List'!AA2:AA671)</f>
        <v>1.0787540987181452</v>
      </c>
      <c r="O293" s="55" cm="1">
        <f t="array" ref="O293">(VLOOKUP($A293,'The List'!$B1:$AH671,27,FALSE)-AVERAGE('The List'!AB2:AB671))/STDEV('The List'!AB2:AB671)</f>
        <v>0.34913792118801246</v>
      </c>
      <c r="P293" s="55" cm="1">
        <f t="array" ref="P293">(VLOOKUP($A293,'The List'!$B1:$AH671,28,FALSE)-AVERAGE('The List'!AC2:AC671))/STDEV('The List'!AC2:AC671)</f>
        <v>-0.44308064220980303</v>
      </c>
      <c r="Q293" s="55" cm="1">
        <f t="array" ref="Q293">(VLOOKUP($A293,'The List'!$B1:$AH671,29,FALSE)-AVERAGE('The List'!AD2:AD671))/STDEV('The List'!AD2:AD671)</f>
        <v>1.0795448995267158</v>
      </c>
      <c r="R293" s="55" cm="1">
        <f t="array" ref="R293">(VLOOKUP($A293,'The List'!$B1:$AH671,30,FALSE)-AVERAGE('The List'!AE2:AE671))/STDEV('The List'!AE2:AE671)</f>
        <v>-0.85855779141874644</v>
      </c>
      <c r="S293" s="55" cm="1">
        <f t="array" ref="S293">(VLOOKUP($A293,'The List'!$B1:$AH671,31,FALSE)-AVERAGE('The List'!AF2:AF671))/STDEV('The List'!AF2:AF671)</f>
        <v>-0.59581850454342256</v>
      </c>
      <c r="T293" s="55" cm="1">
        <f t="array" ref="T293">(VLOOKUP($A293,'The List'!$B1:$AH671,32,FALSE)-AVERAGE('The List'!AG2:AG671))/STDEV('The List'!AG2:AG671)</f>
        <v>-0.64684275008198677</v>
      </c>
      <c r="U293" s="55" cm="1">
        <f t="array" ref="U293">(VLOOKUP($A293,'The List'!$B1:$AH671,33,FALSE)-AVERAGE('The List'!AH2:AH671))/STDEV('The List'!AH2:AH671)</f>
        <v>-1.2552626683789523</v>
      </c>
      <c r="V293" s="55"/>
      <c r="W293" s="77"/>
      <c r="X293" s="57"/>
      <c r="Y293" s="57"/>
      <c r="Z293" s="57"/>
      <c r="AA293" s="57"/>
      <c r="AB293" s="57"/>
      <c r="AC293" s="60"/>
      <c r="AD293" s="61"/>
      <c r="AE293" s="55"/>
    </row>
    <row r="294" spans="1:31" ht="21.25" customHeight="1" x14ac:dyDescent="0.15">
      <c r="A294" s="10" t="s">
        <v>621</v>
      </c>
      <c r="B294" s="18" t="str" cm="1">
        <f t="array" ref="B294">VLOOKUP(A294,'Player Data'!A1:B673,2,FALSE)</f>
        <v>OTT</v>
      </c>
      <c r="C294" s="52" cm="1">
        <f t="array" ref="C294">((E294)*Settings!$C$12)+(F294*Settings!$C$2)+(G294*Settings!$C$3)+(H294*Settings!$C$4)+(I294*Settings!$C$5)+(K294*Settings!$C$9)+(N294*Settings!$C$6)+(J294*Settings!$C$8)+(O294*Settings!$C$7)+(P294*Settings!$C$14)+(Q294*Settings!$C$15)+(R294*Settings!$C$16)+(S294*Settings!$C$17)+(T294*Settings!$C$18)+(U294*Settings!$C$19)+(L294*Settings!$C$10)+(Settings!$C$11*M294)</f>
        <v>-1.0519437435226986</v>
      </c>
      <c r="D294" s="57" cm="1">
        <f t="array" ref="D294">IF(Settings!$E$12="YES",VLOOKUP(A294,'Player Data'!A1:E673,5,FALSE),82)</f>
        <v>82</v>
      </c>
      <c r="E294" s="55" cm="1">
        <f t="array" ref="E294">(VLOOKUP($A294,'The List'!$B1:$AH671,17,FALSE)-AVERAGE('The List'!R2:R671))/STDEV('The List'!R2:R671)</f>
        <v>-0.42347975882779942</v>
      </c>
      <c r="F294" s="55" cm="1">
        <f t="array" ref="F294">(VLOOKUP($A294,'The List'!$B1:$AH671,18,FALSE)-AVERAGE('The List'!S2:S671))/STDEV('The List'!S2:S671)</f>
        <v>-6.3196811639984432E-2</v>
      </c>
      <c r="G294" s="55" cm="1">
        <f t="array" ref="G294">(VLOOKUP($A294,'The List'!$B1:$AH671,19,FALSE)-AVERAGE('The List'!T2:T671))/STDEV('The List'!T2:T671)</f>
        <v>-0.39458949595885801</v>
      </c>
      <c r="H294" s="55" cm="1">
        <f t="array" ref="H294">(VLOOKUP($A294,'The List'!$B1:$AH671,20,FALSE)-AVERAGE('The List'!U2:U671))/STDEV('The List'!U2:U671)</f>
        <v>-0.27622120852892668</v>
      </c>
      <c r="I294" s="55" cm="1">
        <f t="array" ref="I294">(VLOOKUP($A294,'The List'!$B1:$AH671,21,FALSE)-AVERAGE('The List'!V2:V671))/STDEV('The List'!V2:V671)</f>
        <v>-0.46985579329367683</v>
      </c>
      <c r="J294" s="55" cm="1">
        <f t="array" ref="J294">(VLOOKUP($A294,'The List'!$B1:$AH671,22,FALSE)-AVERAGE('The List'!W2:W671))/STDEV('The List'!W2:W671)</f>
        <v>-0.73853908386105271</v>
      </c>
      <c r="K294" s="55" cm="1">
        <f t="array" ref="K294">(VLOOKUP($A294,'The List'!$B1:$AH671,23,FALSE)-AVERAGE('The List'!X2:X671))/STDEV('The List'!X2:X671)</f>
        <v>-0.80155300200843405</v>
      </c>
      <c r="L294" s="55" cm="1">
        <f t="array" ref="L294">(VLOOKUP($A294,'The List'!$B1:$AH671,24,FALSE)-AVERAGE('The List'!Y2:Y671))/STDEV('The List'!Y2:Y671)</f>
        <v>-0.47546929358800777</v>
      </c>
      <c r="M294" s="55" cm="1">
        <f t="array" ref="M294">(VLOOKUP($A294,'The List'!$B1:$AH671,25,FALSE)-AVERAGE('The List'!Z2:Z671))/STDEV('The List'!Z2:Z671)</f>
        <v>0.24714316765550046</v>
      </c>
      <c r="N294" s="55" cm="1">
        <f t="array" ref="N294">(VLOOKUP($A294,'The List'!$B1:$AH671,26,FALSE)-AVERAGE('The List'!AA2:AA671))/STDEV('The List'!AA2:AA671)</f>
        <v>-0.40824065178102692</v>
      </c>
      <c r="O294" s="55" cm="1">
        <f t="array" ref="O294">(VLOOKUP($A294,'The List'!$B1:$AH671,27,FALSE)-AVERAGE('The List'!AB2:AB671))/STDEV('The List'!AB2:AB671)</f>
        <v>0.24828410116973093</v>
      </c>
      <c r="P294" s="55" cm="1">
        <f t="array" ref="P294">(VLOOKUP($A294,'The List'!$B1:$AH671,28,FALSE)-AVERAGE('The List'!AC2:AC671))/STDEV('The List'!AC2:AC671)</f>
        <v>0.42896725820852377</v>
      </c>
      <c r="Q294" s="55" cm="1">
        <f t="array" ref="Q294">(VLOOKUP($A294,'The List'!$B1:$AH671,29,FALSE)-AVERAGE('The List'!AD2:AD671))/STDEV('The List'!AD2:AD671)</f>
        <v>-0.73801123273526725</v>
      </c>
      <c r="R294" s="55" cm="1">
        <f t="array" ref="R294">(VLOOKUP($A294,'The List'!$B1:$AH671,30,FALSE)-AVERAGE('The List'!AE2:AE671))/STDEV('The List'!AE2:AE671)</f>
        <v>0.19004815780100306</v>
      </c>
      <c r="S294" s="55" cm="1">
        <f t="array" ref="S294">(VLOOKUP($A294,'The List'!$B1:$AH671,31,FALSE)-AVERAGE('The List'!AF2:AF671))/STDEV('The List'!AF2:AF671)</f>
        <v>-0.49331782095647386</v>
      </c>
      <c r="T294" s="55" cm="1">
        <f t="array" ref="T294">(VLOOKUP($A294,'The List'!$B1:$AH671,32,FALSE)-AVERAGE('The List'!AG2:AG671))/STDEV('The List'!AG2:AG671)</f>
        <v>-0.50874542465054562</v>
      </c>
      <c r="U294" s="55" cm="1">
        <f t="array" ref="U294">(VLOOKUP($A294,'The List'!$B1:$AH671,33,FALSE)-AVERAGE('The List'!AH2:AH671))/STDEV('The List'!AH2:AH671)</f>
        <v>0.76870321356193128</v>
      </c>
      <c r="V294" s="55"/>
      <c r="W294" s="77"/>
      <c r="X294" s="57"/>
      <c r="Y294" s="57"/>
      <c r="Z294" s="57"/>
      <c r="AA294" s="57"/>
      <c r="AB294" s="57"/>
      <c r="AC294" s="60"/>
      <c r="AD294" s="61"/>
      <c r="AE294" s="55"/>
    </row>
    <row r="295" spans="1:31" ht="21.25" customHeight="1" x14ac:dyDescent="0.15">
      <c r="A295" s="10" t="s">
        <v>567</v>
      </c>
      <c r="B295" s="18" t="str" cm="1">
        <f t="array" ref="B295">VLOOKUP(A295,'Player Data'!A1:B673,2,FALSE)</f>
        <v>NYI</v>
      </c>
      <c r="C295" s="52" cm="1">
        <f t="array" ref="C295">((E295)*Settings!$C$12)+(F295*Settings!$C$2)+(G295*Settings!$C$3)+(H295*Settings!$C$4)+(I295*Settings!$C$5)+(K295*Settings!$C$9)+(N295*Settings!$C$6)+(J295*Settings!$C$8)+(O295*Settings!$C$7)+(P295*Settings!$C$14)+(Q295*Settings!$C$15)+(R295*Settings!$C$16)+(S295*Settings!$C$17)+(T295*Settings!$C$18)+(U295*Settings!$C$19)+(L295*Settings!$C$10)+(Settings!$C$11*M295)</f>
        <v>0.81039487407421129</v>
      </c>
      <c r="D295" s="57" cm="1">
        <f t="array" ref="D295">IF(Settings!$E$12="YES",VLOOKUP(A295,'Player Data'!A1:E673,5,FALSE),82)</f>
        <v>79</v>
      </c>
      <c r="E295" s="55" cm="1">
        <f t="array" ref="E295">(VLOOKUP($A295,'The List'!$B1:$AH671,17,FALSE)-AVERAGE('The List'!R2:R671))/STDEV('The List'!R2:R671)</f>
        <v>-0.31855131812468268</v>
      </c>
      <c r="F295" s="55" cm="1">
        <f t="array" ref="F295">(VLOOKUP($A295,'The List'!$B1:$AH671,18,FALSE)-AVERAGE('The List'!S2:S671))/STDEV('The List'!S2:S671)</f>
        <v>0.44076253483732114</v>
      </c>
      <c r="G295" s="55" cm="1">
        <f t="array" ref="G295">(VLOOKUP($A295,'The List'!$B1:$AH671,19,FALSE)-AVERAGE('The List'!T2:T671))/STDEV('The List'!T2:T671)</f>
        <v>-0.7740662523974543</v>
      </c>
      <c r="H295" s="55" cm="1">
        <f t="array" ref="H295">(VLOOKUP($A295,'The List'!$B1:$AH671,20,FALSE)-AVERAGE('The List'!U2:U671))/STDEV('The List'!U2:U671)</f>
        <v>-0.2916937324258061</v>
      </c>
      <c r="I295" s="55" cm="1">
        <f t="array" ref="I295">(VLOOKUP($A295,'The List'!$B1:$AH671,21,FALSE)-AVERAGE('The List'!V2:V671))/STDEV('The List'!V2:V671)</f>
        <v>0.30001881041371853</v>
      </c>
      <c r="J295" s="55" cm="1">
        <f t="array" ref="J295">(VLOOKUP($A295,'The List'!$B1:$AH671,22,FALSE)-AVERAGE('The List'!W2:W671))/STDEV('The List'!W2:W671)</f>
        <v>0.13424308175818631</v>
      </c>
      <c r="K295" s="55" cm="1">
        <f t="array" ref="K295">(VLOOKUP($A295,'The List'!$B1:$AH671,23,FALSE)-AVERAGE('The List'!X2:X671))/STDEV('The List'!X2:X671)</f>
        <v>-0.3252130151956153</v>
      </c>
      <c r="L295" s="55" cm="1">
        <f t="array" ref="L295">(VLOOKUP($A295,'The List'!$B1:$AH671,24,FALSE)-AVERAGE('The List'!Y2:Y671))/STDEV('The List'!Y2:Y671)</f>
        <v>-0.47546929358800777</v>
      </c>
      <c r="M295" s="55" cm="1">
        <f t="array" ref="M295">(VLOOKUP($A295,'The List'!$B1:$AH671,25,FALSE)-AVERAGE('The List'!Z2:Z671))/STDEV('The List'!Z2:Z671)</f>
        <v>-0.64388478613809508</v>
      </c>
      <c r="N295" s="55" cm="1">
        <f t="array" ref="N295">(VLOOKUP($A295,'The List'!$B1:$AH671,26,FALSE)-AVERAGE('The List'!AA2:AA671))/STDEV('The List'!AA2:AA671)</f>
        <v>-0.45268192395327961</v>
      </c>
      <c r="O295" s="55" cm="1">
        <f t="array" ref="O295">(VLOOKUP($A295,'The List'!$B1:$AH671,27,FALSE)-AVERAGE('The List'!AB2:AB671))/STDEV('The List'!AB2:AB671)</f>
        <v>2.4740377145000103</v>
      </c>
      <c r="P295" s="55" cm="1">
        <f t="array" ref="P295">(VLOOKUP($A295,'The List'!$B1:$AH671,28,FALSE)-AVERAGE('The List'!AC2:AC671))/STDEV('The List'!AC2:AC671)</f>
        <v>-1.3051449180837689</v>
      </c>
      <c r="Q295" s="55" cm="1">
        <f t="array" ref="Q295">(VLOOKUP($A295,'The List'!$B1:$AH671,29,FALSE)-AVERAGE('The List'!AD2:AD671))/STDEV('The List'!AD2:AD671)</f>
        <v>-0.62275157556743421</v>
      </c>
      <c r="R295" s="55" cm="1">
        <f t="array" ref="R295">(VLOOKUP($A295,'The List'!$B1:$AH671,30,FALSE)-AVERAGE('The List'!AE2:AE671))/STDEV('The List'!AE2:AE671)</f>
        <v>0.13390625689096303</v>
      </c>
      <c r="S295" s="55" cm="1">
        <f t="array" ref="S295">(VLOOKUP($A295,'The List'!$B1:$AH671,31,FALSE)-AVERAGE('The List'!AF2:AF671))/STDEV('The List'!AF2:AF671)</f>
        <v>-0.57302989102549873</v>
      </c>
      <c r="T295" s="55" cm="1">
        <f t="array" ref="T295">(VLOOKUP($A295,'The List'!$B1:$AH671,32,FALSE)-AVERAGE('The List'!AG2:AG671))/STDEV('The List'!AG2:AG671)</f>
        <v>-0.58233609104823159</v>
      </c>
      <c r="U295" s="55" cm="1">
        <f t="array" ref="U295">(VLOOKUP($A295,'The List'!$B1:$AH671,33,FALSE)-AVERAGE('The List'!AH2:AH671))/STDEV('The List'!AH2:AH671)</f>
        <v>3.271562012888287E-2</v>
      </c>
      <c r="V295" s="55"/>
      <c r="W295" s="77"/>
      <c r="X295" s="57"/>
      <c r="Y295" s="57"/>
      <c r="Z295" s="57"/>
      <c r="AA295" s="57"/>
      <c r="AB295" s="57"/>
      <c r="AC295" s="60"/>
      <c r="AD295" s="61"/>
      <c r="AE295" s="55"/>
    </row>
    <row r="296" spans="1:31" ht="21.25" customHeight="1" x14ac:dyDescent="0.15">
      <c r="A296" s="10" t="s">
        <v>309</v>
      </c>
      <c r="B296" s="18" t="str" cm="1">
        <f t="array" ref="B296">VLOOKUP(A296,'Player Data'!A1:B673,2,FALSE)</f>
        <v>BUF</v>
      </c>
      <c r="C296" s="52" cm="1">
        <f t="array" ref="C296">((E296)*Settings!$C$12)+(F296*Settings!$C$2)+(G296*Settings!$C$3)+(H296*Settings!$C$4)+(I296*Settings!$C$5)+(K296*Settings!$C$9)+(N296*Settings!$C$6)+(J296*Settings!$C$8)+(O296*Settings!$C$7)+(P296*Settings!$C$14)+(Q296*Settings!$C$15)+(R296*Settings!$C$16)+(S296*Settings!$C$17)+(T296*Settings!$C$18)+(U296*Settings!$C$19)+(L296*Settings!$C$10)+(Settings!$C$11*M296)</f>
        <v>-0.83308492488774755</v>
      </c>
      <c r="D296" s="57" cm="1">
        <f t="array" ref="D296">IF(Settings!$E$12="YES",VLOOKUP(A296,'Player Data'!A1:E673,5,FALSE),82)</f>
        <v>76</v>
      </c>
      <c r="E296" s="55" cm="1">
        <f t="array" ref="E296">(VLOOKUP($A296,'The List'!$B1:$AH671,17,FALSE)-AVERAGE('The List'!R2:R671))/STDEV('The List'!R2:R671)</f>
        <v>1.5963927247071958</v>
      </c>
      <c r="F296" s="55" cm="1">
        <f t="array" ref="F296">(VLOOKUP($A296,'The List'!$B1:$AH671,18,FALSE)-AVERAGE('The List'!S2:S671))/STDEV('The List'!S2:S671)</f>
        <v>-0.53821591841859329</v>
      </c>
      <c r="G296" s="55" cm="1">
        <f t="array" ref="G296">(VLOOKUP($A296,'The List'!$B1:$AH671,19,FALSE)-AVERAGE('The List'!T2:T671))/STDEV('The List'!T2:T671)</f>
        <v>-0.16690344209570002</v>
      </c>
      <c r="H296" s="55" cm="1">
        <f t="array" ref="H296">(VLOOKUP($A296,'The List'!$B1:$AH671,20,FALSE)-AVERAGE('The List'!U2:U671))/STDEV('The List'!U2:U671)</f>
        <v>-0.34341616945251774</v>
      </c>
      <c r="I296" s="55" cm="1">
        <f t="array" ref="I296">(VLOOKUP($A296,'The List'!$B1:$AH671,21,FALSE)-AVERAGE('The List'!V2:V671))/STDEV('The List'!V2:V671)</f>
        <v>-0.42458937808466918</v>
      </c>
      <c r="J296" s="55" cm="1">
        <f t="array" ref="J296">(VLOOKUP($A296,'The List'!$B1:$AH671,22,FALSE)-AVERAGE('The List'!W2:W671))/STDEV('The List'!W2:W671)</f>
        <v>-0.73853908386105271</v>
      </c>
      <c r="K296" s="55" cm="1">
        <f t="array" ref="K296">(VLOOKUP($A296,'The List'!$B1:$AH671,23,FALSE)-AVERAGE('The List'!X2:X671))/STDEV('The List'!X2:X671)</f>
        <v>-0.80155300200843405</v>
      </c>
      <c r="L296" s="55" cm="1">
        <f t="array" ref="L296">(VLOOKUP($A296,'The List'!$B1:$AH671,24,FALSE)-AVERAGE('The List'!Y2:Y671))/STDEV('The List'!Y2:Y671)</f>
        <v>0.91772410159517581</v>
      </c>
      <c r="M296" s="55" cm="1">
        <f t="array" ref="M296">(VLOOKUP($A296,'The List'!$B1:$AH671,25,FALSE)-AVERAGE('The List'!Z2:Z671))/STDEV('The List'!Z2:Z671)</f>
        <v>1.007776786747594</v>
      </c>
      <c r="N296" s="55" cm="1">
        <f t="array" ref="N296">(VLOOKUP($A296,'The List'!$B1:$AH671,26,FALSE)-AVERAGE('The List'!AA2:AA671))/STDEV('The List'!AA2:AA671)</f>
        <v>2.0263237525058342</v>
      </c>
      <c r="O296" s="55" cm="1">
        <f t="array" ref="O296">(VLOOKUP($A296,'The List'!$B1:$AH671,27,FALSE)-AVERAGE('The List'!AB2:AB671))/STDEV('The List'!AB2:AB671)</f>
        <v>0.70827591442384286</v>
      </c>
      <c r="P296" s="55" cm="1">
        <f t="array" ref="P296">(VLOOKUP($A296,'The List'!$B1:$AH671,28,FALSE)-AVERAGE('The List'!AC2:AC671))/STDEV('The List'!AC2:AC671)</f>
        <v>0.38990090129580623</v>
      </c>
      <c r="Q296" s="55" cm="1">
        <f t="array" ref="Q296">(VLOOKUP($A296,'The List'!$B1:$AH671,29,FALSE)-AVERAGE('The List'!AD2:AD671))/STDEV('The List'!AD2:AD671)</f>
        <v>-7.1573984239206898E-2</v>
      </c>
      <c r="R296" s="55" cm="1">
        <f t="array" ref="R296">(VLOOKUP($A296,'The List'!$B1:$AH671,30,FALSE)-AVERAGE('The List'!AE2:AE671))/STDEV('The List'!AE2:AE671)</f>
        <v>-0.39632280725941599</v>
      </c>
      <c r="S296" s="55" cm="1">
        <f t="array" ref="S296">(VLOOKUP($A296,'The List'!$B1:$AH671,31,FALSE)-AVERAGE('The List'!AF2:AF671))/STDEV('The List'!AF2:AF671)</f>
        <v>-0.59581850454342256</v>
      </c>
      <c r="T296" s="55" cm="1">
        <f t="array" ref="T296">(VLOOKUP($A296,'The List'!$B1:$AH671,32,FALSE)-AVERAGE('The List'!AG2:AG671))/STDEV('The List'!AG2:AG671)</f>
        <v>-0.64684275008198677</v>
      </c>
      <c r="U296" s="55" cm="1">
        <f t="array" ref="U296">(VLOOKUP($A296,'The List'!$B1:$AH671,33,FALSE)-AVERAGE('The List'!AH2:AH671))/STDEV('The List'!AH2:AH671)</f>
        <v>-1.2552626683789523</v>
      </c>
      <c r="V296" s="55"/>
      <c r="W296" s="77"/>
      <c r="X296" s="57"/>
      <c r="Y296" s="57"/>
      <c r="Z296" s="57"/>
      <c r="AA296" s="57"/>
      <c r="AB296" s="57"/>
      <c r="AC296" s="60"/>
      <c r="AD296" s="61"/>
      <c r="AE296" s="55"/>
    </row>
    <row r="297" spans="1:31" ht="21.25" customHeight="1" x14ac:dyDescent="0.15">
      <c r="A297" s="10" t="s">
        <v>302</v>
      </c>
      <c r="B297" s="18" t="str" cm="1">
        <f t="array" ref="B297">VLOOKUP(A297,'Player Data'!A1:B673,2,FALSE)</f>
        <v>TOR</v>
      </c>
      <c r="C297" s="52" cm="1">
        <f t="array" ref="C297">((E297)*Settings!$C$12)+(F297*Settings!$C$2)+(G297*Settings!$C$3)+(H297*Settings!$C$4)+(I297*Settings!$C$5)+(K297*Settings!$C$9)+(N297*Settings!$C$6)+(J297*Settings!$C$8)+(O297*Settings!$C$7)+(P297*Settings!$C$14)+(Q297*Settings!$C$15)+(R297*Settings!$C$16)+(S297*Settings!$C$17)+(T297*Settings!$C$18)+(U297*Settings!$C$19)+(L297*Settings!$C$10)+(Settings!$C$11*M297)</f>
        <v>-1.8620814909425341</v>
      </c>
      <c r="D297" s="57" cm="1">
        <f t="array" ref="D297">IF(Settings!$E$12="YES",VLOOKUP(A297,'Player Data'!A1:E673,5,FALSE),82)</f>
        <v>82</v>
      </c>
      <c r="E297" s="55" cm="1">
        <f t="array" ref="E297">(VLOOKUP($A297,'The List'!$B1:$AH671,17,FALSE)-AVERAGE('The List'!R2:R671))/STDEV('The List'!R2:R671)</f>
        <v>0.5471083176760293</v>
      </c>
      <c r="F297" s="55" cm="1">
        <f t="array" ref="F297">(VLOOKUP($A297,'The List'!$B1:$AH671,18,FALSE)-AVERAGE('The List'!S2:S671))/STDEV('The List'!S2:S671)</f>
        <v>-0.71784499241050403</v>
      </c>
      <c r="G297" s="55" cm="1">
        <f t="array" ref="G297">(VLOOKUP($A297,'The List'!$B1:$AH671,19,FALSE)-AVERAGE('The List'!T2:T671))/STDEV('The List'!T2:T671)</f>
        <v>0.18165298604049229</v>
      </c>
      <c r="H297" s="55" cm="1">
        <f t="array" ref="H297">(VLOOKUP($A297,'The List'!$B1:$AH671,20,FALSE)-AVERAGE('The List'!U2:U671))/STDEV('The List'!U2:U671)</f>
        <v>-0.20372138226926245</v>
      </c>
      <c r="I297" s="55" cm="1">
        <f t="array" ref="I297">(VLOOKUP($A297,'The List'!$B1:$AH671,21,FALSE)-AVERAGE('The List'!V2:V671))/STDEV('The List'!V2:V671)</f>
        <v>-0.10150465884480646</v>
      </c>
      <c r="J297" s="55" cm="1">
        <f t="array" ref="J297">(VLOOKUP($A297,'The List'!$B1:$AH671,22,FALSE)-AVERAGE('The List'!W2:W671))/STDEV('The List'!W2:W671)</f>
        <v>-0.51205763582061725</v>
      </c>
      <c r="K297" s="55" cm="1">
        <f t="array" ref="K297">(VLOOKUP($A297,'The List'!$B1:$AH671,23,FALSE)-AVERAGE('The List'!X2:X671))/STDEV('The List'!X2:X671)</f>
        <v>-0.22471934709164509</v>
      </c>
      <c r="L297" s="55" cm="1">
        <f t="array" ref="L297">(VLOOKUP($A297,'The List'!$B1:$AH671,24,FALSE)-AVERAGE('The List'!Y2:Y671))/STDEV('The List'!Y2:Y671)</f>
        <v>-0.47546929358800777</v>
      </c>
      <c r="M297" s="55" cm="1">
        <f t="array" ref="M297">(VLOOKUP($A297,'The List'!$B1:$AH671,25,FALSE)-AVERAGE('The List'!Z2:Z671))/STDEV('The List'!Z2:Z671)</f>
        <v>-0.64388478613809508</v>
      </c>
      <c r="N297" s="55" cm="1">
        <f t="array" ref="N297">(VLOOKUP($A297,'The List'!$B1:$AH671,26,FALSE)-AVERAGE('The List'!AA2:AA671))/STDEV('The List'!AA2:AA671)</f>
        <v>1.2672463910349416</v>
      </c>
      <c r="O297" s="55" cm="1">
        <f t="array" ref="O297">(VLOOKUP($A297,'The List'!$B1:$AH671,27,FALSE)-AVERAGE('The List'!AB2:AB671))/STDEV('The List'!AB2:AB671)</f>
        <v>-0.89472585903745561</v>
      </c>
      <c r="P297" s="55" cm="1">
        <f t="array" ref="P297">(VLOOKUP($A297,'The List'!$B1:$AH671,28,FALSE)-AVERAGE('The List'!AC2:AC671))/STDEV('The List'!AC2:AC671)</f>
        <v>-0.1049396195986151</v>
      </c>
      <c r="Q297" s="55" cm="1">
        <f t="array" ref="Q297">(VLOOKUP($A297,'The List'!$B1:$AH671,29,FALSE)-AVERAGE('The List'!AD2:AD671))/STDEV('The List'!AD2:AD671)</f>
        <v>-0.49567041510033627</v>
      </c>
      <c r="R297" s="55" cm="1">
        <f t="array" ref="R297">(VLOOKUP($A297,'The List'!$B1:$AH671,30,FALSE)-AVERAGE('The List'!AE2:AE671))/STDEV('The List'!AE2:AE671)</f>
        <v>-0.83298203655972802</v>
      </c>
      <c r="S297" s="55" cm="1">
        <f t="array" ref="S297">(VLOOKUP($A297,'The List'!$B1:$AH671,31,FALSE)-AVERAGE('The List'!AF2:AF671))/STDEV('The List'!AF2:AF671)</f>
        <v>-0.59581850454342256</v>
      </c>
      <c r="T297" s="55" cm="1">
        <f t="array" ref="T297">(VLOOKUP($A297,'The List'!$B1:$AH671,32,FALSE)-AVERAGE('The List'!AG2:AG671))/STDEV('The List'!AG2:AG671)</f>
        <v>-0.64684275008198677</v>
      </c>
      <c r="U297" s="55" cm="1">
        <f t="array" ref="U297">(VLOOKUP($A297,'The List'!$B1:$AH671,33,FALSE)-AVERAGE('The List'!AH2:AH671))/STDEV('The List'!AH2:AH671)</f>
        <v>-1.2552626683789523</v>
      </c>
      <c r="V297" s="55"/>
      <c r="W297" s="77"/>
      <c r="X297" s="57"/>
      <c r="Y297" s="57"/>
      <c r="Z297" s="57"/>
      <c r="AA297" s="57"/>
      <c r="AB297" s="57"/>
      <c r="AC297" s="60"/>
      <c r="AD297" s="61"/>
      <c r="AE297" s="55"/>
    </row>
    <row r="298" spans="1:31" ht="21.25" customHeight="1" x14ac:dyDescent="0.15">
      <c r="A298" s="10" t="s">
        <v>617</v>
      </c>
      <c r="B298" s="18" t="str" cm="1">
        <f t="array" ref="B298">VLOOKUP(A298,'Player Data'!A1:B673,2,FALSE)</f>
        <v>CHI</v>
      </c>
      <c r="C298" s="52" cm="1">
        <f t="array" ref="C298">((E298)*Settings!$C$12)+(F298*Settings!$C$2)+(G298*Settings!$C$3)+(H298*Settings!$C$4)+(I298*Settings!$C$5)+(K298*Settings!$C$9)+(N298*Settings!$C$6)+(J298*Settings!$C$8)+(O298*Settings!$C$7)+(P298*Settings!$C$14)+(Q298*Settings!$C$15)+(R298*Settings!$C$16)+(S298*Settings!$C$17)+(T298*Settings!$C$18)+(U298*Settings!$C$19)+(L298*Settings!$C$10)+(Settings!$C$11*M298)</f>
        <v>-4.5172099715601881</v>
      </c>
      <c r="D298" s="57" cm="1">
        <f t="array" ref="D298">IF(Settings!$E$12="YES",VLOOKUP(A298,'Player Data'!A1:E673,5,FALSE),82)</f>
        <v>83</v>
      </c>
      <c r="E298" s="55" cm="1">
        <f t="array" ref="E298">(VLOOKUP($A298,'The List'!$B1:$AH671,17,FALSE)-AVERAGE('The List'!R2:R671))/STDEV('The List'!R2:R671)</f>
        <v>-0.16115865707000782</v>
      </c>
      <c r="F298" s="55" cm="1">
        <f t="array" ref="F298">(VLOOKUP($A298,'The List'!$B1:$AH671,18,FALSE)-AVERAGE('The List'!S2:S671))/STDEV('The List'!S2:S671)</f>
        <v>-0.13005874473697365</v>
      </c>
      <c r="G298" s="55" cm="1">
        <f t="array" ref="G298">(VLOOKUP($A298,'The List'!$B1:$AH671,19,FALSE)-AVERAGE('The List'!T2:T671))/STDEV('The List'!T2:T671)</f>
        <v>-0.55411028060989753</v>
      </c>
      <c r="H298" s="55" cm="1">
        <f t="array" ref="H298">(VLOOKUP($A298,'The List'!$B1:$AH671,20,FALSE)-AVERAGE('The List'!U2:U671))/STDEV('The List'!U2:U671)</f>
        <v>-0.40619040926271471</v>
      </c>
      <c r="I298" s="55" cm="1">
        <f t="array" ref="I298">(VLOOKUP($A298,'The List'!$B1:$AH671,21,FALSE)-AVERAGE('The List'!V2:V671))/STDEV('The List'!V2:V671)</f>
        <v>-0.44895031146050929</v>
      </c>
      <c r="J298" s="55" cm="1">
        <f t="array" ref="J298">(VLOOKUP($A298,'The List'!$B1:$AH671,22,FALSE)-AVERAGE('The List'!W2:W671))/STDEV('The List'!W2:W671)</f>
        <v>-0.5092956669420754</v>
      </c>
      <c r="K298" s="55" cm="1">
        <f t="array" ref="K298">(VLOOKUP($A298,'The List'!$B1:$AH671,23,FALSE)-AVERAGE('The List'!X2:X671))/STDEV('The List'!X2:X671)</f>
        <v>-0.63473351295584346</v>
      </c>
      <c r="L298" s="55" cm="1">
        <f t="array" ref="L298">(VLOOKUP($A298,'The List'!$B1:$AH671,24,FALSE)-AVERAGE('The List'!Y2:Y671))/STDEV('The List'!Y2:Y671)</f>
        <v>1.0460445458883638</v>
      </c>
      <c r="M298" s="55" cm="1">
        <f t="array" ref="M298">(VLOOKUP($A298,'The List'!$B1:$AH671,25,FALSE)-AVERAGE('The List'!Z2:Z671))/STDEV('The List'!Z2:Z671)</f>
        <v>1.1599035105660132</v>
      </c>
      <c r="N298" s="55" cm="1">
        <f t="array" ref="N298">(VLOOKUP($A298,'The List'!$B1:$AH671,26,FALSE)-AVERAGE('The List'!AA2:AA671))/STDEV('The List'!AA2:AA671)</f>
        <v>-0.66901386378028038</v>
      </c>
      <c r="O298" s="55" cm="1">
        <f t="array" ref="O298">(VLOOKUP($A298,'The List'!$B1:$AH671,27,FALSE)-AVERAGE('The List'!AB2:AB671))/STDEV('The List'!AB2:AB671)</f>
        <v>-0.66288506545884585</v>
      </c>
      <c r="P298" s="55" cm="1">
        <f t="array" ref="P298">(VLOOKUP($A298,'The List'!$B1:$AH671,28,FALSE)-AVERAGE('The List'!AC2:AC671))/STDEV('The List'!AC2:AC671)</f>
        <v>-2.0864720563381183</v>
      </c>
      <c r="Q298" s="55" cm="1">
        <f t="array" ref="Q298">(VLOOKUP($A298,'The List'!$B1:$AH671,29,FALSE)-AVERAGE('The List'!AD2:AD671))/STDEV('The List'!AD2:AD671)</f>
        <v>-0.84071054264763134</v>
      </c>
      <c r="R298" s="55" cm="1">
        <f t="array" ref="R298">(VLOOKUP($A298,'The List'!$B1:$AH671,30,FALSE)-AVERAGE('The List'!AE2:AE671))/STDEV('The List'!AE2:AE671)</f>
        <v>-0.3089909613993535</v>
      </c>
      <c r="S298" s="55" cm="1">
        <f t="array" ref="S298">(VLOOKUP($A298,'The List'!$B1:$AH671,31,FALSE)-AVERAGE('The List'!AF2:AF671))/STDEV('The List'!AF2:AF671)</f>
        <v>1.024288453952354</v>
      </c>
      <c r="T298" s="55" cm="1">
        <f t="array" ref="T298">(VLOOKUP($A298,'The List'!$B1:$AH671,32,FALSE)-AVERAGE('The List'!AG2:AG671))/STDEV('The List'!AG2:AG671)</f>
        <v>1.6659046977753846</v>
      </c>
      <c r="U298" s="55" cm="1">
        <f t="array" ref="U298">(VLOOKUP($A298,'The List'!$B1:$AH671,33,FALSE)-AVERAGE('The List'!AH2:AH671))/STDEV('The List'!AH2:AH671)</f>
        <v>0.72270398897236576</v>
      </c>
      <c r="V298" s="55"/>
      <c r="W298" s="77"/>
      <c r="X298" s="57"/>
      <c r="Y298" s="57"/>
      <c r="Z298" s="57"/>
      <c r="AA298" s="57"/>
      <c r="AB298" s="57"/>
      <c r="AC298" s="60"/>
      <c r="AD298" s="61"/>
      <c r="AE298" s="55"/>
    </row>
    <row r="299" spans="1:31" ht="21.25" customHeight="1" x14ac:dyDescent="0.15">
      <c r="A299" s="10" t="s">
        <v>323</v>
      </c>
      <c r="B299" s="18" t="str" cm="1">
        <f t="array" ref="B299">VLOOKUP(A299,'Player Data'!A1:B673,2,FALSE)</f>
        <v>CHI</v>
      </c>
      <c r="C299" s="52" cm="1">
        <f t="array" ref="C299">((E299)*Settings!$C$12)+(F299*Settings!$C$2)+(G299*Settings!$C$3)+(H299*Settings!$C$4)+(I299*Settings!$C$5)+(K299*Settings!$C$9)+(N299*Settings!$C$6)+(J299*Settings!$C$8)+(O299*Settings!$C$7)+(P299*Settings!$C$14)+(Q299*Settings!$C$15)+(R299*Settings!$C$16)+(S299*Settings!$C$17)+(T299*Settings!$C$18)+(U299*Settings!$C$19)+(L299*Settings!$C$10)+(Settings!$C$11*M299)</f>
        <v>-3.8184518076418406</v>
      </c>
      <c r="D299" s="57" cm="1">
        <f t="array" ref="D299">IF(Settings!$E$12="YES",VLOOKUP(A299,'Player Data'!A1:E673,5,FALSE),82)</f>
        <v>78</v>
      </c>
      <c r="E299" s="55" cm="1">
        <f t="array" ref="E299">(VLOOKUP($A299,'The List'!$B1:$AH671,17,FALSE)-AVERAGE('The List'!R2:R671))/STDEV('The List'!R2:R671)</f>
        <v>1.045518411015834</v>
      </c>
      <c r="F299" s="55" cm="1">
        <f t="array" ref="F299">(VLOOKUP($A299,'The List'!$B1:$AH671,18,FALSE)-AVERAGE('The List'!S2:S671))/STDEV('The List'!S2:S671)</f>
        <v>-0.90545758080205552</v>
      </c>
      <c r="G299" s="55" cm="1">
        <f t="array" ref="G299">(VLOOKUP($A299,'The List'!$B1:$AH671,19,FALSE)-AVERAGE('The List'!T2:T671))/STDEV('The List'!T2:T671)</f>
        <v>-7.2736987720196739E-2</v>
      </c>
      <c r="H299" s="55" cm="1">
        <f t="array" ref="H299">(VLOOKUP($A299,'The List'!$B1:$AH671,20,FALSE)-AVERAGE('The List'!U2:U671))/STDEV('The List'!U2:U671)</f>
        <v>-0.44686104350594097</v>
      </c>
      <c r="I299" s="55" cm="1">
        <f t="array" ref="I299">(VLOOKUP($A299,'The List'!$B1:$AH671,21,FALSE)-AVERAGE('The List'!V2:V671))/STDEV('The List'!V2:V671)</f>
        <v>-0.27047623928148345</v>
      </c>
      <c r="J299" s="55" cm="1">
        <f t="array" ref="J299">(VLOOKUP($A299,'The List'!$B1:$AH671,22,FALSE)-AVERAGE('The List'!W2:W671))/STDEV('The List'!W2:W671)</f>
        <v>-0.52310551133478489</v>
      </c>
      <c r="K299" s="55" cm="1">
        <f t="array" ref="K299">(VLOOKUP($A299,'The List'!$B1:$AH671,23,FALSE)-AVERAGE('The List'!X2:X671))/STDEV('The List'!X2:X671)</f>
        <v>-0.33124263528185355</v>
      </c>
      <c r="L299" s="55" cm="1">
        <f t="array" ref="L299">(VLOOKUP($A299,'The List'!$B1:$AH671,24,FALSE)-AVERAGE('The List'!Y2:Y671))/STDEV('The List'!Y2:Y671)</f>
        <v>-0.47546929358800777</v>
      </c>
      <c r="M299" s="55" cm="1">
        <f t="array" ref="M299">(VLOOKUP($A299,'The List'!$B1:$AH671,25,FALSE)-AVERAGE('The List'!Z2:Z671))/STDEV('The List'!Z2:Z671)</f>
        <v>-0.64388478613809508</v>
      </c>
      <c r="N299" s="55" cm="1">
        <f t="array" ref="N299">(VLOOKUP($A299,'The List'!$B1:$AH671,26,FALSE)-AVERAGE('The List'!AA2:AA671))/STDEV('The List'!AA2:AA671)</f>
        <v>0.86727494148466622</v>
      </c>
      <c r="O299" s="55" cm="1">
        <f t="array" ref="O299">(VLOOKUP($A299,'The List'!$B1:$AH671,27,FALSE)-AVERAGE('The List'!AB2:AB671))/STDEV('The List'!AB2:AB671)</f>
        <v>0.40571445436899956</v>
      </c>
      <c r="P299" s="55" cm="1">
        <f t="array" ref="P299">(VLOOKUP($A299,'The List'!$B1:$AH671,28,FALSE)-AVERAGE('The List'!AC2:AC671))/STDEV('The List'!AC2:AC671)</f>
        <v>-2.644252818925251</v>
      </c>
      <c r="Q299" s="55" cm="1">
        <f t="array" ref="Q299">(VLOOKUP($A299,'The List'!$B1:$AH671,29,FALSE)-AVERAGE('The List'!AD2:AD671))/STDEV('The List'!AD2:AD671)</f>
        <v>1.0839779632639404</v>
      </c>
      <c r="R299" s="55" cm="1">
        <f t="array" ref="R299">(VLOOKUP($A299,'The List'!$B1:$AH671,30,FALSE)-AVERAGE('The List'!AE2:AE671))/STDEV('The List'!AE2:AE671)</f>
        <v>-0.85793399251974589</v>
      </c>
      <c r="S299" s="55" cm="1">
        <f t="array" ref="S299">(VLOOKUP($A299,'The List'!$B1:$AH671,31,FALSE)-AVERAGE('The List'!AF2:AF671))/STDEV('The List'!AF2:AF671)</f>
        <v>-0.59581850454342256</v>
      </c>
      <c r="T299" s="55" cm="1">
        <f t="array" ref="T299">(VLOOKUP($A299,'The List'!$B1:$AH671,32,FALSE)-AVERAGE('The List'!AG2:AG671))/STDEV('The List'!AG2:AG671)</f>
        <v>-0.64684275008198677</v>
      </c>
      <c r="U299" s="55" cm="1">
        <f t="array" ref="U299">(VLOOKUP($A299,'The List'!$B1:$AH671,33,FALSE)-AVERAGE('The List'!AH2:AH671))/STDEV('The List'!AH2:AH671)</f>
        <v>-1.2552626683789523</v>
      </c>
      <c r="V299" s="55"/>
      <c r="W299" s="77"/>
      <c r="X299" s="57"/>
      <c r="Y299" s="57"/>
      <c r="Z299" s="57"/>
      <c r="AA299" s="57"/>
      <c r="AB299" s="57"/>
      <c r="AC299" s="60"/>
      <c r="AD299" s="61"/>
      <c r="AE299" s="55"/>
    </row>
    <row r="300" spans="1:31" ht="21.25" customHeight="1" x14ac:dyDescent="0.15">
      <c r="A300" s="10" t="s">
        <v>675</v>
      </c>
      <c r="B300" s="18" t="str" cm="1">
        <f t="array" ref="B300">VLOOKUP(A300,'Player Data'!A1:B673,2,FALSE)</f>
        <v>VGK</v>
      </c>
      <c r="C300" s="52" cm="1">
        <f t="array" ref="C300">((E300)*Settings!$C$12)+(F300*Settings!$C$2)+(G300*Settings!$C$3)+(H300*Settings!$C$4)+(I300*Settings!$C$5)+(K300*Settings!$C$9)+(N300*Settings!$C$6)+(J300*Settings!$C$8)+(O300*Settings!$C$7)+(P300*Settings!$C$14)+(Q300*Settings!$C$15)+(R300*Settings!$C$16)+(S300*Settings!$C$17)+(T300*Settings!$C$18)+(U300*Settings!$C$19)+(L300*Settings!$C$10)+(Settings!$C$11*M300)</f>
        <v>-2.7957597946804449</v>
      </c>
      <c r="D300" s="57" cm="1">
        <f t="array" ref="D300">IF(Settings!$E$12="YES",VLOOKUP(A300,'Player Data'!A1:E673,5,FALSE),82)</f>
        <v>72</v>
      </c>
      <c r="E300" s="55" cm="1">
        <f t="array" ref="E300">(VLOOKUP($A300,'The List'!$B1:$AH671,17,FALSE)-AVERAGE('The List'!R2:R671))/STDEV('The List'!R2:R671)</f>
        <v>-1.1842109539253947</v>
      </c>
      <c r="F300" s="55" cm="1">
        <f t="array" ref="F300">(VLOOKUP($A300,'The List'!$B1:$AH671,18,FALSE)-AVERAGE('The List'!S2:S671))/STDEV('The List'!S2:S671)</f>
        <v>-0.43842198842308727</v>
      </c>
      <c r="G300" s="55" cm="1">
        <f t="array" ref="G300">(VLOOKUP($A300,'The List'!$B1:$AH671,19,FALSE)-AVERAGE('The List'!T2:T671))/STDEV('The List'!T2:T671)</f>
        <v>-0.34680353403696068</v>
      </c>
      <c r="H300" s="55" cm="1">
        <f t="array" ref="H300">(VLOOKUP($A300,'The List'!$B1:$AH671,20,FALSE)-AVERAGE('The List'!U2:U671))/STDEV('The List'!U2:U671)</f>
        <v>-0.41237941882146656</v>
      </c>
      <c r="I300" s="55" cm="1">
        <f t="array" ref="I300">(VLOOKUP($A300,'The List'!$B1:$AH671,21,FALSE)-AVERAGE('The List'!V2:V671))/STDEV('The List'!V2:V671)</f>
        <v>-0.71622948828621402</v>
      </c>
      <c r="J300" s="55" cm="1">
        <f t="array" ref="J300">(VLOOKUP($A300,'The List'!$B1:$AH671,22,FALSE)-AVERAGE('The List'!W2:W671))/STDEV('The List'!W2:W671)</f>
        <v>-0.53967732460603624</v>
      </c>
      <c r="K300" s="55" cm="1">
        <f t="array" ref="K300">(VLOOKUP($A300,'The List'!$B1:$AH671,23,FALSE)-AVERAGE('The List'!X2:X671))/STDEV('The List'!X2:X671)</f>
        <v>-0.656842119938717</v>
      </c>
      <c r="L300" s="55" cm="1">
        <f t="array" ref="L300">(VLOOKUP($A300,'The List'!$B1:$AH671,24,FALSE)-AVERAGE('The List'!Y2:Y671))/STDEV('The List'!Y2:Y671)</f>
        <v>-0.47546929358800777</v>
      </c>
      <c r="M300" s="55" cm="1">
        <f t="array" ref="M300">(VLOOKUP($A300,'The List'!$B1:$AH671,25,FALSE)-AVERAGE('The List'!Z2:Z671))/STDEV('The List'!Z2:Z671)</f>
        <v>-0.64388478613809508</v>
      </c>
      <c r="N300" s="55" cm="1">
        <f t="array" ref="N300">(VLOOKUP($A300,'The List'!$B1:$AH671,26,FALSE)-AVERAGE('The List'!AA2:AA671))/STDEV('The List'!AA2:AA671)</f>
        <v>-0.8506100966220721</v>
      </c>
      <c r="O300" s="55" cm="1">
        <f t="array" ref="O300">(VLOOKUP($A300,'The List'!$B1:$AH671,27,FALSE)-AVERAGE('The List'!AB2:AB671))/STDEV('The List'!AB2:AB671)</f>
        <v>-1.0013193273494603</v>
      </c>
      <c r="P300" s="55" cm="1">
        <f t="array" ref="P300">(VLOOKUP($A300,'The List'!$B1:$AH671,28,FALSE)-AVERAGE('The List'!AC2:AC671))/STDEV('The List'!AC2:AC671)</f>
        <v>0.36385666335399469</v>
      </c>
      <c r="Q300" s="55" cm="1">
        <f t="array" ref="Q300">(VLOOKUP($A300,'The List'!$B1:$AH671,29,FALSE)-AVERAGE('The List'!AD2:AD671))/STDEV('The List'!AD2:AD671)</f>
        <v>-1.0438926306037475</v>
      </c>
      <c r="R300" s="55" cm="1">
        <f t="array" ref="R300">(VLOOKUP($A300,'The List'!$B1:$AH671,30,FALSE)-AVERAGE('The List'!AE2:AE671))/STDEV('The List'!AE2:AE671)</f>
        <v>2.9084881008694225E-3</v>
      </c>
      <c r="S300" s="55" cm="1">
        <f t="array" ref="S300">(VLOOKUP($A300,'The List'!$B1:$AH671,31,FALSE)-AVERAGE('The List'!AF2:AF671))/STDEV('The List'!AF2:AF671)</f>
        <v>-0.57851069680829059</v>
      </c>
      <c r="T300" s="55" cm="1">
        <f t="array" ref="T300">(VLOOKUP($A300,'The List'!$B1:$AH671,32,FALSE)-AVERAGE('The List'!AG2:AG671))/STDEV('The List'!AG2:AG671)</f>
        <v>-0.59172630090757561</v>
      </c>
      <c r="U300" s="55" cm="1">
        <f t="array" ref="U300">(VLOOKUP($A300,'The List'!$B1:$AH671,33,FALSE)-AVERAGE('The List'!AH2:AH671))/STDEV('The List'!AH2:AH671)</f>
        <v>-0.10528205363981386</v>
      </c>
      <c r="V300" s="55"/>
      <c r="W300" s="77"/>
      <c r="X300" s="57"/>
      <c r="Y300" s="57"/>
      <c r="Z300" s="57"/>
      <c r="AA300" s="57"/>
      <c r="AB300" s="57"/>
      <c r="AC300" s="60"/>
      <c r="AD300" s="61"/>
      <c r="AE300" s="55"/>
    </row>
    <row r="301" spans="1:31" ht="21.25" customHeight="1" x14ac:dyDescent="0.15">
      <c r="A301" s="10" t="s">
        <v>595</v>
      </c>
      <c r="B301" s="18" t="str" cm="1">
        <f t="array" ref="B301">VLOOKUP(A301,'Player Data'!A1:B673,2,FALSE)</f>
        <v>NYI</v>
      </c>
      <c r="C301" s="52" cm="1">
        <f t="array" ref="C301">((E301)*Settings!$C$12)+(F301*Settings!$C$2)+(G301*Settings!$C$3)+(H301*Settings!$C$4)+(I301*Settings!$C$5)+(K301*Settings!$C$9)+(N301*Settings!$C$6)+(J301*Settings!$C$8)+(O301*Settings!$C$7)+(P301*Settings!$C$14)+(Q301*Settings!$C$15)+(R301*Settings!$C$16)+(S301*Settings!$C$17)+(T301*Settings!$C$18)+(U301*Settings!$C$19)+(L301*Settings!$C$10)+(Settings!$C$11*M301)</f>
        <v>-1.9049223704493481</v>
      </c>
      <c r="D301" s="57" cm="1">
        <f t="array" ref="D301">IF(Settings!$E$12="YES",VLOOKUP(A301,'Player Data'!A1:E673,5,FALSE),82)</f>
        <v>82</v>
      </c>
      <c r="E301" s="55" cm="1">
        <f t="array" ref="E301">(VLOOKUP($A301,'The List'!$B1:$AH671,17,FALSE)-AVERAGE('The List'!R2:R671))/STDEV('The List'!R2:R671)</f>
        <v>-0.52840819953091567</v>
      </c>
      <c r="F301" s="55" cm="1">
        <f t="array" ref="F301">(VLOOKUP($A301,'The List'!$B1:$AH671,18,FALSE)-AVERAGE('The List'!S2:S671))/STDEV('The List'!S2:S671)</f>
        <v>-6.3196811639984432E-2</v>
      </c>
      <c r="G301" s="55" cm="1">
        <f t="array" ref="G301">(VLOOKUP($A301,'The List'!$B1:$AH671,19,FALSE)-AVERAGE('The List'!T2:T671))/STDEV('The List'!T2:T671)</f>
        <v>-0.27934099955898795</v>
      </c>
      <c r="H301" s="55" cm="1">
        <f t="array" ref="H301">(VLOOKUP($A301,'The List'!$B1:$AH671,20,FALSE)-AVERAGE('The List'!U2:U671))/STDEV('The List'!U2:U671)</f>
        <v>-0.20372138226926276</v>
      </c>
      <c r="I301" s="55" cm="1">
        <f t="array" ref="I301">(VLOOKUP($A301,'The List'!$B1:$AH671,21,FALSE)-AVERAGE('The List'!V2:V671))/STDEV('The List'!V2:V671)</f>
        <v>-0.56902725256837283</v>
      </c>
      <c r="J301" s="55" cm="1">
        <f t="array" ref="J301">(VLOOKUP($A301,'The List'!$B1:$AH671,22,FALSE)-AVERAGE('The List'!W2:W671))/STDEV('The List'!W2:W671)</f>
        <v>-0.73853908386105271</v>
      </c>
      <c r="K301" s="55" cm="1">
        <f t="array" ref="K301">(VLOOKUP($A301,'The List'!$B1:$AH671,23,FALSE)-AVERAGE('The List'!X2:X671))/STDEV('The List'!X2:X671)</f>
        <v>-0.80155300200843405</v>
      </c>
      <c r="L301" s="55" cm="1">
        <f t="array" ref="L301">(VLOOKUP($A301,'The List'!$B1:$AH671,24,FALSE)-AVERAGE('The List'!Y2:Y671))/STDEV('The List'!Y2:Y671)</f>
        <v>2.5308954012809677</v>
      </c>
      <c r="M301" s="55" cm="1">
        <f t="array" ref="M301">(VLOOKUP($A301,'The List'!$B1:$AH671,25,FALSE)-AVERAGE('The List'!Z2:Z671))/STDEV('The List'!Z2:Z671)</f>
        <v>5.5933108904170732</v>
      </c>
      <c r="N301" s="55" cm="1">
        <f t="array" ref="N301">(VLOOKUP($A301,'The List'!$B1:$AH671,26,FALSE)-AVERAGE('The List'!AA2:AA671))/STDEV('The List'!AA2:AA671)</f>
        <v>-0.19880477142903061</v>
      </c>
      <c r="O301" s="55" cm="1">
        <f t="array" ref="O301">(VLOOKUP($A301,'The List'!$B1:$AH671,27,FALSE)-AVERAGE('The List'!AB2:AB671))/STDEV('The List'!AB2:AB671)</f>
        <v>0.8029801112702778</v>
      </c>
      <c r="P301" s="55" cm="1">
        <f t="array" ref="P301">(VLOOKUP($A301,'The List'!$B1:$AH671,28,FALSE)-AVERAGE('The List'!AC2:AC671))/STDEV('The List'!AC2:AC671)</f>
        <v>-0.9947844159438467</v>
      </c>
      <c r="Q301" s="55" cm="1">
        <f t="array" ref="Q301">(VLOOKUP($A301,'The List'!$B1:$AH671,29,FALSE)-AVERAGE('The List'!AD2:AD671))/STDEV('The List'!AD2:AD671)</f>
        <v>-1.4044484812313278</v>
      </c>
      <c r="R301" s="55" cm="1">
        <f t="array" ref="R301">(VLOOKUP($A301,'The List'!$B1:$AH671,30,FALSE)-AVERAGE('The List'!AE2:AE671))/STDEV('The List'!AE2:AE671)</f>
        <v>-0.32146693937936244</v>
      </c>
      <c r="S301" s="55" cm="1">
        <f t="array" ref="S301">(VLOOKUP($A301,'The List'!$B1:$AH671,31,FALSE)-AVERAGE('The List'!AF2:AF671))/STDEV('The List'!AF2:AF671)</f>
        <v>2.5186253429061716</v>
      </c>
      <c r="T301" s="55" cm="1">
        <f t="array" ref="T301">(VLOOKUP($A301,'The List'!$B1:$AH671,32,FALSE)-AVERAGE('The List'!AG2:AG671))/STDEV('The List'!AG2:AG671)</f>
        <v>1.7133660845644607</v>
      </c>
      <c r="U301" s="55" cm="1">
        <f t="array" ref="U301">(VLOOKUP($A301,'The List'!$B1:$AH671,33,FALSE)-AVERAGE('The List'!AH2:AH671))/STDEV('The List'!AH2:AH671)</f>
        <v>1.4126923578158486</v>
      </c>
      <c r="V301" s="55"/>
      <c r="W301" s="57"/>
      <c r="X301" s="55"/>
      <c r="Y301" s="55"/>
      <c r="Z301" s="55"/>
      <c r="AA301" s="55"/>
      <c r="AB301" s="55"/>
      <c r="AC301" s="55"/>
      <c r="AD301" s="55"/>
      <c r="AE301" s="55"/>
    </row>
    <row r="302" spans="1:31" ht="21.25" customHeight="1" x14ac:dyDescent="0.15">
      <c r="A302" s="10" t="s">
        <v>641</v>
      </c>
      <c r="B302" s="18" t="str" cm="1">
        <f t="array" ref="B302">VLOOKUP(A302,'Player Data'!A1:B673,2,FALSE)</f>
        <v>COL</v>
      </c>
      <c r="C302" s="52" cm="1">
        <f t="array" ref="C302">((E302)*Settings!$C$12)+(F302*Settings!$C$2)+(G302*Settings!$C$3)+(H302*Settings!$C$4)+(I302*Settings!$C$5)+(K302*Settings!$C$9)+(N302*Settings!$C$6)+(J302*Settings!$C$8)+(O302*Settings!$C$7)+(P302*Settings!$C$14)+(Q302*Settings!$C$15)+(R302*Settings!$C$16)+(S302*Settings!$C$17)+(T302*Settings!$C$18)+(U302*Settings!$C$19)+(L302*Settings!$C$10)+(Settings!$C$11*M302)</f>
        <v>-0.8061975162650401</v>
      </c>
      <c r="D302" s="57" cm="1">
        <f t="array" ref="D302">IF(Settings!$E$12="YES",VLOOKUP(A302,'Player Data'!A1:E673,5,FALSE),82)</f>
        <v>76</v>
      </c>
      <c r="E302" s="55" cm="1">
        <f t="array" ref="E302">(VLOOKUP($A302,'The List'!$B1:$AH671,17,FALSE)-AVERAGE('The List'!R2:R671))/STDEV('The List'!R2:R671)</f>
        <v>-0.92188985216760311</v>
      </c>
      <c r="F302" s="55" cm="1">
        <f t="array" ref="F302">(VLOOKUP($A302,'The List'!$B1:$AH671,18,FALSE)-AVERAGE('The List'!S2:S671))/STDEV('The List'!S2:S671)</f>
        <v>6.8531175954083395E-2</v>
      </c>
      <c r="G302" s="55" cm="1">
        <f t="array" ref="G302">(VLOOKUP($A302,'The List'!$B1:$AH671,19,FALSE)-AVERAGE('The List'!T2:T671))/STDEV('The List'!T2:T671)</f>
        <v>-0.48735048086607047</v>
      </c>
      <c r="H302" s="55" cm="1">
        <f t="array" ref="H302">(VLOOKUP($A302,'The List'!$B1:$AH671,20,FALSE)-AVERAGE('The List'!U2:U671))/STDEV('The List'!U2:U671)</f>
        <v>-0.27622120852892684</v>
      </c>
      <c r="I302" s="55" cm="1">
        <f t="array" ref="I302">(VLOOKUP($A302,'The List'!$B1:$AH671,21,FALSE)-AVERAGE('The List'!V2:V671))/STDEV('The List'!V2:V671)</f>
        <v>-0.21449792429019154</v>
      </c>
      <c r="J302" s="55" cm="1">
        <f t="array" ref="J302">(VLOOKUP($A302,'The List'!$B1:$AH671,22,FALSE)-AVERAGE('The List'!W2:W671))/STDEV('The List'!W2:W671)</f>
        <v>-0.1088101795535006</v>
      </c>
      <c r="K302" s="55" cm="1">
        <f t="array" ref="K302">(VLOOKUP($A302,'The List'!$B1:$AH671,23,FALSE)-AVERAGE('The List'!X2:X671))/STDEV('The List'!X2:X671)</f>
        <v>-0.41967706321334725</v>
      </c>
      <c r="L302" s="55" cm="1">
        <f t="array" ref="L302">(VLOOKUP($A302,'The List'!$B1:$AH671,24,FALSE)-AVERAGE('The List'!Y2:Y671))/STDEV('The List'!Y2:Y671)</f>
        <v>-0.47546929358800777</v>
      </c>
      <c r="M302" s="55" cm="1">
        <f t="array" ref="M302">(VLOOKUP($A302,'The List'!$B1:$AH671,25,FALSE)-AVERAGE('The List'!Z2:Z671))/STDEV('The List'!Z2:Z671)</f>
        <v>-0.64388478613809508</v>
      </c>
      <c r="N302" s="55" cm="1">
        <f t="array" ref="N302">(VLOOKUP($A302,'The List'!$B1:$AH671,26,FALSE)-AVERAGE('The List'!AA2:AA671))/STDEV('The List'!AA2:AA671)</f>
        <v>-0.51653432649962006</v>
      </c>
      <c r="O302" s="55" cm="1">
        <f t="array" ref="O302">(VLOOKUP($A302,'The List'!$B1:$AH671,27,FALSE)-AVERAGE('The List'!AB2:AB671))/STDEV('The List'!AB2:AB671)</f>
        <v>-0.80289148633788254</v>
      </c>
      <c r="P302" s="55" cm="1">
        <f t="array" ref="P302">(VLOOKUP($A302,'The List'!$B1:$AH671,28,FALSE)-AVERAGE('The List'!AC2:AC671))/STDEV('The List'!AC2:AC671)</f>
        <v>1.0496882624883681</v>
      </c>
      <c r="Q302" s="55" cm="1">
        <f t="array" ref="Q302">(VLOOKUP($A302,'The List'!$B1:$AH671,29,FALSE)-AVERAGE('The List'!AD2:AD671))/STDEV('The List'!AD2:AD671)</f>
        <v>-1.0261603756548501</v>
      </c>
      <c r="R302" s="55" cm="1">
        <f t="array" ref="R302">(VLOOKUP($A302,'The List'!$B1:$AH671,30,FALSE)-AVERAGE('The List'!AE2:AE671))/STDEV('The List'!AE2:AE671)</f>
        <v>7.7764355980922711E-2</v>
      </c>
      <c r="S302" s="55" cm="1">
        <f t="array" ref="S302">(VLOOKUP($A302,'The List'!$B1:$AH671,31,FALSE)-AVERAGE('The List'!AF2:AF671))/STDEV('The List'!AF2:AF671)</f>
        <v>-0.39120175531919482</v>
      </c>
      <c r="T302" s="55" cm="1">
        <f t="array" ref="T302">(VLOOKUP($A302,'The List'!$B1:$AH671,32,FALSE)-AVERAGE('The List'!AG2:AG671))/STDEV('The List'!AG2:AG671)</f>
        <v>-0.46842876275444867</v>
      </c>
      <c r="U302" s="55" cm="1">
        <f t="array" ref="U302">(VLOOKUP($A302,'The List'!$B1:$AH671,33,FALSE)-AVERAGE('The List'!AH2:AH671))/STDEV('The List'!AH2:AH671)</f>
        <v>1.2746946840471525</v>
      </c>
      <c r="V302" s="55"/>
      <c r="W302" s="57"/>
      <c r="X302" s="57"/>
      <c r="Y302" s="57"/>
      <c r="Z302" s="57"/>
      <c r="AA302" s="57"/>
      <c r="AB302" s="57"/>
      <c r="AC302" s="60"/>
      <c r="AD302" s="61"/>
      <c r="AE302" s="55"/>
    </row>
    <row r="303" spans="1:31" ht="21.25" customHeight="1" x14ac:dyDescent="0.15">
      <c r="A303" s="10" t="s">
        <v>672</v>
      </c>
      <c r="B303" s="18" t="str" cm="1">
        <f t="array" ref="B303">VLOOKUP(A303,'Player Data'!A1:B673,2,FALSE)</f>
        <v>MTL</v>
      </c>
      <c r="C303" s="52" cm="1">
        <f t="array" ref="C303">((E303)*Settings!$C$12)+(F303*Settings!$C$2)+(G303*Settings!$C$3)+(H303*Settings!$C$4)+(I303*Settings!$C$5)+(K303*Settings!$C$9)+(N303*Settings!$C$6)+(J303*Settings!$C$8)+(O303*Settings!$C$7)+(P303*Settings!$C$14)+(Q303*Settings!$C$15)+(R303*Settings!$C$16)+(S303*Settings!$C$17)+(T303*Settings!$C$18)+(U303*Settings!$C$19)+(L303*Settings!$C$10)+(Settings!$C$11*M303)</f>
        <v>-1.8102459853513537</v>
      </c>
      <c r="D303" s="57" cm="1">
        <f t="array" ref="D303">IF(Settings!$E$12="YES",VLOOKUP(A303,'Player Data'!A1:E673,5,FALSE),82)</f>
        <v>65</v>
      </c>
      <c r="E303" s="55" cm="1">
        <f t="array" ref="E303">(VLOOKUP($A303,'The List'!$B1:$AH671,17,FALSE)-AVERAGE('The List'!R2:R671))/STDEV('The List'!R2:R671)</f>
        <v>-0.73826508093714915</v>
      </c>
      <c r="F303" s="55" cm="1">
        <f t="array" ref="F303">(VLOOKUP($A303,'The List'!$B1:$AH671,18,FALSE)-AVERAGE('The List'!S2:S671))/STDEV('The List'!S2:S671)</f>
        <v>-0.20490419223360318</v>
      </c>
      <c r="G303" s="55" cm="1">
        <f t="array" ref="G303">(VLOOKUP($A303,'The List'!$B1:$AH671,19,FALSE)-AVERAGE('The List'!T2:T671))/STDEV('The List'!T2:T671)</f>
        <v>-0.79444555968767527</v>
      </c>
      <c r="H303" s="55" cm="1">
        <f t="array" ref="H303">(VLOOKUP($A303,'The List'!$B1:$AH671,20,FALSE)-AVERAGE('The List'!U2:U671))/STDEV('The List'!U2:U671)</f>
        <v>-0.59053447969125084</v>
      </c>
      <c r="I303" s="55" cm="1">
        <f t="array" ref="I303">(VLOOKUP($A303,'The List'!$B1:$AH671,21,FALSE)-AVERAGE('The List'!V2:V671))/STDEV('The List'!V2:V671)</f>
        <v>-0.7017165918069902</v>
      </c>
      <c r="J303" s="55" cm="1">
        <f t="array" ref="J303">(VLOOKUP($A303,'The List'!$B1:$AH671,22,FALSE)-AVERAGE('The List'!W2:W671))/STDEV('The List'!W2:W671)</f>
        <v>-0.55901110675582955</v>
      </c>
      <c r="K303" s="55" cm="1">
        <f t="array" ref="K303">(VLOOKUP($A303,'The List'!$B1:$AH671,23,FALSE)-AVERAGE('The List'!X2:X671))/STDEV('The List'!X2:X671)</f>
        <v>-0.40962769640295021</v>
      </c>
      <c r="L303" s="55" cm="1">
        <f t="array" ref="L303">(VLOOKUP($A303,'The List'!$B1:$AH671,24,FALSE)-AVERAGE('The List'!Y2:Y671))/STDEV('The List'!Y2:Y671)</f>
        <v>-0.47546929358800777</v>
      </c>
      <c r="M303" s="55" cm="1">
        <f t="array" ref="M303">(VLOOKUP($A303,'The List'!$B1:$AH671,25,FALSE)-AVERAGE('The List'!Z2:Z671))/STDEV('The List'!Z2:Z671)</f>
        <v>-0.64388478613809508</v>
      </c>
      <c r="N303" s="55" cm="1">
        <f t="array" ref="N303">(VLOOKUP($A303,'The List'!$B1:$AH671,26,FALSE)-AVERAGE('The List'!AA2:AA671))/STDEV('The List'!AA2:AA671)</f>
        <v>-0.52726153012740506</v>
      </c>
      <c r="O303" s="55" cm="1">
        <f t="array" ref="O303">(VLOOKUP($A303,'The List'!$B1:$AH671,27,FALSE)-AVERAGE('The List'!AB2:AB671))/STDEV('The List'!AB2:AB671)</f>
        <v>0.1232417633421873</v>
      </c>
      <c r="P303" s="55" cm="1">
        <f t="array" ref="P303">(VLOOKUP($A303,'The List'!$B1:$AH671,28,FALSE)-AVERAGE('The List'!AC2:AC671))/STDEV('The List'!AC2:AC671)</f>
        <v>0.1772062914376778</v>
      </c>
      <c r="Q303" s="55" cm="1">
        <f t="array" ref="Q303">(VLOOKUP($A303,'The List'!$B1:$AH671,29,FALSE)-AVERAGE('The List'!AD2:AD671))/STDEV('The List'!AD2:AD671)</f>
        <v>0.41162996311824718</v>
      </c>
      <c r="R303" s="55" cm="1">
        <f t="array" ref="R303">(VLOOKUP($A303,'The List'!$B1:$AH671,30,FALSE)-AVERAGE('The List'!AE2:AE671))/STDEV('The List'!AE2:AE671)</f>
        <v>-0.12808928068922432</v>
      </c>
      <c r="S303" s="55" cm="1">
        <f t="array" ref="S303">(VLOOKUP($A303,'The List'!$B1:$AH671,31,FALSE)-AVERAGE('The List'!AF2:AF671))/STDEV('The List'!AF2:AF671)</f>
        <v>-0.16769064931744793</v>
      </c>
      <c r="T303" s="55" cm="1">
        <f t="array" ref="T303">(VLOOKUP($A303,'The List'!$B1:$AH671,32,FALSE)-AVERAGE('The List'!AG2:AG671))/STDEV('The List'!AG2:AG671)</f>
        <v>1.3278796280057034E-2</v>
      </c>
      <c r="U303" s="55" cm="1">
        <f t="array" ref="U303">(VLOOKUP($A303,'The List'!$B1:$AH671,33,FALSE)-AVERAGE('The List'!AH2:AH671))/STDEV('The List'!AH2:AH671)</f>
        <v>0.63070553979323463</v>
      </c>
      <c r="V303" s="55"/>
      <c r="W303" s="57"/>
      <c r="X303" s="55"/>
      <c r="Y303" s="55"/>
      <c r="Z303" s="55"/>
      <c r="AA303" s="55"/>
      <c r="AB303" s="55"/>
      <c r="AC303" s="55"/>
      <c r="AD303" s="55"/>
      <c r="AE303" s="55"/>
    </row>
    <row r="304" spans="1:31" ht="21.25" customHeight="1" x14ac:dyDescent="0.15">
      <c r="A304" s="10" t="s">
        <v>671</v>
      </c>
      <c r="B304" s="18" t="str" cm="1">
        <f t="array" ref="B304">VLOOKUP(A304,'Player Data'!A1:B673,2,FALSE)</f>
        <v>MTL</v>
      </c>
      <c r="C304" s="52" cm="1">
        <f t="array" ref="C304">((E304)*Settings!$C$12)+(F304*Settings!$C$2)+(G304*Settings!$C$3)+(H304*Settings!$C$4)+(I304*Settings!$C$5)+(K304*Settings!$C$9)+(N304*Settings!$C$6)+(J304*Settings!$C$8)+(O304*Settings!$C$7)+(P304*Settings!$C$14)+(Q304*Settings!$C$15)+(R304*Settings!$C$16)+(S304*Settings!$C$17)+(T304*Settings!$C$18)+(U304*Settings!$C$19)+(L304*Settings!$C$10)+(Settings!$C$11*M304)</f>
        <v>-1.7036081245795029</v>
      </c>
      <c r="D304" s="57" cm="1">
        <f t="array" ref="D304">IF(Settings!$E$12="YES",VLOOKUP(A304,'Player Data'!A1:E673,5,FALSE),82)</f>
        <v>71</v>
      </c>
      <c r="E304" s="55" cm="1">
        <f t="array" ref="E304">(VLOOKUP($A304,'The List'!$B1:$AH671,17,FALSE)-AVERAGE('The List'!R2:R671))/STDEV('The List'!R2:R671)</f>
        <v>-0.92188985216760311</v>
      </c>
      <c r="F304" s="55" cm="1">
        <f t="array" ref="F304">(VLOOKUP($A304,'The List'!$B1:$AH671,18,FALSE)-AVERAGE('The List'!S2:S671))/STDEV('The List'!S2:S671)</f>
        <v>-0.23883412843207522</v>
      </c>
      <c r="G304" s="55" cm="1">
        <f t="array" ref="G304">(VLOOKUP($A304,'The List'!$B1:$AH671,19,FALSE)-AVERAGE('The List'!T2:T671))/STDEV('The List'!T2:T671)</f>
        <v>-0.56465130162208088</v>
      </c>
      <c r="H304" s="55" cm="1">
        <f t="array" ref="H304">(VLOOKUP($A304,'The List'!$B1:$AH671,20,FALSE)-AVERAGE('The List'!U2:U671))/STDEV('The List'!U2:U671)</f>
        <v>-0.46100735106880225</v>
      </c>
      <c r="I304" s="55" cm="1">
        <f t="array" ref="I304">(VLOOKUP($A304,'The List'!$B1:$AH671,21,FALSE)-AVERAGE('The List'!V2:V671))/STDEV('The List'!V2:V671)</f>
        <v>-0.50354644583473185</v>
      </c>
      <c r="J304" s="55" cm="1">
        <f t="array" ref="J304">(VLOOKUP($A304,'The List'!$B1:$AH671,22,FALSE)-AVERAGE('The List'!W2:W671))/STDEV('The List'!W2:W671)</f>
        <v>-0.5424392934845782</v>
      </c>
      <c r="K304" s="55" cm="1">
        <f t="array" ref="K304">(VLOOKUP($A304,'The List'!$B1:$AH671,23,FALSE)-AVERAGE('The List'!X2:X671))/STDEV('The List'!X2:X671)</f>
        <v>-0.65885199330079636</v>
      </c>
      <c r="L304" s="55" cm="1">
        <f t="array" ref="L304">(VLOOKUP($A304,'The List'!$B1:$AH671,24,FALSE)-AVERAGE('The List'!Y2:Y671))/STDEV('The List'!Y2:Y671)</f>
        <v>-0.47546929358800777</v>
      </c>
      <c r="M304" s="55" cm="1">
        <f t="array" ref="M304">(VLOOKUP($A304,'The List'!$B1:$AH671,25,FALSE)-AVERAGE('The List'!Z2:Z671))/STDEV('The List'!Z2:Z671)</f>
        <v>-0.64388478613809508</v>
      </c>
      <c r="N304" s="55" cm="1">
        <f t="array" ref="N304">(VLOOKUP($A304,'The List'!$B1:$AH671,26,FALSE)-AVERAGE('The List'!AA2:AA671))/STDEV('The List'!AA2:AA671)</f>
        <v>-1.0245440411583029</v>
      </c>
      <c r="O304" s="55" cm="1">
        <f t="array" ref="O304">(VLOOKUP($A304,'The List'!$B1:$AH671,27,FALSE)-AVERAGE('The List'!AB2:AB671))/STDEV('The List'!AB2:AB671)</f>
        <v>-9.5069859258360506E-2</v>
      </c>
      <c r="P304" s="55" cm="1">
        <f t="array" ref="P304">(VLOOKUP($A304,'The List'!$B1:$AH671,28,FALSE)-AVERAGE('The List'!AC2:AC671))/STDEV('The List'!AC2:AC671)</f>
        <v>0.35734560386854169</v>
      </c>
      <c r="Q304" s="55" cm="1">
        <f t="array" ref="Q304">(VLOOKUP($A304,'The List'!$B1:$AH671,29,FALSE)-AVERAGE('The List'!AD2:AD671))/STDEV('The List'!AD2:AD671)</f>
        <v>-0.53778452060396764</v>
      </c>
      <c r="R304" s="55" cm="1">
        <f t="array" ref="R304">(VLOOKUP($A304,'The List'!$B1:$AH671,30,FALSE)-AVERAGE('The List'!AE2:AE671))/STDEV('The List'!AE2:AE671)</f>
        <v>-1.5805478869144109E-2</v>
      </c>
      <c r="S304" s="55" cm="1">
        <f t="array" ref="S304">(VLOOKUP($A304,'The List'!$B1:$AH671,31,FALSE)-AVERAGE('The List'!AF2:AF671))/STDEV('The List'!AF2:AF671)</f>
        <v>-0.57533759872351631</v>
      </c>
      <c r="T304" s="55" cm="1">
        <f t="array" ref="T304">(VLOOKUP($A304,'The List'!$B1:$AH671,32,FALSE)-AVERAGE('The List'!AG2:AG671))/STDEV('The List'!AG2:AG671)</f>
        <v>-0.5707514299717581</v>
      </c>
      <c r="U304" s="55" cm="1">
        <f t="array" ref="U304">(VLOOKUP($A304,'The List'!$B1:$AH671,33,FALSE)-AVERAGE('The List'!AH2:AH671))/STDEV('The List'!AH2:AH671)</f>
        <v>-0.24327972740851045</v>
      </c>
      <c r="V304" s="55"/>
      <c r="W304" s="77"/>
      <c r="X304" s="57"/>
      <c r="Y304" s="57"/>
      <c r="Z304" s="57"/>
      <c r="AA304" s="57"/>
      <c r="AB304" s="57"/>
      <c r="AC304" s="60"/>
      <c r="AD304" s="61"/>
      <c r="AE304" s="55"/>
    </row>
    <row r="305" spans="1:31" ht="21.25" customHeight="1" x14ac:dyDescent="0.15">
      <c r="A305" s="10" t="s">
        <v>224</v>
      </c>
      <c r="B305" s="18" t="str" cm="1">
        <f t="array" ref="B305">VLOOKUP(A305,'Player Data'!A1:B673,2,FALSE)</f>
        <v>UTA</v>
      </c>
      <c r="C305" s="52" cm="1">
        <f t="array" ref="C305">((E305)*Settings!$C$12)+(F305*Settings!$C$2)+(G305*Settings!$C$3)+(H305*Settings!$C$4)+(I305*Settings!$C$5)+(K305*Settings!$C$9)+(N305*Settings!$C$6)+(J305*Settings!$C$8)+(O305*Settings!$C$7)+(P305*Settings!$C$14)+(Q305*Settings!$C$15)+(R305*Settings!$C$16)+(S305*Settings!$C$17)+(T305*Settings!$C$18)+(U305*Settings!$C$19)+(L305*Settings!$C$10)+(Settings!$C$11*M305)</f>
        <v>1.1306909830498044</v>
      </c>
      <c r="D305" s="57" cm="1">
        <f t="array" ref="D305">IF(Settings!$E$12="YES",VLOOKUP(A305,'Player Data'!A1:E673,5,FALSE),82)</f>
        <v>83</v>
      </c>
      <c r="E305" s="55" cm="1">
        <f t="array" ref="E305">(VLOOKUP($A305,'The List'!$B1:$AH671,17,FALSE)-AVERAGE('The List'!R2:R671))/STDEV('The List'!R2:R671)</f>
        <v>1.4914642840040795</v>
      </c>
      <c r="F305" s="55" cm="1">
        <f t="array" ref="F305">(VLOOKUP($A305,'The List'!$B1:$AH671,18,FALSE)-AVERAGE('The List'!S2:S671))/STDEV('The List'!S2:S671)</f>
        <v>-0.79269043990713361</v>
      </c>
      <c r="G305" s="55" cm="1">
        <f t="array" ref="G305">(VLOOKUP($A305,'The List'!$B1:$AH671,19,FALSE)-AVERAGE('The List'!T2:T671))/STDEV('The List'!T2:T671)</f>
        <v>0.14581351459906919</v>
      </c>
      <c r="H305" s="55" cm="1">
        <f t="array" ref="H305">(VLOOKUP($A305,'The List'!$B1:$AH671,20,FALSE)-AVERAGE('The List'!U2:U671))/STDEV('The List'!U2:U671)</f>
        <v>-0.25942246829802895</v>
      </c>
      <c r="I305" s="55" cm="1">
        <f t="array" ref="I305">(VLOOKUP($A305,'The List'!$B1:$AH671,21,FALSE)-AVERAGE('The List'!V2:V671))/STDEV('The List'!V2:V671)</f>
        <v>0.41145712266490148</v>
      </c>
      <c r="J305" s="55" cm="1">
        <f t="array" ref="J305">(VLOOKUP($A305,'The List'!$B1:$AH671,22,FALSE)-AVERAGE('The List'!W2:W671))/STDEV('The List'!W2:W671)</f>
        <v>-0.5092956669420754</v>
      </c>
      <c r="K305" s="55" cm="1">
        <f t="array" ref="K305">(VLOOKUP($A305,'The List'!$B1:$AH671,23,FALSE)-AVERAGE('The List'!X2:X671))/STDEV('The List'!X2:X671)</f>
        <v>-5.08653012717767E-2</v>
      </c>
      <c r="L305" s="55" cm="1">
        <f t="array" ref="L305">(VLOOKUP($A305,'The List'!$B1:$AH671,24,FALSE)-AVERAGE('The List'!Y2:Y671))/STDEV('The List'!Y2:Y671)</f>
        <v>-0.47546929358800777</v>
      </c>
      <c r="M305" s="55" cm="1">
        <f t="array" ref="M305">(VLOOKUP($A305,'The List'!$B1:$AH671,25,FALSE)-AVERAGE('The List'!Z2:Z671))/STDEV('The List'!Z2:Z671)</f>
        <v>1.1599035105660132</v>
      </c>
      <c r="N305" s="55" cm="1">
        <f t="array" ref="N305">(VLOOKUP($A305,'The List'!$B1:$AH671,26,FALSE)-AVERAGE('The List'!AA2:AA671))/STDEV('The List'!AA2:AA671)</f>
        <v>2.9560147335805489</v>
      </c>
      <c r="O305" s="55" cm="1">
        <f t="array" ref="O305">(VLOOKUP($A305,'The List'!$B1:$AH671,27,FALSE)-AVERAGE('The List'!AB2:AB671))/STDEV('The List'!AB2:AB671)</f>
        <v>1.7020550189942232</v>
      </c>
      <c r="P305" s="55" cm="1">
        <f t="array" ref="P305">(VLOOKUP($A305,'The List'!$B1:$AH671,28,FALSE)-AVERAGE('The List'!AC2:AC671))/STDEV('The List'!AC2:AC671)</f>
        <v>-0.28507893202947904</v>
      </c>
      <c r="Q305" s="55" cm="1">
        <f t="array" ref="Q305">(VLOOKUP($A305,'The List'!$B1:$AH671,29,FALSE)-AVERAGE('The List'!AD2:AD671))/STDEV('The List'!AD2:AD671)</f>
        <v>1.1829830533952839</v>
      </c>
      <c r="R305" s="55" cm="1">
        <f t="array" ref="R305">(VLOOKUP($A305,'The List'!$B1:$AH671,30,FALSE)-AVERAGE('The List'!AE2:AE671))/STDEV('The List'!AE2:AE671)</f>
        <v>-0.82674404756972364</v>
      </c>
      <c r="S305" s="55" cm="1">
        <f t="array" ref="S305">(VLOOKUP($A305,'The List'!$B1:$AH671,31,FALSE)-AVERAGE('The List'!AF2:AF671))/STDEV('The List'!AF2:AF671)</f>
        <v>-0.59581850454342256</v>
      </c>
      <c r="T305" s="55" cm="1">
        <f t="array" ref="T305">(VLOOKUP($A305,'The List'!$B1:$AH671,32,FALSE)-AVERAGE('The List'!AG2:AG671))/STDEV('The List'!AG2:AG671)</f>
        <v>-0.64684275008198677</v>
      </c>
      <c r="U305" s="55" cm="1">
        <f t="array" ref="U305">(VLOOKUP($A305,'The List'!$B1:$AH671,33,FALSE)-AVERAGE('The List'!AH2:AH671))/STDEV('The List'!AH2:AH671)</f>
        <v>-1.2552626683789523</v>
      </c>
      <c r="V305" s="55"/>
      <c r="W305" s="77"/>
      <c r="X305" s="57"/>
      <c r="Y305" s="57"/>
      <c r="Z305" s="57"/>
      <c r="AA305" s="57"/>
      <c r="AB305" s="57"/>
      <c r="AC305" s="60"/>
      <c r="AD305" s="61"/>
      <c r="AE305" s="55"/>
    </row>
    <row r="306" spans="1:31" ht="21.25" customHeight="1" x14ac:dyDescent="0.15">
      <c r="A306" s="10" t="s">
        <v>642</v>
      </c>
      <c r="B306" s="18" t="str" cm="1">
        <f t="array" ref="B306">VLOOKUP(A306,'Player Data'!A1:B673,2,FALSE)</f>
        <v>MIN</v>
      </c>
      <c r="C306" s="52" cm="1">
        <f t="array" ref="C306">((E306)*Settings!$C$12)+(F306*Settings!$C$2)+(G306*Settings!$C$3)+(H306*Settings!$C$4)+(I306*Settings!$C$5)+(K306*Settings!$C$9)+(N306*Settings!$C$6)+(J306*Settings!$C$8)+(O306*Settings!$C$7)+(P306*Settings!$C$14)+(Q306*Settings!$C$15)+(R306*Settings!$C$16)+(S306*Settings!$C$17)+(T306*Settings!$C$18)+(U306*Settings!$C$19)+(L306*Settings!$C$10)+(Settings!$C$11*M306)</f>
        <v>-1.1810132525968216</v>
      </c>
      <c r="D306" s="57" cm="1">
        <f t="array" ref="D306">IF(Settings!$E$12="YES",VLOOKUP(A306,'Player Data'!A1:E673,5,FALSE),82)</f>
        <v>80</v>
      </c>
      <c r="E306" s="55" cm="1">
        <f t="array" ref="E306">(VLOOKUP($A306,'The List'!$B1:$AH671,17,FALSE)-AVERAGE('The List'!R2:R671))/STDEV('The List'!R2:R671)</f>
        <v>-0.94812196234338264</v>
      </c>
      <c r="F306" s="55" cm="1">
        <f t="array" ref="F306">(VLOOKUP($A306,'The List'!$B1:$AH671,18,FALSE)-AVERAGE('The List'!S2:S671))/STDEV('The List'!S2:S671)</f>
        <v>6.4539418754263056E-2</v>
      </c>
      <c r="G306" s="55" cm="1">
        <f t="array" ref="G306">(VLOOKUP($A306,'The List'!$B1:$AH671,19,FALSE)-AVERAGE('The List'!T2:T671))/STDEV('The List'!T2:T671)</f>
        <v>-0.36929104552961806</v>
      </c>
      <c r="H306" s="55" cm="1">
        <f t="array" ref="H306">(VLOOKUP($A306,'The List'!$B1:$AH671,20,FALSE)-AVERAGE('The List'!U2:U671))/STDEV('The List'!U2:U671)</f>
        <v>-0.20372138226926276</v>
      </c>
      <c r="I306" s="55" cm="1">
        <f t="array" ref="I306">(VLOOKUP($A306,'The List'!$B1:$AH671,21,FALSE)-AVERAGE('The List'!V2:V671))/STDEV('The List'!V2:V671)</f>
        <v>-0.53931036930139087</v>
      </c>
      <c r="J306" s="55" cm="1">
        <f t="array" ref="J306">(VLOOKUP($A306,'The List'!$B1:$AH671,22,FALSE)-AVERAGE('The List'!W2:W671))/STDEV('The List'!W2:W671)</f>
        <v>-0.29662406329434943</v>
      </c>
      <c r="K306" s="55" cm="1">
        <f t="array" ref="K306">(VLOOKUP($A306,'The List'!$B1:$AH671,23,FALSE)-AVERAGE('The List'!X2:X671))/STDEV('The List'!X2:X671)</f>
        <v>-0.3191833951093771</v>
      </c>
      <c r="L306" s="55" cm="1">
        <f t="array" ref="L306">(VLOOKUP($A306,'The List'!$B1:$AH671,24,FALSE)-AVERAGE('The List'!Y2:Y671))/STDEV('The List'!Y2:Y671)</f>
        <v>-0.47546929358800777</v>
      </c>
      <c r="M306" s="55" cm="1">
        <f t="array" ref="M306">(VLOOKUP($A306,'The List'!$B1:$AH671,25,FALSE)-AVERAGE('The List'!Z2:Z671))/STDEV('The List'!Z2:Z671)</f>
        <v>-0.64388478613809508</v>
      </c>
      <c r="N306" s="55" cm="1">
        <f t="array" ref="N306">(VLOOKUP($A306,'The List'!$B1:$AH671,26,FALSE)-AVERAGE('The List'!AA2:AA671))/STDEV('The List'!AA2:AA671)</f>
        <v>-0.43786816656252869</v>
      </c>
      <c r="O306" s="55" cm="1">
        <f t="array" ref="O306">(VLOOKUP($A306,'The List'!$B1:$AH671,27,FALSE)-AVERAGE('The List'!AB2:AB671))/STDEV('The List'!AB2:AB671)</f>
        <v>-0.26008474770290557</v>
      </c>
      <c r="P306" s="55" cm="1">
        <f t="array" ref="P306">(VLOOKUP($A306,'The List'!$B1:$AH671,28,FALSE)-AVERAGE('The List'!AC2:AC671))/STDEV('The List'!AC2:AC671)</f>
        <v>0.24231688629220693</v>
      </c>
      <c r="Q306" s="55" cm="1">
        <f t="array" ref="Q306">(VLOOKUP($A306,'The List'!$B1:$AH671,29,FALSE)-AVERAGE('The List'!AD2:AD671))/STDEV('The List'!AD2:AD671)</f>
        <v>-0.24594115790336463</v>
      </c>
      <c r="R306" s="55" cm="1">
        <f t="array" ref="R306">(VLOOKUP($A306,'The List'!$B1:$AH671,30,FALSE)-AVERAGE('The List'!AE2:AE671))/STDEV('The List'!AE2:AE671)</f>
        <v>0.15262022386097629</v>
      </c>
      <c r="S306" s="55" cm="1">
        <f t="array" ref="S306">(VLOOKUP($A306,'The List'!$B1:$AH671,31,FALSE)-AVERAGE('The List'!AF2:AF671))/STDEV('The List'!AF2:AF671)</f>
        <v>0.94265329413498133</v>
      </c>
      <c r="T306" s="55" cm="1">
        <f t="array" ref="T306">(VLOOKUP($A306,'The List'!$B1:$AH671,32,FALSE)-AVERAGE('The List'!AG2:AG671))/STDEV('The List'!AG2:AG671)</f>
        <v>1.8558523124301605</v>
      </c>
      <c r="U306" s="55" cm="1">
        <f t="array" ref="U306">(VLOOKUP($A306,'The List'!$B1:$AH671,33,FALSE)-AVERAGE('The List'!AH2:AH671))/STDEV('The List'!AH2:AH671)</f>
        <v>0.53870709061410371</v>
      </c>
      <c r="V306" s="55"/>
      <c r="W306" s="57"/>
      <c r="X306" s="55"/>
      <c r="Y306" s="55"/>
      <c r="Z306" s="55"/>
      <c r="AA306" s="55"/>
      <c r="AB306" s="55"/>
      <c r="AC306" s="55"/>
      <c r="AD306" s="55"/>
      <c r="AE306" s="55"/>
    </row>
    <row r="307" spans="1:31" ht="21.25" customHeight="1" x14ac:dyDescent="0.15">
      <c r="A307" s="10" t="s">
        <v>644</v>
      </c>
      <c r="B307" s="18" t="str" cm="1">
        <f t="array" ref="B307">VLOOKUP(A307,'Player Data'!A1:B673,2,FALSE)</f>
        <v>TOR</v>
      </c>
      <c r="C307" s="52" cm="1">
        <f t="array" ref="C307">((E307)*Settings!$C$12)+(F307*Settings!$C$2)+(G307*Settings!$C$3)+(H307*Settings!$C$4)+(I307*Settings!$C$5)+(K307*Settings!$C$9)+(N307*Settings!$C$6)+(J307*Settings!$C$8)+(O307*Settings!$C$7)+(P307*Settings!$C$14)+(Q307*Settings!$C$15)+(R307*Settings!$C$16)+(S307*Settings!$C$17)+(T307*Settings!$C$18)+(U307*Settings!$C$19)+(L307*Settings!$C$10)+(Settings!$C$11*M307)</f>
        <v>-1.2401911603977114</v>
      </c>
      <c r="D307" s="57" cm="1">
        <f t="array" ref="D307">IF(Settings!$E$12="YES",VLOOKUP(A307,'Player Data'!A1:E673,5,FALSE),82)</f>
        <v>78</v>
      </c>
      <c r="E307" s="55" cm="1">
        <f t="array" ref="E307">(VLOOKUP($A307,'The List'!$B1:$AH671,17,FALSE)-AVERAGE('The List'!R2:R671))/STDEV('The List'!R2:R671)</f>
        <v>-0.60710453005825338</v>
      </c>
      <c r="F307" s="55" cm="1">
        <f t="array" ref="F307">(VLOOKUP($A307,'The List'!$B1:$AH671,18,FALSE)-AVERAGE('The List'!S2:S671))/STDEV('The List'!S2:S671)</f>
        <v>0.1842921347488706</v>
      </c>
      <c r="G307" s="55" cm="1">
        <f t="array" ref="G307">(VLOOKUP($A307,'The List'!$B1:$AH671,19,FALSE)-AVERAGE('The List'!T2:T671))/STDEV('The List'!T2:T671)</f>
        <v>-0.56605677109037178</v>
      </c>
      <c r="H307" s="55" cm="1">
        <f t="array" ref="H307">(VLOOKUP($A307,'The List'!$B1:$AH671,20,FALSE)-AVERAGE('The List'!U2:U671))/STDEV('The List'!U2:U671)</f>
        <v>-0.27445292008356892</v>
      </c>
      <c r="I307" s="55" cm="1">
        <f t="array" ref="I307">(VLOOKUP($A307,'The List'!$B1:$AH671,21,FALSE)-AVERAGE('The List'!V2:V671))/STDEV('The List'!V2:V671)</f>
        <v>-0.13571362911726237</v>
      </c>
      <c r="J307" s="55" cm="1">
        <f t="array" ref="J307">(VLOOKUP($A307,'The List'!$B1:$AH671,22,FALSE)-AVERAGE('The List'!W2:W671))/STDEV('The List'!W2:W671)</f>
        <v>-0.30767193880851701</v>
      </c>
      <c r="K307" s="55" cm="1">
        <f t="array" ref="K307">(VLOOKUP($A307,'The List'!$B1:$AH671,23,FALSE)-AVERAGE('The List'!X2:X671))/STDEV('The List'!X2:X671)</f>
        <v>-0.56639781864514382</v>
      </c>
      <c r="L307" s="55" cm="1">
        <f t="array" ref="L307">(VLOOKUP($A307,'The List'!$B1:$AH671,24,FALSE)-AVERAGE('The List'!Y2:Y671))/STDEV('The List'!Y2:Y671)</f>
        <v>-0.47546929358800777</v>
      </c>
      <c r="M307" s="55" cm="1">
        <f t="array" ref="M307">(VLOOKUP($A307,'The List'!$B1:$AH671,25,FALSE)-AVERAGE('The List'!Z2:Z671))/STDEV('The List'!Z2:Z671)</f>
        <v>0.20367838942166649</v>
      </c>
      <c r="N307" s="55" cm="1">
        <f t="array" ref="N307">(VLOOKUP($A307,'The List'!$B1:$AH671,26,FALSE)-AVERAGE('The List'!AA2:AA671))/STDEV('The List'!AA2:AA671)</f>
        <v>-0.72648102607198661</v>
      </c>
      <c r="O307" s="55" cm="1">
        <f t="array" ref="O307">(VLOOKUP($A307,'The List'!$B1:$AH671,27,FALSE)-AVERAGE('The List'!AB2:AB671))/STDEV('The List'!AB2:AB671)</f>
        <v>0.11791208992658697</v>
      </c>
      <c r="P307" s="55" cm="1">
        <f t="array" ref="P307">(VLOOKUP($A307,'The List'!$B1:$AH671,28,FALSE)-AVERAGE('The List'!AC2:AC671))/STDEV('The List'!AC2:AC671)</f>
        <v>-0.27422716622039084</v>
      </c>
      <c r="Q307" s="55" cm="1">
        <f t="array" ref="Q307">(VLOOKUP($A307,'The List'!$B1:$AH671,29,FALSE)-AVERAGE('The List'!AD2:AD671))/STDEV('The List'!AD2:AD671)</f>
        <v>-0.70254672283747266</v>
      </c>
      <c r="R307" s="55" cm="1">
        <f t="array" ref="R307">(VLOOKUP($A307,'The List'!$B1:$AH671,30,FALSE)-AVERAGE('The List'!AE2:AE671))/STDEV('The List'!AE2:AE671)</f>
        <v>0.1151922899209495</v>
      </c>
      <c r="S307" s="55" cm="1">
        <f t="array" ref="S307">(VLOOKUP($A307,'The List'!$B1:$AH671,31,FALSE)-AVERAGE('The List'!AF2:AF671))/STDEV('The List'!AF2:AF671)</f>
        <v>1.5041955006525987</v>
      </c>
      <c r="T307" s="55" cm="1">
        <f t="array" ref="T307">(VLOOKUP($A307,'The List'!$B1:$AH671,32,FALSE)-AVERAGE('The List'!AG2:AG671))/STDEV('The List'!AG2:AG671)</f>
        <v>1.375318529628073</v>
      </c>
      <c r="U307" s="55" cm="1">
        <f t="array" ref="U307">(VLOOKUP($A307,'The List'!$B1:$AH671,33,FALSE)-AVERAGE('The List'!AH2:AH671))/STDEV('The List'!AH2:AH671)</f>
        <v>1.1366970102784557</v>
      </c>
      <c r="V307" s="55"/>
      <c r="W307" s="77"/>
      <c r="X307" s="57"/>
      <c r="Y307" s="57"/>
      <c r="Z307" s="57"/>
      <c r="AA307" s="57"/>
      <c r="AB307" s="57"/>
      <c r="AC307" s="60"/>
      <c r="AD307" s="61"/>
      <c r="AE307" s="55"/>
    </row>
    <row r="308" spans="1:31" ht="21.25" customHeight="1" x14ac:dyDescent="0.15">
      <c r="A308" s="10" t="s">
        <v>422</v>
      </c>
      <c r="B308" s="18" t="str" cm="1">
        <f t="array" ref="B308">VLOOKUP(A308,'Player Data'!A1:B673,2,FALSE)</f>
        <v>UTA</v>
      </c>
      <c r="C308" s="52" cm="1">
        <f t="array" ref="C308">((E308)*Settings!$C$12)+(F308*Settings!$C$2)+(G308*Settings!$C$3)+(H308*Settings!$C$4)+(I308*Settings!$C$5)+(K308*Settings!$C$9)+(N308*Settings!$C$6)+(J308*Settings!$C$8)+(O308*Settings!$C$7)+(P308*Settings!$C$14)+(Q308*Settings!$C$15)+(R308*Settings!$C$16)+(S308*Settings!$C$17)+(T308*Settings!$C$18)+(U308*Settings!$C$19)+(L308*Settings!$C$10)+(Settings!$C$11*M308)</f>
        <v>-2.9919964507200811</v>
      </c>
      <c r="D308" s="57" cm="1">
        <f t="array" ref="D308">IF(Settings!$E$12="YES",VLOOKUP(A308,'Player Data'!A1:E673,5,FALSE),82)</f>
        <v>77</v>
      </c>
      <c r="E308" s="55" cm="1">
        <f t="array" ref="E308">(VLOOKUP($A308,'The List'!$B1:$AH671,17,FALSE)-AVERAGE('The List'!R2:R671))/STDEV('The List'!R2:R671)</f>
        <v>1.0192863008400543</v>
      </c>
      <c r="F308" s="55" cm="1">
        <f t="array" ref="F308">(VLOOKUP($A308,'The List'!$B1:$AH671,18,FALSE)-AVERAGE('The List'!S2:S671))/STDEV('The List'!S2:S671)</f>
        <v>-0.9882865426983255</v>
      </c>
      <c r="G308" s="55" cm="1">
        <f t="array" ref="G308">(VLOOKUP($A308,'The List'!$B1:$AH671,19,FALSE)-AVERAGE('The List'!T2:T671))/STDEV('The List'!T2:T671)</f>
        <v>0.17743657763561907</v>
      </c>
      <c r="H308" s="55" cm="1">
        <f t="array" ref="H308">(VLOOKUP($A308,'The List'!$B1:$AH671,20,FALSE)-AVERAGE('The List'!U2:U671))/STDEV('The List'!U2:U671)</f>
        <v>-0.32617535711028034</v>
      </c>
      <c r="I308" s="55" cm="1">
        <f t="array" ref="I308">(VLOOKUP($A308,'The List'!$B1:$AH671,21,FALSE)-AVERAGE('The List'!V2:V671))/STDEV('The List'!V2:V671)</f>
        <v>-1.146433205348919</v>
      </c>
      <c r="J308" s="55" cm="1">
        <f t="array" ref="J308">(VLOOKUP($A308,'The List'!$B1:$AH671,22,FALSE)-AVERAGE('The List'!W2:W671))/STDEV('The List'!W2:W671)</f>
        <v>-0.73853908386105271</v>
      </c>
      <c r="K308" s="55" cm="1">
        <f t="array" ref="K308">(VLOOKUP($A308,'The List'!$B1:$AH671,23,FALSE)-AVERAGE('The List'!X2:X671))/STDEV('The List'!X2:X671)</f>
        <v>-0.80155300200843405</v>
      </c>
      <c r="L308" s="55" cm="1">
        <f t="array" ref="L308">(VLOOKUP($A308,'The List'!$B1:$AH671,24,FALSE)-AVERAGE('The List'!Y2:Y671))/STDEV('The List'!Y2:Y671)</f>
        <v>-0.47546929358800777</v>
      </c>
      <c r="M308" s="55" cm="1">
        <f t="array" ref="M308">(VLOOKUP($A308,'The List'!$B1:$AH671,25,FALSE)-AVERAGE('The List'!Z2:Z671))/STDEV('The List'!Z2:Z671)</f>
        <v>0.192812194863208</v>
      </c>
      <c r="N308" s="55" cm="1">
        <f t="array" ref="N308">(VLOOKUP($A308,'The List'!$B1:$AH671,26,FALSE)-AVERAGE('The List'!AA2:AA671))/STDEV('The List'!AA2:AA671)</f>
        <v>0.54035064044740422</v>
      </c>
      <c r="O308" s="55" cm="1">
        <f t="array" ref="O308">(VLOOKUP($A308,'The List'!$B1:$AH671,27,FALSE)-AVERAGE('The List'!AB2:AB671))/STDEV('The List'!AB2:AB671)</f>
        <v>-0.96380662600119693</v>
      </c>
      <c r="P308" s="55" cm="1">
        <f t="array" ref="P308">(VLOOKUP($A308,'The List'!$B1:$AH671,28,FALSE)-AVERAGE('The List'!AC2:AC671))/STDEV('The List'!AC2:AC671)</f>
        <v>0.73064634770117531</v>
      </c>
      <c r="Q308" s="55" cm="1">
        <f t="array" ref="Q308">(VLOOKUP($A308,'The List'!$B1:$AH671,29,FALSE)-AVERAGE('The List'!AD2:AD671))/STDEV('The List'!AD2:AD671)</f>
        <v>-0.72397319756739031</v>
      </c>
      <c r="R308" s="55" cm="1">
        <f t="array" ref="R308">(VLOOKUP($A308,'The List'!$B1:$AH671,30,FALSE)-AVERAGE('The List'!AE2:AE671))/STDEV('The List'!AE2:AE671)</f>
        <v>-0.86417198150975039</v>
      </c>
      <c r="S308" s="55" cm="1">
        <f t="array" ref="S308">(VLOOKUP($A308,'The List'!$B1:$AH671,31,FALSE)-AVERAGE('The List'!AF2:AF671))/STDEV('The List'!AF2:AF671)</f>
        <v>-0.59581850454342256</v>
      </c>
      <c r="T308" s="55" cm="1">
        <f t="array" ref="T308">(VLOOKUP($A308,'The List'!$B1:$AH671,32,FALSE)-AVERAGE('The List'!AG2:AG671))/STDEV('The List'!AG2:AG671)</f>
        <v>-0.64684275008198677</v>
      </c>
      <c r="U308" s="55" cm="1">
        <f t="array" ref="U308">(VLOOKUP($A308,'The List'!$B1:$AH671,33,FALSE)-AVERAGE('The List'!AH2:AH671))/STDEV('The List'!AH2:AH671)</f>
        <v>-1.2552626683789523</v>
      </c>
      <c r="V308" s="55"/>
      <c r="W308" s="57"/>
      <c r="X308" s="55"/>
      <c r="Y308" s="55"/>
      <c r="Z308" s="55"/>
      <c r="AA308" s="55"/>
      <c r="AB308" s="55"/>
      <c r="AC308" s="55"/>
      <c r="AD308" s="55"/>
      <c r="AE308" s="55"/>
    </row>
    <row r="309" spans="1:31" ht="21.25" customHeight="1" x14ac:dyDescent="0.15">
      <c r="A309" s="10" t="s">
        <v>358</v>
      </c>
      <c r="B309" s="18" t="str" cm="1">
        <f t="array" ref="B309">VLOOKUP(A309,'Player Data'!A1:B673,2,FALSE)</f>
        <v>OTT</v>
      </c>
      <c r="C309" s="52" cm="1">
        <f t="array" ref="C309">((E309)*Settings!$C$12)+(F309*Settings!$C$2)+(G309*Settings!$C$3)+(H309*Settings!$C$4)+(I309*Settings!$C$5)+(K309*Settings!$C$9)+(N309*Settings!$C$6)+(J309*Settings!$C$8)+(O309*Settings!$C$7)+(P309*Settings!$C$14)+(Q309*Settings!$C$15)+(R309*Settings!$C$16)+(S309*Settings!$C$17)+(T309*Settings!$C$18)+(U309*Settings!$C$19)+(L309*Settings!$C$10)+(Settings!$C$11*M309)</f>
        <v>-0.90751934655258126</v>
      </c>
      <c r="D309" s="57" cm="1">
        <f t="array" ref="D309">IF(Settings!$E$12="YES",VLOOKUP(A309,'Player Data'!A1:E673,5,FALSE),82)</f>
        <v>81</v>
      </c>
      <c r="E309" s="55" cm="1">
        <f t="array" ref="E309">(VLOOKUP($A309,'The List'!$B1:$AH671,17,FALSE)-AVERAGE('The List'!R2:R671))/STDEV('The List'!R2:R671)</f>
        <v>0.33725143626979681</v>
      </c>
      <c r="F309" s="55" cm="1">
        <f t="array" ref="F309">(VLOOKUP($A309,'The List'!$B1:$AH671,18,FALSE)-AVERAGE('The List'!S2:S671))/STDEV('The List'!S2:S671)</f>
        <v>-0.80666159010650429</v>
      </c>
      <c r="G309" s="55" cm="1">
        <f t="array" ref="G309">(VLOOKUP($A309,'The List'!$B1:$AH671,19,FALSE)-AVERAGE('The List'!T2:T671))/STDEV('The List'!T2:T671)</f>
        <v>4.5322447616255708E-2</v>
      </c>
      <c r="H309" s="55" cm="1">
        <f t="array" ref="H309">(VLOOKUP($A309,'The List'!$B1:$AH671,20,FALSE)-AVERAGE('The List'!U2:U671))/STDEV('The List'!U2:U671)</f>
        <v>-0.32882778977831695</v>
      </c>
      <c r="I309" s="55" cm="1">
        <f t="array" ref="I309">(VLOOKUP($A309,'The List'!$B1:$AH671,21,FALSE)-AVERAGE('The List'!V2:V671))/STDEV('The List'!V2:V671)</f>
        <v>-0.30883175140514607</v>
      </c>
      <c r="J309" s="55" cm="1">
        <f t="array" ref="J309">(VLOOKUP($A309,'The List'!$B1:$AH671,22,FALSE)-AVERAGE('The List'!W2:W671))/STDEV('The List'!W2:W671)</f>
        <v>-0.73853908386105271</v>
      </c>
      <c r="K309" s="55" cm="1">
        <f t="array" ref="K309">(VLOOKUP($A309,'The List'!$B1:$AH671,23,FALSE)-AVERAGE('The List'!X2:X671))/STDEV('The List'!X2:X671)</f>
        <v>-0.63875325968000229</v>
      </c>
      <c r="L309" s="55" cm="1">
        <f t="array" ref="L309">(VLOOKUP($A309,'The List'!$B1:$AH671,24,FALSE)-AVERAGE('The List'!Y2:Y671))/STDEV('The List'!Y2:Y671)</f>
        <v>-0.47546929358800777</v>
      </c>
      <c r="M309" s="55" cm="1">
        <f t="array" ref="M309">(VLOOKUP($A309,'The List'!$B1:$AH671,25,FALSE)-AVERAGE('The List'!Z2:Z671))/STDEV('The List'!Z2:Z671)</f>
        <v>-0.64388478613809508</v>
      </c>
      <c r="N309" s="55" cm="1">
        <f t="array" ref="N309">(VLOOKUP($A309,'The List'!$B1:$AH671,26,FALSE)-AVERAGE('The List'!AA2:AA671))/STDEV('The List'!AA2:AA671)</f>
        <v>0.36309637097876335</v>
      </c>
      <c r="O309" s="55" cm="1">
        <f t="array" ref="O309">(VLOOKUP($A309,'The List'!$B1:$AH671,27,FALSE)-AVERAGE('The List'!AB2:AB671))/STDEV('The List'!AB2:AB671)</f>
        <v>-0.32424581612917003</v>
      </c>
      <c r="P309" s="55" cm="1">
        <f t="array" ref="P309">(VLOOKUP($A309,'The List'!$B1:$AH671,28,FALSE)-AVERAGE('The List'!AC2:AC671))/STDEV('The List'!AC2:AC671)</f>
        <v>1.1256506231519856</v>
      </c>
      <c r="Q309" s="55" cm="1">
        <f t="array" ref="Q309">(VLOOKUP($A309,'The List'!$B1:$AH671,29,FALSE)-AVERAGE('The List'!AD2:AD671))/STDEV('The List'!AD2:AD671)</f>
        <v>-0.63826729864771947</v>
      </c>
      <c r="R309" s="55" cm="1">
        <f t="array" ref="R309">(VLOOKUP($A309,'The List'!$B1:$AH671,30,FALSE)-AVERAGE('The List'!AE2:AE671))/STDEV('The List'!AE2:AE671)</f>
        <v>-0.83922002554973252</v>
      </c>
      <c r="S309" s="55" cm="1">
        <f t="array" ref="S309">(VLOOKUP($A309,'The List'!$B1:$AH671,31,FALSE)-AVERAGE('The List'!AF2:AF671))/STDEV('The List'!AF2:AF671)</f>
        <v>-0.59581850454342256</v>
      </c>
      <c r="T309" s="55" cm="1">
        <f t="array" ref="T309">(VLOOKUP($A309,'The List'!$B1:$AH671,32,FALSE)-AVERAGE('The List'!AG2:AG671))/STDEV('The List'!AG2:AG671)</f>
        <v>-0.64684275008198677</v>
      </c>
      <c r="U309" s="55" cm="1">
        <f t="array" ref="U309">(VLOOKUP($A309,'The List'!$B1:$AH671,33,FALSE)-AVERAGE('The List'!AH2:AH671))/STDEV('The List'!AH2:AH671)</f>
        <v>-1.2552626683789523</v>
      </c>
      <c r="V309" s="55"/>
      <c r="W309" s="77"/>
      <c r="X309" s="57"/>
      <c r="Y309" s="57"/>
      <c r="Z309" s="57"/>
      <c r="AA309" s="57"/>
      <c r="AB309" s="57"/>
      <c r="AC309" s="60"/>
      <c r="AD309" s="61"/>
      <c r="AE309" s="55"/>
    </row>
    <row r="310" spans="1:31" ht="21.25" customHeight="1" x14ac:dyDescent="0.15">
      <c r="A310" s="10" t="s">
        <v>702</v>
      </c>
      <c r="B310" s="18" t="str" cm="1">
        <f t="array" ref="B310">VLOOKUP(A310,'Player Data'!A1:B673,2,FALSE)</f>
        <v>PHI</v>
      </c>
      <c r="C310" s="52" cm="1">
        <f t="array" ref="C310">((E310)*Settings!$C$12)+(F310*Settings!$C$2)+(G310*Settings!$C$3)+(H310*Settings!$C$4)+(I310*Settings!$C$5)+(K310*Settings!$C$9)+(N310*Settings!$C$6)+(J310*Settings!$C$8)+(O310*Settings!$C$7)+(P310*Settings!$C$14)+(Q310*Settings!$C$15)+(R310*Settings!$C$16)+(S310*Settings!$C$17)+(T310*Settings!$C$18)+(U310*Settings!$C$19)+(L310*Settings!$C$10)+(Settings!$C$11*M310)</f>
        <v>-1.9006701707233571</v>
      </c>
      <c r="D310" s="57" cm="1">
        <f t="array" ref="D310">IF(Settings!$E$12="YES",VLOOKUP(A310,'Player Data'!A1:E673,5,FALSE),82)</f>
        <v>70</v>
      </c>
      <c r="E310" s="55" cm="1">
        <f t="array" ref="E310">(VLOOKUP($A310,'The List'!$B1:$AH671,17,FALSE)-AVERAGE('The List'!R2:R671))/STDEV('The List'!R2:R671)</f>
        <v>-1.0530504030464989</v>
      </c>
      <c r="F310" s="55" cm="1">
        <f t="array" ref="F310">(VLOOKUP($A310,'The List'!$B1:$AH671,18,FALSE)-AVERAGE('The List'!S2:S671))/STDEV('The List'!S2:S671)</f>
        <v>-0.32465690822821036</v>
      </c>
      <c r="G310" s="55" cm="1">
        <f t="array" ref="G310">(VLOOKUP($A310,'The List'!$B1:$AH671,19,FALSE)-AVERAGE('The List'!T2:T671))/STDEV('The List'!T2:T671)</f>
        <v>-0.3341543088223406</v>
      </c>
      <c r="H310" s="55" cm="1">
        <f t="array" ref="H310">(VLOOKUP($A310,'The List'!$B1:$AH671,20,FALSE)-AVERAGE('The List'!U2:U671))/STDEV('The List'!U2:U671)</f>
        <v>-0.35402590012466362</v>
      </c>
      <c r="I310" s="55" cm="1">
        <f t="array" ref="I310">(VLOOKUP($A310,'The List'!$B1:$AH671,21,FALSE)-AVERAGE('The List'!V2:V671))/STDEV('The List'!V2:V671)</f>
        <v>-0.82956829888586636</v>
      </c>
      <c r="J310" s="55" cm="1">
        <f t="array" ref="J310">(VLOOKUP($A310,'The List'!$B1:$AH671,22,FALSE)-AVERAGE('The List'!W2:W671))/STDEV('The List'!W2:W671)</f>
        <v>-0.15852561936725465</v>
      </c>
      <c r="K310" s="55" cm="1">
        <f t="array" ref="K310">(VLOOKUP($A310,'The List'!$B1:$AH671,23,FALSE)-AVERAGE('The List'!X2:X671))/STDEV('The List'!X2:X671)</f>
        <v>-0.16844289295342182</v>
      </c>
      <c r="L310" s="55" cm="1">
        <f t="array" ref="L310">(VLOOKUP($A310,'The List'!$B1:$AH671,24,FALSE)-AVERAGE('The List'!Y2:Y671))/STDEV('The List'!Y2:Y671)</f>
        <v>-0.47546929358800777</v>
      </c>
      <c r="M310" s="55" cm="1">
        <f t="array" ref="M310">(VLOOKUP($A310,'The List'!$B1:$AH671,25,FALSE)-AVERAGE('The List'!Z2:Z671))/STDEV('The List'!Z2:Z671)</f>
        <v>-0.64388478613809508</v>
      </c>
      <c r="N310" s="55" cm="1">
        <f t="array" ref="N310">(VLOOKUP($A310,'The List'!$B1:$AH671,26,FALSE)-AVERAGE('The List'!AA2:AA671))/STDEV('The List'!AA2:AA671)</f>
        <v>-0.83630715845169179</v>
      </c>
      <c r="O310" s="55" cm="1">
        <f t="array" ref="O310">(VLOOKUP($A310,'The List'!$B1:$AH671,27,FALSE)-AVERAGE('The List'!AB2:AB671))/STDEV('The List'!AB2:AB671)</f>
        <v>-0.29083286356213767</v>
      </c>
      <c r="P310" s="55" cm="1">
        <f t="array" ref="P310">(VLOOKUP($A310,'The List'!$B1:$AH671,28,FALSE)-AVERAGE('The List'!AC2:AC671))/STDEV('The List'!AC2:AC671)</f>
        <v>4.6985101728619541E-2</v>
      </c>
      <c r="Q310" s="55" cm="1">
        <f t="array" ref="Q310">(VLOOKUP($A310,'The List'!$B1:$AH671,29,FALSE)-AVERAGE('The List'!AD2:AD671))/STDEV('The List'!AD2:AD671)</f>
        <v>-0.71880128987396164</v>
      </c>
      <c r="R310" s="55" cm="1">
        <f t="array" ref="R310">(VLOOKUP($A310,'The List'!$B1:$AH671,30,FALSE)-AVERAGE('The List'!AE2:AE671))/STDEV('The List'!AE2:AE671)</f>
        <v>-0.47117867513946943</v>
      </c>
      <c r="S310" s="55" cm="1">
        <f t="array" ref="S310">(VLOOKUP($A310,'The List'!$B1:$AH671,31,FALSE)-AVERAGE('The List'!AF2:AF671))/STDEV('The List'!AF2:AF671)</f>
        <v>-0.54533739864928743</v>
      </c>
      <c r="T310" s="55" cm="1">
        <f t="array" ref="T310">(VLOOKUP($A310,'The List'!$B1:$AH671,32,FALSE)-AVERAGE('The List'!AG2:AG671))/STDEV('The List'!AG2:AG671)</f>
        <v>-0.56110605136623615</v>
      </c>
      <c r="U310" s="55" cm="1">
        <f t="array" ref="U310">(VLOOKUP($A310,'The List'!$B1:$AH671,33,FALSE)-AVERAGE('The List'!AH2:AH671))/STDEV('The List'!AH2:AH671)</f>
        <v>0.53870709061410371</v>
      </c>
      <c r="V310" s="55"/>
      <c r="W310" s="77"/>
      <c r="X310" s="57"/>
      <c r="Y310" s="57"/>
      <c r="Z310" s="57"/>
      <c r="AA310" s="57"/>
      <c r="AB310" s="57"/>
      <c r="AC310" s="60"/>
      <c r="AD310" s="61"/>
      <c r="AE310" s="55"/>
    </row>
    <row r="311" spans="1:31" ht="21.25" customHeight="1" x14ac:dyDescent="0.15">
      <c r="A311" s="10" t="s">
        <v>591</v>
      </c>
      <c r="B311" s="18" t="str" cm="1">
        <f t="array" ref="B311">VLOOKUP(A311,'Player Data'!A1:B673,2,FALSE)</f>
        <v>L.A</v>
      </c>
      <c r="C311" s="52" cm="1">
        <f t="array" ref="C311">((E311)*Settings!$C$12)+(F311*Settings!$C$2)+(G311*Settings!$C$3)+(H311*Settings!$C$4)+(I311*Settings!$C$5)+(K311*Settings!$C$9)+(N311*Settings!$C$6)+(J311*Settings!$C$8)+(O311*Settings!$C$7)+(P311*Settings!$C$14)+(Q311*Settings!$C$15)+(R311*Settings!$C$16)+(S311*Settings!$C$17)+(T311*Settings!$C$18)+(U311*Settings!$C$19)+(L311*Settings!$C$10)+(Settings!$C$11*M311)</f>
        <v>-0.21289213266009155</v>
      </c>
      <c r="D311" s="57" cm="1">
        <f t="array" ref="D311">IF(Settings!$E$12="YES",VLOOKUP(A311,'Player Data'!A1:E673,5,FALSE),82)</f>
        <v>81</v>
      </c>
      <c r="E311" s="55" cm="1">
        <f t="array" ref="E311">(VLOOKUP($A311,'The List'!$B1:$AH671,17,FALSE)-AVERAGE('The List'!R2:R671))/STDEV('The List'!R2:R671)</f>
        <v>-0.21362287742156597</v>
      </c>
      <c r="F311" s="55" cm="1">
        <f t="array" ref="F311">(VLOOKUP($A311,'The List'!$B1:$AH671,18,FALSE)-AVERAGE('The List'!S2:S671))/STDEV('The List'!S2:S671)</f>
        <v>-7.9163840439265415E-2</v>
      </c>
      <c r="G311" s="55" cm="1">
        <f t="array" ref="G311">(VLOOKUP($A311,'The List'!$B1:$AH671,19,FALSE)-AVERAGE('The List'!T2:T671))/STDEV('The List'!T2:T671)</f>
        <v>-0.29620663317848128</v>
      </c>
      <c r="H311" s="55" cm="1">
        <f t="array" ref="H311">(VLOOKUP($A311,'The List'!$B1:$AH671,20,FALSE)-AVERAGE('The List'!U2:U671))/STDEV('The List'!U2:U671)</f>
        <v>-0.2214042667228393</v>
      </c>
      <c r="I311" s="55" cm="1">
        <f t="array" ref="I311">(VLOOKUP($A311,'The List'!$B1:$AH671,21,FALSE)-AVERAGE('The List'!V2:V671))/STDEV('The List'!V2:V671)</f>
        <v>9.7011032281719103E-2</v>
      </c>
      <c r="J311" s="55" cm="1">
        <f t="array" ref="J311">(VLOOKUP($A311,'The List'!$B1:$AH671,22,FALSE)-AVERAGE('The List'!W2:W671))/STDEV('The List'!W2:W671)</f>
        <v>0.1563388327865215</v>
      </c>
      <c r="K311" s="55" cm="1">
        <f t="array" ref="K311">(VLOOKUP($A311,'The List'!$B1:$AH671,23,FALSE)-AVERAGE('The List'!X2:X671))/STDEV('The List'!X2:X671)</f>
        <v>0.17524545196215616</v>
      </c>
      <c r="L311" s="55" cm="1">
        <f t="array" ref="L311">(VLOOKUP($A311,'The List'!$B1:$AH671,24,FALSE)-AVERAGE('The List'!Y2:Y671))/STDEV('The List'!Y2:Y671)</f>
        <v>1.0093815618045958</v>
      </c>
      <c r="M311" s="55" cm="1">
        <f t="array" ref="M311">(VLOOKUP($A311,'The List'!$B1:$AH671,25,FALSE)-AVERAGE('The List'!Z2:Z671))/STDEV('The List'!Z2:Z671)</f>
        <v>0.23627697309704196</v>
      </c>
      <c r="N311" s="55" cm="1">
        <f t="array" ref="N311">(VLOOKUP($A311,'The List'!$B1:$AH671,26,FALSE)-AVERAGE('The List'!AA2:AA671))/STDEV('The List'!AA2:AA671)</f>
        <v>-0.42305440917177783</v>
      </c>
      <c r="O311" s="55" cm="1">
        <f t="array" ref="O311">(VLOOKUP($A311,'The List'!$B1:$AH671,27,FALSE)-AVERAGE('The List'!AB2:AB671))/STDEV('The List'!AB2:AB671)</f>
        <v>0.52255729463408085</v>
      </c>
      <c r="P311" s="55" cm="1">
        <f t="array" ref="P311">(VLOOKUP($A311,'The List'!$B1:$AH671,28,FALSE)-AVERAGE('The List'!AC2:AC671))/STDEV('The List'!AC2:AC671)</f>
        <v>-0.632335437920301</v>
      </c>
      <c r="Q311" s="55" cm="1">
        <f t="array" ref="Q311">(VLOOKUP($A311,'The List'!$B1:$AH671,29,FALSE)-AVERAGE('The List'!AD2:AD671))/STDEV('The List'!AD2:AD671)</f>
        <v>1.0972771544756135</v>
      </c>
      <c r="R311" s="55" cm="1">
        <f t="array" ref="R311">(VLOOKUP($A311,'The List'!$B1:$AH671,30,FALSE)-AVERAGE('The List'!AE2:AE671))/STDEV('The List'!AE2:AE671)</f>
        <v>0.17133419083098952</v>
      </c>
      <c r="S311" s="55" cm="1">
        <f t="array" ref="S311">(VLOOKUP($A311,'The List'!$B1:$AH671,31,FALSE)-AVERAGE('The List'!AF2:AF671))/STDEV('The List'!AF2:AF671)</f>
        <v>1.7563125666610222</v>
      </c>
      <c r="T311" s="55" cm="1">
        <f t="array" ref="T311">(VLOOKUP($A311,'The List'!$B1:$AH671,32,FALSE)-AVERAGE('The List'!AG2:AG671))/STDEV('The List'!AG2:AG671)</f>
        <v>1.6969842510598443</v>
      </c>
      <c r="U311" s="55" cm="1">
        <f t="array" ref="U311">(VLOOKUP($A311,'The List'!$B1:$AH671,33,FALSE)-AVERAGE('The List'!AH2:AH671))/STDEV('The List'!AH2:AH671)</f>
        <v>1.1366970102784557</v>
      </c>
      <c r="V311" s="55"/>
      <c r="W311" s="57"/>
      <c r="X311" s="55"/>
      <c r="Y311" s="55"/>
      <c r="Z311" s="55"/>
      <c r="AA311" s="55"/>
      <c r="AB311" s="55"/>
      <c r="AC311" s="55"/>
      <c r="AD311" s="55"/>
      <c r="AE311" s="55"/>
    </row>
    <row r="312" spans="1:31" ht="21.25" customHeight="1" x14ac:dyDescent="0.15">
      <c r="A312" s="10" t="s">
        <v>300</v>
      </c>
      <c r="B312" s="18" t="str" cm="1">
        <f t="array" ref="B312">VLOOKUP(A312,'Player Data'!A1:B673,2,FALSE)</f>
        <v>FLA</v>
      </c>
      <c r="C312" s="52" cm="1">
        <f t="array" ref="C312">((E312)*Settings!$C$12)+(F312*Settings!$C$2)+(G312*Settings!$C$3)+(H312*Settings!$C$4)+(I312*Settings!$C$5)+(K312*Settings!$C$9)+(N312*Settings!$C$6)+(J312*Settings!$C$8)+(O312*Settings!$C$7)+(P312*Settings!$C$14)+(Q312*Settings!$C$15)+(R312*Settings!$C$16)+(S312*Settings!$C$17)+(T312*Settings!$C$18)+(U312*Settings!$C$19)+(L312*Settings!$C$10)+(Settings!$C$11*M312)</f>
        <v>-0.41017952499207022</v>
      </c>
      <c r="D312" s="57" cm="1">
        <f t="array" ref="D312">IF(Settings!$E$12="YES",VLOOKUP(A312,'Player Data'!A1:E673,5,FALSE),82)</f>
        <v>83</v>
      </c>
      <c r="E312" s="55" cm="1">
        <f t="array" ref="E312">(VLOOKUP($A312,'The List'!$B1:$AH671,17,FALSE)-AVERAGE('The List'!R2:R671))/STDEV('The List'!R2:R671)</f>
        <v>1.7275532755860916</v>
      </c>
      <c r="F312" s="55" cm="1">
        <f t="array" ref="F312">(VLOOKUP($A312,'The List'!$B1:$AH671,18,FALSE)-AVERAGE('The List'!S2:S671))/STDEV('The List'!S2:S671)</f>
        <v>-0.70986147801086363</v>
      </c>
      <c r="G312" s="55" cm="1">
        <f t="array" ref="G312">(VLOOKUP($A312,'The List'!$B1:$AH671,19,FALSE)-AVERAGE('The List'!T2:T671))/STDEV('The List'!T2:T671)</f>
        <v>8.7486531664988487E-2</v>
      </c>
      <c r="H312" s="55" cm="1">
        <f t="array" ref="H312">(VLOOKUP($A312,'The List'!$B1:$AH671,20,FALSE)-AVERAGE('The List'!U2:U671))/STDEV('The List'!U2:U671)</f>
        <v>-0.25942246829802895</v>
      </c>
      <c r="I312" s="55" cm="1">
        <f t="array" ref="I312">(VLOOKUP($A312,'The List'!$B1:$AH671,21,FALSE)-AVERAGE('The List'!V2:V671))/STDEV('The List'!V2:V671)</f>
        <v>0.31107625535026973</v>
      </c>
      <c r="J312" s="55" cm="1">
        <f t="array" ref="J312">(VLOOKUP($A312,'The List'!$B1:$AH671,22,FALSE)-AVERAGE('The List'!W2:W671))/STDEV('The List'!W2:W671)</f>
        <v>-0.73853908386105271</v>
      </c>
      <c r="K312" s="55" cm="1">
        <f t="array" ref="K312">(VLOOKUP($A312,'The List'!$B1:$AH671,23,FALSE)-AVERAGE('The List'!X2:X671))/STDEV('The List'!X2:X671)</f>
        <v>-0.71814325748213881</v>
      </c>
      <c r="L312" s="55" cm="1">
        <f t="array" ref="L312">(VLOOKUP($A312,'The List'!$B1:$AH671,24,FALSE)-AVERAGE('The List'!Y2:Y671))/STDEV('The List'!Y2:Y671)</f>
        <v>-0.47546929358800777</v>
      </c>
      <c r="M312" s="55" cm="1">
        <f t="array" ref="M312">(VLOOKUP($A312,'The List'!$B1:$AH671,25,FALSE)-AVERAGE('The List'!Z2:Z671))/STDEV('The List'!Z2:Z671)</f>
        <v>-0.64388478613809508</v>
      </c>
      <c r="N312" s="55" cm="1">
        <f t="array" ref="N312">(VLOOKUP($A312,'The List'!$B1:$AH671,26,FALSE)-AVERAGE('The List'!AA2:AA671))/STDEV('The List'!AA2:AA671)</f>
        <v>1.1329009360774418</v>
      </c>
      <c r="O312" s="55" cm="1">
        <f t="array" ref="O312">(VLOOKUP($A312,'The List'!$B1:$AH671,27,FALSE)-AVERAGE('The List'!AB2:AB671))/STDEV('The List'!AB2:AB671)</f>
        <v>-0.35663383150089445</v>
      </c>
      <c r="P312" s="55" cm="1">
        <f t="array" ref="P312">(VLOOKUP($A312,'The List'!$B1:$AH671,28,FALSE)-AVERAGE('The List'!AC2:AC671))/STDEV('The List'!AC2:AC671)</f>
        <v>0.97589625498656829</v>
      </c>
      <c r="Q312" s="55" cm="1">
        <f t="array" ref="Q312">(VLOOKUP($A312,'The List'!$B1:$AH671,29,FALSE)-AVERAGE('The List'!AD2:AD671))/STDEV('The List'!AD2:AD671)</f>
        <v>0.26312232792123164</v>
      </c>
      <c r="R312" s="55" cm="1">
        <f t="array" ref="R312">(VLOOKUP($A312,'The List'!$B1:$AH671,30,FALSE)-AVERAGE('The List'!AE2:AE671))/STDEV('The List'!AE2:AE671)</f>
        <v>-0.82674404756972364</v>
      </c>
      <c r="S312" s="55" cm="1">
        <f t="array" ref="S312">(VLOOKUP($A312,'The List'!$B1:$AH671,31,FALSE)-AVERAGE('The List'!AF2:AF671))/STDEV('The List'!AF2:AF671)</f>
        <v>-0.59581850454342256</v>
      </c>
      <c r="T312" s="55" cm="1">
        <f t="array" ref="T312">(VLOOKUP($A312,'The List'!$B1:$AH671,32,FALSE)-AVERAGE('The List'!AG2:AG671))/STDEV('The List'!AG2:AG671)</f>
        <v>-0.64684275008198677</v>
      </c>
      <c r="U312" s="55" cm="1">
        <f t="array" ref="U312">(VLOOKUP($A312,'The List'!$B1:$AH671,33,FALSE)-AVERAGE('The List'!AH2:AH671))/STDEV('The List'!AH2:AH671)</f>
        <v>-1.2552626683789523</v>
      </c>
      <c r="V312" s="55"/>
      <c r="W312" s="77"/>
      <c r="X312" s="57"/>
      <c r="Y312" s="57"/>
      <c r="Z312" s="57"/>
      <c r="AA312" s="57"/>
      <c r="AB312" s="57"/>
      <c r="AC312" s="60"/>
      <c r="AD312" s="61"/>
      <c r="AE312" s="55"/>
    </row>
    <row r="313" spans="1:31" ht="21.25" customHeight="1" x14ac:dyDescent="0.15">
      <c r="A313" s="10" t="s">
        <v>613</v>
      </c>
      <c r="B313" s="18" t="str" cm="1">
        <f t="array" ref="B313">VLOOKUP(A313,'Player Data'!A1:B673,2,FALSE)</f>
        <v>PHI</v>
      </c>
      <c r="C313" s="52" cm="1">
        <f t="array" ref="C313">((E313)*Settings!$C$12)+(F313*Settings!$C$2)+(G313*Settings!$C$3)+(H313*Settings!$C$4)+(I313*Settings!$C$5)+(K313*Settings!$C$9)+(N313*Settings!$C$6)+(J313*Settings!$C$8)+(O313*Settings!$C$7)+(P313*Settings!$C$14)+(Q313*Settings!$C$15)+(R313*Settings!$C$16)+(S313*Settings!$C$17)+(T313*Settings!$C$18)+(U313*Settings!$C$19)+(L313*Settings!$C$10)+(Settings!$C$11*M313)</f>
        <v>-1.4341270122017449</v>
      </c>
      <c r="D313" s="57" cm="1">
        <f t="array" ref="D313">IF(Settings!$E$12="YES",VLOOKUP(A313,'Player Data'!A1:E673,5,FALSE),82)</f>
        <v>82</v>
      </c>
      <c r="E313" s="55" cm="1">
        <f t="array" ref="E313">(VLOOKUP($A313,'The List'!$B1:$AH671,17,FALSE)-AVERAGE('The List'!R2:R671))/STDEV('The List'!R2:R671)</f>
        <v>-0.65956875040981156</v>
      </c>
      <c r="F313" s="55" cm="1">
        <f t="array" ref="F313">(VLOOKUP($A313,'The List'!$B1:$AH671,18,FALSE)-AVERAGE('The List'!S2:S671))/STDEV('The List'!S2:S671)</f>
        <v>-0.30868987942892939</v>
      </c>
      <c r="G313" s="55" cm="1">
        <f t="array" ref="G313">(VLOOKUP($A313,'The List'!$B1:$AH671,19,FALSE)-AVERAGE('The List'!T2:T671))/STDEV('The List'!T2:T671)</f>
        <v>-0.22171675135905292</v>
      </c>
      <c r="H313" s="55" cm="1">
        <f t="array" ref="H313">(VLOOKUP($A313,'The List'!$B1:$AH671,20,FALSE)-AVERAGE('The List'!U2:U671))/STDEV('The List'!U2:U671)</f>
        <v>-0.27622120852892668</v>
      </c>
      <c r="I313" s="55" cm="1">
        <f t="array" ref="I313">(VLOOKUP($A313,'The List'!$B1:$AH671,21,FALSE)-AVERAGE('The List'!V2:V671))/STDEV('The List'!V2:V671)</f>
        <v>-0.21484346944445895</v>
      </c>
      <c r="J313" s="55" cm="1">
        <f t="array" ref="J313">(VLOOKUP($A313,'The List'!$B1:$AH671,22,FALSE)-AVERAGE('The List'!W2:W671))/STDEV('The List'!W2:W671)</f>
        <v>-0.73853908386105271</v>
      </c>
      <c r="K313" s="55" cm="1">
        <f t="array" ref="K313">(VLOOKUP($A313,'The List'!$B1:$AH671,23,FALSE)-AVERAGE('The List'!X2:X671))/STDEV('The List'!X2:X671)</f>
        <v>-0.80155300200843405</v>
      </c>
      <c r="L313" s="55" cm="1">
        <f t="array" ref="L313">(VLOOKUP($A313,'The List'!$B1:$AH671,24,FALSE)-AVERAGE('The List'!Y2:Y671))/STDEV('The List'!Y2:Y671)</f>
        <v>-0.47546929358800777</v>
      </c>
      <c r="M313" s="55" cm="1">
        <f t="array" ref="M313">(VLOOKUP($A313,'The List'!$B1:$AH671,25,FALSE)-AVERAGE('The List'!Z2:Z671))/STDEV('The List'!Z2:Z671)</f>
        <v>0.24714316765550046</v>
      </c>
      <c r="N313" s="55" cm="1">
        <f t="array" ref="N313">(VLOOKUP($A313,'The List'!$B1:$AH671,26,FALSE)-AVERAGE('The List'!AA2:AA671))/STDEV('The List'!AA2:AA671)</f>
        <v>-0.55484576802742402</v>
      </c>
      <c r="O313" s="55" cm="1">
        <f t="array" ref="O313">(VLOOKUP($A313,'The List'!$B1:$AH671,27,FALSE)-AVERAGE('The List'!AB2:AB671))/STDEV('The List'!AB2:AB671)</f>
        <v>-0.13832220890034694</v>
      </c>
      <c r="P313" s="55" cm="1">
        <f t="array" ref="P313">(VLOOKUP($A313,'The List'!$B1:$AH671,28,FALSE)-AVERAGE('The List'!AC2:AC671))/STDEV('The List'!AC2:AC671)</f>
        <v>0.2509982989394775</v>
      </c>
      <c r="Q313" s="55" cm="1">
        <f t="array" ref="Q313">(VLOOKUP($A313,'The List'!$B1:$AH671,29,FALSE)-AVERAGE('The List'!AD2:AD671))/STDEV('The List'!AD2:AD671)</f>
        <v>-0.19274439305667224</v>
      </c>
      <c r="R313" s="55" cm="1">
        <f t="array" ref="R313">(VLOOKUP($A313,'The List'!$B1:$AH671,30,FALSE)-AVERAGE('The List'!AE2:AE671))/STDEV('The List'!AE2:AE671)</f>
        <v>-0.32146693937936244</v>
      </c>
      <c r="S313" s="55" cm="1">
        <f t="array" ref="S313">(VLOOKUP($A313,'The List'!$B1:$AH671,31,FALSE)-AVERAGE('The List'!AF2:AF671))/STDEV('The List'!AF2:AF671)</f>
        <v>2.2071809581612118</v>
      </c>
      <c r="T313" s="55" cm="1">
        <f t="array" ref="T313">(VLOOKUP($A313,'The List'!$B1:$AH671,32,FALSE)-AVERAGE('The List'!AG2:AG671))/STDEV('The List'!AG2:AG671)</f>
        <v>1.8138005030600544</v>
      </c>
      <c r="U313" s="55" cm="1">
        <f t="array" ref="U313">(VLOOKUP($A313,'The List'!$B1:$AH671,33,FALSE)-AVERAGE('The List'!AH2:AH671))/STDEV('The List'!AH2:AH671)</f>
        <v>1.2746946840471525</v>
      </c>
      <c r="V313" s="55"/>
      <c r="W313" s="77"/>
      <c r="X313" s="57"/>
      <c r="Y313" s="57"/>
      <c r="Z313" s="57"/>
      <c r="AA313" s="57"/>
      <c r="AB313" s="57"/>
      <c r="AC313" s="60"/>
      <c r="AD313" s="61"/>
      <c r="AE313" s="55"/>
    </row>
    <row r="314" spans="1:31" ht="21.25" customHeight="1" x14ac:dyDescent="0.15">
      <c r="A314" s="10" t="s">
        <v>286</v>
      </c>
      <c r="B314" s="18" t="str" cm="1">
        <f t="array" ref="B314">VLOOKUP(A314,'Player Data'!A1:B673,2,FALSE)</f>
        <v>PHI</v>
      </c>
      <c r="C314" s="52" cm="1">
        <f t="array" ref="C314">((E314)*Settings!$C$12)+(F314*Settings!$C$2)+(G314*Settings!$C$3)+(H314*Settings!$C$4)+(I314*Settings!$C$5)+(K314*Settings!$C$9)+(N314*Settings!$C$6)+(J314*Settings!$C$8)+(O314*Settings!$C$7)+(P314*Settings!$C$14)+(Q314*Settings!$C$15)+(R314*Settings!$C$16)+(S314*Settings!$C$17)+(T314*Settings!$C$18)+(U314*Settings!$C$19)+(L314*Settings!$C$10)+(Settings!$C$11*M314)</f>
        <v>-2.1227930208935586</v>
      </c>
      <c r="D314" s="57" cm="1">
        <f t="array" ref="D314">IF(Settings!$E$12="YES",VLOOKUP(A314,'Player Data'!A1:E673,5,FALSE),82)</f>
        <v>84</v>
      </c>
      <c r="E314" s="55" cm="1">
        <f t="array" ref="E314">(VLOOKUP($A314,'The List'!$B1:$AH671,17,FALSE)-AVERAGE('The List'!R2:R671))/STDEV('The List'!R2:R671)</f>
        <v>1.7275532755860916</v>
      </c>
      <c r="F314" s="55" cm="1">
        <f t="array" ref="F314">(VLOOKUP($A314,'The List'!$B1:$AH671,18,FALSE)-AVERAGE('The List'!S2:S671))/STDEV('The List'!S2:S671)</f>
        <v>-0.61805106241499819</v>
      </c>
      <c r="G314" s="55" cm="1">
        <f t="array" ref="G314">(VLOOKUP($A314,'The List'!$B1:$AH671,19,FALSE)-AVERAGE('The List'!T2:T671))/STDEV('The List'!T2:T671)</f>
        <v>-9.4908616470969365E-3</v>
      </c>
      <c r="H314" s="55" cm="1">
        <f t="array" ref="H314">(VLOOKUP($A314,'The List'!$B1:$AH671,20,FALSE)-AVERAGE('The List'!U2:U671))/STDEV('The List'!U2:U671)</f>
        <v>-0.27975778541964191</v>
      </c>
      <c r="I314" s="55" cm="1">
        <f t="array" ref="I314">(VLOOKUP($A314,'The List'!$B1:$AH671,21,FALSE)-AVERAGE('The List'!V2:V671))/STDEV('The List'!V2:V671)</f>
        <v>-0.32645455427277514</v>
      </c>
      <c r="J314" s="55" cm="1">
        <f t="array" ref="J314">(VLOOKUP($A314,'The List'!$B1:$AH671,22,FALSE)-AVERAGE('The List'!W2:W671))/STDEV('The List'!W2:W671)</f>
        <v>-0.73853908386105271</v>
      </c>
      <c r="K314" s="55" cm="1">
        <f t="array" ref="K314">(VLOOKUP($A314,'The List'!$B1:$AH671,23,FALSE)-AVERAGE('The List'!X2:X671))/STDEV('The List'!X2:X671)</f>
        <v>-0.71713832080109907</v>
      </c>
      <c r="L314" s="55" cm="1">
        <f t="array" ref="L314">(VLOOKUP($A314,'The List'!$B1:$AH671,24,FALSE)-AVERAGE('The List'!Y2:Y671))/STDEV('The List'!Y2:Y671)</f>
        <v>1.0643760379302476</v>
      </c>
      <c r="M314" s="55" cm="1">
        <f t="array" ref="M314">(VLOOKUP($A314,'The List'!$B1:$AH671,25,FALSE)-AVERAGE('The List'!Z2:Z671))/STDEV('The List'!Z2:Z671)</f>
        <v>2.0943962425934424</v>
      </c>
      <c r="N314" s="55" cm="1">
        <f t="array" ref="N314">(VLOOKUP($A314,'The List'!$B1:$AH671,26,FALSE)-AVERAGE('The List'!AA2:AA671))/STDEV('The List'!AA2:AA671)</f>
        <v>2.3031877699467658</v>
      </c>
      <c r="O314" s="55" cm="1">
        <f t="array" ref="O314">(VLOOKUP($A314,'The List'!$B1:$AH671,27,FALSE)-AVERAGE('The List'!AB2:AB671))/STDEV('The List'!AB2:AB671)</f>
        <v>-0.52902826775165568</v>
      </c>
      <c r="P314" s="55" cm="1">
        <f t="array" ref="P314">(VLOOKUP($A314,'The List'!$B1:$AH671,28,FALSE)-AVERAGE('The List'!AC2:AC671))/STDEV('The List'!AC2:AC671)</f>
        <v>7.7370045994066453E-2</v>
      </c>
      <c r="Q314" s="55" cm="1">
        <f t="array" ref="Q314">(VLOOKUP($A314,'The List'!$B1:$AH671,29,FALSE)-AVERAGE('The List'!AD2:AD671))/STDEV('The List'!AD2:AD671)</f>
        <v>0.23282972571686547</v>
      </c>
      <c r="R314" s="55" cm="1">
        <f t="array" ref="R314">(VLOOKUP($A314,'The List'!$B1:$AH671,30,FALSE)-AVERAGE('The List'!AE2:AE671))/STDEV('The List'!AE2:AE671)</f>
        <v>-0.82050605857971926</v>
      </c>
      <c r="S314" s="55" cm="1">
        <f t="array" ref="S314">(VLOOKUP($A314,'The List'!$B1:$AH671,31,FALSE)-AVERAGE('The List'!AF2:AF671))/STDEV('The List'!AF2:AF671)</f>
        <v>-0.59581850454342256</v>
      </c>
      <c r="T314" s="55" cm="1">
        <f t="array" ref="T314">(VLOOKUP($A314,'The List'!$B1:$AH671,32,FALSE)-AVERAGE('The List'!AG2:AG671))/STDEV('The List'!AG2:AG671)</f>
        <v>-0.64684275008198677</v>
      </c>
      <c r="U314" s="55" cm="1">
        <f t="array" ref="U314">(VLOOKUP($A314,'The List'!$B1:$AH671,33,FALSE)-AVERAGE('The List'!AH2:AH671))/STDEV('The List'!AH2:AH671)</f>
        <v>-1.2552626683789523</v>
      </c>
      <c r="V314" s="55"/>
      <c r="W314" s="77"/>
      <c r="X314" s="57"/>
      <c r="Y314" s="57"/>
      <c r="Z314" s="57"/>
      <c r="AA314" s="57"/>
      <c r="AB314" s="57"/>
      <c r="AC314" s="60"/>
      <c r="AD314" s="61"/>
      <c r="AE314" s="55"/>
    </row>
    <row r="315" spans="1:31" ht="21.25" customHeight="1" x14ac:dyDescent="0.15">
      <c r="A315" s="10" t="s">
        <v>569</v>
      </c>
      <c r="B315" s="18" t="str" cm="1">
        <f t="array" ref="B315">VLOOKUP(A315,'Player Data'!A1:B673,2,FALSE)</f>
        <v>WPG</v>
      </c>
      <c r="C315" s="52" cm="1">
        <f t="array" ref="C315">((E315)*Settings!$C$12)+(F315*Settings!$C$2)+(G315*Settings!$C$3)+(H315*Settings!$C$4)+(I315*Settings!$C$5)+(K315*Settings!$C$9)+(N315*Settings!$C$6)+(J315*Settings!$C$8)+(O315*Settings!$C$7)+(P315*Settings!$C$14)+(Q315*Settings!$C$15)+(R315*Settings!$C$16)+(S315*Settings!$C$17)+(T315*Settings!$C$18)+(U315*Settings!$C$19)+(L315*Settings!$C$10)+(Settings!$C$11*M315)</f>
        <v>-1.2103164070106915</v>
      </c>
      <c r="D315" s="57" cm="1">
        <f t="array" ref="D315">IF(Settings!$E$12="YES",VLOOKUP(A315,'Player Data'!A1:E673,5,FALSE),82)</f>
        <v>83</v>
      </c>
      <c r="E315" s="55" cm="1">
        <f t="array" ref="E315">(VLOOKUP($A315,'The List'!$B1:$AH671,17,FALSE)-AVERAGE('The List'!R2:R671))/STDEV('The List'!R2:R671)</f>
        <v>-0.29231920794890365</v>
      </c>
      <c r="F315" s="55" cm="1">
        <f t="array" ref="F315">(VLOOKUP($A315,'The List'!$B1:$AH671,18,FALSE)-AVERAGE('The List'!S2:S671))/STDEV('The List'!S2:S671)</f>
        <v>-0.2128877066332435</v>
      </c>
      <c r="G315" s="55" cm="1">
        <f t="array" ref="G315">(VLOOKUP($A315,'The List'!$B1:$AH671,19,FALSE)-AVERAGE('The List'!T2:T671))/STDEV('The List'!T2:T671)</f>
        <v>-0.61243726354397809</v>
      </c>
      <c r="H315" s="55" cm="1">
        <f t="array" ref="H315">(VLOOKUP($A315,'The List'!$B1:$AH671,20,FALSE)-AVERAGE('The List'!U2:U671))/STDEV('The List'!U2:U671)</f>
        <v>-0.47957437974505746</v>
      </c>
      <c r="I315" s="55" cm="1">
        <f t="array" ref="I315">(VLOOKUP($A315,'The List'!$B1:$AH671,21,FALSE)-AVERAGE('The List'!V2:V671))/STDEV('The List'!V2:V671)</f>
        <v>-0.34856944414587782</v>
      </c>
      <c r="J315" s="55" cm="1">
        <f t="array" ref="J315">(VLOOKUP($A315,'The List'!$B1:$AH671,22,FALSE)-AVERAGE('The List'!W2:W671))/STDEV('The List'!W2:W671)</f>
        <v>-0.28005225002309803</v>
      </c>
      <c r="K315" s="55" cm="1">
        <f t="array" ref="K315">(VLOOKUP($A315,'The List'!$B1:$AH671,23,FALSE)-AVERAGE('The List'!X2:X671))/STDEV('The List'!X2:X671)</f>
        <v>-0.38450427937695769</v>
      </c>
      <c r="L315" s="55" cm="1">
        <f t="array" ref="L315">(VLOOKUP($A315,'The List'!$B1:$AH671,24,FALSE)-AVERAGE('The List'!Y2:Y671))/STDEV('The List'!Y2:Y671)</f>
        <v>-0.47546929358800777</v>
      </c>
      <c r="M315" s="55" cm="1">
        <f t="array" ref="M315">(VLOOKUP($A315,'The List'!$B1:$AH671,25,FALSE)-AVERAGE('The List'!Z2:Z671))/STDEV('The List'!Z2:Z671)</f>
        <v>0.25800936221395893</v>
      </c>
      <c r="N315" s="55" cm="1">
        <f t="array" ref="N315">(VLOOKUP($A315,'The List'!$B1:$AH671,26,FALSE)-AVERAGE('The List'!AA2:AA671))/STDEV('The List'!AA2:AA671)</f>
        <v>-0.20263591558181099</v>
      </c>
      <c r="O315" s="55" cm="1">
        <f t="array" ref="O315">(VLOOKUP($A315,'The List'!$B1:$AH671,27,FALSE)-AVERAGE('The List'!AB2:AB671))/STDEV('The List'!AB2:AB671)</f>
        <v>0.27288259385711666</v>
      </c>
      <c r="P315" s="55" cm="1">
        <f t="array" ref="P315">(VLOOKUP($A315,'The List'!$B1:$AH671,28,FALSE)-AVERAGE('The List'!AC2:AC671))/STDEV('The List'!AC2:AC671)</f>
        <v>7.5199692832248838E-2</v>
      </c>
      <c r="Q315" s="55" cm="1">
        <f t="array" ref="Q315">(VLOOKUP($A315,'The List'!$B1:$AH671,29,FALSE)-AVERAGE('The List'!AD2:AD671))/STDEV('The List'!AD2:AD671)</f>
        <v>-1.0860067361073789</v>
      </c>
      <c r="R315" s="55" cm="1">
        <f t="array" ref="R315">(VLOOKUP($A315,'The List'!$B1:$AH671,30,FALSE)-AVERAGE('The List'!AE2:AE671))/STDEV('The List'!AE2:AE671)</f>
        <v>-0.3089909613993535</v>
      </c>
      <c r="S315" s="55" cm="1">
        <f t="array" ref="S315">(VLOOKUP($A315,'The List'!$B1:$AH671,31,FALSE)-AVERAGE('The List'!AF2:AF671))/STDEV('The List'!AF2:AF671)</f>
        <v>-0.52000069121480252</v>
      </c>
      <c r="T315" s="55" cm="1">
        <f t="array" ref="T315">(VLOOKUP($A315,'The List'!$B1:$AH671,32,FALSE)-AVERAGE('The List'!AG2:AG671))/STDEV('The List'!AG2:AG671)</f>
        <v>-0.53247611804508377</v>
      </c>
      <c r="U315" s="55" cm="1">
        <f t="array" ref="U315">(VLOOKUP($A315,'The List'!$B1:$AH671,33,FALSE)-AVERAGE('The List'!AH2:AH671))/STDEV('The List'!AH2:AH671)</f>
        <v>0.67670476438280014</v>
      </c>
      <c r="V315" s="55"/>
      <c r="W315" s="57"/>
      <c r="X315" s="55"/>
      <c r="Y315" s="55"/>
      <c r="Z315" s="55"/>
      <c r="AA315" s="55"/>
      <c r="AB315" s="55"/>
      <c r="AC315" s="55"/>
      <c r="AD315" s="55"/>
      <c r="AE315" s="55"/>
    </row>
    <row r="316" spans="1:31" ht="21.25" customHeight="1" x14ac:dyDescent="0.15">
      <c r="A316" s="10" t="s">
        <v>698</v>
      </c>
      <c r="B316" s="18" t="str" cm="1">
        <f t="array" ref="B316">VLOOKUP(A316,'Player Data'!A1:B673,2,FALSE)</f>
        <v>CHI</v>
      </c>
      <c r="C316" s="52" cm="1">
        <f t="array" ref="C316">((E316)*Settings!$C$12)+(F316*Settings!$C$2)+(G316*Settings!$C$3)+(H316*Settings!$C$4)+(I316*Settings!$C$5)+(K316*Settings!$C$9)+(N316*Settings!$C$6)+(J316*Settings!$C$8)+(O316*Settings!$C$7)+(P316*Settings!$C$14)+(Q316*Settings!$C$15)+(R316*Settings!$C$16)+(S316*Settings!$C$17)+(T316*Settings!$C$18)+(U316*Settings!$C$19)+(L316*Settings!$C$10)+(Settings!$C$11*M316)</f>
        <v>-2.8368711303940675</v>
      </c>
      <c r="D316" s="57" cm="1">
        <f t="array" ref="D316">IF(Settings!$E$12="YES",VLOOKUP(A316,'Player Data'!A1:E673,5,FALSE),82)</f>
        <v>67</v>
      </c>
      <c r="E316" s="55" cm="1">
        <f t="array" ref="E316">(VLOOKUP($A316,'The List'!$B1:$AH671,17,FALSE)-AVERAGE('The List'!R2:R671))/STDEV('The List'!R2:R671)</f>
        <v>-1.0792825132222785</v>
      </c>
      <c r="F316" s="55" cm="1">
        <f t="array" ref="F316">(VLOOKUP($A316,'The List'!$B1:$AH671,18,FALSE)-AVERAGE('The List'!S2:S671))/STDEV('The List'!S2:S671)</f>
        <v>0.29905515424370238</v>
      </c>
      <c r="G316" s="55" cm="1">
        <f t="array" ref="G316">(VLOOKUP($A316,'The List'!$B1:$AH671,19,FALSE)-AVERAGE('The List'!T2:T671))/STDEV('The List'!T2:T671)</f>
        <v>-0.67357518541464079</v>
      </c>
      <c r="H316" s="55" cm="1">
        <f t="array" ref="H316">(VLOOKUP($A316,'The List'!$B1:$AH671,20,FALSE)-AVERAGE('The List'!U2:U671))/STDEV('The List'!U2:U671)</f>
        <v>-0.29125166031446675</v>
      </c>
      <c r="I316" s="55" cm="1">
        <f t="array" ref="I316">(VLOOKUP($A316,'The List'!$B1:$AH671,21,FALSE)-AVERAGE('The List'!V2:V671))/STDEV('The List'!V2:V671)</f>
        <v>-0.35513480207695541</v>
      </c>
      <c r="J316" s="55" cm="1">
        <f t="array" ref="J316">(VLOOKUP($A316,'The List'!$B1:$AH671,22,FALSE)-AVERAGE('The List'!W2:W671))/STDEV('The List'!W2:W671)</f>
        <v>-0.18338333927413178</v>
      </c>
      <c r="K316" s="55" cm="1">
        <f t="array" ref="K316">(VLOOKUP($A316,'The List'!$B1:$AH671,23,FALSE)-AVERAGE('The List'!X2:X671))/STDEV('The List'!X2:X671)</f>
        <v>-0.39756845623047388</v>
      </c>
      <c r="L316" s="55" cm="1">
        <f t="array" ref="L316">(VLOOKUP($A316,'The List'!$B1:$AH671,24,FALSE)-AVERAGE('The List'!Y2:Y671))/STDEV('The List'!Y2:Y671)</f>
        <v>-0.47546929358800777</v>
      </c>
      <c r="M316" s="55" cm="1">
        <f t="array" ref="M316">(VLOOKUP($A316,'The List'!$B1:$AH671,25,FALSE)-AVERAGE('The List'!Z2:Z671))/STDEV('The List'!Z2:Z671)</f>
        <v>-0.64388478613809508</v>
      </c>
      <c r="N316" s="55" cm="1">
        <f t="array" ref="N316">(VLOOKUP($A316,'The List'!$B1:$AH671,26,FALSE)-AVERAGE('The List'!AA2:AA671))/STDEV('The List'!AA2:AA671)</f>
        <v>-0.95558344640825543</v>
      </c>
      <c r="O316" s="55" cm="1">
        <f t="array" ref="O316">(VLOOKUP($A316,'The List'!$B1:$AH671,27,FALSE)-AVERAGE('The List'!AB2:AB671))/STDEV('The List'!AB2:AB671)</f>
        <v>0.14025572078429568</v>
      </c>
      <c r="P316" s="55" cm="1">
        <f t="array" ref="P316">(VLOOKUP($A316,'The List'!$B1:$AH671,28,FALSE)-AVERAGE('The List'!AC2:AC671))/STDEV('The List'!AC2:AC671)</f>
        <v>-1.8499035616999955</v>
      </c>
      <c r="Q316" s="55" cm="1">
        <f t="array" ref="Q316">(VLOOKUP($A316,'The List'!$B1:$AH671,29,FALSE)-AVERAGE('The List'!AD2:AD671))/STDEV('The List'!AD2:AD671)</f>
        <v>-0.98774048993223884</v>
      </c>
      <c r="R316" s="55" cm="1">
        <f t="array" ref="R316">(VLOOKUP($A316,'The List'!$B1:$AH671,30,FALSE)-AVERAGE('The List'!AE2:AE671))/STDEV('The List'!AE2:AE671)</f>
        <v>-9.066134674919768E-2</v>
      </c>
      <c r="S316" s="55" cm="1">
        <f t="array" ref="S316">(VLOOKUP($A316,'The List'!$B1:$AH671,31,FALSE)-AVERAGE('The List'!AF2:AF671))/STDEV('The List'!AF2:AF671)</f>
        <v>-0.5893761538864567</v>
      </c>
      <c r="T316" s="55" cm="1">
        <f t="array" ref="T316">(VLOOKUP($A316,'The List'!$B1:$AH671,32,FALSE)-AVERAGE('The List'!AG2:AG671))/STDEV('The List'!AG2:AG671)</f>
        <v>-0.64000422768442089</v>
      </c>
      <c r="U316" s="55" cm="1">
        <f t="array" ref="U316">(VLOOKUP($A316,'The List'!$B1:$AH671,33,FALSE)-AVERAGE('The List'!AH2:AH671))/STDEV('The List'!AH2:AH671)</f>
        <v>1.0446985610993245</v>
      </c>
      <c r="V316" s="55"/>
      <c r="W316" s="57"/>
      <c r="X316" s="55"/>
      <c r="Y316" s="55"/>
      <c r="Z316" s="55"/>
      <c r="AA316" s="55"/>
      <c r="AB316" s="55"/>
      <c r="AC316" s="55"/>
      <c r="AD316" s="55"/>
      <c r="AE316" s="55"/>
    </row>
    <row r="317" spans="1:31" ht="21.25" customHeight="1" x14ac:dyDescent="0.15">
      <c r="A317" s="10" t="s">
        <v>304</v>
      </c>
      <c r="B317" s="18" t="str" cm="1">
        <f t="array" ref="B317">VLOOKUP(A317,'Player Data'!A1:B673,2,FALSE)</f>
        <v>NSH</v>
      </c>
      <c r="C317" s="52" cm="1">
        <f t="array" ref="C317">((E317)*Settings!$C$12)+(F317*Settings!$C$2)+(G317*Settings!$C$3)+(H317*Settings!$C$4)+(I317*Settings!$C$5)+(K317*Settings!$C$9)+(N317*Settings!$C$6)+(J317*Settings!$C$8)+(O317*Settings!$C$7)+(P317*Settings!$C$14)+(Q317*Settings!$C$15)+(R317*Settings!$C$16)+(S317*Settings!$C$17)+(T317*Settings!$C$18)+(U317*Settings!$C$19)+(L317*Settings!$C$10)+(Settings!$C$11*M317)</f>
        <v>-1.7855443067375361</v>
      </c>
      <c r="D317" s="57" cm="1">
        <f t="array" ref="D317">IF(Settings!$E$12="YES",VLOOKUP(A317,'Player Data'!A1:E673,5,FALSE),82)</f>
        <v>84</v>
      </c>
      <c r="E317" s="55" cm="1">
        <f t="array" ref="E317">(VLOOKUP($A317,'The List'!$B1:$AH671,17,FALSE)-AVERAGE('The List'!R2:R671))/STDEV('The List'!R2:R671)</f>
        <v>1.6226248348829753</v>
      </c>
      <c r="F317" s="55" cm="1">
        <f t="array" ref="F317">(VLOOKUP($A317,'The List'!$B1:$AH671,18,FALSE)-AVERAGE('The List'!S2:S671))/STDEV('The List'!S2:S671)</f>
        <v>-0.78570486480744817</v>
      </c>
      <c r="G317" s="55" cm="1">
        <f t="array" ref="G317">(VLOOKUP($A317,'The List'!$B1:$AH671,19,FALSE)-AVERAGE('The List'!T2:T671))/STDEV('The List'!T2:T671)</f>
        <v>0.16759829135758111</v>
      </c>
      <c r="H317" s="55" cm="1">
        <f t="array" ref="H317">(VLOOKUP($A317,'The List'!$B1:$AH671,20,FALSE)-AVERAGE('The List'!U2:U671))/STDEV('The List'!U2:U671)</f>
        <v>-0.24262372806713106</v>
      </c>
      <c r="I317" s="55" cm="1">
        <f t="array" ref="I317">(VLOOKUP($A317,'The List'!$B1:$AH671,21,FALSE)-AVERAGE('The List'!V2:V671))/STDEV('The List'!V2:V671)</f>
        <v>9.4419443624714744E-2</v>
      </c>
      <c r="J317" s="55" cm="1">
        <f t="array" ref="J317">(VLOOKUP($A317,'The List'!$B1:$AH671,22,FALSE)-AVERAGE('The List'!W2:W671))/STDEV('The List'!W2:W671)</f>
        <v>-0.50653369806353354</v>
      </c>
      <c r="K317" s="55" cm="1">
        <f t="array" ref="K317">(VLOOKUP($A317,'The List'!$B1:$AH671,23,FALSE)-AVERAGE('The List'!X2:X671))/STDEV('The List'!X2:X671)</f>
        <v>4.2593810064915645E-2</v>
      </c>
      <c r="L317" s="55" cm="1">
        <f t="array" ref="L317">(VLOOKUP($A317,'The List'!$B1:$AH671,24,FALSE)-AVERAGE('The List'!Y2:Y671))/STDEV('The List'!Y2:Y671)</f>
        <v>1.0643760379302476</v>
      </c>
      <c r="M317" s="55" cm="1">
        <f t="array" ref="M317">(VLOOKUP($A317,'The List'!$B1:$AH671,25,FALSE)-AVERAGE('The List'!Z2:Z671))/STDEV('The List'!Z2:Z671)</f>
        <v>1.1816358996829295</v>
      </c>
      <c r="N317" s="55" cm="1">
        <f t="array" ref="N317">(VLOOKUP($A317,'The List'!$B1:$AH671,26,FALSE)-AVERAGE('The List'!AA2:AA671))/STDEV('The List'!AA2:AA671)</f>
        <v>0.97301452010140577</v>
      </c>
      <c r="O317" s="55" cm="1">
        <f t="array" ref="O317">(VLOOKUP($A317,'The List'!$B1:$AH671,27,FALSE)-AVERAGE('The List'!AB2:AB671))/STDEV('The List'!AB2:AB671)</f>
        <v>-0.28796303941527629</v>
      </c>
      <c r="P317" s="55" cm="1">
        <f t="array" ref="P317">(VLOOKUP($A317,'The List'!$B1:$AH671,28,FALSE)-AVERAGE('The List'!AC2:AC671))/STDEV('The List'!AC2:AC671)</f>
        <v>-1.016487947562023</v>
      </c>
      <c r="Q317" s="55" cm="1">
        <f t="array" ref="Q317">(VLOOKUP($A317,'The List'!$B1:$AH671,29,FALSE)-AVERAGE('The List'!AD2:AD671))/STDEV('The List'!AD2:AD671)</f>
        <v>0.85345864892827439</v>
      </c>
      <c r="R317" s="55" cm="1">
        <f t="array" ref="R317">(VLOOKUP($A317,'The List'!$B1:$AH671,30,FALSE)-AVERAGE('The List'!AE2:AE671))/STDEV('The List'!AE2:AE671)</f>
        <v>-0.82050605857971926</v>
      </c>
      <c r="S317" s="55" cm="1">
        <f t="array" ref="S317">(VLOOKUP($A317,'The List'!$B1:$AH671,31,FALSE)-AVERAGE('The List'!AF2:AF671))/STDEV('The List'!AF2:AF671)</f>
        <v>-0.59581850454342256</v>
      </c>
      <c r="T317" s="55" cm="1">
        <f t="array" ref="T317">(VLOOKUP($A317,'The List'!$B1:$AH671,32,FALSE)-AVERAGE('The List'!AG2:AG671))/STDEV('The List'!AG2:AG671)</f>
        <v>-0.64684275008198677</v>
      </c>
      <c r="U317" s="55" cm="1">
        <f t="array" ref="U317">(VLOOKUP($A317,'The List'!$B1:$AH671,33,FALSE)-AVERAGE('The List'!AH2:AH671))/STDEV('The List'!AH2:AH671)</f>
        <v>-1.2552626683789523</v>
      </c>
      <c r="V317" s="55"/>
      <c r="W317" s="77"/>
      <c r="X317" s="57"/>
      <c r="Y317" s="57"/>
      <c r="Z317" s="57"/>
      <c r="AA317" s="57"/>
      <c r="AB317" s="57"/>
      <c r="AC317" s="60"/>
      <c r="AD317" s="61"/>
      <c r="AE317" s="55"/>
    </row>
    <row r="318" spans="1:31" ht="21.25" customHeight="1" x14ac:dyDescent="0.15">
      <c r="A318" s="10" t="s">
        <v>656</v>
      </c>
      <c r="B318" s="18" t="str" cm="1">
        <f t="array" ref="B318">VLOOKUP(A318,'Player Data'!A1:B673,2,FALSE)</f>
        <v>DET</v>
      </c>
      <c r="C318" s="52" cm="1">
        <f t="array" ref="C318">((E318)*Settings!$C$12)+(F318*Settings!$C$2)+(G318*Settings!$C$3)+(H318*Settings!$C$4)+(I318*Settings!$C$5)+(K318*Settings!$C$9)+(N318*Settings!$C$6)+(J318*Settings!$C$8)+(O318*Settings!$C$7)+(P318*Settings!$C$14)+(Q318*Settings!$C$15)+(R318*Settings!$C$16)+(S318*Settings!$C$17)+(T318*Settings!$C$18)+(U318*Settings!$C$19)+(L318*Settings!$C$10)+(Settings!$C$11*M318)</f>
        <v>-1.254224741914155</v>
      </c>
      <c r="D318" s="57" cm="1">
        <f t="array" ref="D318">IF(Settings!$E$12="YES",VLOOKUP(A318,'Player Data'!A1:E673,5,FALSE),82)</f>
        <v>68</v>
      </c>
      <c r="E318" s="55" cm="1">
        <f t="array" ref="E318">(VLOOKUP($A318,'The List'!$B1:$AH671,17,FALSE)-AVERAGE('The List'!R2:R671))/STDEV('The List'!R2:R671)</f>
        <v>-0.84319352164026595</v>
      </c>
      <c r="F318" s="55" cm="1">
        <f t="array" ref="F318">(VLOOKUP($A318,'The List'!$B1:$AH671,18,FALSE)-AVERAGE('The List'!S2:S671))/STDEV('The List'!S2:S671)</f>
        <v>-0.15101547003602983</v>
      </c>
      <c r="G318" s="55" cm="1">
        <f t="array" ref="G318">(VLOOKUP($A318,'The List'!$B1:$AH671,19,FALSE)-AVERAGE('The List'!T2:T671))/STDEV('The List'!T2:T671)</f>
        <v>-0.18095813677861119</v>
      </c>
      <c r="H318" s="55" cm="1">
        <f t="array" ref="H318">(VLOOKUP($A318,'The List'!$B1:$AH671,20,FALSE)-AVERAGE('The List'!U2:U671))/STDEV('The List'!U2:U671)</f>
        <v>-0.18073363247961305</v>
      </c>
      <c r="I318" s="55" cm="1">
        <f t="array" ref="I318">(VLOOKUP($A318,'The List'!$B1:$AH671,21,FALSE)-AVERAGE('The List'!V2:V671))/STDEV('The List'!V2:V671)</f>
        <v>-0.26909405866441455</v>
      </c>
      <c r="J318" s="55" cm="1">
        <f t="array" ref="J318">(VLOOKUP($A318,'The List'!$B1:$AH671,22,FALSE)-AVERAGE('The List'!W2:W671))/STDEV('The List'!W2:W671)</f>
        <v>1.2716451102342919E-2</v>
      </c>
      <c r="K318" s="55" cm="1">
        <f t="array" ref="K318">(VLOOKUP($A318,'The List'!$B1:$AH671,23,FALSE)-AVERAGE('The List'!X2:X671))/STDEV('The List'!X2:X671)</f>
        <v>0.42848949558416116</v>
      </c>
      <c r="L318" s="55" cm="1">
        <f t="array" ref="L318">(VLOOKUP($A318,'The List'!$B1:$AH671,24,FALSE)-AVERAGE('The List'!Y2:Y671))/STDEV('The List'!Y2:Y671)</f>
        <v>-0.47546929358800777</v>
      </c>
      <c r="M318" s="55" cm="1">
        <f t="array" ref="M318">(VLOOKUP($A318,'The List'!$B1:$AH671,25,FALSE)-AVERAGE('The List'!Z2:Z671))/STDEV('The List'!Z2:Z671)</f>
        <v>-0.64388478613809508</v>
      </c>
      <c r="N318" s="55" cm="1">
        <f t="array" ref="N318">(VLOOKUP($A318,'The List'!$B1:$AH671,26,FALSE)-AVERAGE('The List'!AA2:AA671))/STDEV('The List'!AA2:AA671)</f>
        <v>-0.82404749716279457</v>
      </c>
      <c r="O318" s="55" cm="1">
        <f t="array" ref="O318">(VLOOKUP($A318,'The List'!$B1:$AH671,27,FALSE)-AVERAGE('The List'!AB2:AB671))/STDEV('The List'!AB2:AB671)</f>
        <v>-0.68153892241344671</v>
      </c>
      <c r="P318" s="55" cm="1">
        <f t="array" ref="P318">(VLOOKUP($A318,'The List'!$B1:$AH671,28,FALSE)-AVERAGE('The List'!AC2:AC671))/STDEV('The List'!AC2:AC671)</f>
        <v>-0.40010764960581385</v>
      </c>
      <c r="Q318" s="55" cm="1">
        <f t="array" ref="Q318">(VLOOKUP($A318,'The List'!$B1:$AH671,29,FALSE)-AVERAGE('The List'!AD2:AD671))/STDEV('The List'!AD2:AD671)</f>
        <v>-0.96705285915852512</v>
      </c>
      <c r="R318" s="55" cm="1">
        <f t="array" ref="R318">(VLOOKUP($A318,'The List'!$B1:$AH671,30,FALSE)-AVERAGE('The List'!AE2:AE671))/STDEV('The List'!AE2:AE671)</f>
        <v>-7.194737977918414E-2</v>
      </c>
      <c r="S318" s="55" cm="1">
        <f t="array" ref="S318">(VLOOKUP($A318,'The List'!$B1:$AH671,31,FALSE)-AVERAGE('The List'!AF2:AF671))/STDEV('The List'!AF2:AF671)</f>
        <v>0.19534061792694668</v>
      </c>
      <c r="T318" s="55" cm="1">
        <f t="array" ref="T318">(VLOOKUP($A318,'The List'!$B1:$AH671,32,FALSE)-AVERAGE('The List'!AG2:AG671))/STDEV('The List'!AG2:AG671)</f>
        <v>0.74474552407342187</v>
      </c>
      <c r="U318" s="55" cm="1">
        <f t="array" ref="U318">(VLOOKUP($A318,'The List'!$B1:$AH671,33,FALSE)-AVERAGE('The List'!AH2:AH671))/STDEV('The List'!AH2:AH671)</f>
        <v>0.49270786602453809</v>
      </c>
      <c r="V318" s="55"/>
      <c r="W318" s="77"/>
      <c r="X318" s="57"/>
      <c r="Y318" s="57"/>
      <c r="Z318" s="57"/>
      <c r="AA318" s="57"/>
      <c r="AB318" s="57"/>
      <c r="AC318" s="60"/>
      <c r="AD318" s="61"/>
      <c r="AE318" s="55"/>
    </row>
    <row r="319" spans="1:31" ht="21.25" customHeight="1" x14ac:dyDescent="0.15">
      <c r="A319" s="10" t="s">
        <v>636</v>
      </c>
      <c r="B319" s="18" t="str" cm="1">
        <f t="array" ref="B319">VLOOKUP(A319,'Player Data'!A1:B673,2,FALSE)</f>
        <v>FLA</v>
      </c>
      <c r="C319" s="52" cm="1">
        <f t="array" ref="C319">((E319)*Settings!$C$12)+(F319*Settings!$C$2)+(G319*Settings!$C$3)+(H319*Settings!$C$4)+(I319*Settings!$C$5)+(K319*Settings!$C$9)+(N319*Settings!$C$6)+(J319*Settings!$C$8)+(O319*Settings!$C$7)+(P319*Settings!$C$14)+(Q319*Settings!$C$15)+(R319*Settings!$C$16)+(S319*Settings!$C$17)+(T319*Settings!$C$18)+(U319*Settings!$C$19)+(L319*Settings!$C$10)+(Settings!$C$11*M319)</f>
        <v>-0.14960350416542734</v>
      </c>
      <c r="D319" s="57" cm="1">
        <f t="array" ref="D319">IF(Settings!$E$12="YES",VLOOKUP(A319,'Player Data'!A1:E673,5,FALSE),82)</f>
        <v>82</v>
      </c>
      <c r="E319" s="55" cm="1">
        <f t="array" ref="E319">(VLOOKUP($A319,'The List'!$B1:$AH671,17,FALSE)-AVERAGE('The List'!R2:R671))/STDEV('The List'!R2:R671)</f>
        <v>-0.50217608935513669</v>
      </c>
      <c r="F319" s="55" cm="1">
        <f t="array" ref="F319">(VLOOKUP($A319,'The List'!$B1:$AH671,18,FALSE)-AVERAGE('The List'!S2:S671))/STDEV('The List'!S2:S671)</f>
        <v>-0.30868987942892939</v>
      </c>
      <c r="G319" s="55" cm="1">
        <f t="array" ref="G319">(VLOOKUP($A319,'The List'!$B1:$AH671,19,FALSE)-AVERAGE('The List'!T2:T671))/STDEV('The List'!T2:T671)</f>
        <v>-0.27934099955898795</v>
      </c>
      <c r="H319" s="55" cm="1">
        <f t="array" ref="H319">(VLOOKUP($A319,'The List'!$B1:$AH671,20,FALSE)-AVERAGE('The List'!U2:U671))/STDEV('The List'!U2:U671)</f>
        <v>-0.31247112165875873</v>
      </c>
      <c r="I319" s="55" cm="1">
        <f t="array" ref="I319">(VLOOKUP($A319,'The List'!$B1:$AH671,21,FALSE)-AVERAGE('The List'!V2:V671))/STDEV('The List'!V2:V671)</f>
        <v>-0.45568844196872038</v>
      </c>
      <c r="J319" s="55" cm="1">
        <f t="array" ref="J319">(VLOOKUP($A319,'The List'!$B1:$AH671,22,FALSE)-AVERAGE('The List'!W2:W671))/STDEV('The List'!W2:W671)</f>
        <v>-0.73853908386105271</v>
      </c>
      <c r="K319" s="55" cm="1">
        <f t="array" ref="K319">(VLOOKUP($A319,'The List'!$B1:$AH671,23,FALSE)-AVERAGE('The List'!X2:X671))/STDEV('The List'!X2:X671)</f>
        <v>-0.80155300200843405</v>
      </c>
      <c r="L319" s="55" cm="1">
        <f t="array" ref="L319">(VLOOKUP($A319,'The List'!$B1:$AH671,24,FALSE)-AVERAGE('The List'!Y2:Y671))/STDEV('The List'!Y2:Y671)</f>
        <v>-0.47546929358800777</v>
      </c>
      <c r="M319" s="55" cm="1">
        <f t="array" ref="M319">(VLOOKUP($A319,'The List'!$B1:$AH671,25,FALSE)-AVERAGE('The List'!Z2:Z671))/STDEV('The List'!Z2:Z671)</f>
        <v>0.24714316765550046</v>
      </c>
      <c r="N319" s="55" cm="1">
        <f t="array" ref="N319">(VLOOKUP($A319,'The List'!$B1:$AH671,26,FALSE)-AVERAGE('The List'!AA2:AA671))/STDEV('The List'!AA2:AA671)</f>
        <v>-0.17786118339383117</v>
      </c>
      <c r="O319" s="55" cm="1">
        <f t="array" ref="O319">(VLOOKUP($A319,'The List'!$B1:$AH671,27,FALSE)-AVERAGE('The List'!AB2:AB671))/STDEV('The List'!AB2:AB671)</f>
        <v>1.0887326013220744</v>
      </c>
      <c r="P319" s="55" cm="1">
        <f t="array" ref="P319">(VLOOKUP($A319,'The List'!$B1:$AH671,28,FALSE)-AVERAGE('The List'!AC2:AC671))/STDEV('The List'!AC2:AC671)</f>
        <v>0.60693621747757009</v>
      </c>
      <c r="Q319" s="55" cm="1">
        <f t="array" ref="Q319">(VLOOKUP($A319,'The List'!$B1:$AH671,29,FALSE)-AVERAGE('The List'!AD2:AD671))/STDEV('The List'!AD2:AD671)</f>
        <v>-0.25332959746540507</v>
      </c>
      <c r="R319" s="55" cm="1">
        <f t="array" ref="R319">(VLOOKUP($A319,'The List'!$B1:$AH671,30,FALSE)-AVERAGE('The List'!AE2:AE671))/STDEV('The List'!AE2:AE671)</f>
        <v>-0.32146693937936244</v>
      </c>
      <c r="S319" s="55" cm="1">
        <f t="array" ref="S319">(VLOOKUP($A319,'The List'!$B1:$AH671,31,FALSE)-AVERAGE('The List'!AF2:AF671))/STDEV('The List'!AF2:AF671)</f>
        <v>-0.11485375848158658</v>
      </c>
      <c r="T319" s="55" cm="1">
        <f t="array" ref="T319">(VLOOKUP($A319,'The List'!$B1:$AH671,32,FALSE)-AVERAGE('The List'!AG2:AG671))/STDEV('The List'!AG2:AG671)</f>
        <v>-7.3529611169640366E-2</v>
      </c>
      <c r="U319" s="55" cm="1">
        <f t="array" ref="U319">(VLOOKUP($A319,'The List'!$B1:$AH671,33,FALSE)-AVERAGE('The List'!AH2:AH671))/STDEV('The List'!AH2:AH671)</f>
        <v>0.90670088733062781</v>
      </c>
      <c r="V319" s="55"/>
      <c r="W319" s="77"/>
      <c r="X319" s="57"/>
      <c r="Y319" s="57"/>
      <c r="Z319" s="57"/>
      <c r="AA319" s="57"/>
      <c r="AB319" s="57"/>
      <c r="AC319" s="60"/>
      <c r="AD319" s="61"/>
      <c r="AE319" s="55"/>
    </row>
    <row r="320" spans="1:31" ht="21.25" customHeight="1" x14ac:dyDescent="0.15">
      <c r="A320" s="10" t="s">
        <v>601</v>
      </c>
      <c r="B320" s="18" t="str" cm="1">
        <f t="array" ref="B320">VLOOKUP(A320,'Player Data'!A1:B673,2,FALSE)</f>
        <v>ANA</v>
      </c>
      <c r="C320" s="52" cm="1">
        <f t="array" ref="C320">((E320)*Settings!$C$12)+(F320*Settings!$C$2)+(G320*Settings!$C$3)+(H320*Settings!$C$4)+(I320*Settings!$C$5)+(K320*Settings!$C$9)+(N320*Settings!$C$6)+(J320*Settings!$C$8)+(O320*Settings!$C$7)+(P320*Settings!$C$14)+(Q320*Settings!$C$15)+(R320*Settings!$C$16)+(S320*Settings!$C$17)+(T320*Settings!$C$18)+(U320*Settings!$C$19)+(L320*Settings!$C$10)+(Settings!$C$11*M320)</f>
        <v>-1.2081383921809659</v>
      </c>
      <c r="D320" s="57" cm="1">
        <f t="array" ref="D320">IF(Settings!$E$12="YES",VLOOKUP(A320,'Player Data'!A1:E673,5,FALSE),82)</f>
        <v>82</v>
      </c>
      <c r="E320" s="55" cm="1">
        <f t="array" ref="E320">(VLOOKUP($A320,'The List'!$B1:$AH671,17,FALSE)-AVERAGE('The List'!R2:R671))/STDEV('The List'!R2:R671)</f>
        <v>2.2466114160446121E-2</v>
      </c>
      <c r="F320" s="55" cm="1">
        <f t="array" ref="F320">(VLOOKUP($A320,'The List'!$B1:$AH671,18,FALSE)-AVERAGE('The List'!S2:S671))/STDEV('The List'!S2:S671)</f>
        <v>0.10046523355264535</v>
      </c>
      <c r="G320" s="55" cm="1">
        <f t="array" ref="G320">(VLOOKUP($A320,'The List'!$B1:$AH671,19,FALSE)-AVERAGE('The List'!T2:T671))/STDEV('The List'!T2:T671)</f>
        <v>-0.45221374415879306</v>
      </c>
      <c r="H320" s="55" cm="1">
        <f t="array" ref="H320">(VLOOKUP($A320,'The List'!$B1:$AH671,20,FALSE)-AVERAGE('The List'!U2:U671))/STDEV('The List'!U2:U671)</f>
        <v>-0.23997129539909479</v>
      </c>
      <c r="I320" s="55" cm="1">
        <f t="array" ref="I320">(VLOOKUP($A320,'The List'!$B1:$AH671,21,FALSE)-AVERAGE('The List'!V2:V671))/STDEV('The List'!V2:V671)</f>
        <v>0.39435263752867328</v>
      </c>
      <c r="J320" s="55" cm="1">
        <f t="array" ref="J320">(VLOOKUP($A320,'The List'!$B1:$AH671,22,FALSE)-AVERAGE('The List'!W2:W671))/STDEV('The List'!W2:W671)</f>
        <v>-0.28557618778018184</v>
      </c>
      <c r="K320" s="55" cm="1">
        <f t="array" ref="K320">(VLOOKUP($A320,'The List'!$B1:$AH671,23,FALSE)-AVERAGE('The List'!X2:X671))/STDEV('The List'!X2:X671)</f>
        <v>-0.38952896278215621</v>
      </c>
      <c r="L320" s="55" cm="1">
        <f t="array" ref="L320">(VLOOKUP($A320,'The List'!$B1:$AH671,24,FALSE)-AVERAGE('The List'!Y2:Y671))/STDEV('The List'!Y2:Y671)</f>
        <v>-0.47546929358800777</v>
      </c>
      <c r="M320" s="55" cm="1">
        <f t="array" ref="M320">(VLOOKUP($A320,'The List'!$B1:$AH671,25,FALSE)-AVERAGE('The List'!Z2:Z671))/STDEV('The List'!Z2:Z671)</f>
        <v>1.1381711214490962</v>
      </c>
      <c r="N320" s="55" cm="1">
        <f t="array" ref="N320">(VLOOKUP($A320,'The List'!$B1:$AH671,26,FALSE)-AVERAGE('The List'!AA2:AA671))/STDEV('The List'!AA2:AA671)</f>
        <v>-0.8061688244498193</v>
      </c>
      <c r="O320" s="55" cm="1">
        <f t="array" ref="O320">(VLOOKUP($A320,'The List'!$B1:$AH671,27,FALSE)-AVERAGE('The List'!AB2:AB671))/STDEV('The List'!AB2:AB671)</f>
        <v>-0.22236705891558115</v>
      </c>
      <c r="P320" s="55" cm="1">
        <f t="array" ref="P320">(VLOOKUP($A320,'The List'!$B1:$AH671,28,FALSE)-AVERAGE('The List'!AC2:AC671))/STDEV('The List'!AC2:AC671)</f>
        <v>-0.63884649740575394</v>
      </c>
      <c r="Q320" s="55" cm="1">
        <f t="array" ref="Q320">(VLOOKUP($A320,'The List'!$B1:$AH671,29,FALSE)-AVERAGE('The List'!AD2:AD671))/STDEV('The List'!AD2:AD671)</f>
        <v>0.17076683339572432</v>
      </c>
      <c r="R320" s="55" cm="1">
        <f t="array" ref="R320">(VLOOKUP($A320,'The List'!$B1:$AH671,30,FALSE)-AVERAGE('The List'!AE2:AE671))/STDEV('The List'!AE2:AE671)</f>
        <v>0.19004815780100306</v>
      </c>
      <c r="S320" s="55" cm="1">
        <f t="array" ref="S320">(VLOOKUP($A320,'The List'!$B1:$AH671,31,FALSE)-AVERAGE('The List'!AF2:AF671))/STDEV('The List'!AF2:AF671)</f>
        <v>-0.43024047721065939</v>
      </c>
      <c r="T320" s="55" cm="1">
        <f t="array" ref="T320">(VLOOKUP($A320,'The List'!$B1:$AH671,32,FALSE)-AVERAGE('The List'!AG2:AG671))/STDEV('The List'!AG2:AG671)</f>
        <v>-0.32043088997130781</v>
      </c>
      <c r="U320" s="55" cm="1">
        <f t="array" ref="U320">(VLOOKUP($A320,'The List'!$B1:$AH671,33,FALSE)-AVERAGE('The List'!AH2:AH671))/STDEV('The List'!AH2:AH671)</f>
        <v>0.35471019225584138</v>
      </c>
      <c r="V320" s="55"/>
      <c r="W320" s="77"/>
      <c r="X320" s="57"/>
      <c r="Y320" s="57"/>
      <c r="Z320" s="57"/>
      <c r="AA320" s="57"/>
      <c r="AB320" s="57"/>
      <c r="AC320" s="60"/>
      <c r="AD320" s="61"/>
      <c r="AE320" s="55"/>
    </row>
    <row r="321" spans="1:31" ht="21.25" customHeight="1" x14ac:dyDescent="0.15">
      <c r="A321" s="10" t="s">
        <v>361</v>
      </c>
      <c r="B321" s="18" t="str" cm="1">
        <f t="array" ref="B321">VLOOKUP(A321,'Player Data'!A1:B673,2,FALSE)</f>
        <v>CBJ</v>
      </c>
      <c r="C321" s="52" cm="1">
        <f t="array" ref="C321">((E321)*Settings!$C$12)+(F321*Settings!$C$2)+(G321*Settings!$C$3)+(H321*Settings!$C$4)+(I321*Settings!$C$5)+(K321*Settings!$C$9)+(N321*Settings!$C$6)+(J321*Settings!$C$8)+(O321*Settings!$C$7)+(P321*Settings!$C$14)+(Q321*Settings!$C$15)+(R321*Settings!$C$16)+(S321*Settings!$C$17)+(T321*Settings!$C$18)+(U321*Settings!$C$19)+(L321*Settings!$C$10)+(Settings!$C$11*M321)</f>
        <v>-2.1668262058937966</v>
      </c>
      <c r="D321" s="57" cm="1">
        <f t="array" ref="D321">IF(Settings!$E$12="YES",VLOOKUP(A321,'Player Data'!A1:E673,5,FALSE),82)</f>
        <v>79</v>
      </c>
      <c r="E321" s="55" cm="1">
        <f t="array" ref="E321">(VLOOKUP($A321,'The List'!$B1:$AH671,17,FALSE)-AVERAGE('The List'!R2:R671))/STDEV('The List'!R2:R671)</f>
        <v>0.70450097873070472</v>
      </c>
      <c r="F321" s="55" cm="1">
        <f t="array" ref="F321">(VLOOKUP($A321,'The List'!$B1:$AH671,18,FALSE)-AVERAGE('The List'!S2:S671))/STDEV('The List'!S2:S671)</f>
        <v>-0.66295833091297585</v>
      </c>
      <c r="G321" s="55" cm="1">
        <f t="array" ref="G321">(VLOOKUP($A321,'The List'!$B1:$AH671,19,FALSE)-AVERAGE('The List'!T2:T671))/STDEV('The List'!T2:T671)</f>
        <v>-0.16338976842497224</v>
      </c>
      <c r="H321" s="55" cm="1">
        <f t="array" ref="H321">(VLOOKUP($A321,'The List'!$B1:$AH671,20,FALSE)-AVERAGE('The List'!U2:U671))/STDEV('The List'!U2:U671)</f>
        <v>-0.39646482281324746</v>
      </c>
      <c r="I321" s="55" cm="1">
        <f t="array" ref="I321">(VLOOKUP($A321,'The List'!$B1:$AH671,21,FALSE)-AVERAGE('The List'!V2:V671))/STDEV('The List'!V2:V671)</f>
        <v>-0.54622127238673535</v>
      </c>
      <c r="J321" s="55" cm="1">
        <f t="array" ref="J321">(VLOOKUP($A321,'The List'!$B1:$AH671,22,FALSE)-AVERAGE('The List'!W2:W671))/STDEV('The List'!W2:W671)</f>
        <v>-0.73853908386105271</v>
      </c>
      <c r="K321" s="55" cm="1">
        <f t="array" ref="K321">(VLOOKUP($A321,'The List'!$B1:$AH671,23,FALSE)-AVERAGE('The List'!X2:X671))/STDEV('The List'!X2:X671)</f>
        <v>-0.64277300640416113</v>
      </c>
      <c r="L321" s="55" cm="1">
        <f t="array" ref="L321">(VLOOKUP($A321,'The List'!$B1:$AH671,24,FALSE)-AVERAGE('The List'!Y2:Y671))/STDEV('The List'!Y2:Y671)</f>
        <v>-0.47546929358800777</v>
      </c>
      <c r="M321" s="55" cm="1">
        <f t="array" ref="M321">(VLOOKUP($A321,'The List'!$B1:$AH671,25,FALSE)-AVERAGE('The List'!Z2:Z671))/STDEV('The List'!Z2:Z671)</f>
        <v>-0.64388478613809508</v>
      </c>
      <c r="N321" s="55" cm="1">
        <f t="array" ref="N321">(VLOOKUP($A321,'The List'!$B1:$AH671,26,FALSE)-AVERAGE('The List'!AA2:AA671))/STDEV('The List'!AA2:AA671)</f>
        <v>0.89920114275783636</v>
      </c>
      <c r="O321" s="55" cm="1">
        <f t="array" ref="O321">(VLOOKUP($A321,'The List'!$B1:$AH671,27,FALSE)-AVERAGE('The List'!AB2:AB671))/STDEV('The List'!AB2:AB671)</f>
        <v>-0.73237580730071028</v>
      </c>
      <c r="P321" s="55" cm="1">
        <f t="array" ref="P321">(VLOOKUP($A321,'The List'!$B1:$AH671,28,FALSE)-AVERAGE('The List'!AC2:AC671))/STDEV('The List'!AC2:AC671)</f>
        <v>0.58089197953575833</v>
      </c>
      <c r="Q321" s="55" cm="1">
        <f t="array" ref="Q321">(VLOOKUP($A321,'The List'!$B1:$AH671,29,FALSE)-AVERAGE('The List'!AD2:AD671))/STDEV('The List'!AD2:AD671)</f>
        <v>1.2450459457164251</v>
      </c>
      <c r="R321" s="55" cm="1">
        <f t="array" ref="R321">(VLOOKUP($A321,'The List'!$B1:$AH671,30,FALSE)-AVERAGE('The List'!AE2:AE671))/STDEV('The List'!AE2:AE671)</f>
        <v>-0.35889487331938924</v>
      </c>
      <c r="S321" s="55" cm="1">
        <f t="array" ref="S321">(VLOOKUP($A321,'The List'!$B1:$AH671,31,FALSE)-AVERAGE('The List'!AF2:AF671))/STDEV('The List'!AF2:AF671)</f>
        <v>-0.59581850454342256</v>
      </c>
      <c r="T321" s="55" cm="1">
        <f t="array" ref="T321">(VLOOKUP($A321,'The List'!$B1:$AH671,32,FALSE)-AVERAGE('The List'!AG2:AG671))/STDEV('The List'!AG2:AG671)</f>
        <v>-0.64684275008198677</v>
      </c>
      <c r="U321" s="55" cm="1">
        <f t="array" ref="U321">(VLOOKUP($A321,'The List'!$B1:$AH671,33,FALSE)-AVERAGE('The List'!AH2:AH671))/STDEV('The List'!AH2:AH671)</f>
        <v>-1.2552626683789523</v>
      </c>
      <c r="V321" s="55"/>
      <c r="W321" s="57"/>
      <c r="X321" s="55"/>
      <c r="Y321" s="55"/>
      <c r="Z321" s="55"/>
      <c r="AA321" s="55"/>
      <c r="AB321" s="55"/>
      <c r="AC321" s="55"/>
      <c r="AD321" s="55"/>
      <c r="AE321" s="55"/>
    </row>
    <row r="322" spans="1:31" ht="21.25" customHeight="1" x14ac:dyDescent="0.15">
      <c r="A322" s="10" t="s">
        <v>679</v>
      </c>
      <c r="B322" s="18" t="str" cm="1">
        <f t="array" ref="B322">VLOOKUP(A322,'Player Data'!A1:B673,2,FALSE)</f>
        <v>STL</v>
      </c>
      <c r="C322" s="52" cm="1">
        <f t="array" ref="C322">((E322)*Settings!$C$12)+(F322*Settings!$C$2)+(G322*Settings!$C$3)+(H322*Settings!$C$4)+(I322*Settings!$C$5)+(K322*Settings!$C$9)+(N322*Settings!$C$6)+(J322*Settings!$C$8)+(O322*Settings!$C$7)+(P322*Settings!$C$14)+(Q322*Settings!$C$15)+(R322*Settings!$C$16)+(S322*Settings!$C$17)+(T322*Settings!$C$18)+(U322*Settings!$C$19)+(L322*Settings!$C$10)+(Settings!$C$11*M322)</f>
        <v>-4.5401849625870749</v>
      </c>
      <c r="D322" s="57" cm="1">
        <f t="array" ref="D322">IF(Settings!$E$12="YES",VLOOKUP(A322,'Player Data'!A1:E673,5,FALSE),82)</f>
        <v>75</v>
      </c>
      <c r="E322" s="55" cm="1">
        <f t="array" ref="E322">(VLOOKUP($A322,'The List'!$B1:$AH671,17,FALSE)-AVERAGE('The List'!R2:R671))/STDEV('The List'!R2:R671)</f>
        <v>-0.89565774199182402</v>
      </c>
      <c r="F322" s="55" cm="1">
        <f t="array" ref="F322">(VLOOKUP($A322,'The List'!$B1:$AH671,18,FALSE)-AVERAGE('The List'!S2:S671))/STDEV('The List'!S2:S671)</f>
        <v>-0.77372959320798751</v>
      </c>
      <c r="G322" s="55" cm="1">
        <f t="array" ref="G322">(VLOOKUP($A322,'The List'!$B1:$AH671,19,FALSE)-AVERAGE('The List'!T2:T671))/STDEV('The List'!T2:T671)</f>
        <v>-0.50281064501727246</v>
      </c>
      <c r="H322" s="55" cm="1">
        <f t="array" ref="H322">(VLOOKUP($A322,'The List'!$B1:$AH671,20,FALSE)-AVERAGE('The List'!U2:U671))/STDEV('The List'!U2:U671)</f>
        <v>-0.65905565694886004</v>
      </c>
      <c r="I322" s="55" cm="1">
        <f t="array" ref="I322">(VLOOKUP($A322,'The List'!$B1:$AH671,21,FALSE)-AVERAGE('The List'!V2:V671))/STDEV('The List'!V2:V671)</f>
        <v>-0.86239508854125357</v>
      </c>
      <c r="J322" s="55" cm="1">
        <f t="array" ref="J322">(VLOOKUP($A322,'The List'!$B1:$AH671,22,FALSE)-AVERAGE('The List'!W2:W671))/STDEV('The List'!W2:W671)</f>
        <v>-0.73853908386105271</v>
      </c>
      <c r="K322" s="55" cm="1">
        <f t="array" ref="K322">(VLOOKUP($A322,'The List'!$B1:$AH671,23,FALSE)-AVERAGE('The List'!X2:X671))/STDEV('The List'!X2:X671)</f>
        <v>-0.80155300200843405</v>
      </c>
      <c r="L322" s="55" cm="1">
        <f t="array" ref="L322">(VLOOKUP($A322,'The List'!$B1:$AH671,24,FALSE)-AVERAGE('The List'!Y2:Y671))/STDEV('The List'!Y2:Y671)</f>
        <v>-0.47546929358800777</v>
      </c>
      <c r="M322" s="55" cm="1">
        <f t="array" ref="M322">(VLOOKUP($A322,'The List'!$B1:$AH671,25,FALSE)-AVERAGE('The List'!Z2:Z671))/STDEV('The List'!Z2:Z671)</f>
        <v>-0.64388478613809508</v>
      </c>
      <c r="N322" s="55" cm="1">
        <f t="array" ref="N322">(VLOOKUP($A322,'The List'!$B1:$AH671,26,FALSE)-AVERAGE('The List'!AA2:AA671))/STDEV('The List'!AA2:AA671)</f>
        <v>-0.91420708955822705</v>
      </c>
      <c r="O322" s="55" cm="1">
        <f t="array" ref="O322">(VLOOKUP($A322,'The List'!$B1:$AH671,27,FALSE)-AVERAGE('The List'!AB2:AB671))/STDEV('The List'!AB2:AB671)</f>
        <v>-1.1692040399408672</v>
      </c>
      <c r="P322" s="55" cm="1">
        <f t="array" ref="P322">(VLOOKUP($A322,'The List'!$B1:$AH671,28,FALSE)-AVERAGE('The List'!AC2:AC671))/STDEV('The List'!AC2:AC671)</f>
        <v>-0.43049259387126076</v>
      </c>
      <c r="Q322" s="55" cm="1">
        <f t="array" ref="Q322">(VLOOKUP($A322,'The List'!$B1:$AH671,29,FALSE)-AVERAGE('The List'!AD2:AD671))/STDEV('The List'!AD2:AD671)</f>
        <v>-1.265545817464965</v>
      </c>
      <c r="R322" s="55" cm="1">
        <f t="array" ref="R322">(VLOOKUP($A322,'The List'!$B1:$AH671,30,FALSE)-AVERAGE('The List'!AE2:AE671))/STDEV('The List'!AE2:AE671)</f>
        <v>-0.87664795948975927</v>
      </c>
      <c r="S322" s="55" cm="1">
        <f t="array" ref="S322">(VLOOKUP($A322,'The List'!$B1:$AH671,31,FALSE)-AVERAGE('The List'!AF2:AF671))/STDEV('The List'!AF2:AF671)</f>
        <v>-0.21360441705925659</v>
      </c>
      <c r="T322" s="55" cm="1">
        <f t="array" ref="T322">(VLOOKUP($A322,'The List'!$B1:$AH671,32,FALSE)-AVERAGE('The List'!AG2:AG671))/STDEV('The List'!AG2:AG671)</f>
        <v>-0.21050419411789908</v>
      </c>
      <c r="U322" s="55" cm="1">
        <f t="array" ref="U322">(VLOOKUP($A322,'The List'!$B1:$AH671,33,FALSE)-AVERAGE('The List'!AH2:AH671))/STDEV('The List'!AH2:AH671)</f>
        <v>0.95270011192019333</v>
      </c>
      <c r="V322" s="55"/>
      <c r="W322" s="77"/>
      <c r="X322" s="57"/>
      <c r="Y322" s="57"/>
      <c r="Z322" s="57"/>
      <c r="AA322" s="57"/>
      <c r="AB322" s="57"/>
      <c r="AC322" s="60"/>
      <c r="AD322" s="61"/>
      <c r="AE322" s="55"/>
    </row>
    <row r="323" spans="1:31" ht="21.25" customHeight="1" x14ac:dyDescent="0.15">
      <c r="A323" s="10" t="s">
        <v>564</v>
      </c>
      <c r="B323" s="18" t="str" cm="1">
        <f t="array" ref="B323">VLOOKUP(A323,'Player Data'!A1:B673,2,FALSE)</f>
        <v>ANA</v>
      </c>
      <c r="C323" s="52" cm="1">
        <f t="array" ref="C323">((E323)*Settings!$C$12)+(F323*Settings!$C$2)+(G323*Settings!$C$3)+(H323*Settings!$C$4)+(I323*Settings!$C$5)+(K323*Settings!$C$9)+(N323*Settings!$C$6)+(J323*Settings!$C$8)+(O323*Settings!$C$7)+(P323*Settings!$C$14)+(Q323*Settings!$C$15)+(R323*Settings!$C$16)+(S323*Settings!$C$17)+(T323*Settings!$C$18)+(U323*Settings!$C$19)+(L323*Settings!$C$10)+(Settings!$C$11*M323)</f>
        <v>-0.1453626255798206</v>
      </c>
      <c r="D323" s="57" cm="1">
        <f t="array" ref="D323">IF(Settings!$E$12="YES",VLOOKUP(A323,'Player Data'!A1:E673,5,FALSE),82)</f>
        <v>78</v>
      </c>
      <c r="E323" s="55" cm="1">
        <f t="array" ref="E323">(VLOOKUP($A323,'The List'!$B1:$AH671,17,FALSE)-AVERAGE('The List'!R2:R671))/STDEV('The List'!R2:R671)</f>
        <v>-0.76449719111292824</v>
      </c>
      <c r="F323" s="55" cm="1">
        <f t="array" ref="F323">(VLOOKUP($A323,'The List'!$B1:$AH671,18,FALSE)-AVERAGE('The List'!S2:S671))/STDEV('The List'!S2:S671)</f>
        <v>0.10645286935237576</v>
      </c>
      <c r="G323" s="55" cm="1">
        <f t="array" ref="G323">(VLOOKUP($A323,'The List'!$B1:$AH671,19,FALSE)-AVERAGE('The List'!T2:T671))/STDEV('The List'!T2:T671)</f>
        <v>-0.62087008035372471</v>
      </c>
      <c r="H323" s="55" cm="1">
        <f t="array" ref="H323">(VLOOKUP($A323,'The List'!$B1:$AH671,20,FALSE)-AVERAGE('The List'!U2:U671))/STDEV('The List'!U2:U671)</f>
        <v>-0.34341616945251774</v>
      </c>
      <c r="I323" s="55" cm="1">
        <f t="array" ref="I323">(VLOOKUP($A323,'The List'!$B1:$AH671,21,FALSE)-AVERAGE('The List'!V2:V671))/STDEV('The List'!V2:V671)</f>
        <v>0.71329081491732904</v>
      </c>
      <c r="J323" s="55" cm="1">
        <f t="array" ref="J323">(VLOOKUP($A323,'The List'!$B1:$AH671,22,FALSE)-AVERAGE('The List'!W2:W671))/STDEV('The List'!W2:W671)</f>
        <v>0.12319520624401872</v>
      </c>
      <c r="K323" s="55" cm="1">
        <f t="array" ref="K323">(VLOOKUP($A323,'The List'!$B1:$AH671,23,FALSE)-AVERAGE('The List'!X2:X671))/STDEV('The List'!X2:X671)</f>
        <v>-0.25285757416075666</v>
      </c>
      <c r="L323" s="55" cm="1">
        <f t="array" ref="L323">(VLOOKUP($A323,'The List'!$B1:$AH671,24,FALSE)-AVERAGE('The List'!Y2:Y671))/STDEV('The List'!Y2:Y671)</f>
        <v>0.95438708567894381</v>
      </c>
      <c r="M323" s="55" cm="1">
        <f t="array" ref="M323">(VLOOKUP($A323,'The List'!$B1:$AH671,25,FALSE)-AVERAGE('The List'!Z2:Z671))/STDEV('The List'!Z2:Z671)</f>
        <v>0.20367838942166649</v>
      </c>
      <c r="N323" s="55" cm="1">
        <f t="array" ref="N323">(VLOOKUP($A323,'The List'!$B1:$AH671,26,FALSE)-AVERAGE('The List'!AA2:AA671))/STDEV('The List'!AA2:AA671)</f>
        <v>-0.32804203418282335</v>
      </c>
      <c r="O323" s="55" cm="1">
        <f t="array" ref="O323">(VLOOKUP($A323,'The List'!$B1:$AH671,27,FALSE)-AVERAGE('The List'!AB2:AB671))/STDEV('The List'!AB2:AB671)</f>
        <v>1.0292862439942256</v>
      </c>
      <c r="P323" s="55" cm="1">
        <f t="array" ref="P323">(VLOOKUP($A323,'The List'!$B1:$AH671,28,FALSE)-AVERAGE('The List'!AC2:AC671))/STDEV('The List'!AC2:AC671)</f>
        <v>-1.1206648993292696</v>
      </c>
      <c r="Q323" s="55" cm="1">
        <f t="array" ref="Q323">(VLOOKUP($A323,'The List'!$B1:$AH671,29,FALSE)-AVERAGE('The List'!AD2:AD671))/STDEV('The List'!AD2:AD671)</f>
        <v>1.3144972775996069</v>
      </c>
      <c r="R323" s="55" cm="1">
        <f t="array" ref="R323">(VLOOKUP($A323,'The List'!$B1:$AH671,30,FALSE)-AVERAGE('The List'!AE2:AE671))/STDEV('The List'!AE2:AE671)</f>
        <v>0.1151922899209495</v>
      </c>
      <c r="S323" s="55" cm="1">
        <f t="array" ref="S323">(VLOOKUP($A323,'The List'!$B1:$AH671,31,FALSE)-AVERAGE('The List'!AF2:AF671))/STDEV('The List'!AF2:AF671)</f>
        <v>-0.54706817942280062</v>
      </c>
      <c r="T323" s="55" cm="1">
        <f t="array" ref="T323">(VLOOKUP($A323,'The List'!$B1:$AH671,32,FALSE)-AVERAGE('The List'!AG2:AG671))/STDEV('The List'!AG2:AG671)</f>
        <v>-0.57519136615525224</v>
      </c>
      <c r="U323" s="55" cm="1">
        <f t="array" ref="U323">(VLOOKUP($A323,'The List'!$B1:$AH671,33,FALSE)-AVERAGE('The List'!AH2:AH671))/STDEV('The List'!AH2:AH671)</f>
        <v>0.67670476438280014</v>
      </c>
      <c r="V323" s="55"/>
      <c r="W323" s="77"/>
      <c r="X323" s="57"/>
      <c r="Y323" s="57"/>
      <c r="Z323" s="57"/>
      <c r="AA323" s="57"/>
      <c r="AB323" s="57"/>
      <c r="AC323" s="60"/>
      <c r="AD323" s="61"/>
      <c r="AE323" s="55"/>
    </row>
    <row r="324" spans="1:31" ht="21.25" customHeight="1" x14ac:dyDescent="0.15">
      <c r="A324" s="10" t="s">
        <v>715</v>
      </c>
      <c r="B324" s="18" t="str" cm="1">
        <f t="array" ref="B324">VLOOKUP(A324,'Player Data'!A1:B673,2,FALSE)</f>
        <v>WPG</v>
      </c>
      <c r="C324" s="52" cm="1">
        <f t="array" ref="C324">((E324)*Settings!$C$12)+(F324*Settings!$C$2)+(G324*Settings!$C$3)+(H324*Settings!$C$4)+(I324*Settings!$C$5)+(K324*Settings!$C$9)+(N324*Settings!$C$6)+(J324*Settings!$C$8)+(O324*Settings!$C$7)+(P324*Settings!$C$14)+(Q324*Settings!$C$15)+(R324*Settings!$C$16)+(S324*Settings!$C$17)+(T324*Settings!$C$18)+(U324*Settings!$C$19)+(L324*Settings!$C$10)+(Settings!$C$11*M324)</f>
        <v>-3.0971480404689538</v>
      </c>
      <c r="D324" s="57" cm="1">
        <f t="array" ref="D324">IF(Settings!$E$12="YES",VLOOKUP(A324,'Player Data'!A1:E673,5,FALSE),82)</f>
        <v>58</v>
      </c>
      <c r="E324" s="55" cm="1">
        <f t="array" ref="E324">(VLOOKUP($A324,'The List'!$B1:$AH671,17,FALSE)-AVERAGE('The List'!R2:R671))/STDEV('The List'!R2:R671)</f>
        <v>-0.76449719111292824</v>
      </c>
      <c r="F324" s="55" cm="1">
        <f t="array" ref="F324">(VLOOKUP($A324,'The List'!$B1:$AH671,18,FALSE)-AVERAGE('The List'!S2:S671))/STDEV('The List'!S2:S671)</f>
        <v>-0.21488358523315357</v>
      </c>
      <c r="G324" s="55" cm="1">
        <f t="array" ref="G324">(VLOOKUP($A324,'The List'!$B1:$AH671,19,FALSE)-AVERAGE('The List'!T2:T671))/STDEV('The List'!T2:T671)</f>
        <v>-0.80639205016814963</v>
      </c>
      <c r="H324" s="55" cm="1">
        <f t="array" ref="H324">(VLOOKUP($A324,'The List'!$B1:$AH671,20,FALSE)-AVERAGE('The List'!U2:U671))/STDEV('The List'!U2:U671)</f>
        <v>-0.60247042669741491</v>
      </c>
      <c r="I324" s="55" cm="1">
        <f t="array" ref="I324">(VLOOKUP($A324,'The List'!$B1:$AH671,21,FALSE)-AVERAGE('The List'!V2:V671))/STDEV('The List'!V2:V671)</f>
        <v>-0.78119197728845402</v>
      </c>
      <c r="J324" s="55" cm="1">
        <f t="array" ref="J324">(VLOOKUP($A324,'The List'!$B1:$AH671,22,FALSE)-AVERAGE('The List'!W2:W671))/STDEV('The List'!W2:W671)</f>
        <v>-0.25795649899476292</v>
      </c>
      <c r="K324" s="55" cm="1">
        <f t="array" ref="K324">(VLOOKUP($A324,'The List'!$B1:$AH671,23,FALSE)-AVERAGE('The List'!X2:X671))/STDEV('The List'!X2:X671)</f>
        <v>-0.27697605450570967</v>
      </c>
      <c r="L324" s="55" cm="1">
        <f t="array" ref="L324">(VLOOKUP($A324,'The List'!$B1:$AH671,24,FALSE)-AVERAGE('The List'!Y2:Y671))/STDEV('The List'!Y2:Y671)</f>
        <v>-0.47546929358800777</v>
      </c>
      <c r="M324" s="55" cm="1">
        <f t="array" ref="M324">(VLOOKUP($A324,'The List'!$B1:$AH671,25,FALSE)-AVERAGE('The List'!Z2:Z671))/STDEV('The List'!Z2:Z671)</f>
        <v>-0.64388478613809508</v>
      </c>
      <c r="N324" s="55" cm="1">
        <f t="array" ref="N324">(VLOOKUP($A324,'The List'!$B1:$AH671,26,FALSE)-AVERAGE('The List'!AA2:AA671))/STDEV('The List'!AA2:AA671)</f>
        <v>-0.71932955698679646</v>
      </c>
      <c r="O324" s="55" cm="1">
        <f t="array" ref="O324">(VLOOKUP($A324,'The List'!$B1:$AH671,27,FALSE)-AVERAGE('The List'!AB2:AB671))/STDEV('The List'!AB2:AB671)</f>
        <v>-0.91276475367487186</v>
      </c>
      <c r="P324" s="55" cm="1">
        <f t="array" ref="P324">(VLOOKUP($A324,'The List'!$B1:$AH671,28,FALSE)-AVERAGE('The List'!AC2:AC671))/STDEV('The List'!AC2:AC671)</f>
        <v>-0.1049396195986151</v>
      </c>
      <c r="Q324" s="55" cm="1">
        <f t="array" ref="Q324">(VLOOKUP($A324,'The List'!$B1:$AH671,29,FALSE)-AVERAGE('The List'!AD2:AD671))/STDEV('The List'!AD2:AD671)</f>
        <v>-1.5167527625743447</v>
      </c>
      <c r="R324" s="55" cm="1">
        <f t="array" ref="R324">(VLOOKUP($A324,'The List'!$B1:$AH671,30,FALSE)-AVERAGE('The List'!AE2:AE671))/STDEV('The List'!AE2:AE671)</f>
        <v>-0.25908704947931793</v>
      </c>
      <c r="S324" s="55" cm="1">
        <f t="array" ref="S324">(VLOOKUP($A324,'The List'!$B1:$AH671,31,FALSE)-AVERAGE('The List'!AF2:AF671))/STDEV('The List'!AF2:AF671)</f>
        <v>-0.58466458400300414</v>
      </c>
      <c r="T324" s="55" cm="1">
        <f t="array" ref="T324">(VLOOKUP($A324,'The List'!$B1:$AH671,32,FALSE)-AVERAGE('The List'!AG2:AG671))/STDEV('The List'!AG2:AG671)</f>
        <v>-0.62020313298102137</v>
      </c>
      <c r="U324" s="55" cm="1">
        <f t="array" ref="U324">(VLOOKUP($A324,'The List'!$B1:$AH671,33,FALSE)-AVERAGE('The List'!AH2:AH671))/STDEV('The List'!AH2:AH671)</f>
        <v>3.271562012888287E-2</v>
      </c>
      <c r="V324" s="55"/>
      <c r="W324" s="57"/>
      <c r="X324" s="55"/>
      <c r="Y324" s="55"/>
      <c r="Z324" s="55"/>
      <c r="AA324" s="55"/>
      <c r="AB324" s="55"/>
      <c r="AC324" s="55"/>
      <c r="AD324" s="55"/>
      <c r="AE324" s="55"/>
    </row>
    <row r="325" spans="1:31" ht="21.25" customHeight="1" x14ac:dyDescent="0.15">
      <c r="A325" s="10" t="s">
        <v>352</v>
      </c>
      <c r="B325" s="18" t="str" cm="1">
        <f t="array" ref="B325">VLOOKUP(A325,'Player Data'!A1:B673,2,FALSE)</f>
        <v>FLA</v>
      </c>
      <c r="C325" s="52" cm="1">
        <f t="array" ref="C325">((E325)*Settings!$C$12)+(F325*Settings!$C$2)+(G325*Settings!$C$3)+(H325*Settings!$C$4)+(I325*Settings!$C$5)+(K325*Settings!$C$9)+(N325*Settings!$C$6)+(J325*Settings!$C$8)+(O325*Settings!$C$7)+(P325*Settings!$C$14)+(Q325*Settings!$C$15)+(R325*Settings!$C$16)+(S325*Settings!$C$17)+(T325*Settings!$C$18)+(U325*Settings!$C$19)+(L325*Settings!$C$10)+(Settings!$C$11*M325)</f>
        <v>-0.13850420639575778</v>
      </c>
      <c r="D325" s="57" cm="1">
        <f t="array" ref="D325">IF(Settings!$E$12="YES",VLOOKUP(A325,'Player Data'!A1:E673,5,FALSE),82)</f>
        <v>76</v>
      </c>
      <c r="E325" s="55" cm="1">
        <f t="array" ref="E325">(VLOOKUP($A325,'The List'!$B1:$AH671,17,FALSE)-AVERAGE('The List'!R2:R671))/STDEV('The List'!R2:R671)</f>
        <v>1.4652321738283001</v>
      </c>
      <c r="F325" s="55" cm="1">
        <f t="array" ref="F325">(VLOOKUP($A325,'The List'!$B1:$AH671,18,FALSE)-AVERAGE('The List'!S2:S671))/STDEV('The List'!S2:S671)</f>
        <v>-0.99327623919810071</v>
      </c>
      <c r="G325" s="55" cm="1">
        <f t="array" ref="G325">(VLOOKUP($A325,'The List'!$B1:$AH671,19,FALSE)-AVERAGE('The List'!T2:T671))/STDEV('The List'!T2:T671)</f>
        <v>0.31376711605985541</v>
      </c>
      <c r="H325" s="55" cm="1">
        <f t="array" ref="H325">(VLOOKUP($A325,'The List'!$B1:$AH671,20,FALSE)-AVERAGE('The List'!U2:U671))/STDEV('The List'!U2:U671)</f>
        <v>-0.24262372806713106</v>
      </c>
      <c r="I325" s="55" cm="1">
        <f t="array" ref="I325">(VLOOKUP($A325,'The List'!$B1:$AH671,21,FALSE)-AVERAGE('The List'!V2:V671))/STDEV('The List'!V2:V671)</f>
        <v>-0.2013672084280366</v>
      </c>
      <c r="J325" s="55" cm="1">
        <f t="array" ref="J325">(VLOOKUP($A325,'The List'!$B1:$AH671,22,FALSE)-AVERAGE('The List'!W2:W671))/STDEV('The List'!W2:W671)</f>
        <v>-0.52862944909186871</v>
      </c>
      <c r="K325" s="55" cm="1">
        <f t="array" ref="K325">(VLOOKUP($A325,'The List'!$B1:$AH671,23,FALSE)-AVERAGE('The List'!X2:X671))/STDEV('The List'!X2:X671)</f>
        <v>-3.7801124418260494E-2</v>
      </c>
      <c r="L325" s="55" cm="1">
        <f t="array" ref="L325">(VLOOKUP($A325,'The List'!$B1:$AH671,24,FALSE)-AVERAGE('The List'!Y2:Y671))/STDEV('The List'!Y2:Y671)</f>
        <v>-0.47546929358800777</v>
      </c>
      <c r="M325" s="55" cm="1">
        <f t="array" ref="M325">(VLOOKUP($A325,'The List'!$B1:$AH671,25,FALSE)-AVERAGE('The List'!Z2:Z671))/STDEV('The List'!Z2:Z671)</f>
        <v>0.18194600030474953</v>
      </c>
      <c r="N325" s="55" cm="1">
        <f t="array" ref="N325">(VLOOKUP($A325,'The List'!$B1:$AH671,26,FALSE)-AVERAGE('The List'!AA2:AA671))/STDEV('The List'!AA2:AA671)</f>
        <v>1.1916451464200748</v>
      </c>
      <c r="O325" s="55" cm="1">
        <f t="array" ref="O325">(VLOOKUP($A325,'The List'!$B1:$AH671,27,FALSE)-AVERAGE('The List'!AB2:AB671))/STDEV('The List'!AB2:AB671)</f>
        <v>0.22532550799483783</v>
      </c>
      <c r="P325" s="55" cm="1">
        <f t="array" ref="P325">(VLOOKUP($A325,'The List'!$B1:$AH671,28,FALSE)-AVERAGE('The List'!AC2:AC671))/STDEV('The List'!AC2:AC671)</f>
        <v>0.55484774159394668</v>
      </c>
      <c r="Q325" s="55" cm="1">
        <f t="array" ref="Q325">(VLOOKUP($A325,'The List'!$B1:$AH671,29,FALSE)-AVERAGE('The List'!AD2:AD671))/STDEV('The List'!AD2:AD671)</f>
        <v>1.9499030799350971</v>
      </c>
      <c r="R325" s="55" cm="1">
        <f t="array" ref="R325">(VLOOKUP($A325,'The List'!$B1:$AH671,30,FALSE)-AVERAGE('The List'!AE2:AE671))/STDEV('The List'!AE2:AE671)</f>
        <v>-0.87040997049975488</v>
      </c>
      <c r="S325" s="55" cm="1">
        <f t="array" ref="S325">(VLOOKUP($A325,'The List'!$B1:$AH671,31,FALSE)-AVERAGE('The List'!AF2:AF671))/STDEV('The List'!AF2:AF671)</f>
        <v>-0.59581850454342256</v>
      </c>
      <c r="T325" s="55" cm="1">
        <f t="array" ref="T325">(VLOOKUP($A325,'The List'!$B1:$AH671,32,FALSE)-AVERAGE('The List'!AG2:AG671))/STDEV('The List'!AG2:AG671)</f>
        <v>-0.64296418514008369</v>
      </c>
      <c r="U325" s="55" cm="1">
        <f t="array" ref="U325">(VLOOKUP($A325,'The List'!$B1:$AH671,33,FALSE)-AVERAGE('The List'!AH2:AH671))/STDEV('The List'!AH2:AH671)</f>
        <v>-1.2552626683789523</v>
      </c>
      <c r="V325" s="55"/>
      <c r="W325" s="77"/>
      <c r="X325" s="57"/>
      <c r="Y325" s="57"/>
      <c r="Z325" s="57"/>
      <c r="AA325" s="57"/>
      <c r="AB325" s="57"/>
      <c r="AC325" s="60"/>
      <c r="AD325" s="61"/>
      <c r="AE325" s="55"/>
    </row>
    <row r="326" spans="1:31" ht="21.25" customHeight="1" x14ac:dyDescent="0.15">
      <c r="A326" s="10" t="s">
        <v>647</v>
      </c>
      <c r="B326" s="18" t="str" cm="1">
        <f t="array" ref="B326">VLOOKUP(A326,'Player Data'!A1:B673,2,FALSE)</f>
        <v>SEA</v>
      </c>
      <c r="C326" s="52" cm="1">
        <f t="array" ref="C326">((E326)*Settings!$C$12)+(F326*Settings!$C$2)+(G326*Settings!$C$3)+(H326*Settings!$C$4)+(I326*Settings!$C$5)+(K326*Settings!$C$9)+(N326*Settings!$C$6)+(J326*Settings!$C$8)+(O326*Settings!$C$7)+(P326*Settings!$C$14)+(Q326*Settings!$C$15)+(R326*Settings!$C$16)+(S326*Settings!$C$17)+(T326*Settings!$C$18)+(U326*Settings!$C$19)+(L326*Settings!$C$10)+(Settings!$C$11*M326)</f>
        <v>-4.228311474752303</v>
      </c>
      <c r="D326" s="57" cm="1">
        <f t="array" ref="D326">IF(Settings!$E$12="YES",VLOOKUP(A326,'Player Data'!A1:E673,5,FALSE),82)</f>
        <v>77</v>
      </c>
      <c r="E326" s="55" cm="1">
        <f t="array" ref="E326">(VLOOKUP($A326,'The List'!$B1:$AH671,17,FALSE)-AVERAGE('The List'!R2:R671))/STDEV('The List'!R2:R671)</f>
        <v>-0.63333664023403247</v>
      </c>
      <c r="F326" s="55" cm="1">
        <f t="array" ref="F326">(VLOOKUP($A326,'The List'!$B1:$AH671,18,FALSE)-AVERAGE('The List'!S2:S671))/STDEV('The List'!S2:S671)</f>
        <v>-0.21987328173292911</v>
      </c>
      <c r="G326" s="55" cm="1">
        <f t="array" ref="G326">(VLOOKUP($A326,'The List'!$B1:$AH671,19,FALSE)-AVERAGE('The List'!T2:T671))/STDEV('The List'!T2:T671)</f>
        <v>-0.47189031671486825</v>
      </c>
      <c r="H326" s="55" cm="1">
        <f t="array" ref="H326">(VLOOKUP($A326,'The List'!$B1:$AH671,20,FALSE)-AVERAGE('The List'!U2:U671))/STDEV('The List'!U2:U671)</f>
        <v>-0.39425446225655036</v>
      </c>
      <c r="I326" s="55" cm="1">
        <f t="array" ref="I326">(VLOOKUP($A326,'The List'!$B1:$AH671,21,FALSE)-AVERAGE('The List'!V2:V671))/STDEV('The List'!V2:V671)</f>
        <v>-0.29500994523445706</v>
      </c>
      <c r="J326" s="55" cm="1">
        <f t="array" ref="J326">(VLOOKUP($A326,'The List'!$B1:$AH671,22,FALSE)-AVERAGE('The List'!W2:W671))/STDEV('The List'!W2:W671)</f>
        <v>-0.10052427291787484</v>
      </c>
      <c r="K326" s="55" cm="1">
        <f t="array" ref="K326">(VLOOKUP($A326,'The List'!$B1:$AH671,23,FALSE)-AVERAGE('The List'!X2:X671))/STDEV('The List'!X2:X671)</f>
        <v>-0.33727225536809174</v>
      </c>
      <c r="L326" s="55" cm="1">
        <f t="array" ref="L326">(VLOOKUP($A326,'The List'!$B1:$AH671,24,FALSE)-AVERAGE('The List'!Y2:Y671))/STDEV('The List'!Y2:Y671)</f>
        <v>-0.47546929358800777</v>
      </c>
      <c r="M326" s="55" cm="1">
        <f t="array" ref="M326">(VLOOKUP($A326,'The List'!$B1:$AH671,25,FALSE)-AVERAGE('The List'!Z2:Z671))/STDEV('The List'!Z2:Z671)</f>
        <v>-0.64388478613809508</v>
      </c>
      <c r="N326" s="55" cm="1">
        <f t="array" ref="N326">(VLOOKUP($A326,'The List'!$B1:$AH671,26,FALSE)-AVERAGE('The List'!AA2:AA671))/STDEV('The List'!AA2:AA671)</f>
        <v>-0.67897483857750951</v>
      </c>
      <c r="O326" s="55" cm="1">
        <f t="array" ref="O326">(VLOOKUP($A326,'The List'!$B1:$AH671,27,FALSE)-AVERAGE('The List'!AB2:AB671))/STDEV('The List'!AB2:AB671)</f>
        <v>-1.2952713149637189</v>
      </c>
      <c r="P326" s="55" cm="1">
        <f t="array" ref="P326">(VLOOKUP($A326,'The List'!$B1:$AH671,28,FALSE)-AVERAGE('The List'!AC2:AC671))/STDEV('The List'!AC2:AC671)</f>
        <v>-1.608994360738238</v>
      </c>
      <c r="Q326" s="55" cm="1">
        <f t="array" ref="Q326">(VLOOKUP($A326,'The List'!$B1:$AH671,29,FALSE)-AVERAGE('The List'!AD2:AD671))/STDEV('The List'!AD2:AD671)</f>
        <v>0.18628255647600961</v>
      </c>
      <c r="R326" s="55" cm="1">
        <f t="array" ref="R326">(VLOOKUP($A326,'The List'!$B1:$AH671,30,FALSE)-AVERAGE('The List'!AE2:AE671))/STDEV('The List'!AE2:AE671)</f>
        <v>-0.38384682927940705</v>
      </c>
      <c r="S326" s="55" cm="1">
        <f t="array" ref="S326">(VLOOKUP($A326,'The List'!$B1:$AH671,31,FALSE)-AVERAGE('The List'!AF2:AF671))/STDEV('The List'!AF2:AF671)</f>
        <v>-0.15898866820617324</v>
      </c>
      <c r="T326" s="55" cm="1">
        <f t="array" ref="T326">(VLOOKUP($A326,'The List'!$B1:$AH671,32,FALSE)-AVERAGE('The List'!AG2:AG671))/STDEV('The List'!AG2:AG671)</f>
        <v>-6.1332545102340132E-2</v>
      </c>
      <c r="U326" s="55" cm="1">
        <f t="array" ref="U326">(VLOOKUP($A326,'The List'!$B1:$AH671,33,FALSE)-AVERAGE('The List'!AH2:AH671))/STDEV('The List'!AH2:AH671)</f>
        <v>0.76870321356193128</v>
      </c>
      <c r="V326" s="55"/>
      <c r="W326" s="77"/>
      <c r="X326" s="57"/>
      <c r="Y326" s="57"/>
      <c r="Z326" s="57"/>
      <c r="AA326" s="57"/>
      <c r="AB326" s="57"/>
      <c r="AC326" s="60"/>
      <c r="AD326" s="61"/>
      <c r="AE326" s="55"/>
    </row>
    <row r="327" spans="1:31" ht="21.25" customHeight="1" x14ac:dyDescent="0.15">
      <c r="A327" s="10" t="s">
        <v>624</v>
      </c>
      <c r="B327" s="18" t="str" cm="1">
        <f t="array" ref="B327">VLOOKUP(A327,'Player Data'!A1:B673,2,FALSE)</f>
        <v>STL</v>
      </c>
      <c r="C327" s="52" cm="1">
        <f t="array" ref="C327">((E327)*Settings!$C$12)+(F327*Settings!$C$2)+(G327*Settings!$C$3)+(H327*Settings!$C$4)+(I327*Settings!$C$5)+(K327*Settings!$C$9)+(N327*Settings!$C$6)+(J327*Settings!$C$8)+(O327*Settings!$C$7)+(P327*Settings!$C$14)+(Q327*Settings!$C$15)+(R327*Settings!$C$16)+(S327*Settings!$C$17)+(T327*Settings!$C$18)+(U327*Settings!$C$19)+(L327*Settings!$C$10)+(Settings!$C$11*M327)</f>
        <v>-1.8232029198549249</v>
      </c>
      <c r="D327" s="57" cm="1">
        <f t="array" ref="D327">IF(Settings!$E$12="YES",VLOOKUP(A327,'Player Data'!A1:E673,5,FALSE),82)</f>
        <v>79</v>
      </c>
      <c r="E327" s="55" cm="1">
        <f t="array" ref="E327">(VLOOKUP($A327,'The List'!$B1:$AH671,17,FALSE)-AVERAGE('The List'!R2:R671))/STDEV('The List'!R2:R671)</f>
        <v>-0.5546403097066952</v>
      </c>
      <c r="F327" s="55" cm="1">
        <f t="array" ref="F327">(VLOOKUP($A327,'The List'!$B1:$AH671,18,FALSE)-AVERAGE('The List'!S2:S671))/STDEV('The List'!S2:S671)</f>
        <v>4.6576511355072001E-2</v>
      </c>
      <c r="G327" s="55" cm="1">
        <f t="array" ref="G327">(VLOOKUP($A327,'The List'!$B1:$AH671,19,FALSE)-AVERAGE('The List'!T2:T671))/STDEV('The List'!T2:T671)</f>
        <v>-0.66303416440245766</v>
      </c>
      <c r="H327" s="55" cm="1">
        <f t="array" ref="H327">(VLOOKUP($A327,'The List'!$B1:$AH671,20,FALSE)-AVERAGE('The List'!U2:U671))/STDEV('The List'!U2:U671)</f>
        <v>-0.39646482281324763</v>
      </c>
      <c r="I327" s="55" cm="1">
        <f t="array" ref="I327">(VLOOKUP($A327,'The List'!$B1:$AH671,21,FALSE)-AVERAGE('The List'!V2:V671))/STDEV('The List'!V2:V671)</f>
        <v>-0.3141877012962882</v>
      </c>
      <c r="J327" s="55" cm="1">
        <f t="array" ref="J327">(VLOOKUP($A327,'The List'!$B1:$AH671,22,FALSE)-AVERAGE('The List'!W2:W671))/STDEV('The List'!W2:W671)</f>
        <v>0.5706341645678058</v>
      </c>
      <c r="K327" s="55" cm="1">
        <f t="array" ref="K327">(VLOOKUP($A327,'The List'!$B1:$AH671,23,FALSE)-AVERAGE('The List'!X2:X671))/STDEV('The List'!X2:X671)</f>
        <v>-7.6530239870694541E-3</v>
      </c>
      <c r="L327" s="55" cm="1">
        <f t="array" ref="L327">(VLOOKUP($A327,'The List'!$B1:$AH671,24,FALSE)-AVERAGE('The List'!Y2:Y671))/STDEV('The List'!Y2:Y671)</f>
        <v>-0.47546929358800777</v>
      </c>
      <c r="M327" s="55" cm="1">
        <f t="array" ref="M327">(VLOOKUP($A327,'The List'!$B1:$AH671,25,FALSE)-AVERAGE('The List'!Z2:Z671))/STDEV('The List'!Z2:Z671)</f>
        <v>-0.64388478613809508</v>
      </c>
      <c r="N327" s="55" cm="1">
        <f t="array" ref="N327">(VLOOKUP($A327,'The List'!$B1:$AH671,26,FALSE)-AVERAGE('The List'!AA2:AA671))/STDEV('The List'!AA2:AA671)</f>
        <v>-0.87640646725079363</v>
      </c>
      <c r="O327" s="55" cm="1">
        <f t="array" ref="O327">(VLOOKUP($A327,'The List'!$B1:$AH671,27,FALSE)-AVERAGE('The List'!AB2:AB671))/STDEV('The List'!AB2:AB671)</f>
        <v>7.7324576992400557E-2</v>
      </c>
      <c r="P327" s="55" cm="1">
        <f t="array" ref="P327">(VLOOKUP($A327,'The List'!$B1:$AH671,28,FALSE)-AVERAGE('The List'!AC2:AC671))/STDEV('The List'!AC2:AC671)</f>
        <v>-0.96222911851658199</v>
      </c>
      <c r="Q327" s="55" cm="1">
        <f t="array" ref="Q327">(VLOOKUP($A327,'The List'!$B1:$AH671,29,FALSE)-AVERAGE('The List'!AD2:AD671))/STDEV('The List'!AD2:AD671)</f>
        <v>-0.21417086778658989</v>
      </c>
      <c r="R327" s="55" cm="1">
        <f t="array" ref="R327">(VLOOKUP($A327,'The List'!$B1:$AH671,30,FALSE)-AVERAGE('The List'!AE2:AE671))/STDEV('The List'!AE2:AE671)</f>
        <v>0.13390625689096303</v>
      </c>
      <c r="S327" s="55" cm="1">
        <f t="array" ref="S327">(VLOOKUP($A327,'The List'!$B1:$AH671,31,FALSE)-AVERAGE('The List'!AF2:AF671))/STDEV('The List'!AF2:AF671)</f>
        <v>1.2424629859024354</v>
      </c>
      <c r="T327" s="55" cm="1">
        <f t="array" ref="T327">(VLOOKUP($A327,'The List'!$B1:$AH671,32,FALSE)-AVERAGE('The List'!AG2:AG671))/STDEV('The List'!AG2:AG671)</f>
        <v>1.6431436456163222</v>
      </c>
      <c r="U327" s="55" cm="1">
        <f t="array" ref="U327">(VLOOKUP($A327,'The List'!$B1:$AH671,33,FALSE)-AVERAGE('The List'!AH2:AH671))/STDEV('The List'!AH2:AH671)</f>
        <v>0.86070166274106241</v>
      </c>
      <c r="V327" s="55"/>
      <c r="W327" s="57"/>
      <c r="X327" s="57"/>
      <c r="Y327" s="57"/>
      <c r="Z327" s="57"/>
      <c r="AA327" s="57"/>
      <c r="AB327" s="57"/>
      <c r="AC327" s="60"/>
      <c r="AD327" s="61"/>
      <c r="AE327" s="55"/>
    </row>
    <row r="328" spans="1:31" ht="21.25" customHeight="1" x14ac:dyDescent="0.15">
      <c r="A328" s="10" t="s">
        <v>631</v>
      </c>
      <c r="B328" s="18" t="str" cm="1">
        <f t="array" ref="B328">VLOOKUP(A328,'Player Data'!A1:B673,2,FALSE)</f>
        <v>NYR</v>
      </c>
      <c r="C328" s="52" cm="1">
        <f t="array" ref="C328">((E328)*Settings!$C$12)+(F328*Settings!$C$2)+(G328*Settings!$C$3)+(H328*Settings!$C$4)+(I328*Settings!$C$5)+(K328*Settings!$C$9)+(N328*Settings!$C$6)+(J328*Settings!$C$8)+(O328*Settings!$C$7)+(P328*Settings!$C$14)+(Q328*Settings!$C$15)+(R328*Settings!$C$16)+(S328*Settings!$C$17)+(T328*Settings!$C$18)+(U328*Settings!$C$19)+(L328*Settings!$C$10)+(Settings!$C$11*M328)</f>
        <v>-1.4682289157211754</v>
      </c>
      <c r="D328" s="57" cm="1">
        <f t="array" ref="D328">IF(Settings!$E$12="YES",VLOOKUP(A328,'Player Data'!A1:E673,5,FALSE),82)</f>
        <v>81</v>
      </c>
      <c r="E328" s="55" cm="1">
        <f t="array" ref="E328">(VLOOKUP($A328,'The List'!$B1:$AH671,17,FALSE)-AVERAGE('The List'!R2:R671))/STDEV('The List'!R2:R671)</f>
        <v>-0.71203297076137018</v>
      </c>
      <c r="F328" s="55" cm="1">
        <f t="array" ref="F328">(VLOOKUP($A328,'The List'!$B1:$AH671,18,FALSE)-AVERAGE('The List'!S2:S671))/STDEV('The List'!S2:S671)</f>
        <v>-0.32166309032834506</v>
      </c>
      <c r="G328" s="55" cm="1">
        <f t="array" ref="G328">(VLOOKUP($A328,'The List'!$B1:$AH671,19,FALSE)-AVERAGE('The List'!T2:T671))/STDEV('The List'!T2:T671)</f>
        <v>-0.46697117357584961</v>
      </c>
      <c r="H328" s="55" cm="1">
        <f t="array" ref="H328">(VLOOKUP($A328,'The List'!$B1:$AH671,20,FALSE)-AVERAGE('The List'!U2:U671))/STDEV('The List'!U2:U671)</f>
        <v>-0.43625131283379492</v>
      </c>
      <c r="I328" s="55" cm="1">
        <f t="array" ref="I328">(VLOOKUP($A328,'The List'!$B1:$AH671,21,FALSE)-AVERAGE('The List'!V2:V671))/STDEV('The List'!V2:V671)</f>
        <v>-0.67269079884854255</v>
      </c>
      <c r="J328" s="55" cm="1">
        <f t="array" ref="J328">(VLOOKUP($A328,'The List'!$B1:$AH671,22,FALSE)-AVERAGE('The List'!W2:W671))/STDEV('The List'!W2:W671)</f>
        <v>-0.29110012553726561</v>
      </c>
      <c r="K328" s="55" cm="1">
        <f t="array" ref="K328">(VLOOKUP($A328,'The List'!$B1:$AH671,23,FALSE)-AVERAGE('The List'!X2:X671))/STDEV('The List'!X2:X671)</f>
        <v>-0.55735338851578653</v>
      </c>
      <c r="L328" s="55" cm="1">
        <f t="array" ref="L328">(VLOOKUP($A328,'The List'!$B1:$AH671,24,FALSE)-AVERAGE('The List'!Y2:Y671))/STDEV('The List'!Y2:Y671)</f>
        <v>-0.47546929358800777</v>
      </c>
      <c r="M328" s="55" cm="1">
        <f t="array" ref="M328">(VLOOKUP($A328,'The List'!$B1:$AH671,25,FALSE)-AVERAGE('The List'!Z2:Z671))/STDEV('The List'!Z2:Z671)</f>
        <v>-0.64388478613809508</v>
      </c>
      <c r="N328" s="55" cm="1">
        <f t="array" ref="N328">(VLOOKUP($A328,'The List'!$B1:$AH671,26,FALSE)-AVERAGE('The List'!AA2:AA671))/STDEV('The List'!AA2:AA671)</f>
        <v>-0.40236623074676353</v>
      </c>
      <c r="O328" s="55" cm="1">
        <f t="array" ref="O328">(VLOOKUP($A328,'The List'!$B1:$AH671,27,FALSE)-AVERAGE('The List'!AB2:AB671))/STDEV('The List'!AB2:AB671)</f>
        <v>0.65538915514596352</v>
      </c>
      <c r="P328" s="55" cm="1">
        <f t="array" ref="P328">(VLOOKUP($A328,'The List'!$B1:$AH671,28,FALSE)-AVERAGE('The List'!AC2:AC671))/STDEV('The List'!AC2:AC671)</f>
        <v>-0.1049396195986151</v>
      </c>
      <c r="Q328" s="55" cm="1">
        <f t="array" ref="Q328">(VLOOKUP($A328,'The List'!$B1:$AH671,29,FALSE)-AVERAGE('The List'!AD2:AD671))/STDEV('The List'!AD2:AD671)</f>
        <v>2.0042666330096482E-2</v>
      </c>
      <c r="R328" s="55" cm="1">
        <f t="array" ref="R328">(VLOOKUP($A328,'The List'!$B1:$AH671,30,FALSE)-AVERAGE('The List'!AE2:AE671))/STDEV('The List'!AE2:AE671)</f>
        <v>-0.33394291735937137</v>
      </c>
      <c r="S328" s="55" cm="1">
        <f t="array" ref="S328">(VLOOKUP($A328,'The List'!$B1:$AH671,31,FALSE)-AVERAGE('The List'!AF2:AF671))/STDEV('The List'!AF2:AF671)</f>
        <v>1.2305879067063865</v>
      </c>
      <c r="T328" s="55" cm="1">
        <f t="array" ref="T328">(VLOOKUP($A328,'The List'!$B1:$AH671,32,FALSE)-AVERAGE('The List'!AG2:AG671))/STDEV('The List'!AG2:AG671)</f>
        <v>1.2216048769305485</v>
      </c>
      <c r="U328" s="55" cm="1">
        <f t="array" ref="U328">(VLOOKUP($A328,'The List'!$B1:$AH671,33,FALSE)-AVERAGE('The List'!AH2:AH671))/STDEV('The List'!AH2:AH671)</f>
        <v>1.09069778568889</v>
      </c>
      <c r="V328" s="55"/>
      <c r="W328" s="77"/>
      <c r="X328" s="57"/>
      <c r="Y328" s="57"/>
      <c r="Z328" s="57"/>
      <c r="AA328" s="57"/>
      <c r="AB328" s="57"/>
      <c r="AC328" s="60"/>
      <c r="AD328" s="61"/>
      <c r="AE328" s="55"/>
    </row>
    <row r="329" spans="1:31" ht="21.25" customHeight="1" x14ac:dyDescent="0.15">
      <c r="A329" s="10" t="s">
        <v>598</v>
      </c>
      <c r="B329" s="18" t="str" cm="1">
        <f t="array" ref="B329">VLOOKUP(A329,'Player Data'!A1:B673,2,FALSE)</f>
        <v>VAN</v>
      </c>
      <c r="C329" s="52" cm="1">
        <f t="array" ref="C329">((E329)*Settings!$C$12)+(F329*Settings!$C$2)+(G329*Settings!$C$3)+(H329*Settings!$C$4)+(I329*Settings!$C$5)+(K329*Settings!$C$9)+(N329*Settings!$C$6)+(J329*Settings!$C$8)+(O329*Settings!$C$7)+(P329*Settings!$C$14)+(Q329*Settings!$C$15)+(R329*Settings!$C$16)+(S329*Settings!$C$17)+(T329*Settings!$C$18)+(U329*Settings!$C$19)+(L329*Settings!$C$10)+(Settings!$C$11*M329)</f>
        <v>-3.8514497783843922</v>
      </c>
      <c r="D329" s="57" cm="1">
        <f t="array" ref="D329">IF(Settings!$E$12="YES",VLOOKUP(A329,'Player Data'!A1:E673,5,FALSE),82)</f>
        <v>84</v>
      </c>
      <c r="E329" s="55" cm="1">
        <f t="array" ref="E329">(VLOOKUP($A329,'The List'!$B1:$AH671,17,FALSE)-AVERAGE('The List'!R2:R671))/STDEV('The List'!R2:R671)</f>
        <v>-0.4759439791793576</v>
      </c>
      <c r="F329" s="55" cm="1">
        <f t="array" ref="F329">(VLOOKUP($A329,'The List'!$B1:$AH671,18,FALSE)-AVERAGE('The List'!S2:S671))/STDEV('The List'!S2:S671)</f>
        <v>5.2564147154802593E-2</v>
      </c>
      <c r="G329" s="55" cm="1">
        <f t="array" ref="G329">(VLOOKUP($A329,'The List'!$B1:$AH671,19,FALSE)-AVERAGE('The List'!T2:T671))/STDEV('The List'!T2:T671)</f>
        <v>-0.6588177559975843</v>
      </c>
      <c r="H329" s="55" cm="1">
        <f t="array" ref="H329">(VLOOKUP($A329,'The List'!$B1:$AH671,20,FALSE)-AVERAGE('The List'!U2:U671))/STDEV('The List'!U2:U671)</f>
        <v>-0.39115995747717447</v>
      </c>
      <c r="I329" s="55" cm="1">
        <f t="array" ref="I329">(VLOOKUP($A329,'The List'!$B1:$AH671,21,FALSE)-AVERAGE('The List'!V2:V671))/STDEV('The List'!V2:V671)</f>
        <v>5.08807541870437E-2</v>
      </c>
      <c r="J329" s="55" cm="1">
        <f t="array" ref="J329">(VLOOKUP($A329,'The List'!$B1:$AH671,22,FALSE)-AVERAGE('The List'!W2:W671))/STDEV('The List'!W2:W671)</f>
        <v>-0.73853908386105271</v>
      </c>
      <c r="K329" s="55" cm="1">
        <f t="array" ref="K329">(VLOOKUP($A329,'The List'!$B1:$AH671,23,FALSE)-AVERAGE('The List'!X2:X671))/STDEV('The List'!X2:X671)</f>
        <v>-0.80155300200843405</v>
      </c>
      <c r="L329" s="55" cm="1">
        <f t="array" ref="L329">(VLOOKUP($A329,'The List'!$B1:$AH671,24,FALSE)-AVERAGE('The List'!Y2:Y671))/STDEV('The List'!Y2:Y671)</f>
        <v>2.6042213694485032</v>
      </c>
      <c r="M329" s="55" cm="1">
        <f t="array" ref="M329">(VLOOKUP($A329,'The List'!$B1:$AH671,25,FALSE)-AVERAGE('The List'!Z2:Z671))/STDEV('The List'!Z2:Z671)</f>
        <v>3.0071565855039544</v>
      </c>
      <c r="N329" s="55" cm="1">
        <f t="array" ref="N329">(VLOOKUP($A329,'The List'!$B1:$AH671,26,FALSE)-AVERAGE('The List'!AA2:AA671))/STDEV('The List'!AA2:AA671)</f>
        <v>-0.61461161681079857</v>
      </c>
      <c r="O329" s="55" cm="1">
        <f t="array" ref="O329">(VLOOKUP($A329,'The List'!$B1:$AH671,27,FALSE)-AVERAGE('The List'!AB2:AB671))/STDEV('The List'!AB2:AB671)</f>
        <v>-0.20186831500942642</v>
      </c>
      <c r="P329" s="55" cm="1">
        <f t="array" ref="P329">(VLOOKUP($A329,'The List'!$B1:$AH671,28,FALSE)-AVERAGE('The List'!AC2:AC671))/STDEV('The List'!AC2:AC671)</f>
        <v>-2.2926556067107935</v>
      </c>
      <c r="Q329" s="55" cm="1">
        <f t="array" ref="Q329">(VLOOKUP($A329,'The List'!$B1:$AH671,29,FALSE)-AVERAGE('The List'!AD2:AD671))/STDEV('The List'!AD2:AD671)</f>
        <v>4.6641048753442542E-2</v>
      </c>
      <c r="R329" s="55" cm="1">
        <f t="array" ref="R329">(VLOOKUP($A329,'The List'!$B1:$AH671,30,FALSE)-AVERAGE('The List'!AE2:AE671))/STDEV('The List'!AE2:AE671)</f>
        <v>-0.29651498341934474</v>
      </c>
      <c r="S329" s="55" cm="1">
        <f t="array" ref="S329">(VLOOKUP($A329,'The List'!$B1:$AH671,31,FALSE)-AVERAGE('The List'!AF2:AF671))/STDEV('The List'!AF2:AF671)</f>
        <v>-0.3615861731946356</v>
      </c>
      <c r="T329" s="55" cm="1">
        <f t="array" ref="T329">(VLOOKUP($A329,'The List'!$B1:$AH671,32,FALSE)-AVERAGE('The List'!AG2:AG671))/STDEV('The List'!AG2:AG671)</f>
        <v>-0.35105113951264733</v>
      </c>
      <c r="U329" s="55" cm="1">
        <f t="array" ref="U329">(VLOOKUP($A329,'The List'!$B1:$AH671,33,FALSE)-AVERAGE('The List'!AH2:AH671))/STDEV('The List'!AH2:AH671)</f>
        <v>0.86070166274106241</v>
      </c>
      <c r="V329" s="55"/>
      <c r="W329" s="77"/>
      <c r="X329" s="57"/>
      <c r="Y329" s="57"/>
      <c r="Z329" s="57"/>
      <c r="AA329" s="57"/>
      <c r="AB329" s="57"/>
      <c r="AC329" s="60"/>
      <c r="AD329" s="61"/>
      <c r="AE329" s="55"/>
    </row>
    <row r="330" spans="1:31" ht="21.25" customHeight="1" x14ac:dyDescent="0.15">
      <c r="A330" s="10" t="s">
        <v>289</v>
      </c>
      <c r="B330" s="18" t="str" cm="1">
        <f t="array" ref="B330">VLOOKUP(A330,'Player Data'!A1:B673,2,FALSE)</f>
        <v>CBJ</v>
      </c>
      <c r="C330" s="52" cm="1">
        <f t="array" ref="C330">((E330)*Settings!$C$12)+(F330*Settings!$C$2)+(G330*Settings!$C$3)+(H330*Settings!$C$4)+(I330*Settings!$C$5)+(K330*Settings!$C$9)+(N330*Settings!$C$6)+(J330*Settings!$C$8)+(O330*Settings!$C$7)+(P330*Settings!$C$14)+(Q330*Settings!$C$15)+(R330*Settings!$C$16)+(S330*Settings!$C$17)+(T330*Settings!$C$18)+(U330*Settings!$C$19)+(L330*Settings!$C$10)+(Settings!$C$11*M330)</f>
        <v>-1.4493035688006706</v>
      </c>
      <c r="D330" s="57" cm="1">
        <f t="array" ref="D330">IF(Settings!$E$12="YES",VLOOKUP(A330,'Player Data'!A1:E673,5,FALSE),82)</f>
        <v>84</v>
      </c>
      <c r="E330" s="55" cm="1">
        <f t="array" ref="E330">(VLOOKUP($A330,'The List'!$B1:$AH671,17,FALSE)-AVERAGE('The List'!R2:R671))/STDEV('The List'!R2:R671)</f>
        <v>1.9898743773438832</v>
      </c>
      <c r="F330" s="55" cm="1">
        <f t="array" ref="F330">(VLOOKUP($A330,'The List'!$B1:$AH671,18,FALSE)-AVERAGE('The List'!S2:S671))/STDEV('The List'!S2:S671)</f>
        <v>-0.70187796361122323</v>
      </c>
      <c r="G330" s="55" cm="1">
        <f t="array" ref="G330">(VLOOKUP($A330,'The List'!$B1:$AH671,19,FALSE)-AVERAGE('The List'!T2:T671))/STDEV('The List'!T2:T671)</f>
        <v>0.16759829135758111</v>
      </c>
      <c r="H330" s="55" cm="1">
        <f t="array" ref="H330">(VLOOKUP($A330,'The List'!$B1:$AH671,20,FALSE)-AVERAGE('The List'!U2:U671))/STDEV('The List'!U2:U671)</f>
        <v>-0.20548967071462038</v>
      </c>
      <c r="I330" s="55" cm="1">
        <f t="array" ref="I330">(VLOOKUP($A330,'The List'!$B1:$AH671,21,FALSE)-AVERAGE('The List'!V2:V671))/STDEV('The List'!V2:V671)</f>
        <v>0.18149682250005736</v>
      </c>
      <c r="J330" s="55" cm="1">
        <f t="array" ref="J330">(VLOOKUP($A330,'The List'!$B1:$AH671,22,FALSE)-AVERAGE('The List'!W2:W671))/STDEV('The List'!W2:W671)</f>
        <v>-0.50653369806353354</v>
      </c>
      <c r="K330" s="55" cm="1">
        <f t="array" ref="K330">(VLOOKUP($A330,'The List'!$B1:$AH671,23,FALSE)-AVERAGE('The List'!X2:X671))/STDEV('The List'!X2:X671)</f>
        <v>-0.37947959597175918</v>
      </c>
      <c r="L330" s="55" cm="1">
        <f t="array" ref="L330">(VLOOKUP($A330,'The List'!$B1:$AH671,24,FALSE)-AVERAGE('The List'!Y2:Y671))/STDEV('The List'!Y2:Y671)</f>
        <v>-0.47546929358800777</v>
      </c>
      <c r="M330" s="55" cm="1">
        <f t="array" ref="M330">(VLOOKUP($A330,'The List'!$B1:$AH671,25,FALSE)-AVERAGE('The List'!Z2:Z671))/STDEV('The List'!Z2:Z671)</f>
        <v>0.26887555677241731</v>
      </c>
      <c r="N330" s="55" cm="1">
        <f t="array" ref="N330">(VLOOKUP($A330,'The List'!$B1:$AH671,26,FALSE)-AVERAGE('The List'!AA2:AA671))/STDEV('The List'!AA2:AA671)</f>
        <v>1.9813716611132111</v>
      </c>
      <c r="O330" s="55" cm="1">
        <f t="array" ref="O330">(VLOOKUP($A330,'The List'!$B1:$AH671,27,FALSE)-AVERAGE('The List'!AB2:AB671))/STDEV('The List'!AB2:AB671)</f>
        <v>-0.97672083466207449</v>
      </c>
      <c r="P330" s="55" cm="1">
        <f t="array" ref="P330">(VLOOKUP($A330,'The List'!$B1:$AH671,28,FALSE)-AVERAGE('The List'!AC2:AC671))/STDEV('The List'!AC2:AC671)</f>
        <v>0.25967971158674802</v>
      </c>
      <c r="Q330" s="55" cm="1">
        <f t="array" ref="Q330">(VLOOKUP($A330,'The List'!$B1:$AH671,29,FALSE)-AVERAGE('The List'!AD2:AD671))/STDEV('The List'!AD2:AD671)</f>
        <v>4.6641048753442542E-2</v>
      </c>
      <c r="R330" s="55" cm="1">
        <f t="array" ref="R330">(VLOOKUP($A330,'The List'!$B1:$AH671,30,FALSE)-AVERAGE('The List'!AE2:AE671))/STDEV('The List'!AE2:AE671)</f>
        <v>-0.82050605857971926</v>
      </c>
      <c r="S330" s="55" cm="1">
        <f t="array" ref="S330">(VLOOKUP($A330,'The List'!$B1:$AH671,31,FALSE)-AVERAGE('The List'!AF2:AF671))/STDEV('The List'!AF2:AF671)</f>
        <v>-0.59581850454342256</v>
      </c>
      <c r="T330" s="55" cm="1">
        <f t="array" ref="T330">(VLOOKUP($A330,'The List'!$B1:$AH671,32,FALSE)-AVERAGE('The List'!AG2:AG671))/STDEV('The List'!AG2:AG671)</f>
        <v>-0.64684275008198677</v>
      </c>
      <c r="U330" s="55" cm="1">
        <f t="array" ref="U330">(VLOOKUP($A330,'The List'!$B1:$AH671,33,FALSE)-AVERAGE('The List'!AH2:AH671))/STDEV('The List'!AH2:AH671)</f>
        <v>-1.2552626683789523</v>
      </c>
      <c r="V330" s="55"/>
      <c r="W330" s="77"/>
      <c r="X330" s="57"/>
      <c r="Y330" s="57"/>
      <c r="Z330" s="57"/>
      <c r="AA330" s="57"/>
      <c r="AB330" s="57"/>
      <c r="AC330" s="60"/>
      <c r="AD330" s="61"/>
      <c r="AE330" s="55"/>
    </row>
    <row r="331" spans="1:31" ht="21.25" customHeight="1" x14ac:dyDescent="0.15">
      <c r="A331" s="10" t="s">
        <v>633</v>
      </c>
      <c r="B331" s="18" t="str" cm="1">
        <f t="array" ref="B331">VLOOKUP(A331,'Player Data'!A1:B673,2,FALSE)</f>
        <v>T.B</v>
      </c>
      <c r="C331" s="52" cm="1">
        <f t="array" ref="C331">((E331)*Settings!$C$12)+(F331*Settings!$C$2)+(G331*Settings!$C$3)+(H331*Settings!$C$4)+(I331*Settings!$C$5)+(K331*Settings!$C$9)+(N331*Settings!$C$6)+(J331*Settings!$C$8)+(O331*Settings!$C$7)+(P331*Settings!$C$14)+(Q331*Settings!$C$15)+(R331*Settings!$C$16)+(S331*Settings!$C$17)+(T331*Settings!$C$18)+(U331*Settings!$C$19)+(L331*Settings!$C$10)+(Settings!$C$11*M331)</f>
        <v>-0.42427317063778447</v>
      </c>
      <c r="D331" s="57" cm="1">
        <f t="array" ref="D331">IF(Settings!$E$12="YES",VLOOKUP(A331,'Player Data'!A1:E673,5,FALSE),82)</f>
        <v>80</v>
      </c>
      <c r="E331" s="55" cm="1">
        <f t="array" ref="E331">(VLOOKUP($A331,'The List'!$B1:$AH671,17,FALSE)-AVERAGE('The List'!R2:R671))/STDEV('The List'!R2:R671)</f>
        <v>-0.44971186900357851</v>
      </c>
      <c r="F331" s="55" cm="1">
        <f t="array" ref="F331">(VLOOKUP($A331,'The List'!$B1:$AH671,18,FALSE)-AVERAGE('The List'!S2:S671))/STDEV('The List'!S2:S671)</f>
        <v>-0.49430658922057052</v>
      </c>
      <c r="G331" s="55" cm="1">
        <f t="array" ref="G331">(VLOOKUP($A331,'The List'!$B1:$AH671,19,FALSE)-AVERAGE('The List'!T2:T671))/STDEV('The List'!T2:T671)</f>
        <v>-0.31307226679797434</v>
      </c>
      <c r="H331" s="55" cm="1">
        <f t="array" ref="H331">(VLOOKUP($A331,'The List'!$B1:$AH671,20,FALSE)-AVERAGE('The List'!U2:U671))/STDEV('The List'!U2:U671)</f>
        <v>-0.4159159957121818</v>
      </c>
      <c r="I331" s="55" cm="1">
        <f t="array" ref="I331">(VLOOKUP($A331,'The List'!$B1:$AH671,21,FALSE)-AVERAGE('The List'!V2:V671))/STDEV('The List'!V2:V671)</f>
        <v>-0.38727050142380809</v>
      </c>
      <c r="J331" s="55" cm="1">
        <f t="array" ref="J331">(VLOOKUP($A331,'The List'!$B1:$AH671,22,FALSE)-AVERAGE('The List'!W2:W671))/STDEV('The List'!W2:W671)</f>
        <v>-0.73853908386105271</v>
      </c>
      <c r="K331" s="55" cm="1">
        <f t="array" ref="K331">(VLOOKUP($A331,'The List'!$B1:$AH671,23,FALSE)-AVERAGE('The List'!X2:X671))/STDEV('The List'!X2:X671)</f>
        <v>-0.80155300200843405</v>
      </c>
      <c r="L331" s="55" cm="1">
        <f t="array" ref="L331">(VLOOKUP($A331,'The List'!$B1:$AH671,24,FALSE)-AVERAGE('The List'!Y2:Y671))/STDEV('The List'!Y2:Y671)</f>
        <v>-0.47546929358800777</v>
      </c>
      <c r="M331" s="55" cm="1">
        <f t="array" ref="M331">(VLOOKUP($A331,'The List'!$B1:$AH671,25,FALSE)-AVERAGE('The List'!Z2:Z671))/STDEV('The List'!Z2:Z671)</f>
        <v>0.22541077853858349</v>
      </c>
      <c r="N331" s="55" cm="1">
        <f t="array" ref="N331">(VLOOKUP($A331,'The List'!$B1:$AH671,26,FALSE)-AVERAGE('The List'!AA2:AA671))/STDEV('The List'!AA2:AA671)</f>
        <v>-0.7647924675997908</v>
      </c>
      <c r="O331" s="55" cm="1">
        <f t="array" ref="O331">(VLOOKUP($A331,'The List'!$B1:$AH671,27,FALSE)-AVERAGE('The List'!AB2:AB671))/STDEV('The List'!AB2:AB671)</f>
        <v>0.46147103779374032</v>
      </c>
      <c r="P331" s="55" cm="1">
        <f t="array" ref="P331">(VLOOKUP($A331,'The List'!$B1:$AH671,28,FALSE)-AVERAGE('The List'!AC2:AC671))/STDEV('The List'!AC2:AC671)</f>
        <v>1.1104581510192622</v>
      </c>
      <c r="Q331" s="55" cm="1">
        <f t="array" ref="Q331">(VLOOKUP($A331,'The List'!$B1:$AH671,29,FALSE)-AVERAGE('The List'!AD2:AD671))/STDEV('The List'!AD2:AD671)</f>
        <v>1.0544242050157782</v>
      </c>
      <c r="R331" s="55" cm="1">
        <f t="array" ref="R331">(VLOOKUP($A331,'The List'!$B1:$AH671,30,FALSE)-AVERAGE('The List'!AE2:AE671))/STDEV('The List'!AE2:AE671)</f>
        <v>-0.34641889533938031</v>
      </c>
      <c r="S331" s="55" cm="1">
        <f t="array" ref="S331">(VLOOKUP($A331,'The List'!$B1:$AH671,31,FALSE)-AVERAGE('The List'!AF2:AF671))/STDEV('The List'!AF2:AF671)</f>
        <v>1.2311167563871821</v>
      </c>
      <c r="T331" s="55" cm="1">
        <f t="array" ref="T331">(VLOOKUP($A331,'The List'!$B1:$AH671,32,FALSE)-AVERAGE('The List'!AG2:AG671))/STDEV('The List'!AG2:AG671)</f>
        <v>1.5414844171390754</v>
      </c>
      <c r="U331" s="55" cm="1">
        <f t="array" ref="U331">(VLOOKUP($A331,'The List'!$B1:$AH671,33,FALSE)-AVERAGE('The List'!AH2:AH671))/STDEV('The List'!AH2:AH671)</f>
        <v>0.90670088733062781</v>
      </c>
      <c r="V331" s="55"/>
      <c r="W331" s="77"/>
      <c r="X331" s="57"/>
      <c r="Y331" s="57"/>
      <c r="Z331" s="57"/>
      <c r="AA331" s="57"/>
      <c r="AB331" s="57"/>
      <c r="AC331" s="60"/>
      <c r="AD331" s="61"/>
      <c r="AE331" s="55"/>
    </row>
    <row r="332" spans="1:31" ht="21.25" customHeight="1" x14ac:dyDescent="0.15">
      <c r="A332" s="10" t="s">
        <v>375</v>
      </c>
      <c r="B332" s="18" t="str" cm="1">
        <f t="array" ref="B332">VLOOKUP(A332,'Player Data'!A1:B673,2,FALSE)</f>
        <v>STL</v>
      </c>
      <c r="C332" s="52" cm="1">
        <f t="array" ref="C332">((E332)*Settings!$C$12)+(F332*Settings!$C$2)+(G332*Settings!$C$3)+(H332*Settings!$C$4)+(I332*Settings!$C$5)+(K332*Settings!$C$9)+(N332*Settings!$C$6)+(J332*Settings!$C$8)+(O332*Settings!$C$7)+(P332*Settings!$C$14)+(Q332*Settings!$C$15)+(R332*Settings!$C$16)+(S332*Settings!$C$17)+(T332*Settings!$C$18)+(U332*Settings!$C$19)+(L332*Settings!$C$10)+(Settings!$C$11*M332)</f>
        <v>-4.559309558084693</v>
      </c>
      <c r="D332" s="57" cm="1">
        <f t="array" ref="D332">IF(Settings!$E$12="YES",VLOOKUP(A332,'Player Data'!A1:E673,5,FALSE),82)</f>
        <v>82</v>
      </c>
      <c r="E332" s="55" cm="1">
        <f t="array" ref="E332">(VLOOKUP($A332,'The List'!$B1:$AH671,17,FALSE)-AVERAGE('The List'!R2:R671))/STDEV('The List'!R2:R671)</f>
        <v>1.045518411015834</v>
      </c>
      <c r="F332" s="55" cm="1">
        <f t="array" ref="F332">(VLOOKUP($A332,'The List'!$B1:$AH671,18,FALSE)-AVERAGE('The List'!S2:S671))/STDEV('The List'!S2:S671)</f>
        <v>-1.1270001053920788</v>
      </c>
      <c r="G332" s="55" cm="1">
        <f t="array" ref="G332">(VLOOKUP($A332,'The List'!$B1:$AH671,19,FALSE)-AVERAGE('The List'!T2:T671))/STDEV('The List'!T2:T671)</f>
        <v>-0.10646825495918287</v>
      </c>
      <c r="H332" s="55" cm="1">
        <f t="array" ref="H332">(VLOOKUP($A332,'The List'!$B1:$AH671,20,FALSE)-AVERAGE('The List'!U2:U671))/STDEV('The List'!U2:U671)</f>
        <v>-0.56622051356758285</v>
      </c>
      <c r="I332" s="55" cm="1">
        <f t="array" ref="I332">(VLOOKUP($A332,'The List'!$B1:$AH671,21,FALSE)-AVERAGE('The List'!V2:V671))/STDEV('The List'!V2:V671)</f>
        <v>-0.93737838701724319</v>
      </c>
      <c r="J332" s="55" cm="1">
        <f t="array" ref="J332">(VLOOKUP($A332,'The List'!$B1:$AH671,22,FALSE)-AVERAGE('The List'!W2:W671))/STDEV('The List'!W2:W671)</f>
        <v>-0.51205763582061725</v>
      </c>
      <c r="K332" s="55" cm="1">
        <f t="array" ref="K332">(VLOOKUP($A332,'The List'!$B1:$AH671,23,FALSE)-AVERAGE('The List'!X2:X671))/STDEV('The List'!X2:X671)</f>
        <v>-0.30712415493690071</v>
      </c>
      <c r="L332" s="55" cm="1">
        <f t="array" ref="L332">(VLOOKUP($A332,'The List'!$B1:$AH671,24,FALSE)-AVERAGE('The List'!Y2:Y671))/STDEV('The List'!Y2:Y671)</f>
        <v>-0.47546929358800777</v>
      </c>
      <c r="M332" s="55" cm="1">
        <f t="array" ref="M332">(VLOOKUP($A332,'The List'!$B1:$AH671,25,FALSE)-AVERAGE('The List'!Z2:Z671))/STDEV('The List'!Z2:Z671)</f>
        <v>-0.64388478613809508</v>
      </c>
      <c r="N332" s="55" cm="1">
        <f t="array" ref="N332">(VLOOKUP($A332,'The List'!$B1:$AH671,26,FALSE)-AVERAGE('The List'!AA2:AA671))/STDEV('The List'!AA2:AA671)</f>
        <v>0.49233363373255645</v>
      </c>
      <c r="O332" s="55" cm="1">
        <f t="array" ref="O332">(VLOOKUP($A332,'The List'!$B1:$AH671,27,FALSE)-AVERAGE('The List'!AB2:AB671))/STDEV('The List'!AB2:AB671)</f>
        <v>-1.2645231991044867</v>
      </c>
      <c r="P332" s="55" cm="1">
        <f t="array" ref="P332">(VLOOKUP($A332,'The List'!$B1:$AH671,28,FALSE)-AVERAGE('The List'!AC2:AC671))/STDEV('The List'!AC2:AC671)</f>
        <v>-0.81681545667480038</v>
      </c>
      <c r="Q332" s="55" cm="1">
        <f t="array" ref="Q332">(VLOOKUP($A332,'The List'!$B1:$AH671,29,FALSE)-AVERAGE('The List'!AD2:AD671))/STDEV('The List'!AD2:AD671)</f>
        <v>-0.8591816415527328</v>
      </c>
      <c r="R332" s="55" cm="1">
        <f t="array" ref="R332">(VLOOKUP($A332,'The List'!$B1:$AH671,30,FALSE)-AVERAGE('The List'!AE2:AE671))/STDEV('The List'!AE2:AE671)</f>
        <v>-1.3444971337400937</v>
      </c>
      <c r="S332" s="55" cm="1">
        <f t="array" ref="S332">(VLOOKUP($A332,'The List'!$B1:$AH671,31,FALSE)-AVERAGE('The List'!AF2:AF671))/STDEV('The List'!AF2:AF671)</f>
        <v>-0.59581850454342256</v>
      </c>
      <c r="T332" s="55" cm="1">
        <f t="array" ref="T332">(VLOOKUP($A332,'The List'!$B1:$AH671,32,FALSE)-AVERAGE('The List'!AG2:AG671))/STDEV('The List'!AG2:AG671)</f>
        <v>-0.64684275008198677</v>
      </c>
      <c r="U332" s="55" cm="1">
        <f t="array" ref="U332">(VLOOKUP($A332,'The List'!$B1:$AH671,33,FALSE)-AVERAGE('The List'!AH2:AH671))/STDEV('The List'!AH2:AH671)</f>
        <v>-1.2552626683789523</v>
      </c>
      <c r="V332" s="55"/>
      <c r="W332" s="77"/>
      <c r="X332" s="57"/>
      <c r="Y332" s="57"/>
      <c r="Z332" s="57"/>
      <c r="AA332" s="57"/>
      <c r="AB332" s="57"/>
      <c r="AC332" s="60"/>
      <c r="AD332" s="61"/>
      <c r="AE332" s="55"/>
    </row>
    <row r="333" spans="1:31" ht="21.25" customHeight="1" x14ac:dyDescent="0.15">
      <c r="A333" s="10" t="s">
        <v>303</v>
      </c>
      <c r="B333" s="18" t="str" cm="1">
        <f t="array" ref="B333">VLOOKUP(A333,'Player Data'!A1:B673,2,FALSE)</f>
        <v>PHI</v>
      </c>
      <c r="C333" s="52" cm="1">
        <f t="array" ref="C333">((E333)*Settings!$C$12)+(F333*Settings!$C$2)+(G333*Settings!$C$3)+(H333*Settings!$C$4)+(I333*Settings!$C$5)+(K333*Settings!$C$9)+(N333*Settings!$C$6)+(J333*Settings!$C$8)+(O333*Settings!$C$7)+(P333*Settings!$C$14)+(Q333*Settings!$C$15)+(R333*Settings!$C$16)+(S333*Settings!$C$17)+(T333*Settings!$C$18)+(U333*Settings!$C$19)+(L333*Settings!$C$10)+(Settings!$C$11*M333)</f>
        <v>-2.4303901657655169</v>
      </c>
      <c r="D333" s="57" cm="1">
        <f t="array" ref="D333">IF(Settings!$E$12="YES",VLOOKUP(A333,'Player Data'!A1:E673,5,FALSE),82)</f>
        <v>80</v>
      </c>
      <c r="E333" s="55" cm="1">
        <f t="array" ref="E333">(VLOOKUP($A333,'The List'!$B1:$AH671,17,FALSE)-AVERAGE('The List'!R2:R671))/STDEV('The List'!R2:R671)</f>
        <v>1.4127679534767419</v>
      </c>
      <c r="F333" s="55" cm="1">
        <f t="array" ref="F333">(VLOOKUP($A333,'The List'!$B1:$AH671,18,FALSE)-AVERAGE('The List'!S2:S671))/STDEV('The List'!S2:S671)</f>
        <v>-0.73381202120978506</v>
      </c>
      <c r="G333" s="55" cm="1">
        <f t="array" ref="G333">(VLOOKUP($A333,'The List'!$B1:$AH671,19,FALSE)-AVERAGE('The List'!T2:T671))/STDEV('The List'!T2:T671)</f>
        <v>-0.14441593060304245</v>
      </c>
      <c r="H333" s="55" cm="1">
        <f t="array" ref="H333">(VLOOKUP($A333,'The List'!$B1:$AH671,20,FALSE)-AVERAGE('The List'!U2:U671))/STDEV('The List'!U2:U671)</f>
        <v>-0.4159159957121818</v>
      </c>
      <c r="I333" s="55" cm="1">
        <f t="array" ref="I333">(VLOOKUP($A333,'The List'!$B1:$AH671,21,FALSE)-AVERAGE('The List'!V2:V671))/STDEV('The List'!V2:V671)</f>
        <v>-0.4563795322772547</v>
      </c>
      <c r="J333" s="55" cm="1">
        <f t="array" ref="J333">(VLOOKUP($A333,'The List'!$B1:$AH671,22,FALSE)-AVERAGE('The List'!W2:W671))/STDEV('The List'!W2:W671)</f>
        <v>-0.51758157357770107</v>
      </c>
      <c r="K333" s="55" cm="1">
        <f t="array" ref="K333">(VLOOKUP($A333,'The List'!$B1:$AH671,23,FALSE)-AVERAGE('The List'!X2:X671))/STDEV('The List'!X2:X671)</f>
        <v>-0.23878846062620088</v>
      </c>
      <c r="L333" s="55" cm="1">
        <f t="array" ref="L333">(VLOOKUP($A333,'The List'!$B1:$AH671,24,FALSE)-AVERAGE('The List'!Y2:Y671))/STDEV('The List'!Y2:Y671)</f>
        <v>-0.47546929358800777</v>
      </c>
      <c r="M333" s="55" cm="1">
        <f t="array" ref="M333">(VLOOKUP($A333,'The List'!$B1:$AH671,25,FALSE)-AVERAGE('The List'!Z2:Z671))/STDEV('The List'!Z2:Z671)</f>
        <v>0.22541077853858349</v>
      </c>
      <c r="N333" s="55" cm="1">
        <f t="array" ref="N333">(VLOOKUP($A333,'The List'!$B1:$AH671,26,FALSE)-AVERAGE('The List'!AA2:AA671))/STDEV('The List'!AA2:AA671)</f>
        <v>2.1775262417355683</v>
      </c>
      <c r="O333" s="55" cm="1">
        <f t="array" ref="O333">(VLOOKUP($A333,'The List'!$B1:$AH671,27,FALSE)-AVERAGE('The List'!AB2:AB671))/STDEV('The List'!AB2:AB671)</f>
        <v>-0.75205460145061886</v>
      </c>
      <c r="P333" s="55" cm="1">
        <f t="array" ref="P333">(VLOOKUP($A333,'The List'!$B1:$AH671,28,FALSE)-AVERAGE('The List'!AC2:AC671))/STDEV('The List'!AC2:AC671)</f>
        <v>-0.1049396195986151</v>
      </c>
      <c r="Q333" s="55" cm="1">
        <f t="array" ref="Q333">(VLOOKUP($A333,'The List'!$B1:$AH671,29,FALSE)-AVERAGE('The List'!AD2:AD671))/STDEV('The List'!AD2:AD671)</f>
        <v>0.34513400705988256</v>
      </c>
      <c r="R333" s="55" cm="1">
        <f t="array" ref="R333">(VLOOKUP($A333,'The List'!$B1:$AH671,30,FALSE)-AVERAGE('The List'!AE2:AE671))/STDEV('The List'!AE2:AE671)</f>
        <v>-0.84545801453973701</v>
      </c>
      <c r="S333" s="55" cm="1">
        <f t="array" ref="S333">(VLOOKUP($A333,'The List'!$B1:$AH671,31,FALSE)-AVERAGE('The List'!AF2:AF671))/STDEV('The List'!AF2:AF671)</f>
        <v>-0.59581850454342256</v>
      </c>
      <c r="T333" s="55" cm="1">
        <f t="array" ref="T333">(VLOOKUP($A333,'The List'!$B1:$AH671,32,FALSE)-AVERAGE('The List'!AG2:AG671))/STDEV('The List'!AG2:AG671)</f>
        <v>-0.64684275008198677</v>
      </c>
      <c r="U333" s="55" cm="1">
        <f t="array" ref="U333">(VLOOKUP($A333,'The List'!$B1:$AH671,33,FALSE)-AVERAGE('The List'!AH2:AH671))/STDEV('The List'!AH2:AH671)</f>
        <v>-1.2552626683789523</v>
      </c>
      <c r="V333" s="55"/>
      <c r="W333" s="77"/>
      <c r="X333" s="57"/>
      <c r="Y333" s="57"/>
      <c r="Z333" s="57"/>
      <c r="AA333" s="57"/>
      <c r="AB333" s="57"/>
      <c r="AC333" s="60"/>
      <c r="AD333" s="61"/>
      <c r="AE333" s="55"/>
    </row>
    <row r="334" spans="1:31" ht="21.25" customHeight="1" x14ac:dyDescent="0.15">
      <c r="A334" s="10" t="s">
        <v>603</v>
      </c>
      <c r="B334" s="18" t="str" cm="1">
        <f t="array" ref="B334">VLOOKUP(A334,'Player Data'!A1:B673,2,FALSE)</f>
        <v>OTT</v>
      </c>
      <c r="C334" s="52" cm="1">
        <f t="array" ref="C334">((E334)*Settings!$C$12)+(F334*Settings!$C$2)+(G334*Settings!$C$3)+(H334*Settings!$C$4)+(I334*Settings!$C$5)+(K334*Settings!$C$9)+(N334*Settings!$C$6)+(J334*Settings!$C$8)+(O334*Settings!$C$7)+(P334*Settings!$C$14)+(Q334*Settings!$C$15)+(R334*Settings!$C$16)+(S334*Settings!$C$17)+(T334*Settings!$C$18)+(U334*Settings!$C$19)+(L334*Settings!$C$10)+(Settings!$C$11*M334)</f>
        <v>1.8144933703892363</v>
      </c>
      <c r="D334" s="57" cm="1">
        <f t="array" ref="D334">IF(Settings!$E$12="YES",VLOOKUP(A334,'Player Data'!A1:E673,5,FALSE),82)</f>
        <v>84</v>
      </c>
      <c r="E334" s="55" cm="1">
        <f t="array" ref="E334">(VLOOKUP($A334,'The List'!$B1:$AH671,17,FALSE)-AVERAGE('The List'!R2:R671))/STDEV('The List'!R2:R671)</f>
        <v>-1.0530504030464989</v>
      </c>
      <c r="F334" s="55" cm="1">
        <f t="array" ref="F334">(VLOOKUP($A334,'The List'!$B1:$AH671,18,FALSE)-AVERAGE('The List'!S2:S671))/STDEV('The List'!S2:S671)</f>
        <v>0.30404485074347776</v>
      </c>
      <c r="G334" s="55" cm="1">
        <f t="array" ref="G334">(VLOOKUP($A334,'The List'!$B1:$AH671,19,FALSE)-AVERAGE('The List'!T2:T671))/STDEV('The List'!T2:T671)</f>
        <v>-0.42269888532467986</v>
      </c>
      <c r="H334" s="55" cm="1">
        <f t="array" ref="H334">(VLOOKUP($A334,'The List'!$B1:$AH671,20,FALSE)-AVERAGE('The List'!U2:U671))/STDEV('The List'!U2:U671)</f>
        <v>-0.1312215560095987</v>
      </c>
      <c r="I334" s="55" cm="1">
        <f t="array" ref="I334">(VLOOKUP($A334,'The List'!$B1:$AH671,21,FALSE)-AVERAGE('The List'!V2:V671))/STDEV('The List'!V2:V671)</f>
        <v>0.35565158025074306</v>
      </c>
      <c r="J334" s="55" cm="1">
        <f t="array" ref="J334">(VLOOKUP($A334,'The List'!$B1:$AH671,22,FALSE)-AVERAGE('The List'!W2:W671))/STDEV('The List'!W2:W671)</f>
        <v>0.18948245932902416</v>
      </c>
      <c r="K334" s="55" cm="1">
        <f t="array" ref="K334">(VLOOKUP($A334,'The List'!$B1:$AH671,23,FALSE)-AVERAGE('The List'!X2:X671))/STDEV('The List'!X2:X671)</f>
        <v>-0.12623555234975434</v>
      </c>
      <c r="L334" s="55" cm="1">
        <f t="array" ref="L334">(VLOOKUP($A334,'The List'!$B1:$AH671,24,FALSE)-AVERAGE('The List'!Y2:Y671))/STDEV('The List'!Y2:Y671)</f>
        <v>-0.47546929358800777</v>
      </c>
      <c r="M334" s="55" cm="1">
        <f t="array" ref="M334">(VLOOKUP($A334,'The List'!$B1:$AH671,25,FALSE)-AVERAGE('The List'!Z2:Z671))/STDEV('The List'!Z2:Z671)</f>
        <v>-0.64388478613809508</v>
      </c>
      <c r="N334" s="55" cm="1">
        <f t="array" ref="N334">(VLOOKUP($A334,'The List'!$B1:$AH671,26,FALSE)-AVERAGE('The List'!AA2:AA671))/STDEV('The List'!AA2:AA671)</f>
        <v>-0.4215219515106654</v>
      </c>
      <c r="O334" s="55" cm="1">
        <f t="array" ref="O334">(VLOOKUP($A334,'The List'!$B1:$AH671,27,FALSE)-AVERAGE('The List'!AB2:AB671))/STDEV('The List'!AB2:AB671)</f>
        <v>1.2617419998900201</v>
      </c>
      <c r="P334" s="55" cm="1">
        <f t="array" ref="P334">(VLOOKUP($A334,'The List'!$B1:$AH671,28,FALSE)-AVERAGE('The List'!AC2:AC671))/STDEV('The List'!AC2:AC671)</f>
        <v>0.44198937717942954</v>
      </c>
      <c r="Q334" s="55" cm="1">
        <f t="array" ref="Q334">(VLOOKUP($A334,'The List'!$B1:$AH671,29,FALSE)-AVERAGE('The List'!AD2:AD671))/STDEV('The List'!AD2:AD671)</f>
        <v>-1.0084281207059527</v>
      </c>
      <c r="R334" s="55" cm="1">
        <f t="array" ref="R334">(VLOOKUP($A334,'The List'!$B1:$AH671,30,FALSE)-AVERAGE('The List'!AE2:AE671))/STDEV('The List'!AE2:AE671)</f>
        <v>0.75146716690140425</v>
      </c>
      <c r="S334" s="55" cm="1">
        <f t="array" ref="S334">(VLOOKUP($A334,'The List'!$B1:$AH671,31,FALSE)-AVERAGE('The List'!AF2:AF671))/STDEV('The List'!AF2:AF671)</f>
        <v>-0.54735664288505281</v>
      </c>
      <c r="T334" s="55" cm="1">
        <f t="array" ref="T334">(VLOOKUP($A334,'The List'!$B1:$AH671,32,FALSE)-AVERAGE('The List'!AG2:AG671))/STDEV('The List'!AG2:AG671)</f>
        <v>-0.57825339110938623</v>
      </c>
      <c r="U334" s="55" cm="1">
        <f t="array" ref="U334">(VLOOKUP($A334,'The List'!$B1:$AH671,33,FALSE)-AVERAGE('The List'!AH2:AH671))/STDEV('The List'!AH2:AH671)</f>
        <v>0.76870321356193128</v>
      </c>
      <c r="V334" s="55"/>
      <c r="W334" s="57"/>
      <c r="X334" s="55"/>
      <c r="Y334" s="55"/>
      <c r="Z334" s="55"/>
      <c r="AA334" s="55"/>
      <c r="AB334" s="55"/>
      <c r="AC334" s="55"/>
      <c r="AD334" s="55"/>
      <c r="AE334" s="55"/>
    </row>
    <row r="335" spans="1:31" ht="21.25" customHeight="1" x14ac:dyDescent="0.15">
      <c r="A335" s="10" t="s">
        <v>321</v>
      </c>
      <c r="B335" s="18" t="str" cm="1">
        <f t="array" ref="B335">VLOOKUP(A335,'Player Data'!A1:B673,2,FALSE)</f>
        <v>EDM</v>
      </c>
      <c r="C335" s="52" cm="1">
        <f t="array" ref="C335">((E335)*Settings!$C$12)+(F335*Settings!$C$2)+(G335*Settings!$C$3)+(H335*Settings!$C$4)+(I335*Settings!$C$5)+(K335*Settings!$C$9)+(N335*Settings!$C$6)+(J335*Settings!$C$8)+(O335*Settings!$C$7)+(P335*Settings!$C$14)+(Q335*Settings!$C$15)+(R335*Settings!$C$16)+(S335*Settings!$C$17)+(T335*Settings!$C$18)+(U335*Settings!$C$19)+(L335*Settings!$C$10)+(Settings!$C$11*M335)</f>
        <v>-1.3651195739972937</v>
      </c>
      <c r="D335" s="57" cm="1">
        <f t="array" ref="D335">IF(Settings!$E$12="YES",VLOOKUP(A335,'Player Data'!A1:E673,5,FALSE),82)</f>
        <v>75</v>
      </c>
      <c r="E335" s="55" cm="1">
        <f t="array" ref="E335">(VLOOKUP($A335,'The List'!$B1:$AH671,17,FALSE)-AVERAGE('The List'!R2:R671))/STDEV('The List'!R2:R671)</f>
        <v>0.49464409732447123</v>
      </c>
      <c r="F335" s="55" cm="1">
        <f t="array" ref="F335">(VLOOKUP($A335,'The List'!$B1:$AH671,18,FALSE)-AVERAGE('The List'!S2:S671))/STDEV('The List'!S2:S671)</f>
        <v>-0.54919325071809888</v>
      </c>
      <c r="G335" s="55" cm="1">
        <f t="array" ref="G335">(VLOOKUP($A335,'The List'!$B1:$AH671,19,FALSE)-AVERAGE('The List'!T2:T671))/STDEV('The List'!T2:T671)</f>
        <v>-0.18658001465177523</v>
      </c>
      <c r="H335" s="55" cm="1">
        <f t="array" ref="H335">(VLOOKUP($A335,'The List'!$B1:$AH671,20,FALSE)-AVERAGE('The List'!U2:U671))/STDEV('The List'!U2:U671)</f>
        <v>-0.36065698179475481</v>
      </c>
      <c r="I335" s="55" cm="1">
        <f t="array" ref="I335">(VLOOKUP($A335,'The List'!$B1:$AH671,21,FALSE)-AVERAGE('The List'!V2:V671))/STDEV('The List'!V2:V671)</f>
        <v>0.20015626083048815</v>
      </c>
      <c r="J335" s="55" cm="1">
        <f t="array" ref="J335">(VLOOKUP($A335,'The List'!$B1:$AH671,22,FALSE)-AVERAGE('The List'!W2:W671))/STDEV('The List'!W2:W671)</f>
        <v>-0.73853908386105271</v>
      </c>
      <c r="K335" s="55" cm="1">
        <f t="array" ref="K335">(VLOOKUP($A335,'The List'!$B1:$AH671,23,FALSE)-AVERAGE('The List'!X2:X671))/STDEV('The List'!X2:X671)</f>
        <v>-0.57544224877450112</v>
      </c>
      <c r="L335" s="55" cm="1">
        <f t="array" ref="L335">(VLOOKUP($A335,'The List'!$B1:$AH671,24,FALSE)-AVERAGE('The List'!Y2:Y671))/STDEV('The List'!Y2:Y671)</f>
        <v>0.89939260955329181</v>
      </c>
      <c r="M335" s="55" cm="1">
        <f t="array" ref="M335">(VLOOKUP($A335,'The List'!$B1:$AH671,25,FALSE)-AVERAGE('The List'!Z2:Z671))/STDEV('The List'!Z2:Z671)</f>
        <v>0.17107980574629103</v>
      </c>
      <c r="N335" s="55" cm="1">
        <f t="array" ref="N335">(VLOOKUP($A335,'The List'!$B1:$AH671,26,FALSE)-AVERAGE('The List'!AA2:AA671))/STDEV('The List'!AA2:AA671)</f>
        <v>1.7675938173880636</v>
      </c>
      <c r="O335" s="55" cm="1">
        <f t="array" ref="O335">(VLOOKUP($A335,'The List'!$B1:$AH671,27,FALSE)-AVERAGE('The List'!AB2:AB671))/STDEV('The List'!AB2:AB671)</f>
        <v>-0.80022664963008239</v>
      </c>
      <c r="P335" s="55" cm="1">
        <f t="array" ref="P335">(VLOOKUP($A335,'The List'!$B1:$AH671,28,FALSE)-AVERAGE('The List'!AC2:AC671))/STDEV('The List'!AC2:AC671)</f>
        <v>0.54616632894667616</v>
      </c>
      <c r="Q335" s="55" cm="1">
        <f t="array" ref="Q335">(VLOOKUP($A335,'The List'!$B1:$AH671,29,FALSE)-AVERAGE('The List'!AD2:AD671))/STDEV('The List'!AD2:AD671)</f>
        <v>-4.6453289728268662E-2</v>
      </c>
      <c r="R335" s="55" cm="1">
        <f t="array" ref="R335">(VLOOKUP($A335,'The List'!$B1:$AH671,30,FALSE)-AVERAGE('The List'!AE2:AE671))/STDEV('The List'!AE2:AE671)</f>
        <v>-0.40879878523942492</v>
      </c>
      <c r="S335" s="55" cm="1">
        <f t="array" ref="S335">(VLOOKUP($A335,'The List'!$B1:$AH671,31,FALSE)-AVERAGE('The List'!AF2:AF671))/STDEV('The List'!AF2:AF671)</f>
        <v>-0.59581850454342256</v>
      </c>
      <c r="T335" s="55" cm="1">
        <f t="array" ref="T335">(VLOOKUP($A335,'The List'!$B1:$AH671,32,FALSE)-AVERAGE('The List'!AG2:AG671))/STDEV('The List'!AG2:AG671)</f>
        <v>-0.64684275008198677</v>
      </c>
      <c r="U335" s="55" cm="1">
        <f t="array" ref="U335">(VLOOKUP($A335,'The List'!$B1:$AH671,33,FALSE)-AVERAGE('The List'!AH2:AH671))/STDEV('The List'!AH2:AH671)</f>
        <v>-1.2552626683789523</v>
      </c>
      <c r="V335" s="55"/>
      <c r="W335" s="57"/>
      <c r="X335" s="55"/>
      <c r="Y335" s="55"/>
      <c r="Z335" s="55"/>
      <c r="AA335" s="55"/>
      <c r="AB335" s="55"/>
      <c r="AC335" s="55"/>
      <c r="AD335" s="55"/>
      <c r="AE335" s="55"/>
    </row>
    <row r="336" spans="1:31" ht="21.25" customHeight="1" x14ac:dyDescent="0.15">
      <c r="A336" s="10" t="s">
        <v>663</v>
      </c>
      <c r="B336" s="18" t="str" cm="1">
        <f t="array" ref="B336">VLOOKUP(A336,'Player Data'!A1:B673,2,FALSE)</f>
        <v>DAL</v>
      </c>
      <c r="C336" s="52" cm="1">
        <f t="array" ref="C336">((E336)*Settings!$C$12)+(F336*Settings!$C$2)+(G336*Settings!$C$3)+(H336*Settings!$C$4)+(I336*Settings!$C$5)+(K336*Settings!$C$9)+(N336*Settings!$C$6)+(J336*Settings!$C$8)+(O336*Settings!$C$7)+(P336*Settings!$C$14)+(Q336*Settings!$C$15)+(R336*Settings!$C$16)+(S336*Settings!$C$17)+(T336*Settings!$C$18)+(U336*Settings!$C$19)+(L336*Settings!$C$10)+(Settings!$C$11*M336)</f>
        <v>0.71433347191421137</v>
      </c>
      <c r="D336" s="57" cm="1">
        <f t="array" ref="D336">IF(Settings!$E$12="YES",VLOOKUP(A336,'Player Data'!A1:E673,5,FALSE),82)</f>
        <v>81</v>
      </c>
      <c r="E336" s="55" cm="1">
        <f t="array" ref="E336">(VLOOKUP($A336,'The List'!$B1:$AH671,17,FALSE)-AVERAGE('The List'!R2:R671))/STDEV('The List'!R2:R671)</f>
        <v>-0.86942563181604504</v>
      </c>
      <c r="F336" s="55" cm="1">
        <f t="array" ref="F336">(VLOOKUP($A336,'The List'!$B1:$AH671,18,FALSE)-AVERAGE('The List'!S2:S671))/STDEV('The List'!S2:S671)</f>
        <v>8.2502326153454292E-2</v>
      </c>
      <c r="G336" s="55" cm="1">
        <f t="array" ref="G336">(VLOOKUP($A336,'The List'!$B1:$AH671,19,FALSE)-AVERAGE('The List'!T2:T671))/STDEV('The List'!T2:T671)</f>
        <v>-0.35312814664427039</v>
      </c>
      <c r="H336" s="55" cm="1">
        <f t="array" ref="H336">(VLOOKUP($A336,'The List'!$B1:$AH671,20,FALSE)-AVERAGE('The List'!U2:U671))/STDEV('The List'!U2:U671)</f>
        <v>-0.18559642570434659</v>
      </c>
      <c r="I336" s="55" cm="1">
        <f t="array" ref="I336">(VLOOKUP($A336,'The List'!$B1:$AH671,21,FALSE)-AVERAGE('The List'!V2:V671))/STDEV('The List'!V2:V671)</f>
        <v>-0.50475585387466726</v>
      </c>
      <c r="J336" s="55" cm="1">
        <f t="array" ref="J336">(VLOOKUP($A336,'The List'!$B1:$AH671,22,FALSE)-AVERAGE('The List'!W2:W671))/STDEV('The List'!W2:W671)</f>
        <v>-6.738064637537218E-2</v>
      </c>
      <c r="K336" s="55" cm="1">
        <f t="array" ref="K336">(VLOOKUP($A336,'The List'!$B1:$AH671,23,FALSE)-AVERAGE('The List'!X2:X671))/STDEV('The List'!X2:X671)</f>
        <v>-0.23175390385892294</v>
      </c>
      <c r="L336" s="55" cm="1">
        <f t="array" ref="L336">(VLOOKUP($A336,'The List'!$B1:$AH671,24,FALSE)-AVERAGE('The List'!Y2:Y671))/STDEV('The List'!Y2:Y671)</f>
        <v>-0.47546929358800777</v>
      </c>
      <c r="M336" s="55" cm="1">
        <f t="array" ref="M336">(VLOOKUP($A336,'The List'!$B1:$AH671,25,FALSE)-AVERAGE('The List'!Z2:Z671))/STDEV('The List'!Z2:Z671)</f>
        <v>-0.64388478613809508</v>
      </c>
      <c r="N336" s="55" cm="1">
        <f t="array" ref="N336">(VLOOKUP($A336,'The List'!$B1:$AH671,26,FALSE)-AVERAGE('The List'!AA2:AA671))/STDEV('The List'!AA2:AA671)</f>
        <v>-0.44374258759679214</v>
      </c>
      <c r="O336" s="55" cm="1">
        <f t="array" ref="O336">(VLOOKUP($A336,'The List'!$B1:$AH671,27,FALSE)-AVERAGE('The List'!AB2:AB671))/STDEV('The List'!AB2:AB671)</f>
        <v>0.77161703309386098</v>
      </c>
      <c r="P336" s="55" cm="1">
        <f t="array" ref="P336">(VLOOKUP($A336,'The List'!$B1:$AH671,28,FALSE)-AVERAGE('The List'!AC2:AC671))/STDEV('The List'!AC2:AC671)</f>
        <v>0.94985201704475664</v>
      </c>
      <c r="Q336" s="55" cm="1">
        <f t="array" ref="Q336">(VLOOKUP($A336,'The List'!$B1:$AH671,29,FALSE)-AVERAGE('The List'!AD2:AD671))/STDEV('The List'!AD2:AD671)</f>
        <v>0.25942810814021156</v>
      </c>
      <c r="R336" s="55" cm="1">
        <f t="array" ref="R336">(VLOOKUP($A336,'The List'!$B1:$AH671,30,FALSE)-AVERAGE('The List'!AE2:AE671))/STDEV('The List'!AE2:AE671)</f>
        <v>0.17133419083098952</v>
      </c>
      <c r="S336" s="55" cm="1">
        <f t="array" ref="S336">(VLOOKUP($A336,'The List'!$B1:$AH671,31,FALSE)-AVERAGE('The List'!AF2:AF671))/STDEV('The List'!AF2:AF671)</f>
        <v>0.3271203429324937</v>
      </c>
      <c r="T336" s="55" cm="1">
        <f t="array" ref="T336">(VLOOKUP($A336,'The List'!$B1:$AH671,32,FALSE)-AVERAGE('The List'!AG2:AG671))/STDEV('The List'!AG2:AG671)</f>
        <v>0.1468341180295327</v>
      </c>
      <c r="U336" s="55" cm="1">
        <f t="array" ref="U336">(VLOOKUP($A336,'The List'!$B1:$AH671,33,FALSE)-AVERAGE('The List'!AH2:AH671))/STDEV('The List'!AH2:AH671)</f>
        <v>1.2746946840471525</v>
      </c>
      <c r="V336" s="55"/>
      <c r="W336" s="77"/>
      <c r="X336" s="57"/>
      <c r="Y336" s="57"/>
      <c r="Z336" s="57"/>
      <c r="AA336" s="57"/>
      <c r="AB336" s="57"/>
      <c r="AC336" s="60"/>
      <c r="AD336" s="61"/>
      <c r="AE336" s="55"/>
    </row>
    <row r="337" spans="1:31" ht="21.25" customHeight="1" x14ac:dyDescent="0.15">
      <c r="A337" s="10" t="s">
        <v>395</v>
      </c>
      <c r="B337" s="18" t="str" cm="1">
        <f t="array" ref="B337">VLOOKUP(A337,'Player Data'!A1:B673,2,FALSE)</f>
        <v>NYI</v>
      </c>
      <c r="C337" s="52" cm="1">
        <f t="array" ref="C337">((E337)*Settings!$C$12)+(F337*Settings!$C$2)+(G337*Settings!$C$3)+(H337*Settings!$C$4)+(I337*Settings!$C$5)+(K337*Settings!$C$9)+(N337*Settings!$C$6)+(J337*Settings!$C$8)+(O337*Settings!$C$7)+(P337*Settings!$C$14)+(Q337*Settings!$C$15)+(R337*Settings!$C$16)+(S337*Settings!$C$17)+(T337*Settings!$C$18)+(U337*Settings!$C$19)+(L337*Settings!$C$10)+(Settings!$C$11*M337)</f>
        <v>-3.5582787043807098</v>
      </c>
      <c r="D337" s="57" cm="1">
        <f t="array" ref="D337">IF(Settings!$E$12="YES",VLOOKUP(A337,'Player Data'!A1:E673,5,FALSE),82)</f>
        <v>71</v>
      </c>
      <c r="E337" s="55" cm="1">
        <f t="array" ref="E337">(VLOOKUP($A337,'The List'!$B1:$AH671,17,FALSE)-AVERAGE('The List'!R2:R671))/STDEV('The List'!R2:R671)</f>
        <v>4.8698224336225657E-2</v>
      </c>
      <c r="F337" s="55" cm="1">
        <f t="array" ref="F337">(VLOOKUP($A337,'The List'!$B1:$AH671,18,FALSE)-AVERAGE('The List'!S2:S671))/STDEV('The List'!S2:S671)</f>
        <v>-0.9473710314001681</v>
      </c>
      <c r="G337" s="55" cm="1">
        <f t="array" ref="G337">(VLOOKUP($A337,'The List'!$B1:$AH671,19,FALSE)-AVERAGE('The List'!T2:T671))/STDEV('The List'!T2:T671)</f>
        <v>-0.16549797262740895</v>
      </c>
      <c r="H337" s="55" cm="1">
        <f t="array" ref="H337">(VLOOKUP($A337,'The List'!$B1:$AH671,20,FALSE)-AVERAGE('The List'!U2:U671))/STDEV('The List'!U2:U671)</f>
        <v>-0.52378159087899889</v>
      </c>
      <c r="I337" s="55" cm="1">
        <f t="array" ref="I337">(VLOOKUP($A337,'The List'!$B1:$AH671,21,FALSE)-AVERAGE('The List'!V2:V671))/STDEV('The List'!V2:V671)</f>
        <v>-0.24594253332850963</v>
      </c>
      <c r="J337" s="55" cm="1">
        <f t="array" ref="J337">(VLOOKUP($A337,'The List'!$B1:$AH671,22,FALSE)-AVERAGE('The List'!W2:W671))/STDEV('The List'!W2:W671)</f>
        <v>-0.5424392934845782</v>
      </c>
      <c r="K337" s="55" cm="1">
        <f t="array" ref="K337">(VLOOKUP($A337,'The List'!$B1:$AH671,23,FALSE)-AVERAGE('The List'!X2:X671))/STDEV('The List'!X2:X671)</f>
        <v>-0.23074896717788335</v>
      </c>
      <c r="L337" s="55" cm="1">
        <f t="array" ref="L337">(VLOOKUP($A337,'The List'!$B1:$AH671,24,FALSE)-AVERAGE('The List'!Y2:Y671))/STDEV('The List'!Y2:Y671)</f>
        <v>-0.47546929358800777</v>
      </c>
      <c r="M337" s="55" cm="1">
        <f t="array" ref="M337">(VLOOKUP($A337,'The List'!$B1:$AH671,25,FALSE)-AVERAGE('The List'!Z2:Z671))/STDEV('The List'!Z2:Z671)</f>
        <v>-0.64388478613809508</v>
      </c>
      <c r="N337" s="55" cm="1">
        <f t="array" ref="N337">(VLOOKUP($A337,'The List'!$B1:$AH671,26,FALSE)-AVERAGE('The List'!AA2:AA671))/STDEV('The List'!AA2:AA671)</f>
        <v>4.536681590817461E-2</v>
      </c>
      <c r="O337" s="55" cm="1">
        <f t="array" ref="O337">(VLOOKUP($A337,'The List'!$B1:$AH671,27,FALSE)-AVERAGE('The List'!AB2:AB671))/STDEV('The List'!AB2:AB671)</f>
        <v>-0.93920813331381137</v>
      </c>
      <c r="P337" s="55" cm="1">
        <f t="array" ref="P337">(VLOOKUP($A337,'The List'!$B1:$AH671,28,FALSE)-AVERAGE('The List'!AC2:AC671))/STDEV('The List'!AC2:AC671)</f>
        <v>-1.0295100665329286</v>
      </c>
      <c r="Q337" s="55" cm="1">
        <f t="array" ref="Q337">(VLOOKUP($A337,'The List'!$B1:$AH671,29,FALSE)-AVERAGE('The List'!AD2:AD671))/STDEV('The List'!AD2:AD671)</f>
        <v>-0.59024244149445559</v>
      </c>
      <c r="R337" s="55" cm="1">
        <f t="array" ref="R337">(VLOOKUP($A337,'The List'!$B1:$AH671,30,FALSE)-AVERAGE('The List'!AE2:AE671))/STDEV('The List'!AE2:AE671)</f>
        <v>-0.90159991544977713</v>
      </c>
      <c r="S337" s="55" cm="1">
        <f t="array" ref="S337">(VLOOKUP($A337,'The List'!$B1:$AH671,31,FALSE)-AVERAGE('The List'!AF2:AF671))/STDEV('The List'!AF2:AF671)</f>
        <v>-0.59581850454342256</v>
      </c>
      <c r="T337" s="55" cm="1">
        <f t="array" ref="T337">(VLOOKUP($A337,'The List'!$B1:$AH671,32,FALSE)-AVERAGE('The List'!AG2:AG671))/STDEV('The List'!AG2:AG671)</f>
        <v>-0.64684275008198677</v>
      </c>
      <c r="U337" s="55" cm="1">
        <f t="array" ref="U337">(VLOOKUP($A337,'The List'!$B1:$AH671,33,FALSE)-AVERAGE('The List'!AH2:AH671))/STDEV('The List'!AH2:AH671)</f>
        <v>-1.2552626683789523</v>
      </c>
      <c r="V337" s="55"/>
      <c r="W337" s="77"/>
      <c r="X337" s="57"/>
      <c r="Y337" s="57"/>
      <c r="Z337" s="57"/>
      <c r="AA337" s="57"/>
      <c r="AB337" s="57"/>
      <c r="AC337" s="60"/>
      <c r="AD337" s="61"/>
      <c r="AE337" s="55"/>
    </row>
    <row r="338" spans="1:31" ht="21.25" customHeight="1" x14ac:dyDescent="0.15">
      <c r="A338" s="10" t="s">
        <v>645</v>
      </c>
      <c r="B338" s="18" t="str" cm="1">
        <f t="array" ref="B338">VLOOKUP(A338,'Player Data'!A1:B673,2,FALSE)</f>
        <v>VGK</v>
      </c>
      <c r="C338" s="52" cm="1">
        <f t="array" ref="C338">((E338)*Settings!$C$12)+(F338*Settings!$C$2)+(G338*Settings!$C$3)+(H338*Settings!$C$4)+(I338*Settings!$C$5)+(K338*Settings!$C$9)+(N338*Settings!$C$6)+(J338*Settings!$C$8)+(O338*Settings!$C$7)+(P338*Settings!$C$14)+(Q338*Settings!$C$15)+(R338*Settings!$C$16)+(S338*Settings!$C$17)+(T338*Settings!$C$18)+(U338*Settings!$C$19)+(L338*Settings!$C$10)+(Settings!$C$11*M338)</f>
        <v>-1.2575447680183016</v>
      </c>
      <c r="D338" s="57" cm="1">
        <f t="array" ref="D338">IF(Settings!$E$12="YES",VLOOKUP(A338,'Player Data'!A1:E673,5,FALSE),82)</f>
        <v>77</v>
      </c>
      <c r="E338" s="55" cm="1">
        <f t="array" ref="E338">(VLOOKUP($A338,'The List'!$B1:$AH671,17,FALSE)-AVERAGE('The List'!R2:R671))/STDEV('The List'!R2:R671)</f>
        <v>-0.97435407251916173</v>
      </c>
      <c r="F338" s="55" cm="1">
        <f t="array" ref="F338">(VLOOKUP($A338,'The List'!$B1:$AH671,18,FALSE)-AVERAGE('The List'!S2:S671))/STDEV('The List'!S2:S671)</f>
        <v>-0.14303195563638932</v>
      </c>
      <c r="G338" s="55" cm="1">
        <f t="array" ref="G338">(VLOOKUP($A338,'The List'!$B1:$AH671,19,FALSE)-AVERAGE('The List'!T2:T671))/STDEV('The List'!T2:T671)</f>
        <v>-0.58011146577328287</v>
      </c>
      <c r="H338" s="55" cm="1">
        <f t="array" ref="H338">(VLOOKUP($A338,'The List'!$B1:$AH671,20,FALSE)-AVERAGE('The List'!U2:U671))/STDEV('The List'!U2:U671)</f>
        <v>-0.42829401482968549</v>
      </c>
      <c r="I338" s="55" cm="1">
        <f t="array" ref="I338">(VLOOKUP($A338,'The List'!$B1:$AH671,21,FALSE)-AVERAGE('The List'!V2:V671))/STDEV('The List'!V2:V671)</f>
        <v>1.0970288869177992E-2</v>
      </c>
      <c r="J338" s="55" cm="1">
        <f t="array" ref="J338">(VLOOKUP($A338,'The List'!$B1:$AH671,22,FALSE)-AVERAGE('The List'!W2:W671))/STDEV('The List'!W2:W671)</f>
        <v>-0.10052427291787484</v>
      </c>
      <c r="K338" s="55" cm="1">
        <f t="array" ref="K338">(VLOOKUP($A338,'The List'!$B1:$AH671,23,FALSE)-AVERAGE('The List'!X2:X671))/STDEV('The List'!X2:X671)</f>
        <v>-0.33727225536809174</v>
      </c>
      <c r="L338" s="55" cm="1">
        <f t="array" ref="L338">(VLOOKUP($A338,'The List'!$B1:$AH671,24,FALSE)-AVERAGE('The List'!Y2:Y671))/STDEV('The List'!Y2:Y671)</f>
        <v>-0.47546929358800777</v>
      </c>
      <c r="M338" s="55" cm="1">
        <f t="array" ref="M338">(VLOOKUP($A338,'The List'!$B1:$AH671,25,FALSE)-AVERAGE('The List'!Z2:Z671))/STDEV('The List'!Z2:Z671)</f>
        <v>-0.64388478613809508</v>
      </c>
      <c r="N338" s="55" cm="1">
        <f t="array" ref="N338">(VLOOKUP($A338,'The List'!$B1:$AH671,26,FALSE)-AVERAGE('The List'!AA2:AA671))/STDEV('The List'!AA2:AA671)</f>
        <v>-1.0329725582944198</v>
      </c>
      <c r="O338" s="55" cm="1">
        <f t="array" ref="O338">(VLOOKUP($A338,'The List'!$B1:$AH671,27,FALSE)-AVERAGE('The List'!AB2:AB671))/STDEV('The List'!AB2:AB671)</f>
        <v>-1.1058629212708493</v>
      </c>
      <c r="P338" s="55" cm="1">
        <f t="array" ref="P338">(VLOOKUP($A338,'The List'!$B1:$AH671,28,FALSE)-AVERAGE('The List'!AC2:AC671))/STDEV('The List'!AC2:AC671)</f>
        <v>0.89776354116113344</v>
      </c>
      <c r="Q338" s="55" cm="1">
        <f t="array" ref="Q338">(VLOOKUP($A338,'The List'!$B1:$AH671,29,FALSE)-AVERAGE('The List'!AD2:AD671))/STDEV('The List'!AD2:AD671)</f>
        <v>-1.3497740284722277</v>
      </c>
      <c r="R338" s="55" cm="1">
        <f t="array" ref="R338">(VLOOKUP($A338,'The List'!$B1:$AH671,30,FALSE)-AVERAGE('The List'!AE2:AE671))/STDEV('The List'!AE2:AE671)</f>
        <v>9.6478322950936238E-2</v>
      </c>
      <c r="S338" s="55" cm="1">
        <f t="array" ref="S338">(VLOOKUP($A338,'The List'!$B1:$AH671,31,FALSE)-AVERAGE('The List'!AF2:AF671))/STDEV('The List'!AF2:AF671)</f>
        <v>-0.58841460901228271</v>
      </c>
      <c r="T338" s="55" cm="1">
        <f t="array" ref="T338">(VLOOKUP($A338,'The List'!$B1:$AH671,32,FALSE)-AVERAGE('The List'!AG2:AG671))/STDEV('The List'!AG2:AG671)</f>
        <v>-0.61540596055287822</v>
      </c>
      <c r="U338" s="55" cm="1">
        <f t="array" ref="U338">(VLOOKUP($A338,'The List'!$B1:$AH671,33,FALSE)-AVERAGE('The List'!AH2:AH671))/STDEV('The List'!AH2:AH671)</f>
        <v>-0.24327972740851045</v>
      </c>
      <c r="V338" s="55"/>
      <c r="W338" s="77"/>
      <c r="X338" s="57"/>
      <c r="Y338" s="57"/>
      <c r="Z338" s="57"/>
      <c r="AA338" s="57"/>
      <c r="AB338" s="57"/>
      <c r="AC338" s="60"/>
      <c r="AD338" s="61"/>
      <c r="AE338" s="55"/>
    </row>
    <row r="339" spans="1:31" ht="21.25" customHeight="1" x14ac:dyDescent="0.15">
      <c r="A339" s="10" t="s">
        <v>658</v>
      </c>
      <c r="B339" s="18" t="str" cm="1">
        <f t="array" ref="B339">VLOOKUP(A339,'Player Data'!A1:B673,2,FALSE)</f>
        <v>CGY</v>
      </c>
      <c r="C339" s="52" cm="1">
        <f t="array" ref="C339">((E339)*Settings!$C$12)+(F339*Settings!$C$2)+(G339*Settings!$C$3)+(H339*Settings!$C$4)+(I339*Settings!$C$5)+(K339*Settings!$C$9)+(N339*Settings!$C$6)+(J339*Settings!$C$8)+(O339*Settings!$C$7)+(P339*Settings!$C$14)+(Q339*Settings!$C$15)+(R339*Settings!$C$16)+(S339*Settings!$C$17)+(T339*Settings!$C$18)+(U339*Settings!$C$19)+(L339*Settings!$C$10)+(Settings!$C$11*M339)</f>
        <v>-4.2059547490298357</v>
      </c>
      <c r="D339" s="57" cm="1">
        <f t="array" ref="D339">IF(Settings!$E$12="YES",VLOOKUP(A339,'Player Data'!A1:E673,5,FALSE),82)</f>
        <v>78</v>
      </c>
      <c r="E339" s="55" cm="1">
        <f t="array" ref="E339">(VLOOKUP($A339,'The List'!$B1:$AH671,17,FALSE)-AVERAGE('The List'!R2:R671))/STDEV('The List'!R2:R671)</f>
        <v>-1.0005861826949407</v>
      </c>
      <c r="F339" s="55" cm="1">
        <f t="array" ref="F339">(VLOOKUP($A339,'The List'!$B1:$AH671,18,FALSE)-AVERAGE('The List'!S2:S671))/STDEV('The List'!S2:S671)</f>
        <v>-0.51626125381958199</v>
      </c>
      <c r="G339" s="55" cm="1">
        <f t="array" ref="G339">(VLOOKUP($A339,'The List'!$B1:$AH671,19,FALSE)-AVERAGE('The List'!T2:T671))/STDEV('The List'!T2:T671)</f>
        <v>-0.23717691551025491</v>
      </c>
      <c r="H339" s="55" cm="1">
        <f t="array" ref="H339">(VLOOKUP($A339,'The List'!$B1:$AH671,20,FALSE)-AVERAGE('The List'!U2:U671))/STDEV('The List'!U2:U671)</f>
        <v>-0.37789779413699215</v>
      </c>
      <c r="I339" s="55" cm="1">
        <f t="array" ref="I339">(VLOOKUP($A339,'The List'!$B1:$AH671,21,FALSE)-AVERAGE('The List'!V2:V671))/STDEV('The List'!V2:V671)</f>
        <v>-0.526525198593503</v>
      </c>
      <c r="J339" s="55" cm="1">
        <f t="array" ref="J339">(VLOOKUP($A339,'The List'!$B1:$AH671,22,FALSE)-AVERAGE('The List'!W2:W671))/STDEV('The List'!W2:W671)</f>
        <v>-0.52310551133478489</v>
      </c>
      <c r="K339" s="55" cm="1">
        <f t="array" ref="K339">(VLOOKUP($A339,'The List'!$B1:$AH671,23,FALSE)-AVERAGE('The List'!X2:X671))/STDEV('The List'!X2:X671)</f>
        <v>-0.48801275752404699</v>
      </c>
      <c r="L339" s="55" cm="1">
        <f t="array" ref="L339">(VLOOKUP($A339,'The List'!$B1:$AH671,24,FALSE)-AVERAGE('The List'!Y2:Y671))/STDEV('The List'!Y2:Y671)</f>
        <v>-0.47546929358800777</v>
      </c>
      <c r="M339" s="55" cm="1">
        <f t="array" ref="M339">(VLOOKUP($A339,'The List'!$B1:$AH671,25,FALSE)-AVERAGE('The List'!Z2:Z671))/STDEV('The List'!Z2:Z671)</f>
        <v>-0.64388478613809508</v>
      </c>
      <c r="N339" s="55" cm="1">
        <f t="array" ref="N339">(VLOOKUP($A339,'The List'!$B1:$AH671,26,FALSE)-AVERAGE('The List'!AA2:AA671))/STDEV('The List'!AA2:AA671)</f>
        <v>-0.94562247161102631</v>
      </c>
      <c r="O339" s="55" cm="1">
        <f t="array" ref="O339">(VLOOKUP($A339,'The List'!$B1:$AH671,27,FALSE)-AVERAGE('The List'!AB2:AB671))/STDEV('The List'!AB2:AB671)</f>
        <v>-0.80945108438785207</v>
      </c>
      <c r="P339" s="55" cm="1">
        <f t="array" ref="P339">(VLOOKUP($A339,'The List'!$B1:$AH671,28,FALSE)-AVERAGE('The List'!AC2:AC671))/STDEV('The List'!AC2:AC671)</f>
        <v>-1.6285275391945966</v>
      </c>
      <c r="Q339" s="55" cm="1">
        <f t="array" ref="Q339">(VLOOKUP($A339,'The List'!$B1:$AH671,29,FALSE)-AVERAGE('The List'!AD2:AD671))/STDEV('The List'!AD2:AD671)</f>
        <v>0.91108847751219046</v>
      </c>
      <c r="R339" s="55" cm="1">
        <f t="array" ref="R339">(VLOOKUP($A339,'The List'!$B1:$AH671,30,FALSE)-AVERAGE('The List'!AE2:AE671))/STDEV('The List'!AE2:AE671)</f>
        <v>-0.37137085129939812</v>
      </c>
      <c r="S339" s="55" cm="1">
        <f t="array" ref="S339">(VLOOKUP($A339,'The List'!$B1:$AH671,31,FALSE)-AVERAGE('The List'!AF2:AF671))/STDEV('The List'!AF2:AF671)</f>
        <v>0.72044027371336927</v>
      </c>
      <c r="T339" s="55" cm="1">
        <f t="array" ref="T339">(VLOOKUP($A339,'The List'!$B1:$AH671,32,FALSE)-AVERAGE('The List'!AG2:AG671))/STDEV('The List'!AG2:AG671)</f>
        <v>1.1364805832056253</v>
      </c>
      <c r="U339" s="55" cm="1">
        <f t="array" ref="U339">(VLOOKUP($A339,'The List'!$B1:$AH671,33,FALSE)-AVERAGE('The List'!AH2:AH671))/STDEV('The List'!AH2:AH671)</f>
        <v>0.76870321356193128</v>
      </c>
      <c r="V339" s="55"/>
      <c r="W339" s="77"/>
      <c r="X339" s="57"/>
      <c r="Y339" s="57"/>
      <c r="Z339" s="57"/>
      <c r="AA339" s="57"/>
      <c r="AB339" s="57"/>
      <c r="AC339" s="60"/>
      <c r="AD339" s="61"/>
      <c r="AE339" s="55"/>
    </row>
    <row r="340" spans="1:31" ht="21.25" customHeight="1" x14ac:dyDescent="0.15">
      <c r="A340" s="10" t="s">
        <v>685</v>
      </c>
      <c r="B340" s="18" t="str" cm="1">
        <f t="array" ref="B340">VLOOKUP(A340,'Player Data'!A1:B673,2,FALSE)</f>
        <v>VAN</v>
      </c>
      <c r="C340" s="52" cm="1">
        <f t="array" ref="C340">((E340)*Settings!$C$12)+(F340*Settings!$C$2)+(G340*Settings!$C$3)+(H340*Settings!$C$4)+(I340*Settings!$C$5)+(K340*Settings!$C$9)+(N340*Settings!$C$6)+(J340*Settings!$C$8)+(O340*Settings!$C$7)+(P340*Settings!$C$14)+(Q340*Settings!$C$15)+(R340*Settings!$C$16)+(S340*Settings!$C$17)+(T340*Settings!$C$18)+(U340*Settings!$C$19)+(L340*Settings!$C$10)+(Settings!$C$11*M340)</f>
        <v>-5.1296216368504419</v>
      </c>
      <c r="D340" s="57" cm="1">
        <f t="array" ref="D340">IF(Settings!$E$12="YES",VLOOKUP(A340,'Player Data'!A1:E673,5,FALSE),82)</f>
        <v>66</v>
      </c>
      <c r="E340" s="55" cm="1">
        <f t="array" ref="E340">(VLOOKUP($A340,'The List'!$B1:$AH671,17,FALSE)-AVERAGE('The List'!R2:R671))/STDEV('The List'!R2:R671)</f>
        <v>-0.58087241988247429</v>
      </c>
      <c r="F340" s="55" cm="1">
        <f t="array" ref="F340">(VLOOKUP($A340,'The List'!$B1:$AH671,18,FALSE)-AVERAGE('The List'!S2:S671))/STDEV('The List'!S2:S671)</f>
        <v>-0.38453326622551393</v>
      </c>
      <c r="G340" s="55" cm="1">
        <f t="array" ref="G340">(VLOOKUP($A340,'The List'!$B1:$AH671,19,FALSE)-AVERAGE('The List'!T2:T671))/STDEV('The List'!T2:T671)</f>
        <v>-0.78109359973890979</v>
      </c>
      <c r="H340" s="55" cm="1">
        <f t="array" ref="H340">(VLOOKUP($A340,'The List'!$B1:$AH671,20,FALSE)-AVERAGE('The List'!U2:U671))/STDEV('The List'!U2:U671)</f>
        <v>-0.66170808961689642</v>
      </c>
      <c r="I340" s="55" cm="1">
        <f t="array" ref="I340">(VLOOKUP($A340,'The List'!$B1:$AH671,21,FALSE)-AVERAGE('The List'!V2:V671))/STDEV('The List'!V2:V671)</f>
        <v>-0.56488071071716595</v>
      </c>
      <c r="J340" s="55" cm="1">
        <f t="array" ref="J340">(VLOOKUP($A340,'The List'!$B1:$AH671,22,FALSE)-AVERAGE('The List'!W2:W671))/STDEV('The List'!W2:W671)</f>
        <v>-0.73853908386105271</v>
      </c>
      <c r="K340" s="55" cm="1">
        <f t="array" ref="K340">(VLOOKUP($A340,'The List'!$B1:$AH671,23,FALSE)-AVERAGE('The List'!X2:X671))/STDEV('The List'!X2:X671)</f>
        <v>-0.73522718105981366</v>
      </c>
      <c r="L340" s="55" cm="1">
        <f t="array" ref="L340">(VLOOKUP($A340,'The List'!$B1:$AH671,24,FALSE)-AVERAGE('The List'!Y2:Y671))/STDEV('The List'!Y2:Y671)</f>
        <v>-0.47546929358800777</v>
      </c>
      <c r="M340" s="55" cm="1">
        <f t="array" ref="M340">(VLOOKUP($A340,'The List'!$B1:$AH671,25,FALSE)-AVERAGE('The List'!Z2:Z671))/STDEV('The List'!Z2:Z671)</f>
        <v>0.79045289557842446</v>
      </c>
      <c r="N340" s="55" cm="1">
        <f t="array" ref="N340">(VLOOKUP($A340,'The List'!$B1:$AH671,26,FALSE)-AVERAGE('The List'!AA2:AA671))/STDEV('The List'!AA2:AA671)</f>
        <v>-0.57783263294410647</v>
      </c>
      <c r="O340" s="55" cm="1">
        <f t="array" ref="O340">(VLOOKUP($A340,'The List'!$B1:$AH671,27,FALSE)-AVERAGE('The List'!AB2:AB671))/STDEV('The List'!AB2:AB671)</f>
        <v>-0.26705432063099827</v>
      </c>
      <c r="P340" s="55" cm="1">
        <f t="array" ref="P340">(VLOOKUP($A340,'The List'!$B1:$AH671,28,FALSE)-AVERAGE('The List'!AC2:AC671))/STDEV('The List'!AC2:AC671)</f>
        <v>-2.3968325584780406</v>
      </c>
      <c r="Q340" s="55" cm="1">
        <f t="array" ref="Q340">(VLOOKUP($A340,'The List'!$B1:$AH671,29,FALSE)-AVERAGE('The List'!AD2:AD671))/STDEV('The List'!AD2:AD671)</f>
        <v>-1.544828832910099</v>
      </c>
      <c r="R340" s="55" cm="1">
        <f t="array" ref="R340">(VLOOKUP($A340,'The List'!$B1:$AH671,30,FALSE)-AVERAGE('The List'!AE2:AE671))/STDEV('The List'!AE2:AE671)</f>
        <v>-0.52108258705950516</v>
      </c>
      <c r="S340" s="55" cm="1">
        <f t="array" ref="S340">(VLOOKUP($A340,'The List'!$B1:$AH671,31,FALSE)-AVERAGE('The List'!AF2:AF671))/STDEV('The List'!AF2:AF671)</f>
        <v>-0.56091442561090632</v>
      </c>
      <c r="T340" s="55" cm="1">
        <f t="array" ref="T340">(VLOOKUP($A340,'The List'!$B1:$AH671,32,FALSE)-AVERAGE('The List'!AG2:AG671))/STDEV('The List'!AG2:AG671)</f>
        <v>-0.57947820109103987</v>
      </c>
      <c r="U340" s="55" cm="1">
        <f t="array" ref="U340">(VLOOKUP($A340,'The List'!$B1:$AH671,33,FALSE)-AVERAGE('The List'!AH2:AH671))/STDEV('The List'!AH2:AH671)</f>
        <v>0.35471019225584138</v>
      </c>
      <c r="V340" s="55"/>
      <c r="W340" s="57"/>
      <c r="X340" s="55"/>
      <c r="Y340" s="55"/>
      <c r="Z340" s="55"/>
      <c r="AA340" s="55"/>
      <c r="AB340" s="55"/>
      <c r="AC340" s="55"/>
      <c r="AD340" s="55"/>
      <c r="AE340" s="55"/>
    </row>
    <row r="341" spans="1:31" ht="21.25" customHeight="1" x14ac:dyDescent="0.15">
      <c r="A341" s="10" t="s">
        <v>676</v>
      </c>
      <c r="B341" s="18" t="str" cm="1">
        <f t="array" ref="B341">VLOOKUP(A341,'Player Data'!A1:B673,2,FALSE)</f>
        <v>BOS</v>
      </c>
      <c r="C341" s="52" cm="1">
        <f t="array" ref="C341">((E341)*Settings!$C$12)+(F341*Settings!$C$2)+(G341*Settings!$C$3)+(H341*Settings!$C$4)+(I341*Settings!$C$5)+(K341*Settings!$C$9)+(N341*Settings!$C$6)+(J341*Settings!$C$8)+(O341*Settings!$C$7)+(P341*Settings!$C$14)+(Q341*Settings!$C$15)+(R341*Settings!$C$16)+(S341*Settings!$C$17)+(T341*Settings!$C$18)+(U341*Settings!$C$19)+(L341*Settings!$C$10)+(Settings!$C$11*M341)</f>
        <v>-3.3694763946567914</v>
      </c>
      <c r="D341" s="57" cm="1">
        <f t="array" ref="D341">IF(Settings!$E$12="YES",VLOOKUP(A341,'Player Data'!A1:E673,5,FALSE),82)</f>
        <v>81</v>
      </c>
      <c r="E341" s="55" cm="1">
        <f t="array" ref="E341">(VLOOKUP($A341,'The List'!$B1:$AH671,17,FALSE)-AVERAGE('The List'!R2:R671))/STDEV('The List'!R2:R671)</f>
        <v>-0.79072930128870733</v>
      </c>
      <c r="F341" s="55" cm="1">
        <f t="array" ref="F341">(VLOOKUP($A341,'The List'!$B1:$AH671,18,FALSE)-AVERAGE('The List'!S2:S671))/STDEV('The List'!S2:S671)</f>
        <v>-7.9163840439265415E-2</v>
      </c>
      <c r="G341" s="55" cm="1">
        <f t="array" ref="G341">(VLOOKUP($A341,'The List'!$B1:$AH671,19,FALSE)-AVERAGE('The List'!T2:T671))/STDEV('The List'!T2:T671)</f>
        <v>-0.52389268704163905</v>
      </c>
      <c r="H341" s="55" cm="1">
        <f t="array" ref="H341">(VLOOKUP($A341,'The List'!$B1:$AH671,20,FALSE)-AVERAGE('The List'!U2:U671))/STDEV('The List'!U2:U671)</f>
        <v>-0.36463563079680966</v>
      </c>
      <c r="I341" s="55" cm="1">
        <f t="array" ref="I341">(VLOOKUP($A341,'The List'!$B1:$AH671,21,FALSE)-AVERAGE('The List'!V2:V671))/STDEV('The List'!V2:V671)</f>
        <v>-0.84062574382241806</v>
      </c>
      <c r="J341" s="55" cm="1">
        <f t="array" ref="J341">(VLOOKUP($A341,'The List'!$B1:$AH671,22,FALSE)-AVERAGE('The List'!W2:W671))/STDEV('The List'!W2:W671)</f>
        <v>-0.73853908386105271</v>
      </c>
      <c r="K341" s="55" cm="1">
        <f t="array" ref="K341">(VLOOKUP($A341,'The List'!$B1:$AH671,23,FALSE)-AVERAGE('The List'!X2:X671))/STDEV('The List'!X2:X671)</f>
        <v>-0.72015313084421817</v>
      </c>
      <c r="L341" s="55" cm="1">
        <f t="array" ref="L341">(VLOOKUP($A341,'The List'!$B1:$AH671,24,FALSE)-AVERAGE('The List'!Y2:Y671))/STDEV('The List'!Y2:Y671)</f>
        <v>-0.47546929358800777</v>
      </c>
      <c r="M341" s="55" cm="1">
        <f t="array" ref="M341">(VLOOKUP($A341,'The List'!$B1:$AH671,25,FALSE)-AVERAGE('The List'!Z2:Z671))/STDEV('The List'!Z2:Z671)</f>
        <v>-0.64388478613809508</v>
      </c>
      <c r="N341" s="55" cm="1">
        <f t="array" ref="N341">(VLOOKUP($A341,'The List'!$B1:$AH671,26,FALSE)-AVERAGE('The List'!AA2:AA671))/STDEV('The List'!AA2:AA671)</f>
        <v>-0.48511894444682035</v>
      </c>
      <c r="O341" s="55" cm="1">
        <f t="array" ref="O341">(VLOOKUP($A341,'The List'!$B1:$AH671,27,FALSE)-AVERAGE('The List'!AB2:AB671))/STDEV('The List'!AB2:AB671)</f>
        <v>-0.57330555458894972</v>
      </c>
      <c r="P341" s="55" cm="1">
        <f t="array" ref="P341">(VLOOKUP($A341,'The List'!$B1:$AH671,28,FALSE)-AVERAGE('The List'!AC2:AC671))/STDEV('The List'!AC2:AC671)</f>
        <v>-0.632335437920301</v>
      </c>
      <c r="Q341" s="55" cm="1">
        <f t="array" ref="Q341">(VLOOKUP($A341,'The List'!$B1:$AH671,29,FALSE)-AVERAGE('The List'!AD2:AD671))/STDEV('The List'!AD2:AD671)</f>
        <v>-0.75796001955277681</v>
      </c>
      <c r="R341" s="55" cm="1">
        <f t="array" ref="R341">(VLOOKUP($A341,'The List'!$B1:$AH671,30,FALSE)-AVERAGE('The List'!AE2:AE671))/STDEV('The List'!AE2:AE671)</f>
        <v>-0.33394291735937137</v>
      </c>
      <c r="S341" s="55" cm="1">
        <f t="array" ref="S341">(VLOOKUP($A341,'The List'!$B1:$AH671,31,FALSE)-AVERAGE('The List'!AF2:AF671))/STDEV('The List'!AF2:AF671)</f>
        <v>-0.17134451983930915</v>
      </c>
      <c r="T341" s="55" cm="1">
        <f t="array" ref="T341">(VLOOKUP($A341,'The List'!$B1:$AH671,32,FALSE)-AVERAGE('The List'!AG2:AG671))/STDEV('The List'!AG2:AG671)</f>
        <v>-0.11772483800764035</v>
      </c>
      <c r="U341" s="55" cm="1">
        <f t="array" ref="U341">(VLOOKUP($A341,'The List'!$B1:$AH671,33,FALSE)-AVERAGE('The List'!AH2:AH671))/STDEV('The List'!AH2:AH671)</f>
        <v>0.86070166274106241</v>
      </c>
      <c r="V341" s="55"/>
      <c r="W341" s="57"/>
      <c r="X341" s="55"/>
      <c r="Y341" s="55"/>
      <c r="Z341" s="55"/>
      <c r="AA341" s="55"/>
      <c r="AB341" s="55"/>
      <c r="AC341" s="55"/>
      <c r="AD341" s="55"/>
      <c r="AE341" s="55"/>
    </row>
    <row r="342" spans="1:31" ht="21.25" customHeight="1" x14ac:dyDescent="0.15">
      <c r="A342" s="10" t="s">
        <v>674</v>
      </c>
      <c r="B342" s="18" t="str" cm="1">
        <f t="array" ref="B342">VLOOKUP(A342,'Player Data'!A1:B673,2,FALSE)</f>
        <v>WSH</v>
      </c>
      <c r="C342" s="52" cm="1">
        <f t="array" ref="C342">((E342)*Settings!$C$12)+(F342*Settings!$C$2)+(G342*Settings!$C$3)+(H342*Settings!$C$4)+(I342*Settings!$C$5)+(K342*Settings!$C$9)+(N342*Settings!$C$6)+(J342*Settings!$C$8)+(O342*Settings!$C$7)+(P342*Settings!$C$14)+(Q342*Settings!$C$15)+(R342*Settings!$C$16)+(S342*Settings!$C$17)+(T342*Settings!$C$18)+(U342*Settings!$C$19)+(L342*Settings!$C$10)+(Settings!$C$11*M342)</f>
        <v>-1.1902907480935121</v>
      </c>
      <c r="D342" s="57" cm="1">
        <f t="array" ref="D342">IF(Settings!$E$12="YES",VLOOKUP(A342,'Player Data'!A1:E673,5,FALSE),82)</f>
        <v>79</v>
      </c>
      <c r="E342" s="55" cm="1">
        <f t="array" ref="E342">(VLOOKUP($A342,'The List'!$B1:$AH671,17,FALSE)-AVERAGE('The List'!R2:R671))/STDEV('The List'!R2:R671)</f>
        <v>-1.2366751742769533</v>
      </c>
      <c r="F342" s="55" cm="1">
        <f t="array" ref="F342">(VLOOKUP($A342,'The List'!$B1:$AH671,18,FALSE)-AVERAGE('The List'!S2:S671))/STDEV('The List'!S2:S671)</f>
        <v>-0.26877230743072694</v>
      </c>
      <c r="G342" s="55" cm="1">
        <f t="array" ref="G342">(VLOOKUP($A342,'The List'!$B1:$AH671,19,FALSE)-AVERAGE('The List'!T2:T671))/STDEV('The List'!T2:T671)</f>
        <v>-0.49648603240996253</v>
      </c>
      <c r="H342" s="55" cm="1">
        <f t="array" ref="H342">(VLOOKUP($A342,'The List'!$B1:$AH671,20,FALSE)-AVERAGE('The List'!U2:U671))/STDEV('The List'!U2:U671)</f>
        <v>-0.43138851960906138</v>
      </c>
      <c r="I342" s="55" cm="1">
        <f t="array" ref="I342">(VLOOKUP($A342,'The List'!$B1:$AH671,21,FALSE)-AVERAGE('The List'!V2:V671))/STDEV('The List'!V2:V671)</f>
        <v>-0.68271160832229227</v>
      </c>
      <c r="J342" s="55" cm="1">
        <f t="array" ref="J342">(VLOOKUP($A342,'The List'!$B1:$AH671,22,FALSE)-AVERAGE('The List'!W2:W671))/STDEV('The List'!W2:W671)</f>
        <v>-0.73853908386105271</v>
      </c>
      <c r="K342" s="55" cm="1">
        <f t="array" ref="K342">(VLOOKUP($A342,'The List'!$B1:$AH671,23,FALSE)-AVERAGE('The List'!X2:X671))/STDEV('The List'!X2:X671)</f>
        <v>-0.80155300200843405</v>
      </c>
      <c r="L342" s="55" cm="1">
        <f t="array" ref="L342">(VLOOKUP($A342,'The List'!$B1:$AH671,24,FALSE)-AVERAGE('The List'!Y2:Y671))/STDEV('The List'!Y2:Y671)</f>
        <v>-0.47546929358800777</v>
      </c>
      <c r="M342" s="55" cm="1">
        <f t="array" ref="M342">(VLOOKUP($A342,'The List'!$B1:$AH671,25,FALSE)-AVERAGE('The List'!Z2:Z671))/STDEV('The List'!Z2:Z671)</f>
        <v>-0.64388478613809508</v>
      </c>
      <c r="N342" s="55" cm="1">
        <f t="array" ref="N342">(VLOOKUP($A342,'The List'!$B1:$AH671,26,FALSE)-AVERAGE('The List'!AA2:AA671))/STDEV('The List'!AA2:AA671)</f>
        <v>-0.71498759361364528</v>
      </c>
      <c r="O342" s="55" cm="1">
        <f t="array" ref="O342">(VLOOKUP($A342,'The List'!$B1:$AH671,27,FALSE)-AVERAGE('The List'!AB2:AB671))/STDEV('The List'!AB2:AB671)</f>
        <v>-3.6033476808634737E-2</v>
      </c>
      <c r="P342" s="55" cm="1">
        <f t="array" ref="P342">(VLOOKUP($A342,'The List'!$B1:$AH671,28,FALSE)-AVERAGE('The List'!AC2:AC671))/STDEV('The List'!AC2:AC671)</f>
        <v>1.0952656788865385</v>
      </c>
      <c r="Q342" s="55" cm="1">
        <f t="array" ref="Q342">(VLOOKUP($A342,'The List'!$B1:$AH671,29,FALSE)-AVERAGE('The List'!AD2:AD671))/STDEV('The List'!AD2:AD671)</f>
        <v>-0.44764555794707234</v>
      </c>
      <c r="R342" s="55" cm="1">
        <f t="array" ref="R342">(VLOOKUP($A342,'The List'!$B1:$AH671,30,FALSE)-AVERAGE('The List'!AE2:AE671))/STDEV('The List'!AE2:AE671)</f>
        <v>-0.35889487331938924</v>
      </c>
      <c r="S342" s="55" cm="1">
        <f t="array" ref="S342">(VLOOKUP($A342,'The List'!$B1:$AH671,31,FALSE)-AVERAGE('The List'!AF2:AF671))/STDEV('The List'!AF2:AF671)</f>
        <v>0.63096852317147856</v>
      </c>
      <c r="T342" s="55" cm="1">
        <f t="array" ref="T342">(VLOOKUP($A342,'The List'!$B1:$AH671,32,FALSE)-AVERAGE('The List'!AG2:AG671))/STDEV('The List'!AG2:AG671)</f>
        <v>0.93760206243462507</v>
      </c>
      <c r="U342" s="55" cm="1">
        <f t="array" ref="U342">(VLOOKUP($A342,'The List'!$B1:$AH671,33,FALSE)-AVERAGE('The List'!AH2:AH671))/STDEV('The List'!AH2:AH671)</f>
        <v>0.8147024381514969</v>
      </c>
      <c r="V342" s="55"/>
      <c r="W342" s="57"/>
      <c r="X342" s="55"/>
      <c r="Y342" s="55"/>
      <c r="Z342" s="55"/>
      <c r="AA342" s="55"/>
      <c r="AB342" s="55"/>
      <c r="AC342" s="55"/>
      <c r="AD342" s="55"/>
      <c r="AE342" s="55"/>
    </row>
    <row r="343" spans="1:31" ht="21.25" customHeight="1" x14ac:dyDescent="0.15">
      <c r="A343" s="10" t="s">
        <v>628</v>
      </c>
      <c r="B343" s="18" t="str" cm="1">
        <f t="array" ref="B343">VLOOKUP(A343,'Player Data'!A1:B673,2,FALSE)</f>
        <v>MTL</v>
      </c>
      <c r="C343" s="52" cm="1">
        <f t="array" ref="C343">((E343)*Settings!$C$12)+(F343*Settings!$C$2)+(G343*Settings!$C$3)+(H343*Settings!$C$4)+(I343*Settings!$C$5)+(K343*Settings!$C$9)+(N343*Settings!$C$6)+(J343*Settings!$C$8)+(O343*Settings!$C$7)+(P343*Settings!$C$14)+(Q343*Settings!$C$15)+(R343*Settings!$C$16)+(S343*Settings!$C$17)+(T343*Settings!$C$18)+(U343*Settings!$C$19)+(L343*Settings!$C$10)+(Settings!$C$11*M343)</f>
        <v>-1.8918054087525389</v>
      </c>
      <c r="D343" s="57" cm="1">
        <f t="array" ref="D343">IF(Settings!$E$12="YES",VLOOKUP(A343,'Player Data'!A1:E673,5,FALSE),82)</f>
        <v>82</v>
      </c>
      <c r="E343" s="55" cm="1">
        <f t="array" ref="E343">(VLOOKUP($A343,'The List'!$B1:$AH671,17,FALSE)-AVERAGE('The List'!R2:R671))/STDEV('The List'!R2:R671)</f>
        <v>-0.37101553847624086</v>
      </c>
      <c r="F343" s="55" cm="1">
        <f t="array" ref="F343">(VLOOKUP($A343,'The List'!$B1:$AH671,18,FALSE)-AVERAGE('The List'!S2:S671))/STDEV('The List'!S2:S671)</f>
        <v>-0.30868987942892939</v>
      </c>
      <c r="G343" s="55" cm="1">
        <f t="array" ref="G343">(VLOOKUP($A343,'The List'!$B1:$AH671,19,FALSE)-AVERAGE('The List'!T2:T671))/STDEV('The List'!T2:T671)</f>
        <v>-0.50983799235872784</v>
      </c>
      <c r="H343" s="55" cm="1">
        <f t="array" ref="H343">(VLOOKUP($A343,'The List'!$B1:$AH671,20,FALSE)-AVERAGE('The List'!U2:U671))/STDEV('The List'!U2:U671)</f>
        <v>-0.45747077417808668</v>
      </c>
      <c r="I343" s="55" cm="1">
        <f t="array" ref="I343">(VLOOKUP($A343,'The List'!$B1:$AH671,21,FALSE)-AVERAGE('The List'!V2:V671))/STDEV('The List'!V2:V671)</f>
        <v>-0.71070076581793817</v>
      </c>
      <c r="J343" s="55" cm="1">
        <f t="array" ref="J343">(VLOOKUP($A343,'The List'!$B1:$AH671,22,FALSE)-AVERAGE('The List'!W2:W671))/STDEV('The List'!W2:W671)</f>
        <v>-0.73853908386105271</v>
      </c>
      <c r="K343" s="55" cm="1">
        <f t="array" ref="K343">(VLOOKUP($A343,'The List'!$B1:$AH671,23,FALSE)-AVERAGE('The List'!X2:X671))/STDEV('The List'!X2:X671)</f>
        <v>-0.80155300200843405</v>
      </c>
      <c r="L343" s="55" cm="1">
        <f t="array" ref="L343">(VLOOKUP($A343,'The List'!$B1:$AH671,24,FALSE)-AVERAGE('The List'!Y2:Y671))/STDEV('The List'!Y2:Y671)</f>
        <v>2.5308954012809677</v>
      </c>
      <c r="M343" s="55" cm="1">
        <f t="array" ref="M343">(VLOOKUP($A343,'The List'!$B1:$AH671,25,FALSE)-AVERAGE('The List'!Z2:Z671))/STDEV('The List'!Z2:Z671)</f>
        <v>2.0291990752426914</v>
      </c>
      <c r="N343" s="55" cm="1">
        <f t="array" ref="N343">(VLOOKUP($A343,'The List'!$B1:$AH671,26,FALSE)-AVERAGE('The List'!AA2:AA671))/STDEV('The List'!AA2:AA671)</f>
        <v>-0.17786118339383117</v>
      </c>
      <c r="O343" s="55" cm="1">
        <f t="array" ref="O343">(VLOOKUP($A343,'The List'!$B1:$AH671,27,FALSE)-AVERAGE('The List'!AB2:AB671))/STDEV('The List'!AB2:AB671)</f>
        <v>0.36594689119105916</v>
      </c>
      <c r="P343" s="55" cm="1">
        <f t="array" ref="P343">(VLOOKUP($A343,'The List'!$B1:$AH671,28,FALSE)-AVERAGE('The List'!AC2:AC671))/STDEV('The List'!AC2:AC671)</f>
        <v>7.3029339670431195E-2</v>
      </c>
      <c r="Q343" s="55" cm="1">
        <f t="array" ref="Q343">(VLOOKUP($A343,'The List'!$B1:$AH671,29,FALSE)-AVERAGE('The List'!AD2:AD671))/STDEV('The List'!AD2:AD671)</f>
        <v>-0.8591816415527328</v>
      </c>
      <c r="R343" s="55" cm="1">
        <f t="array" ref="R343">(VLOOKUP($A343,'The List'!$B1:$AH671,30,FALSE)-AVERAGE('The List'!AE2:AE671))/STDEV('The List'!AE2:AE671)</f>
        <v>-0.32146693937936244</v>
      </c>
      <c r="S343" s="55" cm="1">
        <f t="array" ref="S343">(VLOOKUP($A343,'The List'!$B1:$AH671,31,FALSE)-AVERAGE('The List'!AF2:AF671))/STDEV('The List'!AF2:AF671)</f>
        <v>2.1165072765266033</v>
      </c>
      <c r="T343" s="55" cm="1">
        <f t="array" ref="T343">(VLOOKUP($A343,'The List'!$B1:$AH671,32,FALSE)-AVERAGE('The List'!AG2:AG671))/STDEV('The List'!AG2:AG671)</f>
        <v>1.8263548053720036</v>
      </c>
      <c r="U343" s="55" cm="1">
        <f t="array" ref="U343">(VLOOKUP($A343,'The List'!$B1:$AH671,33,FALSE)-AVERAGE('The List'!AH2:AH671))/STDEV('The List'!AH2:AH671)</f>
        <v>1.2286954594575867</v>
      </c>
      <c r="V343" s="55"/>
      <c r="W343" s="77"/>
      <c r="X343" s="57"/>
      <c r="Y343" s="57"/>
      <c r="Z343" s="57"/>
      <c r="AA343" s="57"/>
      <c r="AB343" s="57"/>
      <c r="AC343" s="60"/>
      <c r="AD343" s="61"/>
      <c r="AE343" s="55"/>
    </row>
    <row r="344" spans="1:31" ht="21.25" customHeight="1" x14ac:dyDescent="0.15">
      <c r="A344" s="10" t="s">
        <v>643</v>
      </c>
      <c r="B344" s="18" t="str" cm="1">
        <f t="array" ref="B344">VLOOKUP(A344,'Player Data'!A1:B673,2,FALSE)</f>
        <v>CBJ</v>
      </c>
      <c r="C344" s="52" cm="1">
        <f t="array" ref="C344">((E344)*Settings!$C$12)+(F344*Settings!$C$2)+(G344*Settings!$C$3)+(H344*Settings!$C$4)+(I344*Settings!$C$5)+(K344*Settings!$C$9)+(N344*Settings!$C$6)+(J344*Settings!$C$8)+(O344*Settings!$C$7)+(P344*Settings!$C$14)+(Q344*Settings!$C$15)+(R344*Settings!$C$16)+(S344*Settings!$C$17)+(T344*Settings!$C$18)+(U344*Settings!$C$19)+(L344*Settings!$C$10)+(Settings!$C$11*M344)</f>
        <v>1.9590169311411303</v>
      </c>
      <c r="D344" s="57" cm="1">
        <f t="array" ref="D344">IF(Settings!$E$12="YES",VLOOKUP(A344,'Player Data'!A1:E673,5,FALSE),82)</f>
        <v>78</v>
      </c>
      <c r="E344" s="55" cm="1">
        <f t="array" ref="E344">(VLOOKUP($A344,'The List'!$B1:$AH671,17,FALSE)-AVERAGE('The List'!R2:R671))/STDEV('The List'!R2:R671)</f>
        <v>-0.84319352164026595</v>
      </c>
      <c r="F344" s="55" cm="1">
        <f t="array" ref="F344">(VLOOKUP($A344,'The List'!$B1:$AH671,18,FALSE)-AVERAGE('The List'!S2:S671))/STDEV('The List'!S2:S671)</f>
        <v>0.1842921347488706</v>
      </c>
      <c r="G344" s="55" cm="1">
        <f t="array" ref="G344">(VLOOKUP($A344,'The List'!$B1:$AH671,19,FALSE)-AVERAGE('The List'!T2:T671))/STDEV('The List'!T2:T671)</f>
        <v>-0.73049669888043023</v>
      </c>
      <c r="H344" s="55" cm="1">
        <f t="array" ref="H344">(VLOOKUP($A344,'The List'!$B1:$AH671,20,FALSE)-AVERAGE('The List'!U2:U671))/STDEV('The List'!U2:U671)</f>
        <v>-0.37789779413699198</v>
      </c>
      <c r="I344" s="55" cm="1">
        <f t="array" ref="I344">(VLOOKUP($A344,'The List'!$B1:$AH671,21,FALSE)-AVERAGE('The List'!V2:V671))/STDEV('The List'!V2:V671)</f>
        <v>-0.28395250029790559</v>
      </c>
      <c r="J344" s="55" cm="1">
        <f t="array" ref="J344">(VLOOKUP($A344,'The List'!$B1:$AH671,22,FALSE)-AVERAGE('The List'!W2:W671))/STDEV('The List'!W2:W671)</f>
        <v>-0.73853908386105271</v>
      </c>
      <c r="K344" s="55" cm="1">
        <f t="array" ref="K344">(VLOOKUP($A344,'The List'!$B1:$AH671,23,FALSE)-AVERAGE('The List'!X2:X671))/STDEV('The List'!X2:X671)</f>
        <v>-0.80155300200843405</v>
      </c>
      <c r="L344" s="55" cm="1">
        <f t="array" ref="L344">(VLOOKUP($A344,'The List'!$B1:$AH671,24,FALSE)-AVERAGE('The List'!Y2:Y671))/STDEV('The List'!Y2:Y671)</f>
        <v>0.95438708567894381</v>
      </c>
      <c r="M344" s="55" cm="1">
        <f t="array" ref="M344">(VLOOKUP($A344,'The List'!$B1:$AH671,25,FALSE)-AVERAGE('The List'!Z2:Z671))/STDEV('The List'!Z2:Z671)</f>
        <v>1.051241564981428</v>
      </c>
      <c r="N344" s="55" cm="1">
        <f t="array" ref="N344">(VLOOKUP($A344,'The List'!$B1:$AH671,26,FALSE)-AVERAGE('The List'!AA2:AA671))/STDEV('The List'!AA2:AA671)</f>
        <v>-0.10890058864378362</v>
      </c>
      <c r="O344" s="55" cm="1">
        <f t="array" ref="O344">(VLOOKUP($A344,'The List'!$B1:$AH671,27,FALSE)-AVERAGE('The List'!AB2:AB671))/STDEV('The List'!AB2:AB671)</f>
        <v>3.1878039773123175</v>
      </c>
      <c r="P344" s="55" cm="1">
        <f t="array" ref="P344">(VLOOKUP($A344,'The List'!$B1:$AH671,28,FALSE)-AVERAGE('The List'!AC2:AC671))/STDEV('The List'!AC2:AC671)</f>
        <v>0.40292302026671206</v>
      </c>
      <c r="Q344" s="55" cm="1">
        <f t="array" ref="Q344">(VLOOKUP($A344,'The List'!$B1:$AH671,29,FALSE)-AVERAGE('The List'!AD2:AD671))/STDEV('The List'!AD2:AD671)</f>
        <v>3.9078395638758523</v>
      </c>
      <c r="R344" s="55" cm="1">
        <f t="array" ref="R344">(VLOOKUP($A344,'The List'!$B1:$AH671,30,FALSE)-AVERAGE('The List'!AE2:AE671))/STDEV('The List'!AE2:AE671)</f>
        <v>0.1151922899209495</v>
      </c>
      <c r="S344" s="55" cm="1">
        <f t="array" ref="S344">(VLOOKUP($A344,'The List'!$B1:$AH671,31,FALSE)-AVERAGE('The List'!AF2:AF671))/STDEV('The List'!AF2:AF671)</f>
        <v>-0.56956832947847236</v>
      </c>
      <c r="T344" s="55" cm="1">
        <f t="array" ref="T344">(VLOOKUP($A344,'The List'!$B1:$AH671,32,FALSE)-AVERAGE('The List'!AG2:AG671))/STDEV('The List'!AG2:AG671)</f>
        <v>-0.5791719985956264</v>
      </c>
      <c r="U344" s="55" cm="1">
        <f t="array" ref="U344">(VLOOKUP($A344,'The List'!$B1:$AH671,33,FALSE)-AVERAGE('The List'!AH2:AH671))/STDEV('The List'!AH2:AH671)</f>
        <v>7.8714844718448196E-2</v>
      </c>
      <c r="V344" s="55"/>
      <c r="W344" s="77"/>
      <c r="X344" s="57"/>
      <c r="Y344" s="57"/>
      <c r="Z344" s="57"/>
      <c r="AA344" s="57"/>
      <c r="AB344" s="57"/>
      <c r="AC344" s="60"/>
      <c r="AD344" s="61"/>
      <c r="AE344" s="55"/>
    </row>
    <row r="345" spans="1:31" ht="21.25" customHeight="1" x14ac:dyDescent="0.15">
      <c r="A345" s="10" t="s">
        <v>380</v>
      </c>
      <c r="B345" s="18" t="str" cm="1">
        <f t="array" ref="B345">VLOOKUP(A345,'Player Data'!A1:B673,2,FALSE)</f>
        <v>L.A</v>
      </c>
      <c r="C345" s="52" cm="1">
        <f t="array" ref="C345">((E345)*Settings!$C$12)+(F345*Settings!$C$2)+(G345*Settings!$C$3)+(H345*Settings!$C$4)+(I345*Settings!$C$5)+(K345*Settings!$C$9)+(N345*Settings!$C$6)+(J345*Settings!$C$8)+(O345*Settings!$C$7)+(P345*Settings!$C$14)+(Q345*Settings!$C$15)+(R345*Settings!$C$16)+(S345*Settings!$C$17)+(T345*Settings!$C$18)+(U345*Settings!$C$19)+(L345*Settings!$C$10)+(Settings!$C$11*M345)</f>
        <v>-2.2071457668993881</v>
      </c>
      <c r="D345" s="57" cm="1">
        <f t="array" ref="D345">IF(Settings!$E$12="YES",VLOOKUP(A345,'Player Data'!A1:E673,5,FALSE),82)</f>
        <v>75</v>
      </c>
      <c r="E345" s="55" cm="1">
        <f t="array" ref="E345">(VLOOKUP($A345,'The List'!$B1:$AH671,17,FALSE)-AVERAGE('The List'!R2:R671))/STDEV('The List'!R2:R671)</f>
        <v>1.5963927247071958</v>
      </c>
      <c r="F345" s="55" cm="1">
        <f t="array" ref="F345">(VLOOKUP($A345,'The List'!$B1:$AH671,18,FALSE)-AVERAGE('The List'!S2:S671))/STDEV('The List'!S2:S671)</f>
        <v>-0.84857504070461709</v>
      </c>
      <c r="G345" s="55" cm="1">
        <f t="array" ref="G345">(VLOOKUP($A345,'The List'!$B1:$AH671,19,FALSE)-AVERAGE('The List'!T2:T671))/STDEV('The List'!T2:T671)</f>
        <v>-0.18658001465177523</v>
      </c>
      <c r="H345" s="55" cm="1">
        <f t="array" ref="H345">(VLOOKUP($A345,'The List'!$B1:$AH671,20,FALSE)-AVERAGE('The List'!U2:U671))/STDEV('The List'!U2:U671)</f>
        <v>-0.49327861519657928</v>
      </c>
      <c r="I345" s="55" cm="1">
        <f t="array" ref="I345">(VLOOKUP($A345,'The List'!$B1:$AH671,21,FALSE)-AVERAGE('The List'!V2:V671))/STDEV('The List'!V2:V671)</f>
        <v>-0.47365678999061633</v>
      </c>
      <c r="J345" s="55" cm="1">
        <f t="array" ref="J345">(VLOOKUP($A345,'The List'!$B1:$AH671,22,FALSE)-AVERAGE('The List'!W2:W671))/STDEV('The List'!W2:W671)</f>
        <v>-0.53139141797041056</v>
      </c>
      <c r="K345" s="55" cm="1">
        <f t="array" ref="K345">(VLOOKUP($A345,'The List'!$B1:$AH671,23,FALSE)-AVERAGE('The List'!X2:X671))/STDEV('The List'!X2:X671)</f>
        <v>-0.34933149554056814</v>
      </c>
      <c r="L345" s="55" cm="1">
        <f t="array" ref="L345">(VLOOKUP($A345,'The List'!$B1:$AH671,24,FALSE)-AVERAGE('The List'!Y2:Y671))/STDEV('The List'!Y2:Y671)</f>
        <v>-0.47546929358800777</v>
      </c>
      <c r="M345" s="55" cm="1">
        <f t="array" ref="M345">(VLOOKUP($A345,'The List'!$B1:$AH671,25,FALSE)-AVERAGE('The List'!Z2:Z671))/STDEV('The List'!Z2:Z671)</f>
        <v>-0.64388478613809508</v>
      </c>
      <c r="N345" s="55" cm="1">
        <f t="array" ref="N345">(VLOOKUP($A345,'The List'!$B1:$AH671,26,FALSE)-AVERAGE('The List'!AA2:AA671))/STDEV('The List'!AA2:AA671)</f>
        <v>0.71402917537344968</v>
      </c>
      <c r="O345" s="55" cm="1">
        <f t="array" ref="O345">(VLOOKUP($A345,'The List'!$B1:$AH671,27,FALSE)-AVERAGE('The List'!AB2:AB671))/STDEV('The List'!AB2:AB671)</f>
        <v>-0.56961578068584195</v>
      </c>
      <c r="P345" s="55" cm="1">
        <f t="array" ref="P345">(VLOOKUP($A345,'The List'!$B1:$AH671,28,FALSE)-AVERAGE('The List'!AC2:AC671))/STDEV('The List'!AC2:AC671)</f>
        <v>0.22061335467403054</v>
      </c>
      <c r="Q345" s="55" cm="1">
        <f t="array" ref="Q345">(VLOOKUP($A345,'The List'!$B1:$AH671,29,FALSE)-AVERAGE('The List'!AD2:AD671))/STDEV('The List'!AD2:AD671)</f>
        <v>0.6185062708553839</v>
      </c>
      <c r="R345" s="55" cm="1">
        <f t="array" ref="R345">(VLOOKUP($A345,'The List'!$B1:$AH671,30,FALSE)-AVERAGE('The List'!AE2:AE671))/STDEV('The List'!AE2:AE671)</f>
        <v>-0.87664795948975927</v>
      </c>
      <c r="S345" s="55" cm="1">
        <f t="array" ref="S345">(VLOOKUP($A345,'The List'!$B1:$AH671,31,FALSE)-AVERAGE('The List'!AF2:AF671))/STDEV('The List'!AF2:AF671)</f>
        <v>-0.59581850454342256</v>
      </c>
      <c r="T345" s="55" cm="1">
        <f t="array" ref="T345">(VLOOKUP($A345,'The List'!$B1:$AH671,32,FALSE)-AVERAGE('The List'!AG2:AG671))/STDEV('The List'!AG2:AG671)</f>
        <v>-0.64684275008198677</v>
      </c>
      <c r="U345" s="55" cm="1">
        <f t="array" ref="U345">(VLOOKUP($A345,'The List'!$B1:$AH671,33,FALSE)-AVERAGE('The List'!AH2:AH671))/STDEV('The List'!AH2:AH671)</f>
        <v>-1.2552626683789523</v>
      </c>
      <c r="V345" s="55"/>
      <c r="W345" s="77"/>
      <c r="X345" s="57"/>
      <c r="Y345" s="57"/>
      <c r="Z345" s="57"/>
      <c r="AA345" s="57"/>
      <c r="AB345" s="57"/>
      <c r="AC345" s="60"/>
      <c r="AD345" s="61"/>
      <c r="AE345" s="55"/>
    </row>
    <row r="346" spans="1:31" ht="21.25" customHeight="1" x14ac:dyDescent="0.15">
      <c r="A346" s="10" t="s">
        <v>376</v>
      </c>
      <c r="B346" s="18" t="str" cm="1">
        <f t="array" ref="B346">VLOOKUP(A346,'Player Data'!A1:B673,2,FALSE)</f>
        <v>VAN</v>
      </c>
      <c r="C346" s="52" cm="1">
        <f t="array" ref="C346">((E346)*Settings!$C$12)+(F346*Settings!$C$2)+(G346*Settings!$C$3)+(H346*Settings!$C$4)+(I346*Settings!$C$5)+(K346*Settings!$C$9)+(N346*Settings!$C$6)+(J346*Settings!$C$8)+(O346*Settings!$C$7)+(P346*Settings!$C$14)+(Q346*Settings!$C$15)+(R346*Settings!$C$16)+(S346*Settings!$C$17)+(T346*Settings!$C$18)+(U346*Settings!$C$19)+(L346*Settings!$C$10)+(Settings!$C$11*M346)</f>
        <v>-5.9184636209914485</v>
      </c>
      <c r="D346" s="57" cm="1">
        <f t="array" ref="D346">IF(Settings!$E$12="YES",VLOOKUP(A346,'Player Data'!A1:E673,5,FALSE),82)</f>
        <v>79</v>
      </c>
      <c r="E346" s="55" cm="1">
        <f t="array" ref="E346">(VLOOKUP($A346,'The List'!$B1:$AH671,17,FALSE)-AVERAGE('The List'!R2:R671))/STDEV('The List'!R2:R671)</f>
        <v>0.67826886855492519</v>
      </c>
      <c r="F346" s="55" cm="1">
        <f t="array" ref="F346">(VLOOKUP($A346,'The List'!$B1:$AH671,18,FALSE)-AVERAGE('The List'!S2:S671))/STDEV('The List'!S2:S671)</f>
        <v>-0.8206327403058753</v>
      </c>
      <c r="G346" s="55" cm="1">
        <f t="array" ref="G346">(VLOOKUP($A346,'The List'!$B1:$AH671,19,FALSE)-AVERAGE('The List'!T2:T671))/STDEV('The List'!T2:T671)</f>
        <v>-0.3299379004174674</v>
      </c>
      <c r="H346" s="55" cm="1">
        <f t="array" ref="H346">(VLOOKUP($A346,'The List'!$B1:$AH671,20,FALSE)-AVERAGE('The List'!U2:U671))/STDEV('The List'!U2:U671)</f>
        <v>-0.57108330679231634</v>
      </c>
      <c r="I346" s="55" cm="1">
        <f t="array" ref="I346">(VLOOKUP($A346,'The List'!$B1:$AH671,21,FALSE)-AVERAGE('The List'!V2:V671))/STDEV('The List'!V2:V671)</f>
        <v>-0.92839421300629499</v>
      </c>
      <c r="J346" s="55" cm="1">
        <f t="array" ref="J346">(VLOOKUP($A346,'The List'!$B1:$AH671,22,FALSE)-AVERAGE('The List'!W2:W671))/STDEV('The List'!W2:W671)</f>
        <v>-0.73853908386105271</v>
      </c>
      <c r="K346" s="55" cm="1">
        <f t="array" ref="K346">(VLOOKUP($A346,'The List'!$B1:$AH671,23,FALSE)-AVERAGE('The List'!X2:X671))/STDEV('The List'!X2:X671)</f>
        <v>-0.40460301299775175</v>
      </c>
      <c r="L346" s="55" cm="1">
        <f t="array" ref="L346">(VLOOKUP($A346,'The List'!$B1:$AH671,24,FALSE)-AVERAGE('The List'!Y2:Y671))/STDEV('The List'!Y2:Y671)</f>
        <v>-0.47546929358800777</v>
      </c>
      <c r="M346" s="55" cm="1">
        <f t="array" ref="M346">(VLOOKUP($A346,'The List'!$B1:$AH671,25,FALSE)-AVERAGE('The List'!Z2:Z671))/STDEV('The List'!Z2:Z671)</f>
        <v>-0.64388478613809508</v>
      </c>
      <c r="N346" s="55" cm="1">
        <f t="array" ref="N346">(VLOOKUP($A346,'The List'!$B1:$AH671,26,FALSE)-AVERAGE('The List'!AA2:AA671))/STDEV('The List'!AA2:AA671)</f>
        <v>0.77813698752997507</v>
      </c>
      <c r="O346" s="55" cm="1">
        <f t="array" ref="O346">(VLOOKUP($A346,'The List'!$B1:$AH671,27,FALSE)-AVERAGE('The List'!AB2:AB671))/STDEV('The List'!AB2:AB671)</f>
        <v>-0.58662973812795027</v>
      </c>
      <c r="P346" s="55" cm="1">
        <f t="array" ref="P346">(VLOOKUP($A346,'The List'!$B1:$AH671,28,FALSE)-AVERAGE('The List'!AC2:AC671))/STDEV('The List'!AC2:AC671)</f>
        <v>-2.8482660161361091</v>
      </c>
      <c r="Q346" s="55" cm="1">
        <f t="array" ref="Q346">(VLOOKUP($A346,'The List'!$B1:$AH671,29,FALSE)-AVERAGE('The List'!AD2:AD671))/STDEV('The List'!AD2:AD671)</f>
        <v>-0.21417086778658989</v>
      </c>
      <c r="R346" s="55" cm="1">
        <f t="array" ref="R346">(VLOOKUP($A346,'The List'!$B1:$AH671,30,FALSE)-AVERAGE('The List'!AE2:AE671))/STDEV('The List'!AE2:AE671)</f>
        <v>-0.85169600352974151</v>
      </c>
      <c r="S346" s="55" cm="1">
        <f t="array" ref="S346">(VLOOKUP($A346,'The List'!$B1:$AH671,31,FALSE)-AVERAGE('The List'!AF2:AF671))/STDEV('The List'!AF2:AF671)</f>
        <v>-0.59581850454342256</v>
      </c>
      <c r="T346" s="55" cm="1">
        <f t="array" ref="T346">(VLOOKUP($A346,'The List'!$B1:$AH671,32,FALSE)-AVERAGE('The List'!AG2:AG671))/STDEV('The List'!AG2:AG671)</f>
        <v>-0.64684275008198677</v>
      </c>
      <c r="U346" s="55" cm="1">
        <f t="array" ref="U346">(VLOOKUP($A346,'The List'!$B1:$AH671,33,FALSE)-AVERAGE('The List'!AH2:AH671))/STDEV('The List'!AH2:AH671)</f>
        <v>-1.2552626683789523</v>
      </c>
      <c r="V346" s="55"/>
      <c r="W346" s="57"/>
      <c r="X346" s="55"/>
      <c r="Y346" s="55"/>
      <c r="Z346" s="55"/>
      <c r="AA346" s="55"/>
      <c r="AB346" s="55"/>
      <c r="AC346" s="55"/>
      <c r="AD346" s="55"/>
      <c r="AE346" s="55"/>
    </row>
    <row r="347" spans="1:31" ht="21.25" customHeight="1" x14ac:dyDescent="0.15">
      <c r="A347" s="10" t="s">
        <v>602</v>
      </c>
      <c r="B347" s="18" t="str" cm="1">
        <f t="array" ref="B347">VLOOKUP(A347,'Player Data'!A1:B673,2,FALSE)</f>
        <v>NSH</v>
      </c>
      <c r="C347" s="52" cm="1">
        <f t="array" ref="C347">((E347)*Settings!$C$12)+(F347*Settings!$C$2)+(G347*Settings!$C$3)+(H347*Settings!$C$4)+(I347*Settings!$C$5)+(K347*Settings!$C$9)+(N347*Settings!$C$6)+(J347*Settings!$C$8)+(O347*Settings!$C$7)+(P347*Settings!$C$14)+(Q347*Settings!$C$15)+(R347*Settings!$C$16)+(S347*Settings!$C$17)+(T347*Settings!$C$18)+(U347*Settings!$C$19)+(L347*Settings!$C$10)+(Settings!$C$11*M347)</f>
        <v>-2.9684082375585952</v>
      </c>
      <c r="D347" s="57" cm="1">
        <f t="array" ref="D347">IF(Settings!$E$12="YES",VLOOKUP(A347,'Player Data'!A1:E673,5,FALSE),82)</f>
        <v>82</v>
      </c>
      <c r="E347" s="55" cm="1">
        <f t="array" ref="E347">(VLOOKUP($A347,'The List'!$B1:$AH671,17,FALSE)-AVERAGE('The List'!R2:R671))/STDEV('The List'!R2:R671)</f>
        <v>-0.31855131812468268</v>
      </c>
      <c r="F347" s="55" cm="1">
        <f t="array" ref="F347">(VLOOKUP($A347,'The List'!$B1:$AH671,18,FALSE)-AVERAGE('The List'!S2:S671))/STDEV('The List'!S2:S671)</f>
        <v>-0.30868987942892939</v>
      </c>
      <c r="G347" s="55" cm="1">
        <f t="array" ref="G347">(VLOOKUP($A347,'The List'!$B1:$AH671,19,FALSE)-AVERAGE('The List'!T2:T671))/STDEV('The List'!T2:T671)</f>
        <v>-0.45221374415879306</v>
      </c>
      <c r="H347" s="55" cm="1">
        <f t="array" ref="H347">(VLOOKUP($A347,'The List'!$B1:$AH671,20,FALSE)-AVERAGE('The List'!U2:U671))/STDEV('The List'!U2:U671)</f>
        <v>-0.42122086104825485</v>
      </c>
      <c r="I347" s="55" cm="1">
        <f t="array" ref="I347">(VLOOKUP($A347,'The List'!$B1:$AH671,21,FALSE)-AVERAGE('The List'!V2:V671))/STDEV('The List'!V2:V671)</f>
        <v>-0.25734552341932826</v>
      </c>
      <c r="J347" s="55" cm="1">
        <f t="array" ref="J347">(VLOOKUP($A347,'The List'!$B1:$AH671,22,FALSE)-AVERAGE('The List'!W2:W671))/STDEV('The List'!W2:W671)</f>
        <v>-0.73853908386105271</v>
      </c>
      <c r="K347" s="55" cm="1">
        <f t="array" ref="K347">(VLOOKUP($A347,'The List'!$B1:$AH671,23,FALSE)-AVERAGE('The List'!X2:X671))/STDEV('The List'!X2:X671)</f>
        <v>-0.71914819416317843</v>
      </c>
      <c r="L347" s="55" cm="1">
        <f t="array" ref="L347">(VLOOKUP($A347,'The List'!$B1:$AH671,24,FALSE)-AVERAGE('The List'!Y2:Y671))/STDEV('The List'!Y2:Y671)</f>
        <v>-0.47546929358800777</v>
      </c>
      <c r="M347" s="55" cm="1">
        <f t="array" ref="M347">(VLOOKUP($A347,'The List'!$B1:$AH671,25,FALSE)-AVERAGE('The List'!Z2:Z671))/STDEV('The List'!Z2:Z671)</f>
        <v>-0.64388478613809508</v>
      </c>
      <c r="N347" s="55" cm="1">
        <f t="array" ref="N347">(VLOOKUP($A347,'The List'!$B1:$AH671,26,FALSE)-AVERAGE('The List'!AA2:AA671))/STDEV('The List'!AA2:AA671)</f>
        <v>-3.1256067147433883E-2</v>
      </c>
      <c r="O347" s="55" cm="1">
        <f t="array" ref="O347">(VLOOKUP($A347,'The List'!$B1:$AH671,27,FALSE)-AVERAGE('The List'!AB2:AB671))/STDEV('The List'!AB2:AB671)</f>
        <v>-0.59216439898261208</v>
      </c>
      <c r="P347" s="55" cm="1">
        <f t="array" ref="P347">(VLOOKUP($A347,'The List'!$B1:$AH671,28,FALSE)-AVERAGE('The List'!AC2:AC671))/STDEV('The List'!AC2:AC671)</f>
        <v>-0.63884649740575394</v>
      </c>
      <c r="Q347" s="55" cm="1">
        <f t="array" ref="Q347">(VLOOKUP($A347,'The List'!$B1:$AH671,29,FALSE)-AVERAGE('The List'!AD2:AD671))/STDEV('The List'!AD2:AD671)</f>
        <v>0.17076683339572432</v>
      </c>
      <c r="R347" s="55" cm="1">
        <f t="array" ref="R347">(VLOOKUP($A347,'The List'!$B1:$AH671,30,FALSE)-AVERAGE('The List'!AE2:AE671))/STDEV('The List'!AE2:AE671)</f>
        <v>-0.32146693937936244</v>
      </c>
      <c r="S347" s="55" cm="1">
        <f t="array" ref="S347">(VLOOKUP($A347,'The List'!$B1:$AH671,31,FALSE)-AVERAGE('The List'!AF2:AF671))/STDEV('The List'!AF2:AF671)</f>
        <v>2.2505466319864595</v>
      </c>
      <c r="T347" s="55" cm="1">
        <f t="array" ref="T347">(VLOOKUP($A347,'The List'!$B1:$AH671,32,FALSE)-AVERAGE('The List'!AG2:AG671))/STDEV('The List'!AG2:AG671)</f>
        <v>1.596192596319602</v>
      </c>
      <c r="U347" s="55" cm="1">
        <f t="array" ref="U347">(VLOOKUP($A347,'The List'!$B1:$AH671,33,FALSE)-AVERAGE('The List'!AH2:AH671))/STDEV('The List'!AH2:AH671)</f>
        <v>1.3666931332262831</v>
      </c>
      <c r="V347" s="55"/>
      <c r="W347" s="77"/>
      <c r="X347" s="57"/>
      <c r="Y347" s="57"/>
      <c r="Z347" s="57"/>
      <c r="AA347" s="57"/>
      <c r="AB347" s="57"/>
      <c r="AC347" s="60"/>
      <c r="AD347" s="61"/>
      <c r="AE347" s="55"/>
    </row>
    <row r="348" spans="1:31" ht="21.25" customHeight="1" x14ac:dyDescent="0.15">
      <c r="A348" s="10" t="s">
        <v>330</v>
      </c>
      <c r="B348" s="18" t="str" cm="1">
        <f t="array" ref="B348">VLOOKUP(A348,'Player Data'!A1:B673,2,FALSE)</f>
        <v>CHI</v>
      </c>
      <c r="C348" s="52" cm="1">
        <f t="array" ref="C348">((E348)*Settings!$C$12)+(F348*Settings!$C$2)+(G348*Settings!$C$3)+(H348*Settings!$C$4)+(I348*Settings!$C$5)+(K348*Settings!$C$9)+(N348*Settings!$C$6)+(J348*Settings!$C$8)+(O348*Settings!$C$7)+(P348*Settings!$C$14)+(Q348*Settings!$C$15)+(R348*Settings!$C$16)+(S348*Settings!$C$17)+(T348*Settings!$C$18)+(U348*Settings!$C$19)+(L348*Settings!$C$10)+(Settings!$C$11*M348)</f>
        <v>1.1701183337854659</v>
      </c>
      <c r="D348" s="57" cm="1">
        <f t="array" ref="D348">IF(Settings!$E$12="YES",VLOOKUP(A348,'Player Data'!A1:E673,5,FALSE),82)</f>
        <v>77</v>
      </c>
      <c r="E348" s="55" cm="1">
        <f t="array" ref="E348">(VLOOKUP($A348,'The List'!$B1:$AH671,17,FALSE)-AVERAGE('The List'!R2:R671))/STDEV('The List'!R2:R671)</f>
        <v>0.15362666503934194</v>
      </c>
      <c r="F348" s="55" cm="1">
        <f t="array" ref="F348">(VLOOKUP($A348,'The List'!$B1:$AH671,18,FALSE)-AVERAGE('The List'!S2:S671))/STDEV('The List'!S2:S671)</f>
        <v>0.39485732703938825</v>
      </c>
      <c r="G348" s="55" cm="1">
        <f t="array" ref="G348">(VLOOKUP($A348,'The List'!$B1:$AH671,19,FALSE)-AVERAGE('The List'!T2:T671))/STDEV('The List'!T2:T671)</f>
        <v>0.9890951955737276</v>
      </c>
      <c r="H348" s="55" cm="1">
        <f t="array" ref="H348">(VLOOKUP($A348,'The List'!$B1:$AH671,20,FALSE)-AVERAGE('The List'!U2:U671))/STDEV('The List'!U2:U671)</f>
        <v>0.79712987780317268</v>
      </c>
      <c r="I348" s="55" cm="1">
        <f t="array" ref="I348">(VLOOKUP($A348,'The List'!$B1:$AH671,21,FALSE)-AVERAGE('The List'!V2:V671))/STDEV('The List'!V2:V671)</f>
        <v>0.94221447961937144</v>
      </c>
      <c r="J348" s="55" cm="1">
        <f t="array" ref="J348">(VLOOKUP($A348,'The List'!$B1:$AH671,22,FALSE)-AVERAGE('The List'!W2:W671))/STDEV('The List'!W2:W671)</f>
        <v>0.537490538025303</v>
      </c>
      <c r="K348" s="55" cm="1">
        <f t="array" ref="K348">(VLOOKUP($A348,'The List'!$B1:$AH671,23,FALSE)-AVERAGE('The List'!X2:X671))/STDEV('The List'!X2:X671)</f>
        <v>1.2877103578731066</v>
      </c>
      <c r="L348" s="55" cm="1">
        <f t="array" ref="L348">(VLOOKUP($A348,'The List'!$B1:$AH671,24,FALSE)-AVERAGE('The List'!Y2:Y671))/STDEV('The List'!Y2:Y671)</f>
        <v>-0.47546929358800777</v>
      </c>
      <c r="M348" s="55" cm="1">
        <f t="array" ref="M348">(VLOOKUP($A348,'The List'!$B1:$AH671,25,FALSE)-AVERAGE('The List'!Z2:Z671))/STDEV('The List'!Z2:Z671)</f>
        <v>-0.64388478613809508</v>
      </c>
      <c r="N348" s="55" cm="1">
        <f t="array" ref="N348">(VLOOKUP($A348,'The List'!$B1:$AH671,26,FALSE)-AVERAGE('The List'!AA2:AA671))/STDEV('The List'!AA2:AA671)</f>
        <v>-0.95430639835732867</v>
      </c>
      <c r="O348" s="55" cm="1">
        <f t="array" ref="O348">(VLOOKUP($A348,'The List'!$B1:$AH671,27,FALSE)-AVERAGE('The List'!AB2:AB671))/STDEV('The List'!AB2:AB671)</f>
        <v>-1.1689990525018057</v>
      </c>
      <c r="P348" s="55" cm="1">
        <f t="array" ref="P348">(VLOOKUP($A348,'The List'!$B1:$AH671,28,FALSE)-AVERAGE('The List'!AC2:AC671))/STDEV('The List'!AC2:AC671)</f>
        <v>-1.274759973818322</v>
      </c>
      <c r="Q348" s="55" cm="1">
        <f t="array" ref="Q348">(VLOOKUP($A348,'The List'!$B1:$AH671,29,FALSE)-AVERAGE('The List'!AD2:AD671))/STDEV('The List'!AD2:AD671)</f>
        <v>-1.1222100899613776</v>
      </c>
      <c r="R348" s="55" cm="1">
        <f t="array" ref="R348">(VLOOKUP($A348,'The List'!$B1:$AH671,30,FALSE)-AVERAGE('The List'!AE2:AE671))/STDEV('The List'!AE2:AE671)</f>
        <v>9.6478322950936238E-2</v>
      </c>
      <c r="S348" s="55" cm="1">
        <f t="array" ref="S348">(VLOOKUP($A348,'The List'!$B1:$AH671,31,FALSE)-AVERAGE('The List'!AF2:AF671))/STDEV('The List'!AF2:AF671)</f>
        <v>-0.5773087657155731</v>
      </c>
      <c r="T348" s="55" cm="1">
        <f t="array" ref="T348">(VLOOKUP($A348,'The List'!$B1:$AH671,32,FALSE)-AVERAGE('The List'!AG2:AG671))/STDEV('The List'!AG2:AG671)</f>
        <v>-0.59575796709718531</v>
      </c>
      <c r="U348" s="55" cm="1">
        <f t="array" ref="U348">(VLOOKUP($A348,'The List'!$B1:$AH671,33,FALSE)-AVERAGE('The List'!AH2:AH671))/STDEV('The List'!AH2:AH671)</f>
        <v>7.8714844718448196E-2</v>
      </c>
      <c r="V348" s="55"/>
      <c r="W348" s="77"/>
      <c r="X348" s="57"/>
      <c r="Y348" s="57"/>
      <c r="Z348" s="57"/>
      <c r="AA348" s="57"/>
      <c r="AB348" s="57"/>
      <c r="AC348" s="60"/>
      <c r="AD348" s="61"/>
      <c r="AE348" s="55"/>
    </row>
    <row r="349" spans="1:31" ht="21.25" customHeight="1" x14ac:dyDescent="0.15">
      <c r="A349" s="10" t="s">
        <v>627</v>
      </c>
      <c r="B349" s="18" t="str" cm="1">
        <f t="array" ref="B349">VLOOKUP(A349,'Player Data'!A1:B673,2,FALSE)</f>
        <v>OTT</v>
      </c>
      <c r="C349" s="52" cm="1">
        <f t="array" ref="C349">((E349)*Settings!$C$12)+(F349*Settings!$C$2)+(G349*Settings!$C$3)+(H349*Settings!$C$4)+(I349*Settings!$C$5)+(K349*Settings!$C$9)+(N349*Settings!$C$6)+(J349*Settings!$C$8)+(O349*Settings!$C$7)+(P349*Settings!$C$14)+(Q349*Settings!$C$15)+(R349*Settings!$C$16)+(S349*Settings!$C$17)+(T349*Settings!$C$18)+(U349*Settings!$C$19)+(L349*Settings!$C$10)+(Settings!$C$11*M349)</f>
        <v>-0.99025770759389942</v>
      </c>
      <c r="D349" s="57" cm="1">
        <f t="array" ref="D349">IF(Settings!$E$12="YES",VLOOKUP(A349,'Player Data'!A1:E673,5,FALSE),82)</f>
        <v>82</v>
      </c>
      <c r="E349" s="55" cm="1">
        <f t="array" ref="E349">(VLOOKUP($A349,'The List'!$B1:$AH671,17,FALSE)-AVERAGE('The List'!R2:R671))/STDEV('The List'!R2:R671)</f>
        <v>-0.97435407251916173</v>
      </c>
      <c r="F349" s="55" cm="1">
        <f t="array" ref="F349">(VLOOKUP($A349,'The List'!$B1:$AH671,18,FALSE)-AVERAGE('The List'!S2:S671))/STDEV('The List'!S2:S671)</f>
        <v>0.10046523355264535</v>
      </c>
      <c r="G349" s="55" cm="1">
        <f t="array" ref="G349">(VLOOKUP($A349,'The List'!$B1:$AH671,19,FALSE)-AVERAGE('The List'!T2:T671))/STDEV('The List'!T2:T671)</f>
        <v>-0.79795923335840313</v>
      </c>
      <c r="H349" s="55" cm="1">
        <f t="array" ref="H349">(VLOOKUP($A349,'The List'!$B1:$AH671,20,FALSE)-AVERAGE('The List'!U2:U671))/STDEV('The List'!U2:U671)</f>
        <v>-0.45747077417808685</v>
      </c>
      <c r="I349" s="55" cm="1">
        <f t="array" ref="I349">(VLOOKUP($A349,'The List'!$B1:$AH671,21,FALSE)-AVERAGE('The List'!V2:V671))/STDEV('The List'!V2:V671)</f>
        <v>6.8503557054672273E-2</v>
      </c>
      <c r="J349" s="55" cm="1">
        <f t="array" ref="J349">(VLOOKUP($A349,'The List'!$B1:$AH671,22,FALSE)-AVERAGE('The List'!W2:W671))/STDEV('The List'!W2:W671)</f>
        <v>-0.51205763582061725</v>
      </c>
      <c r="K349" s="55" cm="1">
        <f t="array" ref="K349">(VLOOKUP($A349,'The List'!$B1:$AH671,23,FALSE)-AVERAGE('The List'!X2:X671))/STDEV('The List'!X2:X671)</f>
        <v>-0.71914819416317843</v>
      </c>
      <c r="L349" s="55" cm="1">
        <f t="array" ref="L349">(VLOOKUP($A349,'The List'!$B1:$AH671,24,FALSE)-AVERAGE('The List'!Y2:Y671))/STDEV('The List'!Y2:Y671)</f>
        <v>-0.47546929358800777</v>
      </c>
      <c r="M349" s="55" cm="1">
        <f t="array" ref="M349">(VLOOKUP($A349,'The List'!$B1:$AH671,25,FALSE)-AVERAGE('The List'!Z2:Z671))/STDEV('The List'!Z2:Z671)</f>
        <v>-0.64388478613809508</v>
      </c>
      <c r="N349" s="55" cm="1">
        <f t="array" ref="N349">(VLOOKUP($A349,'The List'!$B1:$AH671,26,FALSE)-AVERAGE('The List'!AA2:AA671))/STDEV('The List'!AA2:AA671)</f>
        <v>-0.93183035266101688</v>
      </c>
      <c r="O349" s="55" cm="1">
        <f t="array" ref="O349">(VLOOKUP($A349,'The List'!$B1:$AH671,27,FALSE)-AVERAGE('The List'!AB2:AB671))/STDEV('The List'!AB2:AB671)</f>
        <v>-7.1086328888159162E-2</v>
      </c>
      <c r="P349" s="55" cm="1">
        <f t="array" ref="P349">(VLOOKUP($A349,'The List'!$B1:$AH671,28,FALSE)-AVERAGE('The List'!AC2:AC671))/STDEV('The List'!AC2:AC671)</f>
        <v>0.42896725820852377</v>
      </c>
      <c r="Q349" s="55" cm="1">
        <f t="array" ref="Q349">(VLOOKUP($A349,'The List'!$B1:$AH671,29,FALSE)-AVERAGE('The List'!AD2:AD671))/STDEV('The List'!AD2:AD671)</f>
        <v>-0.5562556195090691</v>
      </c>
      <c r="R349" s="55" cm="1">
        <f t="array" ref="R349">(VLOOKUP($A349,'The List'!$B1:$AH671,30,FALSE)-AVERAGE('The List'!AE2:AE671))/STDEV('The List'!AE2:AE671)</f>
        <v>0.19004815780100306</v>
      </c>
      <c r="S349" s="55" cm="1">
        <f t="array" ref="S349">(VLOOKUP($A349,'The List'!$B1:$AH671,31,FALSE)-AVERAGE('The List'!AF2:AF671))/STDEV('The List'!AF2:AF671)</f>
        <v>-0.52879882681349466</v>
      </c>
      <c r="T349" s="55" cm="1">
        <f t="array" ref="T349">(VLOOKUP($A349,'The List'!$B1:$AH671,32,FALSE)-AVERAGE('The List'!AG2:AG671))/STDEV('The List'!AG2:AG671)</f>
        <v>-0.55059309902370956</v>
      </c>
      <c r="U349" s="55" cm="1">
        <f t="array" ref="U349">(VLOOKUP($A349,'The List'!$B1:$AH671,33,FALSE)-AVERAGE('The List'!AH2:AH671))/STDEV('The List'!AH2:AH671)</f>
        <v>0.72270398897236576</v>
      </c>
      <c r="V349" s="55"/>
      <c r="W349" s="77"/>
      <c r="X349" s="57"/>
      <c r="Y349" s="57"/>
      <c r="Z349" s="57"/>
      <c r="AA349" s="57"/>
      <c r="AB349" s="57"/>
      <c r="AC349" s="60"/>
      <c r="AD349" s="61"/>
      <c r="AE349" s="55"/>
    </row>
    <row r="350" spans="1:31" ht="21.25" customHeight="1" x14ac:dyDescent="0.15">
      <c r="A350" s="10" t="s">
        <v>616</v>
      </c>
      <c r="B350" s="18" t="str" cm="1">
        <f t="array" ref="B350">VLOOKUP(A350,'Player Data'!A1:B673,2,FALSE)</f>
        <v>N.J</v>
      </c>
      <c r="C350" s="52" cm="1">
        <f t="array" ref="C350">((E350)*Settings!$C$12)+(F350*Settings!$C$2)+(G350*Settings!$C$3)+(H350*Settings!$C$4)+(I350*Settings!$C$5)+(K350*Settings!$C$9)+(N350*Settings!$C$6)+(J350*Settings!$C$8)+(O350*Settings!$C$7)+(P350*Settings!$C$14)+(Q350*Settings!$C$15)+(R350*Settings!$C$16)+(S350*Settings!$C$17)+(T350*Settings!$C$18)+(U350*Settings!$C$19)+(L350*Settings!$C$10)+(Settings!$C$11*M350)</f>
        <v>-0.64661283149079551</v>
      </c>
      <c r="D350" s="57" cm="1">
        <f t="array" ref="D350">IF(Settings!$E$12="YES",VLOOKUP(A350,'Player Data'!A1:E673,5,FALSE),82)</f>
        <v>82</v>
      </c>
      <c r="E350" s="55" cm="1">
        <f t="array" ref="E350">(VLOOKUP($A350,'The List'!$B1:$AH671,17,FALSE)-AVERAGE('The List'!R2:R671))/STDEV('The List'!R2:R671)</f>
        <v>-0.73826508093714915</v>
      </c>
      <c r="F350" s="55" cm="1">
        <f t="array" ref="F350">(VLOOKUP($A350,'The List'!$B1:$AH671,18,FALSE)-AVERAGE('The List'!S2:S671))/STDEV('The List'!S2:S671)</f>
        <v>-0.22685885683261439</v>
      </c>
      <c r="G350" s="55" cm="1">
        <f t="array" ref="G350">(VLOOKUP($A350,'The List'!$B1:$AH671,19,FALSE)-AVERAGE('The List'!T2:T671))/STDEV('The List'!T2:T671)</f>
        <v>-0.45221374415879306</v>
      </c>
      <c r="H350" s="55" cm="1">
        <f t="array" ref="H350">(VLOOKUP($A350,'The List'!$B1:$AH671,20,FALSE)-AVERAGE('The List'!U2:U671))/STDEV('The List'!U2:U671)</f>
        <v>-0.38497094791842279</v>
      </c>
      <c r="I350" s="55" cm="1">
        <f t="array" ref="I350">(VLOOKUP($A350,'The List'!$B1:$AH671,21,FALSE)-AVERAGE('The List'!V2:V671))/STDEV('The List'!V2:V671)</f>
        <v>0.43685469150354311</v>
      </c>
      <c r="J350" s="55" cm="1">
        <f t="array" ref="J350">(VLOOKUP($A350,'The List'!$B1:$AH671,22,FALSE)-AVERAGE('The List'!W2:W671))/STDEV('The List'!W2:W671)</f>
        <v>-0.28557618778018184</v>
      </c>
      <c r="K350" s="55" cm="1">
        <f t="array" ref="K350">(VLOOKUP($A350,'The List'!$B1:$AH671,23,FALSE)-AVERAGE('The List'!X2:X671))/STDEV('The List'!X2:X671)</f>
        <v>-0.38952896278215621</v>
      </c>
      <c r="L350" s="55" cm="1">
        <f t="array" ref="L350">(VLOOKUP($A350,'The List'!$B1:$AH671,24,FALSE)-AVERAGE('The List'!Y2:Y671))/STDEV('The List'!Y2:Y671)</f>
        <v>1.0277130538464798</v>
      </c>
      <c r="M350" s="55" cm="1">
        <f t="array" ref="M350">(VLOOKUP($A350,'The List'!$B1:$AH671,25,FALSE)-AVERAGE('The List'!Z2:Z671))/STDEV('The List'!Z2:Z671)</f>
        <v>0.24714316765550046</v>
      </c>
      <c r="N350" s="55" cm="1">
        <f t="array" ref="N350">(VLOOKUP($A350,'The List'!$B1:$AH671,26,FALSE)-AVERAGE('The List'!AA2:AA671))/STDEV('The List'!AA2:AA671)</f>
        <v>-0.93183035266101688</v>
      </c>
      <c r="O350" s="55" cm="1">
        <f t="array" ref="O350">(VLOOKUP($A350,'The List'!$B1:$AH671,27,FALSE)-AVERAGE('The List'!AB2:AB671))/STDEV('The List'!AB2:AB671)</f>
        <v>-8.7895298891206175E-2</v>
      </c>
      <c r="P350" s="55" cm="1">
        <f t="array" ref="P350">(VLOOKUP($A350,'The List'!$B1:$AH671,28,FALSE)-AVERAGE('The List'!AC2:AC671))/STDEV('The List'!AC2:AC671)</f>
        <v>7.3029339670431195E-2</v>
      </c>
      <c r="Q350" s="55" cm="1">
        <f t="array" ref="Q350">(VLOOKUP($A350,'The List'!$B1:$AH671,29,FALSE)-AVERAGE('The List'!AD2:AD671))/STDEV('The List'!AD2:AD671)</f>
        <v>0.11018162898699152</v>
      </c>
      <c r="R350" s="55" cm="1">
        <f t="array" ref="R350">(VLOOKUP($A350,'The List'!$B1:$AH671,30,FALSE)-AVERAGE('The List'!AE2:AE671))/STDEV('The List'!AE2:AE671)</f>
        <v>-0.32146693937936244</v>
      </c>
      <c r="S350" s="55" cm="1">
        <f t="array" ref="S350">(VLOOKUP($A350,'The List'!$B1:$AH671,31,FALSE)-AVERAGE('The List'!AF2:AF671))/STDEV('The List'!AF2:AF671)</f>
        <v>0.7327480481027967</v>
      </c>
      <c r="T350" s="55" cm="1">
        <f t="array" ref="T350">(VLOOKUP($A350,'The List'!$B1:$AH671,32,FALSE)-AVERAGE('The List'!AG2:AG671))/STDEV('The List'!AG2:AG671)</f>
        <v>0.94755364353556037</v>
      </c>
      <c r="U350" s="55" cm="1">
        <f t="array" ref="U350">(VLOOKUP($A350,'The List'!$B1:$AH671,33,FALSE)-AVERAGE('The List'!AH2:AH671))/STDEV('The List'!AH2:AH671)</f>
        <v>0.90670088733062781</v>
      </c>
      <c r="V350" s="55"/>
      <c r="W350" s="57"/>
      <c r="X350" s="55"/>
      <c r="Y350" s="55"/>
      <c r="Z350" s="55"/>
      <c r="AA350" s="55"/>
      <c r="AB350" s="55"/>
      <c r="AC350" s="55"/>
      <c r="AD350" s="55"/>
      <c r="AE350" s="55"/>
    </row>
    <row r="351" spans="1:31" ht="21.25" customHeight="1" x14ac:dyDescent="0.15">
      <c r="A351" s="10" t="s">
        <v>649</v>
      </c>
      <c r="B351" s="18" t="str" cm="1">
        <f t="array" ref="B351">VLOOKUP(A351,'Player Data'!A1:B673,2,FALSE)</f>
        <v>T.B</v>
      </c>
      <c r="C351" s="52" cm="1">
        <f t="array" ref="C351">((E351)*Settings!$C$12)+(F351*Settings!$C$2)+(G351*Settings!$C$3)+(H351*Settings!$C$4)+(I351*Settings!$C$5)+(K351*Settings!$C$9)+(N351*Settings!$C$6)+(J351*Settings!$C$8)+(O351*Settings!$C$7)+(P351*Settings!$C$14)+(Q351*Settings!$C$15)+(R351*Settings!$C$16)+(S351*Settings!$C$17)+(T351*Settings!$C$18)+(U351*Settings!$C$19)+(L351*Settings!$C$10)+(Settings!$C$11*M351)</f>
        <v>-0.63208882888598561</v>
      </c>
      <c r="D351" s="57" cm="1">
        <f t="array" ref="D351">IF(Settings!$E$12="YES",VLOOKUP(A351,'Player Data'!A1:E673,5,FALSE),82)</f>
        <v>82</v>
      </c>
      <c r="E351" s="55" cm="1">
        <f t="array" ref="E351">(VLOOKUP($A351,'The List'!$B1:$AH671,17,FALSE)-AVERAGE('The List'!R2:R671))/STDEV('The List'!R2:R671)</f>
        <v>-0.65956875040981156</v>
      </c>
      <c r="F351" s="55" cm="1">
        <f t="array" ref="F351">(VLOOKUP($A351,'The List'!$B1:$AH671,18,FALSE)-AVERAGE('The List'!S2:S671))/STDEV('The List'!S2:S671)</f>
        <v>0.34595830134159011</v>
      </c>
      <c r="G351" s="55" cm="1">
        <f t="array" ref="G351">(VLOOKUP($A351,'The List'!$B1:$AH671,19,FALSE)-AVERAGE('The List'!T2:T671))/STDEV('The List'!T2:T671)</f>
        <v>-0.45221374415879306</v>
      </c>
      <c r="H351" s="55" cm="1">
        <f t="array" ref="H351">(VLOOKUP($A351,'The List'!$B1:$AH671,20,FALSE)-AVERAGE('The List'!U2:U671))/STDEV('The List'!U2:U671)</f>
        <v>-0.1312215560095987</v>
      </c>
      <c r="I351" s="55" cm="1">
        <f t="array" ref="I351">(VLOOKUP($A351,'The List'!$B1:$AH671,21,FALSE)-AVERAGE('The List'!V2:V671))/STDEV('The List'!V2:V671)</f>
        <v>9.6838259704585636E-2</v>
      </c>
      <c r="J351" s="55" cm="1">
        <f t="array" ref="J351">(VLOOKUP($A351,'The List'!$B1:$AH671,22,FALSE)-AVERAGE('The List'!W2:W671))/STDEV('The List'!W2:W671)</f>
        <v>-0.73853908386105271</v>
      </c>
      <c r="K351" s="55" cm="1">
        <f t="array" ref="K351">(VLOOKUP($A351,'The List'!$B1:$AH671,23,FALSE)-AVERAGE('The List'!X2:X671))/STDEV('The List'!X2:X671)</f>
        <v>-0.80155300200843405</v>
      </c>
      <c r="L351" s="55" cm="1">
        <f t="array" ref="L351">(VLOOKUP($A351,'The List'!$B1:$AH671,24,FALSE)-AVERAGE('The List'!Y2:Y671))/STDEV('The List'!Y2:Y671)</f>
        <v>2.5308954012809677</v>
      </c>
      <c r="M351" s="55" cm="1">
        <f t="array" ref="M351">(VLOOKUP($A351,'The List'!$B1:$AH671,25,FALSE)-AVERAGE('The List'!Z2:Z671))/STDEV('The List'!Z2:Z671)</f>
        <v>2.0291990752426914</v>
      </c>
      <c r="N351" s="55" cm="1">
        <f t="array" ref="N351">(VLOOKUP($A351,'The List'!$B1:$AH671,26,FALSE)-AVERAGE('The List'!AA2:AA671))/STDEV('The List'!AA2:AA671)</f>
        <v>-1.0156047048018155</v>
      </c>
      <c r="O351" s="55" cm="1">
        <f t="array" ref="O351">(VLOOKUP($A351,'The List'!$B1:$AH671,27,FALSE)-AVERAGE('The List'!AB2:AB671))/STDEV('The List'!AB2:AB671)</f>
        <v>-0.96196173904964311</v>
      </c>
      <c r="P351" s="55" cm="1">
        <f t="array" ref="P351">(VLOOKUP($A351,'The List'!$B1:$AH671,28,FALSE)-AVERAGE('The List'!AC2:AC671))/STDEV('The List'!AC2:AC671)</f>
        <v>1.1408430952847088</v>
      </c>
      <c r="Q351" s="55" cm="1">
        <f t="array" ref="Q351">(VLOOKUP($A351,'The List'!$B1:$AH671,29,FALSE)-AVERAGE('The List'!AD2:AD671))/STDEV('The List'!AD2:AD671)</f>
        <v>-1.1621076635963967</v>
      </c>
      <c r="R351" s="55" cm="1">
        <f t="array" ref="R351">(VLOOKUP($A351,'The List'!$B1:$AH671,30,FALSE)-AVERAGE('The List'!AE2:AE671))/STDEV('The List'!AE2:AE671)</f>
        <v>0.70156325498136884</v>
      </c>
      <c r="S351" s="55" cm="1">
        <f t="array" ref="S351">(VLOOKUP($A351,'The List'!$B1:$AH671,31,FALSE)-AVERAGE('The List'!AF2:AF671))/STDEV('The List'!AF2:AF671)</f>
        <v>-0.58399150259108235</v>
      </c>
      <c r="T351" s="55" cm="1">
        <f t="array" ref="T351">(VLOOKUP($A351,'The List'!$B1:$AH671,32,FALSE)-AVERAGE('The List'!AG2:AG671))/STDEV('The List'!AG2:AG671)</f>
        <v>-0.60081030827150639</v>
      </c>
      <c r="U351" s="55" cm="1">
        <f t="array" ref="U351">(VLOOKUP($A351,'The List'!$B1:$AH671,33,FALSE)-AVERAGE('The List'!AH2:AH671))/STDEV('The List'!AH2:AH671)</f>
        <v>-0.38127740117720704</v>
      </c>
      <c r="V351" s="55"/>
      <c r="W351" s="57"/>
      <c r="X351" s="55"/>
      <c r="Y351" s="55"/>
      <c r="Z351" s="55"/>
      <c r="AA351" s="55"/>
      <c r="AB351" s="55"/>
      <c r="AC351" s="55"/>
      <c r="AD351" s="55"/>
      <c r="AE351" s="55"/>
    </row>
    <row r="352" spans="1:31" ht="21.25" customHeight="1" x14ac:dyDescent="0.15">
      <c r="A352" s="10" t="s">
        <v>654</v>
      </c>
      <c r="B352" s="18" t="str" cm="1">
        <f t="array" ref="B352">VLOOKUP(A352,'Player Data'!A1:B673,2,FALSE)</f>
        <v>PIT</v>
      </c>
      <c r="C352" s="52" cm="1">
        <f t="array" ref="C352">((E352)*Settings!$C$12)+(F352*Settings!$C$2)+(G352*Settings!$C$3)+(H352*Settings!$C$4)+(I352*Settings!$C$5)+(K352*Settings!$C$9)+(N352*Settings!$C$6)+(J352*Settings!$C$8)+(O352*Settings!$C$7)+(P352*Settings!$C$14)+(Q352*Settings!$C$15)+(R352*Settings!$C$16)+(S352*Settings!$C$17)+(T352*Settings!$C$18)+(U352*Settings!$C$19)+(L352*Settings!$C$10)+(Settings!$C$11*M352)</f>
        <v>-1.5587072618623365</v>
      </c>
      <c r="D352" s="57" cm="1">
        <f t="array" ref="D352">IF(Settings!$E$12="YES",VLOOKUP(A352,'Player Data'!A1:E673,5,FALSE),82)</f>
        <v>77</v>
      </c>
      <c r="E352" s="55" cm="1">
        <f t="array" ref="E352">(VLOOKUP($A352,'The List'!$B1:$AH671,17,FALSE)-AVERAGE('The List'!R2:R671))/STDEV('The List'!R2:R671)</f>
        <v>-1.3678357251558491</v>
      </c>
      <c r="F352" s="55" cm="1">
        <f t="array" ref="F352">(VLOOKUP($A352,'The List'!$B1:$AH671,18,FALSE)-AVERAGE('The List'!S2:S671))/STDEV('The List'!S2:S671)</f>
        <v>-0.14303195563638932</v>
      </c>
      <c r="G352" s="55" cm="1">
        <f t="array" ref="G352">(VLOOKUP($A352,'The List'!$B1:$AH671,19,FALSE)-AVERAGE('The List'!T2:T671))/STDEV('The List'!T2:T671)</f>
        <v>-0.68833261483169739</v>
      </c>
      <c r="H352" s="55" cm="1">
        <f t="array" ref="H352">(VLOOKUP($A352,'The List'!$B1:$AH671,20,FALSE)-AVERAGE('The List'!U2:U671))/STDEV('The List'!U2:U671)</f>
        <v>-0.49637311997595535</v>
      </c>
      <c r="I352" s="55" cm="1">
        <f t="array" ref="I352">(VLOOKUP($A352,'The List'!$B1:$AH671,21,FALSE)-AVERAGE('The List'!V2:V671))/STDEV('The List'!V2:V671)</f>
        <v>-0.48125878338449546</v>
      </c>
      <c r="J352" s="55" cm="1">
        <f t="array" ref="J352">(VLOOKUP($A352,'The List'!$B1:$AH671,22,FALSE)-AVERAGE('The List'!W2:W671))/STDEV('The List'!W2:W671)</f>
        <v>-0.52586748021332674</v>
      </c>
      <c r="K352" s="55" cm="1">
        <f t="array" ref="K352">(VLOOKUP($A352,'The List'!$B1:$AH671,23,FALSE)-AVERAGE('The List'!X2:X671))/STDEV('The List'!X2:X671)</f>
        <v>-0.724172877568377</v>
      </c>
      <c r="L352" s="55" cm="1">
        <f t="array" ref="L352">(VLOOKUP($A352,'The List'!$B1:$AH671,24,FALSE)-AVERAGE('The List'!Y2:Y671))/STDEV('The List'!Y2:Y671)</f>
        <v>-0.47546929358800777</v>
      </c>
      <c r="M352" s="55" cm="1">
        <f t="array" ref="M352">(VLOOKUP($A352,'The List'!$B1:$AH671,25,FALSE)-AVERAGE('The List'!Z2:Z671))/STDEV('The List'!Z2:Z671)</f>
        <v>-0.64388478613809508</v>
      </c>
      <c r="N352" s="55" cm="1">
        <f t="array" ref="N352">(VLOOKUP($A352,'The List'!$B1:$AH671,26,FALSE)-AVERAGE('The List'!AA2:AA671))/STDEV('The List'!AA2:AA671)</f>
        <v>-0.46264289875050868</v>
      </c>
      <c r="O352" s="55" cm="1">
        <f t="array" ref="O352">(VLOOKUP($A352,'The List'!$B1:$AH671,27,FALSE)-AVERAGE('The List'!AB2:AB671))/STDEV('The List'!AB2:AB671)</f>
        <v>0.58302858915723765</v>
      </c>
      <c r="P352" s="55" cm="1">
        <f t="array" ref="P352">(VLOOKUP($A352,'The List'!$B1:$AH671,28,FALSE)-AVERAGE('The List'!AC2:AC671))/STDEV('The List'!AC2:AC671)</f>
        <v>-0.1049396195986151</v>
      </c>
      <c r="Q352" s="55" cm="1">
        <f t="array" ref="Q352">(VLOOKUP($A352,'The List'!$B1:$AH671,29,FALSE)-AVERAGE('The List'!AD2:AD671))/STDEV('The List'!AD2:AD671)</f>
        <v>-1.2359920592168028</v>
      </c>
      <c r="R352" s="55" cm="1">
        <f t="array" ref="R352">(VLOOKUP($A352,'The List'!$B1:$AH671,30,FALSE)-AVERAGE('The List'!AE2:AE671))/STDEV('The List'!AE2:AE671)</f>
        <v>-0.38384682927940705</v>
      </c>
      <c r="S352" s="55" cm="1">
        <f t="array" ref="S352">(VLOOKUP($A352,'The List'!$B1:$AH671,31,FALSE)-AVERAGE('The List'!AF2:AF671))/STDEV('The List'!AF2:AF671)</f>
        <v>-0.59211655677785269</v>
      </c>
      <c r="T352" s="55" cm="1">
        <f t="array" ref="T352">(VLOOKUP($A352,'The List'!$B1:$AH671,32,FALSE)-AVERAGE('The List'!AG2:AG671))/STDEV('The List'!AG2:AG671)</f>
        <v>-0.61540596055287822</v>
      </c>
      <c r="U352" s="55" cm="1">
        <f t="array" ref="U352">(VLOOKUP($A352,'The List'!$B1:$AH671,33,FALSE)-AVERAGE('The List'!AH2:AH671))/STDEV('The List'!AH2:AH671)</f>
        <v>-0.7032719733041658</v>
      </c>
      <c r="V352" s="55"/>
      <c r="W352" s="77"/>
      <c r="X352" s="57"/>
      <c r="Y352" s="57"/>
      <c r="Z352" s="57"/>
      <c r="AA352" s="57"/>
      <c r="AB352" s="57"/>
      <c r="AC352" s="60"/>
      <c r="AD352" s="61"/>
      <c r="AE352" s="55"/>
    </row>
    <row r="353" spans="1:31" ht="21.25" customHeight="1" x14ac:dyDescent="0.15">
      <c r="A353" s="10" t="s">
        <v>703</v>
      </c>
      <c r="B353" s="18" t="str" cm="1">
        <f t="array" ref="B353">VLOOKUP(A353,'Player Data'!A1:B673,2,FALSE)</f>
        <v>CHI</v>
      </c>
      <c r="C353" s="52" cm="1">
        <f t="array" ref="C353">((E353)*Settings!$C$12)+(F353*Settings!$C$2)+(G353*Settings!$C$3)+(H353*Settings!$C$4)+(I353*Settings!$C$5)+(K353*Settings!$C$9)+(N353*Settings!$C$6)+(J353*Settings!$C$8)+(O353*Settings!$C$7)+(P353*Settings!$C$14)+(Q353*Settings!$C$15)+(R353*Settings!$C$16)+(S353*Settings!$C$17)+(T353*Settings!$C$18)+(U353*Settings!$C$19)+(L353*Settings!$C$10)+(Settings!$C$11*M353)</f>
        <v>-3.6620152094877709</v>
      </c>
      <c r="D353" s="57" cm="1">
        <f t="array" ref="D353">IF(Settings!$E$12="YES",VLOOKUP(A353,'Player Data'!A1:E673,5,FALSE),82)</f>
        <v>71</v>
      </c>
      <c r="E353" s="55" cm="1">
        <f t="array" ref="E353">(VLOOKUP($A353,'The List'!$B1:$AH671,17,FALSE)-AVERAGE('The List'!R2:R671))/STDEV('The List'!R2:R671)</f>
        <v>-1.0792825132222785</v>
      </c>
      <c r="F353" s="55" cm="1">
        <f t="array" ref="F353">(VLOOKUP($A353,'The List'!$B1:$AH671,18,FALSE)-AVERAGE('The List'!S2:S671))/STDEV('The List'!S2:S671)</f>
        <v>-0.45139519932250299</v>
      </c>
      <c r="G353" s="55" cm="1">
        <f t="array" ref="G353">(VLOOKUP($A353,'The List'!$B1:$AH671,19,FALSE)-AVERAGE('The List'!T2:T671))/STDEV('The List'!T2:T671)</f>
        <v>-0.16549797262740895</v>
      </c>
      <c r="H353" s="55" cm="1">
        <f t="array" ref="H353">(VLOOKUP($A353,'The List'!$B1:$AH671,20,FALSE)-AVERAGE('The List'!U2:U671))/STDEV('The List'!U2:U671)</f>
        <v>-0.30407175154330979</v>
      </c>
      <c r="I353" s="55" cm="1">
        <f t="array" ref="I353">(VLOOKUP($A353,'The List'!$B1:$AH671,21,FALSE)-AVERAGE('The List'!V2:V671))/STDEV('The List'!V2:V671)</f>
        <v>-0.60168126964662616</v>
      </c>
      <c r="J353" s="55" cm="1">
        <f t="array" ref="J353">(VLOOKUP($A353,'The List'!$B1:$AH671,22,FALSE)-AVERAGE('The List'!W2:W671))/STDEV('The List'!W2:W671)</f>
        <v>-0.150239712731629</v>
      </c>
      <c r="K353" s="55" cm="1">
        <f t="array" ref="K353">(VLOOKUP($A353,'The List'!$B1:$AH671,23,FALSE)-AVERAGE('The List'!X2:X671))/STDEV('The List'!X2:X671)</f>
        <v>-0.23074896717788335</v>
      </c>
      <c r="L353" s="55" cm="1">
        <f t="array" ref="L353">(VLOOKUP($A353,'The List'!$B1:$AH671,24,FALSE)-AVERAGE('The List'!Y2:Y671))/STDEV('The List'!Y2:Y671)</f>
        <v>-0.47546929358800777</v>
      </c>
      <c r="M353" s="55" cm="1">
        <f t="array" ref="M353">(VLOOKUP($A353,'The List'!$B1:$AH671,25,FALSE)-AVERAGE('The List'!Z2:Z671))/STDEV('The List'!Z2:Z671)</f>
        <v>-0.64388478613809508</v>
      </c>
      <c r="N353" s="55" cm="1">
        <f t="array" ref="N353">(VLOOKUP($A353,'The List'!$B1:$AH671,26,FALSE)-AVERAGE('The List'!AA2:AA671))/STDEV('The List'!AA2:AA671)</f>
        <v>-1.0064099588351423</v>
      </c>
      <c r="O353" s="55" cm="1">
        <f t="array" ref="O353">(VLOOKUP($A353,'The List'!$B1:$AH671,27,FALSE)-AVERAGE('The List'!AB2:AB671))/STDEV('The List'!AB2:AB671)</f>
        <v>-0.72089651071326377</v>
      </c>
      <c r="P353" s="55" cm="1">
        <f t="array" ref="P353">(VLOOKUP($A353,'The List'!$B1:$AH671,28,FALSE)-AVERAGE('The List'!AC2:AC671))/STDEV('The List'!AC2:AC671)</f>
        <v>-1.4917952900000855</v>
      </c>
      <c r="Q353" s="55" cm="1">
        <f t="array" ref="Q353">(VLOOKUP($A353,'The List'!$B1:$AH671,29,FALSE)-AVERAGE('The List'!AD2:AD671))/STDEV('The List'!AD2:AD671)</f>
        <v>-0.59024244149445559</v>
      </c>
      <c r="R353" s="55" cm="1">
        <f t="array" ref="R353">(VLOOKUP($A353,'The List'!$B1:$AH671,30,FALSE)-AVERAGE('The List'!AE2:AE671))/STDEV('The List'!AE2:AE671)</f>
        <v>-0.45870269715946066</v>
      </c>
      <c r="S353" s="55" cm="1">
        <f t="array" ref="S353">(VLOOKUP($A353,'The List'!$B1:$AH671,31,FALSE)-AVERAGE('The List'!AF2:AF671))/STDEV('The List'!AF2:AF671)</f>
        <v>3.9089575873671276E-2</v>
      </c>
      <c r="T353" s="55" cm="1">
        <f t="array" ref="T353">(VLOOKUP($A353,'The List'!$B1:$AH671,32,FALSE)-AVERAGE('The List'!AG2:AG671))/STDEV('The List'!AG2:AG671)</f>
        <v>0.10320026243312402</v>
      </c>
      <c r="U353" s="55" cm="1">
        <f t="array" ref="U353">(VLOOKUP($A353,'The List'!$B1:$AH671,33,FALSE)-AVERAGE('The List'!AH2:AH671))/STDEV('The List'!AH2:AH671)</f>
        <v>0.90670088733062781</v>
      </c>
      <c r="V353" s="55"/>
      <c r="W353" s="77"/>
      <c r="X353" s="57"/>
      <c r="Y353" s="57"/>
      <c r="Z353" s="57"/>
      <c r="AA353" s="57"/>
      <c r="AB353" s="57"/>
      <c r="AC353" s="60"/>
      <c r="AD353" s="61"/>
      <c r="AE353" s="55"/>
    </row>
    <row r="354" spans="1:31" ht="21.25" customHeight="1" x14ac:dyDescent="0.15">
      <c r="A354" s="10" t="s">
        <v>345</v>
      </c>
      <c r="B354" s="18" t="str" cm="1">
        <f t="array" ref="B354">VLOOKUP(A354,'Player Data'!A1:B673,2,FALSE)</f>
        <v>COL</v>
      </c>
      <c r="C354" s="52" cm="1">
        <f t="array" ref="C354">((E354)*Settings!$C$12)+(F354*Settings!$C$2)+(G354*Settings!$C$3)+(H354*Settings!$C$4)+(I354*Settings!$C$5)+(K354*Settings!$C$9)+(N354*Settings!$C$6)+(J354*Settings!$C$8)+(O354*Settings!$C$7)+(P354*Settings!$C$14)+(Q354*Settings!$C$15)+(R354*Settings!$C$16)+(S354*Settings!$C$17)+(T354*Settings!$C$18)+(U354*Settings!$C$19)+(L354*Settings!$C$10)+(Settings!$C$11*M354)</f>
        <v>0.29637308011033192</v>
      </c>
      <c r="D354" s="57" cm="1">
        <f t="array" ref="D354">IF(Settings!$E$12="YES",VLOOKUP(A354,'Player Data'!A1:E673,5,FALSE),82)</f>
        <v>77</v>
      </c>
      <c r="E354" s="55" cm="1">
        <f t="array" ref="E354">(VLOOKUP($A354,'The List'!$B1:$AH671,17,FALSE)-AVERAGE('The List'!R2:R671))/STDEV('The List'!R2:R671)</f>
        <v>0.20609088539090101</v>
      </c>
      <c r="F354" s="55" cm="1">
        <f t="array" ref="F354">(VLOOKUP($A354,'The List'!$B1:$AH671,18,FALSE)-AVERAGE('The List'!S2:S671))/STDEV('The List'!S2:S671)</f>
        <v>-0.68092123831216689</v>
      </c>
      <c r="G354" s="55" cm="1">
        <f t="array" ref="G354">(VLOOKUP($A354,'The List'!$B1:$AH671,19,FALSE)-AVERAGE('The List'!T2:T671))/STDEV('The List'!T2:T671)</f>
        <v>-9.3116295010417599E-2</v>
      </c>
      <c r="H354" s="55" cm="1">
        <f t="array" ref="H354">(VLOOKUP($A354,'The List'!$B1:$AH671,20,FALSE)-AVERAGE('The List'!U2:U671))/STDEV('The List'!U2:U671)</f>
        <v>-0.36021490968341563</v>
      </c>
      <c r="I354" s="55" cm="1">
        <f t="array" ref="I354">(VLOOKUP($A354,'The List'!$B1:$AH671,21,FALSE)-AVERAGE('The List'!V2:V671))/STDEV('The List'!V2:V671)</f>
        <v>0.34355749985138956</v>
      </c>
      <c r="J354" s="55" cm="1">
        <f t="array" ref="J354">(VLOOKUP($A354,'The List'!$B1:$AH671,22,FALSE)-AVERAGE('The List'!W2:W671))/STDEV('The List'!W2:W671)</f>
        <v>-0.73853908386105271</v>
      </c>
      <c r="K354" s="55" cm="1">
        <f t="array" ref="K354">(VLOOKUP($A354,'The List'!$B1:$AH671,23,FALSE)-AVERAGE('The List'!X2:X671))/STDEV('The List'!X2:X671)</f>
        <v>-0.724172877568377</v>
      </c>
      <c r="L354" s="55" cm="1">
        <f t="array" ref="L354">(VLOOKUP($A354,'The List'!$B1:$AH671,24,FALSE)-AVERAGE('The List'!Y2:Y671))/STDEV('The List'!Y2:Y671)</f>
        <v>-0.47546929358800777</v>
      </c>
      <c r="M354" s="55" cm="1">
        <f t="array" ref="M354">(VLOOKUP($A354,'The List'!$B1:$AH671,25,FALSE)-AVERAGE('The List'!Z2:Z671))/STDEV('The List'!Z2:Z671)</f>
        <v>-0.64388478613809508</v>
      </c>
      <c r="N354" s="55" cm="1">
        <f t="array" ref="N354">(VLOOKUP($A354,'The List'!$B1:$AH671,26,FALSE)-AVERAGE('The List'!AA2:AA671))/STDEV('The List'!AA2:AA671)</f>
        <v>1.0123476000699514</v>
      </c>
      <c r="O354" s="55" cm="1">
        <f t="array" ref="O354">(VLOOKUP($A354,'The List'!$B1:$AH671,27,FALSE)-AVERAGE('The List'!AB2:AB671))/STDEV('The List'!AB2:AB671)</f>
        <v>-0.61655790423093615</v>
      </c>
      <c r="P354" s="55" cm="1">
        <f t="array" ref="P354">(VLOOKUP($A354,'The List'!$B1:$AH671,28,FALSE)-AVERAGE('The List'!AC2:AC671))/STDEV('The List'!AC2:AC671)</f>
        <v>2.0675838953808401</v>
      </c>
      <c r="Q354" s="55" cm="1">
        <f t="array" ref="Q354">(VLOOKUP($A354,'The List'!$B1:$AH671,29,FALSE)-AVERAGE('The List'!AD2:AD671))/STDEV('The List'!AD2:AD671)</f>
        <v>-0.66708221293967784</v>
      </c>
      <c r="R354" s="55" cm="1">
        <f t="array" ref="R354">(VLOOKUP($A354,'The List'!$B1:$AH671,30,FALSE)-AVERAGE('The List'!AE2:AE671))/STDEV('The List'!AE2:AE671)</f>
        <v>-0.38384682927940705</v>
      </c>
      <c r="S354" s="55" cm="1">
        <f t="array" ref="S354">(VLOOKUP($A354,'The List'!$B1:$AH671,31,FALSE)-AVERAGE('The List'!AF2:AF671))/STDEV('The List'!AF2:AF671)</f>
        <v>-0.59581850454342256</v>
      </c>
      <c r="T354" s="55" cm="1">
        <f t="array" ref="T354">(VLOOKUP($A354,'The List'!$B1:$AH671,32,FALSE)-AVERAGE('The List'!AG2:AG671))/STDEV('The List'!AG2:AG671)</f>
        <v>-0.64684275008198677</v>
      </c>
      <c r="U354" s="55" cm="1">
        <f t="array" ref="U354">(VLOOKUP($A354,'The List'!$B1:$AH671,33,FALSE)-AVERAGE('The List'!AH2:AH671))/STDEV('The List'!AH2:AH671)</f>
        <v>-1.2552626683789523</v>
      </c>
      <c r="V354" s="55"/>
      <c r="W354" s="77"/>
      <c r="X354" s="57"/>
      <c r="Y354" s="57"/>
      <c r="Z354" s="57"/>
      <c r="AA354" s="57"/>
      <c r="AB354" s="57"/>
      <c r="AC354" s="60"/>
      <c r="AD354" s="61"/>
      <c r="AE354" s="55"/>
    </row>
    <row r="355" spans="1:31" ht="21.25" customHeight="1" x14ac:dyDescent="0.15">
      <c r="A355" s="10" t="s">
        <v>664</v>
      </c>
      <c r="B355" s="18" t="str" cm="1">
        <f t="array" ref="B355">VLOOKUP(A355,'Player Data'!A1:B673,2,FALSE)</f>
        <v>COL</v>
      </c>
      <c r="C355" s="52" cm="1">
        <f t="array" ref="C355">((E355)*Settings!$C$12)+(F355*Settings!$C$2)+(G355*Settings!$C$3)+(H355*Settings!$C$4)+(I355*Settings!$C$5)+(K355*Settings!$C$9)+(N355*Settings!$C$6)+(J355*Settings!$C$8)+(O355*Settings!$C$7)+(P355*Settings!$C$14)+(Q355*Settings!$C$15)+(R355*Settings!$C$16)+(S355*Settings!$C$17)+(T355*Settings!$C$18)+(U355*Settings!$C$19)+(L355*Settings!$C$10)+(Settings!$C$11*M355)</f>
        <v>-0.9511738264205809</v>
      </c>
      <c r="D355" s="57" cm="1">
        <f t="array" ref="D355">IF(Settings!$E$12="YES",VLOOKUP(A355,'Player Data'!A1:E673,5,FALSE),82)</f>
        <v>80</v>
      </c>
      <c r="E355" s="55" cm="1">
        <f t="array" ref="E355">(VLOOKUP($A355,'The List'!$B1:$AH671,17,FALSE)-AVERAGE('The List'!R2:R671))/STDEV('The List'!R2:R671)</f>
        <v>-0.89565774199182402</v>
      </c>
      <c r="F355" s="55" cm="1">
        <f t="array" ref="F355">(VLOOKUP($A355,'The List'!$B1:$AH671,18,FALSE)-AVERAGE('The List'!S2:S671))/STDEV('The List'!S2:S671)</f>
        <v>-0.25480115723135599</v>
      </c>
      <c r="G355" s="55" cm="1">
        <f t="array" ref="G355">(VLOOKUP($A355,'The List'!$B1:$AH671,19,FALSE)-AVERAGE('The List'!T2:T671))/STDEV('The List'!T2:T671)</f>
        <v>-0.36929104552961806</v>
      </c>
      <c r="H355" s="55" cm="1">
        <f t="array" ref="H355">(VLOOKUP($A355,'The List'!$B1:$AH671,20,FALSE)-AVERAGE('The List'!U2:U671))/STDEV('The List'!U2:U671)</f>
        <v>-0.34518445789787533</v>
      </c>
      <c r="I355" s="55" cm="1">
        <f t="array" ref="I355">(VLOOKUP($A355,'The List'!$B1:$AH671,21,FALSE)-AVERAGE('The List'!V2:V671))/STDEV('The List'!V2:V671)</f>
        <v>-0.64988481866690506</v>
      </c>
      <c r="J355" s="55" cm="1">
        <f t="array" ref="J355">(VLOOKUP($A355,'The List'!$B1:$AH671,22,FALSE)-AVERAGE('The List'!W2:W671))/STDEV('The List'!W2:W671)</f>
        <v>-0.29662406329434943</v>
      </c>
      <c r="K355" s="55" cm="1">
        <f t="array" ref="K355">(VLOOKUP($A355,'The List'!$B1:$AH671,23,FALSE)-AVERAGE('The List'!X2:X671))/STDEV('The List'!X2:X671)</f>
        <v>-0.56036819855890552</v>
      </c>
      <c r="L355" s="55" cm="1">
        <f t="array" ref="L355">(VLOOKUP($A355,'The List'!$B1:$AH671,24,FALSE)-AVERAGE('The List'!Y2:Y671))/STDEV('The List'!Y2:Y671)</f>
        <v>-0.47546929358800777</v>
      </c>
      <c r="M355" s="55" cm="1">
        <f t="array" ref="M355">(VLOOKUP($A355,'The List'!$B1:$AH671,25,FALSE)-AVERAGE('The List'!Z2:Z671))/STDEV('The List'!Z2:Z671)</f>
        <v>0.22541077853858349</v>
      </c>
      <c r="N355" s="55" cm="1">
        <f t="array" ref="N355">(VLOOKUP($A355,'The List'!$B1:$AH671,26,FALSE)-AVERAGE('The List'!AA2:AA671))/STDEV('The List'!AA2:AA671)</f>
        <v>-0.49916647300701533</v>
      </c>
      <c r="O355" s="55" cm="1">
        <f t="array" ref="O355">(VLOOKUP($A355,'The List'!$B1:$AH671,27,FALSE)-AVERAGE('The List'!AB2:AB671))/STDEV('The List'!AB2:AB671)</f>
        <v>-0.22728675745305846</v>
      </c>
      <c r="P355" s="55" cm="1">
        <f t="array" ref="P355">(VLOOKUP($A355,'The List'!$B1:$AH671,28,FALSE)-AVERAGE('The List'!AC2:AC671))/STDEV('The List'!AC2:AC671)</f>
        <v>1.1104581510192622</v>
      </c>
      <c r="Q355" s="55" cm="1">
        <f t="array" ref="Q355">(VLOOKUP($A355,'The List'!$B1:$AH671,29,FALSE)-AVERAGE('The List'!AD2:AD671))/STDEV('The List'!AD2:AD671)</f>
        <v>-0.36415619089601353</v>
      </c>
      <c r="R355" s="55" cm="1">
        <f t="array" ref="R355">(VLOOKUP($A355,'The List'!$B1:$AH671,30,FALSE)-AVERAGE('The List'!AE2:AE671))/STDEV('The List'!AE2:AE671)</f>
        <v>-0.34641889533938031</v>
      </c>
      <c r="S355" s="55" cm="1">
        <f t="array" ref="S355">(VLOOKUP($A355,'The List'!$B1:$AH671,31,FALSE)-AVERAGE('The List'!AF2:AF671))/STDEV('The List'!AF2:AF671)</f>
        <v>1.1465008074598699</v>
      </c>
      <c r="T355" s="55" cm="1">
        <f t="array" ref="T355">(VLOOKUP($A355,'The List'!$B1:$AH671,32,FALSE)-AVERAGE('The List'!AG2:AG671))/STDEV('The List'!AG2:AG671)</f>
        <v>1.2434473216033708</v>
      </c>
      <c r="U355" s="55" cm="1">
        <f t="array" ref="U355">(VLOOKUP($A355,'The List'!$B1:$AH671,33,FALSE)-AVERAGE('The List'!AH2:AH671))/STDEV('The List'!AH2:AH671)</f>
        <v>0.99869933650975895</v>
      </c>
      <c r="V355" s="55"/>
      <c r="W355" s="77"/>
      <c r="X355" s="57"/>
      <c r="Y355" s="57"/>
      <c r="Z355" s="57"/>
      <c r="AA355" s="57"/>
      <c r="AB355" s="57"/>
      <c r="AC355" s="60"/>
      <c r="AD355" s="61"/>
      <c r="AE355" s="55"/>
    </row>
    <row r="356" spans="1:31" ht="21.25" customHeight="1" x14ac:dyDescent="0.15">
      <c r="A356" s="10" t="s">
        <v>400</v>
      </c>
      <c r="B356" s="18" t="str" cm="1">
        <f t="array" ref="B356">VLOOKUP(A356,'Player Data'!A1:B673,2,FALSE)</f>
        <v>T.B</v>
      </c>
      <c r="C356" s="52" cm="1">
        <f t="array" ref="C356">((E356)*Settings!$C$12)+(F356*Settings!$C$2)+(G356*Settings!$C$3)+(H356*Settings!$C$4)+(I356*Settings!$C$5)+(K356*Settings!$C$9)+(N356*Settings!$C$6)+(J356*Settings!$C$8)+(O356*Settings!$C$7)+(P356*Settings!$C$14)+(Q356*Settings!$C$15)+(R356*Settings!$C$16)+(S356*Settings!$C$17)+(T356*Settings!$C$18)+(U356*Settings!$C$19)+(L356*Settings!$C$10)+(Settings!$C$11*M356)</f>
        <v>-0.55429605781944713</v>
      </c>
      <c r="D356" s="57" cm="1">
        <f t="array" ref="D356">IF(Settings!$E$12="YES",VLOOKUP(A356,'Player Data'!A1:E673,5,FALSE),82)</f>
        <v>79</v>
      </c>
      <c r="E356" s="55" cm="1">
        <f t="array" ref="E356">(VLOOKUP($A356,'The List'!$B1:$AH671,17,FALSE)-AVERAGE('The List'!R2:R671))/STDEV('The List'!R2:R671)</f>
        <v>0.15362666503934194</v>
      </c>
      <c r="F356" s="55" cm="1">
        <f t="array" ref="F356">(VLOOKUP($A356,'The List'!$B1:$AH671,18,FALSE)-AVERAGE('The List'!S2:S671))/STDEV('The List'!S2:S671)</f>
        <v>-0.8206327403058753</v>
      </c>
      <c r="G356" s="55" cm="1">
        <f t="array" ref="G356">(VLOOKUP($A356,'The List'!$B1:$AH671,19,FALSE)-AVERAGE('The List'!T2:T671))/STDEV('The List'!T2:T671)</f>
        <v>-0.10787372442747394</v>
      </c>
      <c r="H356" s="55" cm="1">
        <f t="array" ref="H356">(VLOOKUP($A356,'The List'!$B1:$AH671,20,FALSE)-AVERAGE('The List'!U2:U671))/STDEV('The List'!U2:U671)</f>
        <v>-0.43138851960906122</v>
      </c>
      <c r="I356" s="55" cm="1">
        <f t="array" ref="I356">(VLOOKUP($A356,'The List'!$B1:$AH671,21,FALSE)-AVERAGE('The List'!V2:V671))/STDEV('The List'!V2:V671)</f>
        <v>-0.72365870910295949</v>
      </c>
      <c r="J356" s="55" cm="1">
        <f t="array" ref="J356">(VLOOKUP($A356,'The List'!$B1:$AH671,22,FALSE)-AVERAGE('The List'!W2:W671))/STDEV('The List'!W2:W671)</f>
        <v>-0.73853908386105271</v>
      </c>
      <c r="K356" s="55" cm="1">
        <f t="array" ref="K356">(VLOOKUP($A356,'The List'!$B1:$AH671,23,FALSE)-AVERAGE('The List'!X2:X671))/STDEV('The List'!X2:X671)</f>
        <v>-0.56338300860202462</v>
      </c>
      <c r="L356" s="55" cm="1">
        <f t="array" ref="L356">(VLOOKUP($A356,'The List'!$B1:$AH671,24,FALSE)-AVERAGE('The List'!Y2:Y671))/STDEV('The List'!Y2:Y671)</f>
        <v>-0.47546929358800777</v>
      </c>
      <c r="M356" s="55" cm="1">
        <f t="array" ref="M356">(VLOOKUP($A356,'The List'!$B1:$AH671,25,FALSE)-AVERAGE('The List'!Z2:Z671))/STDEV('The List'!Z2:Z671)</f>
        <v>-0.64388478613809508</v>
      </c>
      <c r="N356" s="55" cm="1">
        <f t="array" ref="N356">(VLOOKUP($A356,'The List'!$B1:$AH671,26,FALSE)-AVERAGE('The List'!AA2:AA671))/STDEV('The List'!AA2:AA671)</f>
        <v>0.51583131786960967</v>
      </c>
      <c r="O356" s="55" cm="1">
        <f t="array" ref="O356">(VLOOKUP($A356,'The List'!$B1:$AH671,27,FALSE)-AVERAGE('The List'!AB2:AB671))/STDEV('The List'!AB2:AB671)</f>
        <v>0.22307064616516084</v>
      </c>
      <c r="P356" s="55" cm="1">
        <f t="array" ref="P356">(VLOOKUP($A356,'The List'!$B1:$AH671,28,FALSE)-AVERAGE('The List'!AC2:AC671))/STDEV('The List'!AC2:AC671)</f>
        <v>1.438181478453725</v>
      </c>
      <c r="Q356" s="55" cm="1">
        <f t="array" ref="Q356">(VLOOKUP($A356,'The List'!$B1:$AH671,29,FALSE)-AVERAGE('The List'!AD2:AD671))/STDEV('The List'!AD2:AD671)</f>
        <v>2.4707880690589574</v>
      </c>
      <c r="R356" s="55" cm="1">
        <f t="array" ref="R356">(VLOOKUP($A356,'The List'!$B1:$AH671,30,FALSE)-AVERAGE('The List'!AE2:AE671))/STDEV('The List'!AE2:AE671)</f>
        <v>-0.85169600352974151</v>
      </c>
      <c r="S356" s="55" cm="1">
        <f t="array" ref="S356">(VLOOKUP($A356,'The List'!$B1:$AH671,31,FALSE)-AVERAGE('The List'!AF2:AF671))/STDEV('The List'!AF2:AF671)</f>
        <v>-0.59581850454342256</v>
      </c>
      <c r="T356" s="55" cm="1">
        <f t="array" ref="T356">(VLOOKUP($A356,'The List'!$B1:$AH671,32,FALSE)-AVERAGE('The List'!AG2:AG671))/STDEV('The List'!AG2:AG671)</f>
        <v>-0.64684275008198677</v>
      </c>
      <c r="U356" s="55" cm="1">
        <f t="array" ref="U356">(VLOOKUP($A356,'The List'!$B1:$AH671,33,FALSE)-AVERAGE('The List'!AH2:AH671))/STDEV('The List'!AH2:AH671)</f>
        <v>-1.2552626683789523</v>
      </c>
      <c r="V356" s="55"/>
      <c r="W356" s="57"/>
      <c r="X356" s="55"/>
      <c r="Y356" s="55"/>
      <c r="Z356" s="55"/>
      <c r="AA356" s="55"/>
      <c r="AB356" s="55"/>
      <c r="AC356" s="55"/>
      <c r="AD356" s="55"/>
      <c r="AE356" s="55"/>
    </row>
    <row r="357" spans="1:31" ht="21.25" customHeight="1" x14ac:dyDescent="0.15">
      <c r="A357" s="10" t="s">
        <v>683</v>
      </c>
      <c r="B357" s="18" t="str" cm="1">
        <f t="array" ref="B357">VLOOKUP(A357,'Player Data'!A1:B673,2,FALSE)</f>
        <v>DAL</v>
      </c>
      <c r="C357" s="52" cm="1">
        <f t="array" ref="C357">((E357)*Settings!$C$12)+(F357*Settings!$C$2)+(G357*Settings!$C$3)+(H357*Settings!$C$4)+(I357*Settings!$C$5)+(K357*Settings!$C$9)+(N357*Settings!$C$6)+(J357*Settings!$C$8)+(O357*Settings!$C$7)+(P357*Settings!$C$14)+(Q357*Settings!$C$15)+(R357*Settings!$C$16)+(S357*Settings!$C$17)+(T357*Settings!$C$18)+(U357*Settings!$C$19)+(L357*Settings!$C$10)+(Settings!$C$11*M357)</f>
        <v>-0.83151698307592525</v>
      </c>
      <c r="D357" s="57" cm="1">
        <f t="array" ref="D357">IF(Settings!$E$12="YES",VLOOKUP(A357,'Player Data'!A1:E673,5,FALSE),82)</f>
        <v>82</v>
      </c>
      <c r="E357" s="55" cm="1">
        <f t="array" ref="E357">(VLOOKUP($A357,'The List'!$B1:$AH671,17,FALSE)-AVERAGE('The List'!R2:R671))/STDEV('The List'!R2:R671)</f>
        <v>-0.73826508093714915</v>
      </c>
      <c r="F357" s="55" cm="1">
        <f t="array" ref="F357">(VLOOKUP($A357,'The List'!$B1:$AH671,18,FALSE)-AVERAGE('The List'!S2:S671))/STDEV('The List'!S2:S671)</f>
        <v>-0.22685885683261439</v>
      </c>
      <c r="G357" s="55" cm="1">
        <f t="array" ref="G357">(VLOOKUP($A357,'The List'!$B1:$AH671,19,FALSE)-AVERAGE('The List'!T2:T671))/STDEV('The List'!T2:T671)</f>
        <v>-0.16409250315911789</v>
      </c>
      <c r="H357" s="55" cm="1">
        <f t="array" ref="H357">(VLOOKUP($A357,'The List'!$B1:$AH671,20,FALSE)-AVERAGE('The List'!U2:U671))/STDEV('The List'!U2:U671)</f>
        <v>-0.20372138226926276</v>
      </c>
      <c r="I357" s="55" cm="1">
        <f t="array" ref="I357">(VLOOKUP($A357,'The List'!$B1:$AH671,21,FALSE)-AVERAGE('The List'!V2:V671))/STDEV('The List'!V2:V671)</f>
        <v>-0.48402314461863349</v>
      </c>
      <c r="J357" s="55" cm="1">
        <f t="array" ref="J357">(VLOOKUP($A357,'The List'!$B1:$AH671,22,FALSE)-AVERAGE('The List'!W2:W671))/STDEV('The List'!W2:W671)</f>
        <v>-0.51205763582061725</v>
      </c>
      <c r="K357" s="55" cm="1">
        <f t="array" ref="K357">(VLOOKUP($A357,'The List'!$B1:$AH671,23,FALSE)-AVERAGE('The List'!X2:X671))/STDEV('The List'!X2:X671)</f>
        <v>-0.63674338631792282</v>
      </c>
      <c r="L357" s="55" cm="1">
        <f t="array" ref="L357">(VLOOKUP($A357,'The List'!$B1:$AH671,24,FALSE)-AVERAGE('The List'!Y2:Y671))/STDEV('The List'!Y2:Y671)</f>
        <v>-0.47546929358800777</v>
      </c>
      <c r="M357" s="55" cm="1">
        <f t="array" ref="M357">(VLOOKUP($A357,'The List'!$B1:$AH671,25,FALSE)-AVERAGE('The List'!Z2:Z671))/STDEV('The List'!Z2:Z671)</f>
        <v>0.24714316765550046</v>
      </c>
      <c r="N357" s="55" cm="1">
        <f t="array" ref="N357">(VLOOKUP($A357,'The List'!$B1:$AH671,26,FALSE)-AVERAGE('The List'!AA2:AA671))/STDEV('The List'!AA2:AA671)</f>
        <v>-0.78522523641461961</v>
      </c>
      <c r="O357" s="55" cm="1">
        <f t="array" ref="O357">(VLOOKUP($A357,'The List'!$B1:$AH671,27,FALSE)-AVERAGE('The List'!AB2:AB671))/STDEV('The List'!AB2:AB671)</f>
        <v>-0.1047042688942532</v>
      </c>
      <c r="P357" s="55" cm="1">
        <f t="array" ref="P357">(VLOOKUP($A357,'The List'!$B1:$AH671,28,FALSE)-AVERAGE('The List'!AC2:AC671))/STDEV('The List'!AC2:AC671)</f>
        <v>0.78490517674661642</v>
      </c>
      <c r="Q357" s="55" cm="1">
        <f t="array" ref="Q357">(VLOOKUP($A357,'The List'!$B1:$AH671,29,FALSE)-AVERAGE('The List'!AD2:AD671))/STDEV('The List'!AD2:AD671)</f>
        <v>-0.31391480187413762</v>
      </c>
      <c r="R357" s="55" cm="1">
        <f t="array" ref="R357">(VLOOKUP($A357,'The List'!$B1:$AH671,30,FALSE)-AVERAGE('The List'!AE2:AE671))/STDEV('The List'!AE2:AE671)</f>
        <v>-0.32146693937936244</v>
      </c>
      <c r="S357" s="55" cm="1">
        <f t="array" ref="S357">(VLOOKUP($A357,'The List'!$B1:$AH671,31,FALSE)-AVERAGE('The List'!AF2:AF671))/STDEV('The List'!AF2:AF671)</f>
        <v>5.8608936819403538E-2</v>
      </c>
      <c r="T357" s="55" cm="1">
        <f t="array" ref="T357">(VLOOKUP($A357,'The List'!$B1:$AH671,32,FALSE)-AVERAGE('The List'!AG2:AG671))/STDEV('The List'!AG2:AG671)</f>
        <v>3.9459109637902272E-2</v>
      </c>
      <c r="U357" s="55" cm="1">
        <f t="array" ref="U357">(VLOOKUP($A357,'The List'!$B1:$AH671,33,FALSE)-AVERAGE('The List'!AH2:AH671))/STDEV('The List'!AH2:AH671)</f>
        <v>1.0446985610993245</v>
      </c>
      <c r="V357" s="55"/>
      <c r="W357" s="57"/>
      <c r="X357" s="55"/>
      <c r="Y357" s="55"/>
      <c r="Z357" s="55"/>
      <c r="AA357" s="55"/>
      <c r="AB357" s="55"/>
      <c r="AC357" s="55"/>
      <c r="AD357" s="55"/>
      <c r="AE357" s="55"/>
    </row>
    <row r="358" spans="1:31" ht="21.25" customHeight="1" x14ac:dyDescent="0.15">
      <c r="A358" s="10" t="s">
        <v>340</v>
      </c>
      <c r="B358" s="18" t="str" cm="1">
        <f t="array" ref="B358">VLOOKUP(A358,'Player Data'!A1:B673,2,FALSE)</f>
        <v>S.J</v>
      </c>
      <c r="C358" s="52" cm="1">
        <f t="array" ref="C358">((E358)*Settings!$C$12)+(F358*Settings!$C$2)+(G358*Settings!$C$3)+(H358*Settings!$C$4)+(I358*Settings!$C$5)+(K358*Settings!$C$9)+(N358*Settings!$C$6)+(J358*Settings!$C$8)+(O358*Settings!$C$7)+(P358*Settings!$C$14)+(Q358*Settings!$C$15)+(R358*Settings!$C$16)+(S358*Settings!$C$17)+(T358*Settings!$C$18)+(U358*Settings!$C$19)+(L358*Settings!$C$10)+(Settings!$C$11*M358)</f>
        <v>-3.1267729156465571</v>
      </c>
      <c r="D358" s="57" cm="1">
        <f t="array" ref="D358">IF(Settings!$E$12="YES",VLOOKUP(A358,'Player Data'!A1:E673,5,FALSE),82)</f>
        <v>80</v>
      </c>
      <c r="E358" s="55" cm="1">
        <f t="array" ref="E358">(VLOOKUP($A358,'The List'!$B1:$AH671,17,FALSE)-AVERAGE('The List'!R2:R671))/STDEV('The List'!R2:R671)</f>
        <v>0.80942941943382096</v>
      </c>
      <c r="F358" s="55" cm="1">
        <f t="array" ref="F358">(VLOOKUP($A358,'The List'!$B1:$AH671,18,FALSE)-AVERAGE('The List'!S2:S671))/STDEV('The List'!S2:S671)</f>
        <v>-1.0212185395968425</v>
      </c>
      <c r="G358" s="55" cm="1">
        <f t="array" ref="G358">(VLOOKUP($A358,'The List'!$B1:$AH671,19,FALSE)-AVERAGE('The List'!T2:T671))/STDEV('The List'!T2:T671)</f>
        <v>-0.17814719784202881</v>
      </c>
      <c r="H358" s="55" cm="1">
        <f t="array" ref="H358">(VLOOKUP($A358,'The List'!$B1:$AH671,20,FALSE)-AVERAGE('The List'!U2:U671))/STDEV('The List'!U2:U671)</f>
        <v>-0.56445222512222515</v>
      </c>
      <c r="I358" s="55" cm="1">
        <f t="array" ref="I358">(VLOOKUP($A358,'The List'!$B1:$AH671,21,FALSE)-AVERAGE('The List'!V2:V671))/STDEV('The List'!V2:V671)</f>
        <v>-0.44255772610656519</v>
      </c>
      <c r="J358" s="55" cm="1">
        <f t="array" ref="J358">(VLOOKUP($A358,'The List'!$B1:$AH671,22,FALSE)-AVERAGE('The List'!W2:W671))/STDEV('The List'!W2:W671)</f>
        <v>-0.49548582254936591</v>
      </c>
      <c r="K358" s="55" cm="1">
        <f t="array" ref="K358">(VLOOKUP($A358,'The List'!$B1:$AH671,23,FALSE)-AVERAGE('The List'!X2:X671))/STDEV('The List'!X2:X671)</f>
        <v>-0.53624971821395262</v>
      </c>
      <c r="L358" s="55" cm="1">
        <f t="array" ref="L358">(VLOOKUP($A358,'The List'!$B1:$AH671,24,FALSE)-AVERAGE('The List'!Y2:Y671))/STDEV('The List'!Y2:Y671)</f>
        <v>-0.47546929358800777</v>
      </c>
      <c r="M358" s="55" cm="1">
        <f t="array" ref="M358">(VLOOKUP($A358,'The List'!$B1:$AH671,25,FALSE)-AVERAGE('The List'!Z2:Z671))/STDEV('The List'!Z2:Z671)</f>
        <v>-0.64388478613809508</v>
      </c>
      <c r="N358" s="55" cm="1">
        <f t="array" ref="N358">(VLOOKUP($A358,'The List'!$B1:$AH671,26,FALSE)-AVERAGE('The List'!AA2:AA671))/STDEV('The List'!AA2:AA671)</f>
        <v>0.68593411825305972</v>
      </c>
      <c r="O358" s="55" cm="1">
        <f t="array" ref="O358">(VLOOKUP($A358,'The List'!$B1:$AH671,27,FALSE)-AVERAGE('The List'!AB2:AB671))/STDEV('The List'!AB2:AB671)</f>
        <v>-7.9695801328744181E-2</v>
      </c>
      <c r="P358" s="55" cm="1">
        <f t="array" ref="P358">(VLOOKUP($A358,'The List'!$B1:$AH671,28,FALSE)-AVERAGE('The List'!AC2:AC671))/STDEV('The List'!AC2:AC671)</f>
        <v>-0.86890393255842369</v>
      </c>
      <c r="Q358" s="55" cm="1">
        <f t="array" ref="Q358">(VLOOKUP($A358,'The List'!$B1:$AH671,29,FALSE)-AVERAGE('The List'!AD2:AD671))/STDEV('The List'!AD2:AD671)</f>
        <v>4.9596424578258712E-2</v>
      </c>
      <c r="R358" s="55" cm="1">
        <f t="array" ref="R358">(VLOOKUP($A358,'The List'!$B1:$AH671,30,FALSE)-AVERAGE('The List'!AE2:AE671))/STDEV('The List'!AE2:AE671)</f>
        <v>-0.79555410261970128</v>
      </c>
      <c r="S358" s="55" cm="1">
        <f t="array" ref="S358">(VLOOKUP($A358,'The List'!$B1:$AH671,31,FALSE)-AVERAGE('The List'!AF2:AF671))/STDEV('The List'!AF2:AF671)</f>
        <v>-0.59581850454342256</v>
      </c>
      <c r="T358" s="55" cm="1">
        <f t="array" ref="T358">(VLOOKUP($A358,'The List'!$B1:$AH671,32,FALSE)-AVERAGE('The List'!AG2:AG671))/STDEV('The List'!AG2:AG671)</f>
        <v>-0.64684275008198677</v>
      </c>
      <c r="U358" s="55" cm="1">
        <f t="array" ref="U358">(VLOOKUP($A358,'The List'!$B1:$AH671,33,FALSE)-AVERAGE('The List'!AH2:AH671))/STDEV('The List'!AH2:AH671)</f>
        <v>-1.2552626683789523</v>
      </c>
      <c r="V358" s="55"/>
      <c r="W358" s="57"/>
      <c r="X358" s="55"/>
      <c r="Y358" s="55"/>
      <c r="Z358" s="55"/>
      <c r="AA358" s="55"/>
      <c r="AB358" s="55"/>
      <c r="AC358" s="55"/>
      <c r="AD358" s="55"/>
      <c r="AE358" s="55"/>
    </row>
    <row r="359" spans="1:31" ht="21.25" customHeight="1" x14ac:dyDescent="0.15">
      <c r="A359" s="10" t="s">
        <v>670</v>
      </c>
      <c r="B359" s="18" t="str" cm="1">
        <f t="array" ref="B359">VLOOKUP(A359,'Player Data'!A1:B673,2,FALSE)</f>
        <v>TOR</v>
      </c>
      <c r="C359" s="52" cm="1">
        <f t="array" ref="C359">((E359)*Settings!$C$12)+(F359*Settings!$C$2)+(G359*Settings!$C$3)+(H359*Settings!$C$4)+(I359*Settings!$C$5)+(K359*Settings!$C$9)+(N359*Settings!$C$6)+(J359*Settings!$C$8)+(O359*Settings!$C$7)+(P359*Settings!$C$14)+(Q359*Settings!$C$15)+(R359*Settings!$C$16)+(S359*Settings!$C$17)+(T359*Settings!$C$18)+(U359*Settings!$C$19)+(L359*Settings!$C$10)+(Settings!$C$11*M359)</f>
        <v>-3.5421308083116156</v>
      </c>
      <c r="D359" s="57" cm="1">
        <f t="array" ref="D359">IF(Settings!$E$12="YES",VLOOKUP(A359,'Player Data'!A1:E673,5,FALSE),82)</f>
        <v>82</v>
      </c>
      <c r="E359" s="55" cm="1">
        <f t="array" ref="E359">(VLOOKUP($A359,'The List'!$B1:$AH671,17,FALSE)-AVERAGE('The List'!R2:R671))/STDEV('The List'!R2:R671)</f>
        <v>-1.1055146233980575</v>
      </c>
      <c r="F359" s="55" cm="1">
        <f t="array" ref="F359">(VLOOKUP($A359,'The List'!$B1:$AH671,18,FALSE)-AVERAGE('The List'!S2:S671))/STDEV('The List'!S2:S671)</f>
        <v>-0.55418294721787409</v>
      </c>
      <c r="G359" s="55" cm="1">
        <f t="array" ref="G359">(VLOOKUP($A359,'The List'!$B1:$AH671,19,FALSE)-AVERAGE('The List'!T2:T671))/STDEV('The List'!T2:T671)</f>
        <v>-0.39458949595885801</v>
      </c>
      <c r="H359" s="55" cm="1">
        <f t="array" ref="H359">(VLOOKUP($A359,'The List'!$B1:$AH671,20,FALSE)-AVERAGE('The List'!U2:U671))/STDEV('The List'!U2:U671)</f>
        <v>-0.49372068730791874</v>
      </c>
      <c r="I359" s="55" cm="1">
        <f t="array" ref="I359">(VLOOKUP($A359,'The List'!$B1:$AH671,21,FALSE)-AVERAGE('The List'!V2:V671))/STDEV('The List'!V2:V671)</f>
        <v>-0.59736195521828572</v>
      </c>
      <c r="J359" s="55" cm="1">
        <f t="array" ref="J359">(VLOOKUP($A359,'The List'!$B1:$AH671,22,FALSE)-AVERAGE('The List'!W2:W671))/STDEV('The List'!W2:W671)</f>
        <v>-0.73853908386105271</v>
      </c>
      <c r="K359" s="55" cm="1">
        <f t="array" ref="K359">(VLOOKUP($A359,'The List'!$B1:$AH671,23,FALSE)-AVERAGE('The List'!X2:X671))/STDEV('The List'!X2:X671)</f>
        <v>-0.80155300200843405</v>
      </c>
      <c r="L359" s="55" cm="1">
        <f t="array" ref="L359">(VLOOKUP($A359,'The List'!$B1:$AH671,24,FALSE)-AVERAGE('The List'!Y2:Y671))/STDEV('The List'!Y2:Y671)</f>
        <v>-0.47546929358800777</v>
      </c>
      <c r="M359" s="55" cm="1">
        <f t="array" ref="M359">(VLOOKUP($A359,'The List'!$B1:$AH671,25,FALSE)-AVERAGE('The List'!Z2:Z671))/STDEV('The List'!Z2:Z671)</f>
        <v>-0.64388478613809508</v>
      </c>
      <c r="N359" s="55" cm="1">
        <f t="array" ref="N359">(VLOOKUP($A359,'The List'!$B1:$AH671,26,FALSE)-AVERAGE('The List'!AA2:AA671))/STDEV('The List'!AA2:AA671)</f>
        <v>-0.82711241248501877</v>
      </c>
      <c r="O359" s="55" cm="1">
        <f t="array" ref="O359">(VLOOKUP($A359,'The List'!$B1:$AH671,27,FALSE)-AVERAGE('The List'!AB2:AB671))/STDEV('The List'!AB2:AB671)</f>
        <v>-0.91153482904050254</v>
      </c>
      <c r="P359" s="55" cm="1">
        <f t="array" ref="P359">(VLOOKUP($A359,'The List'!$B1:$AH671,28,FALSE)-AVERAGE('The List'!AC2:AC671))/STDEV('The List'!AC2:AC671)</f>
        <v>-0.28290857886766141</v>
      </c>
      <c r="Q359" s="55" cm="1">
        <f t="array" ref="Q359">(VLOOKUP($A359,'The List'!$B1:$AH671,29,FALSE)-AVERAGE('The List'!AD2:AD671))/STDEV('The List'!AD2:AD671)</f>
        <v>1.5642265347965789</v>
      </c>
      <c r="R359" s="55" cm="1">
        <f t="array" ref="R359">(VLOOKUP($A359,'The List'!$B1:$AH671,30,FALSE)-AVERAGE('The List'!AE2:AE671))/STDEV('The List'!AE2:AE671)</f>
        <v>-0.83298203655972802</v>
      </c>
      <c r="S359" s="55" cm="1">
        <f t="array" ref="S359">(VLOOKUP($A359,'The List'!$B1:$AH671,31,FALSE)-AVERAGE('The List'!AF2:AF671))/STDEV('The List'!AF2:AF671)</f>
        <v>0.38188032351670309</v>
      </c>
      <c r="T359" s="55" cm="1">
        <f t="array" ref="T359">(VLOOKUP($A359,'The List'!$B1:$AH671,32,FALSE)-AVERAGE('The List'!AG2:AG671))/STDEV('The List'!AG2:AG671)</f>
        <v>0.36587096974858124</v>
      </c>
      <c r="U359" s="55" cm="1">
        <f t="array" ref="U359">(VLOOKUP($A359,'The List'!$B1:$AH671,33,FALSE)-AVERAGE('The List'!AH2:AH671))/STDEV('The List'!AH2:AH671)</f>
        <v>1.09069778568889</v>
      </c>
      <c r="V359" s="55"/>
      <c r="W359" s="57"/>
      <c r="X359" s="55"/>
      <c r="Y359" s="55"/>
      <c r="Z359" s="55"/>
      <c r="AA359" s="55"/>
      <c r="AB359" s="55"/>
      <c r="AC359" s="55"/>
      <c r="AD359" s="55"/>
      <c r="AE359" s="55"/>
    </row>
    <row r="360" spans="1:31" ht="21.25" customHeight="1" x14ac:dyDescent="0.15">
      <c r="A360" s="10" t="s">
        <v>682</v>
      </c>
      <c r="B360" s="18" t="str" cm="1">
        <f t="array" ref="B360">VLOOKUP(A360,'Player Data'!A1:B673,2,FALSE)</f>
        <v>BUF</v>
      </c>
      <c r="C360" s="52" cm="1">
        <f t="array" ref="C360">((E360)*Settings!$C$12)+(F360*Settings!$C$2)+(G360*Settings!$C$3)+(H360*Settings!$C$4)+(I360*Settings!$C$5)+(K360*Settings!$C$9)+(N360*Settings!$C$6)+(J360*Settings!$C$8)+(O360*Settings!$C$7)+(P360*Settings!$C$14)+(Q360*Settings!$C$15)+(R360*Settings!$C$16)+(S360*Settings!$C$17)+(T360*Settings!$C$18)+(U360*Settings!$C$19)+(L360*Settings!$C$10)+(Settings!$C$11*M360)</f>
        <v>-0.54275777847077866</v>
      </c>
      <c r="D360" s="57" cm="1">
        <f t="array" ref="D360">IF(Settings!$E$12="YES",VLOOKUP(A360,'Player Data'!A1:E673,5,FALSE),82)</f>
        <v>84</v>
      </c>
      <c r="E360" s="55" cm="1">
        <f t="array" ref="E360">(VLOOKUP($A360,'The List'!$B1:$AH671,17,FALSE)-AVERAGE('The List'!R2:R671))/STDEV('The List'!R2:R671)</f>
        <v>-1.2104430641011743</v>
      </c>
      <c r="F360" s="55" cm="1">
        <f t="array" ref="F360">(VLOOKUP($A360,'The List'!$B1:$AH671,18,FALSE)-AVERAGE('The List'!S2:S671))/STDEV('The List'!S2:S671)</f>
        <v>-0.36657035882632288</v>
      </c>
      <c r="G360" s="55" cm="1">
        <f t="array" ref="G360">(VLOOKUP($A360,'The List'!$B1:$AH671,19,FALSE)-AVERAGE('The List'!T2:T671))/STDEV('The List'!T2:T671)</f>
        <v>-0.24560973232000158</v>
      </c>
      <c r="H360" s="55" cm="1">
        <f t="array" ref="H360">(VLOOKUP($A360,'The List'!$B1:$AH671,20,FALSE)-AVERAGE('The List'!U2:U671))/STDEV('The List'!U2:U671)</f>
        <v>-0.31689184277215277</v>
      </c>
      <c r="I360" s="55" cm="1">
        <f t="array" ref="I360">(VLOOKUP($A360,'The List'!$B1:$AH671,21,FALSE)-AVERAGE('The List'!V2:V671))/STDEV('The List'!V2:V671)</f>
        <v>-0.67476406977414605</v>
      </c>
      <c r="J360" s="55" cm="1">
        <f t="array" ref="J360">(VLOOKUP($A360,'The List'!$B1:$AH671,22,FALSE)-AVERAGE('The List'!W2:W671))/STDEV('The List'!W2:W671)</f>
        <v>-0.73853908386105271</v>
      </c>
      <c r="K360" s="55" cm="1">
        <f t="array" ref="K360">(VLOOKUP($A360,'The List'!$B1:$AH671,23,FALSE)-AVERAGE('The List'!X2:X671))/STDEV('The List'!X2:X671)</f>
        <v>-0.80155300200843405</v>
      </c>
      <c r="L360" s="55" cm="1">
        <f t="array" ref="L360">(VLOOKUP($A360,'The List'!$B1:$AH671,24,FALSE)-AVERAGE('The List'!Y2:Y671))/STDEV('The List'!Y2:Y671)</f>
        <v>-0.47546929358800777</v>
      </c>
      <c r="M360" s="55" cm="1">
        <f t="array" ref="M360">(VLOOKUP($A360,'The List'!$B1:$AH671,25,FALSE)-AVERAGE('The List'!Z2:Z671))/STDEV('The List'!Z2:Z671)</f>
        <v>0.26887555677241731</v>
      </c>
      <c r="N360" s="55" cm="1">
        <f t="array" ref="N360">(VLOOKUP($A360,'The List'!$B1:$AH671,26,FALSE)-AVERAGE('The List'!AA2:AA671))/STDEV('The List'!AA2:AA671)</f>
        <v>-0.67897483857750951</v>
      </c>
      <c r="O360" s="55" cm="1">
        <f t="array" ref="O360">(VLOOKUP($A360,'The List'!$B1:$AH671,27,FALSE)-AVERAGE('The List'!AB2:AB671))/STDEV('The List'!AB2:AB671)</f>
        <v>1.4683693384640593</v>
      </c>
      <c r="P360" s="55" cm="1">
        <f t="array" ref="P360">(VLOOKUP($A360,'The List'!$B1:$AH671,28,FALSE)-AVERAGE('The List'!AC2:AC671))/STDEV('The List'!AC2:AC671)</f>
        <v>7.7370045994066453E-2</v>
      </c>
      <c r="Q360" s="55" cm="1">
        <f t="array" ref="Q360">(VLOOKUP($A360,'The List'!$B1:$AH671,29,FALSE)-AVERAGE('The List'!AD2:AD671))/STDEV('The List'!AD2:AD671)</f>
        <v>0.85345864892827439</v>
      </c>
      <c r="R360" s="55" cm="1">
        <f t="array" ref="R360">(VLOOKUP($A360,'The List'!$B1:$AH671,30,FALSE)-AVERAGE('The List'!AE2:AE671))/STDEV('The List'!AE2:AE671)</f>
        <v>-0.29651498341934474</v>
      </c>
      <c r="S360" s="55" cm="1">
        <f t="array" ref="S360">(VLOOKUP($A360,'The List'!$B1:$AH671,31,FALSE)-AVERAGE('The List'!AF2:AF671))/STDEV('The List'!AF2:AF671)</f>
        <v>0.4824579173553038</v>
      </c>
      <c r="T360" s="55" cm="1">
        <f t="array" ref="T360">(VLOOKUP($A360,'The List'!$B1:$AH671,32,FALSE)-AVERAGE('The List'!AG2:AG671))/STDEV('The List'!AG2:AG671)</f>
        <v>0.68207608001214715</v>
      </c>
      <c r="U360" s="55" cm="1">
        <f t="array" ref="U360">(VLOOKUP($A360,'The List'!$B1:$AH671,33,FALSE)-AVERAGE('The List'!AH2:AH671))/STDEV('The List'!AH2:AH671)</f>
        <v>0.86070166274106241</v>
      </c>
      <c r="V360" s="55"/>
      <c r="W360" s="77"/>
      <c r="X360" s="57"/>
      <c r="Y360" s="57"/>
      <c r="Z360" s="57"/>
      <c r="AA360" s="57"/>
      <c r="AB360" s="57"/>
      <c r="AC360" s="60"/>
      <c r="AD360" s="61"/>
      <c r="AE360" s="55"/>
    </row>
    <row r="361" spans="1:31" ht="21.25" customHeight="1" x14ac:dyDescent="0.15">
      <c r="A361" s="10" t="s">
        <v>692</v>
      </c>
      <c r="B361" s="18" t="str" cm="1">
        <f t="array" ref="B361">VLOOKUP(A361,'Player Data'!A1:B673,2,FALSE)</f>
        <v>MIN</v>
      </c>
      <c r="C361" s="52" cm="1">
        <f t="array" ref="C361">((E361)*Settings!$C$12)+(F361*Settings!$C$2)+(G361*Settings!$C$3)+(H361*Settings!$C$4)+(I361*Settings!$C$5)+(K361*Settings!$C$9)+(N361*Settings!$C$6)+(J361*Settings!$C$8)+(O361*Settings!$C$7)+(P361*Settings!$C$14)+(Q361*Settings!$C$15)+(R361*Settings!$C$16)+(S361*Settings!$C$17)+(T361*Settings!$C$18)+(U361*Settings!$C$19)+(L361*Settings!$C$10)+(Settings!$C$11*M361)</f>
        <v>-2.0105980973910089</v>
      </c>
      <c r="D361" s="57" cm="1">
        <f t="array" ref="D361">IF(Settings!$E$12="YES",VLOOKUP(A361,'Player Data'!A1:E673,5,FALSE),82)</f>
        <v>68</v>
      </c>
      <c r="E361" s="55" cm="1">
        <f t="array" ref="E361">(VLOOKUP($A361,'The List'!$B1:$AH671,17,FALSE)-AVERAGE('The List'!R2:R671))/STDEV('The List'!R2:R671)</f>
        <v>-0.97435407251916173</v>
      </c>
      <c r="F361" s="55" cm="1">
        <f t="array" ref="F361">(VLOOKUP($A361,'The List'!$B1:$AH671,18,FALSE)-AVERAGE('The List'!S2:S671))/STDEV('The List'!S2:S671)</f>
        <v>-0.35459508722686223</v>
      </c>
      <c r="G361" s="55" cm="1">
        <f t="array" ref="G361">(VLOOKUP($A361,'The List'!$B1:$AH671,19,FALSE)-AVERAGE('The List'!T2:T671))/STDEV('The List'!T2:T671)</f>
        <v>-0.32431602254430286</v>
      </c>
      <c r="H361" s="55" cm="1">
        <f t="array" ref="H361">(VLOOKUP($A361,'The List'!$B1:$AH671,20,FALSE)-AVERAGE('The List'!U2:U671))/STDEV('The List'!U2:U671)</f>
        <v>-0.36109905390609426</v>
      </c>
      <c r="I361" s="55" cm="1">
        <f t="array" ref="I361">(VLOOKUP($A361,'The List'!$B1:$AH671,21,FALSE)-AVERAGE('The List'!V2:V671))/STDEV('The List'!V2:V671)</f>
        <v>-0.51581329881121873</v>
      </c>
      <c r="J361" s="55" cm="1">
        <f t="array" ref="J361">(VLOOKUP($A361,'The List'!$B1:$AH671,22,FALSE)-AVERAGE('The List'!W2:W671))/STDEV('The List'!W2:W671)</f>
        <v>-0.55072520012020376</v>
      </c>
      <c r="K361" s="55" cm="1">
        <f t="array" ref="K361">(VLOOKUP($A361,'The List'!$B1:$AH671,23,FALSE)-AVERAGE('The List'!X2:X671))/STDEV('The List'!X2:X671)</f>
        <v>-0.25486744752283613</v>
      </c>
      <c r="L361" s="55" cm="1">
        <f t="array" ref="L361">(VLOOKUP($A361,'The List'!$B1:$AH671,24,FALSE)-AVERAGE('The List'!Y2:Y671))/STDEV('The List'!Y2:Y671)</f>
        <v>-0.47546929358800777</v>
      </c>
      <c r="M361" s="55" cm="1">
        <f t="array" ref="M361">(VLOOKUP($A361,'The List'!$B1:$AH671,25,FALSE)-AVERAGE('The List'!Z2:Z671))/STDEV('The List'!Z2:Z671)</f>
        <v>-0.64388478613809508</v>
      </c>
      <c r="N361" s="55" cm="1">
        <f t="array" ref="N361">(VLOOKUP($A361,'The List'!$B1:$AH671,26,FALSE)-AVERAGE('The List'!AA2:AA671))/STDEV('The List'!AA2:AA671)</f>
        <v>-0.9108867646258173</v>
      </c>
      <c r="O361" s="55" cm="1">
        <f t="array" ref="O361">(VLOOKUP($A361,'The List'!$B1:$AH671,27,FALSE)-AVERAGE('The List'!AB2:AB671))/STDEV('The List'!AB2:AB671)</f>
        <v>-0.75123465169437265</v>
      </c>
      <c r="P361" s="55" cm="1">
        <f t="array" ref="P361">(VLOOKUP($A361,'The List'!$B1:$AH671,28,FALSE)-AVERAGE('The List'!AC2:AC671))/STDEV('The List'!AC2:AC671)</f>
        <v>0.19022841040858365</v>
      </c>
      <c r="Q361" s="55" cm="1">
        <f t="array" ref="Q361">(VLOOKUP($A361,'The List'!$B1:$AH671,29,FALSE)-AVERAGE('The List'!AD2:AD671))/STDEV('The List'!AD2:AD671)</f>
        <v>-1.318742582311657</v>
      </c>
      <c r="R361" s="55" cm="1">
        <f t="array" ref="R361">(VLOOKUP($A361,'The List'!$B1:$AH671,30,FALSE)-AVERAGE('The List'!AE2:AE671))/STDEV('The List'!AE2:AE671)</f>
        <v>-7.194737977918414E-2</v>
      </c>
      <c r="S361" s="55" cm="1">
        <f t="array" ref="S361">(VLOOKUP($A361,'The List'!$B1:$AH671,31,FALSE)-AVERAGE('The List'!AF2:AF671))/STDEV('The List'!AF2:AF671)</f>
        <v>-0.59581850454342256</v>
      </c>
      <c r="T361" s="55" cm="1">
        <f t="array" ref="T361">(VLOOKUP($A361,'The List'!$B1:$AH671,32,FALSE)-AVERAGE('The List'!AG2:AG671))/STDEV('The List'!AG2:AG671)</f>
        <v>-0.63296157028991284</v>
      </c>
      <c r="U361" s="55" cm="1">
        <f t="array" ref="U361">(VLOOKUP($A361,'The List'!$B1:$AH671,33,FALSE)-AVERAGE('The List'!AH2:AH671))/STDEV('The List'!AH2:AH671)</f>
        <v>-1.2552626683789523</v>
      </c>
      <c r="V361" s="55"/>
      <c r="W361" s="57"/>
      <c r="X361" s="55"/>
      <c r="Y361" s="55"/>
      <c r="Z361" s="55"/>
      <c r="AA361" s="55"/>
      <c r="AB361" s="55"/>
      <c r="AC361" s="55"/>
      <c r="AD361" s="55"/>
      <c r="AE361" s="55"/>
    </row>
    <row r="362" spans="1:31" ht="21.25" customHeight="1" x14ac:dyDescent="0.15">
      <c r="A362" s="10" t="s">
        <v>639</v>
      </c>
      <c r="B362" s="18" t="str" cm="1">
        <f t="array" ref="B362">VLOOKUP(A362,'Player Data'!A1:B673,2,FALSE)</f>
        <v>DET</v>
      </c>
      <c r="C362" s="52" cm="1">
        <f t="array" ref="C362">((E362)*Settings!$C$12)+(F362*Settings!$C$2)+(G362*Settings!$C$3)+(H362*Settings!$C$4)+(I362*Settings!$C$5)+(K362*Settings!$C$9)+(N362*Settings!$C$6)+(J362*Settings!$C$8)+(O362*Settings!$C$7)+(P362*Settings!$C$14)+(Q362*Settings!$C$15)+(R362*Settings!$C$16)+(S362*Settings!$C$17)+(T362*Settings!$C$18)+(U362*Settings!$C$19)+(L362*Settings!$C$10)+(Settings!$C$11*M362)</f>
        <v>-4.0797476339348249</v>
      </c>
      <c r="D362" s="57" cm="1">
        <f t="array" ref="D362">IF(Settings!$E$12="YES",VLOOKUP(A362,'Player Data'!A1:E673,5,FALSE),82)</f>
        <v>83</v>
      </c>
      <c r="E362" s="55" cm="1">
        <f t="array" ref="E362">(VLOOKUP($A362,'The List'!$B1:$AH671,17,FALSE)-AVERAGE('The List'!R2:R671))/STDEV('The List'!R2:R671)</f>
        <v>-0.63333664023403247</v>
      </c>
      <c r="F362" s="55" cm="1">
        <f t="array" ref="F362">(VLOOKUP($A362,'The List'!$B1:$AH671,18,FALSE)-AVERAGE('The List'!S2:S671))/STDEV('The List'!S2:S671)</f>
        <v>-0.37854563042578371</v>
      </c>
      <c r="G362" s="55" cm="1">
        <f t="array" ref="G362">(VLOOKUP($A362,'The List'!$B1:$AH671,19,FALSE)-AVERAGE('The List'!T2:T671))/STDEV('The List'!T2:T671)</f>
        <v>-0.55411028060989753</v>
      </c>
      <c r="H362" s="55" cm="1">
        <f t="array" ref="H362">(VLOOKUP($A362,'The List'!$B1:$AH671,20,FALSE)-AVERAGE('The List'!U2:U671))/STDEV('The List'!U2:U671)</f>
        <v>-0.51626636498622913</v>
      </c>
      <c r="I362" s="55" cm="1">
        <f t="array" ref="I362">(VLOOKUP($A362,'The List'!$B1:$AH671,21,FALSE)-AVERAGE('The List'!V2:V671))/STDEV('The List'!V2:V671)</f>
        <v>-0.75009291340440276</v>
      </c>
      <c r="J362" s="55" cm="1">
        <f t="array" ref="J362">(VLOOKUP($A362,'The List'!$B1:$AH671,22,FALSE)-AVERAGE('The List'!W2:W671))/STDEV('The List'!W2:W671)</f>
        <v>-0.28005225002309803</v>
      </c>
      <c r="K362" s="55" cm="1">
        <f t="array" ref="K362">(VLOOKUP($A362,'The List'!$B1:$AH671,23,FALSE)-AVERAGE('The List'!X2:X671))/STDEV('The List'!X2:X671)</f>
        <v>-0.55132376842954822</v>
      </c>
      <c r="L362" s="55" cm="1">
        <f t="array" ref="L362">(VLOOKUP($A362,'The List'!$B1:$AH671,24,FALSE)-AVERAGE('The List'!Y2:Y671))/STDEV('The List'!Y2:Y671)</f>
        <v>-0.47546929358800777</v>
      </c>
      <c r="M362" s="55" cm="1">
        <f t="array" ref="M362">(VLOOKUP($A362,'The List'!$B1:$AH671,25,FALSE)-AVERAGE('The List'!Z2:Z671))/STDEV('The List'!Z2:Z671)</f>
        <v>0.25800936221395893</v>
      </c>
      <c r="N362" s="55" cm="1">
        <f t="array" ref="N362">(VLOOKUP($A362,'The List'!$B1:$AH671,26,FALSE)-AVERAGE('The List'!AA2:AA671))/STDEV('The List'!AA2:AA671)</f>
        <v>-0.35102889909950596</v>
      </c>
      <c r="O362" s="55" cm="1">
        <f t="array" ref="O362">(VLOOKUP($A362,'The List'!$B1:$AH671,27,FALSE)-AVERAGE('The List'!AB2:AB671))/STDEV('The List'!AB2:AB671)</f>
        <v>-1.0201781717431224</v>
      </c>
      <c r="P362" s="55" cm="1">
        <f t="array" ref="P362">(VLOOKUP($A362,'The List'!$B1:$AH671,28,FALSE)-AVERAGE('The List'!AC2:AC671))/STDEV('The List'!AC2:AC671)</f>
        <v>-0.82549686932207089</v>
      </c>
      <c r="Q362" s="55" cm="1">
        <f t="array" ref="Q362">(VLOOKUP($A362,'The List'!$B1:$AH671,29,FALSE)-AVERAGE('The List'!AD2:AD671))/STDEV('The List'!AD2:AD671)</f>
        <v>-0.77938649428269446</v>
      </c>
      <c r="R362" s="55" cm="1">
        <f t="array" ref="R362">(VLOOKUP($A362,'The List'!$B1:$AH671,30,FALSE)-AVERAGE('The List'!AE2:AE671))/STDEV('The List'!AE2:AE671)</f>
        <v>-0.3089909613993535</v>
      </c>
      <c r="S362" s="55" cm="1">
        <f t="array" ref="S362">(VLOOKUP($A362,'The List'!$B1:$AH671,31,FALSE)-AVERAGE('The List'!AF2:AF671))/STDEV('The List'!AF2:AF671)</f>
        <v>1.5270802686579401</v>
      </c>
      <c r="T362" s="55" cm="1">
        <f t="array" ref="T362">(VLOOKUP($A362,'The List'!$B1:$AH671,32,FALSE)-AVERAGE('The List'!AG2:AG671))/STDEV('The List'!AG2:AG671)</f>
        <v>1.860751552356775</v>
      </c>
      <c r="U362" s="55" cm="1">
        <f t="array" ref="U362">(VLOOKUP($A362,'The List'!$B1:$AH671,33,FALSE)-AVERAGE('The List'!AH2:AH671))/STDEV('The List'!AH2:AH671)</f>
        <v>0.90670088733062781</v>
      </c>
      <c r="V362" s="55"/>
      <c r="W362" s="57"/>
      <c r="X362" s="55"/>
      <c r="Y362" s="55"/>
      <c r="Z362" s="55"/>
      <c r="AA362" s="55"/>
      <c r="AB362" s="55"/>
      <c r="AC362" s="55"/>
      <c r="AD362" s="55"/>
      <c r="AE362" s="55"/>
    </row>
    <row r="363" spans="1:31" ht="21.25" customHeight="1" x14ac:dyDescent="0.15">
      <c r="A363" s="10" t="s">
        <v>378</v>
      </c>
      <c r="B363" s="18" t="str" cm="1">
        <f t="array" ref="B363">VLOOKUP(A363,'Player Data'!A1:B673,2,FALSE)</f>
        <v>TOR</v>
      </c>
      <c r="C363" s="52" cm="1">
        <f t="array" ref="C363">((E363)*Settings!$C$12)+(F363*Settings!$C$2)+(G363*Settings!$C$3)+(H363*Settings!$C$4)+(I363*Settings!$C$5)+(K363*Settings!$C$9)+(N363*Settings!$C$6)+(J363*Settings!$C$8)+(O363*Settings!$C$7)+(P363*Settings!$C$14)+(Q363*Settings!$C$15)+(R363*Settings!$C$16)+(S363*Settings!$C$17)+(T363*Settings!$C$18)+(U363*Settings!$C$19)+(L363*Settings!$C$10)+(Settings!$C$11*M363)</f>
        <v>-1.2420021464094466</v>
      </c>
      <c r="D363" s="57" cm="1">
        <f t="array" ref="D363">IF(Settings!$E$12="YES",VLOOKUP(A363,'Player Data'!A1:E673,5,FALSE),82)</f>
        <v>82</v>
      </c>
      <c r="E363" s="55" cm="1">
        <f t="array" ref="E363">(VLOOKUP($A363,'The List'!$B1:$AH671,17,FALSE)-AVERAGE('The List'!R2:R671))/STDEV('The List'!R2:R671)</f>
        <v>0.44217987697291306</v>
      </c>
      <c r="F363" s="55" cm="1">
        <f t="array" ref="F363">(VLOOKUP($A363,'The List'!$B1:$AH671,18,FALSE)-AVERAGE('The List'!S2:S671))/STDEV('The List'!S2:S671)</f>
        <v>-0.79967601500681906</v>
      </c>
      <c r="G363" s="55" cm="1">
        <f t="array" ref="G363">(VLOOKUP($A363,'The List'!$B1:$AH671,19,FALSE)-AVERAGE('The List'!T2:T671))/STDEV('The List'!T2:T671)</f>
        <v>8.7802414406869447E-3</v>
      </c>
      <c r="H363" s="55" cm="1">
        <f t="array" ref="H363">(VLOOKUP($A363,'The List'!$B1:$AH671,20,FALSE)-AVERAGE('The List'!U2:U671))/STDEV('The List'!U2:U671)</f>
        <v>-0.3487210347885909</v>
      </c>
      <c r="I363" s="55" cm="1">
        <f t="array" ref="I363">(VLOOKUP($A363,'The List'!$B1:$AH671,21,FALSE)-AVERAGE('The List'!V2:V671))/STDEV('The List'!V2:V671)</f>
        <v>-0.31401492871915448</v>
      </c>
      <c r="J363" s="55" cm="1">
        <f t="array" ref="J363">(VLOOKUP($A363,'The List'!$B1:$AH671,22,FALSE)-AVERAGE('The List'!W2:W671))/STDEV('The List'!W2:W671)</f>
        <v>-0.51205763582061725</v>
      </c>
      <c r="K363" s="55" cm="1">
        <f t="array" ref="K363">(VLOOKUP($A363,'The List'!$B1:$AH671,23,FALSE)-AVERAGE('The List'!X2:X671))/STDEV('The List'!X2:X671)</f>
        <v>-0.30712415493690071</v>
      </c>
      <c r="L363" s="55" cm="1">
        <f t="array" ref="L363">(VLOOKUP($A363,'The List'!$B1:$AH671,24,FALSE)-AVERAGE('The List'!Y2:Y671))/STDEV('The List'!Y2:Y671)</f>
        <v>-0.47546929358800777</v>
      </c>
      <c r="M363" s="55" cm="1">
        <f t="array" ref="M363">(VLOOKUP($A363,'The List'!$B1:$AH671,25,FALSE)-AVERAGE('The List'!Z2:Z671))/STDEV('The List'!Z2:Z671)</f>
        <v>-0.64388478613809508</v>
      </c>
      <c r="N363" s="55" cm="1">
        <f t="array" ref="N363">(VLOOKUP($A363,'The List'!$B1:$AH671,26,FALSE)-AVERAGE('The List'!AA2:AA671))/STDEV('The List'!AA2:AA671)</f>
        <v>0.53422080980295561</v>
      </c>
      <c r="O363" s="55" cm="1">
        <f t="array" ref="O363">(VLOOKUP($A363,'The List'!$B1:$AH671,27,FALSE)-AVERAGE('The List'!AB2:AB671))/STDEV('The List'!AB2:AB671)</f>
        <v>9.700337114230953E-2</v>
      </c>
      <c r="P363" s="55" cm="1">
        <f t="array" ref="P363">(VLOOKUP($A363,'The List'!$B1:$AH671,28,FALSE)-AVERAGE('The List'!AC2:AC671))/STDEV('The List'!AC2:AC671)</f>
        <v>7.3029339670431195E-2</v>
      </c>
      <c r="Q363" s="55" cm="1">
        <f t="array" ref="Q363">(VLOOKUP($A363,'The List'!$B1:$AH671,29,FALSE)-AVERAGE('The List'!AD2:AD671))/STDEV('The List'!AD2:AD671)</f>
        <v>1.4430561259791133</v>
      </c>
      <c r="R363" s="55" cm="1">
        <f t="array" ref="R363">(VLOOKUP($A363,'The List'!$B1:$AH671,30,FALSE)-AVERAGE('The List'!AE2:AE671))/STDEV('The List'!AE2:AE671)</f>
        <v>-0.83298203655972802</v>
      </c>
      <c r="S363" s="55" cm="1">
        <f t="array" ref="S363">(VLOOKUP($A363,'The List'!$B1:$AH671,31,FALSE)-AVERAGE('The List'!AF2:AF671))/STDEV('The List'!AF2:AF671)</f>
        <v>-0.59581850454342256</v>
      </c>
      <c r="T363" s="55" cm="1">
        <f t="array" ref="T363">(VLOOKUP($A363,'The List'!$B1:$AH671,32,FALSE)-AVERAGE('The List'!AG2:AG671))/STDEV('The List'!AG2:AG671)</f>
        <v>-0.64684275008198677</v>
      </c>
      <c r="U363" s="55" cm="1">
        <f t="array" ref="U363">(VLOOKUP($A363,'The List'!$B1:$AH671,33,FALSE)-AVERAGE('The List'!AH2:AH671))/STDEV('The List'!AH2:AH671)</f>
        <v>-1.2552626683789523</v>
      </c>
      <c r="V363" s="55"/>
      <c r="W363" s="77"/>
      <c r="X363" s="57"/>
      <c r="Y363" s="57"/>
      <c r="Z363" s="57"/>
      <c r="AA363" s="57"/>
      <c r="AB363" s="57"/>
      <c r="AC363" s="60"/>
      <c r="AD363" s="61"/>
      <c r="AE363" s="55"/>
    </row>
    <row r="364" spans="1:31" ht="21.25" customHeight="1" x14ac:dyDescent="0.15">
      <c r="A364" s="10" t="s">
        <v>634</v>
      </c>
      <c r="B364" s="18" t="str" cm="1">
        <f t="array" ref="B364">VLOOKUP(A364,'Player Data'!A1:B673,2,FALSE)</f>
        <v>CAR</v>
      </c>
      <c r="C364" s="52" cm="1">
        <f t="array" ref="C364">((E364)*Settings!$C$12)+(F364*Settings!$C$2)+(G364*Settings!$C$3)+(H364*Settings!$C$4)+(I364*Settings!$C$5)+(K364*Settings!$C$9)+(N364*Settings!$C$6)+(J364*Settings!$C$8)+(O364*Settings!$C$7)+(P364*Settings!$C$14)+(Q364*Settings!$C$15)+(R364*Settings!$C$16)+(S364*Settings!$C$17)+(T364*Settings!$C$18)+(U364*Settings!$C$19)+(L364*Settings!$C$10)+(Settings!$C$11*M364)</f>
        <v>-5.7966698950750795E-2</v>
      </c>
      <c r="D364" s="57" cm="1">
        <f t="array" ref="D364">IF(Settings!$E$12="YES",VLOOKUP(A364,'Player Data'!A1:E673,5,FALSE),82)</f>
        <v>83</v>
      </c>
      <c r="E364" s="55" cm="1">
        <f t="array" ref="E364">(VLOOKUP($A364,'The List'!$B1:$AH671,17,FALSE)-AVERAGE('The List'!R2:R671))/STDEV('The List'!R2:R671)</f>
        <v>-0.65956875040981156</v>
      </c>
      <c r="F364" s="55" cm="1">
        <f t="array" ref="F364">(VLOOKUP($A364,'The List'!$B1:$AH671,18,FALSE)-AVERAGE('The List'!S2:S671))/STDEV('The List'!S2:S671)</f>
        <v>-0.2128877066332435</v>
      </c>
      <c r="G364" s="55" cm="1">
        <f t="array" ref="G364">(VLOOKUP($A364,'The List'!$B1:$AH671,19,FALSE)-AVERAGE('The List'!T2:T671))/STDEV('The List'!T2:T671)</f>
        <v>-0.49578329767581691</v>
      </c>
      <c r="H364" s="55" cm="1">
        <f t="array" ref="H364">(VLOOKUP($A364,'The List'!$B1:$AH671,20,FALSE)-AVERAGE('The List'!U2:U671))/STDEV('The List'!U2:U671)</f>
        <v>-0.40619040926271455</v>
      </c>
      <c r="I364" s="55" cm="1">
        <f t="array" ref="I364">(VLOOKUP($A364,'The List'!$B1:$AH671,21,FALSE)-AVERAGE('The List'!V2:V671))/STDEV('The List'!V2:V671)</f>
        <v>-0.19082808122288625</v>
      </c>
      <c r="J364" s="55" cm="1">
        <f t="array" ref="J364">(VLOOKUP($A364,'The List'!$B1:$AH671,22,FALSE)-AVERAGE('The List'!W2:W671))/STDEV('The List'!W2:W671)</f>
        <v>-0.73853908386105271</v>
      </c>
      <c r="K364" s="55" cm="1">
        <f t="array" ref="K364">(VLOOKUP($A364,'The List'!$B1:$AH671,23,FALSE)-AVERAGE('The List'!X2:X671))/STDEV('The List'!X2:X671)</f>
        <v>-0.80155300200843405</v>
      </c>
      <c r="L364" s="55" cm="1">
        <f t="array" ref="L364">(VLOOKUP($A364,'The List'!$B1:$AH671,24,FALSE)-AVERAGE('The List'!Y2:Y671))/STDEV('The List'!Y2:Y671)</f>
        <v>1.0460445458883638</v>
      </c>
      <c r="M364" s="55" cm="1">
        <f t="array" ref="M364">(VLOOKUP($A364,'The List'!$B1:$AH671,25,FALSE)-AVERAGE('The List'!Z2:Z671))/STDEV('The List'!Z2:Z671)</f>
        <v>0.25800936221395893</v>
      </c>
      <c r="N364" s="55" cm="1">
        <f t="array" ref="N364">(VLOOKUP($A364,'The List'!$B1:$AH671,26,FALSE)-AVERAGE('The List'!AA2:AA671))/STDEV('The List'!AA2:AA671)</f>
        <v>-0.35102889909950596</v>
      </c>
      <c r="O364" s="55" cm="1">
        <f t="array" ref="O364">(VLOOKUP($A364,'The List'!$B1:$AH671,27,FALSE)-AVERAGE('The List'!AB2:AB671))/STDEV('The List'!AB2:AB671)</f>
        <v>0.30691050874133341</v>
      </c>
      <c r="P364" s="55" cm="1">
        <f t="array" ref="P364">(VLOOKUP($A364,'The List'!$B1:$AH671,28,FALSE)-AVERAGE('The List'!AC2:AC671))/STDEV('The List'!AC2:AC671)</f>
        <v>1.3361748798482964</v>
      </c>
      <c r="Q364" s="55" cm="1">
        <f t="array" ref="Q364">(VLOOKUP($A364,'The List'!$B1:$AH671,29,FALSE)-AVERAGE('The List'!AD2:AD671))/STDEV('The List'!AD2:AD671)</f>
        <v>-0.16614601063332618</v>
      </c>
      <c r="R364" s="55" cm="1">
        <f t="array" ref="R364">(VLOOKUP($A364,'The List'!$B1:$AH671,30,FALSE)-AVERAGE('The List'!AE2:AE671))/STDEV('The List'!AE2:AE671)</f>
        <v>-0.3089909613993535</v>
      </c>
      <c r="S364" s="55" cm="1">
        <f t="array" ref="S364">(VLOOKUP($A364,'The List'!$B1:$AH671,31,FALSE)-AVERAGE('The List'!AF2:AF671))/STDEV('The List'!AF2:AF671)</f>
        <v>-0.42024041051924976</v>
      </c>
      <c r="T364" s="55" cm="1">
        <f t="array" ref="T364">(VLOOKUP($A364,'The List'!$B1:$AH671,32,FALSE)-AVERAGE('The List'!AG2:AG671))/STDEV('The List'!AG2:AG671)</f>
        <v>-0.43505269075438863</v>
      </c>
      <c r="U364" s="55" cm="1">
        <f t="array" ref="U364">(VLOOKUP($A364,'The List'!$B1:$AH671,33,FALSE)-AVERAGE('The List'!AH2:AH671))/STDEV('The List'!AH2:AH671)</f>
        <v>0.90670088733062781</v>
      </c>
      <c r="V364" s="55"/>
      <c r="W364" s="77"/>
      <c r="X364" s="57"/>
      <c r="Y364" s="57"/>
      <c r="Z364" s="57"/>
      <c r="AA364" s="57"/>
      <c r="AB364" s="57"/>
      <c r="AC364" s="60"/>
      <c r="AD364" s="61"/>
      <c r="AE364" s="55"/>
    </row>
    <row r="365" spans="1:31" ht="21.25" customHeight="1" x14ac:dyDescent="0.15">
      <c r="A365" s="10" t="s">
        <v>346</v>
      </c>
      <c r="B365" s="18" t="str" cm="1">
        <f t="array" ref="B365">VLOOKUP(A365,'Player Data'!A1:B673,2,FALSE)</f>
        <v>WPG</v>
      </c>
      <c r="C365" s="52" cm="1">
        <f t="array" ref="C365">((E365)*Settings!$C$12)+(F365*Settings!$C$2)+(G365*Settings!$C$3)+(H365*Settings!$C$4)+(I365*Settings!$C$5)+(K365*Settings!$C$9)+(N365*Settings!$C$6)+(J365*Settings!$C$8)+(O365*Settings!$C$7)+(P365*Settings!$C$14)+(Q365*Settings!$C$15)+(R365*Settings!$C$16)+(S365*Settings!$C$17)+(T365*Settings!$C$18)+(U365*Settings!$C$19)+(L365*Settings!$C$10)+(Settings!$C$11*M365)</f>
        <v>-0.5329120631791836</v>
      </c>
      <c r="D365" s="57" cm="1">
        <f t="array" ref="D365">IF(Settings!$E$12="YES",VLOOKUP(A365,'Player Data'!A1:E673,5,FALSE),82)</f>
        <v>77</v>
      </c>
      <c r="E365" s="55" cm="1">
        <f t="array" ref="E365">(VLOOKUP($A365,'The List'!$B1:$AH671,17,FALSE)-AVERAGE('The List'!R2:R671))/STDEV('The List'!R2:R671)</f>
        <v>1.0192863008400543</v>
      </c>
      <c r="F365" s="55" cm="1">
        <f t="array" ref="F365">(VLOOKUP($A365,'The List'!$B1:$AH671,18,FALSE)-AVERAGE('The List'!S2:S671))/STDEV('The List'!S2:S671)</f>
        <v>-0.91144521660178579</v>
      </c>
      <c r="G365" s="55" cm="1">
        <f t="array" ref="G365">(VLOOKUP($A365,'The List'!$B1:$AH671,19,FALSE)-AVERAGE('The List'!T2:T671))/STDEV('The List'!T2:T671)</f>
        <v>-0.20133744406883181</v>
      </c>
      <c r="H365" s="55" cm="1">
        <f t="array" ref="H365">(VLOOKUP($A365,'The List'!$B1:$AH671,20,FALSE)-AVERAGE('The List'!U2:U671))/STDEV('The List'!U2:U671)</f>
        <v>-0.53041267254909008</v>
      </c>
      <c r="I365" s="55" cm="1">
        <f t="array" ref="I365">(VLOOKUP($A365,'The List'!$B1:$AH671,21,FALSE)-AVERAGE('The List'!V2:V671))/STDEV('The List'!V2:V671)</f>
        <v>-0.13536808396299518</v>
      </c>
      <c r="J365" s="55" cm="1">
        <f t="array" ref="J365">(VLOOKUP($A365,'The List'!$B1:$AH671,22,FALSE)-AVERAGE('The List'!W2:W671))/STDEV('The List'!W2:W671)</f>
        <v>-0.31319587656560083</v>
      </c>
      <c r="K365" s="55" cm="1">
        <f t="array" ref="K365">(VLOOKUP($A365,'The List'!$B1:$AH671,23,FALSE)-AVERAGE('The List'!X2:X671))/STDEV('The List'!X2:X671)</f>
        <v>-0.18251200648797761</v>
      </c>
      <c r="L365" s="55" cm="1">
        <f t="array" ref="L365">(VLOOKUP($A365,'The List'!$B1:$AH671,24,FALSE)-AVERAGE('The List'!Y2:Y671))/STDEV('The List'!Y2:Y671)</f>
        <v>-0.47546929358800777</v>
      </c>
      <c r="M365" s="55" cm="1">
        <f t="array" ref="M365">(VLOOKUP($A365,'The List'!$B1:$AH671,25,FALSE)-AVERAGE('The List'!Z2:Z671))/STDEV('The List'!Z2:Z671)</f>
        <v>0.192812194863208</v>
      </c>
      <c r="N365" s="55" cm="1">
        <f t="array" ref="N365">(VLOOKUP($A365,'The List'!$B1:$AH671,26,FALSE)-AVERAGE('The List'!AA2:AA671))/STDEV('The List'!AA2:AA671)</f>
        <v>1.130346839975588</v>
      </c>
      <c r="O365" s="55" cm="1">
        <f t="array" ref="O365">(VLOOKUP($A365,'The List'!$B1:$AH671,27,FALSE)-AVERAGE('The List'!AB2:AB671))/STDEV('The List'!AB2:AB671)</f>
        <v>0.83557311408106349</v>
      </c>
      <c r="P365" s="55" cm="1">
        <f t="array" ref="P365">(VLOOKUP($A365,'The List'!$B1:$AH671,28,FALSE)-AVERAGE('The List'!AC2:AC671))/STDEV('The List'!AC2:AC671)</f>
        <v>6.2177573861342997E-2</v>
      </c>
      <c r="Q365" s="55" cm="1">
        <f t="array" ref="Q365">(VLOOKUP($A365,'The List'!$B1:$AH671,29,FALSE)-AVERAGE('The List'!AD2:AD671))/STDEV('The List'!AD2:AD671)</f>
        <v>0.75519240275313471</v>
      </c>
      <c r="R365" s="55" cm="1">
        <f t="array" ref="R365">(VLOOKUP($A365,'The List'!$B1:$AH671,30,FALSE)-AVERAGE('The List'!AE2:AE671))/STDEV('The List'!AE2:AE671)</f>
        <v>-0.86417198150975039</v>
      </c>
      <c r="S365" s="55" cm="1">
        <f t="array" ref="S365">(VLOOKUP($A365,'The List'!$B1:$AH671,31,FALSE)-AVERAGE('The List'!AF2:AF671))/STDEV('The List'!AF2:AF671)</f>
        <v>-0.59581850454342256</v>
      </c>
      <c r="T365" s="55" cm="1">
        <f t="array" ref="T365">(VLOOKUP($A365,'The List'!$B1:$AH671,32,FALSE)-AVERAGE('The List'!AG2:AG671))/STDEV('The List'!AG2:AG671)</f>
        <v>-0.64684275008198677</v>
      </c>
      <c r="U365" s="55" cm="1">
        <f t="array" ref="U365">(VLOOKUP($A365,'The List'!$B1:$AH671,33,FALSE)-AVERAGE('The List'!AH2:AH671))/STDEV('The List'!AH2:AH671)</f>
        <v>-1.2552626683789523</v>
      </c>
      <c r="V365" s="55"/>
      <c r="W365" s="77"/>
      <c r="X365" s="57"/>
      <c r="Y365" s="57"/>
      <c r="Z365" s="57"/>
      <c r="AA365" s="57"/>
      <c r="AB365" s="57"/>
      <c r="AC365" s="60"/>
      <c r="AD365" s="61"/>
      <c r="AE365" s="55"/>
    </row>
    <row r="366" spans="1:31" ht="21.25" customHeight="1" x14ac:dyDescent="0.15">
      <c r="A366" s="10" t="s">
        <v>374</v>
      </c>
      <c r="B366" s="18" t="str" cm="1">
        <f t="array" ref="B366">VLOOKUP(A366,'Player Data'!A1:B673,2,FALSE)</f>
        <v>BOS</v>
      </c>
      <c r="C366" s="52" cm="1">
        <f t="array" ref="C366">((E366)*Settings!$C$12)+(F366*Settings!$C$2)+(G366*Settings!$C$3)+(H366*Settings!$C$4)+(I366*Settings!$C$5)+(K366*Settings!$C$9)+(N366*Settings!$C$6)+(J366*Settings!$C$8)+(O366*Settings!$C$7)+(P366*Settings!$C$14)+(Q366*Settings!$C$15)+(R366*Settings!$C$16)+(S366*Settings!$C$17)+(T366*Settings!$C$18)+(U366*Settings!$C$19)+(L366*Settings!$C$10)+(Settings!$C$11*M366)</f>
        <v>-3.5582874088041621</v>
      </c>
      <c r="D366" s="57" cm="1">
        <f t="array" ref="D366">IF(Settings!$E$12="YES",VLOOKUP(A366,'Player Data'!A1:E673,5,FALSE),82)</f>
        <v>72</v>
      </c>
      <c r="E366" s="55" cm="1">
        <f t="array" ref="E366">(VLOOKUP($A366,'The List'!$B1:$AH671,17,FALSE)-AVERAGE('The List'!R2:R671))/STDEV('The List'!R2:R671)</f>
        <v>1.4914642840040795</v>
      </c>
      <c r="F366" s="55" cm="1">
        <f t="array" ref="F366">(VLOOKUP($A366,'The List'!$B1:$AH671,18,FALSE)-AVERAGE('The List'!S2:S671))/STDEV('The List'!S2:S671)</f>
        <v>-1.013235025197202</v>
      </c>
      <c r="G366" s="55" cm="1">
        <f t="array" ref="G366">(VLOOKUP($A366,'The List'!$B1:$AH671,19,FALSE)-AVERAGE('The List'!T2:T671))/STDEV('The List'!T2:T671)</f>
        <v>-0.19501283146152212</v>
      </c>
      <c r="H366" s="55" cm="1">
        <f t="array" ref="H366">(VLOOKUP($A366,'The List'!$B1:$AH671,20,FALSE)-AVERAGE('The List'!U2:U671))/STDEV('The List'!U2:U671)</f>
        <v>-0.57152537890365585</v>
      </c>
      <c r="I366" s="55" cm="1">
        <f t="array" ref="I366">(VLOOKUP($A366,'The List'!$B1:$AH671,21,FALSE)-AVERAGE('The List'!V2:V671))/STDEV('The List'!V2:V671)</f>
        <v>-0.4176784749993247</v>
      </c>
      <c r="J366" s="55" cm="1">
        <f t="array" ref="J366">(VLOOKUP($A366,'The List'!$B1:$AH671,22,FALSE)-AVERAGE('The List'!W2:W671))/STDEV('The List'!W2:W671)</f>
        <v>-0.53967732460603624</v>
      </c>
      <c r="K366" s="55" cm="1">
        <f t="array" ref="K366">(VLOOKUP($A366,'The List'!$B1:$AH671,23,FALSE)-AVERAGE('The List'!X2:X671))/STDEV('The List'!X2:X671)</f>
        <v>-0.43977579683414136</v>
      </c>
      <c r="L366" s="55" cm="1">
        <f t="array" ref="L366">(VLOOKUP($A366,'The List'!$B1:$AH671,24,FALSE)-AVERAGE('The List'!Y2:Y671))/STDEV('The List'!Y2:Y671)</f>
        <v>-0.47546929358800777</v>
      </c>
      <c r="M366" s="55" cm="1">
        <f t="array" ref="M366">(VLOOKUP($A366,'The List'!$B1:$AH671,25,FALSE)-AVERAGE('The List'!Z2:Z671))/STDEV('The List'!Z2:Z671)</f>
        <v>-0.64388478613809508</v>
      </c>
      <c r="N366" s="55" cm="1">
        <f t="array" ref="N366">(VLOOKUP($A366,'The List'!$B1:$AH671,26,FALSE)-AVERAGE('The List'!AA2:AA671))/STDEV('The List'!AA2:AA671)</f>
        <v>1.2457919837793716</v>
      </c>
      <c r="O366" s="55" cm="1">
        <f t="array" ref="O366">(VLOOKUP($A366,'The List'!$B1:$AH671,27,FALSE)-AVERAGE('The List'!AB2:AB671))/STDEV('The List'!AB2:AB671)</f>
        <v>-1.0751148054116171</v>
      </c>
      <c r="P366" s="55" cm="1">
        <f t="array" ref="P366">(VLOOKUP($A366,'The List'!$B1:$AH671,28,FALSE)-AVERAGE('The List'!AC2:AC671))/STDEV('The List'!AC2:AC671)</f>
        <v>-0.41747047490035488</v>
      </c>
      <c r="Q366" s="55" cm="1">
        <f t="array" ref="Q366">(VLOOKUP($A366,'The List'!$B1:$AH671,29,FALSE)-AVERAGE('The List'!AD2:AD671))/STDEV('The List'!AD2:AD671)</f>
        <v>1.4031585523440937</v>
      </c>
      <c r="R366" s="55" cm="1">
        <f t="array" ref="R366">(VLOOKUP($A366,'The List'!$B1:$AH671,30,FALSE)-AVERAGE('The List'!AE2:AE671))/STDEV('The List'!AE2:AE671)</f>
        <v>-0.89536192645977275</v>
      </c>
      <c r="S366" s="55" cm="1">
        <f t="array" ref="S366">(VLOOKUP($A366,'The List'!$B1:$AH671,31,FALSE)-AVERAGE('The List'!AF2:AF671))/STDEV('The List'!AF2:AF671)</f>
        <v>-0.59581850454342256</v>
      </c>
      <c r="T366" s="55" cm="1">
        <f t="array" ref="T366">(VLOOKUP($A366,'The List'!$B1:$AH671,32,FALSE)-AVERAGE('The List'!AG2:AG671))/STDEV('The List'!AG2:AG671)</f>
        <v>-0.64684275008198677</v>
      </c>
      <c r="U366" s="55" cm="1">
        <f t="array" ref="U366">(VLOOKUP($A366,'The List'!$B1:$AH671,33,FALSE)-AVERAGE('The List'!AH2:AH671))/STDEV('The List'!AH2:AH671)</f>
        <v>-1.2552626683789523</v>
      </c>
      <c r="V366" s="55"/>
      <c r="W366" s="57"/>
      <c r="X366" s="55"/>
      <c r="Y366" s="55"/>
      <c r="Z366" s="55"/>
      <c r="AA366" s="55"/>
      <c r="AB366" s="55"/>
      <c r="AC366" s="55"/>
      <c r="AD366" s="55"/>
      <c r="AE366" s="55"/>
    </row>
    <row r="367" spans="1:31" ht="21.25" customHeight="1" x14ac:dyDescent="0.15">
      <c r="A367" s="10" t="s">
        <v>638</v>
      </c>
      <c r="B367" s="18" t="str" cm="1">
        <f t="array" ref="B367">VLOOKUP(A367,'Player Data'!A1:B673,2,FALSE)</f>
        <v>WPG</v>
      </c>
      <c r="C367" s="52" cm="1">
        <f t="array" ref="C367">((E367)*Settings!$C$12)+(F367*Settings!$C$2)+(G367*Settings!$C$3)+(H367*Settings!$C$4)+(I367*Settings!$C$5)+(K367*Settings!$C$9)+(N367*Settings!$C$6)+(J367*Settings!$C$8)+(O367*Settings!$C$7)+(P367*Settings!$C$14)+(Q367*Settings!$C$15)+(R367*Settings!$C$16)+(S367*Settings!$C$17)+(T367*Settings!$C$18)+(U367*Settings!$C$19)+(L367*Settings!$C$10)+(Settings!$C$11*M367)</f>
        <v>-0.73200420888704998</v>
      </c>
      <c r="D367" s="57" cm="1">
        <f t="array" ref="D367">IF(Settings!$E$12="YES",VLOOKUP(A367,'Player Data'!A1:E673,5,FALSE),82)</f>
        <v>81</v>
      </c>
      <c r="E367" s="55" cm="1">
        <f t="array" ref="E367">(VLOOKUP($A367,'The List'!$B1:$AH671,17,FALSE)-AVERAGE('The List'!R2:R671))/STDEV('The List'!R2:R671)</f>
        <v>-0.4759439791793576</v>
      </c>
      <c r="F367" s="55" cm="1">
        <f t="array" ref="F367">(VLOOKUP($A367,'The List'!$B1:$AH671,18,FALSE)-AVERAGE('The List'!S2:S671))/STDEV('The List'!S2:S671)</f>
        <v>-0.40249617362470519</v>
      </c>
      <c r="G367" s="55" cm="1">
        <f t="array" ref="G367">(VLOOKUP($A367,'The List'!$B1:$AH671,19,FALSE)-AVERAGE('The List'!T2:T671))/STDEV('The List'!T2:T671)</f>
        <v>-0.41004966011006</v>
      </c>
      <c r="H367" s="55" cm="1">
        <f t="array" ref="H367">(VLOOKUP($A367,'The List'!$B1:$AH671,20,FALSE)-AVERAGE('The List'!U2:U671))/STDEV('The List'!U2:U671)</f>
        <v>-0.43625131283379492</v>
      </c>
      <c r="I367" s="55" cm="1">
        <f t="array" ref="I367">(VLOOKUP($A367,'The List'!$B1:$AH671,21,FALSE)-AVERAGE('The List'!V2:V671))/STDEV('The List'!V2:V671)</f>
        <v>-0.57472874761378212</v>
      </c>
      <c r="J367" s="55" cm="1">
        <f t="array" ref="J367">(VLOOKUP($A367,'The List'!$B1:$AH671,22,FALSE)-AVERAGE('The List'!W2:W671))/STDEV('The List'!W2:W671)</f>
        <v>-0.73853908386105271</v>
      </c>
      <c r="K367" s="55" cm="1">
        <f t="array" ref="K367">(VLOOKUP($A367,'The List'!$B1:$AH671,23,FALSE)-AVERAGE('The List'!X2:X671))/STDEV('The List'!X2:X671)</f>
        <v>-0.80155300200843405</v>
      </c>
      <c r="L367" s="55" cm="1">
        <f t="array" ref="L367">(VLOOKUP($A367,'The List'!$B1:$AH671,24,FALSE)-AVERAGE('The List'!Y2:Y671))/STDEV('The List'!Y2:Y671)</f>
        <v>1.0093815618045958</v>
      </c>
      <c r="M367" s="55" cm="1">
        <f t="array" ref="M367">(VLOOKUP($A367,'The List'!$B1:$AH671,25,FALSE)-AVERAGE('The List'!Z2:Z671))/STDEV('The List'!Z2:Z671)</f>
        <v>1.1164387323321792</v>
      </c>
      <c r="N367" s="55" cm="1">
        <f t="array" ref="N367">(VLOOKUP($A367,'The List'!$B1:$AH671,26,FALSE)-AVERAGE('The List'!AA2:AA671))/STDEV('The List'!AA2:AA671)</f>
        <v>-0.15410808964659262</v>
      </c>
      <c r="O367" s="55" cm="1">
        <f t="array" ref="O367">(VLOOKUP($A367,'The List'!$B1:$AH671,27,FALSE)-AVERAGE('The List'!AB2:AB671))/STDEV('The List'!AB2:AB671)</f>
        <v>1.3859643879613177</v>
      </c>
      <c r="P367" s="55" cm="1">
        <f t="array" ref="P367">(VLOOKUP($A367,'The List'!$B1:$AH671,28,FALSE)-AVERAGE('The List'!AC2:AC671))/STDEV('The List'!AC2:AC671)</f>
        <v>7.0858986508613553E-2</v>
      </c>
      <c r="Q367" s="55" cm="1">
        <f t="array" ref="Q367">(VLOOKUP($A367,'The List'!$B1:$AH671,29,FALSE)-AVERAGE('The List'!AD2:AD671))/STDEV('The List'!AD2:AD671)</f>
        <v>0.37912082904526934</v>
      </c>
      <c r="R367" s="55" cm="1">
        <f t="array" ref="R367">(VLOOKUP($A367,'The List'!$B1:$AH671,30,FALSE)-AVERAGE('The List'!AE2:AE671))/STDEV('The List'!AE2:AE671)</f>
        <v>-0.33394291735937137</v>
      </c>
      <c r="S367" s="55" cm="1">
        <f t="array" ref="S367">(VLOOKUP($A367,'The List'!$B1:$AH671,31,FALSE)-AVERAGE('The List'!AF2:AF671))/STDEV('The List'!AF2:AF671)</f>
        <v>2.3209797940197054</v>
      </c>
      <c r="T367" s="55" cm="1">
        <f t="array" ref="T367">(VLOOKUP($A367,'The List'!$B1:$AH671,32,FALSE)-AVERAGE('The List'!AG2:AG671))/STDEV('The List'!AG2:AG671)</f>
        <v>2.1930322936295443</v>
      </c>
      <c r="U367" s="55" cm="1">
        <f t="array" ref="U367">(VLOOKUP($A367,'The List'!$B1:$AH671,33,FALSE)-AVERAGE('The List'!AH2:AH671))/STDEV('The List'!AH2:AH671)</f>
        <v>1.1366970102784557</v>
      </c>
      <c r="V367" s="55"/>
      <c r="W367" s="77"/>
      <c r="X367" s="57"/>
      <c r="Y367" s="57"/>
      <c r="Z367" s="57"/>
      <c r="AA367" s="57"/>
      <c r="AB367" s="57"/>
      <c r="AC367" s="60"/>
      <c r="AD367" s="61"/>
      <c r="AE367" s="55"/>
    </row>
    <row r="368" spans="1:31" ht="21.25" customHeight="1" x14ac:dyDescent="0.15">
      <c r="A368" s="10" t="s">
        <v>341</v>
      </c>
      <c r="B368" s="18" t="str" cm="1">
        <f t="array" ref="B368">VLOOKUP(A368,'Player Data'!A1:B673,2,FALSE)</f>
        <v>NYR</v>
      </c>
      <c r="C368" s="52" cm="1">
        <f t="array" ref="C368">((E368)*Settings!$C$12)+(F368*Settings!$C$2)+(G368*Settings!$C$3)+(H368*Settings!$C$4)+(I368*Settings!$C$5)+(K368*Settings!$C$9)+(N368*Settings!$C$6)+(J368*Settings!$C$8)+(O368*Settings!$C$7)+(P368*Settings!$C$14)+(Q368*Settings!$C$15)+(R368*Settings!$C$16)+(S368*Settings!$C$17)+(T368*Settings!$C$18)+(U368*Settings!$C$19)+(L368*Settings!$C$10)+(Settings!$C$11*M368)</f>
        <v>-2.5748821480741038</v>
      </c>
      <c r="D368" s="57" cm="1">
        <f t="array" ref="D368">IF(Settings!$E$12="YES",VLOOKUP(A368,'Player Data'!A1:E673,5,FALSE),82)</f>
        <v>84</v>
      </c>
      <c r="E368" s="55" cm="1">
        <f t="array" ref="E368">(VLOOKUP($A368,'The List'!$B1:$AH671,17,FALSE)-AVERAGE('The List'!R2:R671))/STDEV('The List'!R2:R671)</f>
        <v>1.5701606145314173</v>
      </c>
      <c r="F368" s="55" cm="1">
        <f t="array" ref="F368">(VLOOKUP($A368,'The List'!$B1:$AH671,18,FALSE)-AVERAGE('The List'!S2:S671))/STDEV('The List'!S2:S671)</f>
        <v>-0.70187796361122323</v>
      </c>
      <c r="G368" s="55" cm="1">
        <f t="array" ref="G368">(VLOOKUP($A368,'The List'!$B1:$AH671,19,FALSE)-AVERAGE('The List'!T2:T671))/STDEV('The List'!T2:T671)</f>
        <v>-0.12755029698354939</v>
      </c>
      <c r="H368" s="55" cm="1">
        <f t="array" ref="H368">(VLOOKUP($A368,'The List'!$B1:$AH671,20,FALSE)-AVERAGE('The List'!U2:U671))/STDEV('The List'!U2:U671)</f>
        <v>-0.39115995747717464</v>
      </c>
      <c r="I368" s="55" cm="1">
        <f t="array" ref="I368">(VLOOKUP($A368,'The List'!$B1:$AH671,21,FALSE)-AVERAGE('The List'!V2:V671))/STDEV('The List'!V2:V671)</f>
        <v>-0.23937717539743228</v>
      </c>
      <c r="J368" s="55" cm="1">
        <f t="array" ref="J368">(VLOOKUP($A368,'The List'!$B1:$AH671,22,FALSE)-AVERAGE('The List'!W2:W671))/STDEV('The List'!W2:W671)</f>
        <v>-0.73853908386105271</v>
      </c>
      <c r="K368" s="55" cm="1">
        <f t="array" ref="K368">(VLOOKUP($A368,'The List'!$B1:$AH671,23,FALSE)-AVERAGE('The List'!X2:X671))/STDEV('The List'!X2:X671)</f>
        <v>-0.71713832080109907</v>
      </c>
      <c r="L368" s="55" cm="1">
        <f t="array" ref="L368">(VLOOKUP($A368,'The List'!$B1:$AH671,24,FALSE)-AVERAGE('The List'!Y2:Y671))/STDEV('The List'!Y2:Y671)</f>
        <v>-0.47546929358800777</v>
      </c>
      <c r="M368" s="55" cm="1">
        <f t="array" ref="M368">(VLOOKUP($A368,'The List'!$B1:$AH671,25,FALSE)-AVERAGE('The List'!Z2:Z671))/STDEV('The List'!Z2:Z671)</f>
        <v>0.26887555677241731</v>
      </c>
      <c r="N368" s="55" cm="1">
        <f t="array" ref="N368">(VLOOKUP($A368,'The List'!$B1:$AH671,26,FALSE)-AVERAGE('The List'!AA2:AA671))/STDEV('The List'!AA2:AA671)</f>
        <v>1.4235570724683826</v>
      </c>
      <c r="O368" s="55" cm="1">
        <f t="array" ref="O368">(VLOOKUP($A368,'The List'!$B1:$AH671,27,FALSE)-AVERAGE('The List'!AB2:AB671))/STDEV('The List'!AB2:AB671)</f>
        <v>-0.68399877168218515</v>
      </c>
      <c r="P368" s="55" cm="1">
        <f t="array" ref="P368">(VLOOKUP($A368,'The List'!$B1:$AH671,28,FALSE)-AVERAGE('The List'!AC2:AC671))/STDEV('The List'!AC2:AC671)</f>
        <v>-0.1049396195986151</v>
      </c>
      <c r="Q368" s="55" cm="1">
        <f t="array" ref="Q368">(VLOOKUP($A368,'The List'!$B1:$AH671,29,FALSE)-AVERAGE('The List'!AD2:AD671))/STDEV('The List'!AD2:AD671)</f>
        <v>0.48108129500142904</v>
      </c>
      <c r="R368" s="55" cm="1">
        <f t="array" ref="R368">(VLOOKUP($A368,'The List'!$B1:$AH671,30,FALSE)-AVERAGE('The List'!AE2:AE671))/STDEV('The List'!AE2:AE671)</f>
        <v>-0.82050605857971926</v>
      </c>
      <c r="S368" s="55" cm="1">
        <f t="array" ref="S368">(VLOOKUP($A368,'The List'!$B1:$AH671,31,FALSE)-AVERAGE('The List'!AF2:AF671))/STDEV('The List'!AF2:AF671)</f>
        <v>-0.59581850454342256</v>
      </c>
      <c r="T368" s="55" cm="1">
        <f t="array" ref="T368">(VLOOKUP($A368,'The List'!$B1:$AH671,32,FALSE)-AVERAGE('The List'!AG2:AG671))/STDEV('The List'!AG2:AG671)</f>
        <v>-0.64684275008198677</v>
      </c>
      <c r="U368" s="55" cm="1">
        <f t="array" ref="U368">(VLOOKUP($A368,'The List'!$B1:$AH671,33,FALSE)-AVERAGE('The List'!AH2:AH671))/STDEV('The List'!AH2:AH671)</f>
        <v>-1.2552626683789523</v>
      </c>
      <c r="V368" s="55"/>
      <c r="W368" s="77"/>
      <c r="X368" s="57"/>
      <c r="Y368" s="57"/>
      <c r="Z368" s="57"/>
      <c r="AA368" s="57"/>
      <c r="AB368" s="57"/>
      <c r="AC368" s="60"/>
      <c r="AD368" s="61"/>
      <c r="AE368" s="55"/>
    </row>
    <row r="369" spans="1:31" ht="21.25" customHeight="1" x14ac:dyDescent="0.15">
      <c r="A369" s="10" t="s">
        <v>699</v>
      </c>
      <c r="B369" s="18" t="str" cm="1">
        <f t="array" ref="B369">VLOOKUP(A369,'Player Data'!A1:B673,2,FALSE)</f>
        <v>T.B</v>
      </c>
      <c r="C369" s="52" cm="1">
        <f t="array" ref="C369">((E369)*Settings!$C$12)+(F369*Settings!$C$2)+(G369*Settings!$C$3)+(H369*Settings!$C$4)+(I369*Settings!$C$5)+(K369*Settings!$C$9)+(N369*Settings!$C$6)+(J369*Settings!$C$8)+(O369*Settings!$C$7)+(P369*Settings!$C$14)+(Q369*Settings!$C$15)+(R369*Settings!$C$16)+(S369*Settings!$C$17)+(T369*Settings!$C$18)+(U369*Settings!$C$19)+(L369*Settings!$C$10)+(Settings!$C$11*M369)</f>
        <v>-1.2449233031889242</v>
      </c>
      <c r="D369" s="57" cm="1">
        <f t="array" ref="D369">IF(Settings!$E$12="YES",VLOOKUP(A369,'Player Data'!A1:E673,5,FALSE),82)</f>
        <v>68</v>
      </c>
      <c r="E369" s="55" cm="1">
        <f t="array" ref="E369">(VLOOKUP($A369,'The List'!$B1:$AH671,17,FALSE)-AVERAGE('The List'!R2:R671))/STDEV('The List'!R2:R671)</f>
        <v>-1.3153715048042907</v>
      </c>
      <c r="F369" s="55" cm="1">
        <f t="array" ref="F369">(VLOOKUP($A369,'The List'!$B1:$AH671,18,FALSE)-AVERAGE('The List'!S2:S671))/STDEV('The List'!S2:S671)</f>
        <v>-0.35459508722686223</v>
      </c>
      <c r="G369" s="55" cm="1">
        <f t="array" ref="G369">(VLOOKUP($A369,'The List'!$B1:$AH671,19,FALSE)-AVERAGE('The List'!T2:T671))/STDEV('The List'!T2:T671)</f>
        <v>-0.75438967984137895</v>
      </c>
      <c r="H369" s="55" cm="1">
        <f t="array" ref="H369">(VLOOKUP($A369,'The List'!$B1:$AH671,20,FALSE)-AVERAGE('The List'!U2:U671))/STDEV('The List'!U2:U671)</f>
        <v>-0.63164718604581638</v>
      </c>
      <c r="I369" s="55" cm="1">
        <f t="array" ref="I369">(VLOOKUP($A369,'The List'!$B1:$AH671,21,FALSE)-AVERAGE('The List'!V2:V671))/STDEV('The List'!V2:V671)</f>
        <v>-0.71553839797767949</v>
      </c>
      <c r="J369" s="55" cm="1">
        <f t="array" ref="J369">(VLOOKUP($A369,'The List'!$B1:$AH671,22,FALSE)-AVERAGE('The List'!W2:W671))/STDEV('The List'!W2:W671)</f>
        <v>-0.55072520012020376</v>
      </c>
      <c r="K369" s="55" cm="1">
        <f t="array" ref="K369">(VLOOKUP($A369,'The List'!$B1:$AH671,23,FALSE)-AVERAGE('The List'!X2:X671))/STDEV('The List'!X2:X671)</f>
        <v>-0.66488161338703455</v>
      </c>
      <c r="L369" s="55" cm="1">
        <f t="array" ref="L369">(VLOOKUP($A369,'The List'!$B1:$AH671,24,FALSE)-AVERAGE('The List'!Y2:Y671))/STDEV('The List'!Y2:Y671)</f>
        <v>-0.47546929358800777</v>
      </c>
      <c r="M369" s="55" cm="1">
        <f t="array" ref="M369">(VLOOKUP($A369,'The List'!$B1:$AH671,25,FALSE)-AVERAGE('The List'!Z2:Z671))/STDEV('The List'!Z2:Z671)</f>
        <v>-0.64388478613809508</v>
      </c>
      <c r="N369" s="55" cm="1">
        <f t="array" ref="N369">(VLOOKUP($A369,'The List'!$B1:$AH671,26,FALSE)-AVERAGE('The List'!AA2:AA671))/STDEV('The List'!AA2:AA671)</f>
        <v>-1.0324617390740491</v>
      </c>
      <c r="O369" s="55" cm="1">
        <f t="array" ref="O369">(VLOOKUP($A369,'The List'!$B1:$AH671,27,FALSE)-AVERAGE('The List'!AB2:AB671))/STDEV('The List'!AB2:AB671)</f>
        <v>0.16874897481385073</v>
      </c>
      <c r="P369" s="55" cm="1">
        <f t="array" ref="P369">(VLOOKUP($A369,'The List'!$B1:$AH671,28,FALSE)-AVERAGE('The List'!AC2:AC671))/STDEV('The List'!AC2:AC671)</f>
        <v>1.0757325004301799</v>
      </c>
      <c r="Q369" s="55" cm="1">
        <f t="array" ref="Q369">(VLOOKUP($A369,'The List'!$B1:$AH671,29,FALSE)-AVERAGE('The List'!AD2:AD671))/STDEV('The List'!AD2:AD671)</f>
        <v>-1.1680184152460291</v>
      </c>
      <c r="R369" s="55" cm="1">
        <f t="array" ref="R369">(VLOOKUP($A369,'The List'!$B1:$AH671,30,FALSE)-AVERAGE('The List'!AE2:AE671))/STDEV('The List'!AE2:AE671)</f>
        <v>-7.194737977918414E-2</v>
      </c>
      <c r="S369" s="55" cm="1">
        <f t="array" ref="S369">(VLOOKUP($A369,'The List'!$B1:$AH671,31,FALSE)-AVERAGE('The List'!AF2:AF671))/STDEV('The List'!AF2:AF671)</f>
        <v>0.4209190454081676</v>
      </c>
      <c r="T369" s="55" cm="1">
        <f t="array" ref="T369">(VLOOKUP($A369,'The List'!$B1:$AH671,32,FALSE)-AVERAGE('The List'!AG2:AG671))/STDEV('The List'!AG2:AG671)</f>
        <v>0.41853779895968513</v>
      </c>
      <c r="U369" s="55" cm="1">
        <f t="array" ref="U369">(VLOOKUP($A369,'The List'!$B1:$AH671,33,FALSE)-AVERAGE('The List'!AH2:AH671))/STDEV('The List'!AH2:AH671)</f>
        <v>1.0446985610993245</v>
      </c>
      <c r="V369" s="55"/>
      <c r="W369" s="57"/>
      <c r="X369" s="55"/>
      <c r="Y369" s="55"/>
      <c r="Z369" s="55"/>
      <c r="AA369" s="55"/>
      <c r="AB369" s="55"/>
      <c r="AC369" s="55"/>
      <c r="AD369" s="55"/>
      <c r="AE369" s="55"/>
    </row>
    <row r="370" spans="1:31" ht="21.25" customHeight="1" x14ac:dyDescent="0.15">
      <c r="A370" s="10" t="s">
        <v>368</v>
      </c>
      <c r="B370" s="18" t="str" cm="1">
        <f t="array" ref="B370">VLOOKUP(A370,'Player Data'!A1:B673,2,FALSE)</f>
        <v>T.B</v>
      </c>
      <c r="C370" s="52" cm="1">
        <f t="array" ref="C370">((E370)*Settings!$C$12)+(F370*Settings!$C$2)+(G370*Settings!$C$3)+(H370*Settings!$C$4)+(I370*Settings!$C$5)+(K370*Settings!$C$9)+(N370*Settings!$C$6)+(J370*Settings!$C$8)+(O370*Settings!$C$7)+(P370*Settings!$C$14)+(Q370*Settings!$C$15)+(R370*Settings!$C$16)+(S370*Settings!$C$17)+(T370*Settings!$C$18)+(U370*Settings!$C$19)+(L370*Settings!$C$10)+(Settings!$C$11*M370)</f>
        <v>-0.87313091856589908</v>
      </c>
      <c r="D370" s="57" cm="1">
        <f t="array" ref="D370">IF(Settings!$E$12="YES",VLOOKUP(A370,'Player Data'!A1:E673,5,FALSE),82)</f>
        <v>79</v>
      </c>
      <c r="E370" s="55" cm="1">
        <f t="array" ref="E370">(VLOOKUP($A370,'The List'!$B1:$AH671,17,FALSE)-AVERAGE('The List'!R2:R671))/STDEV('The List'!R2:R671)</f>
        <v>1.2029110720705083</v>
      </c>
      <c r="F370" s="55" cm="1">
        <f t="array" ref="F370">(VLOOKUP($A370,'The List'!$B1:$AH671,18,FALSE)-AVERAGE('The List'!S2:S671))/STDEV('The List'!S2:S671)</f>
        <v>-0.8206327403058753</v>
      </c>
      <c r="G370" s="55" cm="1">
        <f t="array" ref="G370">(VLOOKUP($A370,'The List'!$B1:$AH671,19,FALSE)-AVERAGE('The List'!T2:T671))/STDEV('The List'!T2:T671)</f>
        <v>-0.21890581242247079</v>
      </c>
      <c r="H370" s="55" cm="1">
        <f t="array" ref="H370">(VLOOKUP($A370,'The List'!$B1:$AH671,20,FALSE)-AVERAGE('The List'!U2:U671))/STDEV('The List'!U2:U671)</f>
        <v>-0.50123591320068883</v>
      </c>
      <c r="I370" s="55" cm="1">
        <f t="array" ref="I370">(VLOOKUP($A370,'The List'!$B1:$AH671,21,FALSE)-AVERAGE('The List'!V2:V671))/STDEV('The List'!V2:V671)</f>
        <v>-0.43702900363828956</v>
      </c>
      <c r="J370" s="55" cm="1">
        <f t="array" ref="J370">(VLOOKUP($A370,'The List'!$B1:$AH671,22,FALSE)-AVERAGE('The List'!W2:W671))/STDEV('The List'!W2:W671)</f>
        <v>-0.73853908386105271</v>
      </c>
      <c r="K370" s="55" cm="1">
        <f t="array" ref="K370">(VLOOKUP($A370,'The List'!$B1:$AH671,23,FALSE)-AVERAGE('The List'!X2:X671))/STDEV('The List'!X2:X671)</f>
        <v>-0.80155300200843405</v>
      </c>
      <c r="L370" s="55" cm="1">
        <f t="array" ref="L370">(VLOOKUP($A370,'The List'!$B1:$AH671,24,FALSE)-AVERAGE('The List'!Y2:Y671))/STDEV('The List'!Y2:Y671)</f>
        <v>-0.47546929358800777</v>
      </c>
      <c r="M370" s="55" cm="1">
        <f t="array" ref="M370">(VLOOKUP($A370,'The List'!$B1:$AH671,25,FALSE)-AVERAGE('The List'!Z2:Z671))/STDEV('The List'!Z2:Z671)</f>
        <v>1.072973954098345</v>
      </c>
      <c r="N370" s="55" cm="1">
        <f t="array" ref="N370">(VLOOKUP($A370,'The List'!$B1:$AH671,26,FALSE)-AVERAGE('The List'!AA2:AA671))/STDEV('The List'!AA2:AA671)</f>
        <v>1.0202652979856977</v>
      </c>
      <c r="O370" s="55" cm="1">
        <f t="array" ref="O370">(VLOOKUP($A370,'The List'!$B1:$AH671,27,FALSE)-AVERAGE('The List'!AB2:AB671))/STDEV('The List'!AB2:AB671)</f>
        <v>-0.37610763821174148</v>
      </c>
      <c r="P370" s="55" cm="1">
        <f t="array" ref="P370">(VLOOKUP($A370,'The List'!$B1:$AH671,28,FALSE)-AVERAGE('The List'!AC2:AC671))/STDEV('The List'!AC2:AC671)</f>
        <v>1.781097278020912</v>
      </c>
      <c r="Q370" s="55" cm="1">
        <f t="array" ref="Q370">(VLOOKUP($A370,'The List'!$B1:$AH671,29,FALSE)-AVERAGE('The List'!AD2:AD671))/STDEV('The List'!AD2:AD671)</f>
        <v>0.71972789285534022</v>
      </c>
      <c r="R370" s="55" cm="1">
        <f t="array" ref="R370">(VLOOKUP($A370,'The List'!$B1:$AH671,30,FALSE)-AVERAGE('The List'!AE2:AE671))/STDEV('The List'!AE2:AE671)</f>
        <v>-0.85169600352974151</v>
      </c>
      <c r="S370" s="55" cm="1">
        <f t="array" ref="S370">(VLOOKUP($A370,'The List'!$B1:$AH671,31,FALSE)-AVERAGE('The List'!AF2:AF671))/STDEV('The List'!AF2:AF671)</f>
        <v>-0.59581850454342256</v>
      </c>
      <c r="T370" s="55" cm="1">
        <f t="array" ref="T370">(VLOOKUP($A370,'The List'!$B1:$AH671,32,FALSE)-AVERAGE('The List'!AG2:AG671))/STDEV('The List'!AG2:AG671)</f>
        <v>-0.64684275008198677</v>
      </c>
      <c r="U370" s="55" cm="1">
        <f t="array" ref="U370">(VLOOKUP($A370,'The List'!$B1:$AH671,33,FALSE)-AVERAGE('The List'!AH2:AH671))/STDEV('The List'!AH2:AH671)</f>
        <v>-1.2552626683789523</v>
      </c>
      <c r="V370" s="55"/>
      <c r="W370" s="77"/>
      <c r="X370" s="57"/>
      <c r="Y370" s="57"/>
      <c r="Z370" s="57"/>
      <c r="AA370" s="57"/>
      <c r="AB370" s="57"/>
      <c r="AC370" s="60"/>
      <c r="AD370" s="61"/>
      <c r="AE370" s="55"/>
    </row>
    <row r="371" spans="1:31" ht="21.25" customHeight="1" x14ac:dyDescent="0.15">
      <c r="A371" s="10" t="s">
        <v>706</v>
      </c>
      <c r="B371" s="18" t="str" cm="1">
        <f t="array" ref="B371">VLOOKUP(A371,'Player Data'!A1:B673,2,FALSE)</f>
        <v>NSH</v>
      </c>
      <c r="C371" s="52" cm="1">
        <f t="array" ref="C371">((E371)*Settings!$C$12)+(F371*Settings!$C$2)+(G371*Settings!$C$3)+(H371*Settings!$C$4)+(I371*Settings!$C$5)+(K371*Settings!$C$9)+(N371*Settings!$C$6)+(J371*Settings!$C$8)+(O371*Settings!$C$7)+(P371*Settings!$C$14)+(Q371*Settings!$C$15)+(R371*Settings!$C$16)+(S371*Settings!$C$17)+(T371*Settings!$C$18)+(U371*Settings!$C$19)+(L371*Settings!$C$10)+(Settings!$C$11*M371)</f>
        <v>-2.6535354085982439</v>
      </c>
      <c r="D371" s="57" cm="1">
        <f t="array" ref="D371">IF(Settings!$E$12="YES",VLOOKUP(A371,'Player Data'!A1:E673,5,FALSE),82)</f>
        <v>75</v>
      </c>
      <c r="E371" s="55" cm="1">
        <f t="array" ref="E371">(VLOOKUP($A371,'The List'!$B1:$AH671,17,FALSE)-AVERAGE('The List'!R2:R671))/STDEV('The List'!R2:R671)</f>
        <v>-1.1055146233980575</v>
      </c>
      <c r="F371" s="55" cm="1">
        <f t="array" ref="F371">(VLOOKUP($A371,'The List'!$B1:$AH671,18,FALSE)-AVERAGE('The List'!S2:S671))/STDEV('The List'!S2:S671)</f>
        <v>-0.32465690822821019</v>
      </c>
      <c r="G371" s="55" cm="1">
        <f t="array" ref="G371">(VLOOKUP($A371,'The List'!$B1:$AH671,19,FALSE)-AVERAGE('The List'!T2:T671))/STDEV('The List'!T2:T671)</f>
        <v>-0.8190412753827695</v>
      </c>
      <c r="H371" s="55" cm="1">
        <f t="array" ref="H371">(VLOOKUP($A371,'The List'!$B1:$AH671,20,FALSE)-AVERAGE('The List'!U2:U671))/STDEV('The List'!U2:U671)</f>
        <v>-0.65905565694886004</v>
      </c>
      <c r="I371" s="55" cm="1">
        <f t="array" ref="I371">(VLOOKUP($A371,'The List'!$B1:$AH671,21,FALSE)-AVERAGE('The List'!V2:V671))/STDEV('The List'!V2:V671)</f>
        <v>-0.7457735989760621</v>
      </c>
      <c r="J371" s="55" cm="1">
        <f t="array" ref="J371">(VLOOKUP($A371,'The List'!$B1:$AH671,22,FALSE)-AVERAGE('The List'!W2:W671))/STDEV('The List'!W2:W671)</f>
        <v>-0.73853908386105271</v>
      </c>
      <c r="K371" s="55" cm="1">
        <f t="array" ref="K371">(VLOOKUP($A371,'The List'!$B1:$AH671,23,FALSE)-AVERAGE('The List'!X2:X671))/STDEV('The List'!X2:X671)</f>
        <v>-0.72618275093045637</v>
      </c>
      <c r="L371" s="55" cm="1">
        <f t="array" ref="L371">(VLOOKUP($A371,'The List'!$B1:$AH671,24,FALSE)-AVERAGE('The List'!Y2:Y671))/STDEV('The List'!Y2:Y671)</f>
        <v>-0.47546929358800777</v>
      </c>
      <c r="M371" s="55" cm="1">
        <f t="array" ref="M371">(VLOOKUP($A371,'The List'!$B1:$AH671,25,FALSE)-AVERAGE('The List'!Z2:Z671))/STDEV('The List'!Z2:Z671)</f>
        <v>-0.64388478613809508</v>
      </c>
      <c r="N371" s="55" cm="1">
        <f t="array" ref="N371">(VLOOKUP($A371,'The List'!$B1:$AH671,26,FALSE)-AVERAGE('The List'!AA2:AA671))/STDEV('The List'!AA2:AA671)</f>
        <v>-1.0482971349055417</v>
      </c>
      <c r="O371" s="55" cm="1">
        <f t="array" ref="O371">(VLOOKUP($A371,'The List'!$B1:$AH671,27,FALSE)-AVERAGE('The List'!AB2:AB671))/STDEV('The List'!AB2:AB671)</f>
        <v>0.22983523165419187</v>
      </c>
      <c r="P371" s="55" cm="1">
        <f t="array" ref="P371">(VLOOKUP($A371,'The List'!$B1:$AH671,28,FALSE)-AVERAGE('The List'!AC2:AC671))/STDEV('The List'!AC2:AC671)</f>
        <v>-0.2677161067349379</v>
      </c>
      <c r="Q371" s="55" cm="1">
        <f t="array" ref="Q371">(VLOOKUP($A371,'The List'!$B1:$AH671,29,FALSE)-AVERAGE('The List'!AD2:AD671))/STDEV('The List'!AD2:AD671)</f>
        <v>-0.26810647658948616</v>
      </c>
      <c r="R371" s="55" cm="1">
        <f t="array" ref="R371">(VLOOKUP($A371,'The List'!$B1:$AH671,30,FALSE)-AVERAGE('The List'!AE2:AE671))/STDEV('The List'!AE2:AE671)</f>
        <v>-0.40879878523942492</v>
      </c>
      <c r="S371" s="55" cm="1">
        <f t="array" ref="S371">(VLOOKUP($A371,'The List'!$B1:$AH671,31,FALSE)-AVERAGE('The List'!AF2:AF671))/STDEV('The List'!AF2:AF671)</f>
        <v>-0.59581850454342256</v>
      </c>
      <c r="T371" s="55" cm="1">
        <f t="array" ref="T371">(VLOOKUP($A371,'The List'!$B1:$AH671,32,FALSE)-AVERAGE('The List'!AG2:AG671))/STDEV('The List'!AG2:AG671)</f>
        <v>-0.64301521888931934</v>
      </c>
      <c r="U371" s="55" cm="1">
        <f t="array" ref="U371">(VLOOKUP($A371,'The List'!$B1:$AH671,33,FALSE)-AVERAGE('The List'!AH2:AH671))/STDEV('The List'!AH2:AH671)</f>
        <v>-0.10528205363981386</v>
      </c>
      <c r="V371" s="55"/>
      <c r="W371" s="57"/>
      <c r="X371" s="55"/>
      <c r="Y371" s="55"/>
      <c r="Z371" s="55"/>
      <c r="AA371" s="55"/>
      <c r="AB371" s="55"/>
      <c r="AC371" s="55"/>
      <c r="AD371" s="55"/>
      <c r="AE371" s="55"/>
    </row>
    <row r="372" spans="1:31" ht="21.25" customHeight="1" x14ac:dyDescent="0.15">
      <c r="A372" s="10" t="s">
        <v>381</v>
      </c>
      <c r="B372" s="18" t="str" cm="1">
        <f t="array" ref="B372">VLOOKUP(A372,'Player Data'!A1:B673,2,FALSE)</f>
        <v>T.B</v>
      </c>
      <c r="C372" s="52" cm="1">
        <f t="array" ref="C372">((E372)*Settings!$C$12)+(F372*Settings!$C$2)+(G372*Settings!$C$3)+(H372*Settings!$C$4)+(I372*Settings!$C$5)+(K372*Settings!$C$9)+(N372*Settings!$C$6)+(J372*Settings!$C$8)+(O372*Settings!$C$7)+(P372*Settings!$C$14)+(Q372*Settings!$C$15)+(R372*Settings!$C$16)+(S372*Settings!$C$17)+(T372*Settings!$C$18)+(U372*Settings!$C$19)+(L372*Settings!$C$10)+(Settings!$C$11*M372)</f>
        <v>-2.0753947118254188</v>
      </c>
      <c r="D372" s="57" cm="1">
        <f t="array" ref="D372">IF(Settings!$E$12="YES",VLOOKUP(A372,'Player Data'!A1:E673,5,FALSE),82)</f>
        <v>77</v>
      </c>
      <c r="E372" s="55" cm="1">
        <f t="array" ref="E372">(VLOOKUP($A372,'The List'!$B1:$AH671,17,FALSE)-AVERAGE('The List'!R2:R671))/STDEV('The List'!R2:R671)</f>
        <v>0.88812574996115867</v>
      </c>
      <c r="F372" s="55" cm="1">
        <f t="array" ref="F372">(VLOOKUP($A372,'The List'!$B1:$AH671,18,FALSE)-AVERAGE('The List'!S2:S671))/STDEV('The List'!S2:S671)</f>
        <v>-0.9882865426983255</v>
      </c>
      <c r="G372" s="55" cm="1">
        <f t="array" ref="G372">(VLOOKUP($A372,'The List'!$B1:$AH671,19,FALSE)-AVERAGE('The List'!T2:T671))/STDEV('The List'!T2:T671)</f>
        <v>-0.14722686953962458</v>
      </c>
      <c r="H372" s="55" cm="1">
        <f t="array" ref="H372">(VLOOKUP($A372,'The List'!$B1:$AH671,20,FALSE)-AVERAGE('The List'!U2:U671))/STDEV('The List'!U2:U671)</f>
        <v>-0.53041267254909008</v>
      </c>
      <c r="I372" s="55" cm="1">
        <f t="array" ref="I372">(VLOOKUP($A372,'The List'!$B1:$AH671,21,FALSE)-AVERAGE('The List'!V2:V671))/STDEV('The List'!V2:V671)</f>
        <v>-0.9867913440774575</v>
      </c>
      <c r="J372" s="55" cm="1">
        <f t="array" ref="J372">(VLOOKUP($A372,'The List'!$B1:$AH671,22,FALSE)-AVERAGE('The List'!W2:W671))/STDEV('The List'!W2:W671)</f>
        <v>-0.73853908386105271</v>
      </c>
      <c r="K372" s="55" cm="1">
        <f t="array" ref="K372">(VLOOKUP($A372,'The List'!$B1:$AH671,23,FALSE)-AVERAGE('The List'!X2:X671))/STDEV('The List'!X2:X671)</f>
        <v>-0.80155300200843405</v>
      </c>
      <c r="L372" s="55" cm="1">
        <f t="array" ref="L372">(VLOOKUP($A372,'The List'!$B1:$AH671,24,FALSE)-AVERAGE('The List'!Y2:Y671))/STDEV('The List'!Y2:Y671)</f>
        <v>-0.47546929358800777</v>
      </c>
      <c r="M372" s="55" cm="1">
        <f t="array" ref="M372">(VLOOKUP($A372,'The List'!$B1:$AH671,25,FALSE)-AVERAGE('The List'!Z2:Z671))/STDEV('The List'!Z2:Z671)</f>
        <v>0.192812194863208</v>
      </c>
      <c r="N372" s="55" cm="1">
        <f t="array" ref="N372">(VLOOKUP($A372,'The List'!$B1:$AH671,26,FALSE)-AVERAGE('The List'!AA2:AA671))/STDEV('The List'!AA2:AA671)</f>
        <v>1.7400095794880444</v>
      </c>
      <c r="O372" s="55" cm="1">
        <f t="array" ref="O372">(VLOOKUP($A372,'The List'!$B1:$AH671,27,FALSE)-AVERAGE('The List'!AB2:AB671))/STDEV('The List'!AB2:AB671)</f>
        <v>-0.88488646196250131</v>
      </c>
      <c r="P372" s="55" cm="1">
        <f t="array" ref="P372">(VLOOKUP($A372,'The List'!$B1:$AH671,28,FALSE)-AVERAGE('The List'!AC2:AC671))/STDEV('The List'!AC2:AC671)</f>
        <v>1.7333495084609241</v>
      </c>
      <c r="Q372" s="55" cm="1">
        <f t="array" ref="Q372">(VLOOKUP($A372,'The List'!$B1:$AH671,29,FALSE)-AVERAGE('The List'!AD2:AD671))/STDEV('The List'!AD2:AD671)</f>
        <v>-0.78086418219510245</v>
      </c>
      <c r="R372" s="55" cm="1">
        <f t="array" ref="R372">(VLOOKUP($A372,'The List'!$B1:$AH671,30,FALSE)-AVERAGE('The List'!AE2:AE671))/STDEV('The List'!AE2:AE671)</f>
        <v>-0.86417198150975039</v>
      </c>
      <c r="S372" s="55" cm="1">
        <f t="array" ref="S372">(VLOOKUP($A372,'The List'!$B1:$AH671,31,FALSE)-AVERAGE('The List'!AF2:AF671))/STDEV('The List'!AF2:AF671)</f>
        <v>-0.59581850454342256</v>
      </c>
      <c r="T372" s="55" cm="1">
        <f t="array" ref="T372">(VLOOKUP($A372,'The List'!$B1:$AH671,32,FALSE)-AVERAGE('The List'!AG2:AG671))/STDEV('The List'!AG2:AG671)</f>
        <v>-0.64684275008198677</v>
      </c>
      <c r="U372" s="55" cm="1">
        <f t="array" ref="U372">(VLOOKUP($A372,'The List'!$B1:$AH671,33,FALSE)-AVERAGE('The List'!AH2:AH671))/STDEV('The List'!AH2:AH671)</f>
        <v>-1.2552626683789523</v>
      </c>
      <c r="V372" s="55"/>
      <c r="W372" s="57"/>
      <c r="X372" s="55"/>
      <c r="Y372" s="55"/>
      <c r="Z372" s="55"/>
      <c r="AA372" s="55"/>
      <c r="AB372" s="55"/>
      <c r="AC372" s="55"/>
      <c r="AD372" s="55"/>
      <c r="AE372" s="55"/>
    </row>
    <row r="373" spans="1:31" ht="21.25" customHeight="1" x14ac:dyDescent="0.15">
      <c r="A373" s="10" t="s">
        <v>666</v>
      </c>
      <c r="B373" s="18" t="str" cm="1">
        <f t="array" ref="B373">VLOOKUP(A373,'Player Data'!A1:B673,2,FALSE)</f>
        <v>N.J</v>
      </c>
      <c r="C373" s="52" cm="1">
        <f t="array" ref="C373">((E373)*Settings!$C$12)+(F373*Settings!$C$2)+(G373*Settings!$C$3)+(H373*Settings!$C$4)+(I373*Settings!$C$5)+(K373*Settings!$C$9)+(N373*Settings!$C$6)+(J373*Settings!$C$8)+(O373*Settings!$C$7)+(P373*Settings!$C$14)+(Q373*Settings!$C$15)+(R373*Settings!$C$16)+(S373*Settings!$C$17)+(T373*Settings!$C$18)+(U373*Settings!$C$19)+(L373*Settings!$C$10)+(Settings!$C$11*M373)</f>
        <v>-3.1341786946669719</v>
      </c>
      <c r="D373" s="57" cm="1">
        <f t="array" ref="D373">IF(Settings!$E$12="YES",VLOOKUP(A373,'Player Data'!A1:E673,5,FALSE),82)</f>
        <v>75</v>
      </c>
      <c r="E373" s="55" cm="1">
        <f t="array" ref="E373">(VLOOKUP($A373,'The List'!$B1:$AH671,17,FALSE)-AVERAGE('The List'!R2:R671))/STDEV('The List'!R2:R671)</f>
        <v>-1.0005861826949407</v>
      </c>
      <c r="F373" s="55" cm="1">
        <f t="array" ref="F373">(VLOOKUP($A373,'The List'!$B1:$AH671,18,FALSE)-AVERAGE('The List'!S2:S671))/STDEV('The List'!S2:S671)</f>
        <v>-0.17496601323495128</v>
      </c>
      <c r="G373" s="55" cm="1">
        <f t="array" ref="G373">(VLOOKUP($A373,'The List'!$B1:$AH671,19,FALSE)-AVERAGE('The List'!T2:T671))/STDEV('The List'!T2:T671)</f>
        <v>-0.92445148550460166</v>
      </c>
      <c r="H373" s="55" cm="1">
        <f t="array" ref="H373">(VLOOKUP($A373,'The List'!$B1:$AH671,20,FALSE)-AVERAGE('The List'!U2:U671))/STDEV('The List'!U2:U671)</f>
        <v>-0.65905565694886004</v>
      </c>
      <c r="I373" s="55" cm="1">
        <f t="array" ref="I373">(VLOOKUP($A373,'The List'!$B1:$AH671,21,FALSE)-AVERAGE('The List'!V2:V671))/STDEV('The List'!V2:V671)</f>
        <v>-0.51253061984568005</v>
      </c>
      <c r="J373" s="55" cm="1">
        <f t="array" ref="J373">(VLOOKUP($A373,'The List'!$B1:$AH671,22,FALSE)-AVERAGE('The List'!W2:W671))/STDEV('The List'!W2:W671)</f>
        <v>-0.73853908386105271</v>
      </c>
      <c r="K373" s="55" cm="1">
        <f t="array" ref="K373">(VLOOKUP($A373,'The List'!$B1:$AH671,23,FALSE)-AVERAGE('The List'!X2:X671))/STDEV('The List'!X2:X671)</f>
        <v>-0.80155300200843405</v>
      </c>
      <c r="L373" s="55" cm="1">
        <f t="array" ref="L373">(VLOOKUP($A373,'The List'!$B1:$AH671,24,FALSE)-AVERAGE('The List'!Y2:Y671))/STDEV('The List'!Y2:Y671)</f>
        <v>-0.47546929358800777</v>
      </c>
      <c r="M373" s="55" cm="1">
        <f t="array" ref="M373">(VLOOKUP($A373,'The List'!$B1:$AH671,25,FALSE)-AVERAGE('The List'!Z2:Z671))/STDEV('The List'!Z2:Z671)</f>
        <v>-0.64388478613809508</v>
      </c>
      <c r="N373" s="55" cm="1">
        <f t="array" ref="N373">(VLOOKUP($A373,'The List'!$B1:$AH671,26,FALSE)-AVERAGE('The List'!AA2:AA671))/STDEV('The List'!AA2:AA671)</f>
        <v>-0.62687127809969589</v>
      </c>
      <c r="O373" s="55" cm="1">
        <f t="array" ref="O373">(VLOOKUP($A373,'The List'!$B1:$AH671,27,FALSE)-AVERAGE('The List'!AB2:AB671))/STDEV('The List'!AB2:AB671)</f>
        <v>-0.61573795447469004</v>
      </c>
      <c r="P373" s="55" cm="1">
        <f t="array" ref="P373">(VLOOKUP($A373,'The List'!$B1:$AH671,28,FALSE)-AVERAGE('The List'!AC2:AC671))/STDEV('The List'!AC2:AC671)</f>
        <v>-0.1049396195986151</v>
      </c>
      <c r="Q373" s="55" cm="1">
        <f t="array" ref="Q373">(VLOOKUP($A373,'The List'!$B1:$AH671,29,FALSE)-AVERAGE('The List'!AD2:AD671))/STDEV('The List'!AD2:AD671)</f>
        <v>-0.48975966345070343</v>
      </c>
      <c r="R373" s="55" cm="1">
        <f t="array" ref="R373">(VLOOKUP($A373,'The List'!$B1:$AH671,30,FALSE)-AVERAGE('The List'!AE2:AE671))/STDEV('The List'!AE2:AE671)</f>
        <v>5.9050389010909463E-2</v>
      </c>
      <c r="S373" s="55" cm="1">
        <f t="array" ref="S373">(VLOOKUP($A373,'The List'!$B1:$AH671,31,FALSE)-AVERAGE('The List'!AF2:AF671))/STDEV('The List'!AF2:AF671)</f>
        <v>1.4306373177782876</v>
      </c>
      <c r="T373" s="55" cm="1">
        <f t="array" ref="T373">(VLOOKUP($A373,'The List'!$B1:$AH671,32,FALSE)-AVERAGE('The List'!AG2:AG671))/STDEV('The List'!AG2:AG671)</f>
        <v>1.3511285324904148</v>
      </c>
      <c r="U373" s="55" cm="1">
        <f t="array" ref="U373">(VLOOKUP($A373,'The List'!$B1:$AH671,33,FALSE)-AVERAGE('The List'!AH2:AH671))/STDEV('The List'!AH2:AH671)</f>
        <v>1.1366970102784557</v>
      </c>
      <c r="V373" s="55"/>
      <c r="W373" s="57"/>
      <c r="X373" s="55"/>
      <c r="Y373" s="55"/>
      <c r="Z373" s="55"/>
      <c r="AA373" s="55"/>
      <c r="AB373" s="55"/>
      <c r="AC373" s="55"/>
      <c r="AD373" s="55"/>
      <c r="AE373" s="55"/>
    </row>
    <row r="374" spans="1:31" ht="21.25" customHeight="1" x14ac:dyDescent="0.15">
      <c r="A374" s="10" t="s">
        <v>404</v>
      </c>
      <c r="B374" s="18" t="str" cm="1">
        <f t="array" ref="B374">VLOOKUP(A374,'Player Data'!A1:B673,2,FALSE)</f>
        <v>BOS</v>
      </c>
      <c r="C374" s="52" cm="1">
        <f t="array" ref="C374">((E374)*Settings!$C$12)+(F374*Settings!$C$2)+(G374*Settings!$C$3)+(H374*Settings!$C$4)+(I374*Settings!$C$5)+(K374*Settings!$C$9)+(N374*Settings!$C$6)+(J374*Settings!$C$8)+(O374*Settings!$C$7)+(P374*Settings!$C$14)+(Q374*Settings!$C$15)+(R374*Settings!$C$16)+(S374*Settings!$C$17)+(T374*Settings!$C$18)+(U374*Settings!$C$19)+(L374*Settings!$C$10)+(Settings!$C$11*M374)</f>
        <v>-3.7195097957798486</v>
      </c>
      <c r="D374" s="57" cm="1">
        <f t="array" ref="D374">IF(Settings!$E$12="YES",VLOOKUP(A374,'Player Data'!A1:E673,5,FALSE),82)</f>
        <v>78</v>
      </c>
      <c r="E374" s="55" cm="1">
        <f t="array" ref="E374">(VLOOKUP($A374,'The List'!$B1:$AH671,17,FALSE)-AVERAGE('The List'!R2:R671))/STDEV('The List'!R2:R671)</f>
        <v>-0.18739076724578643</v>
      </c>
      <c r="F374" s="55" cm="1">
        <f t="array" ref="F374">(VLOOKUP($A374,'The List'!$B1:$AH671,18,FALSE)-AVERAGE('The List'!S2:S671))/STDEV('The List'!S2:S671)</f>
        <v>-0.82761831540556074</v>
      </c>
      <c r="G374" s="55" cm="1">
        <f t="array" ref="G374">(VLOOKUP($A374,'The List'!$B1:$AH671,19,FALSE)-AVERAGE('The List'!T2:T671))/STDEV('The List'!T2:T671)</f>
        <v>-0.34680353403696068</v>
      </c>
      <c r="H374" s="55" cm="1">
        <f t="array" ref="H374">(VLOOKUP($A374,'The List'!$B1:$AH671,20,FALSE)-AVERAGE('The List'!U2:U671))/STDEV('The List'!U2:U671)</f>
        <v>-0.58478754224383833</v>
      </c>
      <c r="I374" s="55" cm="1">
        <f t="array" ref="I374">(VLOOKUP($A374,'The List'!$B1:$AH671,21,FALSE)-AVERAGE('The List'!V2:V671))/STDEV('The List'!V2:V671)</f>
        <v>-0.93081302908616559</v>
      </c>
      <c r="J374" s="55" cm="1">
        <f t="array" ref="J374">(VLOOKUP($A374,'The List'!$B1:$AH671,22,FALSE)-AVERAGE('The List'!W2:W671))/STDEV('The List'!W2:W671)</f>
        <v>-0.30767193880851701</v>
      </c>
      <c r="K374" s="55" cm="1">
        <f t="array" ref="K374">(VLOOKUP($A374,'The List'!$B1:$AH671,23,FALSE)-AVERAGE('The List'!X2:X671))/STDEV('The List'!X2:X671)</f>
        <v>-9.6087451918563299E-2</v>
      </c>
      <c r="L374" s="55" cm="1">
        <f t="array" ref="L374">(VLOOKUP($A374,'The List'!$B1:$AH671,24,FALSE)-AVERAGE('The List'!Y2:Y671))/STDEV('The List'!Y2:Y671)</f>
        <v>-0.47546929358800777</v>
      </c>
      <c r="M374" s="55" cm="1">
        <f t="array" ref="M374">(VLOOKUP($A374,'The List'!$B1:$AH671,25,FALSE)-AVERAGE('The List'!Z2:Z671))/STDEV('The List'!Z2:Z671)</f>
        <v>-0.64388478613809508</v>
      </c>
      <c r="N374" s="55" cm="1">
        <f t="array" ref="N374">(VLOOKUP($A374,'The List'!$B1:$AH671,26,FALSE)-AVERAGE('The List'!AA2:AA671))/STDEV('The List'!AA2:AA671)</f>
        <v>0.66805544554008434</v>
      </c>
      <c r="O374" s="55" cm="1">
        <f t="array" ref="O374">(VLOOKUP($A374,'The List'!$B1:$AH671,27,FALSE)-AVERAGE('The List'!AB2:AB671))/STDEV('The List'!AB2:AB671)</f>
        <v>-0.90538520586865601</v>
      </c>
      <c r="P374" s="55" cm="1">
        <f t="array" ref="P374">(VLOOKUP($A374,'The List'!$B1:$AH671,28,FALSE)-AVERAGE('The List'!AC2:AC671))/STDEV('The List'!AC2:AC671)</f>
        <v>-0.61280225946394229</v>
      </c>
      <c r="Q374" s="55" cm="1">
        <f t="array" ref="Q374">(VLOOKUP($A374,'The List'!$B1:$AH671,29,FALSE)-AVERAGE('The List'!AD2:AD671))/STDEV('The List'!AD2:AD671)</f>
        <v>-0.76017655142138874</v>
      </c>
      <c r="R374" s="55" cm="1">
        <f t="array" ref="R374">(VLOOKUP($A374,'The List'!$B1:$AH671,30,FALSE)-AVERAGE('The List'!AE2:AE671))/STDEV('The List'!AE2:AE671)</f>
        <v>-0.85793399251974589</v>
      </c>
      <c r="S374" s="55" cm="1">
        <f t="array" ref="S374">(VLOOKUP($A374,'The List'!$B1:$AH671,31,FALSE)-AVERAGE('The List'!AF2:AF671))/STDEV('The List'!AF2:AF671)</f>
        <v>-0.59581850454342256</v>
      </c>
      <c r="T374" s="55" cm="1">
        <f t="array" ref="T374">(VLOOKUP($A374,'The List'!$B1:$AH671,32,FALSE)-AVERAGE('The List'!AG2:AG671))/STDEV('The List'!AG2:AG671)</f>
        <v>-0.64684275008198677</v>
      </c>
      <c r="U374" s="55" cm="1">
        <f t="array" ref="U374">(VLOOKUP($A374,'The List'!$B1:$AH671,33,FALSE)-AVERAGE('The List'!AH2:AH671))/STDEV('The List'!AH2:AH671)</f>
        <v>-1.2552626683789523</v>
      </c>
      <c r="V374" s="55"/>
      <c r="W374" s="57"/>
      <c r="X374" s="55"/>
      <c r="Y374" s="55"/>
      <c r="Z374" s="55"/>
      <c r="AA374" s="55"/>
      <c r="AB374" s="55"/>
      <c r="AC374" s="55"/>
      <c r="AD374" s="55"/>
      <c r="AE374" s="55"/>
    </row>
    <row r="375" spans="1:31" ht="21.25" customHeight="1" x14ac:dyDescent="0.15">
      <c r="A375" s="10" t="s">
        <v>746</v>
      </c>
      <c r="B375" s="18" t="str" cm="1">
        <f t="array" ref="B375">VLOOKUP(A375,'Player Data'!A1:B673,2,FALSE)</f>
        <v>VAN</v>
      </c>
      <c r="C375" s="52" cm="1">
        <f t="array" ref="C375">((E375)*Settings!$C$12)+(F375*Settings!$C$2)+(G375*Settings!$C$3)+(H375*Settings!$C$4)+(I375*Settings!$C$5)+(K375*Settings!$C$9)+(N375*Settings!$C$6)+(J375*Settings!$C$8)+(O375*Settings!$C$7)+(P375*Settings!$C$14)+(Q375*Settings!$C$15)+(R375*Settings!$C$16)+(S375*Settings!$C$17)+(T375*Settings!$C$18)+(U375*Settings!$C$19)+(L375*Settings!$C$10)+(Settings!$C$11*M375)</f>
        <v>-4.4066524949900705</v>
      </c>
      <c r="D375" s="57" cm="1">
        <f t="array" ref="D375">IF(Settings!$E$12="YES",VLOOKUP(A375,'Player Data'!A1:E673,5,FALSE),82)</f>
        <v>59</v>
      </c>
      <c r="E375" s="55" cm="1">
        <f t="array" ref="E375">(VLOOKUP($A375,'The List'!$B1:$AH671,17,FALSE)-AVERAGE('The List'!R2:R671))/STDEV('The List'!R2:R671)</f>
        <v>-1.0530504030464989</v>
      </c>
      <c r="F375" s="55" cm="1">
        <f t="array" ref="F375">(VLOOKUP($A375,'The List'!$B1:$AH671,18,FALSE)-AVERAGE('The List'!S2:S671))/STDEV('The List'!S2:S671)</f>
        <v>-0.37156005532609809</v>
      </c>
      <c r="G375" s="55" cm="1">
        <f t="array" ref="G375">(VLOOKUP($A375,'The List'!$B1:$AH671,19,FALSE)-AVERAGE('The List'!T2:T671))/STDEV('The List'!T2:T671)</f>
        <v>-0.91601866869485526</v>
      </c>
      <c r="H375" s="55" cm="1">
        <f t="array" ref="H375">(VLOOKUP($A375,'The List'!$B1:$AH671,20,FALSE)-AVERAGE('The List'!U2:U671))/STDEV('The List'!U2:U671)</f>
        <v>-0.74083899754665183</v>
      </c>
      <c r="I375" s="55" cm="1">
        <f t="array" ref="I375">(VLOOKUP($A375,'The List'!$B1:$AH671,21,FALSE)-AVERAGE('The List'!V2:V671))/STDEV('The List'!V2:V671)</f>
        <v>-0.94048829340564821</v>
      </c>
      <c r="J375" s="55" cm="1">
        <f t="array" ref="J375">(VLOOKUP($A375,'The List'!$B1:$AH671,22,FALSE)-AVERAGE('The List'!W2:W671))/STDEV('The List'!W2:W671)</f>
        <v>-0.24967059235913722</v>
      </c>
      <c r="K375" s="55" cm="1">
        <f t="array" ref="K375">(VLOOKUP($A375,'The List'!$B1:$AH671,23,FALSE)-AVERAGE('The List'!X2:X671))/STDEV('The List'!X2:X671)</f>
        <v>-0.26793162437635232</v>
      </c>
      <c r="L375" s="55" cm="1">
        <f t="array" ref="L375">(VLOOKUP($A375,'The List'!$B1:$AH671,24,FALSE)-AVERAGE('The List'!Y2:Y671))/STDEV('The List'!Y2:Y671)</f>
        <v>-0.47546929358800777</v>
      </c>
      <c r="M375" s="55" cm="1">
        <f t="array" ref="M375">(VLOOKUP($A375,'The List'!$B1:$AH671,25,FALSE)-AVERAGE('The List'!Z2:Z671))/STDEV('The List'!Z2:Z671)</f>
        <v>-0.64388478613809508</v>
      </c>
      <c r="N375" s="55" cm="1">
        <f t="array" ref="N375">(VLOOKUP($A375,'The List'!$B1:$AH671,26,FALSE)-AVERAGE('The List'!AA2:AA671))/STDEV('The List'!AA2:AA671)</f>
        <v>-0.99006374378327944</v>
      </c>
      <c r="O375" s="55" cm="1">
        <f t="array" ref="O375">(VLOOKUP($A375,'The List'!$B1:$AH671,27,FALSE)-AVERAGE('The List'!AB2:AB671))/STDEV('The List'!AB2:AB671)</f>
        <v>-0.26910419502161392</v>
      </c>
      <c r="P375" s="55" cm="1">
        <f t="array" ref="P375">(VLOOKUP($A375,'The List'!$B1:$AH671,28,FALSE)-AVERAGE('The List'!AC2:AC671))/STDEV('The List'!AC2:AC671)</f>
        <v>-1.6415496581655027</v>
      </c>
      <c r="Q375" s="55" cm="1">
        <f t="array" ref="Q375">(VLOOKUP($A375,'The List'!$B1:$AH671,29,FALSE)-AVERAGE('The List'!AD2:AD671))/STDEV('The List'!AD2:AD671)</f>
        <v>-1.3712005032021453</v>
      </c>
      <c r="R375" s="55" cm="1">
        <f t="array" ref="R375">(VLOOKUP($A375,'The List'!$B1:$AH671,30,FALSE)-AVERAGE('The List'!AE2:AE671))/STDEV('The List'!AE2:AE671)</f>
        <v>-0.60841443291956765</v>
      </c>
      <c r="S375" s="55" cm="1">
        <f t="array" ref="S375">(VLOOKUP($A375,'The List'!$B1:$AH671,31,FALSE)-AVERAGE('The List'!AF2:AF671))/STDEV('The List'!AF2:AF671)</f>
        <v>-0.59581850454342256</v>
      </c>
      <c r="T375" s="55" cm="1">
        <f t="array" ref="T375">(VLOOKUP($A375,'The List'!$B1:$AH671,32,FALSE)-AVERAGE('The List'!AG2:AG671))/STDEV('The List'!AG2:AG671)</f>
        <v>-0.64383175887708832</v>
      </c>
      <c r="U375" s="55" cm="1">
        <f t="array" ref="U375">(VLOOKUP($A375,'The List'!$B1:$AH671,33,FALSE)-AVERAGE('The List'!AH2:AH671))/STDEV('The List'!AH2:AH671)</f>
        <v>-1.2552626683789523</v>
      </c>
      <c r="V375" s="55"/>
      <c r="W375" s="57"/>
      <c r="X375" s="55"/>
      <c r="Y375" s="55"/>
      <c r="Z375" s="55"/>
      <c r="AA375" s="55"/>
      <c r="AB375" s="55"/>
      <c r="AC375" s="55"/>
      <c r="AD375" s="55"/>
      <c r="AE375" s="55"/>
    </row>
    <row r="376" spans="1:31" ht="21.25" customHeight="1" x14ac:dyDescent="0.15">
      <c r="A376" s="10" t="s">
        <v>336</v>
      </c>
      <c r="B376" s="18" t="str" cm="1">
        <f t="array" ref="B376">VLOOKUP(A376,'Player Data'!A1:B673,2,FALSE)</f>
        <v>CAR</v>
      </c>
      <c r="C376" s="52" cm="1">
        <f t="array" ref="C376">((E376)*Settings!$C$12)+(F376*Settings!$C$2)+(G376*Settings!$C$3)+(H376*Settings!$C$4)+(I376*Settings!$C$5)+(K376*Settings!$C$9)+(N376*Settings!$C$6)+(J376*Settings!$C$8)+(O376*Settings!$C$7)+(P376*Settings!$C$14)+(Q376*Settings!$C$15)+(R376*Settings!$C$16)+(S376*Settings!$C$17)+(T376*Settings!$C$18)+(U376*Settings!$C$19)+(L376*Settings!$C$10)+(Settings!$C$11*M376)</f>
        <v>-1.5044322974091737</v>
      </c>
      <c r="D376" s="57" cm="1">
        <f t="array" ref="D376">IF(Settings!$E$12="YES",VLOOKUP(A376,'Player Data'!A1:E673,5,FALSE),82)</f>
        <v>80</v>
      </c>
      <c r="E376" s="55" cm="1">
        <f t="array" ref="E376">(VLOOKUP($A376,'The List'!$B1:$AH671,17,FALSE)-AVERAGE('The List'!R2:R671))/STDEV('The List'!R2:R671)</f>
        <v>1.2029110720705083</v>
      </c>
      <c r="F376" s="55" cm="1">
        <f t="array" ref="F376">(VLOOKUP($A376,'The List'!$B1:$AH671,18,FALSE)-AVERAGE('The List'!S2:S671))/STDEV('The List'!S2:S671)</f>
        <v>-0.89348230920259475</v>
      </c>
      <c r="G376" s="55" cm="1">
        <f t="array" ref="G376">(VLOOKUP($A376,'The List'!$B1:$AH671,19,FALSE)-AVERAGE('The List'!T2:T671))/STDEV('The List'!T2:T671)</f>
        <v>-0.14441593060304245</v>
      </c>
      <c r="H376" s="55" cm="1">
        <f t="array" ref="H376">(VLOOKUP($A376,'The List'!$B1:$AH671,20,FALSE)-AVERAGE('The List'!U2:U671))/STDEV('The List'!U2:U671)</f>
        <v>-0.4866475335264881</v>
      </c>
      <c r="I376" s="55" cm="1">
        <f t="array" ref="I376">(VLOOKUP($A376,'The List'!$B1:$AH671,21,FALSE)-AVERAGE('The List'!V2:V671))/STDEV('The List'!V2:V671)</f>
        <v>-0.12465618418071089</v>
      </c>
      <c r="J376" s="55" cm="1">
        <f t="array" ref="J376">(VLOOKUP($A376,'The List'!$B1:$AH671,22,FALSE)-AVERAGE('The List'!W2:W671))/STDEV('The List'!W2:W671)</f>
        <v>-0.73853908386105271</v>
      </c>
      <c r="K376" s="55" cm="1">
        <f t="array" ref="K376">(VLOOKUP($A376,'The List'!$B1:$AH671,23,FALSE)-AVERAGE('The List'!X2:X671))/STDEV('The List'!X2:X671)</f>
        <v>-0.80155300200843405</v>
      </c>
      <c r="L376" s="55" cm="1">
        <f t="array" ref="L376">(VLOOKUP($A376,'The List'!$B1:$AH671,24,FALSE)-AVERAGE('The List'!Y2:Y671))/STDEV('The List'!Y2:Y671)</f>
        <v>0.99105006976271182</v>
      </c>
      <c r="M376" s="55" cm="1">
        <f t="array" ref="M376">(VLOOKUP($A376,'The List'!$B1:$AH671,25,FALSE)-AVERAGE('The List'!Z2:Z671))/STDEV('The List'!Z2:Z671)</f>
        <v>1.9640019078919404</v>
      </c>
      <c r="N376" s="55" cm="1">
        <f t="array" ref="N376">(VLOOKUP($A376,'The List'!$B1:$AH671,26,FALSE)-AVERAGE('The List'!AA2:AA671))/STDEV('The List'!AA2:AA671)</f>
        <v>1.5849759461055311</v>
      </c>
      <c r="O376" s="55" cm="1">
        <f t="array" ref="O376">(VLOOKUP($A376,'The List'!$B1:$AH671,27,FALSE)-AVERAGE('The List'!AB2:AB671))/STDEV('The List'!AB2:AB671)</f>
        <v>-0.99803952832447551</v>
      </c>
      <c r="P376" s="55" cm="1">
        <f t="array" ref="P376">(VLOOKUP($A376,'The List'!$B1:$AH671,28,FALSE)-AVERAGE('The List'!AC2:AC671))/STDEV('The List'!AC2:AC671)</f>
        <v>1.4577146569100838</v>
      </c>
      <c r="Q376" s="55" cm="1">
        <f t="array" ref="Q376">(VLOOKUP($A376,'The List'!$B1:$AH671,29,FALSE)-AVERAGE('The List'!AD2:AD671))/STDEV('The List'!AD2:AD671)</f>
        <v>-1.3098764548372086</v>
      </c>
      <c r="R376" s="55" cm="1">
        <f t="array" ref="R376">(VLOOKUP($A376,'The List'!$B1:$AH671,30,FALSE)-AVERAGE('The List'!AE2:AE671))/STDEV('The List'!AE2:AE671)</f>
        <v>-0.84545801453973701</v>
      </c>
      <c r="S376" s="55" cm="1">
        <f t="array" ref="S376">(VLOOKUP($A376,'The List'!$B1:$AH671,31,FALSE)-AVERAGE('The List'!AF2:AF671))/STDEV('The List'!AF2:AF671)</f>
        <v>-0.59581850454342256</v>
      </c>
      <c r="T376" s="55" cm="1">
        <f t="array" ref="T376">(VLOOKUP($A376,'The List'!$B1:$AH671,32,FALSE)-AVERAGE('The List'!AG2:AG671))/STDEV('The List'!AG2:AG671)</f>
        <v>-0.64684275008198677</v>
      </c>
      <c r="U376" s="55" cm="1">
        <f t="array" ref="U376">(VLOOKUP($A376,'The List'!$B1:$AH671,33,FALSE)-AVERAGE('The List'!AH2:AH671))/STDEV('The List'!AH2:AH671)</f>
        <v>-1.2552626683789523</v>
      </c>
      <c r="V376" s="55"/>
      <c r="W376" s="77"/>
      <c r="X376" s="57"/>
      <c r="Y376" s="57"/>
      <c r="Z376" s="57"/>
      <c r="AA376" s="57"/>
      <c r="AB376" s="57"/>
      <c r="AC376" s="60"/>
      <c r="AD376" s="61"/>
      <c r="AE376" s="55"/>
    </row>
    <row r="377" spans="1:31" ht="21.25" customHeight="1" x14ac:dyDescent="0.15">
      <c r="A377" s="10" t="s">
        <v>359</v>
      </c>
      <c r="B377" s="18" t="str" cm="1">
        <f t="array" ref="B377">VLOOKUP(A377,'Player Data'!A1:B673,2,FALSE)</f>
        <v>COL</v>
      </c>
      <c r="C377" s="52" cm="1">
        <f t="array" ref="C377">((E377)*Settings!$C$12)+(F377*Settings!$C$2)+(G377*Settings!$C$3)+(H377*Settings!$C$4)+(I377*Settings!$C$5)+(K377*Settings!$C$9)+(N377*Settings!$C$6)+(J377*Settings!$C$8)+(O377*Settings!$C$7)+(P377*Settings!$C$14)+(Q377*Settings!$C$15)+(R377*Settings!$C$16)+(S377*Settings!$C$17)+(T377*Settings!$C$18)+(U377*Settings!$C$19)+(L377*Settings!$C$10)+(Settings!$C$11*M377)</f>
        <v>0.56685091451755443</v>
      </c>
      <c r="D377" s="57" cm="1">
        <f t="array" ref="D377">IF(Settings!$E$12="YES",VLOOKUP(A377,'Player Data'!A1:E673,5,FALSE),82)</f>
        <v>78</v>
      </c>
      <c r="E377" s="55" cm="1">
        <f t="array" ref="E377">(VLOOKUP($A377,'The List'!$B1:$AH671,17,FALSE)-AVERAGE('The List'!R2:R671))/STDEV('The List'!R2:R671)</f>
        <v>0.5471083176760293</v>
      </c>
      <c r="F377" s="55" cm="1">
        <f t="array" ref="F377">(VLOOKUP($A377,'The List'!$B1:$AH671,18,FALSE)-AVERAGE('The List'!S2:S671))/STDEV('The List'!S2:S671)</f>
        <v>-0.98329684619855018</v>
      </c>
      <c r="G377" s="55" cm="1">
        <f t="array" ref="G377">(VLOOKUP($A377,'The List'!$B1:$AH671,19,FALSE)-AVERAGE('The List'!T2:T671))/STDEV('The List'!T2:T671)</f>
        <v>-0.34680353403696068</v>
      </c>
      <c r="H377" s="55" cm="1">
        <f t="array" ref="H377">(VLOOKUP($A377,'The List'!$B1:$AH671,20,FALSE)-AVERAGE('The List'!U2:U671))/STDEV('The List'!U2:U671)</f>
        <v>-0.65375079161278715</v>
      </c>
      <c r="I377" s="55" cm="1">
        <f t="array" ref="I377">(VLOOKUP($A377,'The List'!$B1:$AH671,21,FALSE)-AVERAGE('The List'!V2:V671))/STDEV('The List'!V2:V671)</f>
        <v>-0.27047623928148345</v>
      </c>
      <c r="J377" s="55" cm="1">
        <f t="array" ref="J377">(VLOOKUP($A377,'The List'!$B1:$AH671,22,FALSE)-AVERAGE('The List'!W2:W671))/STDEV('The List'!W2:W671)</f>
        <v>-0.73853908386105271</v>
      </c>
      <c r="K377" s="55" cm="1">
        <f t="array" ref="K377">(VLOOKUP($A377,'The List'!$B1:$AH671,23,FALSE)-AVERAGE('The List'!X2:X671))/STDEV('The List'!X2:X671)</f>
        <v>-0.80155300200843405</v>
      </c>
      <c r="L377" s="55" cm="1">
        <f t="array" ref="L377">(VLOOKUP($A377,'The List'!$B1:$AH671,24,FALSE)-AVERAGE('The List'!Y2:Y671))/STDEV('The List'!Y2:Y671)</f>
        <v>-0.47546929358800777</v>
      </c>
      <c r="M377" s="55" cm="1">
        <f t="array" ref="M377">(VLOOKUP($A377,'The List'!$B1:$AH671,25,FALSE)-AVERAGE('The List'!Z2:Z671))/STDEV('The List'!Z2:Z671)</f>
        <v>0.20367838942166649</v>
      </c>
      <c r="N377" s="55" cm="1">
        <f t="array" ref="N377">(VLOOKUP($A377,'The List'!$B1:$AH671,26,FALSE)-AVERAGE('The List'!AA2:AA671))/STDEV('The List'!AA2:AA671)</f>
        <v>0.94696273986249901</v>
      </c>
      <c r="O377" s="55" cm="1">
        <f t="array" ref="O377">(VLOOKUP($A377,'The List'!$B1:$AH671,27,FALSE)-AVERAGE('The List'!AB2:AB671))/STDEV('The List'!AB2:AB671)</f>
        <v>1.3810446894238404</v>
      </c>
      <c r="P377" s="55" cm="1">
        <f t="array" ref="P377">(VLOOKUP($A377,'The List'!$B1:$AH671,28,FALSE)-AVERAGE('The List'!AC2:AC671))/STDEV('The List'!AC2:AC671)</f>
        <v>1.5879358466191424</v>
      </c>
      <c r="Q377" s="55" cm="1">
        <f t="array" ref="Q377">(VLOOKUP($A377,'The List'!$B1:$AH671,29,FALSE)-AVERAGE('The List'!AD2:AD671))/STDEV('The List'!AD2:AD671)</f>
        <v>2.9857623065331871</v>
      </c>
      <c r="R377" s="55" cm="1">
        <f t="array" ref="R377">(VLOOKUP($A377,'The List'!$B1:$AH671,30,FALSE)-AVERAGE('The List'!AE2:AE671))/STDEV('The List'!AE2:AE671)</f>
        <v>-0.85793399251974589</v>
      </c>
      <c r="S377" s="55" cm="1">
        <f t="array" ref="S377">(VLOOKUP($A377,'The List'!$B1:$AH671,31,FALSE)-AVERAGE('The List'!AF2:AF671))/STDEV('The List'!AF2:AF671)</f>
        <v>-0.59581850454342256</v>
      </c>
      <c r="T377" s="55" cm="1">
        <f t="array" ref="T377">(VLOOKUP($A377,'The List'!$B1:$AH671,32,FALSE)-AVERAGE('The List'!AG2:AG671))/STDEV('The List'!AG2:AG671)</f>
        <v>-0.64684275008198677</v>
      </c>
      <c r="U377" s="55" cm="1">
        <f t="array" ref="U377">(VLOOKUP($A377,'The List'!$B1:$AH671,33,FALSE)-AVERAGE('The List'!AH2:AH671))/STDEV('The List'!AH2:AH671)</f>
        <v>-1.2552626683789523</v>
      </c>
      <c r="V377" s="55"/>
      <c r="W377" s="77"/>
      <c r="X377" s="57"/>
      <c r="Y377" s="57"/>
      <c r="Z377" s="57"/>
      <c r="AA377" s="57"/>
      <c r="AB377" s="57"/>
      <c r="AC377" s="60"/>
      <c r="AD377" s="61"/>
      <c r="AE377" s="55"/>
    </row>
    <row r="378" spans="1:31" ht="21.25" customHeight="1" x14ac:dyDescent="0.15">
      <c r="A378" s="10" t="s">
        <v>314</v>
      </c>
      <c r="B378" s="18" t="str" cm="1">
        <f t="array" ref="B378">VLOOKUP(A378,'Player Data'!A1:B673,2,FALSE)</f>
        <v>MTL</v>
      </c>
      <c r="C378" s="52" cm="1">
        <f t="array" ref="C378">((E378)*Settings!$C$12)+(F378*Settings!$C$2)+(G378*Settings!$C$3)+(H378*Settings!$C$4)+(I378*Settings!$C$5)+(K378*Settings!$C$9)+(N378*Settings!$C$6)+(J378*Settings!$C$8)+(O378*Settings!$C$7)+(P378*Settings!$C$14)+(Q378*Settings!$C$15)+(R378*Settings!$C$16)+(S378*Settings!$C$17)+(T378*Settings!$C$18)+(U378*Settings!$C$19)+(L378*Settings!$C$10)+(Settings!$C$11*M378)</f>
        <v>-2.6018382251666341</v>
      </c>
      <c r="D378" s="57" cm="1">
        <f t="array" ref="D378">IF(Settings!$E$12="YES",VLOOKUP(A378,'Player Data'!A1:E673,5,FALSE),82)</f>
        <v>83</v>
      </c>
      <c r="E378" s="55" cm="1">
        <f t="array" ref="E378">(VLOOKUP($A378,'The List'!$B1:$AH671,17,FALSE)-AVERAGE('The List'!R2:R671))/STDEV('The List'!R2:R671)</f>
        <v>1.4652321738283001</v>
      </c>
      <c r="F378" s="55" cm="1">
        <f t="array" ref="F378">(VLOOKUP($A378,'The List'!$B1:$AH671,18,FALSE)-AVERAGE('The List'!S2:S671))/STDEV('The List'!S2:S671)</f>
        <v>-0.95834836369967369</v>
      </c>
      <c r="G378" s="55" cm="1">
        <f t="array" ref="G378">(VLOOKUP($A378,'The List'!$B1:$AH671,19,FALSE)-AVERAGE('The List'!T2:T671))/STDEV('The List'!T2:T671)</f>
        <v>-8.7494417137253075E-2</v>
      </c>
      <c r="H378" s="55" cm="1">
        <f t="array" ref="H378">(VLOOKUP($A378,'The List'!$B1:$AH671,20,FALSE)-AVERAGE('The List'!U2:U671))/STDEV('The List'!U2:U671)</f>
        <v>-0.47957437974505746</v>
      </c>
      <c r="I378" s="55" cm="1">
        <f t="array" ref="I378">(VLOOKUP($A378,'The List'!$B1:$AH671,21,FALSE)-AVERAGE('The List'!V2:V671))/STDEV('The List'!V2:V671)</f>
        <v>-0.29120894853751722</v>
      </c>
      <c r="J378" s="55" cm="1">
        <f t="array" ref="J378">(VLOOKUP($A378,'The List'!$B1:$AH671,22,FALSE)-AVERAGE('The List'!W2:W671))/STDEV('The List'!W2:W671)</f>
        <v>-0.73853908386105271</v>
      </c>
      <c r="K378" s="55" cm="1">
        <f t="array" ref="K378">(VLOOKUP($A378,'The List'!$B1:$AH671,23,FALSE)-AVERAGE('The List'!X2:X671))/STDEV('The List'!X2:X671)</f>
        <v>-0.71814325748213881</v>
      </c>
      <c r="L378" s="55" cm="1">
        <f t="array" ref="L378">(VLOOKUP($A378,'The List'!$B1:$AH671,24,FALSE)-AVERAGE('The List'!Y2:Y671))/STDEV('The List'!Y2:Y671)</f>
        <v>-0.47546929358800777</v>
      </c>
      <c r="M378" s="55" cm="1">
        <f t="array" ref="M378">(VLOOKUP($A378,'The List'!$B1:$AH671,25,FALSE)-AVERAGE('The List'!Z2:Z671))/STDEV('The List'!Z2:Z671)</f>
        <v>0.25800936221395893</v>
      </c>
      <c r="N378" s="55" cm="1">
        <f t="array" ref="N378">(VLOOKUP($A378,'The List'!$B1:$AH671,26,FALSE)-AVERAGE('The List'!AA2:AA671))/STDEV('The List'!AA2:AA671)</f>
        <v>2.298845806573615</v>
      </c>
      <c r="O378" s="55" cm="1">
        <f t="array" ref="O378">(VLOOKUP($A378,'The List'!$B1:$AH671,27,FALSE)-AVERAGE('The List'!AB2:AB671))/STDEV('The List'!AB2:AB671)</f>
        <v>-0.44170361871143632</v>
      </c>
      <c r="P378" s="55" cm="1">
        <f t="array" ref="P378">(VLOOKUP($A378,'The List'!$B1:$AH671,28,FALSE)-AVERAGE('The List'!AC2:AC671))/STDEV('The List'!AC2:AC671)</f>
        <v>-0.1049396195986151</v>
      </c>
      <c r="Q378" s="55" cm="1">
        <f t="array" ref="Q378">(VLOOKUP($A378,'The List'!$B1:$AH671,29,FALSE)-AVERAGE('The List'!AD2:AD671))/STDEV('The List'!AD2:AD671)</f>
        <v>0.63106661811085296</v>
      </c>
      <c r="R378" s="55" cm="1">
        <f t="array" ref="R378">(VLOOKUP($A378,'The List'!$B1:$AH671,30,FALSE)-AVERAGE('The List'!AE2:AE671))/STDEV('The List'!AE2:AE671)</f>
        <v>-0.82674404756972364</v>
      </c>
      <c r="S378" s="55" cm="1">
        <f t="array" ref="S378">(VLOOKUP($A378,'The List'!$B1:$AH671,31,FALSE)-AVERAGE('The List'!AF2:AF671))/STDEV('The List'!AF2:AF671)</f>
        <v>-0.59581850454342256</v>
      </c>
      <c r="T378" s="55" cm="1">
        <f t="array" ref="T378">(VLOOKUP($A378,'The List'!$B1:$AH671,32,FALSE)-AVERAGE('The List'!AG2:AG671))/STDEV('The List'!AG2:AG671)</f>
        <v>-0.64684275008198677</v>
      </c>
      <c r="U378" s="55" cm="1">
        <f t="array" ref="U378">(VLOOKUP($A378,'The List'!$B1:$AH671,33,FALSE)-AVERAGE('The List'!AH2:AH671))/STDEV('The List'!AH2:AH671)</f>
        <v>-1.2552626683789523</v>
      </c>
      <c r="V378" s="55"/>
      <c r="W378" s="57"/>
      <c r="X378" s="55"/>
      <c r="Y378" s="55"/>
      <c r="Z378" s="55"/>
      <c r="AA378" s="55"/>
      <c r="AB378" s="55"/>
      <c r="AC378" s="55"/>
      <c r="AD378" s="55"/>
      <c r="AE378" s="55"/>
    </row>
    <row r="379" spans="1:31" ht="21.25" customHeight="1" x14ac:dyDescent="0.15">
      <c r="A379" s="10" t="s">
        <v>349</v>
      </c>
      <c r="B379" s="18" t="str" cm="1">
        <f t="array" ref="B379">VLOOKUP(A379,'Player Data'!A1:B673,2,FALSE)</f>
        <v>BUF</v>
      </c>
      <c r="C379" s="52" cm="1">
        <f t="array" ref="C379">((E379)*Settings!$C$12)+(F379*Settings!$C$2)+(G379*Settings!$C$3)+(H379*Settings!$C$4)+(I379*Settings!$C$5)+(K379*Settings!$C$9)+(N379*Settings!$C$6)+(J379*Settings!$C$8)+(O379*Settings!$C$7)+(P379*Settings!$C$14)+(Q379*Settings!$C$15)+(R379*Settings!$C$16)+(S379*Settings!$C$17)+(T379*Settings!$C$18)+(U379*Settings!$C$19)+(L379*Settings!$C$10)+(Settings!$C$11*M379)</f>
        <v>-2.3695499270096234</v>
      </c>
      <c r="D379" s="57" cm="1">
        <f t="array" ref="D379">IF(Settings!$E$12="YES",VLOOKUP(A379,'Player Data'!A1:E673,5,FALSE),82)</f>
        <v>78</v>
      </c>
      <c r="E379" s="55" cm="1">
        <f t="array" ref="E379">(VLOOKUP($A379,'The List'!$B1:$AH671,17,FALSE)-AVERAGE('The List'!R2:R671))/STDEV('The List'!R2:R671)</f>
        <v>0.65203675837914654</v>
      </c>
      <c r="F379" s="55" cm="1">
        <f t="array" ref="F379">(VLOOKUP($A379,'The List'!$B1:$AH671,18,FALSE)-AVERAGE('The List'!S2:S671))/STDEV('The List'!S2:S671)</f>
        <v>-0.67193978461257142</v>
      </c>
      <c r="G379" s="55" cm="1">
        <f t="array" ref="G379">(VLOOKUP($A379,'The List'!$B1:$AH671,19,FALSE)-AVERAGE('The List'!T2:T671))/STDEV('The List'!T2:T671)</f>
        <v>-0.56605677109037178</v>
      </c>
      <c r="H379" s="55" cm="1">
        <f t="array" ref="H379">(VLOOKUP($A379,'The List'!$B1:$AH671,20,FALSE)-AVERAGE('The List'!U2:U671))/STDEV('The List'!U2:U671)</f>
        <v>-0.65375079161278704</v>
      </c>
      <c r="I379" s="55" cm="1">
        <f t="array" ref="I379">(VLOOKUP($A379,'The List'!$B1:$AH671,21,FALSE)-AVERAGE('The List'!V2:V671))/STDEV('The List'!V2:V671)</f>
        <v>-5.4856063018729702E-2</v>
      </c>
      <c r="J379" s="55" cm="1">
        <f t="array" ref="J379">(VLOOKUP($A379,'The List'!$B1:$AH671,22,FALSE)-AVERAGE('The List'!W2:W671))/STDEV('The List'!W2:W671)</f>
        <v>-0.73853908386105271</v>
      </c>
      <c r="K379" s="55" cm="1">
        <f t="array" ref="K379">(VLOOKUP($A379,'The List'!$B1:$AH671,23,FALSE)-AVERAGE('The List'!X2:X671))/STDEV('The List'!X2:X671)</f>
        <v>-0.64478287976624049</v>
      </c>
      <c r="L379" s="55" cm="1">
        <f t="array" ref="L379">(VLOOKUP($A379,'The List'!$B1:$AH671,24,FALSE)-AVERAGE('The List'!Y2:Y671))/STDEV('The List'!Y2:Y671)</f>
        <v>-0.47546929358800777</v>
      </c>
      <c r="M379" s="55" cm="1">
        <f t="array" ref="M379">(VLOOKUP($A379,'The List'!$B1:$AH671,25,FALSE)-AVERAGE('The List'!Z2:Z671))/STDEV('The List'!Z2:Z671)</f>
        <v>-0.64388478613809508</v>
      </c>
      <c r="N379" s="55" cm="1">
        <f t="array" ref="N379">(VLOOKUP($A379,'The List'!$B1:$AH671,26,FALSE)-AVERAGE('The List'!AA2:AA671))/STDEV('The List'!AA2:AA671)</f>
        <v>0.82743104229574982</v>
      </c>
      <c r="O379" s="55" cm="1">
        <f t="array" ref="O379">(VLOOKUP($A379,'The List'!$B1:$AH671,27,FALSE)-AVERAGE('The List'!AB2:AB671))/STDEV('The List'!AB2:AB671)</f>
        <v>-0.66554990216664611</v>
      </c>
      <c r="P379" s="55" cm="1">
        <f t="array" ref="P379">(VLOOKUP($A379,'The List'!$B1:$AH671,28,FALSE)-AVERAGE('The List'!AC2:AC671))/STDEV('The List'!AC2:AC671)</f>
        <v>0.23363547364493639</v>
      </c>
      <c r="Q379" s="55" cm="1">
        <f t="array" ref="Q379">(VLOOKUP($A379,'The List'!$B1:$AH671,29,FALSE)-AVERAGE('The List'!AD2:AD671))/STDEV('The List'!AD2:AD671)</f>
        <v>0.16190070592127581</v>
      </c>
      <c r="R379" s="55" cm="1">
        <f t="array" ref="R379">(VLOOKUP($A379,'The List'!$B1:$AH671,30,FALSE)-AVERAGE('The List'!AE2:AE671))/STDEV('The List'!AE2:AE671)</f>
        <v>-0.85793399251974589</v>
      </c>
      <c r="S379" s="55" cm="1">
        <f t="array" ref="S379">(VLOOKUP($A379,'The List'!$B1:$AH671,31,FALSE)-AVERAGE('The List'!AF2:AF671))/STDEV('The List'!AF2:AF671)</f>
        <v>-0.59581850454342256</v>
      </c>
      <c r="T379" s="55" cm="1">
        <f t="array" ref="T379">(VLOOKUP($A379,'The List'!$B1:$AH671,32,FALSE)-AVERAGE('The List'!AG2:AG671))/STDEV('The List'!AG2:AG671)</f>
        <v>-0.64684275008198677</v>
      </c>
      <c r="U379" s="55" cm="1">
        <f t="array" ref="U379">(VLOOKUP($A379,'The List'!$B1:$AH671,33,FALSE)-AVERAGE('The List'!AH2:AH671))/STDEV('The List'!AH2:AH671)</f>
        <v>-1.2552626683789523</v>
      </c>
      <c r="V379" s="55"/>
      <c r="W379" s="77"/>
      <c r="X379" s="57"/>
      <c r="Y379" s="57"/>
      <c r="Z379" s="57"/>
      <c r="AA379" s="57"/>
      <c r="AB379" s="57"/>
      <c r="AC379" s="60"/>
      <c r="AD379" s="61"/>
      <c r="AE379" s="55"/>
    </row>
    <row r="380" spans="1:31" ht="21.25" customHeight="1" x14ac:dyDescent="0.15">
      <c r="A380" s="10" t="s">
        <v>708</v>
      </c>
      <c r="B380" s="18" t="str" cm="1">
        <f t="array" ref="B380">VLOOKUP(A380,'Player Data'!A1:B673,2,FALSE)</f>
        <v>DAL</v>
      </c>
      <c r="C380" s="52" cm="1">
        <f t="array" ref="C380">((E380)*Settings!$C$12)+(F380*Settings!$C$2)+(G380*Settings!$C$3)+(H380*Settings!$C$4)+(I380*Settings!$C$5)+(K380*Settings!$C$9)+(N380*Settings!$C$6)+(J380*Settings!$C$8)+(O380*Settings!$C$7)+(P380*Settings!$C$14)+(Q380*Settings!$C$15)+(R380*Settings!$C$16)+(S380*Settings!$C$17)+(T380*Settings!$C$18)+(U380*Settings!$C$19)+(L380*Settings!$C$10)+(Settings!$C$11*M380)</f>
        <v>-1.726368971078331</v>
      </c>
      <c r="D380" s="57" cm="1">
        <f t="array" ref="D380">IF(Settings!$E$12="YES",VLOOKUP(A380,'Player Data'!A1:E673,5,FALSE),82)</f>
        <v>67</v>
      </c>
      <c r="E380" s="55" cm="1">
        <f t="array" ref="E380">(VLOOKUP($A380,'The List'!$B1:$AH671,17,FALSE)-AVERAGE('The List'!R2:R671))/STDEV('The List'!R2:R671)</f>
        <v>-0.89565774199182402</v>
      </c>
      <c r="F380" s="55" cm="1">
        <f t="array" ref="F380">(VLOOKUP($A380,'The List'!$B1:$AH671,18,FALSE)-AVERAGE('The List'!S2:S671))/STDEV('The List'!S2:S671)</f>
        <v>-0.43642610982317703</v>
      </c>
      <c r="G380" s="55" cm="1">
        <f t="array" ref="G380">(VLOOKUP($A380,'The List'!$B1:$AH671,19,FALSE)-AVERAGE('The List'!T2:T671))/STDEV('The List'!T2:T671)</f>
        <v>-0.95607454854115159</v>
      </c>
      <c r="H380" s="55" cm="1">
        <f t="array" ref="H380">(VLOOKUP($A380,'The List'!$B1:$AH671,20,FALSE)-AVERAGE('The List'!U2:U671))/STDEV('The List'!U2:U671)</f>
        <v>-0.79477179513006047</v>
      </c>
      <c r="I380" s="55" cm="1">
        <f t="array" ref="I380">(VLOOKUP($A380,'The List'!$B1:$AH671,21,FALSE)-AVERAGE('The List'!V2:V671))/STDEV('The List'!V2:V671)</f>
        <v>-0.67925615677961992</v>
      </c>
      <c r="J380" s="55" cm="1">
        <f t="array" ref="J380">(VLOOKUP($A380,'The List'!$B1:$AH671,22,FALSE)-AVERAGE('The List'!W2:W671))/STDEV('The List'!W2:W671)</f>
        <v>-0.73853908386105271</v>
      </c>
      <c r="K380" s="55" cm="1">
        <f t="array" ref="K380">(VLOOKUP($A380,'The List'!$B1:$AH671,23,FALSE)-AVERAGE('The List'!X2:X671))/STDEV('The List'!X2:X671)</f>
        <v>-0.80155300200843405</v>
      </c>
      <c r="L380" s="55" cm="1">
        <f t="array" ref="L380">(VLOOKUP($A380,'The List'!$B1:$AH671,24,FALSE)-AVERAGE('The List'!Y2:Y671))/STDEV('The List'!Y2:Y671)</f>
        <v>3.2091606068306748</v>
      </c>
      <c r="M380" s="55" cm="1">
        <f t="array" ref="M380">(VLOOKUP($A380,'The List'!$B1:$AH671,25,FALSE)-AVERAGE('The List'!Z2:Z671))/STDEV('The List'!Z2:Z671)</f>
        <v>1.5402203201120594</v>
      </c>
      <c r="N380" s="55" cm="1">
        <f t="array" ref="N380">(VLOOKUP($A380,'The List'!$B1:$AH671,26,FALSE)-AVERAGE('The List'!AA2:AA671))/STDEV('The List'!AA2:AA671)</f>
        <v>-0.85290878311374041</v>
      </c>
      <c r="O380" s="55" cm="1">
        <f t="array" ref="O380">(VLOOKUP($A380,'The List'!$B1:$AH671,27,FALSE)-AVERAGE('The List'!AB2:AB671))/STDEV('The List'!AB2:AB671)</f>
        <v>0.52481215646375823</v>
      </c>
      <c r="P380" s="55" cm="1">
        <f t="array" ref="P380">(VLOOKUP($A380,'The List'!$B1:$AH671,28,FALSE)-AVERAGE('The List'!AC2:AC671))/STDEV('The List'!AC2:AC671)</f>
        <v>0.62212868961029344</v>
      </c>
      <c r="Q380" s="55" cm="1">
        <f t="array" ref="Q380">(VLOOKUP($A380,'The List'!$B1:$AH671,29,FALSE)-AVERAGE('The List'!AD2:AD671))/STDEV('The List'!AD2:AD671)</f>
        <v>-1.0867455800635828</v>
      </c>
      <c r="R380" s="55" cm="1">
        <f t="array" ref="R380">(VLOOKUP($A380,'The List'!$B1:$AH671,30,FALSE)-AVERAGE('The List'!AE2:AE671))/STDEV('The List'!AE2:AE671)</f>
        <v>-0.50860660907949617</v>
      </c>
      <c r="S380" s="55" cm="1">
        <f t="array" ref="S380">(VLOOKUP($A380,'The List'!$B1:$AH671,31,FALSE)-AVERAGE('The List'!AF2:AF671))/STDEV('The List'!AF2:AF671)</f>
        <v>1.6235712967813012</v>
      </c>
      <c r="T380" s="55" cm="1">
        <f t="array" ref="T380">(VLOOKUP($A380,'The List'!$B1:$AH671,32,FALSE)-AVERAGE('The List'!AG2:AG671))/STDEV('The List'!AG2:AG671)</f>
        <v>0.96362927454476355</v>
      </c>
      <c r="U380" s="55" cm="1">
        <f t="array" ref="U380">(VLOOKUP($A380,'The List'!$B1:$AH671,33,FALSE)-AVERAGE('The List'!AH2:AH671))/STDEV('The List'!AH2:AH671)</f>
        <v>1.4586915824054141</v>
      </c>
      <c r="V380" s="55"/>
      <c r="W380" s="77"/>
      <c r="X380" s="57"/>
      <c r="Y380" s="57"/>
      <c r="Z380" s="57"/>
      <c r="AA380" s="57"/>
      <c r="AB380" s="57"/>
      <c r="AC380" s="60"/>
      <c r="AD380" s="61"/>
      <c r="AE380" s="55"/>
    </row>
    <row r="381" spans="1:31" ht="21.25" customHeight="1" x14ac:dyDescent="0.15">
      <c r="A381" s="10" t="s">
        <v>646</v>
      </c>
      <c r="B381" s="18" t="str" cm="1">
        <f t="array" ref="B381">VLOOKUP(A381,'Player Data'!A1:B673,2,FALSE)</f>
        <v>COL</v>
      </c>
      <c r="C381" s="52" cm="1">
        <f t="array" ref="C381">((E381)*Settings!$C$12)+(F381*Settings!$C$2)+(G381*Settings!$C$3)+(H381*Settings!$C$4)+(I381*Settings!$C$5)+(K381*Settings!$C$9)+(N381*Settings!$C$6)+(J381*Settings!$C$8)+(O381*Settings!$C$7)+(P381*Settings!$C$14)+(Q381*Settings!$C$15)+(R381*Settings!$C$16)+(S381*Settings!$C$17)+(T381*Settings!$C$18)+(U381*Settings!$C$19)+(L381*Settings!$C$10)+(Settings!$C$11*M381)</f>
        <v>1.1407932374886602</v>
      </c>
      <c r="D381" s="57" cm="1">
        <f t="array" ref="D381">IF(Settings!$E$12="YES",VLOOKUP(A381,'Player Data'!A1:E673,5,FALSE),82)</f>
        <v>84</v>
      </c>
      <c r="E381" s="55" cm="1">
        <f t="array" ref="E381">(VLOOKUP($A381,'The List'!$B1:$AH671,17,FALSE)-AVERAGE('The List'!R2:R671))/STDEV('The List'!R2:R671)</f>
        <v>-1.0792825132222785</v>
      </c>
      <c r="F381" s="55" cm="1">
        <f t="array" ref="F381">(VLOOKUP($A381,'The List'!$B1:$AH671,18,FALSE)-AVERAGE('The List'!S2:S671))/STDEV('The List'!S2:S671)</f>
        <v>5.2564147154802593E-2</v>
      </c>
      <c r="G381" s="55" cm="1">
        <f t="array" ref="G381">(VLOOKUP($A381,'The List'!$B1:$AH671,19,FALSE)-AVERAGE('The List'!T2:T671))/STDEV('The List'!T2:T671)</f>
        <v>-0.77687719133403654</v>
      </c>
      <c r="H381" s="55" cm="1">
        <f t="array" ref="H381">(VLOOKUP($A381,'The List'!$B1:$AH671,20,FALSE)-AVERAGE('The List'!U2:U671))/STDEV('The List'!U2:U671)</f>
        <v>-0.46542807218219617</v>
      </c>
      <c r="I381" s="55" cm="1">
        <f t="array" ref="I381">(VLOOKUP($A381,'The List'!$B1:$AH671,21,FALSE)-AVERAGE('The List'!V2:V671))/STDEV('The List'!V2:V671)</f>
        <v>-0.4135319331481177</v>
      </c>
      <c r="J381" s="55" cm="1">
        <f t="array" ref="J381">(VLOOKUP($A381,'The List'!$B1:$AH671,22,FALSE)-AVERAGE('The List'!W2:W671))/STDEV('The List'!W2:W671)</f>
        <v>-0.73853908386105271</v>
      </c>
      <c r="K381" s="55" cm="1">
        <f t="array" ref="K381">(VLOOKUP($A381,'The List'!$B1:$AH671,23,FALSE)-AVERAGE('The List'!X2:X671))/STDEV('The List'!X2:X671)</f>
        <v>-0.80155300200843405</v>
      </c>
      <c r="L381" s="55" cm="1">
        <f t="array" ref="L381">(VLOOKUP($A381,'The List'!$B1:$AH671,24,FALSE)-AVERAGE('The List'!Y2:Y671))/STDEV('The List'!Y2:Y671)</f>
        <v>1.0643760379302476</v>
      </c>
      <c r="M381" s="55" cm="1">
        <f t="array" ref="M381">(VLOOKUP($A381,'The List'!$B1:$AH671,25,FALSE)-AVERAGE('The List'!Z2:Z671))/STDEV('The List'!Z2:Z671)</f>
        <v>1.1816358996829295</v>
      </c>
      <c r="N381" s="55" cm="1">
        <f t="array" ref="N381">(VLOOKUP($A381,'The List'!$B1:$AH671,26,FALSE)-AVERAGE('The List'!AA2:AA671))/STDEV('The List'!AA2:AA671)</f>
        <v>-3.5342620910399754E-2</v>
      </c>
      <c r="O381" s="55" cm="1">
        <f t="array" ref="O381">(VLOOKUP($A381,'The List'!$B1:$AH671,27,FALSE)-AVERAGE('The List'!AB2:AB671))/STDEV('The List'!AB2:AB671)</f>
        <v>1.7266535116816086</v>
      </c>
      <c r="P381" s="55" cm="1">
        <f t="array" ref="P381">(VLOOKUP($A381,'The List'!$B1:$AH671,28,FALSE)-AVERAGE('The List'!AC2:AC671))/STDEV('The List'!AC2:AC671)</f>
        <v>1.3535377051428372</v>
      </c>
      <c r="Q381" s="55" cm="1">
        <f t="array" ref="Q381">(VLOOKUP($A381,'The List'!$B1:$AH671,29,FALSE)-AVERAGE('The List'!AD2:AD671))/STDEV('The List'!AD2:AD671)</f>
        <v>-0.13954762820998012</v>
      </c>
      <c r="R381" s="55" cm="1">
        <f t="array" ref="R381">(VLOOKUP($A381,'The List'!$B1:$AH671,30,FALSE)-AVERAGE('The List'!AE2:AE671))/STDEV('The List'!AE2:AE671)</f>
        <v>0.22747609174102984</v>
      </c>
      <c r="S381" s="55" cm="1">
        <f t="array" ref="S381">(VLOOKUP($A381,'The List'!$B1:$AH671,31,FALSE)-AVERAGE('The List'!AF2:AF671))/STDEV('The List'!AF2:AF671)</f>
        <v>-0.15562326114656422</v>
      </c>
      <c r="T381" s="55" cm="1">
        <f t="array" ref="T381">(VLOOKUP($A381,'The List'!$B1:$AH671,32,FALSE)-AVERAGE('The List'!AG2:AG671))/STDEV('The List'!AG2:AG671)</f>
        <v>0.18909006239658119</v>
      </c>
      <c r="U381" s="55" cm="1">
        <f t="array" ref="U381">(VLOOKUP($A381,'The List'!$B1:$AH671,33,FALSE)-AVERAGE('The List'!AH2:AH671))/STDEV('The List'!AH2:AH671)</f>
        <v>0.40070941684540695</v>
      </c>
      <c r="V381" s="55"/>
      <c r="W381" s="77"/>
      <c r="X381" s="57"/>
      <c r="Y381" s="57"/>
      <c r="Z381" s="57"/>
      <c r="AA381" s="57"/>
      <c r="AB381" s="57"/>
      <c r="AC381" s="60"/>
      <c r="AD381" s="61"/>
      <c r="AE381" s="55"/>
    </row>
    <row r="382" spans="1:31" ht="21.25" customHeight="1" x14ac:dyDescent="0.15">
      <c r="A382" s="10" t="s">
        <v>256</v>
      </c>
      <c r="B382" s="18" t="str" cm="1">
        <f t="array" ref="B382">VLOOKUP(A382,'Player Data'!A1:B673,2,FALSE)</f>
        <v>S.J</v>
      </c>
      <c r="C382" s="52" cm="1">
        <f t="array" ref="C382">((E382)*Settings!$C$12)+(F382*Settings!$C$2)+(G382*Settings!$C$3)+(H382*Settings!$C$4)+(I382*Settings!$C$5)+(K382*Settings!$C$9)+(N382*Settings!$C$6)+(J382*Settings!$C$8)+(O382*Settings!$C$7)+(P382*Settings!$C$14)+(Q382*Settings!$C$15)+(R382*Settings!$C$16)+(S382*Settings!$C$17)+(T382*Settings!$C$18)+(U382*Settings!$C$19)+(L382*Settings!$C$10)+(Settings!$C$11*M382)</f>
        <v>-0.69302915202337245</v>
      </c>
      <c r="D382" s="57" cm="1">
        <f t="array" ref="D382">IF(Settings!$E$12="YES",VLOOKUP(A382,'Player Data'!A1:E673,5,FALSE),82)</f>
        <v>83</v>
      </c>
      <c r="E382" s="55" cm="1">
        <f t="array" ref="E382">(VLOOKUP($A382,'The List'!$B1:$AH671,17,FALSE)-AVERAGE('The List'!R2:R671))/STDEV('The List'!R2:R671)</f>
        <v>1.4652321738283001</v>
      </c>
      <c r="F382" s="55" cm="1">
        <f t="array" ref="F382">(VLOOKUP($A382,'The List'!$B1:$AH671,18,FALSE)-AVERAGE('The List'!S2:S671))/STDEV('The List'!S2:S671)</f>
        <v>-0.8755194018034036</v>
      </c>
      <c r="G382" s="55" cm="1">
        <f t="array" ref="G382">(VLOOKUP($A382,'The List'!$B1:$AH671,19,FALSE)-AVERAGE('The List'!T2:T671))/STDEV('The List'!T2:T671)</f>
        <v>-0.20414838300541419</v>
      </c>
      <c r="H382" s="55" cm="1">
        <f t="array" ref="H382">(VLOOKUP($A382,'The List'!$B1:$AH671,20,FALSE)-AVERAGE('The List'!U2:U671))/STDEV('The List'!U2:U671)</f>
        <v>-0.51626636498622902</v>
      </c>
      <c r="I382" s="55" cm="1">
        <f t="array" ref="I382">(VLOOKUP($A382,'The List'!$B1:$AH671,21,FALSE)-AVERAGE('The List'!V2:V671))/STDEV('The List'!V2:V671)</f>
        <v>0.62655898119625386</v>
      </c>
      <c r="J382" s="55" cm="1">
        <f t="array" ref="J382">(VLOOKUP($A382,'The List'!$B1:$AH671,22,FALSE)-AVERAGE('The List'!W2:W671))/STDEV('The List'!W2:W671)</f>
        <v>-0.73853908386105271</v>
      </c>
      <c r="K382" s="55" cm="1">
        <f t="array" ref="K382">(VLOOKUP($A382,'The List'!$B1:$AH671,23,FALSE)-AVERAGE('The List'!X2:X671))/STDEV('The List'!X2:X671)</f>
        <v>-0.71814325748213881</v>
      </c>
      <c r="L382" s="55" cm="1">
        <f t="array" ref="L382">(VLOOKUP($A382,'The List'!$B1:$AH671,24,FALSE)-AVERAGE('The List'!Y2:Y671))/STDEV('The List'!Y2:Y671)</f>
        <v>1.0460445458883638</v>
      </c>
      <c r="M382" s="55" cm="1">
        <f t="array" ref="M382">(VLOOKUP($A382,'The List'!$B1:$AH671,25,FALSE)-AVERAGE('The List'!Z2:Z671))/STDEV('The List'!Z2:Z671)</f>
        <v>1.1599035105660132</v>
      </c>
      <c r="N382" s="55" cm="1">
        <f t="array" ref="N382">(VLOOKUP($A382,'The List'!$B1:$AH671,26,FALSE)-AVERAGE('The List'!AA2:AA671))/STDEV('The List'!AA2:AA671)</f>
        <v>2.9136167382897789</v>
      </c>
      <c r="O382" s="55" cm="1">
        <f t="array" ref="O382">(VLOOKUP($A382,'The List'!$B1:$AH671,27,FALSE)-AVERAGE('The List'!AB2:AB671))/STDEV('The List'!AB2:AB671)</f>
        <v>1.1235804659625372</v>
      </c>
      <c r="P382" s="55" cm="1">
        <f t="array" ref="P382">(VLOOKUP($A382,'The List'!$B1:$AH671,28,FALSE)-AVERAGE('The List'!AC2:AC671))/STDEV('The List'!AC2:AC671)</f>
        <v>-0.64535755689120688</v>
      </c>
      <c r="Q382" s="55" cm="1">
        <f t="array" ref="Q382">(VLOOKUP($A382,'The List'!$B1:$AH671,29,FALSE)-AVERAGE('The List'!AD2:AD671))/STDEV('The List'!AD2:AD671)</f>
        <v>2.3481399723290846</v>
      </c>
      <c r="R382" s="55" cm="1">
        <f t="array" ref="R382">(VLOOKUP($A382,'The List'!$B1:$AH671,30,FALSE)-AVERAGE('The List'!AE2:AE671))/STDEV('The List'!AE2:AE671)</f>
        <v>-0.82674404756972364</v>
      </c>
      <c r="S382" s="55" cm="1">
        <f t="array" ref="S382">(VLOOKUP($A382,'The List'!$B1:$AH671,31,FALSE)-AVERAGE('The List'!AF2:AF671))/STDEV('The List'!AF2:AF671)</f>
        <v>-0.59581850454342256</v>
      </c>
      <c r="T382" s="55" cm="1">
        <f t="array" ref="T382">(VLOOKUP($A382,'The List'!$B1:$AH671,32,FALSE)-AVERAGE('The List'!AG2:AG671))/STDEV('The List'!AG2:AG671)</f>
        <v>-0.64684275008198677</v>
      </c>
      <c r="U382" s="55" cm="1">
        <f t="array" ref="U382">(VLOOKUP($A382,'The List'!$B1:$AH671,33,FALSE)-AVERAGE('The List'!AH2:AH671))/STDEV('The List'!AH2:AH671)</f>
        <v>-1.2552626683789523</v>
      </c>
      <c r="V382" s="55"/>
      <c r="W382" s="77"/>
      <c r="X382" s="57"/>
      <c r="Y382" s="57"/>
      <c r="Z382" s="57"/>
      <c r="AA382" s="57"/>
      <c r="AB382" s="57"/>
      <c r="AC382" s="60"/>
      <c r="AD382" s="61"/>
      <c r="AE382" s="55"/>
    </row>
    <row r="383" spans="1:31" ht="21.25" customHeight="1" x14ac:dyDescent="0.15">
      <c r="A383" s="10" t="s">
        <v>397</v>
      </c>
      <c r="B383" s="18" t="str" cm="1">
        <f t="array" ref="B383">VLOOKUP(A383,'Player Data'!A1:B673,2,FALSE)</f>
        <v>CHI</v>
      </c>
      <c r="C383" s="52" cm="1">
        <f t="array" ref="C383">((E383)*Settings!$C$12)+(F383*Settings!$C$2)+(G383*Settings!$C$3)+(H383*Settings!$C$4)+(I383*Settings!$C$5)+(K383*Settings!$C$9)+(N383*Settings!$C$6)+(J383*Settings!$C$8)+(O383*Settings!$C$7)+(P383*Settings!$C$14)+(Q383*Settings!$C$15)+(R383*Settings!$C$16)+(S383*Settings!$C$17)+(T383*Settings!$C$18)+(U383*Settings!$C$19)+(L383*Settings!$C$10)+(Settings!$C$11*M383)</f>
        <v>-4.1440990917311229</v>
      </c>
      <c r="D383" s="57" cm="1">
        <f t="array" ref="D383">IF(Settings!$E$12="YES",VLOOKUP(A383,'Player Data'!A1:E673,5,FALSE),82)</f>
        <v>72</v>
      </c>
      <c r="E383" s="55" cm="1">
        <f t="array" ref="E383">(VLOOKUP($A383,'The List'!$B1:$AH671,17,FALSE)-AVERAGE('The List'!R2:R671))/STDEV('The List'!R2:R671)</f>
        <v>0.5471083176760293</v>
      </c>
      <c r="F383" s="55" cm="1">
        <f t="array" ref="F383">(VLOOKUP($A383,'The List'!$B1:$AH671,18,FALSE)-AVERAGE('The List'!S2:S671))/STDEV('The List'!S2:S671)</f>
        <v>-0.86953176600367321</v>
      </c>
      <c r="G383" s="55" cm="1">
        <f t="array" ref="G383">(VLOOKUP($A383,'The List'!$B1:$AH671,19,FALSE)-AVERAGE('The List'!T2:T671))/STDEV('The List'!T2:T671)</f>
        <v>-0.49859423661239904</v>
      </c>
      <c r="H383" s="55" cm="1">
        <f t="array" ref="H383">(VLOOKUP($A383,'The List'!$B1:$AH671,20,FALSE)-AVERAGE('The List'!U2:U671))/STDEV('The List'!U2:U671)</f>
        <v>-0.69884214696940727</v>
      </c>
      <c r="I383" s="55" cm="1">
        <f t="array" ref="I383">(VLOOKUP($A383,'The List'!$B1:$AH671,21,FALSE)-AVERAGE('The List'!V2:V671))/STDEV('The List'!V2:V671)</f>
        <v>-0.40523884944570432</v>
      </c>
      <c r="J383" s="55" cm="1">
        <f t="array" ref="J383">(VLOOKUP($A383,'The List'!$B1:$AH671,22,FALSE)-AVERAGE('The List'!W2:W671))/STDEV('The List'!W2:W671)</f>
        <v>-0.73853908386105271</v>
      </c>
      <c r="K383" s="55" cm="1">
        <f t="array" ref="K383">(VLOOKUP($A383,'The List'!$B1:$AH671,23,FALSE)-AVERAGE('The List'!X2:X671))/STDEV('The List'!X2:X671)</f>
        <v>-0.43977579683414136</v>
      </c>
      <c r="L383" s="55" cm="1">
        <f t="array" ref="L383">(VLOOKUP($A383,'The List'!$B1:$AH671,24,FALSE)-AVERAGE('The List'!Y2:Y671))/STDEV('The List'!Y2:Y671)</f>
        <v>-0.47546929358800777</v>
      </c>
      <c r="M383" s="55" cm="1">
        <f t="array" ref="M383">(VLOOKUP($A383,'The List'!$B1:$AH671,25,FALSE)-AVERAGE('The List'!Z2:Z671))/STDEV('The List'!Z2:Z671)</f>
        <v>-0.64388478613809508</v>
      </c>
      <c r="N383" s="55" cm="1">
        <f t="array" ref="N383">(VLOOKUP($A383,'The List'!$B1:$AH671,26,FALSE)-AVERAGE('The List'!AA2:AA671))/STDEV('The List'!AA2:AA671)</f>
        <v>0.54699129031222338</v>
      </c>
      <c r="O383" s="55" cm="1">
        <f t="array" ref="O383">(VLOOKUP($A383,'The List'!$B1:$AH671,27,FALSE)-AVERAGE('The List'!AB2:AB671))/STDEV('The List'!AB2:AB671)</f>
        <v>-0.26336454672789056</v>
      </c>
      <c r="P383" s="55" cm="1">
        <f t="array" ref="P383">(VLOOKUP($A383,'The List'!$B1:$AH671,28,FALSE)-AVERAGE('The List'!AC2:AC671))/STDEV('The List'!AC2:AC671)</f>
        <v>-1.6675938961073142</v>
      </c>
      <c r="Q383" s="55" cm="1">
        <f t="array" ref="Q383">(VLOOKUP($A383,'The List'!$B1:$AH671,29,FALSE)-AVERAGE('The List'!AD2:AD671))/STDEV('The List'!AD2:AD671)</f>
        <v>0.39242002025694184</v>
      </c>
      <c r="R383" s="55" cm="1">
        <f t="array" ref="R383">(VLOOKUP($A383,'The List'!$B1:$AH671,30,FALSE)-AVERAGE('The List'!AE2:AE671))/STDEV('The List'!AE2:AE671)</f>
        <v>-0.89536192645977275</v>
      </c>
      <c r="S383" s="55" cm="1">
        <f t="array" ref="S383">(VLOOKUP($A383,'The List'!$B1:$AH671,31,FALSE)-AVERAGE('The List'!AF2:AF671))/STDEV('The List'!AF2:AF671)</f>
        <v>-0.59581850454342256</v>
      </c>
      <c r="T383" s="55" cm="1">
        <f t="array" ref="T383">(VLOOKUP($A383,'The List'!$B1:$AH671,32,FALSE)-AVERAGE('The List'!AG2:AG671))/STDEV('The List'!AG2:AG671)</f>
        <v>-0.64684275008198677</v>
      </c>
      <c r="U383" s="55" cm="1">
        <f t="array" ref="U383">(VLOOKUP($A383,'The List'!$B1:$AH671,33,FALSE)-AVERAGE('The List'!AH2:AH671))/STDEV('The List'!AH2:AH671)</f>
        <v>-1.2552626683789523</v>
      </c>
      <c r="V383" s="55"/>
      <c r="W383" s="77"/>
      <c r="X383" s="57"/>
      <c r="Y383" s="57"/>
      <c r="Z383" s="57"/>
      <c r="AA383" s="57"/>
      <c r="AB383" s="57"/>
      <c r="AC383" s="60"/>
      <c r="AD383" s="61"/>
      <c r="AE383" s="55"/>
    </row>
    <row r="384" spans="1:31" ht="21.25" customHeight="1" x14ac:dyDescent="0.15">
      <c r="A384" s="10" t="s">
        <v>765</v>
      </c>
      <c r="B384" s="18" t="str" cm="1">
        <f t="array" ref="B384">VLOOKUP(A384,'Player Data'!A1:B673,2,FALSE)</f>
        <v>PIT</v>
      </c>
      <c r="C384" s="52" cm="1">
        <f t="array" ref="C384">((E384)*Settings!$C$12)+(F384*Settings!$C$2)+(G384*Settings!$C$3)+(H384*Settings!$C$4)+(I384*Settings!$C$5)+(K384*Settings!$C$9)+(N384*Settings!$C$6)+(J384*Settings!$C$8)+(O384*Settings!$C$7)+(P384*Settings!$C$14)+(Q384*Settings!$C$15)+(R384*Settings!$C$16)+(S384*Settings!$C$17)+(T384*Settings!$C$18)+(U384*Settings!$C$19)+(L384*Settings!$C$10)+(Settings!$C$11*M384)</f>
        <v>-3.9799700446689483</v>
      </c>
      <c r="D384" s="57" cm="1">
        <f t="array" ref="D384">IF(Settings!$E$12="YES",VLOOKUP(A384,'Player Data'!A1:E673,5,FALSE),82)</f>
        <v>55</v>
      </c>
      <c r="E384" s="55" cm="1">
        <f t="array" ref="E384">(VLOOKUP($A384,'The List'!$B1:$AH671,17,FALSE)-AVERAGE('The List'!R2:R671))/STDEV('The List'!R2:R671)</f>
        <v>-1.0530504030464989</v>
      </c>
      <c r="F384" s="55" cm="1">
        <f t="array" ref="F384">(VLOOKUP($A384,'The List'!$B1:$AH671,18,FALSE)-AVERAGE('The List'!S2:S671))/STDEV('The List'!S2:S671)</f>
        <v>-0.71385323521068389</v>
      </c>
      <c r="G384" s="55" cm="1">
        <f t="array" ref="G384">(VLOOKUP($A384,'The List'!$B1:$AH671,19,FALSE)-AVERAGE('The List'!T2:T671))/STDEV('The List'!T2:T671)</f>
        <v>-0.92796515917532962</v>
      </c>
      <c r="H384" s="55" cm="1">
        <f t="array" ref="H384">(VLOOKUP($A384,'The List'!$B1:$AH671,20,FALSE)-AVERAGE('The List'!U2:U671))/STDEV('The List'!U2:U671)</f>
        <v>-0.89998495762884123</v>
      </c>
      <c r="I384" s="55" cm="1">
        <f t="array" ref="I384">(VLOOKUP($A384,'The List'!$B1:$AH671,21,FALSE)-AVERAGE('The List'!V2:V671))/STDEV('The List'!V2:V671)</f>
        <v>-0.89176642665396821</v>
      </c>
      <c r="J384" s="55" cm="1">
        <f t="array" ref="J384">(VLOOKUP($A384,'The List'!$B1:$AH671,22,FALSE)-AVERAGE('The List'!W2:W671))/STDEV('The List'!W2:W671)</f>
        <v>-0.73853908386105271</v>
      </c>
      <c r="K384" s="55" cm="1">
        <f t="array" ref="K384">(VLOOKUP($A384,'The List'!$B1:$AH671,23,FALSE)-AVERAGE('The List'!X2:X671))/STDEV('The List'!X2:X671)</f>
        <v>-0.80155300200843405</v>
      </c>
      <c r="L384" s="55" cm="1">
        <f t="array" ref="L384">(VLOOKUP($A384,'The List'!$B1:$AH671,24,FALSE)-AVERAGE('The List'!Y2:Y671))/STDEV('The List'!Y2:Y671)</f>
        <v>2.5492268933228512</v>
      </c>
      <c r="M384" s="55" cm="1">
        <f t="array" ref="M384">(VLOOKUP($A384,'The List'!$B1:$AH671,25,FALSE)-AVERAGE('The List'!Z2:Z671))/STDEV('The List'!Z2:Z671)</f>
        <v>1.7466780167227711</v>
      </c>
      <c r="N384" s="55" cm="1">
        <f t="array" ref="N384">(VLOOKUP($A384,'The List'!$B1:$AH671,26,FALSE)-AVERAGE('The List'!AA2:AA671))/STDEV('The List'!AA2:AA671)</f>
        <v>-0.96273491549344559</v>
      </c>
      <c r="O384" s="55" cm="1">
        <f t="array" ref="O384">(VLOOKUP($A384,'The List'!$B1:$AH671,27,FALSE)-AVERAGE('The List'!AB2:AB671))/STDEV('The List'!AB2:AB671)</f>
        <v>-0.53989260202191758</v>
      </c>
      <c r="P384" s="55" cm="1">
        <f t="array" ref="P384">(VLOOKUP($A384,'The List'!$B1:$AH671,28,FALSE)-AVERAGE('The List'!AC2:AC671))/STDEV('The List'!AC2:AC671)</f>
        <v>-0.1049396195986151</v>
      </c>
      <c r="Q384" s="55" cm="1">
        <f t="array" ref="Q384">(VLOOKUP($A384,'The List'!$B1:$AH671,29,FALSE)-AVERAGE('The List'!AD2:AD671))/STDEV('The List'!AD2:AD671)</f>
        <v>-1.2359920592168026</v>
      </c>
      <c r="R384" s="55" cm="1">
        <f t="array" ref="R384">(VLOOKUP($A384,'The List'!$B1:$AH671,30,FALSE)-AVERAGE('The List'!AE2:AE671))/STDEV('The List'!AE2:AE671)</f>
        <v>-0.65831834483960316</v>
      </c>
      <c r="S384" s="55" cm="1">
        <f t="array" ref="S384">(VLOOKUP($A384,'The List'!$B1:$AH671,31,FALSE)-AVERAGE('The List'!AF2:AF671))/STDEV('The List'!AF2:AF671)</f>
        <v>-0.59581850454342256</v>
      </c>
      <c r="T384" s="55" cm="1">
        <f t="array" ref="T384">(VLOOKUP($A384,'The List'!$B1:$AH671,32,FALSE)-AVERAGE('The List'!AG2:AG671))/STDEV('The List'!AG2:AG671)</f>
        <v>-0.6047399069626449</v>
      </c>
      <c r="U384" s="55" cm="1">
        <f t="array" ref="U384">(VLOOKUP($A384,'The List'!$B1:$AH671,33,FALSE)-AVERAGE('The List'!AH2:AH671))/STDEV('The List'!AH2:AH671)</f>
        <v>-1.2552626683789523</v>
      </c>
      <c r="V384" s="55"/>
      <c r="W384" s="77"/>
      <c r="X384" s="57"/>
      <c r="Y384" s="57"/>
      <c r="Z384" s="57"/>
      <c r="AA384" s="57"/>
      <c r="AB384" s="57"/>
      <c r="AC384" s="60"/>
      <c r="AD384" s="61"/>
      <c r="AE384" s="55"/>
    </row>
    <row r="385" spans="1:31" ht="21.25" customHeight="1" x14ac:dyDescent="0.15">
      <c r="A385" s="10" t="s">
        <v>681</v>
      </c>
      <c r="B385" s="18" t="str" cm="1">
        <f t="array" ref="B385">VLOOKUP(A385,'Player Data'!A1:B673,2,FALSE)</f>
        <v>UTA</v>
      </c>
      <c r="C385" s="52" cm="1">
        <f t="array" ref="C385">((E385)*Settings!$C$12)+(F385*Settings!$C$2)+(G385*Settings!$C$3)+(H385*Settings!$C$4)+(I385*Settings!$C$5)+(K385*Settings!$C$9)+(N385*Settings!$C$6)+(J385*Settings!$C$8)+(O385*Settings!$C$7)+(P385*Settings!$C$14)+(Q385*Settings!$C$15)+(R385*Settings!$C$16)+(S385*Settings!$C$17)+(T385*Settings!$C$18)+(U385*Settings!$C$19)+(L385*Settings!$C$10)+(Settings!$C$11*M385)</f>
        <v>1.232299799373078</v>
      </c>
      <c r="D385" s="57" cm="1">
        <f t="array" ref="D385">IF(Settings!$E$12="YES",VLOOKUP(A385,'Player Data'!A1:E673,5,FALSE),82)</f>
        <v>81</v>
      </c>
      <c r="E385" s="55" cm="1">
        <f t="array" ref="E385">(VLOOKUP($A385,'The List'!$B1:$AH671,17,FALSE)-AVERAGE('The List'!R2:R671))/STDEV('The List'!R2:R671)</f>
        <v>-1.0792825132222785</v>
      </c>
      <c r="F385" s="55" cm="1">
        <f t="array" ref="F385">(VLOOKUP($A385,'The List'!$B1:$AH671,18,FALSE)-AVERAGE('The List'!S2:S671))/STDEV('The List'!S2:S671)</f>
        <v>-0.40249617362470519</v>
      </c>
      <c r="G385" s="55" cm="1">
        <f t="array" ref="G385">(VLOOKUP($A385,'The List'!$B1:$AH671,19,FALSE)-AVERAGE('The List'!T2:T671))/STDEV('The List'!T2:T671)</f>
        <v>-0.58081420050742838</v>
      </c>
      <c r="H385" s="55" cm="1">
        <f t="array" ref="H385">(VLOOKUP($A385,'The List'!$B1:$AH671,20,FALSE)-AVERAGE('The List'!U2:U671))/STDEV('The List'!U2:U671)</f>
        <v>-0.54367483588927279</v>
      </c>
      <c r="I385" s="55" cm="1">
        <f t="array" ref="I385">(VLOOKUP($A385,'The List'!$B1:$AH671,21,FALSE)-AVERAGE('The List'!V2:V671))/STDEV('The List'!V2:V671)</f>
        <v>-0.57472874761378212</v>
      </c>
      <c r="J385" s="55" cm="1">
        <f t="array" ref="J385">(VLOOKUP($A385,'The List'!$B1:$AH671,22,FALSE)-AVERAGE('The List'!W2:W671))/STDEV('The List'!W2:W671)</f>
        <v>-0.73853908386105271</v>
      </c>
      <c r="K385" s="55" cm="1">
        <f t="array" ref="K385">(VLOOKUP($A385,'The List'!$B1:$AH671,23,FALSE)-AVERAGE('The List'!X2:X671))/STDEV('The List'!X2:X671)</f>
        <v>-0.80155300200843405</v>
      </c>
      <c r="L385" s="55" cm="1">
        <f t="array" ref="L385">(VLOOKUP($A385,'The List'!$B1:$AH671,24,FALSE)-AVERAGE('The List'!Y2:Y671))/STDEV('The List'!Y2:Y671)</f>
        <v>1.0093815618045958</v>
      </c>
      <c r="M385" s="55" cm="1">
        <f t="array" ref="M385">(VLOOKUP($A385,'The List'!$B1:$AH671,25,FALSE)-AVERAGE('The List'!Z2:Z671))/STDEV('The List'!Z2:Z671)</f>
        <v>0.23627697309704196</v>
      </c>
      <c r="N385" s="55" cm="1">
        <f t="array" ref="N385">(VLOOKUP($A385,'The List'!$B1:$AH671,26,FALSE)-AVERAGE('The List'!AA2:AA671))/STDEV('The List'!AA2:AA671)</f>
        <v>-0.46443076602180605</v>
      </c>
      <c r="O385" s="55" cm="1">
        <f t="array" ref="O385">(VLOOKUP($A385,'The List'!$B1:$AH671,27,FALSE)-AVERAGE('The List'!AB2:AB671))/STDEV('The List'!AB2:AB671)</f>
        <v>3.3452343305115857</v>
      </c>
      <c r="P385" s="55" cm="1">
        <f t="array" ref="P385">(VLOOKUP($A385,'The List'!$B1:$AH671,28,FALSE)-AVERAGE('The List'!AC2:AC671))/STDEV('The List'!AC2:AC671)</f>
        <v>0.24665759261584222</v>
      </c>
      <c r="Q385" s="55" cm="1">
        <f t="array" ref="Q385">(VLOOKUP($A385,'The List'!$B1:$AH671,29,FALSE)-AVERAGE('The List'!AD2:AD671))/STDEV('The List'!AD2:AD671)</f>
        <v>1.8154334799059582</v>
      </c>
      <c r="R385" s="55" cm="1">
        <f t="array" ref="R385">(VLOOKUP($A385,'The List'!$B1:$AH671,30,FALSE)-AVERAGE('The List'!AE2:AE671))/STDEV('The List'!AE2:AE671)</f>
        <v>-0.33394291735937137</v>
      </c>
      <c r="S385" s="55" cm="1">
        <f t="array" ref="S385">(VLOOKUP($A385,'The List'!$B1:$AH671,31,FALSE)-AVERAGE('The List'!AF2:AF671))/STDEV('The List'!AF2:AF671)</f>
        <v>0.8801048000699625</v>
      </c>
      <c r="T385" s="55" cm="1">
        <f t="array" ref="T385">(VLOOKUP($A385,'The List'!$B1:$AH671,32,FALSE)-AVERAGE('The List'!AG2:AG671))/STDEV('The List'!AG2:AG671)</f>
        <v>0.95704592089337537</v>
      </c>
      <c r="U385" s="55" cm="1">
        <f t="array" ref="U385">(VLOOKUP($A385,'The List'!$B1:$AH671,33,FALSE)-AVERAGE('The List'!AH2:AH671))/STDEV('The List'!AH2:AH671)</f>
        <v>0.99869933650975895</v>
      </c>
      <c r="V385" s="55"/>
      <c r="W385" s="57"/>
      <c r="X385" s="55"/>
      <c r="Y385" s="55"/>
      <c r="Z385" s="55"/>
      <c r="AA385" s="55"/>
      <c r="AB385" s="55"/>
      <c r="AC385" s="55"/>
      <c r="AD385" s="55"/>
      <c r="AE385" s="55"/>
    </row>
    <row r="386" spans="1:31" ht="21.25" customHeight="1" x14ac:dyDescent="0.15">
      <c r="A386" s="10" t="s">
        <v>677</v>
      </c>
      <c r="B386" s="18" t="str" cm="1">
        <f t="array" ref="B386">VLOOKUP(A386,'Player Data'!A1:B673,2,FALSE)</f>
        <v>PIT</v>
      </c>
      <c r="C386" s="52" cm="1">
        <f t="array" ref="C386">((E386)*Settings!$C$12)+(F386*Settings!$C$2)+(G386*Settings!$C$3)+(H386*Settings!$C$4)+(I386*Settings!$C$5)+(K386*Settings!$C$9)+(N386*Settings!$C$6)+(J386*Settings!$C$8)+(O386*Settings!$C$7)+(P386*Settings!$C$14)+(Q386*Settings!$C$15)+(R386*Settings!$C$16)+(S386*Settings!$C$17)+(T386*Settings!$C$18)+(U386*Settings!$C$19)+(L386*Settings!$C$10)+(Settings!$C$11*M386)</f>
        <v>-1.1397600834011909</v>
      </c>
      <c r="D386" s="57" cm="1">
        <f t="array" ref="D386">IF(Settings!$E$12="YES",VLOOKUP(A386,'Player Data'!A1:E673,5,FALSE),82)</f>
        <v>78</v>
      </c>
      <c r="E386" s="55" cm="1">
        <f t="array" ref="E386">(VLOOKUP($A386,'The List'!$B1:$AH671,17,FALSE)-AVERAGE('The List'!R2:R671))/STDEV('The List'!R2:R671)</f>
        <v>-0.92188985216760311</v>
      </c>
      <c r="F386" s="55" cm="1">
        <f t="array" ref="F386">(VLOOKUP($A386,'The List'!$B1:$AH671,18,FALSE)-AVERAGE('The List'!S2:S671))/STDEV('The List'!S2:S671)</f>
        <v>-0.20490419223360318</v>
      </c>
      <c r="G386" s="55" cm="1">
        <f t="array" ref="G386">(VLOOKUP($A386,'The List'!$B1:$AH671,19,FALSE)-AVERAGE('The List'!T2:T671))/STDEV('The List'!T2:T671)</f>
        <v>-0.73049669888043023</v>
      </c>
      <c r="H386" s="55" cm="1">
        <f t="array" ref="H386">(VLOOKUP($A386,'The List'!$B1:$AH671,20,FALSE)-AVERAGE('The List'!U2:U671))/STDEV('The List'!U2:U671)</f>
        <v>-0.55030591755936387</v>
      </c>
      <c r="I386" s="55" cm="1">
        <f t="array" ref="I386">(VLOOKUP($A386,'The List'!$B1:$AH671,21,FALSE)-AVERAGE('The List'!V2:V671))/STDEV('The List'!V2:V671)</f>
        <v>-0.44566763249497038</v>
      </c>
      <c r="J386" s="55" cm="1">
        <f t="array" ref="J386">(VLOOKUP($A386,'The List'!$B1:$AH671,22,FALSE)-AVERAGE('The List'!W2:W671))/STDEV('The List'!W2:W671)</f>
        <v>-0.73853908386105271</v>
      </c>
      <c r="K386" s="55" cm="1">
        <f t="array" ref="K386">(VLOOKUP($A386,'The List'!$B1:$AH671,23,FALSE)-AVERAGE('The List'!X2:X671))/STDEV('The List'!X2:X671)</f>
        <v>-0.80155300200843405</v>
      </c>
      <c r="L386" s="55" cm="1">
        <f t="array" ref="L386">(VLOOKUP($A386,'The List'!$B1:$AH671,24,FALSE)-AVERAGE('The List'!Y2:Y671))/STDEV('The List'!Y2:Y671)</f>
        <v>0.95438708567894381</v>
      </c>
      <c r="M386" s="55" cm="1">
        <f t="array" ref="M386">(VLOOKUP($A386,'The List'!$B1:$AH671,25,FALSE)-AVERAGE('The List'!Z2:Z671))/STDEV('The List'!Z2:Z671)</f>
        <v>1.051241564981428</v>
      </c>
      <c r="N386" s="55" cm="1">
        <f t="array" ref="N386">(VLOOKUP($A386,'The List'!$B1:$AH671,26,FALSE)-AVERAGE('The List'!AA2:AA671))/STDEV('The List'!AA2:AA671)</f>
        <v>-0.38780788296619795</v>
      </c>
      <c r="O386" s="55" cm="1">
        <f t="array" ref="O386">(VLOOKUP($A386,'The List'!$B1:$AH671,27,FALSE)-AVERAGE('The List'!AB2:AB671))/STDEV('The List'!AB2:AB671)</f>
        <v>1.3170886084366376</v>
      </c>
      <c r="P386" s="55" cm="1">
        <f t="array" ref="P386">(VLOOKUP($A386,'The List'!$B1:$AH671,28,FALSE)-AVERAGE('The List'!AC2:AC671))/STDEV('The List'!AC2:AC671)</f>
        <v>-0.27422716622039084</v>
      </c>
      <c r="Q386" s="55" cm="1">
        <f t="array" ref="Q386">(VLOOKUP($A386,'The List'!$B1:$AH671,29,FALSE)-AVERAGE('The List'!AD2:AD671))/STDEV('The List'!AD2:AD671)</f>
        <v>-0.5872870656696394</v>
      </c>
      <c r="R386" s="55" cm="1">
        <f t="array" ref="R386">(VLOOKUP($A386,'The List'!$B1:$AH671,30,FALSE)-AVERAGE('The List'!AE2:AE671))/STDEV('The List'!AE2:AE671)</f>
        <v>-0.37137085129939812</v>
      </c>
      <c r="S386" s="55" cm="1">
        <f t="array" ref="S386">(VLOOKUP($A386,'The List'!$B1:$AH671,31,FALSE)-AVERAGE('The List'!AF2:AF671))/STDEV('The List'!AF2:AF671)</f>
        <v>-0.21706597860628299</v>
      </c>
      <c r="T386" s="55" cm="1">
        <f t="array" ref="T386">(VLOOKUP($A386,'The List'!$B1:$AH671,32,FALSE)-AVERAGE('The List'!AG2:AG671))/STDEV('The List'!AG2:AG671)</f>
        <v>-0.17712812211783902</v>
      </c>
      <c r="U386" s="55" cm="1">
        <f t="array" ref="U386">(VLOOKUP($A386,'The List'!$B1:$AH671,33,FALSE)-AVERAGE('The List'!AH2:AH671))/STDEV('The List'!AH2:AH671)</f>
        <v>0.86070166274106241</v>
      </c>
      <c r="V386" s="55"/>
      <c r="W386" s="77"/>
      <c r="X386" s="57"/>
      <c r="Y386" s="57"/>
      <c r="Z386" s="57"/>
      <c r="AA386" s="57"/>
      <c r="AB386" s="57"/>
      <c r="AC386" s="60"/>
      <c r="AD386" s="61"/>
      <c r="AE386" s="55"/>
    </row>
    <row r="387" spans="1:31" ht="21.25" customHeight="1" x14ac:dyDescent="0.15">
      <c r="A387" s="10" t="s">
        <v>328</v>
      </c>
      <c r="B387" s="18" t="str" cm="1">
        <f t="array" ref="B387">VLOOKUP(A387,'Player Data'!A1:B673,2,FALSE)</f>
        <v>DAL</v>
      </c>
      <c r="C387" s="52" cm="1">
        <f t="array" ref="C387">((E387)*Settings!$C$12)+(F387*Settings!$C$2)+(G387*Settings!$C$3)+(H387*Settings!$C$4)+(I387*Settings!$C$5)+(K387*Settings!$C$9)+(N387*Settings!$C$6)+(J387*Settings!$C$8)+(O387*Settings!$C$7)+(P387*Settings!$C$14)+(Q387*Settings!$C$15)+(R387*Settings!$C$16)+(S387*Settings!$C$17)+(T387*Settings!$C$18)+(U387*Settings!$C$19)+(L387*Settings!$C$10)+(Settings!$C$11*M387)</f>
        <v>-1.5731586942010809</v>
      </c>
      <c r="D387" s="57" cm="1">
        <f t="array" ref="D387">IF(Settings!$E$12="YES",VLOOKUP(A387,'Player Data'!A1:E673,5,FALSE),82)</f>
        <v>84</v>
      </c>
      <c r="E387" s="55" cm="1">
        <f t="array" ref="E387">(VLOOKUP($A387,'The List'!$B1:$AH671,17,FALSE)-AVERAGE('The List'!R2:R671))/STDEV('The List'!R2:R671)</f>
        <v>1.4914642840040795</v>
      </c>
      <c r="F387" s="55" cm="1">
        <f t="array" ref="F387">(VLOOKUP($A387,'The List'!$B1:$AH671,18,FALSE)-AVERAGE('The List'!S2:S671))/STDEV('The List'!S2:S671)</f>
        <v>-1.0371855683961235</v>
      </c>
      <c r="G387" s="55" cm="1">
        <f t="array" ref="G387">(VLOOKUP($A387,'The List'!$B1:$AH671,19,FALSE)-AVERAGE('The List'!T2:T671))/STDEV('The List'!T2:T671)</f>
        <v>-6.852057931532328E-2</v>
      </c>
      <c r="H387" s="55" cm="1">
        <f t="array" ref="H387">(VLOOKUP($A387,'The List'!$B1:$AH671,20,FALSE)-AVERAGE('The List'!U2:U671))/STDEV('The List'!U2:U671)</f>
        <v>-0.50256212953470714</v>
      </c>
      <c r="I387" s="55" cm="1">
        <f t="array" ref="I387">(VLOOKUP($A387,'The List'!$B1:$AH671,21,FALSE)-AVERAGE('The List'!V2:V671))/STDEV('The List'!V2:V671)</f>
        <v>-0.73281565569104112</v>
      </c>
      <c r="J387" s="55" cm="1">
        <f t="array" ref="J387">(VLOOKUP($A387,'The List'!$B1:$AH671,22,FALSE)-AVERAGE('The List'!W2:W671))/STDEV('The List'!W2:W671)</f>
        <v>-0.73853908386105271</v>
      </c>
      <c r="K387" s="55" cm="1">
        <f t="array" ref="K387">(VLOOKUP($A387,'The List'!$B1:$AH671,23,FALSE)-AVERAGE('The List'!X2:X671))/STDEV('The List'!X2:X671)</f>
        <v>-0.71713832080109907</v>
      </c>
      <c r="L387" s="55" cm="1">
        <f t="array" ref="L387">(VLOOKUP($A387,'The List'!$B1:$AH671,24,FALSE)-AVERAGE('The List'!Y2:Y671))/STDEV('The List'!Y2:Y671)</f>
        <v>-0.47546929358800777</v>
      </c>
      <c r="M387" s="55" cm="1">
        <f t="array" ref="M387">(VLOOKUP($A387,'The List'!$B1:$AH671,25,FALSE)-AVERAGE('The List'!Z2:Z671))/STDEV('The List'!Z2:Z671)</f>
        <v>0.26887555677241731</v>
      </c>
      <c r="N387" s="55" cm="1">
        <f t="array" ref="N387">(VLOOKUP($A387,'The List'!$B1:$AH671,26,FALSE)-AVERAGE('The List'!AA2:AA671))/STDEV('The List'!AA2:AA671)</f>
        <v>2.7537303223137433</v>
      </c>
      <c r="O387" s="55" cm="1">
        <f t="array" ref="O387">(VLOOKUP($A387,'The List'!$B1:$AH671,27,FALSE)-AVERAGE('The List'!AB2:AB671))/STDEV('The List'!AB2:AB671)</f>
        <v>-0.73565560632569515</v>
      </c>
      <c r="P387" s="55" cm="1">
        <f t="array" ref="P387">(VLOOKUP($A387,'The List'!$B1:$AH671,28,FALSE)-AVERAGE('The List'!AC2:AC671))/STDEV('The List'!AC2:AC671)</f>
        <v>1.7181570363282006</v>
      </c>
      <c r="Q387" s="55" cm="1">
        <f t="array" ref="Q387">(VLOOKUP($A387,'The List'!$B1:$AH671,29,FALSE)-AVERAGE('The List'!AD2:AD671))/STDEV('The List'!AD2:AD671)</f>
        <v>-0.82223944374252989</v>
      </c>
      <c r="R387" s="55" cm="1">
        <f t="array" ref="R387">(VLOOKUP($A387,'The List'!$B1:$AH671,30,FALSE)-AVERAGE('The List'!AE2:AE671))/STDEV('The List'!AE2:AE671)</f>
        <v>-0.82050605857971926</v>
      </c>
      <c r="S387" s="55" cm="1">
        <f t="array" ref="S387">(VLOOKUP($A387,'The List'!$B1:$AH671,31,FALSE)-AVERAGE('The List'!AF2:AF671))/STDEV('The List'!AF2:AF671)</f>
        <v>-0.59581850454342256</v>
      </c>
      <c r="T387" s="55" cm="1">
        <f t="array" ref="T387">(VLOOKUP($A387,'The List'!$B1:$AH671,32,FALSE)-AVERAGE('The List'!AG2:AG671))/STDEV('The List'!AG2:AG671)</f>
        <v>-0.64684275008198677</v>
      </c>
      <c r="U387" s="55" cm="1">
        <f t="array" ref="U387">(VLOOKUP($A387,'The List'!$B1:$AH671,33,FALSE)-AVERAGE('The List'!AH2:AH671))/STDEV('The List'!AH2:AH671)</f>
        <v>-1.2552626683789523</v>
      </c>
      <c r="V387" s="55"/>
      <c r="W387" s="77"/>
      <c r="X387" s="57"/>
      <c r="Y387" s="57"/>
      <c r="Z387" s="57"/>
      <c r="AA387" s="57"/>
      <c r="AB387" s="57"/>
      <c r="AC387" s="60"/>
      <c r="AD387" s="61"/>
      <c r="AE387" s="55"/>
    </row>
    <row r="388" spans="1:31" ht="21.25" customHeight="1" x14ac:dyDescent="0.15">
      <c r="A388" s="10" t="s">
        <v>351</v>
      </c>
      <c r="B388" s="18" t="str" cm="1">
        <f t="array" ref="B388">VLOOKUP(A388,'Player Data'!A1:B673,2,FALSE)</f>
        <v>WSH</v>
      </c>
      <c r="C388" s="52" cm="1">
        <f t="array" ref="C388">((E388)*Settings!$C$12)+(F388*Settings!$C$2)+(G388*Settings!$C$3)+(H388*Settings!$C$4)+(I388*Settings!$C$5)+(K388*Settings!$C$9)+(N388*Settings!$C$6)+(J388*Settings!$C$8)+(O388*Settings!$C$7)+(P388*Settings!$C$14)+(Q388*Settings!$C$15)+(R388*Settings!$C$16)+(S388*Settings!$C$17)+(T388*Settings!$C$18)+(U388*Settings!$C$19)+(L388*Settings!$C$10)+(Settings!$C$11*M388)</f>
        <v>-1.51988016083345</v>
      </c>
      <c r="D388" s="57" cm="1">
        <f t="array" ref="D388">IF(Settings!$E$12="YES",VLOOKUP(A388,'Player Data'!A1:E673,5,FALSE),82)</f>
        <v>82</v>
      </c>
      <c r="E388" s="55" cm="1">
        <f t="array" ref="E388">(VLOOKUP($A388,'The List'!$B1:$AH671,17,FALSE)-AVERAGE('The List'!R2:R671))/STDEV('The List'!R2:R671)</f>
        <v>0.65203675837914654</v>
      </c>
      <c r="F388" s="55" cm="1">
        <f t="array" ref="F388">(VLOOKUP($A388,'The List'!$B1:$AH671,18,FALSE)-AVERAGE('The List'!S2:S671))/STDEV('The List'!S2:S671)</f>
        <v>-0.88150703760313409</v>
      </c>
      <c r="G388" s="55" cm="1">
        <f t="array" ref="G388">(VLOOKUP($A388,'The List'!$B1:$AH671,19,FALSE)-AVERAGE('The List'!T2:T671))/STDEV('The List'!T2:T671)</f>
        <v>-0.27934099955898795</v>
      </c>
      <c r="H388" s="55" cm="1">
        <f t="array" ref="H388">(VLOOKUP($A388,'The List'!$B1:$AH671,20,FALSE)-AVERAGE('The List'!U2:U671))/STDEV('The List'!U2:U671)</f>
        <v>-0.56622051356758285</v>
      </c>
      <c r="I388" s="55" cm="1">
        <f t="array" ref="I388">(VLOOKUP($A388,'The List'!$B1:$AH671,21,FALSE)-AVERAGE('The List'!V2:V671))/STDEV('The List'!V2:V671)</f>
        <v>-0.86654163039246024</v>
      </c>
      <c r="J388" s="55" cm="1">
        <f t="array" ref="J388">(VLOOKUP($A388,'The List'!$B1:$AH671,22,FALSE)-AVERAGE('The List'!W2:W671))/STDEV('The List'!W2:W671)</f>
        <v>-0.73853908386105271</v>
      </c>
      <c r="K388" s="55" cm="1">
        <f t="array" ref="K388">(VLOOKUP($A388,'The List'!$B1:$AH671,23,FALSE)-AVERAGE('The List'!X2:X671))/STDEV('The List'!X2:X671)</f>
        <v>-0.80155300200843405</v>
      </c>
      <c r="L388" s="55" cm="1">
        <f t="array" ref="L388">(VLOOKUP($A388,'The List'!$B1:$AH671,24,FALSE)-AVERAGE('The List'!Y2:Y671))/STDEV('The List'!Y2:Y671)</f>
        <v>-0.47546929358800777</v>
      </c>
      <c r="M388" s="55" cm="1">
        <f t="array" ref="M388">(VLOOKUP($A388,'The List'!$B1:$AH671,25,FALSE)-AVERAGE('The List'!Z2:Z671))/STDEV('The List'!Z2:Z671)</f>
        <v>0.24714316765550046</v>
      </c>
      <c r="N388" s="55" cm="1">
        <f t="array" ref="N388">(VLOOKUP($A388,'The List'!$B1:$AH671,26,FALSE)-AVERAGE('The List'!AA2:AA671))/STDEV('The List'!AA2:AA671)</f>
        <v>2.2934822047597221</v>
      </c>
      <c r="O388" s="55" cm="1">
        <f t="array" ref="O388">(VLOOKUP($A388,'The List'!$B1:$AH671,27,FALSE)-AVERAGE('The List'!AB2:AB671))/STDEV('The List'!AB2:AB671)</f>
        <v>0.70212629125199622</v>
      </c>
      <c r="P388" s="55" cm="1">
        <f t="array" ref="P388">(VLOOKUP($A388,'The List'!$B1:$AH671,28,FALSE)-AVERAGE('The List'!AC2:AC671))/STDEV('The List'!AC2:AC671)</f>
        <v>0.60693621747757009</v>
      </c>
      <c r="Q388" s="55" cm="1">
        <f t="array" ref="Q388">(VLOOKUP($A388,'The List'!$B1:$AH671,29,FALSE)-AVERAGE('The List'!AD2:AD671))/STDEV('The List'!AD2:AD671)</f>
        <v>-0.19274439305667224</v>
      </c>
      <c r="R388" s="55" cm="1">
        <f t="array" ref="R388">(VLOOKUP($A388,'The List'!$B1:$AH671,30,FALSE)-AVERAGE('The List'!AE2:AE671))/STDEV('The List'!AE2:AE671)</f>
        <v>-0.83298203655972802</v>
      </c>
      <c r="S388" s="55" cm="1">
        <f t="array" ref="S388">(VLOOKUP($A388,'The List'!$B1:$AH671,31,FALSE)-AVERAGE('The List'!AF2:AF671))/STDEV('The List'!AF2:AF671)</f>
        <v>-0.59581850454342256</v>
      </c>
      <c r="T388" s="55" cm="1">
        <f t="array" ref="T388">(VLOOKUP($A388,'The List'!$B1:$AH671,32,FALSE)-AVERAGE('The List'!AG2:AG671))/STDEV('The List'!AG2:AG671)</f>
        <v>-0.64684275008198677</v>
      </c>
      <c r="U388" s="55" cm="1">
        <f t="array" ref="U388">(VLOOKUP($A388,'The List'!$B1:$AH671,33,FALSE)-AVERAGE('The List'!AH2:AH671))/STDEV('The List'!AH2:AH671)</f>
        <v>-1.2552626683789523</v>
      </c>
      <c r="V388" s="55"/>
      <c r="W388" s="77"/>
      <c r="X388" s="57"/>
      <c r="Y388" s="57"/>
      <c r="Z388" s="57"/>
      <c r="AA388" s="57"/>
      <c r="AB388" s="57"/>
      <c r="AC388" s="60"/>
      <c r="AD388" s="61"/>
      <c r="AE388" s="55"/>
    </row>
    <row r="389" spans="1:31" ht="21.25" customHeight="1" x14ac:dyDescent="0.15">
      <c r="A389" s="10" t="s">
        <v>689</v>
      </c>
      <c r="B389" s="18" t="str" cm="1">
        <f t="array" ref="B389">VLOOKUP(A389,'Player Data'!A1:B673,2,FALSE)</f>
        <v>UTA</v>
      </c>
      <c r="C389" s="52" cm="1">
        <f t="array" ref="C389">((E389)*Settings!$C$12)+(F389*Settings!$C$2)+(G389*Settings!$C$3)+(H389*Settings!$C$4)+(I389*Settings!$C$5)+(K389*Settings!$C$9)+(N389*Settings!$C$6)+(J389*Settings!$C$8)+(O389*Settings!$C$7)+(P389*Settings!$C$14)+(Q389*Settings!$C$15)+(R389*Settings!$C$16)+(S389*Settings!$C$17)+(T389*Settings!$C$18)+(U389*Settings!$C$19)+(L389*Settings!$C$10)+(Settings!$C$11*M389)</f>
        <v>-1.0074437014506903</v>
      </c>
      <c r="D389" s="57" cm="1">
        <f t="array" ref="D389">IF(Settings!$E$12="YES",VLOOKUP(A389,'Player Data'!A1:E673,5,FALSE),82)</f>
        <v>79</v>
      </c>
      <c r="E389" s="55" cm="1">
        <f t="array" ref="E389">(VLOOKUP($A389,'The List'!$B1:$AH671,17,FALSE)-AVERAGE('The List'!R2:R671))/STDEV('The List'!R2:R671)</f>
        <v>-1.4989962760347451</v>
      </c>
      <c r="F389" s="55" cm="1">
        <f t="array" ref="F389">(VLOOKUP($A389,'The List'!$B1:$AH671,18,FALSE)-AVERAGE('The List'!S2:S671))/STDEV('The List'!S2:S671)</f>
        <v>-0.18993510273427724</v>
      </c>
      <c r="G389" s="55" cm="1">
        <f t="array" ref="G389">(VLOOKUP($A389,'The List'!$B1:$AH671,19,FALSE)-AVERAGE('The List'!T2:T671))/STDEV('The List'!T2:T671)</f>
        <v>-0.82958229639495273</v>
      </c>
      <c r="H389" s="55" cm="1">
        <f t="array" ref="H389">(VLOOKUP($A389,'The List'!$B1:$AH671,20,FALSE)-AVERAGE('The List'!U2:U671))/STDEV('The List'!U2:U671)</f>
        <v>-0.60600700358813031</v>
      </c>
      <c r="I389" s="55" cm="1">
        <f t="array" ref="I389">(VLOOKUP($A389,'The List'!$B1:$AH671,21,FALSE)-AVERAGE('The List'!V2:V671))/STDEV('The List'!V2:V671)</f>
        <v>-0.16404833176717548</v>
      </c>
      <c r="J389" s="55" cm="1">
        <f t="array" ref="J389">(VLOOKUP($A389,'The List'!$B1:$AH671,22,FALSE)-AVERAGE('The List'!W2:W671))/STDEV('The List'!W2:W671)</f>
        <v>-0.52034354245624292</v>
      </c>
      <c r="K389" s="55" cm="1">
        <f t="array" ref="K389">(VLOOKUP($A389,'The List'!$B1:$AH671,23,FALSE)-AVERAGE('The List'!X2:X671))/STDEV('The List'!X2:X671)</f>
        <v>-0.72216300420629753</v>
      </c>
      <c r="L389" s="55" cm="1">
        <f t="array" ref="L389">(VLOOKUP($A389,'The List'!$B1:$AH671,24,FALSE)-AVERAGE('The List'!Y2:Y671))/STDEV('The List'!Y2:Y671)</f>
        <v>-0.47546929358800777</v>
      </c>
      <c r="M389" s="55" cm="1">
        <f t="array" ref="M389">(VLOOKUP($A389,'The List'!$B1:$AH671,25,FALSE)-AVERAGE('The List'!Z2:Z671))/STDEV('The List'!Z2:Z671)</f>
        <v>-0.64388478613809508</v>
      </c>
      <c r="N389" s="55" cm="1">
        <f t="array" ref="N389">(VLOOKUP($A389,'The List'!$B1:$AH671,26,FALSE)-AVERAGE('The List'!AA2:AA671))/STDEV('The List'!AA2:AA671)</f>
        <v>-1.1588894961158029</v>
      </c>
      <c r="O389" s="55" cm="1">
        <f t="array" ref="O389">(VLOOKUP($A389,'The List'!$B1:$AH671,27,FALSE)-AVERAGE('The List'!AB2:AB671))/STDEV('The List'!AB2:AB671)</f>
        <v>0.66030885368344083</v>
      </c>
      <c r="P389" s="55" cm="1">
        <f t="array" ref="P389">(VLOOKUP($A389,'The List'!$B1:$AH671,28,FALSE)-AVERAGE('The List'!AC2:AC671))/STDEV('The List'!AC2:AC671)</f>
        <v>0.23797617996857168</v>
      </c>
      <c r="Q389" s="55" cm="1">
        <f t="array" ref="Q389">(VLOOKUP($A389,'The List'!$B1:$AH671,29,FALSE)-AVERAGE('The List'!AD2:AD671))/STDEV('The List'!AD2:AD671)</f>
        <v>-0.68112024810755478</v>
      </c>
      <c r="R389" s="55" cm="1">
        <f t="array" ref="R389">(VLOOKUP($A389,'The List'!$B1:$AH671,30,FALSE)-AVERAGE('The List'!AE2:AE671))/STDEV('The List'!AE2:AE671)</f>
        <v>0.13390625689096303</v>
      </c>
      <c r="S389" s="55" cm="1">
        <f t="array" ref="S389">(VLOOKUP($A389,'The List'!$B1:$AH671,31,FALSE)-AVERAGE('The List'!AF2:AF671))/STDEV('The List'!AF2:AF671)</f>
        <v>-0.54644317525458752</v>
      </c>
      <c r="T389" s="55" cm="1">
        <f t="array" ref="T389">(VLOOKUP($A389,'The List'!$B1:$AH671,32,FALSE)-AVERAGE('The List'!AG2:AG671))/STDEV('The List'!AG2:AG671)</f>
        <v>-0.57830442485862177</v>
      </c>
      <c r="U389" s="55" cm="1">
        <f t="array" ref="U389">(VLOOKUP($A389,'The List'!$B1:$AH671,33,FALSE)-AVERAGE('The List'!AH2:AH671))/STDEV('The List'!AH2:AH671)</f>
        <v>0.72270398897236576</v>
      </c>
      <c r="V389" s="55"/>
      <c r="W389" s="57"/>
      <c r="X389" s="55"/>
      <c r="Y389" s="55"/>
      <c r="Z389" s="55"/>
      <c r="AA389" s="55"/>
      <c r="AB389" s="55"/>
      <c r="AC389" s="55"/>
      <c r="AD389" s="55"/>
      <c r="AE389" s="55"/>
    </row>
    <row r="390" spans="1:31" ht="21.25" customHeight="1" x14ac:dyDescent="0.15">
      <c r="A390" s="10" t="s">
        <v>693</v>
      </c>
      <c r="B390" s="18" t="str" cm="1">
        <f t="array" ref="B390">VLOOKUP(A390,'Player Data'!A1:B673,2,FALSE)</f>
        <v>NSH</v>
      </c>
      <c r="C390" s="52" cm="1">
        <f t="array" ref="C390">((E390)*Settings!$C$12)+(F390*Settings!$C$2)+(G390*Settings!$C$3)+(H390*Settings!$C$4)+(I390*Settings!$C$5)+(K390*Settings!$C$9)+(N390*Settings!$C$6)+(J390*Settings!$C$8)+(O390*Settings!$C$7)+(P390*Settings!$C$14)+(Q390*Settings!$C$15)+(R390*Settings!$C$16)+(S390*Settings!$C$17)+(T390*Settings!$C$18)+(U390*Settings!$C$19)+(L390*Settings!$C$10)+(Settings!$C$11*M390)</f>
        <v>-4.1446360347583466</v>
      </c>
      <c r="D390" s="57" cm="1">
        <f t="array" ref="D390">IF(Settings!$E$12="YES",VLOOKUP(A390,'Player Data'!A1:E673,5,FALSE),82)</f>
        <v>75</v>
      </c>
      <c r="E390" s="55" cm="1">
        <f t="array" ref="E390">(VLOOKUP($A390,'The List'!$B1:$AH671,17,FALSE)-AVERAGE('The List'!R2:R671))/STDEV('The List'!R2:R671)</f>
        <v>-0.94812196234338264</v>
      </c>
      <c r="F390" s="55" cm="1">
        <f t="array" ref="F390">(VLOOKUP($A390,'The List'!$B1:$AH671,18,FALSE)-AVERAGE('The List'!S2:S671))/STDEV('The List'!S2:S671)</f>
        <v>-0.47434780322146941</v>
      </c>
      <c r="G390" s="55" cm="1">
        <f t="array" ref="G390">(VLOOKUP($A390,'The List'!$B1:$AH671,19,FALSE)-AVERAGE('The List'!T2:T671))/STDEV('The List'!T2:T671)</f>
        <v>-0.76633617032185319</v>
      </c>
      <c r="H390" s="55" cm="1">
        <f t="array" ref="H390">(VLOOKUP($A390,'The List'!$B1:$AH671,20,FALSE)-AVERAGE('The List'!U2:U671))/STDEV('The List'!U2:U671)</f>
        <v>-0.69221106529931609</v>
      </c>
      <c r="I390" s="55" cm="1">
        <f t="array" ref="I390">(VLOOKUP($A390,'The List'!$B1:$AH671,21,FALSE)-AVERAGE('The List'!V2:V671))/STDEV('The List'!V2:V671)</f>
        <v>-0.99197452139146591</v>
      </c>
      <c r="J390" s="55" cm="1">
        <f t="array" ref="J390">(VLOOKUP($A390,'The List'!$B1:$AH671,22,FALSE)-AVERAGE('The List'!W2:W671))/STDEV('The List'!W2:W671)</f>
        <v>-0.73853908386105271</v>
      </c>
      <c r="K390" s="55" cm="1">
        <f t="array" ref="K390">(VLOOKUP($A390,'The List'!$B1:$AH671,23,FALSE)-AVERAGE('The List'!X2:X671))/STDEV('The List'!X2:X671)</f>
        <v>-0.80155300200843405</v>
      </c>
      <c r="L390" s="55" cm="1">
        <f t="array" ref="L390">(VLOOKUP($A390,'The List'!$B1:$AH671,24,FALSE)-AVERAGE('The List'!Y2:Y671))/STDEV('The List'!Y2:Y671)</f>
        <v>0.89939260955329181</v>
      </c>
      <c r="M390" s="55" cm="1">
        <f t="array" ref="M390">(VLOOKUP($A390,'The List'!$B1:$AH671,25,FALSE)-AVERAGE('The List'!Z2:Z671))/STDEV('The List'!Z2:Z671)</f>
        <v>0.98604439763067708</v>
      </c>
      <c r="N390" s="55" cm="1">
        <f t="array" ref="N390">(VLOOKUP($A390,'The List'!$B1:$AH671,26,FALSE)-AVERAGE('The List'!AA2:AA671))/STDEV('The List'!AA2:AA671)</f>
        <v>-0.24375686282165429</v>
      </c>
      <c r="O390" s="55" cm="1">
        <f t="array" ref="O390">(VLOOKUP($A390,'The List'!$B1:$AH671,27,FALSE)-AVERAGE('The List'!AB2:AB671))/STDEV('The List'!AB2:AB671)</f>
        <v>-0.35437896967121746</v>
      </c>
      <c r="P390" s="55" cm="1">
        <f t="array" ref="P390">(VLOOKUP($A390,'The List'!$B1:$AH671,28,FALSE)-AVERAGE('The List'!AC2:AC671))/STDEV('The List'!AC2:AC671)</f>
        <v>-0.75604556814390644</v>
      </c>
      <c r="Q390" s="55" cm="1">
        <f t="array" ref="Q390">(VLOOKUP($A390,'The List'!$B1:$AH671,29,FALSE)-AVERAGE('The List'!AD2:AD671))/STDEV('The List'!AD2:AD671)</f>
        <v>-0.71141285031192114</v>
      </c>
      <c r="R390" s="55" cm="1">
        <f t="array" ref="R390">(VLOOKUP($A390,'The List'!$B1:$AH671,30,FALSE)-AVERAGE('The List'!AE2:AE671))/STDEV('The List'!AE2:AE671)</f>
        <v>-0.40879878523942492</v>
      </c>
      <c r="S390" s="55" cm="1">
        <f t="array" ref="S390">(VLOOKUP($A390,'The List'!$B1:$AH671,31,FALSE)-AVERAGE('The List'!AF2:AF671))/STDEV('The List'!AF2:AF671)</f>
        <v>0.6373627965847356</v>
      </c>
      <c r="T390" s="55" cm="1">
        <f t="array" ref="T390">(VLOOKUP($A390,'The List'!$B1:$AH671,32,FALSE)-AVERAGE('The List'!AG2:AG671))/STDEV('The List'!AG2:AG671)</f>
        <v>0.63538019946160429</v>
      </c>
      <c r="U390" s="55" cm="1">
        <f t="array" ref="U390">(VLOOKUP($A390,'The List'!$B1:$AH671,33,FALSE)-AVERAGE('The List'!AH2:AH671))/STDEV('The List'!AH2:AH671)</f>
        <v>1.09069778568889</v>
      </c>
      <c r="V390" s="55"/>
      <c r="W390" s="77"/>
      <c r="X390" s="57"/>
      <c r="Y390" s="57"/>
      <c r="Z390" s="57"/>
      <c r="AA390" s="57"/>
      <c r="AB390" s="57"/>
      <c r="AC390" s="60"/>
      <c r="AD390" s="61"/>
      <c r="AE390" s="55"/>
    </row>
    <row r="391" spans="1:31" ht="21.25" customHeight="1" x14ac:dyDescent="0.15">
      <c r="A391" s="10" t="s">
        <v>657</v>
      </c>
      <c r="B391" s="18" t="str" cm="1">
        <f t="array" ref="B391">VLOOKUP(A391,'Player Data'!A1:B673,2,FALSE)</f>
        <v>L.A</v>
      </c>
      <c r="C391" s="52" cm="1">
        <f t="array" ref="C391">((E391)*Settings!$C$12)+(F391*Settings!$C$2)+(G391*Settings!$C$3)+(H391*Settings!$C$4)+(I391*Settings!$C$5)+(K391*Settings!$C$9)+(N391*Settings!$C$6)+(J391*Settings!$C$8)+(O391*Settings!$C$7)+(P391*Settings!$C$14)+(Q391*Settings!$C$15)+(R391*Settings!$C$16)+(S391*Settings!$C$17)+(T391*Settings!$C$18)+(U391*Settings!$C$19)+(L391*Settings!$C$10)+(Settings!$C$11*M391)</f>
        <v>-1.2296359703829536</v>
      </c>
      <c r="D391" s="57" cm="1">
        <f t="array" ref="D391">IF(Settings!$E$12="YES",VLOOKUP(A391,'Player Data'!A1:E673,5,FALSE),82)</f>
        <v>81</v>
      </c>
      <c r="E391" s="55" cm="1">
        <f t="array" ref="E391">(VLOOKUP($A391,'The List'!$B1:$AH671,17,FALSE)-AVERAGE('The List'!R2:R671))/STDEV('The List'!R2:R671)</f>
        <v>-0.84319352164026595</v>
      </c>
      <c r="F391" s="55" cm="1">
        <f t="array" ref="F391">(VLOOKUP($A391,'The List'!$B1:$AH671,18,FALSE)-AVERAGE('The List'!S2:S671))/STDEV('The List'!S2:S671)</f>
        <v>-0.15999692373562535</v>
      </c>
      <c r="G391" s="55" cm="1">
        <f t="array" ref="G391">(VLOOKUP($A391,'The List'!$B1:$AH671,19,FALSE)-AVERAGE('The List'!T2:T671))/STDEV('The List'!T2:T671)</f>
        <v>-0.7515787409047967</v>
      </c>
      <c r="H391" s="55" cm="1">
        <f t="array" ref="H391">(VLOOKUP($A391,'The List'!$B1:$AH671,20,FALSE)-AVERAGE('The List'!U2:U671))/STDEV('The List'!U2:U671)</f>
        <v>-0.54367483588927279</v>
      </c>
      <c r="I391" s="55" cm="1">
        <f t="array" ref="I391">(VLOOKUP($A391,'The List'!$B1:$AH671,21,FALSE)-AVERAGE('The List'!V2:V671))/STDEV('The List'!V2:V671)</f>
        <v>-0.19687512142256272</v>
      </c>
      <c r="J391" s="55" cm="1">
        <f t="array" ref="J391">(VLOOKUP($A391,'The List'!$B1:$AH671,22,FALSE)-AVERAGE('The List'!W2:W671))/STDEV('The List'!W2:W671)</f>
        <v>-0.73853908386105271</v>
      </c>
      <c r="K391" s="55" cm="1">
        <f t="array" ref="K391">(VLOOKUP($A391,'The List'!$B1:$AH671,23,FALSE)-AVERAGE('The List'!X2:X671))/STDEV('The List'!X2:X671)</f>
        <v>-0.80155300200843405</v>
      </c>
      <c r="L391" s="55" cm="1">
        <f t="array" ref="L391">(VLOOKUP($A391,'The List'!$B1:$AH671,24,FALSE)-AVERAGE('The List'!Y2:Y671))/STDEV('The List'!Y2:Y671)</f>
        <v>2.4942324171971997</v>
      </c>
      <c r="M391" s="55" cm="1">
        <f t="array" ref="M391">(VLOOKUP($A391,'The List'!$B1:$AH671,25,FALSE)-AVERAGE('The List'!Z2:Z671))/STDEV('The List'!Z2:Z671)</f>
        <v>2.8767622508024533</v>
      </c>
      <c r="N391" s="55" cm="1">
        <f t="array" ref="N391">(VLOOKUP($A391,'The List'!$B1:$AH671,26,FALSE)-AVERAGE('The List'!AA2:AA671))/STDEV('The List'!AA2:AA671)</f>
        <v>-0.31961351704670649</v>
      </c>
      <c r="O391" s="55" cm="1">
        <f t="array" ref="O391">(VLOOKUP($A391,'The List'!$B1:$AH671,27,FALSE)-AVERAGE('The List'!AB2:AB671))/STDEV('The List'!AB2:AB671)</f>
        <v>1.1369046495015378</v>
      </c>
      <c r="P391" s="55" cm="1">
        <f t="array" ref="P391">(VLOOKUP($A391,'The List'!$B1:$AH671,28,FALSE)-AVERAGE('The List'!AC2:AC671))/STDEV('The List'!AC2:AC671)</f>
        <v>-0.45653683181307247</v>
      </c>
      <c r="Q391" s="55" cm="1">
        <f t="array" ref="Q391">(VLOOKUP($A391,'The List'!$B1:$AH671,29,FALSE)-AVERAGE('The List'!AD2:AD671))/STDEV('The List'!AD2:AD671)</f>
        <v>0.31927446859274045</v>
      </c>
      <c r="R391" s="55" cm="1">
        <f t="array" ref="R391">(VLOOKUP($A391,'The List'!$B1:$AH671,30,FALSE)-AVERAGE('The List'!AE2:AE671))/STDEV('The List'!AE2:AE671)</f>
        <v>-0.33394291735937137</v>
      </c>
      <c r="S391" s="55" cm="1">
        <f t="array" ref="S391">(VLOOKUP($A391,'The List'!$B1:$AH671,31,FALSE)-AVERAGE('The List'!AF2:AF671))/STDEV('The List'!AF2:AF671)</f>
        <v>1.5109743920155256</v>
      </c>
      <c r="T391" s="55" cm="1">
        <f t="array" ref="T391">(VLOOKUP($A391,'The List'!$B1:$AH671,32,FALSE)-AVERAGE('The List'!AG2:AG671))/STDEV('The List'!AG2:AG671)</f>
        <v>1.3621518223252971</v>
      </c>
      <c r="U391" s="55" cm="1">
        <f t="array" ref="U391">(VLOOKUP($A391,'The List'!$B1:$AH671,33,FALSE)-AVERAGE('The List'!AH2:AH671))/STDEV('The List'!AH2:AH671)</f>
        <v>1.1826962348680212</v>
      </c>
      <c r="V391" s="55"/>
      <c r="W391" s="77"/>
      <c r="X391" s="57"/>
      <c r="Y391" s="57"/>
      <c r="Z391" s="57"/>
      <c r="AA391" s="57"/>
      <c r="AB391" s="57"/>
      <c r="AC391" s="60"/>
      <c r="AD391" s="61"/>
      <c r="AE391" s="55"/>
    </row>
    <row r="392" spans="1:31" ht="21.25" customHeight="1" x14ac:dyDescent="0.15">
      <c r="A392" s="10" t="s">
        <v>753</v>
      </c>
      <c r="B392" s="18" t="str" cm="1">
        <f t="array" ref="B392">VLOOKUP(A392,'Player Data'!A1:B673,2,FALSE)</f>
        <v>STL</v>
      </c>
      <c r="C392" s="52" cm="1">
        <f t="array" ref="C392">((E392)*Settings!$C$12)+(F392*Settings!$C$2)+(G392*Settings!$C$3)+(H392*Settings!$C$4)+(I392*Settings!$C$5)+(K392*Settings!$C$9)+(N392*Settings!$C$6)+(J392*Settings!$C$8)+(O392*Settings!$C$7)+(P392*Settings!$C$14)+(Q392*Settings!$C$15)+(R392*Settings!$C$16)+(S392*Settings!$C$17)+(T392*Settings!$C$18)+(U392*Settings!$C$19)+(L392*Settings!$C$10)+(Settings!$C$11*M392)</f>
        <v>-3.8707791597885675</v>
      </c>
      <c r="D392" s="57" cm="1">
        <f t="array" ref="D392">IF(Settings!$E$12="YES",VLOOKUP(A392,'Player Data'!A1:E673,5,FALSE),82)</f>
        <v>71</v>
      </c>
      <c r="E392" s="55" cm="1">
        <f t="array" ref="E392">(VLOOKUP($A392,'The List'!$B1:$AH671,17,FALSE)-AVERAGE('The List'!R2:R671))/STDEV('The List'!R2:R671)</f>
        <v>-1.3940678353316283</v>
      </c>
      <c r="F392" s="55" cm="1">
        <f t="array" ref="F392">(VLOOKUP($A392,'The List'!$B1:$AH671,18,FALSE)-AVERAGE('The List'!S2:S671))/STDEV('The List'!S2:S671)</f>
        <v>-0.45139519932250299</v>
      </c>
      <c r="G392" s="55" cm="1">
        <f t="array" ref="G392">(VLOOKUP($A392,'The List'!$B1:$AH671,19,FALSE)-AVERAGE('The List'!T2:T671))/STDEV('The List'!T2:T671)</f>
        <v>-0.61454546774641472</v>
      </c>
      <c r="H392" s="55" cm="1">
        <f t="array" ref="H392">(VLOOKUP($A392,'The List'!$B1:$AH671,20,FALSE)-AVERAGE('The List'!U2:U671))/STDEV('The List'!U2:U671)</f>
        <v>-0.58655583068919592</v>
      </c>
      <c r="I392" s="55" cm="1">
        <f t="array" ref="I392">(VLOOKUP($A392,'The List'!$B1:$AH671,21,FALSE)-AVERAGE('The List'!V2:V671))/STDEV('The List'!V2:V671)</f>
        <v>-0.85928518215284833</v>
      </c>
      <c r="J392" s="55" cm="1">
        <f t="array" ref="J392">(VLOOKUP($A392,'The List'!$B1:$AH671,22,FALSE)-AVERAGE('The List'!W2:W671))/STDEV('The List'!W2:W671)</f>
        <v>-0.5424392934845782</v>
      </c>
      <c r="K392" s="55" cm="1">
        <f t="array" ref="K392">(VLOOKUP($A392,'The List'!$B1:$AH671,23,FALSE)-AVERAGE('The List'!X2:X671))/STDEV('The List'!X2:X671)</f>
        <v>-0.7302024976546152</v>
      </c>
      <c r="L392" s="55" cm="1">
        <f t="array" ref="L392">(VLOOKUP($A392,'The List'!$B1:$AH671,24,FALSE)-AVERAGE('The List'!Y2:Y671))/STDEV('The List'!Y2:Y671)</f>
        <v>-0.47546929358800777</v>
      </c>
      <c r="M392" s="55" cm="1">
        <f t="array" ref="M392">(VLOOKUP($A392,'The List'!$B1:$AH671,25,FALSE)-AVERAGE('The List'!Z2:Z671))/STDEV('The List'!Z2:Z671)</f>
        <v>-0.64388478613809508</v>
      </c>
      <c r="N392" s="55" cm="1">
        <f t="array" ref="N392">(VLOOKUP($A392,'The List'!$B1:$AH671,26,FALSE)-AVERAGE('The List'!AA2:AA671))/STDEV('The List'!AA2:AA671)</f>
        <v>-1.0970803704509455</v>
      </c>
      <c r="O392" s="55" cm="1">
        <f t="array" ref="O392">(VLOOKUP($A392,'The List'!$B1:$AH671,27,FALSE)-AVERAGE('The List'!AB2:AB671))/STDEV('The List'!AB2:AB671)</f>
        <v>-0.64812596984641446</v>
      </c>
      <c r="P392" s="55" cm="1">
        <f t="array" ref="P392">(VLOOKUP($A392,'The List'!$B1:$AH671,28,FALSE)-AVERAGE('The List'!AC2:AC671))/STDEV('The List'!AC2:AC671)</f>
        <v>-0.56722484306577192</v>
      </c>
      <c r="Q392" s="55" cm="1">
        <f t="array" ref="Q392">(VLOOKUP($A392,'The List'!$B1:$AH671,29,FALSE)-AVERAGE('The List'!AD2:AD671))/STDEV('The List'!AD2:AD671)</f>
        <v>-1.2721954130708015</v>
      </c>
      <c r="R392" s="55" cm="1">
        <f t="array" ref="R392">(VLOOKUP($A392,'The List'!$B1:$AH671,30,FALSE)-AVERAGE('The List'!AE2:AE671))/STDEV('The List'!AE2:AE671)</f>
        <v>-0.45870269715946066</v>
      </c>
      <c r="S392" s="55" cm="1">
        <f t="array" ref="S392">(VLOOKUP($A392,'The List'!$B1:$AH671,31,FALSE)-AVERAGE('The List'!AF2:AF671))/STDEV('The List'!AF2:AF671)</f>
        <v>-0.58216456733015176</v>
      </c>
      <c r="T392" s="55" cm="1">
        <f t="array" ref="T392">(VLOOKUP($A392,'The List'!$B1:$AH671,32,FALSE)-AVERAGE('The List'!AG2:AG671))/STDEV('The List'!AG2:AG671)</f>
        <v>-0.62510237290763571</v>
      </c>
      <c r="U392" s="55" cm="1">
        <f t="array" ref="U392">(VLOOKUP($A392,'The List'!$B1:$AH671,33,FALSE)-AVERAGE('The List'!AH2:AH671))/STDEV('The List'!AH2:AH671)</f>
        <v>0.67670476438280014</v>
      </c>
      <c r="V392" s="55"/>
      <c r="W392" s="77"/>
      <c r="X392" s="57"/>
      <c r="Y392" s="57"/>
      <c r="Z392" s="57"/>
      <c r="AA392" s="57"/>
      <c r="AB392" s="57"/>
      <c r="AC392" s="60"/>
      <c r="AD392" s="61"/>
      <c r="AE392" s="55"/>
    </row>
    <row r="393" spans="1:31" ht="21.25" customHeight="1" x14ac:dyDescent="0.15">
      <c r="A393" s="10" t="s">
        <v>387</v>
      </c>
      <c r="B393" s="18" t="str" cm="1">
        <f t="array" ref="B393">VLOOKUP(A393,'Player Data'!A1:B673,2,FALSE)</f>
        <v>WSH</v>
      </c>
      <c r="C393" s="52" cm="1">
        <f t="array" ref="C393">((E393)*Settings!$C$12)+(F393*Settings!$C$2)+(G393*Settings!$C$3)+(H393*Settings!$C$4)+(I393*Settings!$C$5)+(K393*Settings!$C$9)+(N393*Settings!$C$6)+(J393*Settings!$C$8)+(O393*Settings!$C$7)+(P393*Settings!$C$14)+(Q393*Settings!$C$15)+(R393*Settings!$C$16)+(S393*Settings!$C$17)+(T393*Settings!$C$18)+(U393*Settings!$C$19)+(L393*Settings!$C$10)+(Settings!$C$11*M393)</f>
        <v>-2.0994397831324347</v>
      </c>
      <c r="D393" s="57" cm="1">
        <f t="array" ref="D393">IF(Settings!$E$12="YES",VLOOKUP(A393,'Player Data'!A1:E673,5,FALSE),82)</f>
        <v>81</v>
      </c>
      <c r="E393" s="55" cm="1">
        <f t="array" ref="E393">(VLOOKUP($A393,'The List'!$B1:$AH671,17,FALSE)-AVERAGE('The List'!R2:R671))/STDEV('The List'!R2:R671)</f>
        <v>0.17985877521512147</v>
      </c>
      <c r="F393" s="55" cm="1">
        <f t="array" ref="F393">(VLOOKUP($A393,'The List'!$B1:$AH671,18,FALSE)-AVERAGE('The List'!S2:S671))/STDEV('The List'!S2:S671)</f>
        <v>-0.96832775669922422</v>
      </c>
      <c r="G393" s="55" cm="1">
        <f t="array" ref="G393">(VLOOKUP($A393,'The List'!$B1:$AH671,19,FALSE)-AVERAGE('The List'!T2:T671))/STDEV('The List'!T2:T671)</f>
        <v>-0.29620663317848128</v>
      </c>
      <c r="H393" s="55" cm="1">
        <f t="array" ref="H393">(VLOOKUP($A393,'The List'!$B1:$AH671,20,FALSE)-AVERAGE('The List'!U2:U671))/STDEV('The List'!U2:U671)</f>
        <v>-0.615290517926258</v>
      </c>
      <c r="I393" s="55" cm="1">
        <f t="array" ref="I393">(VLOOKUP($A393,'The List'!$B1:$AH671,21,FALSE)-AVERAGE('The List'!V2:V671))/STDEV('The List'!V2:V671)</f>
        <v>-0.77065285008330309</v>
      </c>
      <c r="J393" s="55" cm="1">
        <f t="array" ref="J393">(VLOOKUP($A393,'The List'!$B1:$AH671,22,FALSE)-AVERAGE('The List'!W2:W671))/STDEV('The List'!W2:W671)</f>
        <v>-0.73853908386105271</v>
      </c>
      <c r="K393" s="55" cm="1">
        <f t="array" ref="K393">(VLOOKUP($A393,'The List'!$B1:$AH671,23,FALSE)-AVERAGE('The List'!X2:X671))/STDEV('The List'!X2:X671)</f>
        <v>-0.72015313084421817</v>
      </c>
      <c r="L393" s="55" cm="1">
        <f t="array" ref="L393">(VLOOKUP($A393,'The List'!$B1:$AH671,24,FALSE)-AVERAGE('The List'!Y2:Y671))/STDEV('The List'!Y2:Y671)</f>
        <v>-0.47546929358800777</v>
      </c>
      <c r="M393" s="55" cm="1">
        <f t="array" ref="M393">(VLOOKUP($A393,'The List'!$B1:$AH671,25,FALSE)-AVERAGE('The List'!Z2:Z671))/STDEV('The List'!Z2:Z671)</f>
        <v>-0.64388478613809508</v>
      </c>
      <c r="N393" s="55" cm="1">
        <f t="array" ref="N393">(VLOOKUP($A393,'The List'!$B1:$AH671,26,FALSE)-AVERAGE('The List'!AA2:AA671))/STDEV('The List'!AA2:AA671)</f>
        <v>1.4181934706544899</v>
      </c>
      <c r="O393" s="55" cm="1">
        <f t="array" ref="O393">(VLOOKUP($A393,'The List'!$B1:$AH671,27,FALSE)-AVERAGE('The List'!AB2:AB671))/STDEV('The List'!AB2:AB671)</f>
        <v>5.764578284249245E-2</v>
      </c>
      <c r="P393" s="55" cm="1">
        <f t="array" ref="P393">(VLOOKUP($A393,'The List'!$B1:$AH671,28,FALSE)-AVERAGE('The List'!AC2:AC671))/STDEV('The List'!AC2:AC671)</f>
        <v>0.59825480483029947</v>
      </c>
      <c r="Q393" s="55" cm="1">
        <f t="array" ref="Q393">(VLOOKUP($A393,'The List'!$B1:$AH671,29,FALSE)-AVERAGE('The List'!AD2:AD671))/STDEV('The List'!AD2:AD671)</f>
        <v>-0.81780638000530537</v>
      </c>
      <c r="R393" s="55" cm="1">
        <f t="array" ref="R393">(VLOOKUP($A393,'The List'!$B1:$AH671,30,FALSE)-AVERAGE('The List'!AE2:AE671))/STDEV('The List'!AE2:AE671)</f>
        <v>-0.83922002554973252</v>
      </c>
      <c r="S393" s="55" cm="1">
        <f t="array" ref="S393">(VLOOKUP($A393,'The List'!$B1:$AH671,31,FALSE)-AVERAGE('The List'!AF2:AF671))/STDEV('The List'!AF2:AF671)</f>
        <v>-0.59581850454342256</v>
      </c>
      <c r="T393" s="55" cm="1">
        <f t="array" ref="T393">(VLOOKUP($A393,'The List'!$B1:$AH671,32,FALSE)-AVERAGE('The List'!AG2:AG671))/STDEV('The List'!AG2:AG671)</f>
        <v>-0.64684275008198677</v>
      </c>
      <c r="U393" s="55" cm="1">
        <f t="array" ref="U393">(VLOOKUP($A393,'The List'!$B1:$AH671,33,FALSE)-AVERAGE('The List'!AH2:AH671))/STDEV('The List'!AH2:AH671)</f>
        <v>-1.2552626683789523</v>
      </c>
      <c r="V393" s="55"/>
      <c r="W393" s="77"/>
      <c r="X393" s="57"/>
      <c r="Y393" s="57"/>
      <c r="Z393" s="57"/>
      <c r="AA393" s="57"/>
      <c r="AB393" s="57"/>
      <c r="AC393" s="60"/>
      <c r="AD393" s="61"/>
      <c r="AE393" s="55"/>
    </row>
    <row r="394" spans="1:31" ht="21.25" customHeight="1" x14ac:dyDescent="0.15">
      <c r="A394" s="10" t="s">
        <v>694</v>
      </c>
      <c r="B394" s="18" t="str" cm="1">
        <f t="array" ref="B394">VLOOKUP(A394,'Player Data'!A1:B673,2,FALSE)</f>
        <v>PIT</v>
      </c>
      <c r="C394" s="52" cm="1">
        <f t="array" ref="C394">((E394)*Settings!$C$12)+(F394*Settings!$C$2)+(G394*Settings!$C$3)+(H394*Settings!$C$4)+(I394*Settings!$C$5)+(K394*Settings!$C$9)+(N394*Settings!$C$6)+(J394*Settings!$C$8)+(O394*Settings!$C$7)+(P394*Settings!$C$14)+(Q394*Settings!$C$15)+(R394*Settings!$C$16)+(S394*Settings!$C$17)+(T394*Settings!$C$18)+(U394*Settings!$C$19)+(L394*Settings!$C$10)+(Settings!$C$11*M394)</f>
        <v>-3.3650554549362419</v>
      </c>
      <c r="D394" s="57" cm="1">
        <f t="array" ref="D394">IF(Settings!$E$12="YES",VLOOKUP(A394,'Player Data'!A1:E673,5,FALSE),82)</f>
        <v>74</v>
      </c>
      <c r="E394" s="55" cm="1">
        <f t="array" ref="E394">(VLOOKUP($A394,'The List'!$B1:$AH671,17,FALSE)-AVERAGE('The List'!R2:R671))/STDEV('The List'!R2:R671)</f>
        <v>-0.86942563181604504</v>
      </c>
      <c r="F394" s="55" cm="1">
        <f t="array" ref="F394">(VLOOKUP($A394,'The List'!$B1:$AH671,18,FALSE)-AVERAGE('The List'!S2:S671))/STDEV('The List'!S2:S671)</f>
        <v>-0.41247556662425555</v>
      </c>
      <c r="G394" s="55" cm="1">
        <f t="array" ref="G394">(VLOOKUP($A394,'The List'!$B1:$AH671,19,FALSE)-AVERAGE('The List'!T2:T671))/STDEV('The List'!T2:T671)</f>
        <v>-0.77828266080232766</v>
      </c>
      <c r="H394" s="55" cm="1">
        <f t="array" ref="H394">(VLOOKUP($A394,'The List'!$B1:$AH671,20,FALSE)-AVERAGE('The List'!U2:U671))/STDEV('The List'!U2:U671)</f>
        <v>-0.6723178202890423</v>
      </c>
      <c r="I394" s="55" cm="1">
        <f t="array" ref="I394">(VLOOKUP($A394,'The List'!$B1:$AH671,21,FALSE)-AVERAGE('The List'!V2:V671))/STDEV('The List'!V2:V671)</f>
        <v>-0.93115857424043302</v>
      </c>
      <c r="J394" s="55" cm="1">
        <f t="array" ref="J394">(VLOOKUP($A394,'The List'!$B1:$AH671,22,FALSE)-AVERAGE('The List'!W2:W671))/STDEV('The List'!W2:W671)</f>
        <v>-0.73853908386105271</v>
      </c>
      <c r="K394" s="55" cm="1">
        <f t="array" ref="K394">(VLOOKUP($A394,'The List'!$B1:$AH671,23,FALSE)-AVERAGE('The List'!X2:X671))/STDEV('The List'!X2:X671)</f>
        <v>-0.80155300200843405</v>
      </c>
      <c r="L394" s="55" cm="1">
        <f t="array" ref="L394">(VLOOKUP($A394,'The List'!$B1:$AH671,24,FALSE)-AVERAGE('The List'!Y2:Y671))/STDEV('The List'!Y2:Y671)</f>
        <v>0.88106111751140781</v>
      </c>
      <c r="M394" s="55" cm="1">
        <f t="array" ref="M394">(VLOOKUP($A394,'The List'!$B1:$AH671,25,FALSE)-AVERAGE('The List'!Z2:Z671))/STDEV('The List'!Z2:Z671)</f>
        <v>0.16021361118783253</v>
      </c>
      <c r="N394" s="55" cm="1">
        <f t="array" ref="N394">(VLOOKUP($A394,'The List'!$B1:$AH671,26,FALSE)-AVERAGE('The List'!AA2:AA671))/STDEV('The List'!AA2:AA671)</f>
        <v>-0.4511494662921674</v>
      </c>
      <c r="O394" s="55" cm="1">
        <f t="array" ref="O394">(VLOOKUP($A394,'The List'!$B1:$AH671,27,FALSE)-AVERAGE('The List'!AB2:AB671))/STDEV('The List'!AB2:AB671)</f>
        <v>-0.17603989768767139</v>
      </c>
      <c r="P394" s="55" cm="1">
        <f t="array" ref="P394">(VLOOKUP($A394,'The List'!$B1:$AH671,28,FALSE)-AVERAGE('The List'!AC2:AC671))/STDEV('The List'!AC2:AC671)</f>
        <v>-0.26554575357312027</v>
      </c>
      <c r="Q394" s="55" cm="1">
        <f t="array" ref="Q394">(VLOOKUP($A394,'The List'!$B1:$AH671,29,FALSE)-AVERAGE('The List'!AD2:AD671))/STDEV('The List'!AD2:AD671)</f>
        <v>-0.18683364140703965</v>
      </c>
      <c r="R394" s="55" cm="1">
        <f t="array" ref="R394">(VLOOKUP($A394,'The List'!$B1:$AH671,30,FALSE)-AVERAGE('The List'!AE2:AE671))/STDEV('The List'!AE2:AE671)</f>
        <v>-0.42127476321943386</v>
      </c>
      <c r="S394" s="55" cm="1">
        <f t="array" ref="S394">(VLOOKUP($A394,'The List'!$B1:$AH671,31,FALSE)-AVERAGE('The List'!AF2:AF671))/STDEV('The List'!AF2:AF671)</f>
        <v>0.79524846492410695</v>
      </c>
      <c r="T394" s="55" cm="1">
        <f t="array" ref="T394">(VLOOKUP($A394,'The List'!$B1:$AH671,32,FALSE)-AVERAGE('The List'!AG2:AG671))/STDEV('The List'!AG2:AG671)</f>
        <v>0.84865023751703383</v>
      </c>
      <c r="U394" s="55" cm="1">
        <f t="array" ref="U394">(VLOOKUP($A394,'The List'!$B1:$AH671,33,FALSE)-AVERAGE('The List'!AH2:AH671))/STDEV('The List'!AH2:AH671)</f>
        <v>1.0446985610993245</v>
      </c>
      <c r="V394" s="55"/>
      <c r="W394" s="77"/>
      <c r="X394" s="57"/>
      <c r="Y394" s="57"/>
      <c r="Z394" s="57"/>
      <c r="AA394" s="57"/>
      <c r="AB394" s="57"/>
      <c r="AC394" s="60"/>
      <c r="AD394" s="61"/>
      <c r="AE394" s="55"/>
    </row>
    <row r="395" spans="1:31" ht="21.25" customHeight="1" x14ac:dyDescent="0.15">
      <c r="A395" s="10" t="s">
        <v>742</v>
      </c>
      <c r="B395" s="18" t="str" cm="1">
        <f t="array" ref="B395">VLOOKUP(A395,'Player Data'!A1:B673,2,FALSE)</f>
        <v>STL</v>
      </c>
      <c r="C395" s="52" cm="1">
        <f t="array" ref="C395">((E395)*Settings!$C$12)+(F395*Settings!$C$2)+(G395*Settings!$C$3)+(H395*Settings!$C$4)+(I395*Settings!$C$5)+(K395*Settings!$C$9)+(N395*Settings!$C$6)+(J395*Settings!$C$8)+(O395*Settings!$C$7)+(P395*Settings!$C$14)+(Q395*Settings!$C$15)+(R395*Settings!$C$16)+(S395*Settings!$C$17)+(T395*Settings!$C$18)+(U395*Settings!$C$19)+(L395*Settings!$C$10)+(Settings!$C$11*M395)</f>
        <v>-3.8166862939821766</v>
      </c>
      <c r="D395" s="57" cm="1">
        <f t="array" ref="D395">IF(Settings!$E$12="YES",VLOOKUP(A395,'Player Data'!A1:E673,5,FALSE),82)</f>
        <v>63</v>
      </c>
      <c r="E395" s="55" cm="1">
        <f t="array" ref="E395">(VLOOKUP($A395,'The List'!$B1:$AH671,17,FALSE)-AVERAGE('The List'!R2:R671))/STDEV('The List'!R2:R671)</f>
        <v>-1.2891393946285115</v>
      </c>
      <c r="F395" s="55" cm="1">
        <f t="array" ref="F395">(VLOOKUP($A395,'The List'!$B1:$AH671,18,FALSE)-AVERAGE('The List'!S2:S671))/STDEV('The List'!S2:S671)</f>
        <v>-0.68092123831216689</v>
      </c>
      <c r="G395" s="55" cm="1">
        <f t="array" ref="G395">(VLOOKUP($A395,'The List'!$B1:$AH671,19,FALSE)-AVERAGE('The List'!T2:T671))/STDEV('The List'!T2:T671)</f>
        <v>-0.82114947958520612</v>
      </c>
      <c r="H395" s="55" cm="1">
        <f t="array" ref="H395">(VLOOKUP($A395,'The List'!$B1:$AH671,20,FALSE)-AVERAGE('The List'!U2:U671))/STDEV('The List'!U2:U671)</f>
        <v>-0.81820161703104943</v>
      </c>
      <c r="I395" s="55" cm="1">
        <f t="array" ref="I395">(VLOOKUP($A395,'The List'!$B1:$AH671,21,FALSE)-AVERAGE('The List'!V2:V671))/STDEV('The List'!V2:V671)</f>
        <v>-1.1391767571093074</v>
      </c>
      <c r="J395" s="55" cm="1">
        <f t="array" ref="J395">(VLOOKUP($A395,'The List'!$B1:$AH671,22,FALSE)-AVERAGE('The List'!W2:W671))/STDEV('The List'!W2:W671)</f>
        <v>-0.73853908386105271</v>
      </c>
      <c r="K395" s="55" cm="1">
        <f t="array" ref="K395">(VLOOKUP($A395,'The List'!$B1:$AH671,23,FALSE)-AVERAGE('The List'!X2:X671))/STDEV('The List'!X2:X671)</f>
        <v>-0.73824199110293287</v>
      </c>
      <c r="L395" s="55" cm="1">
        <f t="array" ref="L395">(VLOOKUP($A395,'The List'!$B1:$AH671,24,FALSE)-AVERAGE('The List'!Y2:Y671))/STDEV('The List'!Y2:Y671)</f>
        <v>-0.47546929358800777</v>
      </c>
      <c r="M395" s="55" cm="1">
        <f t="array" ref="M395">(VLOOKUP($A395,'The List'!$B1:$AH671,25,FALSE)-AVERAGE('The List'!Z2:Z671))/STDEV('The List'!Z2:Z671)</f>
        <v>0.72525572822767359</v>
      </c>
      <c r="N395" s="55" cm="1">
        <f t="array" ref="N395">(VLOOKUP($A395,'The List'!$B1:$AH671,26,FALSE)-AVERAGE('The List'!AA2:AA671))/STDEV('The List'!AA2:AA671)</f>
        <v>-0.91497331838878315</v>
      </c>
      <c r="O395" s="55" cm="1">
        <f t="array" ref="O395">(VLOOKUP($A395,'The List'!$B1:$AH671,27,FALSE)-AVERAGE('The List'!AB2:AB671))/STDEV('The List'!AB2:AB671)</f>
        <v>7.7939539309585221E-2</v>
      </c>
      <c r="P395" s="55" cm="1">
        <f t="array" ref="P395">(VLOOKUP($A395,'The List'!$B1:$AH671,28,FALSE)-AVERAGE('The List'!AC2:AC671))/STDEV('The List'!AC2:AC671)</f>
        <v>-0.51513636718214861</v>
      </c>
      <c r="Q395" s="55" cm="1">
        <f t="array" ref="Q395">(VLOOKUP($A395,'The List'!$B1:$AH671,29,FALSE)-AVERAGE('The List'!AD2:AD671))/STDEV('The List'!AD2:AD671)</f>
        <v>-1.3032268592313718</v>
      </c>
      <c r="R395" s="55" cm="1">
        <f t="array" ref="R395">(VLOOKUP($A395,'The List'!$B1:$AH671,30,FALSE)-AVERAGE('The List'!AE2:AE671))/STDEV('The List'!AE2:AE671)</f>
        <v>-0.55851052099953191</v>
      </c>
      <c r="S395" s="55" cm="1">
        <f t="array" ref="S395">(VLOOKUP($A395,'The List'!$B1:$AH671,31,FALSE)-AVERAGE('The List'!AF2:AF671))/STDEV('The List'!AF2:AF671)</f>
        <v>-0.56250097465329341</v>
      </c>
      <c r="T395" s="55" cm="1">
        <f t="array" ref="T395">(VLOOKUP($A395,'The List'!$B1:$AH671,32,FALSE)-AVERAGE('The List'!AG2:AG671))/STDEV('The List'!AG2:AG671)</f>
        <v>-0.56003434263228924</v>
      </c>
      <c r="U395" s="55" cm="1">
        <f t="array" ref="U395">(VLOOKUP($A395,'The List'!$B1:$AH671,33,FALSE)-AVERAGE('The List'!AH2:AH671))/STDEV('The List'!AH2:AH671)</f>
        <v>7.8714844718448196E-2</v>
      </c>
      <c r="V395" s="55"/>
      <c r="W395" s="77"/>
      <c r="X395" s="57"/>
      <c r="Y395" s="57"/>
      <c r="Z395" s="57"/>
      <c r="AA395" s="57"/>
      <c r="AB395" s="57"/>
      <c r="AC395" s="60"/>
      <c r="AD395" s="61"/>
      <c r="AE395" s="55"/>
    </row>
    <row r="396" spans="1:31" ht="21.25" customHeight="1" x14ac:dyDescent="0.15">
      <c r="A396" s="10" t="s">
        <v>696</v>
      </c>
      <c r="B396" s="18" t="str" cm="1">
        <f t="array" ref="B396">VLOOKUP(A396,'Player Data'!A1:B673,2,FALSE)</f>
        <v>T.B</v>
      </c>
      <c r="C396" s="52" cm="1">
        <f t="array" ref="C396">((E396)*Settings!$C$12)+(F396*Settings!$C$2)+(G396*Settings!$C$3)+(H396*Settings!$C$4)+(I396*Settings!$C$5)+(K396*Settings!$C$9)+(N396*Settings!$C$6)+(J396*Settings!$C$8)+(O396*Settings!$C$7)+(P396*Settings!$C$14)+(Q396*Settings!$C$15)+(R396*Settings!$C$16)+(S396*Settings!$C$17)+(T396*Settings!$C$18)+(U396*Settings!$C$19)+(L396*Settings!$C$10)+(Settings!$C$11*M396)</f>
        <v>-1.7204186641133012</v>
      </c>
      <c r="D396" s="57" cm="1">
        <f t="array" ref="D396">IF(Settings!$E$12="YES",VLOOKUP(A396,'Player Data'!A1:E673,5,FALSE),82)</f>
        <v>77</v>
      </c>
      <c r="E396" s="55" cm="1">
        <f t="array" ref="E396">(VLOOKUP($A396,'The List'!$B1:$AH671,17,FALSE)-AVERAGE('The List'!R2:R671))/STDEV('The List'!R2:R671)</f>
        <v>-1.2104430641011743</v>
      </c>
      <c r="F396" s="55" cm="1">
        <f t="array" ref="F396">(VLOOKUP($A396,'The List'!$B1:$AH671,18,FALSE)-AVERAGE('The List'!S2:S671))/STDEV('The List'!S2:S671)</f>
        <v>-0.37355593392600833</v>
      </c>
      <c r="G396" s="55" cm="1">
        <f t="array" ref="G396">(VLOOKUP($A396,'The List'!$B1:$AH671,19,FALSE)-AVERAGE('The List'!T2:T671))/STDEV('The List'!T2:T671)</f>
        <v>-0.7965537638901119</v>
      </c>
      <c r="H396" s="55" cm="1">
        <f t="array" ref="H396">(VLOOKUP($A396,'The List'!$B1:$AH671,20,FALSE)-AVERAGE('The List'!U2:U671))/STDEV('The List'!U2:U671)</f>
        <v>-0.66657088284163013</v>
      </c>
      <c r="I396" s="55" cm="1">
        <f t="array" ref="I396">(VLOOKUP($A396,'The List'!$B1:$AH671,21,FALSE)-AVERAGE('The List'!V2:V671))/STDEV('The List'!V2:V671)</f>
        <v>-0.7207215752916879</v>
      </c>
      <c r="J396" s="55" cm="1">
        <f t="array" ref="J396">(VLOOKUP($A396,'The List'!$B1:$AH671,22,FALSE)-AVERAGE('The List'!W2:W671))/STDEV('The List'!W2:W671)</f>
        <v>-0.73853908386105271</v>
      </c>
      <c r="K396" s="55" cm="1">
        <f t="array" ref="K396">(VLOOKUP($A396,'The List'!$B1:$AH671,23,FALSE)-AVERAGE('The List'!X2:X671))/STDEV('The List'!X2:X671)</f>
        <v>-0.80155300200843405</v>
      </c>
      <c r="L396" s="55" cm="1">
        <f t="array" ref="L396">(VLOOKUP($A396,'The List'!$B1:$AH671,24,FALSE)-AVERAGE('The List'!Y2:Y671))/STDEV('The List'!Y2:Y671)</f>
        <v>-0.47546929358800777</v>
      </c>
      <c r="M396" s="55" cm="1">
        <f t="array" ref="M396">(VLOOKUP($A396,'The List'!$B1:$AH671,25,FALSE)-AVERAGE('The List'!Z2:Z671))/STDEV('The List'!Z2:Z671)</f>
        <v>-0.64388478613809508</v>
      </c>
      <c r="N396" s="55" cm="1">
        <f t="array" ref="N396">(VLOOKUP($A396,'The List'!$B1:$AH671,26,FALSE)-AVERAGE('The List'!AA2:AA671))/STDEV('The List'!AA2:AA671)</f>
        <v>-0.67897483857750951</v>
      </c>
      <c r="O396" s="55" cm="1">
        <f t="array" ref="O396">(VLOOKUP($A396,'The List'!$B1:$AH671,27,FALSE)-AVERAGE('The List'!AB2:AB671))/STDEV('The List'!AB2:AB671)</f>
        <v>-0.4271495105380666</v>
      </c>
      <c r="P396" s="55" cm="1">
        <f t="array" ref="P396">(VLOOKUP($A396,'The List'!$B1:$AH671,28,FALSE)-AVERAGE('The List'!AC2:AC671))/STDEV('The List'!AC2:AC671)</f>
        <v>1.3991151215410076</v>
      </c>
      <c r="Q396" s="55" cm="1">
        <f t="array" ref="Q396">(VLOOKUP($A396,'The List'!$B1:$AH671,29,FALSE)-AVERAGE('The List'!AD2:AD671))/STDEV('The List'!AD2:AD671)</f>
        <v>-0.3257363051734028</v>
      </c>
      <c r="R396" s="55" cm="1">
        <f t="array" ref="R396">(VLOOKUP($A396,'The List'!$B1:$AH671,30,FALSE)-AVERAGE('The List'!AE2:AE671))/STDEV('The List'!AE2:AE671)</f>
        <v>-0.38384682927940705</v>
      </c>
      <c r="S396" s="55" cm="1">
        <f t="array" ref="S396">(VLOOKUP($A396,'The List'!$B1:$AH671,31,FALSE)-AVERAGE('The List'!AF2:AF671))/STDEV('The List'!AF2:AF671)</f>
        <v>-0.35889384754694836</v>
      </c>
      <c r="T396" s="55" cm="1">
        <f t="array" ref="T396">(VLOOKUP($A396,'The List'!$B1:$AH671,32,FALSE)-AVERAGE('The List'!AG2:AG671))/STDEV('The List'!AG2:AG671)</f>
        <v>-0.30889726264406991</v>
      </c>
      <c r="U396" s="55" cm="1">
        <f t="array" ref="U396">(VLOOKUP($A396,'The List'!$B1:$AH671,33,FALSE)-AVERAGE('The List'!AH2:AH671))/STDEV('The List'!AH2:AH671)</f>
        <v>0.72270398897236576</v>
      </c>
      <c r="V396" s="55"/>
      <c r="W396" s="77"/>
      <c r="X396" s="57"/>
      <c r="Y396" s="57"/>
      <c r="Z396" s="57"/>
      <c r="AA396" s="57"/>
      <c r="AB396" s="57"/>
      <c r="AC396" s="60"/>
      <c r="AD396" s="61"/>
      <c r="AE396" s="55"/>
    </row>
    <row r="397" spans="1:31" ht="21.25" customHeight="1" x14ac:dyDescent="0.15">
      <c r="A397" s="10" t="s">
        <v>421</v>
      </c>
      <c r="B397" s="18" t="str" cm="1">
        <f t="array" ref="B397">VLOOKUP(A397,'Player Data'!A1:B673,2,FALSE)</f>
        <v>CGY</v>
      </c>
      <c r="C397" s="52" cm="1">
        <f t="array" ref="C397">((E397)*Settings!$C$12)+(F397*Settings!$C$2)+(G397*Settings!$C$3)+(H397*Settings!$C$4)+(I397*Settings!$C$5)+(K397*Settings!$C$9)+(N397*Settings!$C$6)+(J397*Settings!$C$8)+(O397*Settings!$C$7)+(P397*Settings!$C$14)+(Q397*Settings!$C$15)+(R397*Settings!$C$16)+(S397*Settings!$C$17)+(T397*Settings!$C$18)+(U397*Settings!$C$19)+(L397*Settings!$C$10)+(Settings!$C$11*M397)</f>
        <v>-3.4172168158685681</v>
      </c>
      <c r="D397" s="57" cm="1">
        <f t="array" ref="D397">IF(Settings!$E$12="YES",VLOOKUP(A397,'Player Data'!A1:E673,5,FALSE),82)</f>
        <v>74</v>
      </c>
      <c r="E397" s="55" cm="1">
        <f t="array" ref="E397">(VLOOKUP($A397,'The List'!$B1:$AH671,17,FALSE)-AVERAGE('The List'!R2:R671))/STDEV('The List'!R2:R671)</f>
        <v>0.17985877521512147</v>
      </c>
      <c r="F397" s="55" cm="1">
        <f t="array" ref="F397">(VLOOKUP($A397,'The List'!$B1:$AH671,18,FALSE)-AVERAGE('The List'!S2:S671))/STDEV('The List'!S2:S671)</f>
        <v>-0.48632307482093023</v>
      </c>
      <c r="G397" s="55" cm="1">
        <f t="array" ref="G397">(VLOOKUP($A397,'The List'!$B1:$AH671,19,FALSE)-AVERAGE('The List'!T2:T671))/STDEV('The List'!T2:T671)</f>
        <v>-0.46626843884170399</v>
      </c>
      <c r="H397" s="55" cm="1">
        <f t="array" ref="H397">(VLOOKUP($A397,'The List'!$B1:$AH671,20,FALSE)-AVERAGE('The List'!U2:U671))/STDEV('The List'!U2:U671)</f>
        <v>-0.50875113909345904</v>
      </c>
      <c r="I397" s="55" cm="1">
        <f t="array" ref="I397">(VLOOKUP($A397,'The List'!$B1:$AH671,21,FALSE)-AVERAGE('The List'!V2:V671))/STDEV('The List'!V2:V671)</f>
        <v>-0.33025555096971465</v>
      </c>
      <c r="J397" s="55" cm="1">
        <f t="array" ref="J397">(VLOOKUP($A397,'The List'!$B1:$AH671,22,FALSE)-AVERAGE('The List'!W2:W671))/STDEV('The List'!W2:W671)</f>
        <v>0.48777509821154874</v>
      </c>
      <c r="K397" s="55" cm="1">
        <f t="array" ref="K397">(VLOOKUP($A397,'The List'!$B1:$AH671,23,FALSE)-AVERAGE('The List'!X2:X671))/STDEV('The List'!X2:X671)</f>
        <v>0.31392671394563509</v>
      </c>
      <c r="L397" s="55" cm="1">
        <f t="array" ref="L397">(VLOOKUP($A397,'The List'!$B1:$AH671,24,FALSE)-AVERAGE('The List'!Y2:Y671))/STDEV('The List'!Y2:Y671)</f>
        <v>-0.47546929358800777</v>
      </c>
      <c r="M397" s="55" cm="1">
        <f t="array" ref="M397">(VLOOKUP($A397,'The List'!$B1:$AH671,25,FALSE)-AVERAGE('The List'!Z2:Z671))/STDEV('The List'!Z2:Z671)</f>
        <v>-0.64388478613809508</v>
      </c>
      <c r="N397" s="55" cm="1">
        <f t="array" ref="N397">(VLOOKUP($A397,'The List'!$B1:$AH671,26,FALSE)-AVERAGE('The List'!AA2:AA671))/STDEV('The List'!AA2:AA671)</f>
        <v>0.4182648467788016</v>
      </c>
      <c r="O397" s="55" cm="1">
        <f t="array" ref="O397">(VLOOKUP($A397,'The List'!$B1:$AH671,27,FALSE)-AVERAGE('The List'!AB2:AB671))/STDEV('The List'!AB2:AB671)</f>
        <v>-0.73729550583818748</v>
      </c>
      <c r="P397" s="55" cm="1">
        <f t="array" ref="P397">(VLOOKUP($A397,'The List'!$B1:$AH671,28,FALSE)-AVERAGE('The List'!AC2:AC671))/STDEV('The List'!AC2:AC671)</f>
        <v>-1.711000959343667</v>
      </c>
      <c r="Q397" s="55" cm="1">
        <f t="array" ref="Q397">(VLOOKUP($A397,'The List'!$B1:$AH671,29,FALSE)-AVERAGE('The List'!AD2:AD671))/STDEV('The List'!AD2:AD671)</f>
        <v>-0.51488035796164167</v>
      </c>
      <c r="R397" s="55" cm="1">
        <f t="array" ref="R397">(VLOOKUP($A397,'The List'!$B1:$AH671,30,FALSE)-AVERAGE('The List'!AE2:AE671))/STDEV('The List'!AE2:AE671)</f>
        <v>-0.42127476321943386</v>
      </c>
      <c r="S397" s="55" cm="1">
        <f t="array" ref="S397">(VLOOKUP($A397,'The List'!$B1:$AH671,31,FALSE)-AVERAGE('The List'!AF2:AF671))/STDEV('The List'!AF2:AF671)</f>
        <v>-0.59581850454342256</v>
      </c>
      <c r="T397" s="55" cm="1">
        <f t="array" ref="T397">(VLOOKUP($A397,'The List'!$B1:$AH671,32,FALSE)-AVERAGE('The List'!AG2:AG671))/STDEV('The List'!AG2:AG671)</f>
        <v>-0.64684275008198677</v>
      </c>
      <c r="U397" s="55" cm="1">
        <f t="array" ref="U397">(VLOOKUP($A397,'The List'!$B1:$AH671,33,FALSE)-AVERAGE('The List'!AH2:AH671))/STDEV('The List'!AH2:AH671)</f>
        <v>-1.2552626683789523</v>
      </c>
      <c r="V397" s="55"/>
      <c r="W397" s="57"/>
      <c r="X397" s="55"/>
      <c r="Y397" s="55"/>
      <c r="Z397" s="55"/>
      <c r="AA397" s="55"/>
      <c r="AB397" s="55"/>
      <c r="AC397" s="55"/>
      <c r="AD397" s="55"/>
      <c r="AE397" s="55"/>
    </row>
    <row r="398" spans="1:31" ht="21.25" customHeight="1" x14ac:dyDescent="0.15">
      <c r="A398" s="10" t="s">
        <v>766</v>
      </c>
      <c r="B398" s="18" t="str" cm="1">
        <f t="array" ref="B398">VLOOKUP(A398,'Player Data'!A1:B673,2,FALSE)</f>
        <v>BOS</v>
      </c>
      <c r="C398" s="52" cm="1">
        <f t="array" ref="C398">((E398)*Settings!$C$12)+(F398*Settings!$C$2)+(G398*Settings!$C$3)+(H398*Settings!$C$4)+(I398*Settings!$C$5)+(K398*Settings!$C$9)+(N398*Settings!$C$6)+(J398*Settings!$C$8)+(O398*Settings!$C$7)+(P398*Settings!$C$14)+(Q398*Settings!$C$15)+(R398*Settings!$C$16)+(S398*Settings!$C$17)+(T398*Settings!$C$18)+(U398*Settings!$C$19)+(L398*Settings!$C$10)+(Settings!$C$11*M398)</f>
        <v>-1.8542978686534763</v>
      </c>
      <c r="D398" s="57" cm="1">
        <f t="array" ref="D398">IF(Settings!$E$12="YES",VLOOKUP(A398,'Player Data'!A1:E673,5,FALSE),82)</f>
        <v>59</v>
      </c>
      <c r="E398" s="55" cm="1">
        <f t="array" ref="E398">(VLOOKUP($A398,'The List'!$B1:$AH671,17,FALSE)-AVERAGE('The List'!R2:R671))/STDEV('The List'!R2:R671)</f>
        <v>-1.4202999455074072</v>
      </c>
      <c r="F398" s="55" cm="1">
        <f t="array" ref="F398">(VLOOKUP($A398,'The List'!$B1:$AH671,18,FALSE)-AVERAGE('The List'!S2:S671))/STDEV('The List'!S2:S671)</f>
        <v>-0.43043847402344682</v>
      </c>
      <c r="G398" s="55" cm="1">
        <f t="array" ref="G398">(VLOOKUP($A398,'The List'!$B1:$AH671,19,FALSE)-AVERAGE('The List'!T2:T671))/STDEV('The List'!T2:T671)</f>
        <v>-1.0818640659532046</v>
      </c>
      <c r="H398" s="55" cm="1">
        <f t="array" ref="H398">(VLOOKUP($A398,'The List'!$B1:$AH671,20,FALSE)-AVERAGE('The List'!U2:U671))/STDEV('The List'!U2:U671)</f>
        <v>-0.87125027039177905</v>
      </c>
      <c r="I398" s="55" cm="1">
        <f t="array" ref="I398">(VLOOKUP($A398,'The List'!$B1:$AH671,21,FALSE)-AVERAGE('The List'!V2:V671))/STDEV('The List'!V2:V671)</f>
        <v>-0.97106903955829849</v>
      </c>
      <c r="J398" s="55" cm="1">
        <f t="array" ref="J398">(VLOOKUP($A398,'The List'!$B1:$AH671,22,FALSE)-AVERAGE('The List'!W2:W671))/STDEV('The List'!W2:W671)</f>
        <v>-0.57558292002708089</v>
      </c>
      <c r="K398" s="55" cm="1">
        <f t="array" ref="K398">(VLOOKUP($A398,'The List'!$B1:$AH671,23,FALSE)-AVERAGE('The List'!X2:X671))/STDEV('The List'!X2:X671)</f>
        <v>-0.68297047364574925</v>
      </c>
      <c r="L398" s="55" cm="1">
        <f t="array" ref="L398">(VLOOKUP($A398,'The List'!$B1:$AH671,24,FALSE)-AVERAGE('The List'!Y2:Y671))/STDEV('The List'!Y2:Y671)</f>
        <v>0.60608873688314779</v>
      </c>
      <c r="M398" s="55" cm="1">
        <f t="array" ref="M398">(VLOOKUP($A398,'The List'!$B1:$AH671,25,FALSE)-AVERAGE('The List'!Z2:Z671))/STDEV('The List'!Z2:Z671)</f>
        <v>-2.7793071890447035E-3</v>
      </c>
      <c r="N398" s="55" cm="1">
        <f t="array" ref="N398">(VLOOKUP($A398,'The List'!$B1:$AH671,26,FALSE)-AVERAGE('The List'!AA2:AA671))/STDEV('The List'!AA2:AA671)</f>
        <v>-0.8243029067729799</v>
      </c>
      <c r="O398" s="55" cm="1">
        <f t="array" ref="O398">(VLOOKUP($A398,'The List'!$B1:$AH671,27,FALSE)-AVERAGE('The List'!AB2:AB671))/STDEV('The List'!AB2:AB671)</f>
        <v>1.5450346406730786</v>
      </c>
      <c r="P398" s="55" cm="1">
        <f t="array" ref="P398">(VLOOKUP($A398,'The List'!$B1:$AH671,28,FALSE)-AVERAGE('The List'!AC2:AC671))/STDEV('The List'!AC2:AC671)</f>
        <v>-0.23299045614585573</v>
      </c>
      <c r="Q398" s="55" cm="1">
        <f t="array" ref="Q398">(VLOOKUP($A398,'The List'!$B1:$AH671,29,FALSE)-AVERAGE('The List'!AD2:AD671))/STDEV('The List'!AD2:AD671)</f>
        <v>-0.8045071887936327</v>
      </c>
      <c r="R398" s="55" cm="1">
        <f t="array" ref="R398">(VLOOKUP($A398,'The List'!$B1:$AH671,30,FALSE)-AVERAGE('The List'!AE2:AE671))/STDEV('The List'!AE2:AE671)</f>
        <v>-0.60841443291956765</v>
      </c>
      <c r="S398" s="55" cm="1">
        <f t="array" ref="S398">(VLOOKUP($A398,'The List'!$B1:$AH671,31,FALSE)-AVERAGE('The List'!AF2:AF671))/STDEV('The List'!AF2:AF671)</f>
        <v>-0.57879916027054268</v>
      </c>
      <c r="T398" s="55" cm="1">
        <f t="array" ref="T398">(VLOOKUP($A398,'The List'!$B1:$AH671,32,FALSE)-AVERAGE('The List'!AG2:AG671))/STDEV('The List'!AG2:AG671)</f>
        <v>-0.61974382923790128</v>
      </c>
      <c r="U398" s="55" cm="1">
        <f t="array" ref="U398">(VLOOKUP($A398,'The List'!$B1:$AH671,33,FALSE)-AVERAGE('The List'!AH2:AH671))/STDEV('The List'!AH2:AH671)</f>
        <v>0.49270786602453809</v>
      </c>
      <c r="V398" s="55"/>
      <c r="W398" s="57"/>
      <c r="X398" s="55"/>
      <c r="Y398" s="55"/>
      <c r="Z398" s="55"/>
      <c r="AA398" s="55"/>
      <c r="AB398" s="55"/>
      <c r="AC398" s="55"/>
      <c r="AD398" s="55"/>
      <c r="AE398" s="55"/>
    </row>
    <row r="399" spans="1:31" ht="21.25" customHeight="1" x14ac:dyDescent="0.15">
      <c r="A399" s="10" t="s">
        <v>684</v>
      </c>
      <c r="B399" s="18" t="str" cm="1">
        <f t="array" ref="B399">VLOOKUP(A399,'Player Data'!A1:B673,2,FALSE)</f>
        <v>WSH</v>
      </c>
      <c r="C399" s="52" cm="1">
        <f t="array" ref="C399">((E399)*Settings!$C$12)+(F399*Settings!$C$2)+(G399*Settings!$C$3)+(H399*Settings!$C$4)+(I399*Settings!$C$5)+(K399*Settings!$C$9)+(N399*Settings!$C$6)+(J399*Settings!$C$8)+(O399*Settings!$C$7)+(P399*Settings!$C$14)+(Q399*Settings!$C$15)+(R399*Settings!$C$16)+(S399*Settings!$C$17)+(T399*Settings!$C$18)+(U399*Settings!$C$19)+(L399*Settings!$C$10)+(Settings!$C$11*M399)</f>
        <v>-1.9100616998083231</v>
      </c>
      <c r="D399" s="57" cm="1">
        <f t="array" ref="D399">IF(Settings!$E$12="YES",VLOOKUP(A399,'Player Data'!A1:E673,5,FALSE),82)</f>
        <v>76</v>
      </c>
      <c r="E399" s="55" cm="1">
        <f t="array" ref="E399">(VLOOKUP($A399,'The List'!$B1:$AH671,17,FALSE)-AVERAGE('The List'!R2:R671))/STDEV('The List'!R2:R671)</f>
        <v>-1.525228386210524</v>
      </c>
      <c r="F399" s="55" cm="1">
        <f t="array" ref="F399">(VLOOKUP($A399,'The List'!$B1:$AH671,18,FALSE)-AVERAGE('The List'!S2:S671))/STDEV('The List'!S2:S671)</f>
        <v>-0.23484237123225488</v>
      </c>
      <c r="G399" s="55" cm="1">
        <f t="array" ref="G399">(VLOOKUP($A399,'The List'!$B1:$AH671,19,FALSE)-AVERAGE('The List'!T2:T671))/STDEV('The List'!T2:T671)</f>
        <v>-0.86120535943150234</v>
      </c>
      <c r="H399" s="55" cm="1">
        <f t="array" ref="H399">(VLOOKUP($A399,'The List'!$B1:$AH671,20,FALSE)-AVERAGE('The List'!U2:U671))/STDEV('The List'!U2:U671)</f>
        <v>-0.64579349360867755</v>
      </c>
      <c r="I399" s="55" cm="1">
        <f t="array" ref="I399">(VLOOKUP($A399,'The List'!$B1:$AH671,21,FALSE)-AVERAGE('The List'!V2:V671))/STDEV('The List'!V2:V671)</f>
        <v>-0.6084194001548372</v>
      </c>
      <c r="J399" s="55" cm="1">
        <f t="array" ref="J399">(VLOOKUP($A399,'The List'!$B1:$AH671,22,FALSE)-AVERAGE('The List'!W2:W671))/STDEV('The List'!W2:W671)</f>
        <v>-0.73853908386105271</v>
      </c>
      <c r="K399" s="55" cm="1">
        <f t="array" ref="K399">(VLOOKUP($A399,'The List'!$B1:$AH671,23,FALSE)-AVERAGE('The List'!X2:X671))/STDEV('The List'!X2:X671)</f>
        <v>-0.80155300200843405</v>
      </c>
      <c r="L399" s="55" cm="1">
        <f t="array" ref="L399">(VLOOKUP($A399,'The List'!$B1:$AH671,24,FALSE)-AVERAGE('The List'!Y2:Y671))/STDEV('The List'!Y2:Y671)</f>
        <v>-0.47546929358800777</v>
      </c>
      <c r="M399" s="55" cm="1">
        <f t="array" ref="M399">(VLOOKUP($A399,'The List'!$B1:$AH671,25,FALSE)-AVERAGE('The List'!Z2:Z671))/STDEV('The List'!Z2:Z671)</f>
        <v>-0.64388478613809508</v>
      </c>
      <c r="N399" s="55" cm="1">
        <f t="array" ref="N399">(VLOOKUP($A399,'The List'!$B1:$AH671,26,FALSE)-AVERAGE('The List'!AA2:AA671))/STDEV('The List'!AA2:AA671)</f>
        <v>-0.36124528350692042</v>
      </c>
      <c r="O399" s="55" cm="1">
        <f t="array" ref="O399">(VLOOKUP($A399,'The List'!$B1:$AH671,27,FALSE)-AVERAGE('The List'!AB2:AB671))/STDEV('The List'!AB2:AB671)</f>
        <v>-0.28878298917152229</v>
      </c>
      <c r="P399" s="55" cm="1">
        <f t="array" ref="P399">(VLOOKUP($A399,'The List'!$B1:$AH671,28,FALSE)-AVERAGE('The List'!AC2:AC671))/STDEV('The List'!AC2:AC671)</f>
        <v>0.88474142219022756</v>
      </c>
      <c r="Q399" s="55" cm="1">
        <f t="array" ref="Q399">(VLOOKUP($A399,'The List'!$B1:$AH671,29,FALSE)-AVERAGE('The List'!AD2:AD671))/STDEV('The List'!AD2:AD671)</f>
        <v>-0.91385609431183301</v>
      </c>
      <c r="R399" s="55" cm="1">
        <f t="array" ref="R399">(VLOOKUP($A399,'The List'!$B1:$AH671,30,FALSE)-AVERAGE('The List'!AE2:AE671))/STDEV('The List'!AE2:AE671)</f>
        <v>-0.39632280725941599</v>
      </c>
      <c r="S399" s="55" cm="1">
        <f t="array" ref="S399">(VLOOKUP($A399,'The List'!$B1:$AH671,31,FALSE)-AVERAGE('The List'!AF2:AF671))/STDEV('The List'!AF2:AF671)</f>
        <v>-0.59216463402156139</v>
      </c>
      <c r="T399" s="55" cm="1">
        <f t="array" ref="T399">(VLOOKUP($A399,'The List'!$B1:$AH671,32,FALSE)-AVERAGE('The List'!AG2:AG671))/STDEV('The List'!AG2:AG671)</f>
        <v>-0.61969279548866563</v>
      </c>
      <c r="U399" s="55" cm="1">
        <f t="array" ref="U399">(VLOOKUP($A399,'The List'!$B1:$AH671,33,FALSE)-AVERAGE('The List'!AH2:AH671))/STDEV('The List'!AH2:AH671)</f>
        <v>-0.65727274871460029</v>
      </c>
      <c r="V399" s="55"/>
      <c r="W399" s="77"/>
      <c r="X399" s="57"/>
      <c r="Y399" s="57"/>
      <c r="Z399" s="57"/>
      <c r="AA399" s="57"/>
      <c r="AB399" s="57"/>
      <c r="AC399" s="60"/>
      <c r="AD399" s="61"/>
      <c r="AE399" s="55"/>
    </row>
    <row r="400" spans="1:31" ht="21.25" customHeight="1" x14ac:dyDescent="0.15">
      <c r="A400" s="10" t="s">
        <v>678</v>
      </c>
      <c r="B400" s="18" t="str" cm="1">
        <f t="array" ref="B400">VLOOKUP(A400,'Player Data'!A1:B673,2,FALSE)</f>
        <v>SEA</v>
      </c>
      <c r="C400" s="52" cm="1">
        <f t="array" ref="C400">((E400)*Settings!$C$12)+(F400*Settings!$C$2)+(G400*Settings!$C$3)+(H400*Settings!$C$4)+(I400*Settings!$C$5)+(K400*Settings!$C$9)+(N400*Settings!$C$6)+(J400*Settings!$C$8)+(O400*Settings!$C$7)+(P400*Settings!$C$14)+(Q400*Settings!$C$15)+(R400*Settings!$C$16)+(S400*Settings!$C$17)+(T400*Settings!$C$18)+(U400*Settings!$C$19)+(L400*Settings!$C$10)+(Settings!$C$11*M400)</f>
        <v>-5.6293011214189415</v>
      </c>
      <c r="D400" s="57" cm="1">
        <f t="array" ref="D400">IF(Settings!$E$12="YES",VLOOKUP(A400,'Player Data'!A1:E673,5,FALSE),82)</f>
        <v>80</v>
      </c>
      <c r="E400" s="55" cm="1">
        <f t="array" ref="E400">(VLOOKUP($A400,'The List'!$B1:$AH671,17,FALSE)-AVERAGE('The List'!R2:R671))/STDEV('The List'!R2:R671)</f>
        <v>-0.4759439791793576</v>
      </c>
      <c r="F400" s="55" cm="1">
        <f t="array" ref="F400">(VLOOKUP($A400,'The List'!$B1:$AH671,18,FALSE)-AVERAGE('The List'!S2:S671))/STDEV('The List'!S2:S671)</f>
        <v>-0.57414173321697548</v>
      </c>
      <c r="G400" s="55" cm="1">
        <f t="array" ref="G400">(VLOOKUP($A400,'The List'!$B1:$AH671,19,FALSE)-AVERAGE('The List'!T2:T671))/STDEV('The List'!T2:T671)</f>
        <v>-0.6503849391878378</v>
      </c>
      <c r="H400" s="55" cm="1">
        <f t="array" ref="H400">(VLOOKUP($A400,'The List'!$B1:$AH671,20,FALSE)-AVERAGE('The List'!U2:U671))/STDEV('The List'!U2:U671)</f>
        <v>-0.66347637806225424</v>
      </c>
      <c r="I400" s="55" cm="1">
        <f t="array" ref="I400">(VLOOKUP($A400,'The List'!$B1:$AH671,21,FALSE)-AVERAGE('The List'!V2:V671))/STDEV('The List'!V2:V671)</f>
        <v>-0.77428107420310921</v>
      </c>
      <c r="J400" s="55" cm="1">
        <f t="array" ref="J400">(VLOOKUP($A400,'The List'!$B1:$AH671,22,FALSE)-AVERAGE('The List'!W2:W671))/STDEV('The List'!W2:W671)</f>
        <v>-0.51758157357770107</v>
      </c>
      <c r="K400" s="55" cm="1">
        <f t="array" ref="K400">(VLOOKUP($A400,'The List'!$B1:$AH671,23,FALSE)-AVERAGE('The List'!X2:X671))/STDEV('The List'!X2:X671)</f>
        <v>-0.64076313304208177</v>
      </c>
      <c r="L400" s="55" cm="1">
        <f t="array" ref="L400">(VLOOKUP($A400,'The List'!$B1:$AH671,24,FALSE)-AVERAGE('The List'!Y2:Y671))/STDEV('The List'!Y2:Y671)</f>
        <v>-0.47546929358800777</v>
      </c>
      <c r="M400" s="55" cm="1">
        <f t="array" ref="M400">(VLOOKUP($A400,'The List'!$B1:$AH671,25,FALSE)-AVERAGE('The List'!Z2:Z671))/STDEV('The List'!Z2:Z671)</f>
        <v>-0.64388478613809508</v>
      </c>
      <c r="N400" s="55" cm="1">
        <f t="array" ref="N400">(VLOOKUP($A400,'The List'!$B1:$AH671,26,FALSE)-AVERAGE('The List'!AA2:AA671))/STDEV('The List'!AA2:AA671)</f>
        <v>-0.21310770959941105</v>
      </c>
      <c r="O400" s="55" cm="1">
        <f t="array" ref="O400">(VLOOKUP($A400,'The List'!$B1:$AH671,27,FALSE)-AVERAGE('The List'!AB2:AB671))/STDEV('The List'!AB2:AB671)</f>
        <v>-0.80125158682539022</v>
      </c>
      <c r="P400" s="55" cm="1">
        <f t="array" ref="P400">(VLOOKUP($A400,'The List'!$B1:$AH671,28,FALSE)-AVERAGE('The List'!AC2:AC671))/STDEV('The List'!AC2:AC671)</f>
        <v>-2.1884786549435469</v>
      </c>
      <c r="Q400" s="55" cm="1">
        <f t="array" ref="Q400">(VLOOKUP($A400,'The List'!$B1:$AH671,29,FALSE)-AVERAGE('The List'!AD2:AD671))/STDEV('The List'!AD2:AD671)</f>
        <v>-1.2507689383408838</v>
      </c>
      <c r="R400" s="55" cm="1">
        <f t="array" ref="R400">(VLOOKUP($A400,'The List'!$B1:$AH671,30,FALSE)-AVERAGE('The List'!AE2:AE671))/STDEV('The List'!AE2:AE671)</f>
        <v>-0.84545801453973701</v>
      </c>
      <c r="S400" s="55" cm="1">
        <f t="array" ref="S400">(VLOOKUP($A400,'The List'!$B1:$AH671,31,FALSE)-AVERAGE('The List'!AF2:AF671))/STDEV('The List'!AF2:AF671)</f>
        <v>1.1657317049433498</v>
      </c>
      <c r="T400" s="55" cm="1">
        <f t="array" ref="T400">(VLOOKUP($A400,'The List'!$B1:$AH671,32,FALSE)-AVERAGE('The List'!AG2:AG671))/STDEV('The List'!AG2:AG671)</f>
        <v>1.5047401176894677</v>
      </c>
      <c r="U400" s="55" cm="1">
        <f t="array" ref="U400">(VLOOKUP($A400,'The List'!$B1:$AH671,33,FALSE)-AVERAGE('The List'!AH2:AH671))/STDEV('The List'!AH2:AH671)</f>
        <v>0.86070166274106241</v>
      </c>
      <c r="V400" s="55"/>
      <c r="W400" s="77"/>
      <c r="X400" s="57"/>
      <c r="Y400" s="57"/>
      <c r="Z400" s="57"/>
      <c r="AA400" s="57"/>
      <c r="AB400" s="57"/>
      <c r="AC400" s="60"/>
      <c r="AD400" s="61"/>
      <c r="AE400" s="55"/>
    </row>
    <row r="401" spans="1:31" ht="21.25" customHeight="1" x14ac:dyDescent="0.15">
      <c r="A401" s="10" t="s">
        <v>348</v>
      </c>
      <c r="B401" s="18" t="str" cm="1">
        <f t="array" ref="B401">VLOOKUP(A401,'Player Data'!A1:B673,2,FALSE)</f>
        <v>TOR</v>
      </c>
      <c r="C401" s="52" cm="1">
        <f t="array" ref="C401">((E401)*Settings!$C$12)+(F401*Settings!$C$2)+(G401*Settings!$C$3)+(H401*Settings!$C$4)+(I401*Settings!$C$5)+(K401*Settings!$C$9)+(N401*Settings!$C$6)+(J401*Settings!$C$8)+(O401*Settings!$C$7)+(P401*Settings!$C$14)+(Q401*Settings!$C$15)+(R401*Settings!$C$16)+(S401*Settings!$C$17)+(T401*Settings!$C$18)+(U401*Settings!$C$19)+(L401*Settings!$C$10)+(Settings!$C$11*M401)</f>
        <v>-2.3092236280933003</v>
      </c>
      <c r="D401" s="57" cm="1">
        <f t="array" ref="D401">IF(Settings!$E$12="YES",VLOOKUP(A401,'Player Data'!A1:E673,5,FALSE),82)</f>
        <v>81</v>
      </c>
      <c r="E401" s="55" cm="1">
        <f t="array" ref="E401">(VLOOKUP($A401,'The List'!$B1:$AH671,17,FALSE)-AVERAGE('The List'!R2:R671))/STDEV('The List'!R2:R671)</f>
        <v>1.4127679534767419</v>
      </c>
      <c r="F401" s="55" cm="1">
        <f t="array" ref="F401">(VLOOKUP($A401,'The List'!$B1:$AH671,18,FALSE)-AVERAGE('The List'!S2:S671))/STDEV('The List'!S2:S671)</f>
        <v>-1.0491608399955841</v>
      </c>
      <c r="G401" s="55" cm="1">
        <f t="array" ref="G401">(VLOOKUP($A401,'The List'!$B1:$AH671,19,FALSE)-AVERAGE('The List'!T2:T671))/STDEV('The List'!T2:T671)</f>
        <v>-0.18236360624690201</v>
      </c>
      <c r="H401" s="55" cm="1">
        <f t="array" ref="H401">(VLOOKUP($A401,'The List'!$B1:$AH671,20,FALSE)-AVERAGE('The List'!U2:U671))/STDEV('The List'!U2:U671)</f>
        <v>-0.57948267690776512</v>
      </c>
      <c r="I401" s="55" cm="1">
        <f t="array" ref="I401">(VLOOKUP($A401,'The List'!$B1:$AH671,21,FALSE)-AVERAGE('The List'!V2:V671))/STDEV('The List'!V2:V671)</f>
        <v>-0.95258237380500133</v>
      </c>
      <c r="J401" s="55" cm="1">
        <f t="array" ref="J401">(VLOOKUP($A401,'The List'!$B1:$AH671,22,FALSE)-AVERAGE('The List'!W2:W671))/STDEV('The List'!W2:W671)</f>
        <v>-0.73853908386105271</v>
      </c>
      <c r="K401" s="55" cm="1">
        <f t="array" ref="K401">(VLOOKUP($A401,'The List'!$B1:$AH671,23,FALSE)-AVERAGE('The List'!X2:X671))/STDEV('The List'!X2:X671)</f>
        <v>-0.80155300200843405</v>
      </c>
      <c r="L401" s="55" cm="1">
        <f t="array" ref="L401">(VLOOKUP($A401,'The List'!$B1:$AH671,24,FALSE)-AVERAGE('The List'!Y2:Y671))/STDEV('The List'!Y2:Y671)</f>
        <v>-0.47546929358800777</v>
      </c>
      <c r="M401" s="55" cm="1">
        <f t="array" ref="M401">(VLOOKUP($A401,'The List'!$B1:$AH671,25,FALSE)-AVERAGE('The List'!Z2:Z671))/STDEV('The List'!Z2:Z671)</f>
        <v>0.23627697309704196</v>
      </c>
      <c r="N401" s="55" cm="1">
        <f t="array" ref="N401">(VLOOKUP($A401,'The List'!$B1:$AH671,26,FALSE)-AVERAGE('The List'!AA2:AA671))/STDEV('The List'!AA2:AA671)</f>
        <v>2.8249896035554585</v>
      </c>
      <c r="O401" s="55" cm="1">
        <f t="array" ref="O401">(VLOOKUP($A401,'The List'!$B1:$AH671,27,FALSE)-AVERAGE('The List'!AB2:AB671))/STDEV('The List'!AB2:AB671)</f>
        <v>0.60557720745400767</v>
      </c>
      <c r="P401" s="55" cm="1">
        <f t="array" ref="P401">(VLOOKUP($A401,'The List'!$B1:$AH671,28,FALSE)-AVERAGE('The List'!AC2:AC671))/STDEV('The List'!AC2:AC671)</f>
        <v>7.0858986508613553E-2</v>
      </c>
      <c r="Q401" s="55" cm="1">
        <f t="array" ref="Q401">(VLOOKUP($A401,'The List'!$B1:$AH671,29,FALSE)-AVERAGE('The List'!AD2:AD671))/STDEV('The List'!AD2:AD671)</f>
        <v>1.6358943985483725</v>
      </c>
      <c r="R401" s="55" cm="1">
        <f t="array" ref="R401">(VLOOKUP($A401,'The List'!$B1:$AH671,30,FALSE)-AVERAGE('The List'!AE2:AE671))/STDEV('The List'!AE2:AE671)</f>
        <v>-0.83922002554973252</v>
      </c>
      <c r="S401" s="55" cm="1">
        <f t="array" ref="S401">(VLOOKUP($A401,'The List'!$B1:$AH671,31,FALSE)-AVERAGE('The List'!AF2:AF671))/STDEV('The List'!AF2:AF671)</f>
        <v>-0.59581850454342256</v>
      </c>
      <c r="T401" s="55" cm="1">
        <f t="array" ref="T401">(VLOOKUP($A401,'The List'!$B1:$AH671,32,FALSE)-AVERAGE('The List'!AG2:AG671))/STDEV('The List'!AG2:AG671)</f>
        <v>-0.64684275008198677</v>
      </c>
      <c r="U401" s="55" cm="1">
        <f t="array" ref="U401">(VLOOKUP($A401,'The List'!$B1:$AH671,33,FALSE)-AVERAGE('The List'!AH2:AH671))/STDEV('The List'!AH2:AH671)</f>
        <v>-1.2552626683789523</v>
      </c>
      <c r="V401" s="55"/>
      <c r="W401" s="77"/>
      <c r="X401" s="57"/>
      <c r="Y401" s="57"/>
      <c r="Z401" s="57"/>
      <c r="AA401" s="57"/>
      <c r="AB401" s="57"/>
      <c r="AC401" s="60"/>
      <c r="AD401" s="61"/>
      <c r="AE401" s="55"/>
    </row>
    <row r="402" spans="1:31" ht="21.25" customHeight="1" x14ac:dyDescent="0.15">
      <c r="A402" s="10" t="s">
        <v>695</v>
      </c>
      <c r="B402" s="18" t="str" cm="1">
        <f t="array" ref="B402">VLOOKUP(A402,'Player Data'!A1:B673,2,FALSE)</f>
        <v>WPG</v>
      </c>
      <c r="C402" s="52" cm="1">
        <f t="array" ref="C402">((E402)*Settings!$C$12)+(F402*Settings!$C$2)+(G402*Settings!$C$3)+(H402*Settings!$C$4)+(I402*Settings!$C$5)+(K402*Settings!$C$9)+(N402*Settings!$C$6)+(J402*Settings!$C$8)+(O402*Settings!$C$7)+(P402*Settings!$C$14)+(Q402*Settings!$C$15)+(R402*Settings!$C$16)+(S402*Settings!$C$17)+(T402*Settings!$C$18)+(U402*Settings!$C$19)+(L402*Settings!$C$10)+(Settings!$C$11*M402)</f>
        <v>-2.7521995623433098</v>
      </c>
      <c r="D402" s="57" cm="1">
        <f t="array" ref="D402">IF(Settings!$E$12="YES",VLOOKUP(A402,'Player Data'!A1:E673,5,FALSE),82)</f>
        <v>79</v>
      </c>
      <c r="E402" s="55" cm="1">
        <f t="array" ref="E402">(VLOOKUP($A402,'The List'!$B1:$AH671,17,FALSE)-AVERAGE('The List'!R2:R671))/STDEV('The List'!R2:R671)</f>
        <v>-1.1842109539253947</v>
      </c>
      <c r="F402" s="55" cm="1">
        <f t="array" ref="F402">(VLOOKUP($A402,'The List'!$B1:$AH671,18,FALSE)-AVERAGE('The List'!S2:S671))/STDEV('The List'!S2:S671)</f>
        <v>-0.58412112621652601</v>
      </c>
      <c r="G402" s="55" cm="1">
        <f t="array" ref="G402">(VLOOKUP($A402,'The List'!$B1:$AH671,19,FALSE)-AVERAGE('The List'!T2:T671))/STDEV('The List'!T2:T671)</f>
        <v>-0.7740662523974543</v>
      </c>
      <c r="H402" s="55" cm="1">
        <f t="array" ref="H402">(VLOOKUP($A402,'The List'!$B1:$AH671,20,FALSE)-AVERAGE('The List'!U2:U671))/STDEV('The List'!U2:U671)</f>
        <v>-0.74570179077138543</v>
      </c>
      <c r="I402" s="55" cm="1">
        <f t="array" ref="I402">(VLOOKUP($A402,'The List'!$B1:$AH671,21,FALSE)-AVERAGE('The List'!V2:V671))/STDEV('The List'!V2:V671)</f>
        <v>-0.84650001144496079</v>
      </c>
      <c r="J402" s="55" cm="1">
        <f t="array" ref="J402">(VLOOKUP($A402,'The List'!$B1:$AH671,22,FALSE)-AVERAGE('The List'!W2:W671))/STDEV('The List'!W2:W671)</f>
        <v>-0.52034354245624292</v>
      </c>
      <c r="K402" s="55" cm="1">
        <f t="array" ref="K402">(VLOOKUP($A402,'The List'!$B1:$AH671,23,FALSE)-AVERAGE('The List'!X2:X671))/STDEV('The List'!X2:X671)</f>
        <v>-0.64277300640416113</v>
      </c>
      <c r="L402" s="55" cm="1">
        <f t="array" ref="L402">(VLOOKUP($A402,'The List'!$B1:$AH671,24,FALSE)-AVERAGE('The List'!Y2:Y671))/STDEV('The List'!Y2:Y671)</f>
        <v>-0.47546929358800777</v>
      </c>
      <c r="M402" s="55" cm="1">
        <f t="array" ref="M402">(VLOOKUP($A402,'The List'!$B1:$AH671,25,FALSE)-AVERAGE('The List'!Z2:Z671))/STDEV('The List'!Z2:Z671)</f>
        <v>-0.64388478613809508</v>
      </c>
      <c r="N402" s="55" cm="1">
        <f t="array" ref="N402">(VLOOKUP($A402,'The List'!$B1:$AH671,26,FALSE)-AVERAGE('The List'!AA2:AA671))/STDEV('The List'!AA2:AA671)</f>
        <v>-0.59392343838578432</v>
      </c>
      <c r="O402" s="55" cm="1">
        <f t="array" ref="O402">(VLOOKUP($A402,'The List'!$B1:$AH671,27,FALSE)-AVERAGE('The List'!AB2:AB671))/STDEV('The List'!AB2:AB671)</f>
        <v>2.8742553934814376E-2</v>
      </c>
      <c r="P402" s="55" cm="1">
        <f t="array" ref="P402">(VLOOKUP($A402,'The List'!$B1:$AH671,28,FALSE)-AVERAGE('The List'!AC2:AC671))/STDEV('The List'!AC2:AC671)</f>
        <v>6.6518280184978268E-2</v>
      </c>
      <c r="Q402" s="55" cm="1">
        <f t="array" ref="Q402">(VLOOKUP($A402,'The List'!$B1:$AH671,29,FALSE)-AVERAGE('The List'!AD2:AD671))/STDEV('The List'!AD2:AD671)</f>
        <v>-0.68112024810755478</v>
      </c>
      <c r="R402" s="55" cm="1">
        <f t="array" ref="R402">(VLOOKUP($A402,'The List'!$B1:$AH671,30,FALSE)-AVERAGE('The List'!AE2:AE671))/STDEV('The List'!AE2:AE671)</f>
        <v>-0.35889487331938924</v>
      </c>
      <c r="S402" s="55" cm="1">
        <f t="array" ref="S402">(VLOOKUP($A402,'The List'!$B1:$AH671,31,FALSE)-AVERAGE('The List'!AF2:AF671))/STDEV('The List'!AF2:AF671)</f>
        <v>0.13341712803014094</v>
      </c>
      <c r="T402" s="55" cm="1">
        <f t="array" ref="T402">(VLOOKUP($A402,'The List'!$B1:$AH671,32,FALSE)-AVERAGE('The List'!AG2:AG671))/STDEV('The List'!AG2:AG671)</f>
        <v>0.42558045635419334</v>
      </c>
      <c r="U402" s="55" cm="1">
        <f t="array" ref="U402">(VLOOKUP($A402,'The List'!$B1:$AH671,33,FALSE)-AVERAGE('The List'!AH2:AH671))/STDEV('The List'!AH2:AH671)</f>
        <v>0.67670476438280014</v>
      </c>
      <c r="V402" s="55"/>
      <c r="W402" s="77"/>
      <c r="X402" s="57"/>
      <c r="Y402" s="57"/>
      <c r="Z402" s="57"/>
      <c r="AA402" s="57"/>
      <c r="AB402" s="57"/>
      <c r="AC402" s="60"/>
      <c r="AD402" s="61"/>
      <c r="AE402" s="55"/>
    </row>
    <row r="403" spans="1:31" ht="21.25" customHeight="1" x14ac:dyDescent="0.15">
      <c r="A403" s="10" t="s">
        <v>434</v>
      </c>
      <c r="B403" s="18" t="str" cm="1">
        <f t="array" ref="B403">VLOOKUP(A403,'Player Data'!A1:B673,2,FALSE)</f>
        <v>ANA</v>
      </c>
      <c r="C403" s="52" cm="1">
        <f t="array" ref="C403">((E403)*Settings!$C$12)+(F403*Settings!$C$2)+(G403*Settings!$C$3)+(H403*Settings!$C$4)+(I403*Settings!$C$5)+(K403*Settings!$C$9)+(N403*Settings!$C$6)+(J403*Settings!$C$8)+(O403*Settings!$C$7)+(P403*Settings!$C$14)+(Q403*Settings!$C$15)+(R403*Settings!$C$16)+(S403*Settings!$C$17)+(T403*Settings!$C$18)+(U403*Settings!$C$19)+(L403*Settings!$C$10)+(Settings!$C$11*M403)</f>
        <v>-3.4810929052900965</v>
      </c>
      <c r="D403" s="57" cm="1">
        <f t="array" ref="D403">IF(Settings!$E$12="YES",VLOOKUP(A403,'Player Data'!A1:E673,5,FALSE),82)</f>
        <v>74</v>
      </c>
      <c r="E403" s="55" cm="1">
        <f t="array" ref="E403">(VLOOKUP($A403,'The List'!$B1:$AH671,17,FALSE)-AVERAGE('The List'!R2:R671))/STDEV('The List'!R2:R671)</f>
        <v>0.62580464820336701</v>
      </c>
      <c r="F403" s="55" cm="1">
        <f t="array" ref="F403">(VLOOKUP($A403,'The List'!$B1:$AH671,18,FALSE)-AVERAGE('The List'!S2:S671))/STDEV('The List'!S2:S671)</f>
        <v>-0.85556061580430254</v>
      </c>
      <c r="G403" s="55" cm="1">
        <f t="array" ref="G403">(VLOOKUP($A403,'The List'!$B1:$AH671,19,FALSE)-AVERAGE('The List'!T2:T671))/STDEV('The List'!T2:T671)</f>
        <v>-0.31026132786139193</v>
      </c>
      <c r="H403" s="55" cm="1">
        <f t="array" ref="H403">(VLOOKUP($A403,'The List'!$B1:$AH671,20,FALSE)-AVERAGE('The List'!U2:U671))/STDEV('The List'!U2:U671)</f>
        <v>-0.57417781157169223</v>
      </c>
      <c r="I403" s="55" cm="1">
        <f t="array" ref="I403">(VLOOKUP($A403,'The List'!$B1:$AH671,21,FALSE)-AVERAGE('The List'!V2:V671))/STDEV('The List'!V2:V671)</f>
        <v>-0.82887720857733194</v>
      </c>
      <c r="J403" s="55" cm="1">
        <f t="array" ref="J403">(VLOOKUP($A403,'The List'!$B1:$AH671,22,FALSE)-AVERAGE('The List'!W2:W671))/STDEV('The List'!W2:W671)</f>
        <v>-0.73853908386105271</v>
      </c>
      <c r="K403" s="55" cm="1">
        <f t="array" ref="K403">(VLOOKUP($A403,'The List'!$B1:$AH671,23,FALSE)-AVERAGE('The List'!X2:X671))/STDEV('The List'!X2:X671)</f>
        <v>-0.7271876876114961</v>
      </c>
      <c r="L403" s="55" cm="1">
        <f t="array" ref="L403">(VLOOKUP($A403,'The List'!$B1:$AH671,24,FALSE)-AVERAGE('The List'!Y2:Y671))/STDEV('The List'!Y2:Y671)</f>
        <v>-0.47546929358800777</v>
      </c>
      <c r="M403" s="55" cm="1">
        <f t="array" ref="M403">(VLOOKUP($A403,'The List'!$B1:$AH671,25,FALSE)-AVERAGE('The List'!Z2:Z671))/STDEV('The List'!Z2:Z671)</f>
        <v>1.7684104058396877</v>
      </c>
      <c r="N403" s="55" cm="1">
        <f t="array" ref="N403">(VLOOKUP($A403,'The List'!$B1:$AH671,26,FALSE)-AVERAGE('The List'!AA2:AA671))/STDEV('The List'!AA2:AA671)</f>
        <v>1.3821807156183543</v>
      </c>
      <c r="O403" s="55" cm="1">
        <f t="array" ref="O403">(VLOOKUP($A403,'The List'!$B1:$AH671,27,FALSE)-AVERAGE('The List'!AB2:AB671))/STDEV('The List'!AB2:AB671)</f>
        <v>0.30937035801007234</v>
      </c>
      <c r="P403" s="55" cm="1">
        <f t="array" ref="P403">(VLOOKUP($A403,'The List'!$B1:$AH671,28,FALSE)-AVERAGE('The List'!AC2:AC671))/STDEV('The List'!AC2:AC671)</f>
        <v>-1.0685764234456461</v>
      </c>
      <c r="Q403" s="55" cm="1">
        <f t="array" ref="Q403">(VLOOKUP($A403,'The List'!$B1:$AH671,29,FALSE)-AVERAGE('The List'!AD2:AD671))/STDEV('The List'!AD2:AD671)</f>
        <v>0.41458533894306387</v>
      </c>
      <c r="R403" s="55" cm="1">
        <f t="array" ref="R403">(VLOOKUP($A403,'The List'!$B1:$AH671,30,FALSE)-AVERAGE('The List'!AE2:AE671))/STDEV('The List'!AE2:AE671)</f>
        <v>-0.88288594847976376</v>
      </c>
      <c r="S403" s="55" cm="1">
        <f t="array" ref="S403">(VLOOKUP($A403,'The List'!$B1:$AH671,31,FALSE)-AVERAGE('The List'!AF2:AF671))/STDEV('The List'!AF2:AF671)</f>
        <v>-0.59581850454342256</v>
      </c>
      <c r="T403" s="55" cm="1">
        <f t="array" ref="T403">(VLOOKUP($A403,'The List'!$B1:$AH671,32,FALSE)-AVERAGE('The List'!AG2:AG671))/STDEV('The List'!AG2:AG671)</f>
        <v>-0.64684275008198677</v>
      </c>
      <c r="U403" s="55" cm="1">
        <f t="array" ref="U403">(VLOOKUP($A403,'The List'!$B1:$AH671,33,FALSE)-AVERAGE('The List'!AH2:AH671))/STDEV('The List'!AH2:AH671)</f>
        <v>-1.2552626683789523</v>
      </c>
      <c r="V403" s="55"/>
      <c r="W403" s="77"/>
      <c r="X403" s="57"/>
      <c r="Y403" s="57"/>
      <c r="Z403" s="57"/>
      <c r="AA403" s="57"/>
      <c r="AB403" s="57"/>
      <c r="AC403" s="60"/>
      <c r="AD403" s="61"/>
      <c r="AE403" s="55"/>
    </row>
    <row r="404" spans="1:31" ht="21.25" customHeight="1" x14ac:dyDescent="0.15">
      <c r="A404" s="10" t="s">
        <v>350</v>
      </c>
      <c r="B404" s="18" t="str" cm="1">
        <f t="array" ref="B404">VLOOKUP(A404,'Player Data'!A1:B673,2,FALSE)</f>
        <v>WPG</v>
      </c>
      <c r="C404" s="52" cm="1">
        <f t="array" ref="C404">((E404)*Settings!$C$12)+(F404*Settings!$C$2)+(G404*Settings!$C$3)+(H404*Settings!$C$4)+(I404*Settings!$C$5)+(K404*Settings!$C$9)+(N404*Settings!$C$6)+(J404*Settings!$C$8)+(O404*Settings!$C$7)+(P404*Settings!$C$14)+(Q404*Settings!$C$15)+(R404*Settings!$C$16)+(S404*Settings!$C$17)+(T404*Settings!$C$18)+(U404*Settings!$C$19)+(L404*Settings!$C$10)+(Settings!$C$11*M404)</f>
        <v>-2.3399505800285914</v>
      </c>
      <c r="D404" s="57" cm="1">
        <f t="array" ref="D404">IF(Settings!$E$12="YES",VLOOKUP(A404,'Player Data'!A1:E673,5,FALSE),82)</f>
        <v>78</v>
      </c>
      <c r="E404" s="55" cm="1">
        <f t="array" ref="E404">(VLOOKUP($A404,'The List'!$B1:$AH671,17,FALSE)-AVERAGE('The List'!R2:R671))/STDEV('The List'!R2:R671)</f>
        <v>1.3603037331251837</v>
      </c>
      <c r="F404" s="55" cm="1">
        <f t="array" ref="F404">(VLOOKUP($A404,'The List'!$B1:$AH671,18,FALSE)-AVERAGE('The List'!S2:S671))/STDEV('The List'!S2:S671)</f>
        <v>-0.98329684619855018</v>
      </c>
      <c r="G404" s="55" cm="1">
        <f t="array" ref="G404">(VLOOKUP($A404,'The List'!$B1:$AH671,19,FALSE)-AVERAGE('The List'!T2:T671))/STDEV('The List'!T2:T671)</f>
        <v>-0.34680353403696068</v>
      </c>
      <c r="H404" s="55" cm="1">
        <f t="array" ref="H404">(VLOOKUP($A404,'The List'!$B1:$AH671,20,FALSE)-AVERAGE('The List'!U2:U671))/STDEV('The List'!U2:U671)</f>
        <v>-0.65375079161278715</v>
      </c>
      <c r="I404" s="55" cm="1">
        <f t="array" ref="I404">(VLOOKUP($A404,'The List'!$B1:$AH671,21,FALSE)-AVERAGE('The List'!V2:V671))/STDEV('The List'!V2:V671)</f>
        <v>-0.29742876131432766</v>
      </c>
      <c r="J404" s="55" cm="1">
        <f t="array" ref="J404">(VLOOKUP($A404,'The List'!$B1:$AH671,22,FALSE)-AVERAGE('The List'!W2:W671))/STDEV('The List'!W2:W671)</f>
        <v>-0.73853908386105271</v>
      </c>
      <c r="K404" s="55" cm="1">
        <f t="array" ref="K404">(VLOOKUP($A404,'The List'!$B1:$AH671,23,FALSE)-AVERAGE('The List'!X2:X671))/STDEV('The List'!X2:X671)</f>
        <v>-0.80155300200843405</v>
      </c>
      <c r="L404" s="55" cm="1">
        <f t="array" ref="L404">(VLOOKUP($A404,'The List'!$B1:$AH671,24,FALSE)-AVERAGE('The List'!Y2:Y671))/STDEV('The List'!Y2:Y671)</f>
        <v>-0.47546929358800777</v>
      </c>
      <c r="M404" s="55" cm="1">
        <f t="array" ref="M404">(VLOOKUP($A404,'The List'!$B1:$AH671,25,FALSE)-AVERAGE('The List'!Z2:Z671))/STDEV('The List'!Z2:Z671)</f>
        <v>-0.64388478613809508</v>
      </c>
      <c r="N404" s="55" cm="1">
        <f t="array" ref="N404">(VLOOKUP($A404,'The List'!$B1:$AH671,26,FALSE)-AVERAGE('The List'!AA2:AA671))/STDEV('The List'!AA2:AA671)</f>
        <v>2.0227480179632398</v>
      </c>
      <c r="O404" s="55" cm="1">
        <f t="array" ref="O404">(VLOOKUP($A404,'The List'!$B1:$AH671,27,FALSE)-AVERAGE('The List'!AB2:AB671))/STDEV('The List'!AB2:AB671)</f>
        <v>-0.31379145673703102</v>
      </c>
      <c r="P404" s="55" cm="1">
        <f t="array" ref="P404">(VLOOKUP($A404,'The List'!$B1:$AH671,28,FALSE)-AVERAGE('The List'!AC2:AC671))/STDEV('The List'!AC2:AC671)</f>
        <v>0.40292302026671206</v>
      </c>
      <c r="Q404" s="55" cm="1">
        <f t="array" ref="Q404">(VLOOKUP($A404,'The List'!$B1:$AH671,29,FALSE)-AVERAGE('The List'!AD2:AD671))/STDEV('The List'!AD2:AD671)</f>
        <v>-0.29913792275005674</v>
      </c>
      <c r="R404" s="55" cm="1">
        <f t="array" ref="R404">(VLOOKUP($A404,'The List'!$B1:$AH671,30,FALSE)-AVERAGE('The List'!AE2:AE671))/STDEV('The List'!AE2:AE671)</f>
        <v>-0.85793399251974589</v>
      </c>
      <c r="S404" s="55" cm="1">
        <f t="array" ref="S404">(VLOOKUP($A404,'The List'!$B1:$AH671,31,FALSE)-AVERAGE('The List'!AF2:AF671))/STDEV('The List'!AF2:AF671)</f>
        <v>-0.59581850454342256</v>
      </c>
      <c r="T404" s="55" cm="1">
        <f t="array" ref="T404">(VLOOKUP($A404,'The List'!$B1:$AH671,32,FALSE)-AVERAGE('The List'!AG2:AG671))/STDEV('The List'!AG2:AG671)</f>
        <v>-0.64684275008198677</v>
      </c>
      <c r="U404" s="55" cm="1">
        <f t="array" ref="U404">(VLOOKUP($A404,'The List'!$B1:$AH671,33,FALSE)-AVERAGE('The List'!AH2:AH671))/STDEV('The List'!AH2:AH671)</f>
        <v>-1.2552626683789523</v>
      </c>
      <c r="V404" s="55"/>
      <c r="W404" s="77"/>
      <c r="X404" s="57"/>
      <c r="Y404" s="57"/>
      <c r="Z404" s="57"/>
      <c r="AA404" s="57"/>
      <c r="AB404" s="57"/>
      <c r="AC404" s="60"/>
      <c r="AD404" s="61"/>
      <c r="AE404" s="55"/>
    </row>
    <row r="405" spans="1:31" ht="21.25" customHeight="1" x14ac:dyDescent="0.15">
      <c r="A405" s="10" t="s">
        <v>661</v>
      </c>
      <c r="B405" s="18" t="str" cm="1">
        <f t="array" ref="B405">VLOOKUP(A405,'Player Data'!A1:B673,2,FALSE)</f>
        <v>MTL</v>
      </c>
      <c r="C405" s="52" cm="1">
        <f t="array" ref="C405">((E405)*Settings!$C$12)+(F405*Settings!$C$2)+(G405*Settings!$C$3)+(H405*Settings!$C$4)+(I405*Settings!$C$5)+(K405*Settings!$C$9)+(N405*Settings!$C$6)+(J405*Settings!$C$8)+(O405*Settings!$C$7)+(P405*Settings!$C$14)+(Q405*Settings!$C$15)+(R405*Settings!$C$16)+(S405*Settings!$C$17)+(T405*Settings!$C$18)+(U405*Settings!$C$19)+(L405*Settings!$C$10)+(Settings!$C$11*M405)</f>
        <v>-2.5210520289238287</v>
      </c>
      <c r="D405" s="57" cm="1">
        <f t="array" ref="D405">IF(Settings!$E$12="YES",VLOOKUP(A405,'Player Data'!A1:E673,5,FALSE),82)</f>
        <v>82</v>
      </c>
      <c r="E405" s="55" cm="1">
        <f t="array" ref="E405">(VLOOKUP($A405,'The List'!$B1:$AH671,17,FALSE)-AVERAGE('The List'!R2:R671))/STDEV('The List'!R2:R671)</f>
        <v>-0.76449719111292824</v>
      </c>
      <c r="F405" s="55" cm="1">
        <f t="array" ref="F405">(VLOOKUP($A405,'The List'!$B1:$AH671,18,FALSE)-AVERAGE('The List'!S2:S671))/STDEV('The List'!S2:S671)</f>
        <v>-0.79967601500681906</v>
      </c>
      <c r="G405" s="55" cm="1">
        <f t="array" ref="G405">(VLOOKUP($A405,'The List'!$B1:$AH671,19,FALSE)-AVERAGE('The List'!T2:T671))/STDEV('The List'!T2:T671)</f>
        <v>-0.39458949595885801</v>
      </c>
      <c r="H405" s="55" cm="1">
        <f t="array" ref="H405">(VLOOKUP($A405,'The List'!$B1:$AH671,20,FALSE)-AVERAGE('The List'!U2:U671))/STDEV('The List'!U2:U671)</f>
        <v>-0.60247042669741491</v>
      </c>
      <c r="I405" s="55" cm="1">
        <f t="array" ref="I405">(VLOOKUP($A405,'The List'!$B1:$AH671,21,FALSE)-AVERAGE('The List'!V2:V671))/STDEV('The List'!V2:V671)</f>
        <v>-0.59736195521828572</v>
      </c>
      <c r="J405" s="55" cm="1">
        <f t="array" ref="J405">(VLOOKUP($A405,'The List'!$B1:$AH671,22,FALSE)-AVERAGE('The List'!W2:W671))/STDEV('The List'!W2:W671)</f>
        <v>-0.73853908386105271</v>
      </c>
      <c r="K405" s="55" cm="1">
        <f t="array" ref="K405">(VLOOKUP($A405,'The List'!$B1:$AH671,23,FALSE)-AVERAGE('The List'!X2:X671))/STDEV('The List'!X2:X671)</f>
        <v>-0.80155300200843405</v>
      </c>
      <c r="L405" s="55" cm="1">
        <f t="array" ref="L405">(VLOOKUP($A405,'The List'!$B1:$AH671,24,FALSE)-AVERAGE('The List'!Y2:Y671))/STDEV('The List'!Y2:Y671)</f>
        <v>-0.47546929358800777</v>
      </c>
      <c r="M405" s="55" cm="1">
        <f t="array" ref="M405">(VLOOKUP($A405,'The List'!$B1:$AH671,25,FALSE)-AVERAGE('The List'!Z2:Z671))/STDEV('The List'!Z2:Z671)</f>
        <v>0.24714316765550046</v>
      </c>
      <c r="N405" s="55" cm="1">
        <f t="array" ref="N405">(VLOOKUP($A405,'The List'!$B1:$AH671,26,FALSE)-AVERAGE('The List'!AA2:AA671))/STDEV('The List'!AA2:AA671)</f>
        <v>-0.40824065178102692</v>
      </c>
      <c r="O405" s="55" cm="1">
        <f t="array" ref="O405">(VLOOKUP($A405,'The List'!$B1:$AH671,27,FALSE)-AVERAGE('The List'!AB2:AB671))/STDEV('The List'!AB2:AB671)</f>
        <v>-0.35683881893995612</v>
      </c>
      <c r="P405" s="55" cm="1">
        <f t="array" ref="P405">(VLOOKUP($A405,'The List'!$B1:$AH671,28,FALSE)-AVERAGE('The List'!AC2:AC671))/STDEV('The List'!AC2:AC671)</f>
        <v>0.42896725820852377</v>
      </c>
      <c r="Q405" s="55" cm="1">
        <f t="array" ref="Q405">(VLOOKUP($A405,'The List'!$B1:$AH671,29,FALSE)-AVERAGE('The List'!AD2:AD671))/STDEV('The List'!AD2:AD671)</f>
        <v>-0.73801123273526725</v>
      </c>
      <c r="R405" s="55" cm="1">
        <f t="array" ref="R405">(VLOOKUP($A405,'The List'!$B1:$AH671,30,FALSE)-AVERAGE('The List'!AE2:AE671))/STDEV('The List'!AE2:AE671)</f>
        <v>-0.83298203655972802</v>
      </c>
      <c r="S405" s="55" cm="1">
        <f t="array" ref="S405">(VLOOKUP($A405,'The List'!$B1:$AH671,31,FALSE)-AVERAGE('The List'!AF2:AF671))/STDEV('The List'!AF2:AF671)</f>
        <v>1.8720825695115719</v>
      </c>
      <c r="T405" s="55" cm="1">
        <f t="array" ref="T405">(VLOOKUP($A405,'The List'!$B1:$AH671,32,FALSE)-AVERAGE('The List'!AG2:AG671))/STDEV('The List'!AG2:AG671)</f>
        <v>1.6757031776286131</v>
      </c>
      <c r="U405" s="55" cm="1">
        <f t="array" ref="U405">(VLOOKUP($A405,'The List'!$B1:$AH671,33,FALSE)-AVERAGE('The List'!AH2:AH671))/STDEV('The List'!AH2:AH671)</f>
        <v>1.1826962348680212</v>
      </c>
      <c r="V405" s="55"/>
      <c r="W405" s="77"/>
      <c r="X405" s="57"/>
      <c r="Y405" s="57"/>
      <c r="Z405" s="57"/>
      <c r="AA405" s="57"/>
      <c r="AB405" s="57"/>
      <c r="AC405" s="60"/>
      <c r="AD405" s="61"/>
      <c r="AE405" s="55"/>
    </row>
    <row r="406" spans="1:31" ht="21.25" customHeight="1" x14ac:dyDescent="0.15">
      <c r="A406" s="10" t="s">
        <v>669</v>
      </c>
      <c r="B406" s="18" t="str" cm="1">
        <f t="array" ref="B406">VLOOKUP(A406,'Player Data'!A1:B673,2,FALSE)</f>
        <v>WPG</v>
      </c>
      <c r="C406" s="52" cm="1">
        <f t="array" ref="C406">((E406)*Settings!$C$12)+(F406*Settings!$C$2)+(G406*Settings!$C$3)+(H406*Settings!$C$4)+(I406*Settings!$C$5)+(K406*Settings!$C$9)+(N406*Settings!$C$6)+(J406*Settings!$C$8)+(O406*Settings!$C$7)+(P406*Settings!$C$14)+(Q406*Settings!$C$15)+(R406*Settings!$C$16)+(S406*Settings!$C$17)+(T406*Settings!$C$18)+(U406*Settings!$C$19)+(L406*Settings!$C$10)+(Settings!$C$11*M406)</f>
        <v>-0.14917996826040231</v>
      </c>
      <c r="D406" s="57" cm="1">
        <f t="array" ref="D406">IF(Settings!$E$12="YES",VLOOKUP(A406,'Player Data'!A1:E673,5,FALSE),82)</f>
        <v>80</v>
      </c>
      <c r="E406" s="55" cm="1">
        <f t="array" ref="E406">(VLOOKUP($A406,'The List'!$B1:$AH671,17,FALSE)-AVERAGE('The List'!R2:R671))/STDEV('The List'!R2:R671)</f>
        <v>-1.0530504030464989</v>
      </c>
      <c r="F406" s="55" cm="1">
        <f t="array" ref="F406">(VLOOKUP($A406,'The List'!$B1:$AH671,18,FALSE)-AVERAGE('The List'!S2:S671))/STDEV('The List'!S2:S671)</f>
        <v>-9.5130869238546384E-2</v>
      </c>
      <c r="G406" s="55" cm="1">
        <f t="array" ref="G406">(VLOOKUP($A406,'The List'!$B1:$AH671,19,FALSE)-AVERAGE('The List'!T2:T671))/STDEV('The List'!T2:T671)</f>
        <v>-0.76282249665112556</v>
      </c>
      <c r="H406" s="55" cm="1">
        <f t="array" ref="H406">(VLOOKUP($A406,'The List'!$B1:$AH671,20,FALSE)-AVERAGE('The List'!U2:U671))/STDEV('The List'!U2:U671)</f>
        <v>-0.5220133024336413</v>
      </c>
      <c r="I406" s="55" cm="1">
        <f t="array" ref="I406">(VLOOKUP($A406,'The List'!$B1:$AH671,21,FALSE)-AVERAGE('The List'!V2:V671))/STDEV('The List'!V2:V671)</f>
        <v>-6.9368959497953547E-2</v>
      </c>
      <c r="J406" s="55" cm="1">
        <f t="array" ref="J406">(VLOOKUP($A406,'The List'!$B1:$AH671,22,FALSE)-AVERAGE('The List'!W2:W671))/STDEV('The List'!W2:W671)</f>
        <v>-0.73853908386105271</v>
      </c>
      <c r="K406" s="55" cm="1">
        <f t="array" ref="K406">(VLOOKUP($A406,'The List'!$B1:$AH671,23,FALSE)-AVERAGE('The List'!X2:X671))/STDEV('The List'!X2:X671)</f>
        <v>-0.80155300200843405</v>
      </c>
      <c r="L406" s="55" cm="1">
        <f t="array" ref="L406">(VLOOKUP($A406,'The List'!$B1:$AH671,24,FALSE)-AVERAGE('The List'!Y2:Y671))/STDEV('The List'!Y2:Y671)</f>
        <v>2.4575694331134317</v>
      </c>
      <c r="M406" s="55" cm="1">
        <f t="array" ref="M406">(VLOOKUP($A406,'The List'!$B1:$AH671,25,FALSE)-AVERAGE('The List'!Z2:Z671))/STDEV('The List'!Z2:Z671)</f>
        <v>1.0947063432152622</v>
      </c>
      <c r="N406" s="55" cm="1">
        <f t="array" ref="N406">(VLOOKUP($A406,'The List'!$B1:$AH671,26,FALSE)-AVERAGE('The List'!AA2:AA671))/STDEV('The List'!AA2:AA671)</f>
        <v>-0.2948387848587265</v>
      </c>
      <c r="O406" s="55" cm="1">
        <f t="array" ref="O406">(VLOOKUP($A406,'The List'!$B1:$AH671,27,FALSE)-AVERAGE('The List'!AB2:AB671))/STDEV('The List'!AB2:AB671)</f>
        <v>1.5110067257888613</v>
      </c>
      <c r="P406" s="55" cm="1">
        <f t="array" ref="P406">(VLOOKUP($A406,'The List'!$B1:$AH671,28,FALSE)-AVERAGE('The List'!AC2:AC671))/STDEV('The List'!AC2:AC671)</f>
        <v>6.868863334679591E-2</v>
      </c>
      <c r="Q406" s="55" cm="1">
        <f t="array" ref="Q406">(VLOOKUP($A406,'The List'!$B1:$AH671,29,FALSE)-AVERAGE('The List'!AD2:AD671))/STDEV('The List'!AD2:AD671)</f>
        <v>-0.24594115790336463</v>
      </c>
      <c r="R406" s="55" cm="1">
        <f t="array" ref="R406">(VLOOKUP($A406,'The List'!$B1:$AH671,30,FALSE)-AVERAGE('The List'!AE2:AE671))/STDEV('The List'!AE2:AE671)</f>
        <v>0.15262022386097629</v>
      </c>
      <c r="S406" s="55" cm="1">
        <f t="array" ref="S406">(VLOOKUP($A406,'The List'!$B1:$AH671,31,FALSE)-AVERAGE('The List'!AF2:AF671))/STDEV('The List'!AF2:AF671)</f>
        <v>0.7195748833266129</v>
      </c>
      <c r="T406" s="55" cm="1">
        <f t="array" ref="T406">(VLOOKUP($A406,'The List'!$B1:$AH671,32,FALSE)-AVERAGE('The List'!AG2:AG671))/STDEV('The List'!AG2:AG671)</f>
        <v>0.85559082741307091</v>
      </c>
      <c r="U406" s="55" cm="1">
        <f t="array" ref="U406">(VLOOKUP($A406,'The List'!$B1:$AH671,33,FALSE)-AVERAGE('The List'!AH2:AH671))/STDEV('The List'!AH2:AH671)</f>
        <v>0.95270011192019333</v>
      </c>
      <c r="V406" s="55"/>
      <c r="W406" s="57"/>
      <c r="X406" s="55"/>
      <c r="Y406" s="55"/>
      <c r="Z406" s="55"/>
      <c r="AA406" s="55"/>
      <c r="AB406" s="55"/>
      <c r="AC406" s="55"/>
      <c r="AD406" s="55"/>
      <c r="AE406" s="55"/>
    </row>
    <row r="407" spans="1:31" ht="21.25" customHeight="1" x14ac:dyDescent="0.15">
      <c r="A407" s="10" t="s">
        <v>479</v>
      </c>
      <c r="B407" s="18" t="str" cm="1">
        <f t="array" ref="B407">VLOOKUP(A407,'Player Data'!A1:B673,2,FALSE)</f>
        <v>STL</v>
      </c>
      <c r="C407" s="52" cm="1">
        <f t="array" ref="C407">((E407)*Settings!$C$12)+(F407*Settings!$C$2)+(G407*Settings!$C$3)+(H407*Settings!$C$4)+(I407*Settings!$C$5)+(K407*Settings!$C$9)+(N407*Settings!$C$6)+(J407*Settings!$C$8)+(O407*Settings!$C$7)+(P407*Settings!$C$14)+(Q407*Settings!$C$15)+(R407*Settings!$C$16)+(S407*Settings!$C$17)+(T407*Settings!$C$18)+(U407*Settings!$C$19)+(L407*Settings!$C$10)+(Settings!$C$11*M407)</f>
        <v>-3.5675269694146872</v>
      </c>
      <c r="D407" s="57" cm="1">
        <f t="array" ref="D407">IF(Settings!$E$12="YES",VLOOKUP(A407,'Player Data'!A1:E673,5,FALSE),82)</f>
        <v>70</v>
      </c>
      <c r="E407" s="55" cm="1">
        <f t="array" ref="E407">(VLOOKUP($A407,'The List'!$B1:$AH671,17,FALSE)-AVERAGE('The List'!R2:R671))/STDEV('The List'!R2:R671)</f>
        <v>2.2466114160446121E-2</v>
      </c>
      <c r="F407" s="55" cm="1">
        <f t="array" ref="F407">(VLOOKUP($A407,'The List'!$B1:$AH671,18,FALSE)-AVERAGE('The List'!S2:S671))/STDEV('The List'!S2:S671)</f>
        <v>-0.67393566321248144</v>
      </c>
      <c r="G407" s="55" cm="1">
        <f t="array" ref="G407">(VLOOKUP($A407,'The List'!$B1:$AH671,19,FALSE)-AVERAGE('The List'!T2:T671))/STDEV('The List'!T2:T671)</f>
        <v>-0.7276857599438481</v>
      </c>
      <c r="H407" s="55" cm="1">
        <f t="array" ref="H407">(VLOOKUP($A407,'The List'!$B1:$AH671,20,FALSE)-AVERAGE('The List'!U2:U671))/STDEV('The List'!U2:U671)</f>
        <v>-0.75631152144353131</v>
      </c>
      <c r="I407" s="55" cm="1">
        <f t="array" ref="I407">(VLOOKUP($A407,'The List'!$B1:$AH671,21,FALSE)-AVERAGE('The List'!V2:V671))/STDEV('The List'!V2:V671)</f>
        <v>-0.74490973609039435</v>
      </c>
      <c r="J407" s="55" cm="1">
        <f t="array" ref="J407">(VLOOKUP($A407,'The List'!$B1:$AH671,22,FALSE)-AVERAGE('The List'!W2:W671))/STDEV('The List'!W2:W671)</f>
        <v>-0.73853908386105271</v>
      </c>
      <c r="K407" s="55" cm="1">
        <f t="array" ref="K407">(VLOOKUP($A407,'The List'!$B1:$AH671,23,FALSE)-AVERAGE('The List'!X2:X671))/STDEV('The List'!X2:X671)</f>
        <v>-0.80155300200843405</v>
      </c>
      <c r="L407" s="55" cm="1">
        <f t="array" ref="L407">(VLOOKUP($A407,'The List'!$B1:$AH671,24,FALSE)-AVERAGE('The List'!Y2:Y671))/STDEV('The List'!Y2:Y671)</f>
        <v>-0.47546929358800777</v>
      </c>
      <c r="M407" s="55" cm="1">
        <f t="array" ref="M407">(VLOOKUP($A407,'The List'!$B1:$AH671,25,FALSE)-AVERAGE('The List'!Z2:Z671))/STDEV('The List'!Z2:Z671)</f>
        <v>-0.64388478613809508</v>
      </c>
      <c r="N407" s="55" cm="1">
        <f t="array" ref="N407">(VLOOKUP($A407,'The List'!$B1:$AH671,26,FALSE)-AVERAGE('The List'!AA2:AA671))/STDEV('The List'!AA2:AA671)</f>
        <v>0.41519993145657713</v>
      </c>
      <c r="O407" s="55" cm="1">
        <f t="array" ref="O407">(VLOOKUP($A407,'The List'!$B1:$AH671,27,FALSE)-AVERAGE('The List'!AB2:AB671))/STDEV('The List'!AB2:AB671)</f>
        <v>-0.36257846723367942</v>
      </c>
      <c r="P407" s="55" cm="1">
        <f t="array" ref="P407">(VLOOKUP($A407,'The List'!$B1:$AH671,28,FALSE)-AVERAGE('The List'!AC2:AC671))/STDEV('The List'!AC2:AC671)</f>
        <v>-0.25686434092584975</v>
      </c>
      <c r="Q407" s="55" cm="1">
        <f t="array" ref="Q407">(VLOOKUP($A407,'The List'!$B1:$AH671,29,FALSE)-AVERAGE('The List'!AD2:AD671))/STDEV('The List'!AD2:AD671)</f>
        <v>-0.35676775133397309</v>
      </c>
      <c r="R407" s="55" cm="1">
        <f t="array" ref="R407">(VLOOKUP($A407,'The List'!$B1:$AH671,30,FALSE)-AVERAGE('The List'!AE2:AE671))/STDEV('The List'!AE2:AE671)</f>
        <v>-0.90783790443978152</v>
      </c>
      <c r="S407" s="55" cm="1">
        <f t="array" ref="S407">(VLOOKUP($A407,'The List'!$B1:$AH671,31,FALSE)-AVERAGE('The List'!AF2:AF671))/STDEV('The List'!AF2:AF671)</f>
        <v>-0.59581850454342256</v>
      </c>
      <c r="T407" s="55" cm="1">
        <f t="array" ref="T407">(VLOOKUP($A407,'The List'!$B1:$AH671,32,FALSE)-AVERAGE('The List'!AG2:AG671))/STDEV('The List'!AG2:AG671)</f>
        <v>-0.64684275008198677</v>
      </c>
      <c r="U407" s="55" cm="1">
        <f t="array" ref="U407">(VLOOKUP($A407,'The List'!$B1:$AH671,33,FALSE)-AVERAGE('The List'!AH2:AH671))/STDEV('The List'!AH2:AH671)</f>
        <v>-1.2552626683789523</v>
      </c>
      <c r="V407" s="55"/>
      <c r="W407" s="77"/>
      <c r="X407" s="57"/>
      <c r="Y407" s="57"/>
      <c r="Z407" s="57"/>
      <c r="AA407" s="57"/>
      <c r="AB407" s="57"/>
      <c r="AC407" s="60"/>
      <c r="AD407" s="61"/>
      <c r="AE407" s="55"/>
    </row>
    <row r="408" spans="1:31" ht="21.25" customHeight="1" x14ac:dyDescent="0.15">
      <c r="A408" s="10" t="s">
        <v>459</v>
      </c>
      <c r="B408" s="18" t="str" cm="1">
        <f t="array" ref="B408">VLOOKUP(A408,'Player Data'!A1:B673,2,FALSE)</f>
        <v>PIT</v>
      </c>
      <c r="C408" s="52" cm="1">
        <f t="array" ref="C408">((E408)*Settings!$C$12)+(F408*Settings!$C$2)+(G408*Settings!$C$3)+(H408*Settings!$C$4)+(I408*Settings!$C$5)+(K408*Settings!$C$9)+(N408*Settings!$C$6)+(J408*Settings!$C$8)+(O408*Settings!$C$7)+(P408*Settings!$C$14)+(Q408*Settings!$C$15)+(R408*Settings!$C$16)+(S408*Settings!$C$17)+(T408*Settings!$C$18)+(U408*Settings!$C$19)+(L408*Settings!$C$10)+(Settings!$C$11*M408)</f>
        <v>-2.6854161634096889</v>
      </c>
      <c r="D408" s="57" cm="1">
        <f t="array" ref="D408">IF(Settings!$E$12="YES",VLOOKUP(A408,'Player Data'!A1:E673,5,FALSE),82)</f>
        <v>72</v>
      </c>
      <c r="E408" s="55" cm="1">
        <f t="array" ref="E408">(VLOOKUP($A408,'The List'!$B1:$AH671,17,FALSE)-AVERAGE('The List'!R2:R671))/STDEV('The List'!R2:R671)</f>
        <v>0.57334042785180894</v>
      </c>
      <c r="F408" s="55" cm="1">
        <f t="array" ref="F408">(VLOOKUP($A408,'The List'!$B1:$AH671,18,FALSE)-AVERAGE('The List'!S2:S671))/STDEV('The List'!S2:S671)</f>
        <v>-1.013235025197202</v>
      </c>
      <c r="G408" s="55" cm="1">
        <f t="array" ref="G408">(VLOOKUP($A408,'The List'!$B1:$AH671,19,FALSE)-AVERAGE('The List'!T2:T671))/STDEV('The List'!T2:T671)</f>
        <v>-0.44799733575391959</v>
      </c>
      <c r="H408" s="55" cm="1">
        <f t="array" ref="H408">(VLOOKUP($A408,'The List'!$B1:$AH671,20,FALSE)-AVERAGE('The List'!U2:U671))/STDEV('The List'!U2:U671)</f>
        <v>-0.73067133898584513</v>
      </c>
      <c r="I408" s="55" cm="1">
        <f t="array" ref="I408">(VLOOKUP($A408,'The List'!$B1:$AH671,21,FALSE)-AVERAGE('The List'!V2:V671))/STDEV('The List'!V2:V671)</f>
        <v>-0.92770312269776067</v>
      </c>
      <c r="J408" s="55" cm="1">
        <f t="array" ref="J408">(VLOOKUP($A408,'The List'!$B1:$AH671,22,FALSE)-AVERAGE('The List'!W2:W671))/STDEV('The List'!W2:W671)</f>
        <v>-0.73853908386105271</v>
      </c>
      <c r="K408" s="55" cm="1">
        <f t="array" ref="K408">(VLOOKUP($A408,'The List'!$B1:$AH671,23,FALSE)-AVERAGE('The List'!X2:X671))/STDEV('The List'!X2:X671)</f>
        <v>-0.80155300200843405</v>
      </c>
      <c r="L408" s="55" cm="1">
        <f t="array" ref="L408">(VLOOKUP($A408,'The List'!$B1:$AH671,24,FALSE)-AVERAGE('The List'!Y2:Y671))/STDEV('The List'!Y2:Y671)</f>
        <v>-0.47546929358800777</v>
      </c>
      <c r="M408" s="55" cm="1">
        <f t="array" ref="M408">(VLOOKUP($A408,'The List'!$B1:$AH671,25,FALSE)-AVERAGE('The List'!Z2:Z671))/STDEV('The List'!Z2:Z671)</f>
        <v>-0.64388478613809508</v>
      </c>
      <c r="N408" s="55" cm="1">
        <f t="array" ref="N408">(VLOOKUP($A408,'The List'!$B1:$AH671,26,FALSE)-AVERAGE('The List'!AA2:AA671))/STDEV('The List'!AA2:AA671)</f>
        <v>0.98833909671252729</v>
      </c>
      <c r="O408" s="55" cm="1">
        <f t="array" ref="O408">(VLOOKUP($A408,'The List'!$B1:$AH671,27,FALSE)-AVERAGE('The List'!AB2:AB671))/STDEV('The List'!AB2:AB671)</f>
        <v>0.29748108654450234</v>
      </c>
      <c r="P408" s="55" cm="1">
        <f t="array" ref="P408">(VLOOKUP($A408,'The List'!$B1:$AH671,28,FALSE)-AVERAGE('The List'!AC2:AC671))/STDEV('The List'!AC2:AC671)</f>
        <v>0.20759123570312471</v>
      </c>
      <c r="Q408" s="55" cm="1">
        <f t="array" ref="Q408">(VLOOKUP($A408,'The List'!$B1:$AH671,29,FALSE)-AVERAGE('The List'!AD2:AD671))/STDEV('The List'!AD2:AD671)</f>
        <v>-0.45872821729013336</v>
      </c>
      <c r="R408" s="55" cm="1">
        <f t="array" ref="R408">(VLOOKUP($A408,'The List'!$B1:$AH671,30,FALSE)-AVERAGE('The List'!AE2:AE671))/STDEV('The List'!AE2:AE671)</f>
        <v>-0.89536192645977275</v>
      </c>
      <c r="S408" s="55" cm="1">
        <f t="array" ref="S408">(VLOOKUP($A408,'The List'!$B1:$AH671,31,FALSE)-AVERAGE('The List'!AF2:AF671))/STDEV('The List'!AF2:AF671)</f>
        <v>-0.59581850454342256</v>
      </c>
      <c r="T408" s="55" cm="1">
        <f t="array" ref="T408">(VLOOKUP($A408,'The List'!$B1:$AH671,32,FALSE)-AVERAGE('The List'!AG2:AG671))/STDEV('The List'!AG2:AG671)</f>
        <v>-0.64684275008198677</v>
      </c>
      <c r="U408" s="55" cm="1">
        <f t="array" ref="U408">(VLOOKUP($A408,'The List'!$B1:$AH671,33,FALSE)-AVERAGE('The List'!AH2:AH671))/STDEV('The List'!AH2:AH671)</f>
        <v>-1.2552626683789523</v>
      </c>
      <c r="V408" s="55"/>
      <c r="W408" s="57"/>
      <c r="X408" s="55"/>
      <c r="Y408" s="55"/>
      <c r="Z408" s="55"/>
      <c r="AA408" s="55"/>
      <c r="AB408" s="55"/>
      <c r="AC408" s="55"/>
      <c r="AD408" s="55"/>
      <c r="AE408" s="55"/>
    </row>
    <row r="409" spans="1:31" ht="21.25" customHeight="1" x14ac:dyDescent="0.15">
      <c r="A409" s="10" t="s">
        <v>714</v>
      </c>
      <c r="B409" s="18" t="str" cm="1">
        <f t="array" ref="B409">VLOOKUP(A409,'Player Data'!A1:B673,2,FALSE)</f>
        <v>NYR</v>
      </c>
      <c r="C409" s="52" cm="1">
        <f t="array" ref="C409">((E409)*Settings!$C$12)+(F409*Settings!$C$2)+(G409*Settings!$C$3)+(H409*Settings!$C$4)+(I409*Settings!$C$5)+(K409*Settings!$C$9)+(N409*Settings!$C$6)+(J409*Settings!$C$8)+(O409*Settings!$C$7)+(P409*Settings!$C$14)+(Q409*Settings!$C$15)+(R409*Settings!$C$16)+(S409*Settings!$C$17)+(T409*Settings!$C$18)+(U409*Settings!$C$19)+(L409*Settings!$C$10)+(Settings!$C$11*M409)</f>
        <v>-0.86211263915304626</v>
      </c>
      <c r="D409" s="57" cm="1">
        <f t="array" ref="D409">IF(Settings!$E$12="YES",VLOOKUP(A409,'Player Data'!A1:E673,5,FALSE),82)</f>
        <v>78</v>
      </c>
      <c r="E409" s="55" cm="1">
        <f t="array" ref="E409">(VLOOKUP($A409,'The List'!$B1:$AH671,17,FALSE)-AVERAGE('The List'!R2:R671))/STDEV('The List'!R2:R671)</f>
        <v>-1.3678357251558491</v>
      </c>
      <c r="F409" s="55" cm="1">
        <f t="array" ref="F409">(VLOOKUP($A409,'The List'!$B1:$AH671,18,FALSE)-AVERAGE('The List'!S2:S671))/STDEV('The List'!S2:S671)</f>
        <v>-0.43842198842308727</v>
      </c>
      <c r="G409" s="55" cm="1">
        <f t="array" ref="G409">(VLOOKUP($A409,'The List'!$B1:$AH671,19,FALSE)-AVERAGE('The List'!T2:T671))/STDEV('The List'!T2:T671)</f>
        <v>-0.73049669888043023</v>
      </c>
      <c r="H409" s="55" cm="1">
        <f t="array" ref="H409">(VLOOKUP($A409,'The List'!$B1:$AH671,20,FALSE)-AVERAGE('The List'!U2:U671))/STDEV('The List'!U2:U671)</f>
        <v>-0.65375079161278704</v>
      </c>
      <c r="I409" s="55" cm="1">
        <f t="array" ref="I409">(VLOOKUP($A409,'The List'!$B1:$AH671,21,FALSE)-AVERAGE('The List'!V2:V671))/STDEV('The List'!V2:V671)</f>
        <v>-0.83647920197121106</v>
      </c>
      <c r="J409" s="55" cm="1">
        <f t="array" ref="J409">(VLOOKUP($A409,'The List'!$B1:$AH671,22,FALSE)-AVERAGE('The List'!W2:W671))/STDEV('The List'!W2:W671)</f>
        <v>-0.73853908386105271</v>
      </c>
      <c r="K409" s="55" cm="1">
        <f t="array" ref="K409">(VLOOKUP($A409,'The List'!$B1:$AH671,23,FALSE)-AVERAGE('The List'!X2:X671))/STDEV('The List'!X2:X671)</f>
        <v>-0.80155300200843405</v>
      </c>
      <c r="L409" s="55" cm="1">
        <f t="array" ref="L409">(VLOOKUP($A409,'The List'!$B1:$AH671,24,FALSE)-AVERAGE('The List'!Y2:Y671))/STDEV('The List'!Y2:Y671)</f>
        <v>0.95438708567894381</v>
      </c>
      <c r="M409" s="55" cm="1">
        <f t="array" ref="M409">(VLOOKUP($A409,'The List'!$B1:$AH671,25,FALSE)-AVERAGE('The List'!Z2:Z671))/STDEV('The List'!Z2:Z671)</f>
        <v>0.20367838942166649</v>
      </c>
      <c r="N409" s="55" cm="1">
        <f t="array" ref="N409">(VLOOKUP($A409,'The List'!$B1:$AH671,26,FALSE)-AVERAGE('The List'!AA2:AA671))/STDEV('The List'!AA2:AA671)</f>
        <v>-0.5073395805329467</v>
      </c>
      <c r="O409" s="55" cm="1">
        <f t="array" ref="O409">(VLOOKUP($A409,'The List'!$B1:$AH671,27,FALSE)-AVERAGE('The List'!AB2:AB671))/STDEV('The List'!AB2:AB671)</f>
        <v>2.3883529649722832</v>
      </c>
      <c r="P409" s="55" cm="1">
        <f t="array" ref="P409">(VLOOKUP($A409,'The List'!$B1:$AH671,28,FALSE)-AVERAGE('The List'!AC2:AC671))/STDEV('The List'!AC2:AC671)</f>
        <v>-0.44351471284216665</v>
      </c>
      <c r="Q409" s="55" cm="1">
        <f t="array" ref="Q409">(VLOOKUP($A409,'The List'!$B1:$AH671,29,FALSE)-AVERAGE('The List'!AD2:AD671))/STDEV('The List'!AD2:AD671)</f>
        <v>0.10427087733735918</v>
      </c>
      <c r="R409" s="55" cm="1">
        <f t="array" ref="R409">(VLOOKUP($A409,'The List'!$B1:$AH671,30,FALSE)-AVERAGE('The List'!AE2:AE671))/STDEV('The List'!AE2:AE671)</f>
        <v>-0.37137085129939812</v>
      </c>
      <c r="S409" s="55" cm="1">
        <f t="array" ref="S409">(VLOOKUP($A409,'The List'!$B1:$AH671,31,FALSE)-AVERAGE('The List'!AF2:AF671))/STDEV('The List'!AF2:AF671)</f>
        <v>-0.55456822944135786</v>
      </c>
      <c r="T409" s="55" cm="1">
        <f t="array" ref="T409">(VLOOKUP($A409,'The List'!$B1:$AH671,32,FALSE)-AVERAGE('The List'!AG2:AG671))/STDEV('The List'!AG2:AG671)</f>
        <v>-0.54732693907263341</v>
      </c>
      <c r="U409" s="55" cm="1">
        <f t="array" ref="U409">(VLOOKUP($A409,'The List'!$B1:$AH671,33,FALSE)-AVERAGE('The List'!AH2:AH671))/STDEV('The List'!AH2:AH671)</f>
        <v>0.12471406930801376</v>
      </c>
      <c r="V409" s="55"/>
      <c r="W409" s="77"/>
      <c r="X409" s="57"/>
      <c r="Y409" s="57"/>
      <c r="Z409" s="57"/>
      <c r="AA409" s="57"/>
      <c r="AB409" s="57"/>
      <c r="AC409" s="60"/>
      <c r="AD409" s="61"/>
      <c r="AE409" s="55"/>
    </row>
    <row r="410" spans="1:31" ht="21.25" customHeight="1" x14ac:dyDescent="0.15">
      <c r="A410" s="10" t="s">
        <v>738</v>
      </c>
      <c r="B410" s="18" t="str" cm="1">
        <f t="array" ref="B410">VLOOKUP(A410,'Player Data'!A1:B673,2,FALSE)</f>
        <v>VAN</v>
      </c>
      <c r="C410" s="52" cm="1">
        <f t="array" ref="C410">((E410)*Settings!$C$12)+(F410*Settings!$C$2)+(G410*Settings!$C$3)+(H410*Settings!$C$4)+(I410*Settings!$C$5)+(K410*Settings!$C$9)+(N410*Settings!$C$6)+(J410*Settings!$C$8)+(O410*Settings!$C$7)+(P410*Settings!$C$14)+(Q410*Settings!$C$15)+(R410*Settings!$C$16)+(S410*Settings!$C$17)+(T410*Settings!$C$18)+(U410*Settings!$C$19)+(L410*Settings!$C$10)+(Settings!$C$11*M410)</f>
        <v>-5.7337138951162325</v>
      </c>
      <c r="D410" s="57" cm="1">
        <f t="array" ref="D410">IF(Settings!$E$12="YES",VLOOKUP(A410,'Player Data'!A1:E673,5,FALSE),82)</f>
        <v>71</v>
      </c>
      <c r="E410" s="55" cm="1">
        <f t="array" ref="E410">(VLOOKUP($A410,'The List'!$B1:$AH671,17,FALSE)-AVERAGE('The List'!R2:R671))/STDEV('The List'!R2:R671)</f>
        <v>-1.2366751742769533</v>
      </c>
      <c r="F410" s="55" cm="1">
        <f t="array" ref="F410">(VLOOKUP($A410,'The List'!$B1:$AH671,18,FALSE)-AVERAGE('The List'!S2:S671))/STDEV('The List'!S2:S671)</f>
        <v>-0.16798043813526584</v>
      </c>
      <c r="G410" s="55" cm="1">
        <f t="array" ref="G410">(VLOOKUP($A410,'The List'!$B1:$AH671,19,FALSE)-AVERAGE('The List'!T2:T671))/STDEV('The List'!T2:T671)</f>
        <v>-1.0635929628654206</v>
      </c>
      <c r="H410" s="55" cm="1">
        <f t="array" ref="H410">(VLOOKUP($A410,'The List'!$B1:$AH671,20,FALSE)-AVERAGE('The List'!U2:U671))/STDEV('The List'!U2:U671)</f>
        <v>-0.74349143021468822</v>
      </c>
      <c r="I410" s="55" cm="1">
        <f t="array" ref="I410">(VLOOKUP($A410,'The List'!$B1:$AH671,21,FALSE)-AVERAGE('The List'!V2:V671))/STDEV('The List'!V2:V671)</f>
        <v>-0.95742000596474264</v>
      </c>
      <c r="J410" s="55" cm="1">
        <f t="array" ref="J410">(VLOOKUP($A410,'The List'!$B1:$AH671,22,FALSE)-AVERAGE('The List'!W2:W671))/STDEV('The List'!W2:W671)</f>
        <v>-0.73853908386105271</v>
      </c>
      <c r="K410" s="55" cm="1">
        <f t="array" ref="K410">(VLOOKUP($A410,'The List'!$B1:$AH671,23,FALSE)-AVERAGE('The List'!X2:X671))/STDEV('The List'!X2:X671)</f>
        <v>-0.7302024976546152</v>
      </c>
      <c r="L410" s="55" cm="1">
        <f t="array" ref="L410">(VLOOKUP($A410,'The List'!$B1:$AH671,24,FALSE)-AVERAGE('The List'!Y2:Y671))/STDEV('The List'!Y2:Y671)</f>
        <v>-0.47546929358800777</v>
      </c>
      <c r="M410" s="55" cm="1">
        <f t="array" ref="M410">(VLOOKUP($A410,'The List'!$B1:$AH671,25,FALSE)-AVERAGE('The List'!Z2:Z671))/STDEV('The List'!Z2:Z671)</f>
        <v>0.12761502751245707</v>
      </c>
      <c r="N410" s="55" cm="1">
        <f t="array" ref="N410">(VLOOKUP($A410,'The List'!$B1:$AH671,26,FALSE)-AVERAGE('The List'!AA2:AA671))/STDEV('The List'!AA2:AA671)</f>
        <v>-0.62559423004876891</v>
      </c>
      <c r="O410" s="55" cm="1">
        <f t="array" ref="O410">(VLOOKUP($A410,'The List'!$B1:$AH671,27,FALSE)-AVERAGE('The List'!AB2:AB671))/STDEV('The List'!AB2:AB671)</f>
        <v>-0.70634240253989389</v>
      </c>
      <c r="P410" s="55" cm="1">
        <f t="array" ref="P410">(VLOOKUP($A410,'The List'!$B1:$AH671,28,FALSE)-AVERAGE('The List'!AC2:AC671))/STDEV('The List'!AC2:AC671)</f>
        <v>-2.1081755879562945</v>
      </c>
      <c r="Q410" s="55" cm="1">
        <f t="array" ref="Q410">(VLOOKUP($A410,'The List'!$B1:$AH671,29,FALSE)-AVERAGE('The List'!AD2:AD671))/STDEV('The List'!AD2:AD671)</f>
        <v>-0.80007412505640818</v>
      </c>
      <c r="R410" s="55" cm="1">
        <f t="array" ref="R410">(VLOOKUP($A410,'The List'!$B1:$AH671,30,FALSE)-AVERAGE('The List'!AE2:AE671))/STDEV('The List'!AE2:AE671)</f>
        <v>-0.45870269715946066</v>
      </c>
      <c r="S410" s="55" cm="1">
        <f t="array" ref="S410">(VLOOKUP($A410,'The List'!$B1:$AH671,31,FALSE)-AVERAGE('The List'!AF2:AF671))/STDEV('The List'!AF2:AF671)</f>
        <v>5.6156997390259734E-2</v>
      </c>
      <c r="T410" s="55" cm="1">
        <f t="array" ref="T410">(VLOOKUP($A410,'The List'!$B1:$AH671,32,FALSE)-AVERAGE('The List'!AG2:AG671))/STDEV('The List'!AG2:AG671)</f>
        <v>0.29886365700228334</v>
      </c>
      <c r="U410" s="55" cm="1">
        <f t="array" ref="U410">(VLOOKUP($A410,'The List'!$B1:$AH671,33,FALSE)-AVERAGE('The List'!AH2:AH671))/STDEV('The List'!AH2:AH671)</f>
        <v>0.67670476438280014</v>
      </c>
      <c r="V410" s="55"/>
      <c r="W410" s="57"/>
      <c r="X410" s="55"/>
      <c r="Y410" s="55"/>
      <c r="Z410" s="55"/>
      <c r="AA410" s="55"/>
      <c r="AB410" s="55"/>
      <c r="AC410" s="55"/>
      <c r="AD410" s="55"/>
      <c r="AE410" s="55"/>
    </row>
    <row r="411" spans="1:31" ht="21.25" customHeight="1" x14ac:dyDescent="0.15">
      <c r="A411" s="10" t="s">
        <v>680</v>
      </c>
      <c r="B411" s="18" t="str" cm="1">
        <f t="array" ref="B411">VLOOKUP(A411,'Player Data'!A1:B673,2,FALSE)</f>
        <v>WPG</v>
      </c>
      <c r="C411" s="52" cm="1">
        <f t="array" ref="C411">((E411)*Settings!$C$12)+(F411*Settings!$C$2)+(G411*Settings!$C$3)+(H411*Settings!$C$4)+(I411*Settings!$C$5)+(K411*Settings!$C$9)+(N411*Settings!$C$6)+(J411*Settings!$C$8)+(O411*Settings!$C$7)+(P411*Settings!$C$14)+(Q411*Settings!$C$15)+(R411*Settings!$C$16)+(S411*Settings!$C$17)+(T411*Settings!$C$18)+(U411*Settings!$C$19)+(L411*Settings!$C$10)+(Settings!$C$11*M411)</f>
        <v>-0.66577269043066101</v>
      </c>
      <c r="D411" s="57" cm="1">
        <f t="array" ref="D411">IF(Settings!$E$12="YES",VLOOKUP(A411,'Player Data'!A1:E673,5,FALSE),82)</f>
        <v>80</v>
      </c>
      <c r="E411" s="55" cm="1">
        <f t="array" ref="E411">(VLOOKUP($A411,'The List'!$B1:$AH671,17,FALSE)-AVERAGE('The List'!R2:R671))/STDEV('The List'!R2:R671)</f>
        <v>-1.0792825132222785</v>
      </c>
      <c r="F411" s="55" cm="1">
        <f t="array" ref="F411">(VLOOKUP($A411,'The List'!$B1:$AH671,18,FALSE)-AVERAGE('The List'!S2:S671))/STDEV('The List'!S2:S671)</f>
        <v>-0.25480115723135599</v>
      </c>
      <c r="G411" s="55" cm="1">
        <f t="array" ref="G411">(VLOOKUP($A411,'The List'!$B1:$AH671,19,FALSE)-AVERAGE('The List'!T2:T671))/STDEV('The List'!T2:T671)</f>
        <v>-0.6503849391878378</v>
      </c>
      <c r="H411" s="55" cm="1">
        <f t="array" ref="H411">(VLOOKUP($A411,'The List'!$B1:$AH671,20,FALSE)-AVERAGE('The List'!U2:U671))/STDEV('The List'!U2:U671)</f>
        <v>-0.5220133024336413</v>
      </c>
      <c r="I411" s="55" cm="1">
        <f t="array" ref="I411">(VLOOKUP($A411,'The List'!$B1:$AH671,21,FALSE)-AVERAGE('The List'!V2:V671))/STDEV('The List'!V2:V671)</f>
        <v>-0.20758702120484704</v>
      </c>
      <c r="J411" s="55" cm="1">
        <f t="array" ref="J411">(VLOOKUP($A411,'The List'!$B1:$AH671,22,FALSE)-AVERAGE('The List'!W2:W671))/STDEV('The List'!W2:W671)</f>
        <v>-7.5666553010997825E-2</v>
      </c>
      <c r="K411" s="55" cm="1">
        <f t="array" ref="K411">(VLOOKUP($A411,'The List'!$B1:$AH671,23,FALSE)-AVERAGE('The List'!X2:X671))/STDEV('The List'!X2:X671)</f>
        <v>-0.15839352614302474</v>
      </c>
      <c r="L411" s="55" cm="1">
        <f t="array" ref="L411">(VLOOKUP($A411,'The List'!$B1:$AH671,24,FALSE)-AVERAGE('The List'!Y2:Y671))/STDEV('The List'!Y2:Y671)</f>
        <v>-0.47546929358800777</v>
      </c>
      <c r="M411" s="55" cm="1">
        <f t="array" ref="M411">(VLOOKUP($A411,'The List'!$B1:$AH671,25,FALSE)-AVERAGE('The List'!Z2:Z671))/STDEV('The List'!Z2:Z671)</f>
        <v>-0.64388478613809508</v>
      </c>
      <c r="N411" s="55" cm="1">
        <f t="array" ref="N411">(VLOOKUP($A411,'The List'!$B1:$AH671,26,FALSE)-AVERAGE('The List'!AA2:AA671))/STDEV('The List'!AA2:AA671)</f>
        <v>-0.86695631167393516</v>
      </c>
      <c r="O411" s="55" cm="1">
        <f t="array" ref="O411">(VLOOKUP($A411,'The List'!$B1:$AH671,27,FALSE)-AVERAGE('The List'!AB2:AB671))/STDEV('The List'!AB2:AB671)</f>
        <v>0.36307706704419751</v>
      </c>
      <c r="P411" s="55" cm="1">
        <f t="array" ref="P411">(VLOOKUP($A411,'The List'!$B1:$AH671,28,FALSE)-AVERAGE('The List'!AC2:AC671))/STDEV('The List'!AC2:AC671)</f>
        <v>0.24231688629220693</v>
      </c>
      <c r="Q411" s="55" cm="1">
        <f t="array" ref="Q411">(VLOOKUP($A411,'The List'!$B1:$AH671,29,FALSE)-AVERAGE('The List'!AD2:AD671))/STDEV('The List'!AD2:AD671)</f>
        <v>-0.65969377337763713</v>
      </c>
      <c r="R411" s="55" cm="1">
        <f t="array" ref="R411">(VLOOKUP($A411,'The List'!$B1:$AH671,30,FALSE)-AVERAGE('The List'!AE2:AE671))/STDEV('The List'!AE2:AE671)</f>
        <v>-0.34641889533938031</v>
      </c>
      <c r="S411" s="55" cm="1">
        <f t="array" ref="S411">(VLOOKUP($A411,'The List'!$B1:$AH671,31,FALSE)-AVERAGE('The List'!AF2:AF671))/STDEV('The List'!AF2:AF671)</f>
        <v>-0.5496643505830705</v>
      </c>
      <c r="T411" s="55" cm="1">
        <f t="array" ref="T411">(VLOOKUP($A411,'The List'!$B1:$AH671,32,FALSE)-AVERAGE('The List'!AG2:AG671))/STDEV('The List'!AG2:AG671)</f>
        <v>-0.58560225099930774</v>
      </c>
      <c r="U411" s="55" cm="1">
        <f t="array" ref="U411">(VLOOKUP($A411,'The List'!$B1:$AH671,33,FALSE)-AVERAGE('The List'!AH2:AH671))/STDEV('The List'!AH2:AH671)</f>
        <v>0.76870321356193128</v>
      </c>
      <c r="V411" s="55"/>
      <c r="W411" s="77"/>
      <c r="X411" s="57"/>
      <c r="Y411" s="57"/>
      <c r="Z411" s="57"/>
      <c r="AA411" s="57"/>
      <c r="AB411" s="57"/>
      <c r="AC411" s="60"/>
      <c r="AD411" s="61"/>
      <c r="AE411" s="55"/>
    </row>
    <row r="412" spans="1:31" ht="21.25" customHeight="1" x14ac:dyDescent="0.15">
      <c r="A412" s="10" t="s">
        <v>427</v>
      </c>
      <c r="B412" s="18" t="str" cm="1">
        <f t="array" ref="B412">VLOOKUP(A412,'Player Data'!A1:B673,2,FALSE)</f>
        <v>MTL</v>
      </c>
      <c r="C412" s="52" cm="1">
        <f t="array" ref="C412">((E412)*Settings!$C$12)+(F412*Settings!$C$2)+(G412*Settings!$C$3)+(H412*Settings!$C$4)+(I412*Settings!$C$5)+(K412*Settings!$C$9)+(N412*Settings!$C$6)+(J412*Settings!$C$8)+(O412*Settings!$C$7)+(P412*Settings!$C$14)+(Q412*Settings!$C$15)+(R412*Settings!$C$16)+(S412*Settings!$C$17)+(T412*Settings!$C$18)+(U412*Settings!$C$19)+(L412*Settings!$C$10)+(Settings!$C$11*M412)</f>
        <v>-2.7285767253543241</v>
      </c>
      <c r="D412" s="57" cm="1">
        <f t="array" ref="D412">IF(Settings!$E$12="YES",VLOOKUP(A412,'Player Data'!A1:E673,5,FALSE),82)</f>
        <v>67</v>
      </c>
      <c r="E412" s="55" cm="1">
        <f t="array" ref="E412">(VLOOKUP($A412,'The List'!$B1:$AH671,17,FALSE)-AVERAGE('The List'!R2:R671))/STDEV('The List'!R2:R671)</f>
        <v>0.44217987697291306</v>
      </c>
      <c r="F412" s="55" cm="1">
        <f t="array" ref="F412">(VLOOKUP($A412,'The List'!$B1:$AH671,18,FALSE)-AVERAGE('The List'!S2:S671))/STDEV('The List'!S2:S671)</f>
        <v>-0.90445964150210034</v>
      </c>
      <c r="G412" s="55" cm="1">
        <f t="array" ref="G412">(VLOOKUP($A412,'The List'!$B1:$AH671,19,FALSE)-AVERAGE('The List'!T2:T671))/STDEV('The List'!T2:T671)</f>
        <v>-0.67357518541464079</v>
      </c>
      <c r="H412" s="55" cm="1">
        <f t="array" ref="H412">(VLOOKUP($A412,'The List'!$B1:$AH671,20,FALSE)-AVERAGE('The List'!U2:U671))/STDEV('The List'!U2:U671)</f>
        <v>-0.82439062658980111</v>
      </c>
      <c r="I412" s="55" cm="1">
        <f t="array" ref="I412">(VLOOKUP($A412,'The List'!$B1:$AH671,21,FALSE)-AVERAGE('The List'!V2:V671))/STDEV('The List'!V2:V671)</f>
        <v>-0.92234717280661849</v>
      </c>
      <c r="J412" s="55" cm="1">
        <f t="array" ref="J412">(VLOOKUP($A412,'The List'!$B1:$AH671,22,FALSE)-AVERAGE('The List'!W2:W671))/STDEV('The List'!W2:W671)</f>
        <v>-0.73853908386105271</v>
      </c>
      <c r="K412" s="55" cm="1">
        <f t="array" ref="K412">(VLOOKUP($A412,'The List'!$B1:$AH671,23,FALSE)-AVERAGE('The List'!X2:X671))/STDEV('The List'!X2:X671)</f>
        <v>-0.80155300200843405</v>
      </c>
      <c r="L412" s="55" cm="1">
        <f t="array" ref="L412">(VLOOKUP($A412,'The List'!$B1:$AH671,24,FALSE)-AVERAGE('The List'!Y2:Y671))/STDEV('The List'!Y2:Y671)</f>
        <v>-0.47546929358800777</v>
      </c>
      <c r="M412" s="55" cm="1">
        <f t="array" ref="M412">(VLOOKUP($A412,'The List'!$B1:$AH671,25,FALSE)-AVERAGE('The List'!Z2:Z671))/STDEV('The List'!Z2:Z671)</f>
        <v>8.4150249278623218E-2</v>
      </c>
      <c r="N412" s="55" cm="1">
        <f t="array" ref="N412">(VLOOKUP($A412,'The List'!$B1:$AH671,26,FALSE)-AVERAGE('The List'!AA2:AA671))/STDEV('The List'!AA2:AA671)</f>
        <v>1.1663595950117238</v>
      </c>
      <c r="O412" s="55" cm="1">
        <f t="array" ref="O412">(VLOOKUP($A412,'The List'!$B1:$AH671,27,FALSE)-AVERAGE('The List'!AB2:AB671))/STDEV('The List'!AB2:AB671)</f>
        <v>0.38747057229252152</v>
      </c>
      <c r="P412" s="55" cm="1">
        <f t="array" ref="P412">(VLOOKUP($A412,'The List'!$B1:$AH671,28,FALSE)-AVERAGE('The List'!AC2:AC671))/STDEV('The List'!AC2:AC671)</f>
        <v>0.18588770408494837</v>
      </c>
      <c r="Q412" s="55" cm="1">
        <f t="array" ref="Q412">(VLOOKUP($A412,'The List'!$B1:$AH671,29,FALSE)-AVERAGE('The List'!AD2:AD671))/STDEV('The List'!AD2:AD671)</f>
        <v>0.8933562225632935</v>
      </c>
      <c r="R412" s="55" cm="1">
        <f t="array" ref="R412">(VLOOKUP($A412,'The List'!$B1:$AH671,30,FALSE)-AVERAGE('The List'!AE2:AE671))/STDEV('The List'!AE2:AE671)</f>
        <v>-0.926551871409795</v>
      </c>
      <c r="S412" s="55" cm="1">
        <f t="array" ref="S412">(VLOOKUP($A412,'The List'!$B1:$AH671,31,FALSE)-AVERAGE('The List'!AF2:AF671))/STDEV('The List'!AF2:AF671)</f>
        <v>-0.59581850454342256</v>
      </c>
      <c r="T412" s="55" cm="1">
        <f t="array" ref="T412">(VLOOKUP($A412,'The List'!$B1:$AH671,32,FALSE)-AVERAGE('The List'!AG2:AG671))/STDEV('The List'!AG2:AG671)</f>
        <v>-0.64684275008198677</v>
      </c>
      <c r="U412" s="55" cm="1">
        <f t="array" ref="U412">(VLOOKUP($A412,'The List'!$B1:$AH671,33,FALSE)-AVERAGE('The List'!AH2:AH671))/STDEV('The List'!AH2:AH671)</f>
        <v>-1.2552626683789523</v>
      </c>
      <c r="V412" s="55"/>
      <c r="W412" s="77"/>
      <c r="X412" s="57"/>
      <c r="Y412" s="57"/>
      <c r="Z412" s="57"/>
      <c r="AA412" s="57"/>
      <c r="AB412" s="57"/>
      <c r="AC412" s="60"/>
      <c r="AD412" s="61"/>
      <c r="AE412" s="55"/>
    </row>
    <row r="413" spans="1:31" ht="21.25" customHeight="1" x14ac:dyDescent="0.15">
      <c r="A413" s="10" t="s">
        <v>713</v>
      </c>
      <c r="B413" s="18" t="str" cm="1">
        <f t="array" ref="B413">VLOOKUP(A413,'Player Data'!A1:B673,2,FALSE)</f>
        <v>CGY</v>
      </c>
      <c r="C413" s="52" cm="1">
        <f t="array" ref="C413">((E413)*Settings!$C$12)+(F413*Settings!$C$2)+(G413*Settings!$C$3)+(H413*Settings!$C$4)+(I413*Settings!$C$5)+(K413*Settings!$C$9)+(N413*Settings!$C$6)+(J413*Settings!$C$8)+(O413*Settings!$C$7)+(P413*Settings!$C$14)+(Q413*Settings!$C$15)+(R413*Settings!$C$16)+(S413*Settings!$C$17)+(T413*Settings!$C$18)+(U413*Settings!$C$19)+(L413*Settings!$C$10)+(Settings!$C$11*M413)</f>
        <v>-1.0808650551433439</v>
      </c>
      <c r="D413" s="57" cm="1">
        <f t="array" ref="D413">IF(Settings!$E$12="YES",VLOOKUP(A413,'Player Data'!A1:E673,5,FALSE),82)</f>
        <v>69</v>
      </c>
      <c r="E413" s="55" cm="1">
        <f t="array" ref="E413">(VLOOKUP($A413,'The List'!$B1:$AH671,17,FALSE)-AVERAGE('The List'!R2:R671))/STDEV('The List'!R2:R671)</f>
        <v>-1.2891393946285115</v>
      </c>
      <c r="F413" s="55" cm="1">
        <f t="array" ref="F413">(VLOOKUP($A413,'The List'!$B1:$AH671,18,FALSE)-AVERAGE('The List'!S2:S671))/STDEV('The List'!S2:S671)</f>
        <v>-0.5461994328182338</v>
      </c>
      <c r="G413" s="55" cm="1">
        <f t="array" ref="G413">(VLOOKUP($A413,'The List'!$B1:$AH671,19,FALSE)-AVERAGE('The List'!T2:T671))/STDEV('The List'!T2:T671)</f>
        <v>-0.83801511320469924</v>
      </c>
      <c r="H413" s="55" cm="1">
        <f t="array" ref="H413">(VLOOKUP($A413,'The List'!$B1:$AH671,20,FALSE)-AVERAGE('The List'!U2:U671))/STDEV('The List'!U2:U671)</f>
        <v>-0.7691316126723744</v>
      </c>
      <c r="I413" s="55" cm="1">
        <f t="array" ref="I413">(VLOOKUP($A413,'The List'!$B1:$AH671,21,FALSE)-AVERAGE('The List'!V2:V671))/STDEV('The List'!V2:V671)</f>
        <v>-0.74162705712485566</v>
      </c>
      <c r="J413" s="55" cm="1">
        <f t="array" ref="J413">(VLOOKUP($A413,'The List'!$B1:$AH671,22,FALSE)-AVERAGE('The List'!W2:W671))/STDEV('The List'!W2:W671)</f>
        <v>-0.73853908386105271</v>
      </c>
      <c r="K413" s="55" cm="1">
        <f t="array" ref="K413">(VLOOKUP($A413,'The List'!$B1:$AH671,23,FALSE)-AVERAGE('The List'!X2:X671))/STDEV('The List'!X2:X671)</f>
        <v>-0.73221237101669456</v>
      </c>
      <c r="L413" s="55" cm="1">
        <f t="array" ref="L413">(VLOOKUP($A413,'The List'!$B1:$AH671,24,FALSE)-AVERAGE('The List'!Y2:Y671))/STDEV('The List'!Y2:Y671)</f>
        <v>-0.47546929358800777</v>
      </c>
      <c r="M413" s="55" cm="1">
        <f t="array" ref="M413">(VLOOKUP($A413,'The List'!$B1:$AH671,25,FALSE)-AVERAGE('The List'!Z2:Z671))/STDEV('The List'!Z2:Z671)</f>
        <v>-0.64388478613809508</v>
      </c>
      <c r="N413" s="55" cm="1">
        <f t="array" ref="N413">(VLOOKUP($A413,'The List'!$B1:$AH671,26,FALSE)-AVERAGE('The List'!AA2:AA671))/STDEV('The List'!AA2:AA671)</f>
        <v>-0.42458686683288988</v>
      </c>
      <c r="O413" s="55" cm="1">
        <f t="array" ref="O413">(VLOOKUP($A413,'The List'!$B1:$AH671,27,FALSE)-AVERAGE('The List'!AB2:AB671))/STDEV('The List'!AB2:AB671)</f>
        <v>3.3796722202739247</v>
      </c>
      <c r="P413" s="55" cm="1">
        <f t="array" ref="P413">(VLOOKUP($A413,'The List'!$B1:$AH671,28,FALSE)-AVERAGE('The List'!AC2:AC671))/STDEV('The List'!AC2:AC671)</f>
        <v>-1.6024833012527853</v>
      </c>
      <c r="Q413" s="55" cm="1">
        <f t="array" ref="Q413">(VLOOKUP($A413,'The List'!$B1:$AH671,29,FALSE)-AVERAGE('The List'!AD2:AD671))/STDEV('The List'!AD2:AD671)</f>
        <v>1.6026464205191895</v>
      </c>
      <c r="R413" s="55" cm="1">
        <f t="array" ref="R413">(VLOOKUP($A413,'The List'!$B1:$AH671,30,FALSE)-AVERAGE('The List'!AE2:AE671))/STDEV('The List'!AE2:AE671)</f>
        <v>-0.48365465311947836</v>
      </c>
      <c r="S413" s="55" cm="1">
        <f t="array" ref="S413">(VLOOKUP($A413,'The List'!$B1:$AH671,31,FALSE)-AVERAGE('The List'!AF2:AF671))/STDEV('The List'!AF2:AF671)</f>
        <v>-0.53942389767311727</v>
      </c>
      <c r="T413" s="55" cm="1">
        <f t="array" ref="T413">(VLOOKUP($A413,'The List'!$B1:$AH671,32,FALSE)-AVERAGE('The List'!AG2:AG671))/STDEV('The List'!AG2:AG671)</f>
        <v>-0.52007491698084118</v>
      </c>
      <c r="U413" s="55" cm="1">
        <f t="array" ref="U413">(VLOOKUP($A413,'The List'!$B1:$AH671,33,FALSE)-AVERAGE('The List'!AH2:AH671))/STDEV('The List'!AH2:AH671)</f>
        <v>0.21671251848714493</v>
      </c>
      <c r="V413" s="55"/>
      <c r="W413" s="77"/>
      <c r="X413" s="57"/>
      <c r="Y413" s="57"/>
      <c r="Z413" s="57"/>
      <c r="AA413" s="57"/>
      <c r="AB413" s="57"/>
      <c r="AC413" s="60"/>
      <c r="AD413" s="61"/>
      <c r="AE413" s="55"/>
    </row>
    <row r="414" spans="1:31" ht="21.25" customHeight="1" x14ac:dyDescent="0.15">
      <c r="A414" s="10" t="s">
        <v>384</v>
      </c>
      <c r="B414" s="18" t="str" cm="1">
        <f t="array" ref="B414">VLOOKUP(A414,'Player Data'!A1:B673,2,FALSE)</f>
        <v>NYR</v>
      </c>
      <c r="C414" s="52" cm="1">
        <f t="array" ref="C414">((E414)*Settings!$C$12)+(F414*Settings!$C$2)+(G414*Settings!$C$3)+(H414*Settings!$C$4)+(I414*Settings!$C$5)+(K414*Settings!$C$9)+(N414*Settings!$C$6)+(J414*Settings!$C$8)+(O414*Settings!$C$7)+(P414*Settings!$C$14)+(Q414*Settings!$C$15)+(R414*Settings!$C$16)+(S414*Settings!$C$17)+(T414*Settings!$C$18)+(U414*Settings!$C$19)+(L414*Settings!$C$10)+(Settings!$C$11*M414)</f>
        <v>-3.2624244310454209</v>
      </c>
      <c r="D414" s="57" cm="1">
        <f t="array" ref="D414">IF(Settings!$E$12="YES",VLOOKUP(A414,'Player Data'!A1:E673,5,FALSE),82)</f>
        <v>83</v>
      </c>
      <c r="E414" s="55" cm="1">
        <f t="array" ref="E414">(VLOOKUP($A414,'The List'!$B1:$AH671,17,FALSE)-AVERAGE('The List'!R2:R671))/STDEV('The List'!R2:R671)</f>
        <v>1.045518411015834</v>
      </c>
      <c r="F414" s="55" cm="1">
        <f t="array" ref="F414">(VLOOKUP($A414,'The List'!$B1:$AH671,18,FALSE)-AVERAGE('The List'!S2:S671))/STDEV('The List'!S2:S671)</f>
        <v>-1.0411773255959438</v>
      </c>
      <c r="G414" s="55" cm="1">
        <f t="array" ref="G414">(VLOOKUP($A414,'The List'!$B1:$AH671,19,FALSE)-AVERAGE('The List'!T2:T671))/STDEV('The List'!T2:T671)</f>
        <v>-0.26247536593949489</v>
      </c>
      <c r="H414" s="55" cm="1">
        <f t="array" ref="H414">(VLOOKUP($A414,'The List'!$B1:$AH671,20,FALSE)-AVERAGE('The List'!U2:U671))/STDEV('The List'!U2:U671)</f>
        <v>-0.62634232070974338</v>
      </c>
      <c r="I414" s="55" cm="1">
        <f t="array" ref="I414">(VLOOKUP($A414,'The List'!$B1:$AH671,21,FALSE)-AVERAGE('The List'!V2:V671))/STDEV('The List'!V2:V671)</f>
        <v>-0.95085464803366526</v>
      </c>
      <c r="J414" s="55" cm="1">
        <f t="array" ref="J414">(VLOOKUP($A414,'The List'!$B1:$AH671,22,FALSE)-AVERAGE('The List'!W2:W671))/STDEV('The List'!W2:W671)</f>
        <v>-0.73853908386105271</v>
      </c>
      <c r="K414" s="55" cm="1">
        <f t="array" ref="K414">(VLOOKUP($A414,'The List'!$B1:$AH671,23,FALSE)-AVERAGE('The List'!X2:X671))/STDEV('The List'!X2:X671)</f>
        <v>-0.80155300200843405</v>
      </c>
      <c r="L414" s="55" cm="1">
        <f t="array" ref="L414">(VLOOKUP($A414,'The List'!$B1:$AH671,24,FALSE)-AVERAGE('The List'!Y2:Y671))/STDEV('The List'!Y2:Y671)</f>
        <v>-0.47546929358800777</v>
      </c>
      <c r="M414" s="55" cm="1">
        <f t="array" ref="M414">(VLOOKUP($A414,'The List'!$B1:$AH671,25,FALSE)-AVERAGE('The List'!Z2:Z671))/STDEV('The List'!Z2:Z671)</f>
        <v>-0.64388478613809508</v>
      </c>
      <c r="N414" s="55" cm="1">
        <f t="array" ref="N414">(VLOOKUP($A414,'The List'!$B1:$AH671,26,FALSE)-AVERAGE('The List'!AA2:AA671))/STDEV('The List'!AA2:AA671)</f>
        <v>1.9172638489566849</v>
      </c>
      <c r="O414" s="55" cm="1">
        <f t="array" ref="O414">(VLOOKUP($A414,'The List'!$B1:$AH671,27,FALSE)-AVERAGE('The List'!AB2:AB671))/STDEV('The List'!AB2:AB671)</f>
        <v>-0.10142446986926822</v>
      </c>
      <c r="P414" s="55" cm="1">
        <f t="array" ref="P414">(VLOOKUP($A414,'The List'!$B1:$AH671,28,FALSE)-AVERAGE('The List'!AC2:AC671))/STDEV('The List'!AC2:AC671)</f>
        <v>-0.1049396195986151</v>
      </c>
      <c r="Q414" s="55" cm="1">
        <f t="array" ref="Q414">(VLOOKUP($A414,'The List'!$B1:$AH671,29,FALSE)-AVERAGE('The List'!AD2:AD671))/STDEV('The List'!AD2:AD671)</f>
        <v>1.2443071017602212</v>
      </c>
      <c r="R414" s="55" cm="1">
        <f t="array" ref="R414">(VLOOKUP($A414,'The List'!$B1:$AH671,30,FALSE)-AVERAGE('The List'!AE2:AE671))/STDEV('The List'!AE2:AE671)</f>
        <v>-0.82674404756972364</v>
      </c>
      <c r="S414" s="55" cm="1">
        <f t="array" ref="S414">(VLOOKUP($A414,'The List'!$B1:$AH671,31,FALSE)-AVERAGE('The List'!AF2:AF671))/STDEV('The List'!AF2:AF671)</f>
        <v>-0.59581850454342256</v>
      </c>
      <c r="T414" s="55" cm="1">
        <f t="array" ref="T414">(VLOOKUP($A414,'The List'!$B1:$AH671,32,FALSE)-AVERAGE('The List'!AG2:AG671))/STDEV('The List'!AG2:AG671)</f>
        <v>-0.64684275008198677</v>
      </c>
      <c r="U414" s="55" cm="1">
        <f t="array" ref="U414">(VLOOKUP($A414,'The List'!$B1:$AH671,33,FALSE)-AVERAGE('The List'!AH2:AH671))/STDEV('The List'!AH2:AH671)</f>
        <v>-1.2552626683789523</v>
      </c>
      <c r="V414" s="55"/>
      <c r="W414" s="77"/>
      <c r="X414" s="57"/>
      <c r="Y414" s="57"/>
      <c r="Z414" s="57"/>
      <c r="AA414" s="57"/>
      <c r="AB414" s="57"/>
      <c r="AC414" s="60"/>
      <c r="AD414" s="61"/>
      <c r="AE414" s="55"/>
    </row>
    <row r="415" spans="1:31" ht="21.25" customHeight="1" x14ac:dyDescent="0.15">
      <c r="A415" s="10" t="s">
        <v>467</v>
      </c>
      <c r="B415" s="18" t="str" cm="1">
        <f t="array" ref="B415">VLOOKUP(A415,'Player Data'!A1:B673,2,FALSE)</f>
        <v>PIT</v>
      </c>
      <c r="C415" s="52" cm="1">
        <f t="array" ref="C415">((E415)*Settings!$C$12)+(F415*Settings!$C$2)+(G415*Settings!$C$3)+(H415*Settings!$C$4)+(I415*Settings!$C$5)+(K415*Settings!$C$9)+(N415*Settings!$C$6)+(J415*Settings!$C$8)+(O415*Settings!$C$7)+(P415*Settings!$C$14)+(Q415*Settings!$C$15)+(R415*Settings!$C$16)+(S415*Settings!$C$17)+(T415*Settings!$C$18)+(U415*Settings!$C$19)+(L415*Settings!$C$10)+(Settings!$C$11*M415)</f>
        <v>-4.0806952016364137</v>
      </c>
      <c r="D415" s="57" cm="1">
        <f t="array" ref="D415">IF(Settings!$E$12="YES",VLOOKUP(A415,'Player Data'!A1:E673,5,FALSE),82)</f>
        <v>77</v>
      </c>
      <c r="E415" s="55" cm="1">
        <f t="array" ref="E415">(VLOOKUP($A415,'The List'!$B1:$AH671,17,FALSE)-AVERAGE('The List'!R2:R671))/STDEV('The List'!R2:R671)</f>
        <v>0.38971565662135493</v>
      </c>
      <c r="F415" s="55" cm="1">
        <f t="array" ref="F415">(VLOOKUP($A415,'The List'!$B1:$AH671,18,FALSE)-AVERAGE('The List'!S2:S671))/STDEV('The List'!S2:S671)</f>
        <v>-1.0651278687948651</v>
      </c>
      <c r="G415" s="55" cm="1">
        <f t="array" ref="G415">(VLOOKUP($A415,'The List'!$B1:$AH671,19,FALSE)-AVERAGE('The List'!T2:T671))/STDEV('The List'!T2:T671)</f>
        <v>-0.36366916765645374</v>
      </c>
      <c r="H415" s="55" cm="1">
        <f t="array" ref="H415">(VLOOKUP($A415,'The List'!$B1:$AH671,20,FALSE)-AVERAGE('The List'!U2:U671))/STDEV('The List'!U2:U671)</f>
        <v>-0.70061043541476486</v>
      </c>
      <c r="I415" s="55" cm="1">
        <f t="array" ref="I415">(VLOOKUP($A415,'The List'!$B1:$AH671,21,FALSE)-AVERAGE('The List'!V2:V671))/STDEV('The List'!V2:V671)</f>
        <v>-0.9867913440774575</v>
      </c>
      <c r="J415" s="55" cm="1">
        <f t="array" ref="J415">(VLOOKUP($A415,'The List'!$B1:$AH671,22,FALSE)-AVERAGE('The List'!W2:W671))/STDEV('The List'!W2:W671)</f>
        <v>-0.73853908386105271</v>
      </c>
      <c r="K415" s="55" cm="1">
        <f t="array" ref="K415">(VLOOKUP($A415,'The List'!$B1:$AH671,23,FALSE)-AVERAGE('The List'!X2:X671))/STDEV('The List'!X2:X671)</f>
        <v>-0.80155300200843405</v>
      </c>
      <c r="L415" s="55" cm="1">
        <f t="array" ref="L415">(VLOOKUP($A415,'The List'!$B1:$AH671,24,FALSE)-AVERAGE('The List'!Y2:Y671))/STDEV('The List'!Y2:Y671)</f>
        <v>-0.47546929358800777</v>
      </c>
      <c r="M415" s="55" cm="1">
        <f t="array" ref="M415">(VLOOKUP($A415,'The List'!$B1:$AH671,25,FALSE)-AVERAGE('The List'!Z2:Z671))/STDEV('The List'!Z2:Z671)</f>
        <v>-0.64388478613809508</v>
      </c>
      <c r="N415" s="55" cm="1">
        <f t="array" ref="N415">(VLOOKUP($A415,'The List'!$B1:$AH671,26,FALSE)-AVERAGE('The List'!AA2:AA671))/STDEV('The List'!AA2:AA671)</f>
        <v>0.7370160402901319</v>
      </c>
      <c r="O415" s="55" cm="1">
        <f t="array" ref="O415">(VLOOKUP($A415,'The List'!$B1:$AH671,27,FALSE)-AVERAGE('The List'!AB2:AB671))/STDEV('The List'!AB2:AB671)</f>
        <v>-0.75861419950058828</v>
      </c>
      <c r="P415" s="55" cm="1">
        <f t="array" ref="P415">(VLOOKUP($A415,'The List'!$B1:$AH671,28,FALSE)-AVERAGE('The List'!AC2:AC671))/STDEV('The List'!AC2:AC671)</f>
        <v>-0.1049396195986151</v>
      </c>
      <c r="Q415" s="55" cm="1">
        <f t="array" ref="Q415">(VLOOKUP($A415,'The List'!$B1:$AH671,29,FALSE)-AVERAGE('The List'!AD2:AD671))/STDEV('The List'!AD2:AD671)</f>
        <v>-0.72397319756739031</v>
      </c>
      <c r="R415" s="55" cm="1">
        <f t="array" ref="R415">(VLOOKUP($A415,'The List'!$B1:$AH671,30,FALSE)-AVERAGE('The List'!AE2:AE671))/STDEV('The List'!AE2:AE671)</f>
        <v>-0.86417198150975039</v>
      </c>
      <c r="S415" s="55" cm="1">
        <f t="array" ref="S415">(VLOOKUP($A415,'The List'!$B1:$AH671,31,FALSE)-AVERAGE('The List'!AF2:AF671))/STDEV('The List'!AF2:AF671)</f>
        <v>-0.59581850454342256</v>
      </c>
      <c r="T415" s="55" cm="1">
        <f t="array" ref="T415">(VLOOKUP($A415,'The List'!$B1:$AH671,32,FALSE)-AVERAGE('The List'!AG2:AG671))/STDEV('The List'!AG2:AG671)</f>
        <v>-0.64684275008198677</v>
      </c>
      <c r="U415" s="55" cm="1">
        <f t="array" ref="U415">(VLOOKUP($A415,'The List'!$B1:$AH671,33,FALSE)-AVERAGE('The List'!AH2:AH671))/STDEV('The List'!AH2:AH671)</f>
        <v>-1.2552626683789523</v>
      </c>
      <c r="V415" s="55"/>
      <c r="W415" s="77"/>
      <c r="X415" s="57"/>
      <c r="Y415" s="57"/>
      <c r="Z415" s="57"/>
      <c r="AA415" s="57"/>
      <c r="AB415" s="57"/>
      <c r="AC415" s="60"/>
      <c r="AD415" s="61"/>
      <c r="AE415" s="55"/>
    </row>
    <row r="416" spans="1:31" ht="21.25" customHeight="1" x14ac:dyDescent="0.15">
      <c r="A416" s="10" t="s">
        <v>393</v>
      </c>
      <c r="B416" s="18" t="str" cm="1">
        <f t="array" ref="B416">VLOOKUP(A416,'Player Data'!A1:B673,2,FALSE)</f>
        <v>OTT</v>
      </c>
      <c r="C416" s="52" cm="1">
        <f t="array" ref="C416">((E416)*Settings!$C$12)+(F416*Settings!$C$2)+(G416*Settings!$C$3)+(H416*Settings!$C$4)+(I416*Settings!$C$5)+(K416*Settings!$C$9)+(N416*Settings!$C$6)+(J416*Settings!$C$8)+(O416*Settings!$C$7)+(P416*Settings!$C$14)+(Q416*Settings!$C$15)+(R416*Settings!$C$16)+(S416*Settings!$C$17)+(T416*Settings!$C$18)+(U416*Settings!$C$19)+(L416*Settings!$C$10)+(Settings!$C$11*M416)</f>
        <v>-2.547194612210478</v>
      </c>
      <c r="D416" s="57" cm="1">
        <f t="array" ref="D416">IF(Settings!$E$12="YES",VLOOKUP(A416,'Player Data'!A1:E673,5,FALSE),82)</f>
        <v>79</v>
      </c>
      <c r="E416" s="55" cm="1">
        <f t="array" ref="E416">(VLOOKUP($A416,'The List'!$B1:$AH671,17,FALSE)-AVERAGE('The List'!R2:R671))/STDEV('The List'!R2:R671)</f>
        <v>1.045518411015834</v>
      </c>
      <c r="F416" s="55" cm="1">
        <f t="array" ref="F416">(VLOOKUP($A416,'The List'!$B1:$AH671,18,FALSE)-AVERAGE('The List'!S2:S671))/STDEV('The List'!S2:S671)</f>
        <v>-1.0571443543952246</v>
      </c>
      <c r="G416" s="55" cm="1">
        <f t="array" ref="G416">(VLOOKUP($A416,'The List'!$B1:$AH671,19,FALSE)-AVERAGE('The List'!T2:T671))/STDEV('The List'!T2:T671)</f>
        <v>-0.27442185641996908</v>
      </c>
      <c r="H416" s="55" cm="1">
        <f t="array" ref="H416">(VLOOKUP($A416,'The List'!$B1:$AH671,20,FALSE)-AVERAGE('The List'!U2:U671))/STDEV('The List'!U2:U671)</f>
        <v>-0.64093070038394395</v>
      </c>
      <c r="I416" s="55" cm="1">
        <f t="array" ref="I416">(VLOOKUP($A416,'The List'!$B1:$AH671,21,FALSE)-AVERAGE('The List'!V2:V671))/STDEV('The List'!V2:V671)</f>
        <v>-0.7646058098836267</v>
      </c>
      <c r="J416" s="55" cm="1">
        <f t="array" ref="J416">(VLOOKUP($A416,'The List'!$B1:$AH671,22,FALSE)-AVERAGE('The List'!W2:W671))/STDEV('The List'!W2:W671)</f>
        <v>-0.73853908386105271</v>
      </c>
      <c r="K416" s="55" cm="1">
        <f t="array" ref="K416">(VLOOKUP($A416,'The List'!$B1:$AH671,23,FALSE)-AVERAGE('The List'!X2:X671))/STDEV('The List'!X2:X671)</f>
        <v>-0.80155300200843405</v>
      </c>
      <c r="L416" s="55" cm="1">
        <f t="array" ref="L416">(VLOOKUP($A416,'The List'!$B1:$AH671,24,FALSE)-AVERAGE('The List'!Y2:Y671))/STDEV('The List'!Y2:Y671)</f>
        <v>-0.47546929358800777</v>
      </c>
      <c r="M416" s="55" cm="1">
        <f t="array" ref="M416">(VLOOKUP($A416,'The List'!$B1:$AH671,25,FALSE)-AVERAGE('The List'!Z2:Z671))/STDEV('The List'!Z2:Z671)</f>
        <v>0.21454458398012499</v>
      </c>
      <c r="N416" s="55" cm="1">
        <f t="array" ref="N416">(VLOOKUP($A416,'The List'!$B1:$AH671,26,FALSE)-AVERAGE('The List'!AA2:AA671))/STDEV('The List'!AA2:AA671)</f>
        <v>1.6457634333296469</v>
      </c>
      <c r="O416" s="55" cm="1">
        <f t="array" ref="O416">(VLOOKUP($A416,'The List'!$B1:$AH671,27,FALSE)-AVERAGE('The List'!AB2:AB671))/STDEV('The List'!AB2:AB671)</f>
        <v>-0.2303615690389815</v>
      </c>
      <c r="P416" s="55" cm="1">
        <f t="array" ref="P416">(VLOOKUP($A416,'The List'!$B1:$AH671,28,FALSE)-AVERAGE('The List'!AC2:AC671))/STDEV('The List'!AC2:AC671)</f>
        <v>0.58089197953575833</v>
      </c>
      <c r="Q416" s="55" cm="1">
        <f t="array" ref="Q416">(VLOOKUP($A416,'The List'!$B1:$AH671,29,FALSE)-AVERAGE('The List'!AD2:AD671))/STDEV('The List'!AD2:AD671)</f>
        <v>1.128308600636184</v>
      </c>
      <c r="R416" s="55" cm="1">
        <f t="array" ref="R416">(VLOOKUP($A416,'The List'!$B1:$AH671,30,FALSE)-AVERAGE('The List'!AE2:AE671))/STDEV('The List'!AE2:AE671)</f>
        <v>-0.85169600352974151</v>
      </c>
      <c r="S416" s="55" cm="1">
        <f t="array" ref="S416">(VLOOKUP($A416,'The List'!$B1:$AH671,31,FALSE)-AVERAGE('The List'!AF2:AF671))/STDEV('The List'!AF2:AF671)</f>
        <v>-0.59581850454342256</v>
      </c>
      <c r="T416" s="55" cm="1">
        <f t="array" ref="T416">(VLOOKUP($A416,'The List'!$B1:$AH671,32,FALSE)-AVERAGE('The List'!AG2:AG671))/STDEV('The List'!AG2:AG671)</f>
        <v>-0.64684275008198677</v>
      </c>
      <c r="U416" s="55" cm="1">
        <f t="array" ref="U416">(VLOOKUP($A416,'The List'!$B1:$AH671,33,FALSE)-AVERAGE('The List'!AH2:AH671))/STDEV('The List'!AH2:AH671)</f>
        <v>-1.2552626683789523</v>
      </c>
      <c r="V416" s="55"/>
      <c r="W416" s="77"/>
      <c r="X416" s="57"/>
      <c r="Y416" s="57"/>
      <c r="Z416" s="57"/>
      <c r="AA416" s="57"/>
      <c r="AB416" s="57"/>
      <c r="AC416" s="60"/>
      <c r="AD416" s="61"/>
      <c r="AE416" s="55"/>
    </row>
    <row r="417" spans="1:31" ht="21.25" customHeight="1" x14ac:dyDescent="0.15">
      <c r="A417" s="10" t="s">
        <v>707</v>
      </c>
      <c r="B417" s="18" t="str" cm="1">
        <f t="array" ref="B417">VLOOKUP(A417,'Player Data'!A1:B673,2,FALSE)</f>
        <v>L.A</v>
      </c>
      <c r="C417" s="52" cm="1">
        <f t="array" ref="C417">((E417)*Settings!$C$12)+(F417*Settings!$C$2)+(G417*Settings!$C$3)+(H417*Settings!$C$4)+(I417*Settings!$C$5)+(K417*Settings!$C$9)+(N417*Settings!$C$6)+(J417*Settings!$C$8)+(O417*Settings!$C$7)+(P417*Settings!$C$14)+(Q417*Settings!$C$15)+(R417*Settings!$C$16)+(S417*Settings!$C$17)+(T417*Settings!$C$18)+(U417*Settings!$C$19)+(L417*Settings!$C$10)+(Settings!$C$11*M417)</f>
        <v>-3.1771374448866836</v>
      </c>
      <c r="D417" s="57" cm="1">
        <f t="array" ref="D417">IF(Settings!$E$12="YES",VLOOKUP(A417,'Player Data'!A1:E673,5,FALSE),82)</f>
        <v>79</v>
      </c>
      <c r="E417" s="55" cm="1">
        <f t="array" ref="E417">(VLOOKUP($A417,'The List'!$B1:$AH671,17,FALSE)-AVERAGE('The List'!R2:R671))/STDEV('The List'!R2:R671)</f>
        <v>-1.4727641658589659</v>
      </c>
      <c r="F417" s="55" cm="1">
        <f t="array" ref="F417">(VLOOKUP($A417,'The List'!$B1:$AH671,18,FALSE)-AVERAGE('The List'!S2:S671))/STDEV('The List'!S2:S671)</f>
        <v>-0.18993510273427724</v>
      </c>
      <c r="G417" s="55" cm="1">
        <f t="array" ref="G417">(VLOOKUP($A417,'The List'!$B1:$AH671,19,FALSE)-AVERAGE('The List'!T2:T671))/STDEV('The List'!T2:T671)</f>
        <v>-0.94061438438994949</v>
      </c>
      <c r="H417" s="55" cm="1">
        <f t="array" ref="H417">(VLOOKUP($A417,'The List'!$B1:$AH671,20,FALSE)-AVERAGE('The List'!U2:U671))/STDEV('The List'!U2:U671)</f>
        <v>-0.67585439717975793</v>
      </c>
      <c r="I417" s="55" cm="1">
        <f t="array" ref="I417">(VLOOKUP($A417,'The List'!$B1:$AH671,21,FALSE)-AVERAGE('The List'!V2:V671))/STDEV('The List'!V2:V671)</f>
        <v>-0.62811547394806977</v>
      </c>
      <c r="J417" s="55" cm="1">
        <f t="array" ref="J417">(VLOOKUP($A417,'The List'!$B1:$AH671,22,FALSE)-AVERAGE('The List'!W2:W671))/STDEV('The List'!W2:W671)</f>
        <v>-0.30214800105143319</v>
      </c>
      <c r="K417" s="55" cm="1">
        <f t="array" ref="K417">(VLOOKUP($A417,'The List'!$B1:$AH671,23,FALSE)-AVERAGE('The List'!X2:X671))/STDEV('The List'!X2:X671)</f>
        <v>-0.48399301079988821</v>
      </c>
      <c r="L417" s="55" cm="1">
        <f t="array" ref="L417">(VLOOKUP($A417,'The List'!$B1:$AH671,24,FALSE)-AVERAGE('The List'!Y2:Y671))/STDEV('The List'!Y2:Y671)</f>
        <v>-0.47546929358800777</v>
      </c>
      <c r="M417" s="55" cm="1">
        <f t="array" ref="M417">(VLOOKUP($A417,'The List'!$B1:$AH671,25,FALSE)-AVERAGE('The List'!Z2:Z671))/STDEV('The List'!Z2:Z671)</f>
        <v>-0.64388478613809508</v>
      </c>
      <c r="N417" s="55" cm="1">
        <f t="array" ref="N417">(VLOOKUP($A417,'The List'!$B1:$AH671,26,FALSE)-AVERAGE('The List'!AA2:AA671))/STDEV('The List'!AA2:AA671)</f>
        <v>-1.0176479816832984</v>
      </c>
      <c r="O417" s="55" cm="1">
        <f t="array" ref="O417">(VLOOKUP($A417,'The List'!$B1:$AH671,27,FALSE)-AVERAGE('The List'!AB2:AB671))/STDEV('The List'!AB2:AB671)</f>
        <v>-0.82953985341588365</v>
      </c>
      <c r="P417" s="55" cm="1">
        <f t="array" ref="P417">(VLOOKUP($A417,'The List'!$B1:$AH671,28,FALSE)-AVERAGE('The List'!AC2:AC671))/STDEV('The List'!AC2:AC671)</f>
        <v>-0.1049396195986151</v>
      </c>
      <c r="Q417" s="55" cm="1">
        <f t="array" ref="Q417">(VLOOKUP($A417,'The List'!$B1:$AH671,29,FALSE)-AVERAGE('The List'!AD2:AD671))/STDEV('The List'!AD2:AD671)</f>
        <v>0.83646523793558125</v>
      </c>
      <c r="R417" s="55" cm="1">
        <f t="array" ref="R417">(VLOOKUP($A417,'The List'!$B1:$AH671,30,FALSE)-AVERAGE('The List'!AE2:AE671))/STDEV('The List'!AE2:AE671)</f>
        <v>-0.35889487331938924</v>
      </c>
      <c r="S417" s="55" cm="1">
        <f t="array" ref="S417">(VLOOKUP($A417,'The List'!$B1:$AH671,31,FALSE)-AVERAGE('The List'!AF2:AF671))/STDEV('The List'!AF2:AF671)</f>
        <v>-0.56163558426653681</v>
      </c>
      <c r="T417" s="55" cm="1">
        <f t="array" ref="T417">(VLOOKUP($A417,'The List'!$B1:$AH671,32,FALSE)-AVERAGE('The List'!AG2:AG671))/STDEV('The List'!AG2:AG671)</f>
        <v>-0.55814609391057335</v>
      </c>
      <c r="U417" s="55" cm="1">
        <f t="array" ref="U417">(VLOOKUP($A417,'The List'!$B1:$AH671,33,FALSE)-AVERAGE('The List'!AH2:AH671))/STDEV('The List'!AH2:AH671)</f>
        <v>7.8714844718448196E-2</v>
      </c>
      <c r="V417" s="55"/>
      <c r="W417" s="77"/>
      <c r="X417" s="57"/>
      <c r="Y417" s="57"/>
      <c r="Z417" s="57"/>
      <c r="AA417" s="57"/>
      <c r="AB417" s="57"/>
      <c r="AC417" s="60"/>
      <c r="AD417" s="61"/>
      <c r="AE417" s="55"/>
    </row>
    <row r="418" spans="1:31" ht="21.25" customHeight="1" x14ac:dyDescent="0.15">
      <c r="A418" s="10" t="s">
        <v>764</v>
      </c>
      <c r="B418" s="18" t="str" cm="1">
        <f t="array" ref="B418">VLOOKUP(A418,'Player Data'!A1:B673,2,FALSE)</f>
        <v>EDM</v>
      </c>
      <c r="C418" s="52" cm="1">
        <f t="array" ref="C418">((E418)*Settings!$C$12)+(F418*Settings!$C$2)+(G418*Settings!$C$3)+(H418*Settings!$C$4)+(I418*Settings!$C$5)+(K418*Settings!$C$9)+(N418*Settings!$C$6)+(J418*Settings!$C$8)+(O418*Settings!$C$7)+(P418*Settings!$C$14)+(Q418*Settings!$C$15)+(R418*Settings!$C$16)+(S418*Settings!$C$17)+(T418*Settings!$C$18)+(U418*Settings!$C$19)+(L418*Settings!$C$10)+(Settings!$C$11*M418)</f>
        <v>-3.1544924011314275</v>
      </c>
      <c r="D418" s="57" cm="1">
        <f t="array" ref="D418">IF(Settings!$E$12="YES",VLOOKUP(A418,'Player Data'!A1:E673,5,FALSE),82)</f>
        <v>60</v>
      </c>
      <c r="E418" s="55" cm="1">
        <f t="array" ref="E418">(VLOOKUP($A418,'The List'!$B1:$AH671,17,FALSE)-AVERAGE('The List'!R2:R671))/STDEV('The List'!R2:R671)</f>
        <v>-1.1317467335738367</v>
      </c>
      <c r="F418" s="55" cm="1">
        <f t="array" ref="F418">(VLOOKUP($A418,'The List'!$B1:$AH671,18,FALSE)-AVERAGE('The List'!S2:S671))/STDEV('The List'!S2:S671)</f>
        <v>-0.59410051921607654</v>
      </c>
      <c r="G418" s="55" cm="1">
        <f t="array" ref="G418">(VLOOKUP($A418,'The List'!$B1:$AH671,19,FALSE)-AVERAGE('The List'!T2:T671))/STDEV('The List'!T2:T671)</f>
        <v>-0.9876976115777012</v>
      </c>
      <c r="H418" s="55" cm="1">
        <f t="array" ref="H418">(VLOOKUP($A418,'The List'!$B1:$AH671,20,FALSE)-AVERAGE('The List'!U2:U671))/STDEV('The List'!U2:U671)</f>
        <v>-0.88451243373196164</v>
      </c>
      <c r="I418" s="55" cm="1">
        <f t="array" ref="I418">(VLOOKUP($A418,'The List'!$B1:$AH671,21,FALSE)-AVERAGE('The List'!V2:V671))/STDEV('The List'!V2:V671)</f>
        <v>-1.334064224116027</v>
      </c>
      <c r="J418" s="55" cm="1">
        <f t="array" ref="J418">(VLOOKUP($A418,'The List'!$B1:$AH671,22,FALSE)-AVERAGE('The List'!W2:W671))/STDEV('The List'!W2:W671)</f>
        <v>-0.73853908386105271</v>
      </c>
      <c r="K418" s="55" cm="1">
        <f t="array" ref="K418">(VLOOKUP($A418,'The List'!$B1:$AH671,23,FALSE)-AVERAGE('The List'!X2:X671))/STDEV('The List'!X2:X671)</f>
        <v>-0.80155300200843405</v>
      </c>
      <c r="L418" s="55" cm="1">
        <f t="array" ref="L418">(VLOOKUP($A418,'The List'!$B1:$AH671,24,FALSE)-AVERAGE('The List'!Y2:Y671))/STDEV('The List'!Y2:Y671)</f>
        <v>-0.47546929358800777</v>
      </c>
      <c r="M418" s="55" cm="1">
        <f t="array" ref="M418">(VLOOKUP($A418,'The List'!$B1:$AH671,25,FALSE)-AVERAGE('The List'!Z2:Z671))/STDEV('The List'!Z2:Z671)</f>
        <v>-0.64388478613809508</v>
      </c>
      <c r="N418" s="55" cm="1">
        <f t="array" ref="N418">(VLOOKUP($A418,'The List'!$B1:$AH671,26,FALSE)-AVERAGE('The List'!AA2:AA671))/STDEV('The List'!AA2:AA671)</f>
        <v>-0.71881873776642591</v>
      </c>
      <c r="O418" s="55" cm="1">
        <f t="array" ref="O418">(VLOOKUP($A418,'The List'!$B1:$AH671,27,FALSE)-AVERAGE('The List'!AB2:AB671))/STDEV('The List'!AB2:AB671)</f>
        <v>-0.24368575257798186</v>
      </c>
      <c r="P418" s="55" cm="1">
        <f t="array" ref="P418">(VLOOKUP($A418,'The List'!$B1:$AH671,28,FALSE)-AVERAGE('The List'!AC2:AC671))/STDEV('The List'!AC2:AC671)</f>
        <v>0.8066087083647927</v>
      </c>
      <c r="Q418" s="55" cm="1">
        <f t="array" ref="Q418">(VLOOKUP($A418,'The List'!$B1:$AH671,29,FALSE)-AVERAGE('The List'!AD2:AD671))/STDEV('The List'!AD2:AD671)</f>
        <v>-0.99956199323150385</v>
      </c>
      <c r="R418" s="55" cm="1">
        <f t="array" ref="R418">(VLOOKUP($A418,'The List'!$B1:$AH671,30,FALSE)-AVERAGE('The List'!AE2:AE671))/STDEV('The List'!AE2:AE671)</f>
        <v>-0.59593845493955866</v>
      </c>
      <c r="S418" s="55" cm="1">
        <f t="array" ref="S418">(VLOOKUP($A418,'The List'!$B1:$AH671,31,FALSE)-AVERAGE('The List'!AF2:AF671))/STDEV('The List'!AF2:AF671)</f>
        <v>0.17149430504743152</v>
      </c>
      <c r="T418" s="55" cm="1">
        <f t="array" ref="T418">(VLOOKUP($A418,'The List'!$B1:$AH671,32,FALSE)-AVERAGE('The List'!AG2:AG671))/STDEV('The List'!AG2:AG671)</f>
        <v>0.22889638680032259</v>
      </c>
      <c r="U418" s="55" cm="1">
        <f t="array" ref="U418">(VLOOKUP($A418,'The List'!$B1:$AH671,33,FALSE)-AVERAGE('The List'!AH2:AH671))/STDEV('The List'!AH2:AH671)</f>
        <v>0.95270011192019333</v>
      </c>
      <c r="V418" s="55"/>
      <c r="W418" s="77"/>
      <c r="X418" s="57"/>
      <c r="Y418" s="57"/>
      <c r="Z418" s="57"/>
      <c r="AA418" s="57"/>
      <c r="AB418" s="57"/>
      <c r="AC418" s="60"/>
      <c r="AD418" s="61"/>
      <c r="AE418" s="55"/>
    </row>
    <row r="419" spans="1:31" ht="21.25" customHeight="1" x14ac:dyDescent="0.15">
      <c r="A419" s="10" t="s">
        <v>402</v>
      </c>
      <c r="B419" s="18" t="str" cm="1">
        <f t="array" ref="B419">VLOOKUP(A419,'Player Data'!A1:B673,2,FALSE)</f>
        <v>S.J</v>
      </c>
      <c r="C419" s="52" cm="1">
        <f t="array" ref="C419">((E419)*Settings!$C$12)+(F419*Settings!$C$2)+(G419*Settings!$C$3)+(H419*Settings!$C$4)+(I419*Settings!$C$5)+(K419*Settings!$C$9)+(N419*Settings!$C$6)+(J419*Settings!$C$8)+(O419*Settings!$C$7)+(P419*Settings!$C$14)+(Q419*Settings!$C$15)+(R419*Settings!$C$16)+(S419*Settings!$C$17)+(T419*Settings!$C$18)+(U419*Settings!$C$19)+(L419*Settings!$C$10)+(Settings!$C$11*M419)</f>
        <v>-2.6139858737426063</v>
      </c>
      <c r="D419" s="57" cm="1">
        <f t="array" ref="D419">IF(Settings!$E$12="YES",VLOOKUP(A419,'Player Data'!A1:E673,5,FALSE),82)</f>
        <v>74</v>
      </c>
      <c r="E419" s="55" cm="1">
        <f t="array" ref="E419">(VLOOKUP($A419,'The List'!$B1:$AH671,17,FALSE)-AVERAGE('The List'!R2:R671))/STDEV('The List'!R2:R671)</f>
        <v>0.44217987697291306</v>
      </c>
      <c r="F419" s="55" cm="1">
        <f t="array" ref="F419">(VLOOKUP($A419,'The List'!$B1:$AH671,18,FALSE)-AVERAGE('The List'!S2:S671))/STDEV('The List'!S2:S671)</f>
        <v>-0.85556061580430254</v>
      </c>
      <c r="G419" s="55" cm="1">
        <f t="array" ref="G419">(VLOOKUP($A419,'The List'!$B1:$AH671,19,FALSE)-AVERAGE('The List'!T2:T671))/STDEV('The List'!T2:T671)</f>
        <v>-0.41426606851493347</v>
      </c>
      <c r="H419" s="55" cm="1">
        <f t="array" ref="H419">(VLOOKUP($A419,'The List'!$B1:$AH671,20,FALSE)-AVERAGE('The List'!U2:U671))/STDEV('The List'!U2:U671)</f>
        <v>-0.63960448404992587</v>
      </c>
      <c r="I419" s="55" cm="1">
        <f t="array" ref="I419">(VLOOKUP($A419,'The List'!$B1:$AH671,21,FALSE)-AVERAGE('The List'!V2:V671))/STDEV('The List'!V2:V671)</f>
        <v>-6.1766966104074707E-2</v>
      </c>
      <c r="J419" s="55" cm="1">
        <f t="array" ref="J419">(VLOOKUP($A419,'The List'!$B1:$AH671,22,FALSE)-AVERAGE('The List'!W2:W671))/STDEV('The List'!W2:W671)</f>
        <v>-0.73853908386105271</v>
      </c>
      <c r="K419" s="55" cm="1">
        <f t="array" ref="K419">(VLOOKUP($A419,'The List'!$B1:$AH671,23,FALSE)-AVERAGE('The List'!X2:X671))/STDEV('The List'!X2:X671)</f>
        <v>-0.80155300200843405</v>
      </c>
      <c r="L419" s="55" cm="1">
        <f t="array" ref="L419">(VLOOKUP($A419,'The List'!$B1:$AH671,24,FALSE)-AVERAGE('The List'!Y2:Y671))/STDEV('The List'!Y2:Y671)</f>
        <v>-0.47546929358800777</v>
      </c>
      <c r="M419" s="55" cm="1">
        <f t="array" ref="M419">(VLOOKUP($A419,'The List'!$B1:$AH671,25,FALSE)-AVERAGE('The List'!Z2:Z671))/STDEV('The List'!Z2:Z671)</f>
        <v>-0.64388478613809508</v>
      </c>
      <c r="N419" s="55" cm="1">
        <f t="array" ref="N419">(VLOOKUP($A419,'The List'!$B1:$AH671,26,FALSE)-AVERAGE('The List'!AA2:AA671))/STDEV('The List'!AA2:AA671)</f>
        <v>0.94747355908286968</v>
      </c>
      <c r="O419" s="55" cm="1">
        <f t="array" ref="O419">(VLOOKUP($A419,'The List'!$B1:$AH671,27,FALSE)-AVERAGE('The List'!AB2:AB671))/STDEV('The List'!AB2:AB671)</f>
        <v>-5.4687333763235743E-2</v>
      </c>
      <c r="P419" s="55" cm="1">
        <f t="array" ref="P419">(VLOOKUP($A419,'The List'!$B1:$AH671,28,FALSE)-AVERAGE('The List'!AC2:AC671))/STDEV('The List'!AC2:AC671)</f>
        <v>-0.42615188754762545</v>
      </c>
      <c r="Q419" s="55" cm="1">
        <f t="array" ref="Q419">(VLOOKUP($A419,'The List'!$B1:$AH671,29,FALSE)-AVERAGE('The List'!AD2:AD671))/STDEV('The List'!AD2:AD671)</f>
        <v>2.7109123548252776</v>
      </c>
      <c r="R419" s="55" cm="1">
        <f t="array" ref="R419">(VLOOKUP($A419,'The List'!$B1:$AH671,30,FALSE)-AVERAGE('The List'!AE2:AE671))/STDEV('The List'!AE2:AE671)</f>
        <v>-0.88288594847976376</v>
      </c>
      <c r="S419" s="55" cm="1">
        <f t="array" ref="S419">(VLOOKUP($A419,'The List'!$B1:$AH671,31,FALSE)-AVERAGE('The List'!AF2:AF671))/STDEV('The List'!AF2:AF671)</f>
        <v>-0.59581850454342256</v>
      </c>
      <c r="T419" s="55" cm="1">
        <f t="array" ref="T419">(VLOOKUP($A419,'The List'!$B1:$AH671,32,FALSE)-AVERAGE('The List'!AG2:AG671))/STDEV('The List'!AG2:AG671)</f>
        <v>-0.64684275008198677</v>
      </c>
      <c r="U419" s="55" cm="1">
        <f t="array" ref="U419">(VLOOKUP($A419,'The List'!$B1:$AH671,33,FALSE)-AVERAGE('The List'!AH2:AH671))/STDEV('The List'!AH2:AH671)</f>
        <v>-1.2552626683789523</v>
      </c>
      <c r="V419" s="55"/>
      <c r="W419" s="77"/>
      <c r="X419" s="57"/>
      <c r="Y419" s="57"/>
      <c r="Z419" s="57"/>
      <c r="AA419" s="57"/>
      <c r="AB419" s="57"/>
      <c r="AC419" s="60"/>
      <c r="AD419" s="61"/>
      <c r="AE419" s="55"/>
    </row>
    <row r="420" spans="1:31" ht="21.25" customHeight="1" x14ac:dyDescent="0.15">
      <c r="A420" s="10" t="s">
        <v>718</v>
      </c>
      <c r="B420" s="18" t="str" cm="1">
        <f t="array" ref="B420">VLOOKUP(A420,'Player Data'!A1:B673,2,FALSE)</f>
        <v>OTT</v>
      </c>
      <c r="C420" s="52" cm="1">
        <f t="array" ref="C420">((E420)*Settings!$C$12)+(F420*Settings!$C$2)+(G420*Settings!$C$3)+(H420*Settings!$C$4)+(I420*Settings!$C$5)+(K420*Settings!$C$9)+(N420*Settings!$C$6)+(J420*Settings!$C$8)+(O420*Settings!$C$7)+(P420*Settings!$C$14)+(Q420*Settings!$C$15)+(R420*Settings!$C$16)+(S420*Settings!$C$17)+(T420*Settings!$C$18)+(U420*Settings!$C$19)+(L420*Settings!$C$10)+(Settings!$C$11*M420)</f>
        <v>-2.3505720411779167</v>
      </c>
      <c r="D420" s="57" cm="1">
        <f t="array" ref="D420">IF(Settings!$E$12="YES",VLOOKUP(A420,'Player Data'!A1:E673,5,FALSE),82)</f>
        <v>79</v>
      </c>
      <c r="E420" s="55" cm="1">
        <f t="array" ref="E420">(VLOOKUP($A420,'The List'!$B1:$AH671,17,FALSE)-AVERAGE('The List'!R2:R671))/STDEV('The List'!R2:R671)</f>
        <v>-1.3153715048042907</v>
      </c>
      <c r="F420" s="55" cm="1">
        <f t="array" ref="F420">(VLOOKUP($A420,'The List'!$B1:$AH671,18,FALSE)-AVERAGE('The List'!S2:S671))/STDEV('The List'!S2:S671)</f>
        <v>-0.34760951212717678</v>
      </c>
      <c r="G420" s="55" cm="1">
        <f t="array" ref="G420">(VLOOKUP($A420,'The List'!$B1:$AH671,19,FALSE)-AVERAGE('The List'!T2:T671))/STDEV('The List'!T2:T671)</f>
        <v>-0.16338976842497224</v>
      </c>
      <c r="H420" s="55" cm="1">
        <f t="array" ref="H420">(VLOOKUP($A420,'The List'!$B1:$AH671,20,FALSE)-AVERAGE('The List'!U2:U671))/STDEV('The List'!U2:U671)</f>
        <v>-0.25677003562999234</v>
      </c>
      <c r="I420" s="55" cm="1">
        <f t="array" ref="I420">(VLOOKUP($A420,'The List'!$B1:$AH671,21,FALSE)-AVERAGE('The List'!V2:V671))/STDEV('The List'!V2:V671)</f>
        <v>-0.47797610441895677</v>
      </c>
      <c r="J420" s="55" cm="1">
        <f t="array" ref="J420">(VLOOKUP($A420,'The List'!$B1:$AH671,22,FALSE)-AVERAGE('The List'!W2:W671))/STDEV('The List'!W2:W671)</f>
        <v>-0.30214800105143319</v>
      </c>
      <c r="K420" s="55" cm="1">
        <f t="array" ref="K420">(VLOOKUP($A420,'The List'!$B1:$AH671,23,FALSE)-AVERAGE('The List'!X2:X671))/STDEV('The List'!X2:X671)</f>
        <v>-8.7043021789206004E-2</v>
      </c>
      <c r="L420" s="55" cm="1">
        <f t="array" ref="L420">(VLOOKUP($A420,'The List'!$B1:$AH671,24,FALSE)-AVERAGE('The List'!Y2:Y671))/STDEV('The List'!Y2:Y671)</f>
        <v>-0.47546929358800777</v>
      </c>
      <c r="M420" s="55" cm="1">
        <f t="array" ref="M420">(VLOOKUP($A420,'The List'!$B1:$AH671,25,FALSE)-AVERAGE('The List'!Z2:Z671))/STDEV('The List'!Z2:Z671)</f>
        <v>-0.64388478613809508</v>
      </c>
      <c r="N420" s="55" cm="1">
        <f t="array" ref="N420">(VLOOKUP($A420,'The List'!$B1:$AH671,26,FALSE)-AVERAGE('The List'!AA2:AA671))/STDEV('The List'!AA2:AA671)</f>
        <v>-0.77551967122757592</v>
      </c>
      <c r="O420" s="55" cm="1">
        <f t="array" ref="O420">(VLOOKUP($A420,'The List'!$B1:$AH671,27,FALSE)-AVERAGE('The List'!AB2:AB671))/STDEV('The List'!AB2:AB671)</f>
        <v>-1.1696140148189902</v>
      </c>
      <c r="P420" s="55" cm="1">
        <f t="array" ref="P420">(VLOOKUP($A420,'The List'!$B1:$AH671,28,FALSE)-AVERAGE('The List'!AC2:AC671))/STDEV('The List'!AC2:AC671)</f>
        <v>-0.1049396195986151</v>
      </c>
      <c r="Q420" s="55" cm="1">
        <f t="array" ref="Q420">(VLOOKUP($A420,'The List'!$B1:$AH671,29,FALSE)-AVERAGE('The List'!AD2:AD671))/STDEV('The List'!AD2:AD671)</f>
        <v>-1.264806973508761</v>
      </c>
      <c r="R420" s="55" cm="1">
        <f t="array" ref="R420">(VLOOKUP($A420,'The List'!$B1:$AH671,30,FALSE)-AVERAGE('The List'!AE2:AE671))/STDEV('The List'!AE2:AE671)</f>
        <v>-0.35889487331938924</v>
      </c>
      <c r="S420" s="55" cm="1">
        <f t="array" ref="S420">(VLOOKUP($A420,'The List'!$B1:$AH671,31,FALSE)-AVERAGE('The List'!AF2:AF671))/STDEV('The List'!AF2:AF671)</f>
        <v>-0.58062609553147337</v>
      </c>
      <c r="T420" s="55" cm="1">
        <f t="array" ref="T420">(VLOOKUP($A420,'The List'!$B1:$AH671,32,FALSE)-AVERAGE('The List'!AG2:AG671))/STDEV('The List'!AG2:AG671)</f>
        <v>-0.62668441913393824</v>
      </c>
      <c r="U420" s="55" cm="1">
        <f t="array" ref="U420">(VLOOKUP($A420,'The List'!$B1:$AH671,33,FALSE)-AVERAGE('The List'!AH2:AH671))/STDEV('The List'!AH2:AH671)</f>
        <v>0.8147024381514969</v>
      </c>
      <c r="V420" s="55"/>
      <c r="W420" s="77"/>
      <c r="X420" s="57"/>
      <c r="Y420" s="57"/>
      <c r="Z420" s="57"/>
      <c r="AA420" s="57"/>
      <c r="AB420" s="57"/>
      <c r="AC420" s="60"/>
      <c r="AD420" s="61"/>
      <c r="AE420" s="55"/>
    </row>
    <row r="421" spans="1:31" ht="21.25" customHeight="1" x14ac:dyDescent="0.15">
      <c r="A421" s="10" t="s">
        <v>320</v>
      </c>
      <c r="B421" s="18" t="str" cm="1">
        <f t="array" ref="B421">VLOOKUP(A421,'Player Data'!A1:B673,2,FALSE)</f>
        <v>STL</v>
      </c>
      <c r="C421" s="52" cm="1">
        <f t="array" ref="C421">((E421)*Settings!$C$12)+(F421*Settings!$C$2)+(G421*Settings!$C$3)+(H421*Settings!$C$4)+(I421*Settings!$C$5)+(K421*Settings!$C$9)+(N421*Settings!$C$6)+(J421*Settings!$C$8)+(O421*Settings!$C$7)+(P421*Settings!$C$14)+(Q421*Settings!$C$15)+(R421*Settings!$C$16)+(S421*Settings!$C$17)+(T421*Settings!$C$18)+(U421*Settings!$C$19)+(L421*Settings!$C$10)+(Settings!$C$11*M421)</f>
        <v>-2.4544795669667749</v>
      </c>
      <c r="D421" s="57" cm="1">
        <f t="array" ref="D421">IF(Settings!$E$12="YES",VLOOKUP(A421,'Player Data'!A1:E673,5,FALSE),82)</f>
        <v>81</v>
      </c>
      <c r="E421" s="55" cm="1">
        <f t="array" ref="E421">(VLOOKUP($A421,'The List'!$B1:$AH671,17,FALSE)-AVERAGE('The List'!R2:R671))/STDEV('The List'!R2:R671)</f>
        <v>1.3865358433009634</v>
      </c>
      <c r="F421" s="55" cm="1">
        <f t="array" ref="F421">(VLOOKUP($A421,'The List'!$B1:$AH671,18,FALSE)-AVERAGE('The List'!S2:S671))/STDEV('The List'!S2:S671)</f>
        <v>-0.64499542351378469</v>
      </c>
      <c r="G421" s="55" cm="1">
        <f t="array" ref="G421">(VLOOKUP($A421,'The List'!$B1:$AH671,19,FALSE)-AVERAGE('The List'!T2:T671))/STDEV('The List'!T2:T671)</f>
        <v>-0.58081420050742838</v>
      </c>
      <c r="H421" s="55" cm="1">
        <f t="array" ref="H421">(VLOOKUP($A421,'The List'!$B1:$AH671,20,FALSE)-AVERAGE('The List'!U2:U671))/STDEV('The List'!U2:U671)</f>
        <v>-0.65109835894475054</v>
      </c>
      <c r="I421" s="55" cm="1">
        <f t="array" ref="I421">(VLOOKUP($A421,'The List'!$B1:$AH671,21,FALSE)-AVERAGE('The List'!V2:V671))/STDEV('The List'!V2:V671)</f>
        <v>-0.2108697001703857</v>
      </c>
      <c r="J421" s="55" cm="1">
        <f t="array" ref="J421">(VLOOKUP($A421,'The List'!$B1:$AH671,22,FALSE)-AVERAGE('The List'!W2:W671))/STDEV('The List'!W2:W671)</f>
        <v>-0.73853908386105271</v>
      </c>
      <c r="K421" s="55" cm="1">
        <f t="array" ref="K421">(VLOOKUP($A421,'The List'!$B1:$AH671,23,FALSE)-AVERAGE('The List'!X2:X671))/STDEV('The List'!X2:X671)</f>
        <v>-0.80155300200843405</v>
      </c>
      <c r="L421" s="55" cm="1">
        <f t="array" ref="L421">(VLOOKUP($A421,'The List'!$B1:$AH671,24,FALSE)-AVERAGE('The List'!Y2:Y671))/STDEV('The List'!Y2:Y671)</f>
        <v>-0.47546929358800777</v>
      </c>
      <c r="M421" s="55" cm="1">
        <f t="array" ref="M421">(VLOOKUP($A421,'The List'!$B1:$AH671,25,FALSE)-AVERAGE('The List'!Z2:Z671))/STDEV('The List'!Z2:Z671)</f>
        <v>0.23627697309704196</v>
      </c>
      <c r="N421" s="55" cm="1">
        <f t="array" ref="N421">(VLOOKUP($A421,'The List'!$B1:$AH671,26,FALSE)-AVERAGE('The List'!AA2:AA671))/STDEV('The List'!AA2:AA671)</f>
        <v>2.7629250682804156</v>
      </c>
      <c r="O421" s="55" cm="1">
        <f t="array" ref="O421">(VLOOKUP($A421,'The List'!$B1:$AH671,27,FALSE)-AVERAGE('The List'!AB2:AB671))/STDEV('The List'!AB2:AB671)</f>
        <v>0.24028959104633058</v>
      </c>
      <c r="P421" s="55" cm="1">
        <f t="array" ref="P421">(VLOOKUP($A421,'The List'!$B1:$AH671,28,FALSE)-AVERAGE('The List'!AC2:AC671))/STDEV('The List'!AC2:AC671)</f>
        <v>-0.45653683181307247</v>
      </c>
      <c r="Q421" s="55" cm="1">
        <f t="array" ref="Q421">(VLOOKUP($A421,'The List'!$B1:$AH671,29,FALSE)-AVERAGE('The List'!AD2:AD671))/STDEV('The List'!AD2:AD671)</f>
        <v>-0.69811365910024792</v>
      </c>
      <c r="R421" s="55" cm="1">
        <f t="array" ref="R421">(VLOOKUP($A421,'The List'!$B1:$AH671,30,FALSE)-AVERAGE('The List'!AE2:AE671))/STDEV('The List'!AE2:AE671)</f>
        <v>-0.83922002554973252</v>
      </c>
      <c r="S421" s="55" cm="1">
        <f t="array" ref="S421">(VLOOKUP($A421,'The List'!$B1:$AH671,31,FALSE)-AVERAGE('The List'!AF2:AF671))/STDEV('The List'!AF2:AF671)</f>
        <v>-0.59581850454342256</v>
      </c>
      <c r="T421" s="55" cm="1">
        <f t="array" ref="T421">(VLOOKUP($A421,'The List'!$B1:$AH671,32,FALSE)-AVERAGE('The List'!AG2:AG671))/STDEV('The List'!AG2:AG671)</f>
        <v>-0.64684275008198677</v>
      </c>
      <c r="U421" s="55" cm="1">
        <f t="array" ref="U421">(VLOOKUP($A421,'The List'!$B1:$AH671,33,FALSE)-AVERAGE('The List'!AH2:AH671))/STDEV('The List'!AH2:AH671)</f>
        <v>-1.2552626683789523</v>
      </c>
      <c r="V421" s="55"/>
      <c r="W421" s="77"/>
      <c r="X421" s="57"/>
      <c r="Y421" s="57"/>
      <c r="Z421" s="57"/>
      <c r="AA421" s="57"/>
      <c r="AB421" s="57"/>
      <c r="AC421" s="60"/>
      <c r="AD421" s="61"/>
      <c r="AE421" s="55"/>
    </row>
    <row r="422" spans="1:31" ht="21.25" customHeight="1" x14ac:dyDescent="0.15">
      <c r="A422" s="10" t="s">
        <v>357</v>
      </c>
      <c r="B422" s="18" t="str" cm="1">
        <f t="array" ref="B422">VLOOKUP(A422,'Player Data'!A1:B673,2,FALSE)</f>
        <v>WSH</v>
      </c>
      <c r="C422" s="52" cm="1">
        <f t="array" ref="C422">((E422)*Settings!$C$12)+(F422*Settings!$C$2)+(G422*Settings!$C$3)+(H422*Settings!$C$4)+(I422*Settings!$C$5)+(K422*Settings!$C$9)+(N422*Settings!$C$6)+(J422*Settings!$C$8)+(O422*Settings!$C$7)+(P422*Settings!$C$14)+(Q422*Settings!$C$15)+(R422*Settings!$C$16)+(S422*Settings!$C$17)+(T422*Settings!$C$18)+(U422*Settings!$C$19)+(L422*Settings!$C$10)+(Settings!$C$11*M422)</f>
        <v>-1.1761232896704377</v>
      </c>
      <c r="D422" s="57" cm="1">
        <f t="array" ref="D422">IF(Settings!$E$12="YES",VLOOKUP(A422,'Player Data'!A1:E673,5,FALSE),82)</f>
        <v>82</v>
      </c>
      <c r="E422" s="55" cm="1">
        <f t="array" ref="E422">(VLOOKUP($A422,'The List'!$B1:$AH671,17,FALSE)-AVERAGE('The List'!R2:R671))/STDEV('The List'!R2:R671)</f>
        <v>0.94058997031271674</v>
      </c>
      <c r="F422" s="55" cm="1">
        <f t="array" ref="F422">(VLOOKUP($A422,'The List'!$B1:$AH671,18,FALSE)-AVERAGE('The List'!S2:S671))/STDEV('The List'!S2:S671)</f>
        <v>-1.0451690827957638</v>
      </c>
      <c r="G422" s="55" cm="1">
        <f t="array" ref="G422">(VLOOKUP($A422,'The List'!$B1:$AH671,19,FALSE)-AVERAGE('The List'!T2:T671))/STDEV('The List'!T2:T671)</f>
        <v>-0.27934099955898795</v>
      </c>
      <c r="H422" s="55" cm="1">
        <f t="array" ref="H422">(VLOOKUP($A422,'The List'!$B1:$AH671,20,FALSE)-AVERAGE('The List'!U2:U671))/STDEV('The List'!U2:U671)</f>
        <v>-0.63872033982724685</v>
      </c>
      <c r="I422" s="55" cm="1">
        <f t="array" ref="I422">(VLOOKUP($A422,'The List'!$B1:$AH671,21,FALSE)-AVERAGE('The List'!V2:V671))/STDEV('The List'!V2:V671)</f>
        <v>-0.46985579329367683</v>
      </c>
      <c r="J422" s="55" cm="1">
        <f t="array" ref="J422">(VLOOKUP($A422,'The List'!$B1:$AH671,22,FALSE)-AVERAGE('The List'!W2:W671))/STDEV('The List'!W2:W671)</f>
        <v>-0.73853908386105271</v>
      </c>
      <c r="K422" s="55" cm="1">
        <f t="array" ref="K422">(VLOOKUP($A422,'The List'!$B1:$AH671,23,FALSE)-AVERAGE('The List'!X2:X671))/STDEV('The List'!X2:X671)</f>
        <v>-0.80155300200843405</v>
      </c>
      <c r="L422" s="55" cm="1">
        <f t="array" ref="L422">(VLOOKUP($A422,'The List'!$B1:$AH671,24,FALSE)-AVERAGE('The List'!Y2:Y671))/STDEV('The List'!Y2:Y671)</f>
        <v>-0.47546929358800777</v>
      </c>
      <c r="M422" s="55" cm="1">
        <f t="array" ref="M422">(VLOOKUP($A422,'The List'!$B1:$AH671,25,FALSE)-AVERAGE('The List'!Z2:Z671))/STDEV('The List'!Z2:Z671)</f>
        <v>-0.64388478613809508</v>
      </c>
      <c r="N422" s="55" cm="1">
        <f t="array" ref="N422">(VLOOKUP($A422,'The List'!$B1:$AH671,26,FALSE)-AVERAGE('The List'!AA2:AA671))/STDEV('The List'!AA2:AA671)</f>
        <v>2.1049899124429259</v>
      </c>
      <c r="O422" s="55" cm="1">
        <f t="array" ref="O422">(VLOOKUP($A422,'The List'!$B1:$AH671,27,FALSE)-AVERAGE('The List'!AB2:AB671))/STDEV('The List'!AB2:AB671)</f>
        <v>0.63489041123980883</v>
      </c>
      <c r="P422" s="55" cm="1">
        <f t="array" ref="P422">(VLOOKUP($A422,'The List'!$B1:$AH671,28,FALSE)-AVERAGE('The List'!AC2:AC671))/STDEV('The List'!AC2:AC671)</f>
        <v>0.78490517674661642</v>
      </c>
      <c r="Q422" s="55" cm="1">
        <f t="array" ref="Q422">(VLOOKUP($A422,'The List'!$B1:$AH671,29,FALSE)-AVERAGE('The List'!AD2:AD671))/STDEV('The List'!AD2:AD671)</f>
        <v>-0.49567041510033627</v>
      </c>
      <c r="R422" s="55" cm="1">
        <f t="array" ref="R422">(VLOOKUP($A422,'The List'!$B1:$AH671,30,FALSE)-AVERAGE('The List'!AE2:AE671))/STDEV('The List'!AE2:AE671)</f>
        <v>-0.83298203655972802</v>
      </c>
      <c r="S422" s="55" cm="1">
        <f t="array" ref="S422">(VLOOKUP($A422,'The List'!$B1:$AH671,31,FALSE)-AVERAGE('The List'!AF2:AF671))/STDEV('The List'!AF2:AF671)</f>
        <v>-0.59581850454342256</v>
      </c>
      <c r="T422" s="55" cm="1">
        <f t="array" ref="T422">(VLOOKUP($A422,'The List'!$B1:$AH671,32,FALSE)-AVERAGE('The List'!AG2:AG671))/STDEV('The List'!AG2:AG671)</f>
        <v>-0.64684275008198677</v>
      </c>
      <c r="U422" s="55" cm="1">
        <f t="array" ref="U422">(VLOOKUP($A422,'The List'!$B1:$AH671,33,FALSE)-AVERAGE('The List'!AH2:AH671))/STDEV('The List'!AH2:AH671)</f>
        <v>-1.2552626683789523</v>
      </c>
      <c r="V422" s="55"/>
      <c r="W422" s="57"/>
      <c r="X422" s="55"/>
      <c r="Y422" s="55"/>
      <c r="Z422" s="55"/>
      <c r="AA422" s="55"/>
      <c r="AB422" s="55"/>
      <c r="AC422" s="55"/>
      <c r="AD422" s="55"/>
      <c r="AE422" s="55"/>
    </row>
    <row r="423" spans="1:31" ht="21.25" customHeight="1" x14ac:dyDescent="0.15">
      <c r="A423" s="10" t="s">
        <v>326</v>
      </c>
      <c r="B423" s="18" t="str" cm="1">
        <f t="array" ref="B423">VLOOKUP(A423,'Player Data'!A1:B673,2,FALSE)</f>
        <v>CAR</v>
      </c>
      <c r="C423" s="52" cm="1">
        <f t="array" ref="C423">((E423)*Settings!$C$12)+(F423*Settings!$C$2)+(G423*Settings!$C$3)+(H423*Settings!$C$4)+(I423*Settings!$C$5)+(K423*Settings!$C$9)+(N423*Settings!$C$6)+(J423*Settings!$C$8)+(O423*Settings!$C$7)+(P423*Settings!$C$14)+(Q423*Settings!$C$15)+(R423*Settings!$C$16)+(S423*Settings!$C$17)+(T423*Settings!$C$18)+(U423*Settings!$C$19)+(L423*Settings!$C$10)+(Settings!$C$11*M423)</f>
        <v>0.80013193596796506</v>
      </c>
      <c r="D423" s="57" cm="1">
        <f t="array" ref="D423">IF(Settings!$E$12="YES",VLOOKUP(A423,'Player Data'!A1:E673,5,FALSE),82)</f>
        <v>84</v>
      </c>
      <c r="E423" s="55" cm="1">
        <f t="array" ref="E423">(VLOOKUP($A423,'The List'!$B1:$AH671,17,FALSE)-AVERAGE('The List'!R2:R671))/STDEV('The List'!R2:R671)</f>
        <v>0.8356615296096005</v>
      </c>
      <c r="F423" s="55" cm="1">
        <f t="array" ref="F423">(VLOOKUP($A423,'The List'!$B1:$AH671,18,FALSE)-AVERAGE('The List'!S2:S671))/STDEV('The List'!S2:S671)</f>
        <v>-0.78570486480744817</v>
      </c>
      <c r="G423" s="55" cm="1">
        <f t="array" ref="G423">(VLOOKUP($A423,'The List'!$B1:$AH671,19,FALSE)-AVERAGE('The List'!T2:T671))/STDEV('The List'!T2:T671)</f>
        <v>-0.36366916765645374</v>
      </c>
      <c r="H423" s="55" cm="1">
        <f t="array" ref="H423">(VLOOKUP($A423,'The List'!$B1:$AH671,20,FALSE)-AVERAGE('The List'!U2:U671))/STDEV('The List'!U2:U671)</f>
        <v>-0.57683024423972884</v>
      </c>
      <c r="I423" s="55" cm="1">
        <f t="array" ref="I423">(VLOOKUP($A423,'The List'!$B1:$AH671,21,FALSE)-AVERAGE('The List'!V2:V671))/STDEV('The List'!V2:V671)</f>
        <v>0.60237082039754752</v>
      </c>
      <c r="J423" s="55" cm="1">
        <f t="array" ref="J423">(VLOOKUP($A423,'The List'!$B1:$AH671,22,FALSE)-AVERAGE('The List'!W2:W671))/STDEV('The List'!W2:W671)</f>
        <v>-0.73853908386105271</v>
      </c>
      <c r="K423" s="55" cm="1">
        <f t="array" ref="K423">(VLOOKUP($A423,'The List'!$B1:$AH671,23,FALSE)-AVERAGE('The List'!X2:X671))/STDEV('The List'!X2:X671)</f>
        <v>-0.71713832080109907</v>
      </c>
      <c r="L423" s="55" cm="1">
        <f t="array" ref="L423">(VLOOKUP($A423,'The List'!$B1:$AH671,24,FALSE)-AVERAGE('The List'!Y2:Y671))/STDEV('The List'!Y2:Y671)</f>
        <v>-0.47546929358800777</v>
      </c>
      <c r="M423" s="55" cm="1">
        <f t="array" ref="M423">(VLOOKUP($A423,'The List'!$B1:$AH671,25,FALSE)-AVERAGE('The List'!Z2:Z671))/STDEV('The List'!Z2:Z671)</f>
        <v>-0.64388478613809508</v>
      </c>
      <c r="N423" s="55" cm="1">
        <f t="array" ref="N423">(VLOOKUP($A423,'The List'!$B1:$AH671,26,FALSE)-AVERAGE('The List'!AA2:AA671))/STDEV('The List'!AA2:AA671)</f>
        <v>1.4450114797239526</v>
      </c>
      <c r="O423" s="55" cm="1">
        <f t="array" ref="O423">(VLOOKUP($A423,'The List'!$B1:$AH671,27,FALSE)-AVERAGE('The List'!AB2:AB671))/STDEV('The List'!AB2:AB671)</f>
        <v>0.71073576369258129</v>
      </c>
      <c r="P423" s="55" cm="1">
        <f t="array" ref="P423">(VLOOKUP($A423,'The List'!$B1:$AH671,28,FALSE)-AVERAGE('The List'!AC2:AC671))/STDEV('The List'!AC2:AC671)</f>
        <v>1.3535377051428372</v>
      </c>
      <c r="Q423" s="55" cm="1">
        <f t="array" ref="Q423">(VLOOKUP($A423,'The List'!$B1:$AH671,29,FALSE)-AVERAGE('The List'!AD2:AD671))/STDEV('The List'!AD2:AD671)</f>
        <v>1.5361504644608244</v>
      </c>
      <c r="R423" s="55" cm="1">
        <f t="array" ref="R423">(VLOOKUP($A423,'The List'!$B1:$AH671,30,FALSE)-AVERAGE('The List'!AE2:AE671))/STDEV('The List'!AE2:AE671)</f>
        <v>-0.82050605857971926</v>
      </c>
      <c r="S423" s="55" cm="1">
        <f t="array" ref="S423">(VLOOKUP($A423,'The List'!$B1:$AH671,31,FALSE)-AVERAGE('The List'!AF2:AF671))/STDEV('The List'!AF2:AF671)</f>
        <v>-0.59581850454342256</v>
      </c>
      <c r="T423" s="55" cm="1">
        <f t="array" ref="T423">(VLOOKUP($A423,'The List'!$B1:$AH671,32,FALSE)-AVERAGE('The List'!AG2:AG671))/STDEV('The List'!AG2:AG671)</f>
        <v>-0.64684275008198677</v>
      </c>
      <c r="U423" s="55" cm="1">
        <f t="array" ref="U423">(VLOOKUP($A423,'The List'!$B1:$AH671,33,FALSE)-AVERAGE('The List'!AH2:AH671))/STDEV('The List'!AH2:AH671)</f>
        <v>-1.2552626683789523</v>
      </c>
      <c r="V423" s="55"/>
      <c r="W423" s="77"/>
      <c r="X423" s="57"/>
      <c r="Y423" s="57"/>
      <c r="Z423" s="57"/>
      <c r="AA423" s="57"/>
      <c r="AB423" s="57"/>
      <c r="AC423" s="60"/>
      <c r="AD423" s="61"/>
      <c r="AE423" s="55"/>
    </row>
    <row r="424" spans="1:31" ht="21.25" customHeight="1" x14ac:dyDescent="0.15">
      <c r="A424" s="10" t="s">
        <v>754</v>
      </c>
      <c r="B424" s="18" t="str" cm="1">
        <f t="array" ref="B424">VLOOKUP(A424,'Player Data'!A1:B673,2,FALSE)</f>
        <v>T.B</v>
      </c>
      <c r="C424" s="52" cm="1">
        <f t="array" ref="C424">((E424)*Settings!$C$12)+(F424*Settings!$C$2)+(G424*Settings!$C$3)+(H424*Settings!$C$4)+(I424*Settings!$C$5)+(K424*Settings!$C$9)+(N424*Settings!$C$6)+(J424*Settings!$C$8)+(O424*Settings!$C$7)+(P424*Settings!$C$14)+(Q424*Settings!$C$15)+(R424*Settings!$C$16)+(S424*Settings!$C$17)+(T424*Settings!$C$18)+(U424*Settings!$C$19)+(L424*Settings!$C$10)+(Settings!$C$11*M424)</f>
        <v>-1.7722092005993726</v>
      </c>
      <c r="D424" s="57" cm="1">
        <f t="array" ref="D424">IF(Settings!$E$12="YES",VLOOKUP(A424,'Player Data'!A1:E673,5,FALSE),82)</f>
        <v>63</v>
      </c>
      <c r="E424" s="55" cm="1">
        <f t="array" ref="E424">(VLOOKUP($A424,'The List'!$B1:$AH671,17,FALSE)-AVERAGE('The List'!R2:R671))/STDEV('The List'!R2:R671)</f>
        <v>-1.3940678353316283</v>
      </c>
      <c r="F424" s="55" cm="1">
        <f t="array" ref="F424">(VLOOKUP($A424,'The List'!$B1:$AH671,18,FALSE)-AVERAGE('The List'!S2:S671))/STDEV('The List'!S2:S671)</f>
        <v>-0.49231071062066045</v>
      </c>
      <c r="G424" s="55" cm="1">
        <f t="array" ref="G424">(VLOOKUP($A424,'The List'!$B1:$AH671,19,FALSE)-AVERAGE('The List'!T2:T671))/STDEV('The List'!T2:T671)</f>
        <v>-0.95396634433871486</v>
      </c>
      <c r="H424" s="55" cm="1">
        <f t="array" ref="H424">(VLOOKUP($A424,'The List'!$B1:$AH671,20,FALSE)-AVERAGE('The List'!U2:U671))/STDEV('The List'!U2:U671)</f>
        <v>-0.81820161703104943</v>
      </c>
      <c r="I424" s="55" cm="1">
        <f t="array" ref="I424">(VLOOKUP($A424,'The List'!$B1:$AH671,21,FALSE)-AVERAGE('The List'!V2:V671))/STDEV('The List'!V2:V671)</f>
        <v>-0.98679134407745728</v>
      </c>
      <c r="J424" s="55" cm="1">
        <f t="array" ref="J424">(VLOOKUP($A424,'The List'!$B1:$AH671,22,FALSE)-AVERAGE('The List'!W2:W671))/STDEV('The List'!W2:W671)</f>
        <v>-0.56453504451291336</v>
      </c>
      <c r="K424" s="55" cm="1">
        <f t="array" ref="K424">(VLOOKUP($A424,'The List'!$B1:$AH671,23,FALSE)-AVERAGE('The List'!X2:X671))/STDEV('The List'!X2:X671)</f>
        <v>-0.67493098019743158</v>
      </c>
      <c r="L424" s="55" cm="1">
        <f t="array" ref="L424">(VLOOKUP($A424,'The List'!$B1:$AH671,24,FALSE)-AVERAGE('The List'!Y2:Y671))/STDEV('The List'!Y2:Y671)</f>
        <v>-0.47546929358800777</v>
      </c>
      <c r="M424" s="55" cm="1">
        <f t="array" ref="M424">(VLOOKUP($A424,'The List'!$B1:$AH671,25,FALSE)-AVERAGE('The List'!Z2:Z671))/STDEV('The List'!Z2:Z671)</f>
        <v>-0.64388478613809508</v>
      </c>
      <c r="N424" s="55" cm="1">
        <f t="array" ref="N424">(VLOOKUP($A424,'The List'!$B1:$AH671,26,FALSE)-AVERAGE('The List'!AA2:AA671))/STDEV('The List'!AA2:AA671)</f>
        <v>-0.86670090206374983</v>
      </c>
      <c r="O424" s="55" cm="1">
        <f t="array" ref="O424">(VLOOKUP($A424,'The List'!$B1:$AH671,27,FALSE)-AVERAGE('The List'!AB2:AB671))/STDEV('The List'!AB2:AB671)</f>
        <v>0.62033630306643939</v>
      </c>
      <c r="P424" s="55" cm="1">
        <f t="array" ref="P424">(VLOOKUP($A424,'The List'!$B1:$AH671,28,FALSE)-AVERAGE('The List'!AC2:AC671))/STDEV('The List'!AC2:AC671)</f>
        <v>0.71545387556845186</v>
      </c>
      <c r="Q424" s="55" cm="1">
        <f t="array" ref="Q424">(VLOOKUP($A424,'The List'!$B1:$AH671,29,FALSE)-AVERAGE('The List'!AD2:AD671))/STDEV('The List'!AD2:AD671)</f>
        <v>-0.83775516682281492</v>
      </c>
      <c r="R424" s="55" cm="1">
        <f t="array" ref="R424">(VLOOKUP($A424,'The List'!$B1:$AH671,30,FALSE)-AVERAGE('The List'!AE2:AE671))/STDEV('The List'!AE2:AE671)</f>
        <v>-0.55851052099953191</v>
      </c>
      <c r="S424" s="55" cm="1">
        <f t="array" ref="S424">(VLOOKUP($A424,'The List'!$B1:$AH671,31,FALSE)-AVERAGE('The List'!AF2:AF671))/STDEV('The List'!AF2:AF671)</f>
        <v>-1.730503099663399E-2</v>
      </c>
      <c r="T424" s="55" cm="1">
        <f t="array" ref="T424">(VLOOKUP($A424,'The List'!$B1:$AH671,32,FALSE)-AVERAGE('The List'!AG2:AG671))/STDEV('The List'!AG2:AG671)</f>
        <v>0.16658417898369671</v>
      </c>
      <c r="U424" s="55" cm="1">
        <f t="array" ref="U424">(VLOOKUP($A424,'The List'!$B1:$AH671,33,FALSE)-AVERAGE('The List'!AH2:AH671))/STDEV('The List'!AH2:AH671)</f>
        <v>0.72270398897236576</v>
      </c>
      <c r="V424" s="55"/>
      <c r="W424" s="57"/>
      <c r="X424" s="55"/>
      <c r="Y424" s="55"/>
      <c r="Z424" s="55"/>
      <c r="AA424" s="55"/>
      <c r="AB424" s="55"/>
      <c r="AC424" s="55"/>
      <c r="AD424" s="55"/>
      <c r="AE424" s="55"/>
    </row>
    <row r="425" spans="1:31" ht="21.25" customHeight="1" x14ac:dyDescent="0.15">
      <c r="A425" s="10" t="s">
        <v>299</v>
      </c>
      <c r="B425" s="18" t="str" cm="1">
        <f t="array" ref="B425">VLOOKUP(A425,'Player Data'!A1:B673,2,FALSE)</f>
        <v>S.J</v>
      </c>
      <c r="C425" s="52" cm="1">
        <f t="array" ref="C425">((E425)*Settings!$C$12)+(F425*Settings!$C$2)+(G425*Settings!$C$3)+(H425*Settings!$C$4)+(I425*Settings!$C$5)+(K425*Settings!$C$9)+(N425*Settings!$C$6)+(J425*Settings!$C$8)+(O425*Settings!$C$7)+(P425*Settings!$C$14)+(Q425*Settings!$C$15)+(R425*Settings!$C$16)+(S425*Settings!$C$17)+(T425*Settings!$C$18)+(U425*Settings!$C$19)+(L425*Settings!$C$10)+(Settings!$C$11*M425)</f>
        <v>-1.7299681226312149</v>
      </c>
      <c r="D425" s="57" cm="1">
        <f t="array" ref="D425">IF(Settings!$E$12="YES",VLOOKUP(A425,'Player Data'!A1:E673,5,FALSE),82)</f>
        <v>82</v>
      </c>
      <c r="E425" s="55" cm="1">
        <f t="array" ref="E425">(VLOOKUP($A425,'The List'!$B1:$AH671,17,FALSE)-AVERAGE('The List'!R2:R671))/STDEV('The List'!R2:R671)</f>
        <v>1.4914642840040795</v>
      </c>
      <c r="F425" s="55" cm="1">
        <f t="array" ref="F425">(VLOOKUP($A425,'The List'!$B1:$AH671,18,FALSE)-AVERAGE('The List'!S2:S671))/STDEV('The List'!S2:S671)</f>
        <v>-1.0451690827957638</v>
      </c>
      <c r="G425" s="55" cm="1">
        <f t="array" ref="G425">(VLOOKUP($A425,'The List'!$B1:$AH671,19,FALSE)-AVERAGE('The List'!T2:T671))/STDEV('The List'!T2:T671)</f>
        <v>-0.27934099955898795</v>
      </c>
      <c r="H425" s="55" cm="1">
        <f t="array" ref="H425">(VLOOKUP($A425,'The List'!$B1:$AH671,20,FALSE)-AVERAGE('The List'!U2:U671))/STDEV('The List'!U2:U671)</f>
        <v>-0.63872033982724685</v>
      </c>
      <c r="I425" s="55" cm="1">
        <f t="array" ref="I425">(VLOOKUP($A425,'The List'!$B1:$AH671,21,FALSE)-AVERAGE('The List'!V2:V671))/STDEV('The List'!V2:V671)</f>
        <v>0.16767501632936832</v>
      </c>
      <c r="J425" s="55" cm="1">
        <f t="array" ref="J425">(VLOOKUP($A425,'The List'!$B1:$AH671,22,FALSE)-AVERAGE('The List'!W2:W671))/STDEV('The List'!W2:W671)</f>
        <v>-0.73853908386105271</v>
      </c>
      <c r="K425" s="55" cm="1">
        <f t="array" ref="K425">(VLOOKUP($A425,'The List'!$B1:$AH671,23,FALSE)-AVERAGE('The List'!X2:X671))/STDEV('The List'!X2:X671)</f>
        <v>-0.80155300200843405</v>
      </c>
      <c r="L425" s="55" cm="1">
        <f t="array" ref="L425">(VLOOKUP($A425,'The List'!$B1:$AH671,24,FALSE)-AVERAGE('The List'!Y2:Y671))/STDEV('The List'!Y2:Y671)</f>
        <v>-0.47546929358800777</v>
      </c>
      <c r="M425" s="55" cm="1">
        <f t="array" ref="M425">(VLOOKUP($A425,'The List'!$B1:$AH671,25,FALSE)-AVERAGE('The List'!Z2:Z671))/STDEV('The List'!Z2:Z671)</f>
        <v>0.24714316765550046</v>
      </c>
      <c r="N425" s="55" cm="1">
        <f t="array" ref="N425">(VLOOKUP($A425,'The List'!$B1:$AH671,26,FALSE)-AVERAGE('The List'!AA2:AA671))/STDEV('The List'!AA2:AA671)</f>
        <v>2.7542411415341133</v>
      </c>
      <c r="O425" s="55" cm="1">
        <f t="array" ref="O425">(VLOOKUP($A425,'The List'!$B1:$AH671,27,FALSE)-AVERAGE('The List'!AB2:AB671))/STDEV('The List'!AB2:AB671)</f>
        <v>1.2232043613464494</v>
      </c>
      <c r="P425" s="55" cm="1">
        <f t="array" ref="P425">(VLOOKUP($A425,'The List'!$B1:$AH671,28,FALSE)-AVERAGE('The List'!AC2:AC671))/STDEV('The List'!AC2:AC671)</f>
        <v>-0.9947844159438467</v>
      </c>
      <c r="Q425" s="55" cm="1">
        <f t="array" ref="Q425">(VLOOKUP($A425,'The List'!$B1:$AH671,29,FALSE)-AVERAGE('The List'!AD2:AD671))/STDEV('The List'!AD2:AD671)</f>
        <v>1.4430561259791133</v>
      </c>
      <c r="R425" s="55" cm="1">
        <f t="array" ref="R425">(VLOOKUP($A425,'The List'!$B1:$AH671,30,FALSE)-AVERAGE('The List'!AE2:AE671))/STDEV('The List'!AE2:AE671)</f>
        <v>-0.83298203655972802</v>
      </c>
      <c r="S425" s="55" cm="1">
        <f t="array" ref="S425">(VLOOKUP($A425,'The List'!$B1:$AH671,31,FALSE)-AVERAGE('The List'!AF2:AF671))/STDEV('The List'!AF2:AF671)</f>
        <v>-0.59581850454342256</v>
      </c>
      <c r="T425" s="55" cm="1">
        <f t="array" ref="T425">(VLOOKUP($A425,'The List'!$B1:$AH671,32,FALSE)-AVERAGE('The List'!AG2:AG671))/STDEV('The List'!AG2:AG671)</f>
        <v>-0.64684275008198677</v>
      </c>
      <c r="U425" s="55" cm="1">
        <f t="array" ref="U425">(VLOOKUP($A425,'The List'!$B1:$AH671,33,FALSE)-AVERAGE('The List'!AH2:AH671))/STDEV('The List'!AH2:AH671)</f>
        <v>-1.2552626683789523</v>
      </c>
      <c r="V425" s="55"/>
      <c r="W425" s="57"/>
      <c r="X425" s="55"/>
      <c r="Y425" s="55"/>
      <c r="Z425" s="55"/>
      <c r="AA425" s="55"/>
      <c r="AB425" s="55"/>
      <c r="AC425" s="55"/>
      <c r="AD425" s="55"/>
      <c r="AE425" s="55"/>
    </row>
    <row r="426" spans="1:31" ht="21.25" customHeight="1" x14ac:dyDescent="0.15">
      <c r="A426" s="10" t="s">
        <v>476</v>
      </c>
      <c r="B426" s="18" t="str" cm="1">
        <f t="array" ref="B426">VLOOKUP(A426,'Player Data'!A1:B673,2,FALSE)</f>
        <v>SEA</v>
      </c>
      <c r="C426" s="52" cm="1">
        <f t="array" ref="C426">((E426)*Settings!$C$12)+(F426*Settings!$C$2)+(G426*Settings!$C$3)+(H426*Settings!$C$4)+(I426*Settings!$C$5)+(K426*Settings!$C$9)+(N426*Settings!$C$6)+(J426*Settings!$C$8)+(O426*Settings!$C$7)+(P426*Settings!$C$14)+(Q426*Settings!$C$15)+(R426*Settings!$C$16)+(S426*Settings!$C$17)+(T426*Settings!$C$18)+(U426*Settings!$C$19)+(L426*Settings!$C$10)+(Settings!$C$11*M426)</f>
        <v>-4.6175663788947467</v>
      </c>
      <c r="D426" s="57" cm="1">
        <f t="array" ref="D426">IF(Settings!$E$12="YES",VLOOKUP(A426,'Player Data'!A1:E673,5,FALSE),82)</f>
        <v>76</v>
      </c>
      <c r="E426" s="55" cm="1">
        <f t="array" ref="E426">(VLOOKUP($A426,'The List'!$B1:$AH671,17,FALSE)-AVERAGE('The List'!R2:R671))/STDEV('The List'!R2:R671)</f>
        <v>0.3634835464455754</v>
      </c>
      <c r="F426" s="55" cm="1">
        <f t="array" ref="F426">(VLOOKUP($A426,'The List'!$B1:$AH671,18,FALSE)-AVERAGE('The List'!S2:S671))/STDEV('The List'!S2:S671)</f>
        <v>-0.68990269201176246</v>
      </c>
      <c r="G426" s="55" cm="1">
        <f t="array" ref="G426">(VLOOKUP($A426,'The List'!$B1:$AH671,19,FALSE)-AVERAGE('The List'!T2:T671))/STDEV('The List'!T2:T671)</f>
        <v>-0.64757400025125555</v>
      </c>
      <c r="H426" s="55" cm="1">
        <f t="array" ref="H426">(VLOOKUP($A426,'The List'!$B1:$AH671,20,FALSE)-AVERAGE('The List'!U2:U671))/STDEV('The List'!U2:U671)</f>
        <v>-0.71298845453226856</v>
      </c>
      <c r="I426" s="55" cm="1">
        <f t="array" ref="I426">(VLOOKUP($A426,'The List'!$B1:$AH671,21,FALSE)-AVERAGE('The List'!V2:V671))/STDEV('The List'!V2:V671)</f>
        <v>-1.1205173187788766</v>
      </c>
      <c r="J426" s="55" cm="1">
        <f t="array" ref="J426">(VLOOKUP($A426,'The List'!$B1:$AH671,22,FALSE)-AVERAGE('The List'!W2:W671))/STDEV('The List'!W2:W671)</f>
        <v>-0.73853908386105271</v>
      </c>
      <c r="K426" s="55" cm="1">
        <f t="array" ref="K426">(VLOOKUP($A426,'The List'!$B1:$AH671,23,FALSE)-AVERAGE('The List'!X2:X671))/STDEV('The List'!X2:X671)</f>
        <v>-0.64880262649039944</v>
      </c>
      <c r="L426" s="55" cm="1">
        <f t="array" ref="L426">(VLOOKUP($A426,'The List'!$B1:$AH671,24,FALSE)-AVERAGE('The List'!Y2:Y671))/STDEV('The List'!Y2:Y671)</f>
        <v>0.91772410159517581</v>
      </c>
      <c r="M426" s="55" cm="1">
        <f t="array" ref="M426">(VLOOKUP($A426,'The List'!$B1:$AH671,25,FALSE)-AVERAGE('The List'!Z2:Z671))/STDEV('The List'!Z2:Z671)</f>
        <v>0.18194600030474953</v>
      </c>
      <c r="N426" s="55" cm="1">
        <f t="array" ref="N426">(VLOOKUP($A426,'The List'!$B1:$AH671,26,FALSE)-AVERAGE('The List'!AA2:AA671))/STDEV('The List'!AA2:AA671)</f>
        <v>0.80342253893832605</v>
      </c>
      <c r="O426" s="55" cm="1">
        <f t="array" ref="O426">(VLOOKUP($A426,'The List'!$B1:$AH671,27,FALSE)-AVERAGE('The List'!AB2:AB671))/STDEV('The List'!AB2:AB671)</f>
        <v>-8.6255399378713543E-2</v>
      </c>
      <c r="P426" s="55" cm="1">
        <f t="array" ref="P426">(VLOOKUP($A426,'The List'!$B1:$AH671,28,FALSE)-AVERAGE('The List'!AC2:AC671))/STDEV('The List'!AC2:AC671)</f>
        <v>-1.4245143419837389</v>
      </c>
      <c r="Q426" s="55" cm="1">
        <f t="array" ref="Q426">(VLOOKUP($A426,'The List'!$B1:$AH671,29,FALSE)-AVERAGE('The List'!AD2:AD671))/STDEV('The List'!AD2:AD671)</f>
        <v>0.43379528180436927</v>
      </c>
      <c r="R426" s="55" cm="1">
        <f t="array" ref="R426">(VLOOKUP($A426,'The List'!$B1:$AH671,30,FALSE)-AVERAGE('The List'!AE2:AE671))/STDEV('The List'!AE2:AE671)</f>
        <v>-0.87040997049975488</v>
      </c>
      <c r="S426" s="55" cm="1">
        <f t="array" ref="S426">(VLOOKUP($A426,'The List'!$B1:$AH671,31,FALSE)-AVERAGE('The List'!AF2:AF671))/STDEV('The List'!AF2:AF671)</f>
        <v>-0.59581850454342256</v>
      </c>
      <c r="T426" s="55" cm="1">
        <f t="array" ref="T426">(VLOOKUP($A426,'The List'!$B1:$AH671,32,FALSE)-AVERAGE('The List'!AG2:AG671))/STDEV('The List'!AG2:AG671)</f>
        <v>-0.64684275008198677</v>
      </c>
      <c r="U426" s="55" cm="1">
        <f t="array" ref="U426">(VLOOKUP($A426,'The List'!$B1:$AH671,33,FALSE)-AVERAGE('The List'!AH2:AH671))/STDEV('The List'!AH2:AH671)</f>
        <v>-1.2552626683789523</v>
      </c>
      <c r="V426" s="55"/>
      <c r="W426" s="77"/>
      <c r="X426" s="57"/>
      <c r="Y426" s="57"/>
      <c r="Z426" s="57"/>
      <c r="AA426" s="57"/>
      <c r="AB426" s="57"/>
      <c r="AC426" s="60"/>
      <c r="AD426" s="61"/>
      <c r="AE426" s="55"/>
    </row>
    <row r="427" spans="1:31" ht="21.25" customHeight="1" x14ac:dyDescent="0.15">
      <c r="A427" s="10" t="s">
        <v>382</v>
      </c>
      <c r="B427" s="18" t="str" cm="1">
        <f t="array" ref="B427">VLOOKUP(A427,'Player Data'!A1:B673,2,FALSE)</f>
        <v>MIN</v>
      </c>
      <c r="C427" s="52" cm="1">
        <f t="array" ref="C427">((E427)*Settings!$C$12)+(F427*Settings!$C$2)+(G427*Settings!$C$3)+(H427*Settings!$C$4)+(I427*Settings!$C$5)+(K427*Settings!$C$9)+(N427*Settings!$C$6)+(J427*Settings!$C$8)+(O427*Settings!$C$7)+(P427*Settings!$C$14)+(Q427*Settings!$C$15)+(R427*Settings!$C$16)+(S427*Settings!$C$17)+(T427*Settings!$C$18)+(U427*Settings!$C$19)+(L427*Settings!$C$10)+(Settings!$C$11*M427)</f>
        <v>-3.1868043467108826</v>
      </c>
      <c r="D427" s="57" cm="1">
        <f t="array" ref="D427">IF(Settings!$E$12="YES",VLOOKUP(A427,'Player Data'!A1:E673,5,FALSE),82)</f>
        <v>74</v>
      </c>
      <c r="E427" s="55" cm="1">
        <f t="array" ref="E427">(VLOOKUP($A427,'The List'!$B1:$AH671,17,FALSE)-AVERAGE('The List'!R2:R671))/STDEV('The List'!R2:R671)</f>
        <v>1.0192863008400543</v>
      </c>
      <c r="F427" s="55" cm="1">
        <f t="array" ref="F427">(VLOOKUP($A427,'The List'!$B1:$AH671,18,FALSE)-AVERAGE('The List'!S2:S671))/STDEV('The List'!S2:S671)</f>
        <v>-1.0032556321976516</v>
      </c>
      <c r="G427" s="55" cm="1">
        <f t="array" ref="G427">(VLOOKUP($A427,'The List'!$B1:$AH671,19,FALSE)-AVERAGE('The List'!T2:T671))/STDEV('The List'!T2:T671)</f>
        <v>-0.46626843884170399</v>
      </c>
      <c r="H427" s="55" cm="1">
        <f t="array" ref="H427">(VLOOKUP($A427,'The List'!$B1:$AH671,20,FALSE)-AVERAGE('The List'!U2:U671))/STDEV('The List'!U2:U671)</f>
        <v>-0.73774449276727594</v>
      </c>
      <c r="I427" s="55" cm="1">
        <f t="array" ref="I427">(VLOOKUP($A427,'The List'!$B1:$AH671,21,FALSE)-AVERAGE('The List'!V2:V671))/STDEV('The List'!V2:V671)</f>
        <v>-0.68824033079056812</v>
      </c>
      <c r="J427" s="55" cm="1">
        <f t="array" ref="J427">(VLOOKUP($A427,'The List'!$B1:$AH671,22,FALSE)-AVERAGE('The List'!W2:W671))/STDEV('The List'!W2:W671)</f>
        <v>-0.73853908386105271</v>
      </c>
      <c r="K427" s="55" cm="1">
        <f t="array" ref="K427">(VLOOKUP($A427,'The List'!$B1:$AH671,23,FALSE)-AVERAGE('The List'!X2:X671))/STDEV('The List'!X2:X671)</f>
        <v>-0.80155300200843405</v>
      </c>
      <c r="L427" s="55" cm="1">
        <f t="array" ref="L427">(VLOOKUP($A427,'The List'!$B1:$AH671,24,FALSE)-AVERAGE('The List'!Y2:Y671))/STDEV('The List'!Y2:Y671)</f>
        <v>-0.47546929358800777</v>
      </c>
      <c r="M427" s="55" cm="1">
        <f t="array" ref="M427">(VLOOKUP($A427,'The List'!$B1:$AH671,25,FALSE)-AVERAGE('The List'!Z2:Z671))/STDEV('The List'!Z2:Z671)</f>
        <v>0.16021361118783253</v>
      </c>
      <c r="N427" s="55" cm="1">
        <f t="array" ref="N427">(VLOOKUP($A427,'The List'!$B1:$AH671,26,FALSE)-AVERAGE('The List'!AA2:AA671))/STDEV('The List'!AA2:AA671)</f>
        <v>2.0625919171521554</v>
      </c>
      <c r="O427" s="55" cm="1">
        <f t="array" ref="O427">(VLOOKUP($A427,'The List'!$B1:$AH671,27,FALSE)-AVERAGE('The List'!AB2:AB671))/STDEV('The List'!AB2:AB671)</f>
        <v>-1.0861841271209405</v>
      </c>
      <c r="P427" s="55" cm="1">
        <f t="array" ref="P427">(VLOOKUP($A427,'The List'!$B1:$AH671,28,FALSE)-AVERAGE('The List'!AC2:AC671))/STDEV('The List'!AC2:AC671)</f>
        <v>0.8586971842484159</v>
      </c>
      <c r="Q427" s="55" cm="1">
        <f t="array" ref="Q427">(VLOOKUP($A427,'The List'!$B1:$AH671,29,FALSE)-AVERAGE('The List'!AD2:AD671))/STDEV('The List'!AD2:AD671)</f>
        <v>-0.62422926347984231</v>
      </c>
      <c r="R427" s="55" cm="1">
        <f t="array" ref="R427">(VLOOKUP($A427,'The List'!$B1:$AH671,30,FALSE)-AVERAGE('The List'!AE2:AE671))/STDEV('The List'!AE2:AE671)</f>
        <v>-0.88288594847976376</v>
      </c>
      <c r="S427" s="55" cm="1">
        <f t="array" ref="S427">(VLOOKUP($A427,'The List'!$B1:$AH671,31,FALSE)-AVERAGE('The List'!AF2:AF671))/STDEV('The List'!AF2:AF671)</f>
        <v>-0.59581850454342256</v>
      </c>
      <c r="T427" s="55" cm="1">
        <f t="array" ref="T427">(VLOOKUP($A427,'The List'!$B1:$AH671,32,FALSE)-AVERAGE('The List'!AG2:AG671))/STDEV('The List'!AG2:AG671)</f>
        <v>-0.64684275008198677</v>
      </c>
      <c r="U427" s="55" cm="1">
        <f t="array" ref="U427">(VLOOKUP($A427,'The List'!$B1:$AH671,33,FALSE)-AVERAGE('The List'!AH2:AH671))/STDEV('The List'!AH2:AH671)</f>
        <v>-1.2552626683789523</v>
      </c>
      <c r="V427" s="55"/>
      <c r="W427" s="77"/>
      <c r="X427" s="57"/>
      <c r="Y427" s="57"/>
      <c r="Z427" s="57"/>
      <c r="AA427" s="57"/>
      <c r="AB427" s="57"/>
      <c r="AC427" s="60"/>
      <c r="AD427" s="61"/>
      <c r="AE427" s="55"/>
    </row>
    <row r="428" spans="1:31" ht="21.25" customHeight="1" x14ac:dyDescent="0.15">
      <c r="A428" s="10" t="s">
        <v>756</v>
      </c>
      <c r="B428" s="18" t="str" cm="1">
        <f t="array" ref="B428">VLOOKUP(A428,'Player Data'!A1:B673,2,FALSE)</f>
        <v>N.J</v>
      </c>
      <c r="C428" s="52" cm="1">
        <f t="array" ref="C428">((E428)*Settings!$C$12)+(F428*Settings!$C$2)+(G428*Settings!$C$3)+(H428*Settings!$C$4)+(I428*Settings!$C$5)+(K428*Settings!$C$9)+(N428*Settings!$C$6)+(J428*Settings!$C$8)+(O428*Settings!$C$7)+(P428*Settings!$C$14)+(Q428*Settings!$C$15)+(R428*Settings!$C$16)+(S428*Settings!$C$17)+(T428*Settings!$C$18)+(U428*Settings!$C$19)+(L428*Settings!$C$10)+(Settings!$C$11*M428)</f>
        <v>-3.7842982068751092</v>
      </c>
      <c r="D428" s="57" cm="1">
        <f t="array" ref="D428">IF(Settings!$E$12="YES",VLOOKUP(A428,'Player Data'!A1:E673,5,FALSE),82)</f>
        <v>64</v>
      </c>
      <c r="E428" s="55" cm="1">
        <f t="array" ref="E428">(VLOOKUP($A428,'The List'!$B1:$AH671,17,FALSE)-AVERAGE('The List'!R2:R671))/STDEV('The List'!R2:R671)</f>
        <v>-1.4465320556831864</v>
      </c>
      <c r="F428" s="55" cm="1">
        <f t="array" ref="F428">(VLOOKUP($A428,'The List'!$B1:$AH671,18,FALSE)-AVERAGE('The List'!S2:S671))/STDEV('The List'!S2:S671)</f>
        <v>-0.73381202120978506</v>
      </c>
      <c r="G428" s="55" cm="1">
        <f t="array" ref="G428">(VLOOKUP($A428,'The List'!$B1:$AH671,19,FALSE)-AVERAGE('The List'!T2:T671))/STDEV('The List'!T2:T671)</f>
        <v>-0.85277254262175584</v>
      </c>
      <c r="H428" s="55" cm="1">
        <f t="array" ref="H428">(VLOOKUP($A428,'The List'!$B1:$AH671,20,FALSE)-AVERAGE('The List'!U2:U671))/STDEV('The List'!U2:U671)</f>
        <v>-0.86152468394231196</v>
      </c>
      <c r="I428" s="55" cm="1">
        <f t="array" ref="I428">(VLOOKUP($A428,'The List'!$B1:$AH671,21,FALSE)-AVERAGE('The List'!V2:V671))/STDEV('The List'!V2:V671)</f>
        <v>-0.76875235173483336</v>
      </c>
      <c r="J428" s="55" cm="1">
        <f t="array" ref="J428">(VLOOKUP($A428,'The List'!$B1:$AH671,22,FALSE)-AVERAGE('The List'!W2:W671))/STDEV('The List'!W2:W671)</f>
        <v>-0.73853908386105271</v>
      </c>
      <c r="K428" s="55" cm="1">
        <f t="array" ref="K428">(VLOOKUP($A428,'The List'!$B1:$AH671,23,FALSE)-AVERAGE('The List'!X2:X671))/STDEV('The List'!X2:X671)</f>
        <v>-0.80155300200843405</v>
      </c>
      <c r="L428" s="55" cm="1">
        <f t="array" ref="L428">(VLOOKUP($A428,'The List'!$B1:$AH671,24,FALSE)-AVERAGE('The List'!Y2:Y671))/STDEV('The List'!Y2:Y671)</f>
        <v>-0.47546929358800777</v>
      </c>
      <c r="M428" s="55" cm="1">
        <f t="array" ref="M428">(VLOOKUP($A428,'The List'!$B1:$AH671,25,FALSE)-AVERAGE('The List'!Z2:Z671))/STDEV('The List'!Z2:Z671)</f>
        <v>-0.64388478613809508</v>
      </c>
      <c r="N428" s="55" cm="1">
        <f t="array" ref="N428">(VLOOKUP($A428,'The List'!$B1:$AH671,26,FALSE)-AVERAGE('The List'!AA2:AA671))/STDEV('The List'!AA2:AA671)</f>
        <v>-0.8710428654369009</v>
      </c>
      <c r="O428" s="55" cm="1">
        <f t="array" ref="O428">(VLOOKUP($A428,'The List'!$B1:$AH671,27,FALSE)-AVERAGE('The List'!AB2:AB671))/STDEV('The List'!AB2:AB671)</f>
        <v>-0.52246866970168615</v>
      </c>
      <c r="P428" s="55" cm="1">
        <f t="array" ref="P428">(VLOOKUP($A428,'The List'!$B1:$AH671,28,FALSE)-AVERAGE('The List'!AC2:AC671))/STDEV('The List'!AC2:AC671)</f>
        <v>-0.1049396195986151</v>
      </c>
      <c r="Q428" s="55" cm="1">
        <f t="array" ref="Q428">(VLOOKUP($A428,'The List'!$B1:$AH671,29,FALSE)-AVERAGE('The List'!AD2:AD671))/STDEV('The List'!AD2:AD671)</f>
        <v>-0.90794534266220073</v>
      </c>
      <c r="R428" s="55" cm="1">
        <f t="array" ref="R428">(VLOOKUP($A428,'The List'!$B1:$AH671,30,FALSE)-AVERAGE('The List'!AE2:AE671))/STDEV('The List'!AE2:AE671)</f>
        <v>-0.54603454301952303</v>
      </c>
      <c r="S428" s="55" cm="1">
        <f t="array" ref="S428">(VLOOKUP($A428,'The List'!$B1:$AH671,31,FALSE)-AVERAGE('The List'!AF2:AF671))/STDEV('The List'!AF2:AF671)</f>
        <v>-0.59581850454342256</v>
      </c>
      <c r="T428" s="55" cm="1">
        <f t="array" ref="T428">(VLOOKUP($A428,'The List'!$B1:$AH671,32,FALSE)-AVERAGE('The List'!AG2:AG671))/STDEV('The List'!AG2:AG671)</f>
        <v>-0.60111651076691974</v>
      </c>
      <c r="U428" s="55" cm="1">
        <f t="array" ref="U428">(VLOOKUP($A428,'The List'!$B1:$AH671,33,FALSE)-AVERAGE('The List'!AH2:AH671))/STDEV('The List'!AH2:AH671)</f>
        <v>-1.2552626683789523</v>
      </c>
      <c r="V428" s="55"/>
      <c r="W428" s="57"/>
      <c r="X428" s="55"/>
      <c r="Y428" s="55"/>
      <c r="Z428" s="55"/>
      <c r="AA428" s="55"/>
      <c r="AB428" s="55"/>
      <c r="AC428" s="55"/>
      <c r="AD428" s="55"/>
      <c r="AE428" s="55"/>
    </row>
    <row r="429" spans="1:31" ht="21.25" customHeight="1" x14ac:dyDescent="0.15">
      <c r="A429" s="10" t="s">
        <v>730</v>
      </c>
      <c r="B429" s="18" t="str" cm="1">
        <f t="array" ref="B429">VLOOKUP(A429,'Player Data'!A1:B673,2,FALSE)</f>
        <v>UTA</v>
      </c>
      <c r="C429" s="52" cm="1">
        <f t="array" ref="C429">((E429)*Settings!$C$12)+(F429*Settings!$C$2)+(G429*Settings!$C$3)+(H429*Settings!$C$4)+(I429*Settings!$C$5)+(K429*Settings!$C$9)+(N429*Settings!$C$6)+(J429*Settings!$C$8)+(O429*Settings!$C$7)+(P429*Settings!$C$14)+(Q429*Settings!$C$15)+(R429*Settings!$C$16)+(S429*Settings!$C$17)+(T429*Settings!$C$18)+(U429*Settings!$C$19)+(L429*Settings!$C$10)+(Settings!$C$11*M429)</f>
        <v>-2.9853942071396324</v>
      </c>
      <c r="D429" s="57" cm="1">
        <f t="array" ref="D429">IF(Settings!$E$12="YES",VLOOKUP(A429,'Player Data'!A1:E673,5,FALSE),82)</f>
        <v>62</v>
      </c>
      <c r="E429" s="55" cm="1">
        <f t="array" ref="E429">(VLOOKUP($A429,'The List'!$B1:$AH671,17,FALSE)-AVERAGE('The List'!R2:R671))/STDEV('The List'!R2:R671)</f>
        <v>-1.1317467335738367</v>
      </c>
      <c r="F429" s="55" cm="1">
        <f t="array" ref="F429">(VLOOKUP($A429,'The List'!$B1:$AH671,18,FALSE)-AVERAGE('The List'!S2:S671))/STDEV('The List'!S2:S671)</f>
        <v>-0.50628186082003124</v>
      </c>
      <c r="G429" s="55" cm="1">
        <f t="array" ref="G429">(VLOOKUP($A429,'The List'!$B1:$AH671,19,FALSE)-AVERAGE('The List'!T2:T671))/STDEV('The List'!T2:T671)</f>
        <v>-0.9652101000850436</v>
      </c>
      <c r="H429" s="55" cm="1">
        <f t="array" ref="H429">(VLOOKUP($A429,'The List'!$B1:$AH671,20,FALSE)-AVERAGE('The List'!U2:U671))/STDEV('The List'!U2:U671)</f>
        <v>-0.83146378037123181</v>
      </c>
      <c r="I429" s="55" cm="1">
        <f t="array" ref="I429">(VLOOKUP($A429,'The List'!$B1:$AH671,21,FALSE)-AVERAGE('The List'!V2:V671))/STDEV('The List'!V2:V671)</f>
        <v>-0.62016793539992321</v>
      </c>
      <c r="J429" s="55" cm="1">
        <f t="array" ref="J429">(VLOOKUP($A429,'The List'!$B1:$AH671,22,FALSE)-AVERAGE('The List'!W2:W671))/STDEV('The List'!W2:W671)</f>
        <v>-0.39605494292185767</v>
      </c>
      <c r="K429" s="55" cm="1">
        <f t="array" ref="K429">(VLOOKUP($A429,'The List'!$B1:$AH671,23,FALSE)-AVERAGE('The List'!X2:X671))/STDEV('The List'!X2:X671)</f>
        <v>-0.42771655666166492</v>
      </c>
      <c r="L429" s="55" cm="1">
        <f t="array" ref="L429">(VLOOKUP($A429,'The List'!$B1:$AH671,24,FALSE)-AVERAGE('The List'!Y2:Y671))/STDEV('The List'!Y2:Y671)</f>
        <v>-0.47546929358800777</v>
      </c>
      <c r="M429" s="55" cm="1">
        <f t="array" ref="M429">(VLOOKUP($A429,'The List'!$B1:$AH671,25,FALSE)-AVERAGE('The List'!Z2:Z671))/STDEV('The List'!Z2:Z671)</f>
        <v>2.981927648633077E-2</v>
      </c>
      <c r="N429" s="55" cm="1">
        <f t="array" ref="N429">(VLOOKUP($A429,'The List'!$B1:$AH671,26,FALSE)-AVERAGE('The List'!AA2:AA671))/STDEV('The List'!AA2:AA671)</f>
        <v>-0.7045157995960456</v>
      </c>
      <c r="O429" s="55" cm="1">
        <f t="array" ref="O429">(VLOOKUP($A429,'The List'!$B1:$AH671,27,FALSE)-AVERAGE('The List'!AB2:AB671))/STDEV('The List'!AB2:AB671)</f>
        <v>-0.7647638226724347</v>
      </c>
      <c r="P429" s="55" cm="1">
        <f t="array" ref="P429">(VLOOKUP($A429,'The List'!$B1:$AH671,28,FALSE)-AVERAGE('The List'!AC2:AC671))/STDEV('The List'!AC2:AC671)</f>
        <v>0.2987460684994655</v>
      </c>
      <c r="Q429" s="55" cm="1">
        <f t="array" ref="Q429">(VLOOKUP($A429,'The List'!$B1:$AH671,29,FALSE)-AVERAGE('The List'!AD2:AD671))/STDEV('The List'!AD2:AD671)</f>
        <v>-0.99956199323150408</v>
      </c>
      <c r="R429" s="55" cm="1">
        <f t="array" ref="R429">(VLOOKUP($A429,'The List'!$B1:$AH671,30,FALSE)-AVERAGE('The List'!AE2:AE671))/STDEV('The List'!AE2:AE671)</f>
        <v>-0.5709864989795409</v>
      </c>
      <c r="S429" s="55" cm="1">
        <f t="array" ref="S429">(VLOOKUP($A429,'The List'!$B1:$AH671,31,FALSE)-AVERAGE('The List'!AF2:AF671))/STDEV('The List'!AF2:AF671)</f>
        <v>-0.52427956590487679</v>
      </c>
      <c r="T429" s="55" cm="1">
        <f t="array" ref="T429">(VLOOKUP($A429,'The List'!$B1:$AH671,32,FALSE)-AVERAGE('The List'!AG2:AG671))/STDEV('The List'!AG2:AG671)</f>
        <v>-0.49180221990433781</v>
      </c>
      <c r="U429" s="55" cm="1">
        <f t="array" ref="U429">(VLOOKUP($A429,'The List'!$B1:$AH671,33,FALSE)-AVERAGE('The List'!AH2:AH671))/STDEV('The List'!AH2:AH671)</f>
        <v>0.26271174307671047</v>
      </c>
      <c r="V429" s="55"/>
      <c r="W429" s="77"/>
      <c r="X429" s="57"/>
      <c r="Y429" s="57"/>
      <c r="Z429" s="57"/>
      <c r="AA429" s="57"/>
      <c r="AB429" s="57"/>
      <c r="AC429" s="60"/>
      <c r="AD429" s="61"/>
      <c r="AE429" s="55"/>
    </row>
    <row r="430" spans="1:31" ht="21.25" customHeight="1" x14ac:dyDescent="0.15">
      <c r="A430" s="10" t="s">
        <v>749</v>
      </c>
      <c r="B430" s="18" t="str" cm="1">
        <f t="array" ref="B430">VLOOKUP(A430,'Player Data'!A1:B673,2,FALSE)</f>
        <v>TOR</v>
      </c>
      <c r="C430" s="52" cm="1">
        <f t="array" ref="C430">((E430)*Settings!$C$12)+(F430*Settings!$C$2)+(G430*Settings!$C$3)+(H430*Settings!$C$4)+(I430*Settings!$C$5)+(K430*Settings!$C$9)+(N430*Settings!$C$6)+(J430*Settings!$C$8)+(O430*Settings!$C$7)+(P430*Settings!$C$14)+(Q430*Settings!$C$15)+(R430*Settings!$C$16)+(S430*Settings!$C$17)+(T430*Settings!$C$18)+(U430*Settings!$C$19)+(L430*Settings!$C$10)+(Settings!$C$11*M430)</f>
        <v>-0.35265592108372457</v>
      </c>
      <c r="D430" s="57" cm="1">
        <f t="array" ref="D430">IF(Settings!$E$12="YES",VLOOKUP(A430,'Player Data'!A1:E673,5,FALSE),82)</f>
        <v>74</v>
      </c>
      <c r="E430" s="55" cm="1">
        <f t="array" ref="E430">(VLOOKUP($A430,'The List'!$B1:$AH671,17,FALSE)-AVERAGE('The List'!R2:R671))/STDEV('The List'!R2:R671)</f>
        <v>-1.3678357251558491</v>
      </c>
      <c r="F430" s="55" cm="1">
        <f t="array" ref="F430">(VLOOKUP($A430,'The List'!$B1:$AH671,18,FALSE)-AVERAGE('The List'!S2:S671))/STDEV('The List'!S2:S671)</f>
        <v>-0.33862805842758109</v>
      </c>
      <c r="G430" s="55" cm="1">
        <f t="array" ref="G430">(VLOOKUP($A430,'The List'!$B1:$AH671,19,FALSE)-AVERAGE('The List'!T2:T671))/STDEV('The List'!T2:T671)</f>
        <v>-0.98629214210941007</v>
      </c>
      <c r="H430" s="55" cm="1">
        <f t="array" ref="H430">(VLOOKUP($A430,'The List'!$B1:$AH671,20,FALSE)-AVERAGE('The List'!U2:U671))/STDEV('The List'!U2:U671)</f>
        <v>-0.77045782900639237</v>
      </c>
      <c r="I430" s="55" cm="1">
        <f t="array" ref="I430">(VLOOKUP($A430,'The List'!$B1:$AH671,21,FALSE)-AVERAGE('The List'!V2:V671))/STDEV('The List'!V2:V671)</f>
        <v>-1.0334399399035339</v>
      </c>
      <c r="J430" s="55" cm="1">
        <f t="array" ref="J430">(VLOOKUP($A430,'The List'!$B1:$AH671,22,FALSE)-AVERAGE('The List'!W2:W671))/STDEV('The List'!W2:W671)</f>
        <v>-0.73853908386105271</v>
      </c>
      <c r="K430" s="55" cm="1">
        <f t="array" ref="K430">(VLOOKUP($A430,'The List'!$B1:$AH671,23,FALSE)-AVERAGE('The List'!X2:X671))/STDEV('The List'!X2:X671)</f>
        <v>-0.80155300200843405</v>
      </c>
      <c r="L430" s="55" cm="1">
        <f t="array" ref="L430">(VLOOKUP($A430,'The List'!$B1:$AH671,24,FALSE)-AVERAGE('The List'!Y2:Y671))/STDEV('The List'!Y2:Y671)</f>
        <v>-0.47546929358800777</v>
      </c>
      <c r="M430" s="55" cm="1">
        <f t="array" ref="M430">(VLOOKUP($A430,'The List'!$B1:$AH671,25,FALSE)-AVERAGE('The List'!Z2:Z671))/STDEV('The List'!Z2:Z671)</f>
        <v>0.16021361118783253</v>
      </c>
      <c r="N430" s="55" cm="1">
        <f t="array" ref="N430">(VLOOKUP($A430,'The List'!$B1:$AH671,26,FALSE)-AVERAGE('The List'!AA2:AA671))/STDEV('The List'!AA2:AA671)</f>
        <v>-0.62125226667561795</v>
      </c>
      <c r="O430" s="55" cm="1">
        <f t="array" ref="O430">(VLOOKUP($A430,'The List'!$B1:$AH671,27,FALSE)-AVERAGE('The List'!AB2:AB671))/STDEV('The List'!AB2:AB671)</f>
        <v>2.7515907069893446</v>
      </c>
      <c r="P430" s="55" cm="1">
        <f t="array" ref="P430">(VLOOKUP($A430,'The List'!$B1:$AH671,28,FALSE)-AVERAGE('The List'!AC2:AC671))/STDEV('The List'!AC2:AC671)</f>
        <v>5.5666514375890076E-2</v>
      </c>
      <c r="Q430" s="55" cm="1">
        <f t="array" ref="Q430">(VLOOKUP($A430,'The List'!$B1:$AH671,29,FALSE)-AVERAGE('The List'!AD2:AD671))/STDEV('The List'!AD2:AD671)</f>
        <v>0.35991088618396344</v>
      </c>
      <c r="R430" s="55" cm="1">
        <f t="array" ref="R430">(VLOOKUP($A430,'The List'!$B1:$AH671,30,FALSE)-AVERAGE('The List'!AE2:AE671))/STDEV('The List'!AE2:AE671)</f>
        <v>-0.42127476321943386</v>
      </c>
      <c r="S430" s="55" cm="1">
        <f t="array" ref="S430">(VLOOKUP($A430,'The List'!$B1:$AH671,31,FALSE)-AVERAGE('The List'!AF2:AF671))/STDEV('The List'!AF2:AF671)</f>
        <v>-0.51399103575121496</v>
      </c>
      <c r="T430" s="55" cm="1">
        <f t="array" ref="T430">(VLOOKUP($A430,'The List'!$B1:$AH671,32,FALSE)-AVERAGE('The List'!AG2:AG671))/STDEV('The List'!AG2:AG671)</f>
        <v>-0.522218334448735</v>
      </c>
      <c r="U430" s="55" cm="1">
        <f t="array" ref="U430">(VLOOKUP($A430,'The List'!$B1:$AH671,33,FALSE)-AVERAGE('The List'!AH2:AH671))/STDEV('The List'!AH2:AH671)</f>
        <v>0.63070553979323463</v>
      </c>
      <c r="V430" s="55"/>
      <c r="W430" s="57"/>
      <c r="X430" s="55"/>
      <c r="Y430" s="55"/>
      <c r="Z430" s="55"/>
      <c r="AA430" s="55"/>
      <c r="AB430" s="55"/>
      <c r="AC430" s="55"/>
      <c r="AD430" s="55"/>
      <c r="AE430" s="55"/>
    </row>
    <row r="431" spans="1:31" ht="21.25" customHeight="1" x14ac:dyDescent="0.15">
      <c r="A431" s="10" t="s">
        <v>355</v>
      </c>
      <c r="B431" s="18" t="str" cm="1">
        <f t="array" ref="B431">VLOOKUP(A431,'Player Data'!A1:B673,2,FALSE)</f>
        <v>COL</v>
      </c>
      <c r="C431" s="52" cm="1">
        <f t="array" ref="C431">((E431)*Settings!$C$12)+(F431*Settings!$C$2)+(G431*Settings!$C$3)+(H431*Settings!$C$4)+(I431*Settings!$C$5)+(K431*Settings!$C$9)+(N431*Settings!$C$6)+(J431*Settings!$C$8)+(O431*Settings!$C$7)+(P431*Settings!$C$14)+(Q431*Settings!$C$15)+(R431*Settings!$C$16)+(S431*Settings!$C$17)+(T431*Settings!$C$18)+(U431*Settings!$C$19)+(L431*Settings!$C$10)+(Settings!$C$11*M431)</f>
        <v>-0.91859130539771061</v>
      </c>
      <c r="D431" s="57" cm="1">
        <f t="array" ref="D431">IF(Settings!$E$12="YES",VLOOKUP(A431,'Player Data'!A1:E673,5,FALSE),82)</f>
        <v>84</v>
      </c>
      <c r="E431" s="55" cm="1">
        <f t="array" ref="E431">(VLOOKUP($A431,'The List'!$B1:$AH671,17,FALSE)-AVERAGE('The List'!R2:R671))/STDEV('The List'!R2:R671)</f>
        <v>0.41594776679713352</v>
      </c>
      <c r="F431" s="55" cm="1">
        <f t="array" ref="F431">(VLOOKUP($A431,'The List'!$B1:$AH671,18,FALSE)-AVERAGE('The List'!S2:S671))/STDEV('The List'!S2:S671)</f>
        <v>-0.86953176600367343</v>
      </c>
      <c r="G431" s="55" cm="1">
        <f t="array" ref="G431">(VLOOKUP($A431,'The List'!$B1:$AH671,19,FALSE)-AVERAGE('The List'!T2:T671))/STDEV('The List'!T2:T671)</f>
        <v>-0.48172860299290599</v>
      </c>
      <c r="H431" s="55" cm="1">
        <f t="array" ref="H431">(VLOOKUP($A431,'The List'!$B1:$AH671,20,FALSE)-AVERAGE('The List'!U2:U671))/STDEV('The List'!U2:U671)</f>
        <v>-0.6882324162972614</v>
      </c>
      <c r="I431" s="55" cm="1">
        <f t="array" ref="I431">(VLOOKUP($A431,'The List'!$B1:$AH671,21,FALSE)-AVERAGE('The List'!V2:V671))/STDEV('The List'!V2:V671)</f>
        <v>0.21052261545850504</v>
      </c>
      <c r="J431" s="55" cm="1">
        <f t="array" ref="J431">(VLOOKUP($A431,'The List'!$B1:$AH671,22,FALSE)-AVERAGE('The List'!W2:W671))/STDEV('The List'!W2:W671)</f>
        <v>-0.73853908386105271</v>
      </c>
      <c r="K431" s="55" cm="1">
        <f t="array" ref="K431">(VLOOKUP($A431,'The List'!$B1:$AH671,23,FALSE)-AVERAGE('The List'!X2:X671))/STDEV('The List'!X2:X671)</f>
        <v>-0.6327236395937641</v>
      </c>
      <c r="L431" s="55" cm="1">
        <f t="array" ref="L431">(VLOOKUP($A431,'The List'!$B1:$AH671,24,FALSE)-AVERAGE('The List'!Y2:Y671))/STDEV('The List'!Y2:Y671)</f>
        <v>-0.47546929358800777</v>
      </c>
      <c r="M431" s="55" cm="1">
        <f t="array" ref="M431">(VLOOKUP($A431,'The List'!$B1:$AH671,25,FALSE)-AVERAGE('The List'!Z2:Z671))/STDEV('The List'!Z2:Z671)</f>
        <v>-0.64388478613809508</v>
      </c>
      <c r="N431" s="55" cm="1">
        <f t="array" ref="N431">(VLOOKUP($A431,'The List'!$B1:$AH671,26,FALSE)-AVERAGE('The List'!AA2:AA671))/STDEV('The List'!AA2:AA671)</f>
        <v>0.73701604029013223</v>
      </c>
      <c r="O431" s="55" cm="1">
        <f t="array" ref="O431">(VLOOKUP($A431,'The List'!$B1:$AH671,27,FALSE)-AVERAGE('The List'!AB2:AB671))/STDEV('The List'!AB2:AB671)</f>
        <v>-1.0455966141867543</v>
      </c>
      <c r="P431" s="55" cm="1">
        <f t="array" ref="P431">(VLOOKUP($A431,'The List'!$B1:$AH671,28,FALSE)-AVERAGE('The List'!AC2:AC671))/STDEV('The List'!AC2:AC671)</f>
        <v>1.9004667019208823</v>
      </c>
      <c r="Q431" s="55" cm="1">
        <f t="array" ref="Q431">(VLOOKUP($A431,'The List'!$B1:$AH671,29,FALSE)-AVERAGE('The List'!AD2:AD671))/STDEV('The List'!AD2:AD671)</f>
        <v>-0.32573630517340252</v>
      </c>
      <c r="R431" s="55" cm="1">
        <f t="array" ref="R431">(VLOOKUP($A431,'The List'!$B1:$AH671,30,FALSE)-AVERAGE('The List'!AE2:AE671))/STDEV('The List'!AE2:AE671)</f>
        <v>-0.82050605857971926</v>
      </c>
      <c r="S431" s="55" cm="1">
        <f t="array" ref="S431">(VLOOKUP($A431,'The List'!$B1:$AH671,31,FALSE)-AVERAGE('The List'!AF2:AF671))/STDEV('The List'!AF2:AF671)</f>
        <v>-0.59581850454342256</v>
      </c>
      <c r="T431" s="55" cm="1">
        <f t="array" ref="T431">(VLOOKUP($A431,'The List'!$B1:$AH671,32,FALSE)-AVERAGE('The List'!AG2:AG671))/STDEV('The List'!AG2:AG671)</f>
        <v>-0.64684275008198677</v>
      </c>
      <c r="U431" s="55" cm="1">
        <f t="array" ref="U431">(VLOOKUP($A431,'The List'!$B1:$AH671,33,FALSE)-AVERAGE('The List'!AH2:AH671))/STDEV('The List'!AH2:AH671)</f>
        <v>-1.2552626683789523</v>
      </c>
      <c r="V431" s="55"/>
      <c r="W431" s="77"/>
      <c r="X431" s="57"/>
      <c r="Y431" s="57"/>
      <c r="Z431" s="57"/>
      <c r="AA431" s="57"/>
      <c r="AB431" s="57"/>
      <c r="AC431" s="60"/>
      <c r="AD431" s="61"/>
      <c r="AE431" s="55"/>
    </row>
    <row r="432" spans="1:31" ht="21.25" customHeight="1" x14ac:dyDescent="0.15">
      <c r="A432" s="10" t="s">
        <v>367</v>
      </c>
      <c r="B432" s="18" t="str" cm="1">
        <f t="array" ref="B432">VLOOKUP(A432,'Player Data'!A1:B673,2,FALSE)</f>
        <v>CHI</v>
      </c>
      <c r="C432" s="52" cm="1">
        <f t="array" ref="C432">((E432)*Settings!$C$12)+(F432*Settings!$C$2)+(G432*Settings!$C$3)+(H432*Settings!$C$4)+(I432*Settings!$C$5)+(K432*Settings!$C$9)+(N432*Settings!$C$6)+(J432*Settings!$C$8)+(O432*Settings!$C$7)+(P432*Settings!$C$14)+(Q432*Settings!$C$15)+(R432*Settings!$C$16)+(S432*Settings!$C$17)+(T432*Settings!$C$18)+(U432*Settings!$C$19)+(L432*Settings!$C$10)+(Settings!$C$11*M432)</f>
        <v>-6.1047226589952999</v>
      </c>
      <c r="D432" s="57" cm="1">
        <f t="array" ref="D432">IF(Settings!$E$12="YES",VLOOKUP(A432,'Player Data'!A1:E673,5,FALSE),82)</f>
        <v>83</v>
      </c>
      <c r="E432" s="55" cm="1">
        <f t="array" ref="E432">(VLOOKUP($A432,'The List'!$B1:$AH671,17,FALSE)-AVERAGE('The List'!R2:R671))/STDEV('The List'!R2:R671)</f>
        <v>1.3340716229494043</v>
      </c>
      <c r="F432" s="55" cm="1">
        <f t="array" ref="F432">(VLOOKUP($A432,'The List'!$B1:$AH671,18,FALSE)-AVERAGE('The List'!S2:S671))/STDEV('The List'!S2:S671)</f>
        <v>-1.0411773255959438</v>
      </c>
      <c r="G432" s="55" cm="1">
        <f t="array" ref="G432">(VLOOKUP($A432,'The List'!$B1:$AH671,19,FALSE)-AVERAGE('The List'!T2:T671))/STDEV('The List'!T2:T671)</f>
        <v>-0.32080234887357534</v>
      </c>
      <c r="H432" s="55" cm="1">
        <f t="array" ref="H432">(VLOOKUP($A432,'The List'!$B1:$AH671,20,FALSE)-AVERAGE('The List'!U2:U671))/STDEV('The List'!U2:U671)</f>
        <v>-0.66303430595091473</v>
      </c>
      <c r="I432" s="55" cm="1">
        <f t="array" ref="I432">(VLOOKUP($A432,'The List'!$B1:$AH671,21,FALSE)-AVERAGE('The List'!V2:V671))/STDEV('The List'!V2:V671)</f>
        <v>-0.54933117877514059</v>
      </c>
      <c r="J432" s="55" cm="1">
        <f t="array" ref="J432">(VLOOKUP($A432,'The List'!$B1:$AH671,22,FALSE)-AVERAGE('The List'!W2:W671))/STDEV('The List'!W2:W671)</f>
        <v>-0.73853908386105271</v>
      </c>
      <c r="K432" s="55" cm="1">
        <f t="array" ref="K432">(VLOOKUP($A432,'The List'!$B1:$AH671,23,FALSE)-AVERAGE('The List'!X2:X671))/STDEV('The List'!X2:X671)</f>
        <v>-0.80155300200843405</v>
      </c>
      <c r="L432" s="55" cm="1">
        <f t="array" ref="L432">(VLOOKUP($A432,'The List'!$B1:$AH671,24,FALSE)-AVERAGE('The List'!Y2:Y671))/STDEV('The List'!Y2:Y671)</f>
        <v>-0.47546929358800777</v>
      </c>
      <c r="M432" s="55" cm="1">
        <f t="array" ref="M432">(VLOOKUP($A432,'The List'!$B1:$AH671,25,FALSE)-AVERAGE('The List'!Z2:Z671))/STDEV('The List'!Z2:Z671)</f>
        <v>0.25800936221395893</v>
      </c>
      <c r="N432" s="55" cm="1">
        <f t="array" ref="N432">(VLOOKUP($A432,'The List'!$B1:$AH671,26,FALSE)-AVERAGE('The List'!AA2:AA671))/STDEV('The List'!AA2:AA671)</f>
        <v>1.8960648513113003</v>
      </c>
      <c r="O432" s="55" cm="1">
        <f t="array" ref="O432">(VLOOKUP($A432,'The List'!$B1:$AH671,27,FALSE)-AVERAGE('The List'!AB2:AB671))/STDEV('The List'!AB2:AB671)</f>
        <v>-0.76496881011149631</v>
      </c>
      <c r="P432" s="55" cm="1">
        <f t="array" ref="P432">(VLOOKUP($A432,'The List'!$B1:$AH671,28,FALSE)-AVERAGE('The List'!AC2:AC671))/STDEV('The List'!AC2:AC671)</f>
        <v>-2.62688999363071</v>
      </c>
      <c r="Q432" s="55" cm="1">
        <f t="array" ref="Q432">(VLOOKUP($A432,'The List'!$B1:$AH671,29,FALSE)-AVERAGE('The List'!AD2:AD671))/STDEV('The List'!AD2:AD671)</f>
        <v>-0.59541434918788427</v>
      </c>
      <c r="R432" s="55" cm="1">
        <f t="array" ref="R432">(VLOOKUP($A432,'The List'!$B1:$AH671,30,FALSE)-AVERAGE('The List'!AE2:AE671))/STDEV('The List'!AE2:AE671)</f>
        <v>-0.82674404756972364</v>
      </c>
      <c r="S432" s="55" cm="1">
        <f t="array" ref="S432">(VLOOKUP($A432,'The List'!$B1:$AH671,31,FALSE)-AVERAGE('The List'!AF2:AF671))/STDEV('The List'!AF2:AF671)</f>
        <v>-0.59581850454342256</v>
      </c>
      <c r="T432" s="55" cm="1">
        <f t="array" ref="T432">(VLOOKUP($A432,'The List'!$B1:$AH671,32,FALSE)-AVERAGE('The List'!AG2:AG671))/STDEV('The List'!AG2:AG671)</f>
        <v>-0.64684275008198677</v>
      </c>
      <c r="U432" s="55" cm="1">
        <f t="array" ref="U432">(VLOOKUP($A432,'The List'!$B1:$AH671,33,FALSE)-AVERAGE('The List'!AH2:AH671))/STDEV('The List'!AH2:AH671)</f>
        <v>-1.2552626683789523</v>
      </c>
      <c r="V432" s="55"/>
      <c r="W432" s="57"/>
      <c r="X432" s="55"/>
      <c r="Y432" s="55"/>
      <c r="Z432" s="55"/>
      <c r="AA432" s="55"/>
      <c r="AB432" s="55"/>
      <c r="AC432" s="55"/>
      <c r="AD432" s="55"/>
      <c r="AE432" s="55"/>
    </row>
    <row r="433" spans="1:31" ht="21.25" customHeight="1" x14ac:dyDescent="0.15">
      <c r="A433" s="10" t="s">
        <v>719</v>
      </c>
      <c r="B433" s="18" t="str" cm="1">
        <f t="array" ref="B433">VLOOKUP(A433,'Player Data'!A1:B673,2,FALSE)</f>
        <v>S.J</v>
      </c>
      <c r="C433" s="52" cm="1">
        <f t="array" ref="C433">((E433)*Settings!$C$12)+(F433*Settings!$C$2)+(G433*Settings!$C$3)+(H433*Settings!$C$4)+(I433*Settings!$C$5)+(K433*Settings!$C$9)+(N433*Settings!$C$6)+(J433*Settings!$C$8)+(O433*Settings!$C$7)+(P433*Settings!$C$14)+(Q433*Settings!$C$15)+(R433*Settings!$C$16)+(S433*Settings!$C$17)+(T433*Settings!$C$18)+(U433*Settings!$C$19)+(L433*Settings!$C$10)+(Settings!$C$11*M433)</f>
        <v>-3.4730851234203177</v>
      </c>
      <c r="D433" s="57" cm="1">
        <f t="array" ref="D433">IF(Settings!$E$12="YES",VLOOKUP(A433,'Player Data'!A1:E673,5,FALSE),82)</f>
        <v>73</v>
      </c>
      <c r="E433" s="55" cm="1">
        <f t="array" ref="E433">(VLOOKUP($A433,'The List'!$B1:$AH671,17,FALSE)-AVERAGE('The List'!R2:R671))/STDEV('The List'!R2:R671)</f>
        <v>-1.6563889370894198</v>
      </c>
      <c r="F433" s="55" cm="1">
        <f t="array" ref="F433">(VLOOKUP($A433,'The List'!$B1:$AH671,18,FALSE)-AVERAGE('The List'!S2:S671))/STDEV('The List'!S2:S671)</f>
        <v>-6.1200933040074526E-2</v>
      </c>
      <c r="G433" s="55" cm="1">
        <f t="array" ref="G433">(VLOOKUP($A433,'The List'!$B1:$AH671,19,FALSE)-AVERAGE('The List'!T2:T671))/STDEV('The List'!T2:T671)</f>
        <v>-1.2006262360238025</v>
      </c>
      <c r="H433" s="55" cm="1">
        <f t="array" ref="H433">(VLOOKUP($A433,'The List'!$B1:$AH671,20,FALSE)-AVERAGE('The List'!U2:U671))/STDEV('The List'!U2:U671)</f>
        <v>-0.78239377601255689</v>
      </c>
      <c r="I433" s="55" cm="1">
        <f t="array" ref="I433">(VLOOKUP($A433,'The List'!$B1:$AH671,21,FALSE)-AVERAGE('The List'!V2:V671))/STDEV('The List'!V2:V671)</f>
        <v>-0.67061752792293927</v>
      </c>
      <c r="J433" s="55" cm="1">
        <f t="array" ref="J433">(VLOOKUP($A433,'The List'!$B1:$AH671,22,FALSE)-AVERAGE('The List'!W2:W671))/STDEV('The List'!W2:W671)</f>
        <v>-0.73853908386105271</v>
      </c>
      <c r="K433" s="55" cm="1">
        <f t="array" ref="K433">(VLOOKUP($A433,'The List'!$B1:$AH671,23,FALSE)-AVERAGE('The List'!X2:X671))/STDEV('The List'!X2:X671)</f>
        <v>-0.80155300200843405</v>
      </c>
      <c r="L433" s="55" cm="1">
        <f t="array" ref="L433">(VLOOKUP($A433,'The List'!$B1:$AH671,24,FALSE)-AVERAGE('The List'!Y2:Y671))/STDEV('The List'!Y2:Y671)</f>
        <v>-0.47546929358800777</v>
      </c>
      <c r="M433" s="55" cm="1">
        <f t="array" ref="M433">(VLOOKUP($A433,'The List'!$B1:$AH671,25,FALSE)-AVERAGE('The List'!Z2:Z671))/STDEV('The List'!Z2:Z671)</f>
        <v>-0.64388478613809508</v>
      </c>
      <c r="N433" s="55" cm="1">
        <f t="array" ref="N433">(VLOOKUP($A433,'The List'!$B1:$AH671,26,FALSE)-AVERAGE('The List'!AA2:AA671))/STDEV('The List'!AA2:AA671)</f>
        <v>-0.76530328682016158</v>
      </c>
      <c r="O433" s="55" cm="1">
        <f t="array" ref="O433">(VLOOKUP($A433,'The List'!$B1:$AH671,27,FALSE)-AVERAGE('The List'!AB2:AB671))/STDEV('The List'!AB2:AB671)</f>
        <v>-0.31727624320107733</v>
      </c>
      <c r="P433" s="55" cm="1">
        <f t="array" ref="P433">(VLOOKUP($A433,'The List'!$B1:$AH671,28,FALSE)-AVERAGE('The List'!AC2:AC671))/STDEV('The List'!AC2:AC671)</f>
        <v>-0.42181118122399019</v>
      </c>
      <c r="Q433" s="55" cm="1">
        <f t="array" ref="Q433">(VLOOKUP($A433,'The List'!$B1:$AH671,29,FALSE)-AVERAGE('The List'!AD2:AD671))/STDEV('The List'!AD2:AD671)</f>
        <v>-1.0254215316986459</v>
      </c>
      <c r="R433" s="55" cm="1">
        <f t="array" ref="R433">(VLOOKUP($A433,'The List'!$B1:$AH671,30,FALSE)-AVERAGE('The List'!AE2:AE671))/STDEV('The List'!AE2:AE671)</f>
        <v>2.1622455070882677E-2</v>
      </c>
      <c r="S433" s="55" cm="1">
        <f t="array" ref="S433">(VLOOKUP($A433,'The List'!$B1:$AH671,31,FALSE)-AVERAGE('The List'!AF2:AF671))/STDEV('The List'!AF2:AF671)</f>
        <v>-0.59581850454342256</v>
      </c>
      <c r="T433" s="55" cm="1">
        <f t="array" ref="T433">(VLOOKUP($A433,'The List'!$B1:$AH671,32,FALSE)-AVERAGE('The List'!AG2:AG671))/STDEV('The List'!AG2:AG671)</f>
        <v>-0.64684275008198677</v>
      </c>
      <c r="U433" s="55" cm="1">
        <f t="array" ref="U433">(VLOOKUP($A433,'The List'!$B1:$AH671,33,FALSE)-AVERAGE('The List'!AH2:AH671))/STDEV('The List'!AH2:AH671)</f>
        <v>0.99869933650975895</v>
      </c>
      <c r="V433" s="55"/>
      <c r="W433" s="57"/>
      <c r="X433" s="55"/>
      <c r="Y433" s="55"/>
      <c r="Z433" s="55"/>
      <c r="AA433" s="55"/>
      <c r="AB433" s="55"/>
      <c r="AC433" s="55"/>
      <c r="AD433" s="55"/>
      <c r="AE433" s="55"/>
    </row>
    <row r="434" spans="1:31" ht="21.25" customHeight="1" x14ac:dyDescent="0.15">
      <c r="A434" s="10" t="s">
        <v>744</v>
      </c>
      <c r="B434" s="18" t="str" cm="1">
        <f t="array" ref="B434">VLOOKUP(A434,'Player Data'!A1:B673,2,FALSE)</f>
        <v>L.A</v>
      </c>
      <c r="C434" s="52" cm="1">
        <f t="array" ref="C434">((E434)*Settings!$C$12)+(F434*Settings!$C$2)+(G434*Settings!$C$3)+(H434*Settings!$C$4)+(I434*Settings!$C$5)+(K434*Settings!$C$9)+(N434*Settings!$C$6)+(J434*Settings!$C$8)+(O434*Settings!$C$7)+(P434*Settings!$C$14)+(Q434*Settings!$C$15)+(R434*Settings!$C$16)+(S434*Settings!$C$17)+(T434*Settings!$C$18)+(U434*Settings!$C$19)+(L434*Settings!$C$10)+(Settings!$C$11*M434)</f>
        <v>-3.5793658419889987</v>
      </c>
      <c r="D434" s="57" cm="1">
        <f t="array" ref="D434">IF(Settings!$E$12="YES",VLOOKUP(A434,'Player Data'!A1:E673,5,FALSE),82)</f>
        <v>72</v>
      </c>
      <c r="E434" s="55" cm="1">
        <f t="array" ref="E434">(VLOOKUP($A434,'The List'!$B1:$AH671,17,FALSE)-AVERAGE('The List'!R2:R671))/STDEV('The List'!R2:R671)</f>
        <v>-1.5776926065620822</v>
      </c>
      <c r="F434" s="55" cm="1">
        <f t="array" ref="F434">(VLOOKUP($A434,'The List'!$B1:$AH671,18,FALSE)-AVERAGE('The List'!S2:S671))/STDEV('The List'!S2:S671)</f>
        <v>-0.72582850681014466</v>
      </c>
      <c r="G434" s="55" cm="1">
        <f t="array" ref="G434">(VLOOKUP($A434,'The List'!$B1:$AH671,19,FALSE)-AVERAGE('The List'!T2:T671))/STDEV('The List'!T2:T671)</f>
        <v>-0.70098184004631725</v>
      </c>
      <c r="H434" s="55" cm="1">
        <f t="array" ref="H434">(VLOOKUP($A434,'The List'!$B1:$AH671,20,FALSE)-AVERAGE('The List'!U2:U671))/STDEV('The List'!U2:U671)</f>
        <v>-0.7625005310022831</v>
      </c>
      <c r="I434" s="55" cm="1">
        <f t="array" ref="I434">(VLOOKUP($A434,'The List'!$B1:$AH671,21,FALSE)-AVERAGE('The List'!V2:V671))/STDEV('The List'!V2:V671)</f>
        <v>-0.87794462048327893</v>
      </c>
      <c r="J434" s="55" cm="1">
        <f t="array" ref="J434">(VLOOKUP($A434,'The List'!$B1:$AH671,22,FALSE)-AVERAGE('The List'!W2:W671))/STDEV('The List'!W2:W671)</f>
        <v>-0.73853908386105271</v>
      </c>
      <c r="K434" s="55" cm="1">
        <f t="array" ref="K434">(VLOOKUP($A434,'The List'!$B1:$AH671,23,FALSE)-AVERAGE('The List'!X2:X671))/STDEV('The List'!X2:X671)</f>
        <v>-0.72919756097357558</v>
      </c>
      <c r="L434" s="55" cm="1">
        <f t="array" ref="L434">(VLOOKUP($A434,'The List'!$B1:$AH671,24,FALSE)-AVERAGE('The List'!Y2:Y671))/STDEV('The List'!Y2:Y671)</f>
        <v>-0.47546929358800777</v>
      </c>
      <c r="M434" s="55" cm="1">
        <f t="array" ref="M434">(VLOOKUP($A434,'The List'!$B1:$AH671,25,FALSE)-AVERAGE('The List'!Z2:Z671))/STDEV('The List'!Z2:Z671)</f>
        <v>-0.64388478613809508</v>
      </c>
      <c r="N434" s="55" cm="1">
        <f t="array" ref="N434">(VLOOKUP($A434,'The List'!$B1:$AH671,26,FALSE)-AVERAGE('The List'!AA2:AA671))/STDEV('The List'!AA2:AA671)</f>
        <v>-0.70349416115530417</v>
      </c>
      <c r="O434" s="55" cm="1">
        <f t="array" ref="O434">(VLOOKUP($A434,'The List'!$B1:$AH671,27,FALSE)-AVERAGE('The List'!AB2:AB671))/STDEV('The List'!AB2:AB671)</f>
        <v>-0.44047369407706727</v>
      </c>
      <c r="P434" s="55" cm="1">
        <f t="array" ref="P434">(VLOOKUP($A434,'The List'!$B1:$AH671,28,FALSE)-AVERAGE('The List'!AC2:AC671))/STDEV('The List'!AC2:AC671)</f>
        <v>-0.1049396195986151</v>
      </c>
      <c r="Q434" s="55" cm="1">
        <f t="array" ref="Q434">(VLOOKUP($A434,'The List'!$B1:$AH671,29,FALSE)-AVERAGE('The List'!AD2:AD671))/STDEV('The List'!AD2:AD671)</f>
        <v>-0.8311055712169787</v>
      </c>
      <c r="R434" s="55" cm="1">
        <f t="array" ref="R434">(VLOOKUP($A434,'The List'!$B1:$AH671,30,FALSE)-AVERAGE('The List'!AE2:AE671))/STDEV('The List'!AE2:AE671)</f>
        <v>-0.89536192645977275</v>
      </c>
      <c r="S434" s="55" cm="1">
        <f t="array" ref="S434">(VLOOKUP($A434,'The List'!$B1:$AH671,31,FALSE)-AVERAGE('The List'!AF2:AF671))/STDEV('The List'!AF2:AF671)</f>
        <v>0.4772655750347643</v>
      </c>
      <c r="T434" s="55" cm="1">
        <f t="array" ref="T434">(VLOOKUP($A434,'The List'!$B1:$AH671,32,FALSE)-AVERAGE('The List'!AG2:AG671))/STDEV('The List'!AG2:AG671)</f>
        <v>0.51427711252560671</v>
      </c>
      <c r="U434" s="55" cm="1">
        <f t="array" ref="U434">(VLOOKUP($A434,'The List'!$B1:$AH671,33,FALSE)-AVERAGE('The List'!AH2:AH671))/STDEV('The List'!AH2:AH671)</f>
        <v>1.0446985610993245</v>
      </c>
      <c r="V434" s="55"/>
      <c r="W434" s="77"/>
      <c r="X434" s="57"/>
      <c r="Y434" s="57"/>
      <c r="Z434" s="57"/>
      <c r="AA434" s="57"/>
      <c r="AB434" s="57"/>
      <c r="AC434" s="60"/>
      <c r="AD434" s="61"/>
      <c r="AE434" s="55"/>
    </row>
    <row r="435" spans="1:31" ht="21.25" customHeight="1" x14ac:dyDescent="0.15">
      <c r="A435" s="10" t="s">
        <v>457</v>
      </c>
      <c r="B435" s="18" t="str" cm="1">
        <f t="array" ref="B435">VLOOKUP(A435,'Player Data'!A1:B673,2,FALSE)</f>
        <v>BUF</v>
      </c>
      <c r="C435" s="52" cm="1">
        <f t="array" ref="C435">((E435)*Settings!$C$12)+(F435*Settings!$C$2)+(G435*Settings!$C$3)+(H435*Settings!$C$4)+(I435*Settings!$C$5)+(K435*Settings!$C$9)+(N435*Settings!$C$6)+(J435*Settings!$C$8)+(O435*Settings!$C$7)+(P435*Settings!$C$14)+(Q435*Settings!$C$15)+(R435*Settings!$C$16)+(S435*Settings!$C$17)+(T435*Settings!$C$18)+(U435*Settings!$C$19)+(L435*Settings!$C$10)+(Settings!$C$11*M435)</f>
        <v>-2.1519536494077642</v>
      </c>
      <c r="D435" s="57" cm="1">
        <f t="array" ref="D435">IF(Settings!$E$12="YES",VLOOKUP(A435,'Player Data'!A1:E673,5,FALSE),82)</f>
        <v>71</v>
      </c>
      <c r="E435" s="55" cm="1">
        <f t="array" ref="E435">(VLOOKUP($A435,'The List'!$B1:$AH671,17,FALSE)-AVERAGE('The List'!R2:R671))/STDEV('The List'!R2:R671)</f>
        <v>0.12739455486356333</v>
      </c>
      <c r="F435" s="55" cm="1">
        <f t="array" ref="F435">(VLOOKUP($A435,'The List'!$B1:$AH671,18,FALSE)-AVERAGE('The List'!S2:S671))/STDEV('The List'!S2:S671)</f>
        <v>-0.73480996050974023</v>
      </c>
      <c r="G435" s="55" cm="1">
        <f t="array" ref="G435">(VLOOKUP($A435,'The List'!$B1:$AH671,19,FALSE)-AVERAGE('The List'!T2:T671))/STDEV('The List'!T2:T671)</f>
        <v>-0.56465130162208088</v>
      </c>
      <c r="H435" s="55" cm="1">
        <f t="array" ref="H435">(VLOOKUP($A435,'The List'!$B1:$AH671,20,FALSE)-AVERAGE('The List'!U2:U671))/STDEV('The List'!U2:U671)</f>
        <v>-0.68071719040449141</v>
      </c>
      <c r="I435" s="55" cm="1">
        <f t="array" ref="I435">(VLOOKUP($A435,'The List'!$B1:$AH671,21,FALSE)-AVERAGE('The List'!V2:V671))/STDEV('The List'!V2:V671)</f>
        <v>-0.38087791606986421</v>
      </c>
      <c r="J435" s="55" cm="1">
        <f t="array" ref="J435">(VLOOKUP($A435,'The List'!$B1:$AH671,22,FALSE)-AVERAGE('The List'!W2:W671))/STDEV('The List'!W2:W671)</f>
        <v>-0.73853908386105271</v>
      </c>
      <c r="K435" s="55" cm="1">
        <f t="array" ref="K435">(VLOOKUP($A435,'The List'!$B1:$AH671,23,FALSE)-AVERAGE('The List'!X2:X671))/STDEV('The List'!X2:X671)</f>
        <v>-0.80155300200843405</v>
      </c>
      <c r="L435" s="55" cm="1">
        <f t="array" ref="L435">(VLOOKUP($A435,'The List'!$B1:$AH671,24,FALSE)-AVERAGE('The List'!Y2:Y671))/STDEV('The List'!Y2:Y671)</f>
        <v>0.8260666413857557</v>
      </c>
      <c r="M435" s="55" cm="1">
        <f t="array" ref="M435">(VLOOKUP($A435,'The List'!$B1:$AH671,25,FALSE)-AVERAGE('The List'!Z2:Z671))/STDEV('The List'!Z2:Z671)</f>
        <v>0.89911484116300922</v>
      </c>
      <c r="N435" s="55" cm="1">
        <f t="array" ref="N435">(VLOOKUP($A435,'The List'!$B1:$AH671,26,FALSE)-AVERAGE('The List'!AA2:AA671))/STDEV('The List'!AA2:AA671)</f>
        <v>1.006473179035688</v>
      </c>
      <c r="O435" s="55" cm="1">
        <f t="array" ref="O435">(VLOOKUP($A435,'The List'!$B1:$AH671,27,FALSE)-AVERAGE('The List'!AB2:AB671))/STDEV('The List'!AB2:AB671)</f>
        <v>0.58897322489002257</v>
      </c>
      <c r="P435" s="55" cm="1">
        <f t="array" ref="P435">(VLOOKUP($A435,'The List'!$B1:$AH671,28,FALSE)-AVERAGE('The List'!AC2:AC671))/STDEV('The List'!AC2:AC671)</f>
        <v>-0.25903469408766738</v>
      </c>
      <c r="Q435" s="55" cm="1">
        <f t="array" ref="Q435">(VLOOKUP($A435,'The List'!$B1:$AH671,29,FALSE)-AVERAGE('The List'!AD2:AD671))/STDEV('The List'!AD2:AD671)</f>
        <v>0.30154221364384287</v>
      </c>
      <c r="R435" s="55" cm="1">
        <f t="array" ref="R435">(VLOOKUP($A435,'The List'!$B1:$AH671,30,FALSE)-AVERAGE('The List'!AE2:AE671))/STDEV('The List'!AE2:AE671)</f>
        <v>-0.90159991544977713</v>
      </c>
      <c r="S435" s="55" cm="1">
        <f t="array" ref="S435">(VLOOKUP($A435,'The List'!$B1:$AH671,31,FALSE)-AVERAGE('The List'!AF2:AF671))/STDEV('The List'!AF2:AF671)</f>
        <v>-0.59581850454342256</v>
      </c>
      <c r="T435" s="55" cm="1">
        <f t="array" ref="T435">(VLOOKUP($A435,'The List'!$B1:$AH671,32,FALSE)-AVERAGE('The List'!AG2:AG671))/STDEV('The List'!AG2:AG671)</f>
        <v>-0.64684275008198677</v>
      </c>
      <c r="U435" s="55" cm="1">
        <f t="array" ref="U435">(VLOOKUP($A435,'The List'!$B1:$AH671,33,FALSE)-AVERAGE('The List'!AH2:AH671))/STDEV('The List'!AH2:AH671)</f>
        <v>-1.2552626683789523</v>
      </c>
      <c r="V435" s="55"/>
      <c r="W435" s="77"/>
      <c r="X435" s="57"/>
      <c r="Y435" s="57"/>
      <c r="Z435" s="57"/>
      <c r="AA435" s="57"/>
      <c r="AB435" s="57"/>
      <c r="AC435" s="60"/>
      <c r="AD435" s="61"/>
      <c r="AE435" s="55"/>
    </row>
    <row r="436" spans="1:31" ht="21.25" customHeight="1" x14ac:dyDescent="0.15">
      <c r="A436" s="10" t="s">
        <v>739</v>
      </c>
      <c r="B436" s="18" t="str" cm="1">
        <f t="array" ref="B436">VLOOKUP(A436,'Player Data'!A1:B673,2,FALSE)</f>
        <v>PIT</v>
      </c>
      <c r="C436" s="52" cm="1">
        <f t="array" ref="C436">((E436)*Settings!$C$12)+(F436*Settings!$C$2)+(G436*Settings!$C$3)+(H436*Settings!$C$4)+(I436*Settings!$C$5)+(K436*Settings!$C$9)+(N436*Settings!$C$6)+(J436*Settings!$C$8)+(O436*Settings!$C$7)+(P436*Settings!$C$14)+(Q436*Settings!$C$15)+(R436*Settings!$C$16)+(S436*Settings!$C$17)+(T436*Settings!$C$18)+(U436*Settings!$C$19)+(L436*Settings!$C$10)+(Settings!$C$11*M436)</f>
        <v>-4.1669641457534263</v>
      </c>
      <c r="D436" s="57" cm="1">
        <f t="array" ref="D436">IF(Settings!$E$12="YES",VLOOKUP(A436,'Player Data'!A1:E673,5,FALSE),82)</f>
        <v>72</v>
      </c>
      <c r="E436" s="55" cm="1">
        <f t="array" ref="E436">(VLOOKUP($A436,'The List'!$B1:$AH671,17,FALSE)-AVERAGE('The List'!R2:R671))/STDEV('The List'!R2:R671)</f>
        <v>-1.7350852676167574</v>
      </c>
      <c r="F436" s="55" cm="1">
        <f t="array" ref="F436">(VLOOKUP($A436,'The List'!$B1:$AH671,18,FALSE)-AVERAGE('The List'!S2:S671))/STDEV('The List'!S2:S671)</f>
        <v>-0.86953176600367321</v>
      </c>
      <c r="G436" s="55" cm="1">
        <f t="array" ref="G436">(VLOOKUP($A436,'The List'!$B1:$AH671,19,FALSE)-AVERAGE('The List'!T2:T671))/STDEV('The List'!T2:T671)</f>
        <v>-0.65038493918783769</v>
      </c>
      <c r="H436" s="55" cm="1">
        <f t="array" ref="H436">(VLOOKUP($A436,'The List'!$B1:$AH671,20,FALSE)-AVERAGE('The List'!U2:U671))/STDEV('The List'!U2:U671)</f>
        <v>-0.79432972301872096</v>
      </c>
      <c r="I436" s="55" cm="1">
        <f t="array" ref="I436">(VLOOKUP($A436,'The List'!$B1:$AH671,21,FALSE)-AVERAGE('The List'!V2:V671))/STDEV('The List'!V2:V671)</f>
        <v>-1.1142975060020663</v>
      </c>
      <c r="J436" s="55" cm="1">
        <f t="array" ref="J436">(VLOOKUP($A436,'The List'!$B1:$AH671,22,FALSE)-AVERAGE('The List'!W2:W671))/STDEV('The List'!W2:W671)</f>
        <v>-0.73853908386105271</v>
      </c>
      <c r="K436" s="55" cm="1">
        <f t="array" ref="K436">(VLOOKUP($A436,'The List'!$B1:$AH671,23,FALSE)-AVERAGE('The List'!X2:X671))/STDEV('The List'!X2:X671)</f>
        <v>-0.80155300200843405</v>
      </c>
      <c r="L436" s="55" cm="1">
        <f t="array" ref="L436">(VLOOKUP($A436,'The List'!$B1:$AH671,24,FALSE)-AVERAGE('The List'!Y2:Y671))/STDEV('The List'!Y2:Y671)</f>
        <v>-0.47546929358800777</v>
      </c>
      <c r="M436" s="55" cm="1">
        <f t="array" ref="M436">(VLOOKUP($A436,'The List'!$B1:$AH671,25,FALSE)-AVERAGE('The List'!Z2:Z671))/STDEV('The List'!Z2:Z671)</f>
        <v>-0.64388478613809508</v>
      </c>
      <c r="N436" s="55" cm="1">
        <f t="array" ref="N436">(VLOOKUP($A436,'The List'!$B1:$AH671,26,FALSE)-AVERAGE('The List'!AA2:AA671))/STDEV('The List'!AA2:AA671)</f>
        <v>-0.90577857242211002</v>
      </c>
      <c r="O436" s="55" cm="1">
        <f t="array" ref="O436">(VLOOKUP($A436,'The List'!$B1:$AH671,27,FALSE)-AVERAGE('The List'!AB2:AB671))/STDEV('The List'!AB2:AB671)</f>
        <v>-0.46999188530193003</v>
      </c>
      <c r="P436" s="55" cm="1">
        <f t="array" ref="P436">(VLOOKUP($A436,'The List'!$B1:$AH671,28,FALSE)-AVERAGE('The List'!AC2:AC671))/STDEV('The List'!AC2:AC671)</f>
        <v>-0.26120504724948501</v>
      </c>
      <c r="Q436" s="55" cm="1">
        <f t="array" ref="Q436">(VLOOKUP($A436,'The List'!$B1:$AH671,29,FALSE)-AVERAGE('The List'!AD2:AD671))/STDEV('The List'!AD2:AD671)</f>
        <v>-1.0970893954504395</v>
      </c>
      <c r="R436" s="55" cm="1">
        <f t="array" ref="R436">(VLOOKUP($A436,'The List'!$B1:$AH671,30,FALSE)-AVERAGE('The List'!AE2:AE671))/STDEV('The List'!AE2:AE671)</f>
        <v>-0.89536192645977275</v>
      </c>
      <c r="S436" s="55" cm="1">
        <f t="array" ref="S436">(VLOOKUP($A436,'The List'!$B1:$AH671,31,FALSE)-AVERAGE('The List'!AF2:AF671))/STDEV('The List'!AF2:AF671)</f>
        <v>3.4185697015383813E-2</v>
      </c>
      <c r="T436" s="55" cm="1">
        <f t="array" ref="T436">(VLOOKUP($A436,'The List'!$B1:$AH671,32,FALSE)-AVERAGE('The List'!AG2:AG671))/STDEV('The List'!AG2:AG671)</f>
        <v>0.39302092434190222</v>
      </c>
      <c r="U436" s="55" cm="1">
        <f t="array" ref="U436">(VLOOKUP($A436,'The List'!$B1:$AH671,33,FALSE)-AVERAGE('The List'!AH2:AH671))/STDEV('The List'!AH2:AH671)</f>
        <v>0.53870709061410371</v>
      </c>
      <c r="V436" s="55"/>
      <c r="W436" s="77"/>
      <c r="X436" s="57"/>
      <c r="Y436" s="57"/>
      <c r="Z436" s="57"/>
      <c r="AA436" s="57"/>
      <c r="AB436" s="57"/>
      <c r="AC436" s="60"/>
      <c r="AD436" s="61"/>
      <c r="AE436" s="55"/>
    </row>
    <row r="437" spans="1:31" ht="21.25" customHeight="1" x14ac:dyDescent="0.15">
      <c r="A437" s="10" t="s">
        <v>727</v>
      </c>
      <c r="B437" s="18" t="str" cm="1">
        <f t="array" ref="B437">VLOOKUP(A437,'Player Data'!A1:B673,2,FALSE)</f>
        <v>EDM</v>
      </c>
      <c r="C437" s="52" cm="1">
        <f t="array" ref="C437">((E437)*Settings!$C$12)+(F437*Settings!$C$2)+(G437*Settings!$C$3)+(H437*Settings!$C$4)+(I437*Settings!$C$5)+(K437*Settings!$C$9)+(N437*Settings!$C$6)+(J437*Settings!$C$8)+(O437*Settings!$C$7)+(P437*Settings!$C$14)+(Q437*Settings!$C$15)+(R437*Settings!$C$16)+(S437*Settings!$C$17)+(T437*Settings!$C$18)+(U437*Settings!$C$19)+(L437*Settings!$C$10)+(Settings!$C$11*M437)</f>
        <v>-1.4501069590465332</v>
      </c>
      <c r="D437" s="57" cm="1">
        <f t="array" ref="D437">IF(Settings!$E$12="YES",VLOOKUP(A437,'Player Data'!A1:E673,5,FALSE),82)</f>
        <v>74</v>
      </c>
      <c r="E437" s="55" cm="1">
        <f t="array" ref="E437">(VLOOKUP($A437,'The List'!$B1:$AH671,17,FALSE)-AVERAGE('The List'!R2:R671))/STDEV('The List'!R2:R671)</f>
        <v>-1.2629072844527325</v>
      </c>
      <c r="F437" s="55" cm="1">
        <f t="array" ref="F437">(VLOOKUP($A437,'The List'!$B1:$AH671,18,FALSE)-AVERAGE('The List'!S2:S671))/STDEV('The List'!S2:S671)</f>
        <v>-0.41247556662425555</v>
      </c>
      <c r="G437" s="55" cm="1">
        <f t="array" ref="G437">(VLOOKUP($A437,'The List'!$B1:$AH671,19,FALSE)-AVERAGE('The List'!T2:T671))/STDEV('The List'!T2:T671)</f>
        <v>-0.72628029047555698</v>
      </c>
      <c r="H437" s="55" cm="1">
        <f t="array" ref="H437">(VLOOKUP($A437,'The List'!$B1:$AH671,20,FALSE)-AVERAGE('The List'!U2:U671))/STDEV('The List'!U2:U671)</f>
        <v>-0.63960448404992565</v>
      </c>
      <c r="I437" s="55" cm="1">
        <f t="array" ref="I437">(VLOOKUP($A437,'The List'!$B1:$AH671,21,FALSE)-AVERAGE('The List'!V2:V671))/STDEV('The List'!V2:V671)</f>
        <v>-0.5220331115880289</v>
      </c>
      <c r="J437" s="55" cm="1">
        <f t="array" ref="J437">(VLOOKUP($A437,'The List'!$B1:$AH671,22,FALSE)-AVERAGE('The List'!W2:W671))/STDEV('The List'!W2:W671)</f>
        <v>-0.73853908386105271</v>
      </c>
      <c r="K437" s="55" cm="1">
        <f t="array" ref="K437">(VLOOKUP($A437,'The List'!$B1:$AH671,23,FALSE)-AVERAGE('The List'!X2:X671))/STDEV('The List'!X2:X671)</f>
        <v>-0.7271876876114961</v>
      </c>
      <c r="L437" s="55" cm="1">
        <f t="array" ref="L437">(VLOOKUP($A437,'The List'!$B1:$AH671,24,FALSE)-AVERAGE('The List'!Y2:Y671))/STDEV('The List'!Y2:Y671)</f>
        <v>-0.47546929358800777</v>
      </c>
      <c r="M437" s="55" cm="1">
        <f t="array" ref="M437">(VLOOKUP($A437,'The List'!$B1:$AH671,25,FALSE)-AVERAGE('The List'!Z2:Z671))/STDEV('The List'!Z2:Z671)</f>
        <v>0.16021361118783253</v>
      </c>
      <c r="N437" s="55" cm="1">
        <f t="array" ref="N437">(VLOOKUP($A437,'The List'!$B1:$AH671,26,FALSE)-AVERAGE('The List'!AA2:AA671))/STDEV('The List'!AA2:AA671)</f>
        <v>-0.94255755628880211</v>
      </c>
      <c r="O437" s="55" cm="1">
        <f t="array" ref="O437">(VLOOKUP($A437,'The List'!$B1:$AH671,27,FALSE)-AVERAGE('The List'!AB2:AB671))/STDEV('The List'!AB2:AB671)</f>
        <v>0.40038478095339891</v>
      </c>
      <c r="P437" s="55" cm="1">
        <f t="array" ref="P437">(VLOOKUP($A437,'The List'!$B1:$AH671,28,FALSE)-AVERAGE('The List'!AC2:AC671))/STDEV('The List'!AC2:AC671)</f>
        <v>0.53748491629940554</v>
      </c>
      <c r="Q437" s="55" cm="1">
        <f t="array" ref="Q437">(VLOOKUP($A437,'The List'!$B1:$AH671,29,FALSE)-AVERAGE('The List'!AD2:AD671))/STDEV('The List'!AD2:AD671)</f>
        <v>-1.0069504327935446</v>
      </c>
      <c r="R437" s="55" cm="1">
        <f t="array" ref="R437">(VLOOKUP($A437,'The List'!$B1:$AH671,30,FALSE)-AVERAGE('The List'!AE2:AE671))/STDEV('The List'!AE2:AE671)</f>
        <v>-0.42127476321943386</v>
      </c>
      <c r="S437" s="55" cm="1">
        <f t="array" ref="S437">(VLOOKUP($A437,'The List'!$B1:$AH671,31,FALSE)-AVERAGE('The List'!AF2:AF671))/STDEV('The List'!AF2:AF671)</f>
        <v>-0.56024134419898441</v>
      </c>
      <c r="T437" s="55" cm="1">
        <f t="array" ref="T437">(VLOOKUP($A437,'The List'!$B1:$AH671,32,FALSE)-AVERAGE('The List'!AG2:AG671))/STDEV('The List'!AG2:AG671)</f>
        <v>-0.54110082166589435</v>
      </c>
      <c r="U437" s="55" cm="1">
        <f t="array" ref="U437">(VLOOKUP($A437,'The List'!$B1:$AH671,33,FALSE)-AVERAGE('The List'!AH2:AH671))/STDEV('The List'!AH2:AH671)</f>
        <v>-5.928282905024828E-2</v>
      </c>
      <c r="V437" s="55"/>
      <c r="W437" s="57"/>
      <c r="X437" s="55"/>
      <c r="Y437" s="55"/>
      <c r="Z437" s="55"/>
      <c r="AA437" s="55"/>
      <c r="AB437" s="55"/>
      <c r="AC437" s="55"/>
      <c r="AD437" s="55"/>
      <c r="AE437" s="55"/>
    </row>
    <row r="438" spans="1:31" ht="21.25" customHeight="1" x14ac:dyDescent="0.15">
      <c r="A438" s="10" t="s">
        <v>768</v>
      </c>
      <c r="B438" s="18" t="str" cm="1">
        <f t="array" ref="B438">VLOOKUP(A438,'Player Data'!A1:B673,2,FALSE)</f>
        <v>EDM</v>
      </c>
      <c r="C438" s="52" cm="1">
        <f t="array" ref="C438">((E438)*Settings!$C$12)+(F438*Settings!$C$2)+(G438*Settings!$C$3)+(H438*Settings!$C$4)+(I438*Settings!$C$5)+(K438*Settings!$C$9)+(N438*Settings!$C$6)+(J438*Settings!$C$8)+(O438*Settings!$C$7)+(P438*Settings!$C$14)+(Q438*Settings!$C$15)+(R438*Settings!$C$16)+(S438*Settings!$C$17)+(T438*Settings!$C$18)+(U438*Settings!$C$19)+(L438*Settings!$C$10)+(Settings!$C$11*M438)</f>
        <v>-2.7384303578022071</v>
      </c>
      <c r="D438" s="57" cm="1">
        <f t="array" ref="D438">IF(Settings!$E$12="YES",VLOOKUP(A438,'Player Data'!A1:E673,5,FALSE),82)</f>
        <v>62</v>
      </c>
      <c r="E438" s="55" cm="1">
        <f t="array" ref="E438">(VLOOKUP($A438,'The List'!$B1:$AH671,17,FALSE)-AVERAGE('The List'!R2:R671))/STDEV('The List'!R2:R671)</f>
        <v>-1.2891393946285115</v>
      </c>
      <c r="F438" s="55" cm="1">
        <f t="array" ref="F438">(VLOOKUP($A438,'The List'!$B1:$AH671,18,FALSE)-AVERAGE('The List'!S2:S671))/STDEV('The List'!S2:S671)</f>
        <v>-0.44440962422281771</v>
      </c>
      <c r="G438" s="55" cm="1">
        <f t="array" ref="G438">(VLOOKUP($A438,'The List'!$B1:$AH671,19,FALSE)-AVERAGE('The List'!T2:T671))/STDEV('The List'!T2:T671)</f>
        <v>-0.74736233249992357</v>
      </c>
      <c r="H438" s="55" cm="1">
        <f t="array" ref="H438">(VLOOKUP($A438,'The List'!$B1:$AH671,20,FALSE)-AVERAGE('The List'!U2:U671))/STDEV('The List'!U2:U671)</f>
        <v>-0.66701295495296953</v>
      </c>
      <c r="I438" s="55" cm="1">
        <f t="array" ref="I438">(VLOOKUP($A438,'The List'!$B1:$AH671,21,FALSE)-AVERAGE('The List'!V2:V671))/STDEV('The List'!V2:V671)</f>
        <v>-0.40592993975423863</v>
      </c>
      <c r="J438" s="55" cm="1">
        <f t="array" ref="J438">(VLOOKUP($A438,'The List'!$B1:$AH671,22,FALSE)-AVERAGE('The List'!W2:W671))/STDEV('The List'!W2:W671)</f>
        <v>-0.56729701339145522</v>
      </c>
      <c r="K438" s="55" cm="1">
        <f t="array" ref="K438">(VLOOKUP($A438,'The List'!$B1:$AH671,23,FALSE)-AVERAGE('The List'!X2:X671))/STDEV('The List'!X2:X671)</f>
        <v>-0.67694085355951095</v>
      </c>
      <c r="L438" s="55" cm="1">
        <f t="array" ref="L438">(VLOOKUP($A438,'The List'!$B1:$AH671,24,FALSE)-AVERAGE('The List'!Y2:Y671))/STDEV('The List'!Y2:Y671)</f>
        <v>-0.47546929358800777</v>
      </c>
      <c r="M438" s="55" cm="1">
        <f t="array" ref="M438">(VLOOKUP($A438,'The List'!$B1:$AH671,25,FALSE)-AVERAGE('The List'!Z2:Z671))/STDEV('The List'!Z2:Z671)</f>
        <v>-0.64388478613809508</v>
      </c>
      <c r="N438" s="55" cm="1">
        <f t="array" ref="N438">(VLOOKUP($A438,'The List'!$B1:$AH671,26,FALSE)-AVERAGE('The List'!AA2:AA671))/STDEV('The List'!AA2:AA671)</f>
        <v>-1.1162360912148477</v>
      </c>
      <c r="O438" s="55" cm="1">
        <f t="array" ref="O438">(VLOOKUP($A438,'The List'!$B1:$AH671,27,FALSE)-AVERAGE('The List'!AB2:AB671))/STDEV('The List'!AB2:AB671)</f>
        <v>-1.031657468330569</v>
      </c>
      <c r="P438" s="55" cm="1">
        <f t="array" ref="P438">(VLOOKUP($A438,'The List'!$B1:$AH671,28,FALSE)-AVERAGE('The List'!AC2:AC671))/STDEV('The List'!AC2:AC671)</f>
        <v>0.56786986056485256</v>
      </c>
      <c r="Q438" s="55" cm="1">
        <f t="array" ref="Q438">(VLOOKUP($A438,'The List'!$B1:$AH671,29,FALSE)-AVERAGE('The List'!AD2:AD671))/STDEV('The List'!AD2:AD671)</f>
        <v>-0.81632869209289738</v>
      </c>
      <c r="R438" s="55" cm="1">
        <f t="array" ref="R438">(VLOOKUP($A438,'The List'!$B1:$AH671,30,FALSE)-AVERAGE('The List'!AE2:AE671))/STDEV('The List'!AE2:AE671)</f>
        <v>-0.18423118159926449</v>
      </c>
      <c r="S438" s="55" cm="1">
        <f t="array" ref="S438">(VLOOKUP($A438,'The List'!$B1:$AH671,31,FALSE)-AVERAGE('The List'!AF2:AF671))/STDEV('The List'!AF2:AF671)</f>
        <v>-0.59581850454342256</v>
      </c>
      <c r="T438" s="55" cm="1">
        <f t="array" ref="T438">(VLOOKUP($A438,'The List'!$B1:$AH671,32,FALSE)-AVERAGE('The List'!AG2:AG671))/STDEV('The List'!AG2:AG671)</f>
        <v>-0.64684275008198677</v>
      </c>
      <c r="U438" s="55" cm="1">
        <f t="array" ref="U438">(VLOOKUP($A438,'The List'!$B1:$AH671,33,FALSE)-AVERAGE('The List'!AH2:AH671))/STDEV('The List'!AH2:AH671)</f>
        <v>-1.2552626683789523</v>
      </c>
      <c r="V438" s="55"/>
      <c r="W438" s="77"/>
      <c r="X438" s="57"/>
      <c r="Y438" s="57"/>
      <c r="Z438" s="57"/>
      <c r="AA438" s="57"/>
      <c r="AB438" s="57"/>
      <c r="AC438" s="60"/>
      <c r="AD438" s="61"/>
      <c r="AE438" s="55"/>
    </row>
    <row r="439" spans="1:31" ht="21.25" customHeight="1" x14ac:dyDescent="0.15">
      <c r="A439" s="10" t="s">
        <v>399</v>
      </c>
      <c r="B439" s="18" t="str" cm="1">
        <f t="array" ref="B439">VLOOKUP(A439,'Player Data'!A1:B673,2,FALSE)</f>
        <v>L.A</v>
      </c>
      <c r="C439" s="52" cm="1">
        <f t="array" ref="C439">((E439)*Settings!$C$12)+(F439*Settings!$C$2)+(G439*Settings!$C$3)+(H439*Settings!$C$4)+(I439*Settings!$C$5)+(K439*Settings!$C$9)+(N439*Settings!$C$6)+(J439*Settings!$C$8)+(O439*Settings!$C$7)+(P439*Settings!$C$14)+(Q439*Settings!$C$15)+(R439*Settings!$C$16)+(S439*Settings!$C$17)+(T439*Settings!$C$18)+(U439*Settings!$C$19)+(L439*Settings!$C$10)+(Settings!$C$11*M439)</f>
        <v>-2.675686829595342</v>
      </c>
      <c r="D439" s="57" cm="1">
        <f t="array" ref="D439">IF(Settings!$E$12="YES",VLOOKUP(A439,'Player Data'!A1:E673,5,FALSE),82)</f>
        <v>82</v>
      </c>
      <c r="E439" s="55" cm="1">
        <f t="array" ref="E439">(VLOOKUP($A439,'The List'!$B1:$AH671,17,FALSE)-AVERAGE('The List'!R2:R671))/STDEV('The List'!R2:R671)</f>
        <v>0.9930541906642758</v>
      </c>
      <c r="F439" s="55" cm="1">
        <f t="array" ref="F439">(VLOOKUP($A439,'The List'!$B1:$AH671,18,FALSE)-AVERAGE('The List'!S2:S671))/STDEV('The List'!S2:S671)</f>
        <v>-0.9633380601994489</v>
      </c>
      <c r="G439" s="55" cm="1">
        <f t="array" ref="G439">(VLOOKUP($A439,'The List'!$B1:$AH671,19,FALSE)-AVERAGE('The List'!T2:T671))/STDEV('The List'!T2:T671)</f>
        <v>-0.39458949595885801</v>
      </c>
      <c r="H439" s="55" cm="1">
        <f t="array" ref="H439">(VLOOKUP($A439,'The List'!$B1:$AH671,20,FALSE)-AVERAGE('The List'!U2:U671))/STDEV('The List'!U2:U671)</f>
        <v>-0.67497025295707891</v>
      </c>
      <c r="I439" s="55" cm="1">
        <f t="array" ref="I439">(VLOOKUP($A439,'The List'!$B1:$AH671,21,FALSE)-AVERAGE('The List'!V2:V671))/STDEV('The List'!V2:V671)</f>
        <v>-0.89487633304237335</v>
      </c>
      <c r="J439" s="55" cm="1">
        <f t="array" ref="J439">(VLOOKUP($A439,'The List'!$B1:$AH671,22,FALSE)-AVERAGE('The List'!W2:W671))/STDEV('The List'!W2:W671)</f>
        <v>-0.73853908386105271</v>
      </c>
      <c r="K439" s="55" cm="1">
        <f t="array" ref="K439">(VLOOKUP($A439,'The List'!$B1:$AH671,23,FALSE)-AVERAGE('The List'!X2:X671))/STDEV('The List'!X2:X671)</f>
        <v>-0.80155300200843405</v>
      </c>
      <c r="L439" s="55" cm="1">
        <f t="array" ref="L439">(VLOOKUP($A439,'The List'!$B1:$AH671,24,FALSE)-AVERAGE('The List'!Y2:Y671))/STDEV('The List'!Y2:Y671)</f>
        <v>-0.47546929358800777</v>
      </c>
      <c r="M439" s="55" cm="1">
        <f t="array" ref="M439">(VLOOKUP($A439,'The List'!$B1:$AH671,25,FALSE)-AVERAGE('The List'!Z2:Z671))/STDEV('The List'!Z2:Z671)</f>
        <v>-0.64388478613809508</v>
      </c>
      <c r="N439" s="55" cm="1">
        <f t="array" ref="N439">(VLOOKUP($A439,'The List'!$B1:$AH671,26,FALSE)-AVERAGE('The List'!AA2:AA671))/STDEV('The List'!AA2:AA671)</f>
        <v>1.7489489158445326</v>
      </c>
      <c r="O439" s="55" cm="1">
        <f t="array" ref="O439">(VLOOKUP($A439,'The List'!$B1:$AH671,27,FALSE)-AVERAGE('The List'!AB2:AB671))/STDEV('The List'!AB2:AB671)</f>
        <v>0.4836096812123874</v>
      </c>
      <c r="P439" s="55" cm="1">
        <f t="array" ref="P439">(VLOOKUP($A439,'The List'!$B1:$AH671,28,FALSE)-AVERAGE('The List'!AC2:AC671))/STDEV('The List'!AC2:AC671)</f>
        <v>-0.1049396195986151</v>
      </c>
      <c r="Q439" s="55" cm="1">
        <f t="array" ref="Q439">(VLOOKUP($A439,'The List'!$B1:$AH671,29,FALSE)-AVERAGE('The List'!AD2:AD671))/STDEV('The List'!AD2:AD671)</f>
        <v>-0.43508521069160322</v>
      </c>
      <c r="R439" s="55" cm="1">
        <f t="array" ref="R439">(VLOOKUP($A439,'The List'!$B1:$AH671,30,FALSE)-AVERAGE('The List'!AE2:AE671))/STDEV('The List'!AE2:AE671)</f>
        <v>-0.83298203655972802</v>
      </c>
      <c r="S439" s="55" cm="1">
        <f t="array" ref="S439">(VLOOKUP($A439,'The List'!$B1:$AH671,31,FALSE)-AVERAGE('The List'!AF2:AF671))/STDEV('The List'!AF2:AF671)</f>
        <v>-0.59581850454342256</v>
      </c>
      <c r="T439" s="55" cm="1">
        <f t="array" ref="T439">(VLOOKUP($A439,'The List'!$B1:$AH671,32,FALSE)-AVERAGE('The List'!AG2:AG671))/STDEV('The List'!AG2:AG671)</f>
        <v>-0.64684275008198677</v>
      </c>
      <c r="U439" s="55" cm="1">
        <f t="array" ref="U439">(VLOOKUP($A439,'The List'!$B1:$AH671,33,FALSE)-AVERAGE('The List'!AH2:AH671))/STDEV('The List'!AH2:AH671)</f>
        <v>-1.2552626683789523</v>
      </c>
      <c r="V439" s="55"/>
      <c r="W439" s="57"/>
      <c r="X439" s="55"/>
      <c r="Y439" s="55"/>
      <c r="Z439" s="55"/>
      <c r="AA439" s="55"/>
      <c r="AB439" s="55"/>
      <c r="AC439" s="55"/>
      <c r="AD439" s="55"/>
      <c r="AE439" s="55"/>
    </row>
    <row r="440" spans="1:31" ht="21.25" customHeight="1" x14ac:dyDescent="0.15">
      <c r="A440" s="10" t="s">
        <v>668</v>
      </c>
      <c r="B440" s="18" t="str" cm="1">
        <f t="array" ref="B440">VLOOKUP(A440,'Player Data'!A1:B673,2,FALSE)</f>
        <v>BOS</v>
      </c>
      <c r="C440" s="52" cm="1">
        <f t="array" ref="C440">((E440)*Settings!$C$12)+(F440*Settings!$C$2)+(G440*Settings!$C$3)+(H440*Settings!$C$4)+(I440*Settings!$C$5)+(K440*Settings!$C$9)+(N440*Settings!$C$6)+(J440*Settings!$C$8)+(O440*Settings!$C$7)+(P440*Settings!$C$14)+(Q440*Settings!$C$15)+(R440*Settings!$C$16)+(S440*Settings!$C$17)+(T440*Settings!$C$18)+(U440*Settings!$C$19)+(L440*Settings!$C$10)+(Settings!$C$11*M440)</f>
        <v>-1.7628096282874823</v>
      </c>
      <c r="D440" s="57" cm="1">
        <f t="array" ref="D440">IF(Settings!$E$12="YES",VLOOKUP(A440,'Player Data'!A1:E673,5,FALSE),82)</f>
        <v>79</v>
      </c>
      <c r="E440" s="55" cm="1">
        <f t="array" ref="E440">(VLOOKUP($A440,'The List'!$B1:$AH671,17,FALSE)-AVERAGE('The List'!R2:R671))/STDEV('The List'!R2:R671)</f>
        <v>-1.3153715048042907</v>
      </c>
      <c r="F440" s="55" cm="1">
        <f t="array" ref="F440">(VLOOKUP($A440,'The List'!$B1:$AH671,18,FALSE)-AVERAGE('The List'!S2:S671))/STDEV('The List'!S2:S671)</f>
        <v>-0.34760951212717678</v>
      </c>
      <c r="G440" s="55" cm="1">
        <f t="array" ref="G440">(VLOOKUP($A440,'The List'!$B1:$AH671,19,FALSE)-AVERAGE('The List'!T2:T671))/STDEV('The List'!T2:T671)</f>
        <v>-0.88509834039245106</v>
      </c>
      <c r="H440" s="55" cm="1">
        <f t="array" ref="H440">(VLOOKUP($A440,'The List'!$B1:$AH671,20,FALSE)-AVERAGE('The List'!U2:U671))/STDEV('The List'!U2:U671)</f>
        <v>-0.71077809397557168</v>
      </c>
      <c r="I440" s="55" cm="1">
        <f t="array" ref="I440">(VLOOKUP($A440,'The List'!$B1:$AH671,21,FALSE)-AVERAGE('The List'!V2:V671))/STDEV('The List'!V2:V671)</f>
        <v>0.36826397838149738</v>
      </c>
      <c r="J440" s="55" cm="1">
        <f t="array" ref="J440">(VLOOKUP($A440,'The List'!$B1:$AH671,22,FALSE)-AVERAGE('The List'!W2:W671))/STDEV('The List'!W2:W671)</f>
        <v>-0.73853908386105271</v>
      </c>
      <c r="K440" s="55" cm="1">
        <f t="array" ref="K440">(VLOOKUP($A440,'The List'!$B1:$AH671,23,FALSE)-AVERAGE('The List'!X2:X671))/STDEV('The List'!X2:X671)</f>
        <v>-0.72216300420629753</v>
      </c>
      <c r="L440" s="55" cm="1">
        <f t="array" ref="L440">(VLOOKUP($A440,'The List'!$B1:$AH671,24,FALSE)-AVERAGE('The List'!Y2:Y671))/STDEV('The List'!Y2:Y671)</f>
        <v>-0.47546929358800777</v>
      </c>
      <c r="M440" s="55" cm="1">
        <f t="array" ref="M440">(VLOOKUP($A440,'The List'!$B1:$AH671,25,FALSE)-AVERAGE('The List'!Z2:Z671))/STDEV('The List'!Z2:Z671)</f>
        <v>-0.64388478613809508</v>
      </c>
      <c r="N440" s="55" cm="1">
        <f t="array" ref="N440">(VLOOKUP($A440,'The List'!$B1:$AH671,26,FALSE)-AVERAGE('The List'!AA2:AA671))/STDEV('The List'!AA2:AA671)</f>
        <v>-0.81587438963686298</v>
      </c>
      <c r="O440" s="55" cm="1">
        <f t="array" ref="O440">(VLOOKUP($A440,'The List'!$B1:$AH671,27,FALSE)-AVERAGE('The List'!AB2:AB671))/STDEV('The List'!AB2:AB671)</f>
        <v>0.27165266922274761</v>
      </c>
      <c r="P440" s="55" cm="1">
        <f t="array" ref="P440">(VLOOKUP($A440,'The List'!$B1:$AH671,28,FALSE)-AVERAGE('The List'!AC2:AC671))/STDEV('The List'!AC2:AC671)</f>
        <v>-0.4478554191658019</v>
      </c>
      <c r="Q440" s="55" cm="1">
        <f t="array" ref="Q440">(VLOOKUP($A440,'The List'!$B1:$AH671,29,FALSE)-AVERAGE('The List'!AD2:AD671))/STDEV('The List'!AD2:AD671)</f>
        <v>1.4201519633367872</v>
      </c>
      <c r="R440" s="55" cm="1">
        <f t="array" ref="R440">(VLOOKUP($A440,'The List'!$B1:$AH671,30,FALSE)-AVERAGE('The List'!AE2:AE671))/STDEV('The List'!AE2:AE671)</f>
        <v>-0.35889487331938924</v>
      </c>
      <c r="S440" s="55" cm="1">
        <f t="array" ref="S440">(VLOOKUP($A440,'The List'!$B1:$AH671,31,FALSE)-AVERAGE('The List'!AF2:AF671))/STDEV('The List'!AF2:AF671)</f>
        <v>-0.57302989102549873</v>
      </c>
      <c r="T440" s="55" cm="1">
        <f t="array" ref="T440">(VLOOKUP($A440,'The List'!$B1:$AH671,32,FALSE)-AVERAGE('The List'!AG2:AG671))/STDEV('The List'!AG2:AG671)</f>
        <v>-0.61055775437549942</v>
      </c>
      <c r="U440" s="55" cm="1">
        <f t="array" ref="U440">(VLOOKUP($A440,'The List'!$B1:$AH671,33,FALSE)-AVERAGE('The List'!AH2:AH671))/STDEV('The List'!AH2:AH671)</f>
        <v>0.72270398897236576</v>
      </c>
      <c r="V440" s="55"/>
      <c r="W440" s="77"/>
      <c r="X440" s="57"/>
      <c r="Y440" s="57"/>
      <c r="Z440" s="57"/>
      <c r="AA440" s="57"/>
      <c r="AB440" s="57"/>
      <c r="AC440" s="60"/>
      <c r="AD440" s="61"/>
      <c r="AE440" s="55"/>
    </row>
    <row r="441" spans="1:31" ht="21.25" customHeight="1" x14ac:dyDescent="0.15">
      <c r="A441" s="10" t="s">
        <v>759</v>
      </c>
      <c r="B441" s="18" t="str" cm="1">
        <f t="array" ref="B441">VLOOKUP(A441,'Player Data'!A1:B673,2,FALSE)</f>
        <v>PIT</v>
      </c>
      <c r="C441" s="52" cm="1">
        <f t="array" ref="C441">((E441)*Settings!$C$12)+(F441*Settings!$C$2)+(G441*Settings!$C$3)+(H441*Settings!$C$4)+(I441*Settings!$C$5)+(K441*Settings!$C$9)+(N441*Settings!$C$6)+(J441*Settings!$C$8)+(O441*Settings!$C$7)+(P441*Settings!$C$14)+(Q441*Settings!$C$15)+(R441*Settings!$C$16)+(S441*Settings!$C$17)+(T441*Settings!$C$18)+(U441*Settings!$C$19)+(L441*Settings!$C$10)+(Settings!$C$11*M441)</f>
        <v>-2.7186296687408822</v>
      </c>
      <c r="D441" s="57" cm="1">
        <f t="array" ref="D441">IF(Settings!$E$12="YES",VLOOKUP(A441,'Player Data'!A1:E673,5,FALSE),82)</f>
        <v>68</v>
      </c>
      <c r="E441" s="55" cm="1">
        <f t="array" ref="E441">(VLOOKUP($A441,'The List'!$B1:$AH671,17,FALSE)-AVERAGE('The List'!R2:R671))/STDEV('The List'!R2:R671)</f>
        <v>-1.525228386210524</v>
      </c>
      <c r="F441" s="55" cm="1">
        <f t="array" ref="F441">(VLOOKUP($A441,'The List'!$B1:$AH671,18,FALSE)-AVERAGE('The List'!S2:S671))/STDEV('The List'!S2:S671)</f>
        <v>-0.55817470441769446</v>
      </c>
      <c r="G441" s="55" cm="1">
        <f t="array" ref="G441">(VLOOKUP($A441,'The List'!$B1:$AH671,19,FALSE)-AVERAGE('The List'!T2:T671))/STDEV('The List'!T2:T671)</f>
        <v>-0.94553352752896835</v>
      </c>
      <c r="H441" s="55" cm="1">
        <f t="array" ref="H441">(VLOOKUP($A441,'The List'!$B1:$AH671,20,FALSE)-AVERAGE('The List'!U2:U671))/STDEV('The List'!U2:U671)</f>
        <v>-0.8420735110433778</v>
      </c>
      <c r="I441" s="55" cm="1">
        <f t="array" ref="I441">(VLOOKUP($A441,'The List'!$B1:$AH671,21,FALSE)-AVERAGE('The List'!V2:V671))/STDEV('The List'!V2:V671)</f>
        <v>-0.79777814469328101</v>
      </c>
      <c r="J441" s="55" cm="1">
        <f t="array" ref="J441">(VLOOKUP($A441,'The List'!$B1:$AH671,22,FALSE)-AVERAGE('The List'!W2:W671))/STDEV('The List'!W2:W671)</f>
        <v>-0.73853908386105271</v>
      </c>
      <c r="K441" s="55" cm="1">
        <f t="array" ref="K441">(VLOOKUP($A441,'The List'!$B1:$AH671,23,FALSE)-AVERAGE('The List'!X2:X671))/STDEV('The List'!X2:X671)</f>
        <v>-0.80155300200843405</v>
      </c>
      <c r="L441" s="55" cm="1">
        <f t="array" ref="L441">(VLOOKUP($A441,'The List'!$B1:$AH671,24,FALSE)-AVERAGE('The List'!Y2:Y671))/STDEV('The List'!Y2:Y671)</f>
        <v>-0.47546929358800777</v>
      </c>
      <c r="M441" s="55" cm="1">
        <f t="array" ref="M441">(VLOOKUP($A441,'The List'!$B1:$AH671,25,FALSE)-AVERAGE('The List'!Z2:Z671))/STDEV('The List'!Z2:Z671)</f>
        <v>-0.64388478613809508</v>
      </c>
      <c r="N441" s="55" cm="1">
        <f t="array" ref="N441">(VLOOKUP($A441,'The List'!$B1:$AH671,26,FALSE)-AVERAGE('The List'!AA2:AA671))/STDEV('The List'!AA2:AA671)</f>
        <v>-1.0150938855814446</v>
      </c>
      <c r="O441" s="55" cm="1">
        <f t="array" ref="O441">(VLOOKUP($A441,'The List'!$B1:$AH671,27,FALSE)-AVERAGE('The List'!AB2:AB671))/STDEV('The List'!AB2:AB671)</f>
        <v>0.48934932950611071</v>
      </c>
      <c r="P441" s="55" cm="1">
        <f t="array" ref="P441">(VLOOKUP($A441,'The List'!$B1:$AH671,28,FALSE)-AVERAGE('The List'!AC2:AC671))/STDEV('The List'!AC2:AC671)</f>
        <v>-0.1049396195986151</v>
      </c>
      <c r="Q441" s="55" cm="1">
        <f t="array" ref="Q441">(VLOOKUP($A441,'The List'!$B1:$AH671,29,FALSE)-AVERAGE('The List'!AD2:AD671))/STDEV('The List'!AD2:AD671)</f>
        <v>-0.86657008111477352</v>
      </c>
      <c r="R441" s="55" cm="1">
        <f t="array" ref="R441">(VLOOKUP($A441,'The List'!$B1:$AH671,30,FALSE)-AVERAGE('The List'!AE2:AE671))/STDEV('The List'!AE2:AE671)</f>
        <v>-0.4961306310994873</v>
      </c>
      <c r="S441" s="55" cm="1">
        <f t="array" ref="S441">(VLOOKUP($A441,'The List'!$B1:$AH671,31,FALSE)-AVERAGE('The List'!AF2:AF671))/STDEV('The List'!AF2:AF671)</f>
        <v>-0.5762029891102729</v>
      </c>
      <c r="T441" s="55" cm="1">
        <f t="array" ref="T441">(VLOOKUP($A441,'The List'!$B1:$AH671,32,FALSE)-AVERAGE('The List'!AG2:AG671))/STDEV('The List'!AG2:AG671)</f>
        <v>-0.60866950565378353</v>
      </c>
      <c r="U441" s="55" cm="1">
        <f t="array" ref="U441">(VLOOKUP($A441,'The List'!$B1:$AH671,33,FALSE)-AVERAGE('The List'!AH2:AH671))/STDEV('The List'!AH2:AH671)</f>
        <v>0.30871096766627604</v>
      </c>
      <c r="V441" s="55"/>
      <c r="W441" s="77"/>
      <c r="X441" s="57"/>
      <c r="Y441" s="57"/>
      <c r="Z441" s="57"/>
      <c r="AA441" s="57"/>
      <c r="AB441" s="57"/>
      <c r="AC441" s="60"/>
      <c r="AD441" s="61"/>
      <c r="AE441" s="55"/>
    </row>
    <row r="442" spans="1:31" ht="21.25" customHeight="1" x14ac:dyDescent="0.15">
      <c r="A442" s="10" t="s">
        <v>407</v>
      </c>
      <c r="B442" s="18" t="str" cm="1">
        <f t="array" ref="B442">VLOOKUP(A442,'Player Data'!A1:B673,2,FALSE)</f>
        <v>CGY</v>
      </c>
      <c r="C442" s="52" cm="1">
        <f t="array" ref="C442">((E442)*Settings!$C$12)+(F442*Settings!$C$2)+(G442*Settings!$C$3)+(H442*Settings!$C$4)+(I442*Settings!$C$5)+(K442*Settings!$C$9)+(N442*Settings!$C$6)+(J442*Settings!$C$8)+(O442*Settings!$C$7)+(P442*Settings!$C$14)+(Q442*Settings!$C$15)+(R442*Settings!$C$16)+(S442*Settings!$C$17)+(T442*Settings!$C$18)+(U442*Settings!$C$19)+(L442*Settings!$C$10)+(Settings!$C$11*M442)</f>
        <v>-4.4873414576453001</v>
      </c>
      <c r="D442" s="57" cm="1">
        <f t="array" ref="D442">IF(Settings!$E$12="YES",VLOOKUP(A442,'Player Data'!A1:E673,5,FALSE),82)</f>
        <v>82</v>
      </c>
      <c r="E442" s="55" cm="1">
        <f t="array" ref="E442">(VLOOKUP($A442,'The List'!$B1:$AH671,17,FALSE)-AVERAGE('The List'!R2:R671))/STDEV('The List'!R2:R671)</f>
        <v>1.4127679534767419</v>
      </c>
      <c r="F442" s="55" cm="1">
        <f t="array" ref="F442">(VLOOKUP($A442,'The List'!$B1:$AH671,18,FALSE)-AVERAGE('The List'!S2:S671))/STDEV('The List'!S2:S671)</f>
        <v>-0.9633380601994489</v>
      </c>
      <c r="G442" s="55" cm="1">
        <f t="array" ref="G442">(VLOOKUP($A442,'The List'!$B1:$AH671,19,FALSE)-AVERAGE('The List'!T2:T671))/STDEV('The List'!T2:T671)</f>
        <v>-0.39458949595885801</v>
      </c>
      <c r="H442" s="55" cm="1">
        <f t="array" ref="H442">(VLOOKUP($A442,'The List'!$B1:$AH671,20,FALSE)-AVERAGE('The List'!U2:U671))/STDEV('The List'!U2:U671)</f>
        <v>-0.67497025295707891</v>
      </c>
      <c r="I442" s="55" cm="1">
        <f t="array" ref="I442">(VLOOKUP($A442,'The List'!$B1:$AH671,21,FALSE)-AVERAGE('The List'!V2:V671))/STDEV('The List'!V2:V671)</f>
        <v>-0.83820692774254735</v>
      </c>
      <c r="J442" s="55" cm="1">
        <f t="array" ref="J442">(VLOOKUP($A442,'The List'!$B1:$AH671,22,FALSE)-AVERAGE('The List'!W2:W671))/STDEV('The List'!W2:W671)</f>
        <v>-0.73853908386105271</v>
      </c>
      <c r="K442" s="55" cm="1">
        <f t="array" ref="K442">(VLOOKUP($A442,'The List'!$B1:$AH671,23,FALSE)-AVERAGE('The List'!X2:X671))/STDEV('The List'!X2:X671)</f>
        <v>-0.71914819416317843</v>
      </c>
      <c r="L442" s="55" cm="1">
        <f t="array" ref="L442">(VLOOKUP($A442,'The List'!$B1:$AH671,24,FALSE)-AVERAGE('The List'!Y2:Y671))/STDEV('The List'!Y2:Y671)</f>
        <v>-0.47546929358800777</v>
      </c>
      <c r="M442" s="55" cm="1">
        <f t="array" ref="M442">(VLOOKUP($A442,'The List'!$B1:$AH671,25,FALSE)-AVERAGE('The List'!Z2:Z671))/STDEV('The List'!Z2:Z671)</f>
        <v>0.24714316765550046</v>
      </c>
      <c r="N442" s="55" cm="1">
        <f t="array" ref="N442">(VLOOKUP($A442,'The List'!$B1:$AH671,26,FALSE)-AVERAGE('The List'!AA2:AA671))/STDEV('The List'!AA2:AA671)</f>
        <v>1.4976258594221372</v>
      </c>
      <c r="O442" s="55" cm="1">
        <f t="array" ref="O442">(VLOOKUP($A442,'The List'!$B1:$AH671,27,FALSE)-AVERAGE('The List'!AB2:AB671))/STDEV('The List'!AB2:AB671)</f>
        <v>0.66850835124590247</v>
      </c>
      <c r="P442" s="55" cm="1">
        <f t="array" ref="P442">(VLOOKUP($A442,'The List'!$B1:$AH671,28,FALSE)-AVERAGE('The List'!AC2:AC671))/STDEV('The List'!AC2:AC671)</f>
        <v>-2.2405671308271704</v>
      </c>
      <c r="Q442" s="55" cm="1">
        <f t="array" ref="Q442">(VLOOKUP($A442,'The List'!$B1:$AH671,29,FALSE)-AVERAGE('The List'!AD2:AD671))/STDEV('The List'!AD2:AD671)</f>
        <v>1.4430561259791133</v>
      </c>
      <c r="R442" s="55" cm="1">
        <f t="array" ref="R442">(VLOOKUP($A442,'The List'!$B1:$AH671,30,FALSE)-AVERAGE('The List'!AE2:AE671))/STDEV('The List'!AE2:AE671)</f>
        <v>-0.83298203655972802</v>
      </c>
      <c r="S442" s="55" cm="1">
        <f t="array" ref="S442">(VLOOKUP($A442,'The List'!$B1:$AH671,31,FALSE)-AVERAGE('The List'!AF2:AF671))/STDEV('The List'!AF2:AF671)</f>
        <v>-0.59581850454342256</v>
      </c>
      <c r="T442" s="55" cm="1">
        <f t="array" ref="T442">(VLOOKUP($A442,'The List'!$B1:$AH671,32,FALSE)-AVERAGE('The List'!AG2:AG671))/STDEV('The List'!AG2:AG671)</f>
        <v>-0.64684275008198677</v>
      </c>
      <c r="U442" s="55" cm="1">
        <f t="array" ref="U442">(VLOOKUP($A442,'The List'!$B1:$AH671,33,FALSE)-AVERAGE('The List'!AH2:AH671))/STDEV('The List'!AH2:AH671)</f>
        <v>-1.2552626683789523</v>
      </c>
      <c r="V442" s="55"/>
      <c r="W442" s="77"/>
      <c r="X442" s="57"/>
      <c r="Y442" s="57"/>
      <c r="Z442" s="57"/>
      <c r="AA442" s="57"/>
      <c r="AB442" s="57"/>
      <c r="AC442" s="60"/>
      <c r="AD442" s="61"/>
      <c r="AE442" s="55"/>
    </row>
    <row r="443" spans="1:31" ht="21.25" customHeight="1" x14ac:dyDescent="0.15">
      <c r="A443" s="10" t="s">
        <v>686</v>
      </c>
      <c r="B443" s="18" t="str" cm="1">
        <f t="array" ref="B443">VLOOKUP(A443,'Player Data'!A1:B673,2,FALSE)</f>
        <v>MTL</v>
      </c>
      <c r="C443" s="52" cm="1">
        <f t="array" ref="C443">((E443)*Settings!$C$12)+(F443*Settings!$C$2)+(G443*Settings!$C$3)+(H443*Settings!$C$4)+(I443*Settings!$C$5)+(K443*Settings!$C$9)+(N443*Settings!$C$6)+(J443*Settings!$C$8)+(O443*Settings!$C$7)+(P443*Settings!$C$14)+(Q443*Settings!$C$15)+(R443*Settings!$C$16)+(S443*Settings!$C$17)+(T443*Settings!$C$18)+(U443*Settings!$C$19)+(L443*Settings!$C$10)+(Settings!$C$11*M443)</f>
        <v>-1.0511744711829583</v>
      </c>
      <c r="D443" s="57" cm="1">
        <f t="array" ref="D443">IF(Settings!$E$12="YES",VLOOKUP(A443,'Player Data'!A1:E673,5,FALSE),82)</f>
        <v>82</v>
      </c>
      <c r="E443" s="55" cm="1">
        <f t="array" ref="E443">(VLOOKUP($A443,'The List'!$B1:$AH671,17,FALSE)-AVERAGE('The List'!R2:R671))/STDEV('The List'!R2:R671)</f>
        <v>-0.94812196234338264</v>
      </c>
      <c r="F443" s="55" cm="1">
        <f t="array" ref="F443">(VLOOKUP($A443,'The List'!$B1:$AH671,18,FALSE)-AVERAGE('The List'!S2:S671))/STDEV('The List'!S2:S671)</f>
        <v>-0.14502783423629959</v>
      </c>
      <c r="G443" s="55" cm="1">
        <f t="array" ref="G443">(VLOOKUP($A443,'The List'!$B1:$AH671,19,FALSE)-AVERAGE('The List'!T2:T671))/STDEV('The List'!T2:T671)</f>
        <v>-0.97083197795820808</v>
      </c>
      <c r="H443" s="55" cm="1">
        <f t="array" ref="H443">(VLOOKUP($A443,'The List'!$B1:$AH671,20,FALSE)-AVERAGE('The List'!U2:U671))/STDEV('The List'!U2:U671)</f>
        <v>-0.67497025295707891</v>
      </c>
      <c r="I443" s="55" cm="1">
        <f t="array" ref="I443">(VLOOKUP($A443,'The List'!$B1:$AH671,21,FALSE)-AVERAGE('The List'!V2:V671))/STDEV('The List'!V2:V671)</f>
        <v>-0.41318638799385055</v>
      </c>
      <c r="J443" s="55" cm="1">
        <f t="array" ref="J443">(VLOOKUP($A443,'The List'!$B1:$AH671,22,FALSE)-AVERAGE('The List'!W2:W671))/STDEV('The List'!W2:W671)</f>
        <v>-0.73853908386105271</v>
      </c>
      <c r="K443" s="55" cm="1">
        <f t="array" ref="K443">(VLOOKUP($A443,'The List'!$B1:$AH671,23,FALSE)-AVERAGE('The List'!X2:X671))/STDEV('The List'!X2:X671)</f>
        <v>-0.80155300200843405</v>
      </c>
      <c r="L443" s="55" cm="1">
        <f t="array" ref="L443">(VLOOKUP($A443,'The List'!$B1:$AH671,24,FALSE)-AVERAGE('The List'!Y2:Y671))/STDEV('The List'!Y2:Y671)</f>
        <v>2.5308954012809677</v>
      </c>
      <c r="M443" s="55" cm="1">
        <f t="array" ref="M443">(VLOOKUP($A443,'The List'!$B1:$AH671,25,FALSE)-AVERAGE('The List'!Z2:Z671))/STDEV('The List'!Z2:Z671)</f>
        <v>2.0291990752426914</v>
      </c>
      <c r="N443" s="55" cm="1">
        <f t="array" ref="N443">(VLOOKUP($A443,'The List'!$B1:$AH671,26,FALSE)-AVERAGE('The List'!AA2:AA671))/STDEV('The List'!AA2:AA671)</f>
        <v>-0.49201500392182518</v>
      </c>
      <c r="O443" s="55" cm="1">
        <f t="array" ref="O443">(VLOOKUP($A443,'The List'!$B1:$AH671,27,FALSE)-AVERAGE('The List'!AB2:AB671))/STDEV('The List'!AB2:AB671)</f>
        <v>1.2063953913434027</v>
      </c>
      <c r="P443" s="55" cm="1">
        <f t="array" ref="P443">(VLOOKUP($A443,'The List'!$B1:$AH671,28,FALSE)-AVERAGE('The List'!AC2:AC671))/STDEV('The List'!AC2:AC671)</f>
        <v>7.3029339670431195E-2</v>
      </c>
      <c r="Q443" s="55" cm="1">
        <f t="array" ref="Q443">(VLOOKUP($A443,'The List'!$B1:$AH671,29,FALSE)-AVERAGE('The List'!AD2:AD671))/STDEV('The List'!AD2:AD671)</f>
        <v>2.2912489877013722</v>
      </c>
      <c r="R443" s="55" cm="1">
        <f t="array" ref="R443">(VLOOKUP($A443,'The List'!$B1:$AH671,30,FALSE)-AVERAGE('The List'!AE2:AE671))/STDEV('The List'!AE2:AE671)</f>
        <v>0.19004815780100306</v>
      </c>
      <c r="S443" s="55" cm="1">
        <f t="array" ref="S443">(VLOOKUP($A443,'The List'!$B1:$AH671,31,FALSE)-AVERAGE('The List'!AF2:AF671))/STDEV('The List'!AF2:AF671)</f>
        <v>-0.49331782095647386</v>
      </c>
      <c r="T443" s="55" cm="1">
        <f t="array" ref="T443">(VLOOKUP($A443,'The List'!$B1:$AH671,32,FALSE)-AVERAGE('The List'!AG2:AG671))/STDEV('The List'!AG2:AG671)</f>
        <v>-0.57570170364760798</v>
      </c>
      <c r="U443" s="55" cm="1">
        <f t="array" ref="U443">(VLOOKUP($A443,'The List'!$B1:$AH671,33,FALSE)-AVERAGE('The List'!AH2:AH671))/STDEV('The List'!AH2:AH671)</f>
        <v>1.5046908069949798</v>
      </c>
      <c r="V443" s="55"/>
      <c r="W443" s="57"/>
      <c r="X443" s="55"/>
      <c r="Y443" s="55"/>
      <c r="Z443" s="55"/>
      <c r="AA443" s="55"/>
      <c r="AB443" s="55"/>
      <c r="AC443" s="55"/>
      <c r="AD443" s="55"/>
      <c r="AE443" s="55"/>
    </row>
    <row r="444" spans="1:31" ht="21.25" customHeight="1" x14ac:dyDescent="0.15">
      <c r="A444" s="10" t="s">
        <v>741</v>
      </c>
      <c r="B444" s="18" t="str" cm="1">
        <f t="array" ref="B444">VLOOKUP(A444,'Player Data'!A1:B673,2,FALSE)</f>
        <v>NYI</v>
      </c>
      <c r="C444" s="52" cm="1">
        <f t="array" ref="C444">((E444)*Settings!$C$12)+(F444*Settings!$C$2)+(G444*Settings!$C$3)+(H444*Settings!$C$4)+(I444*Settings!$C$5)+(K444*Settings!$C$9)+(N444*Settings!$C$6)+(J444*Settings!$C$8)+(O444*Settings!$C$7)+(P444*Settings!$C$14)+(Q444*Settings!$C$15)+(R444*Settings!$C$16)+(S444*Settings!$C$17)+(T444*Settings!$C$18)+(U444*Settings!$C$19)+(L444*Settings!$C$10)+(Settings!$C$11*M444)</f>
        <v>-4.8481514882743637</v>
      </c>
      <c r="D444" s="57" cm="1">
        <f t="array" ref="D444">IF(Settings!$E$12="YES",VLOOKUP(A444,'Player Data'!A1:E673,5,FALSE),82)</f>
        <v>74</v>
      </c>
      <c r="E444" s="55" cm="1">
        <f t="array" ref="E444">(VLOOKUP($A444,'The List'!$B1:$AH671,17,FALSE)-AVERAGE('The List'!R2:R671))/STDEV('The List'!R2:R671)</f>
        <v>-1.525228386210524</v>
      </c>
      <c r="F444" s="55" cm="1">
        <f t="array" ref="F444">(VLOOKUP($A444,'The List'!$B1:$AH671,18,FALSE)-AVERAGE('The List'!S2:S671))/STDEV('The List'!S2:S671)</f>
        <v>-0.41247556662425555</v>
      </c>
      <c r="G444" s="55" cm="1">
        <f t="array" ref="G444">(VLOOKUP($A444,'The List'!$B1:$AH671,19,FALSE)-AVERAGE('The List'!T2:T671))/STDEV('The List'!T2:T671)</f>
        <v>-0.93428977178263939</v>
      </c>
      <c r="H444" s="55" cm="1">
        <f t="array" ref="H444">(VLOOKUP($A444,'The List'!$B1:$AH671,20,FALSE)-AVERAGE('The List'!U2:U671))/STDEV('The List'!U2:U671)</f>
        <v>-0.77045782900639237</v>
      </c>
      <c r="I444" s="55" cm="1">
        <f t="array" ref="I444">(VLOOKUP($A444,'The List'!$B1:$AH671,21,FALSE)-AVERAGE('The List'!V2:V671))/STDEV('The List'!V2:V671)</f>
        <v>-0.94394374494832056</v>
      </c>
      <c r="J444" s="55" cm="1">
        <f t="array" ref="J444">(VLOOKUP($A444,'The List'!$B1:$AH671,22,FALSE)-AVERAGE('The List'!W2:W671))/STDEV('The List'!W2:W671)</f>
        <v>-0.32976768983685217</v>
      </c>
      <c r="K444" s="55" cm="1">
        <f t="array" ref="K444">(VLOOKUP($A444,'The List'!$B1:$AH671,23,FALSE)-AVERAGE('The List'!X2:X671))/STDEV('The List'!X2:X671)</f>
        <v>-0.57845705881762022</v>
      </c>
      <c r="L444" s="55" cm="1">
        <f t="array" ref="L444">(VLOOKUP($A444,'The List'!$B1:$AH671,24,FALSE)-AVERAGE('The List'!Y2:Y671))/STDEV('The List'!Y2:Y671)</f>
        <v>-0.47546929358800777</v>
      </c>
      <c r="M444" s="55" cm="1">
        <f t="array" ref="M444">(VLOOKUP($A444,'The List'!$B1:$AH671,25,FALSE)-AVERAGE('The List'!Z2:Z671))/STDEV('The List'!Z2:Z671)</f>
        <v>-0.64388478613809508</v>
      </c>
      <c r="N444" s="55" cm="1">
        <f t="array" ref="N444">(VLOOKUP($A444,'The List'!$B1:$AH671,26,FALSE)-AVERAGE('The List'!AA2:AA671))/STDEV('The List'!AA2:AA671)</f>
        <v>-0.67795320013676807</v>
      </c>
      <c r="O444" s="55" cm="1">
        <f t="array" ref="O444">(VLOOKUP($A444,'The List'!$B1:$AH671,27,FALSE)-AVERAGE('The List'!AB2:AB671))/STDEV('The List'!AB2:AB671)</f>
        <v>-1.0710150566303862</v>
      </c>
      <c r="P444" s="55" cm="1">
        <f t="array" ref="P444">(VLOOKUP($A444,'The List'!$B1:$AH671,28,FALSE)-AVERAGE('The List'!AC2:AC671))/STDEV('The List'!AC2:AC671)</f>
        <v>-0.90797028947114111</v>
      </c>
      <c r="Q444" s="55" cm="1">
        <f t="array" ref="Q444">(VLOOKUP($A444,'The List'!$B1:$AH671,29,FALSE)-AVERAGE('The List'!AD2:AD671))/STDEV('The List'!AD2:AD671)</f>
        <v>-1.2256482438299459</v>
      </c>
      <c r="R444" s="55" cm="1">
        <f t="array" ref="R444">(VLOOKUP($A444,'The List'!$B1:$AH671,30,FALSE)-AVERAGE('The List'!AE2:AE671))/STDEV('The List'!AE2:AE671)</f>
        <v>-0.42127476321943386</v>
      </c>
      <c r="S444" s="55" cm="1">
        <f t="array" ref="S444">(VLOOKUP($A444,'The List'!$B1:$AH671,31,FALSE)-AVERAGE('The List'!AF2:AF671))/STDEV('The List'!AF2:AF671)</f>
        <v>-0.57802992437120349</v>
      </c>
      <c r="T444" s="55" cm="1">
        <f t="array" ref="T444">(VLOOKUP($A444,'The List'!$B1:$AH671,32,FALSE)-AVERAGE('The List'!AG2:AG671))/STDEV('The List'!AG2:AG671)</f>
        <v>-0.5977482833173724</v>
      </c>
      <c r="U444" s="55" cm="1">
        <f t="array" ref="U444">(VLOOKUP($A444,'The List'!$B1:$AH671,33,FALSE)-AVERAGE('The List'!AH2:AH671))/STDEV('The List'!AH2:AH671)</f>
        <v>3.271562012888287E-2</v>
      </c>
      <c r="V444" s="55"/>
      <c r="W444" s="77"/>
      <c r="X444" s="57"/>
      <c r="Y444" s="57"/>
      <c r="Z444" s="57"/>
      <c r="AA444" s="57"/>
      <c r="AB444" s="57"/>
      <c r="AC444" s="60"/>
      <c r="AD444" s="61"/>
      <c r="AE444" s="55"/>
    </row>
    <row r="445" spans="1:31" ht="21.25" customHeight="1" x14ac:dyDescent="0.15">
      <c r="A445" s="10" t="s">
        <v>736</v>
      </c>
      <c r="B445" s="18" t="str" cm="1">
        <f t="array" ref="B445">VLOOKUP(A445,'Player Data'!A1:B673,2,FALSE)</f>
        <v>CGY</v>
      </c>
      <c r="C445" s="52" cm="1">
        <f t="array" ref="C445">((E445)*Settings!$C$12)+(F445*Settings!$C$2)+(G445*Settings!$C$3)+(H445*Settings!$C$4)+(I445*Settings!$C$5)+(K445*Settings!$C$9)+(N445*Settings!$C$6)+(J445*Settings!$C$8)+(O445*Settings!$C$7)+(P445*Settings!$C$14)+(Q445*Settings!$C$15)+(R445*Settings!$C$16)+(S445*Settings!$C$17)+(T445*Settings!$C$18)+(U445*Settings!$C$19)+(L445*Settings!$C$10)+(Settings!$C$11*M445)</f>
        <v>-1.619234432600376</v>
      </c>
      <c r="D445" s="57" cm="1">
        <f t="array" ref="D445">IF(Settings!$E$12="YES",VLOOKUP(A445,'Player Data'!A1:E673,5,FALSE),82)</f>
        <v>71</v>
      </c>
      <c r="E445" s="55" cm="1">
        <f t="array" ref="E445">(VLOOKUP($A445,'The List'!$B1:$AH671,17,FALSE)-AVERAGE('The List'!R2:R671))/STDEV('The List'!R2:R671)</f>
        <v>-1.2891393946285115</v>
      </c>
      <c r="F445" s="55" cm="1">
        <f t="array" ref="F445">(VLOOKUP($A445,'The List'!$B1:$AH671,18,FALSE)-AVERAGE('The List'!S2:S671))/STDEV('The List'!S2:S671)</f>
        <v>-0.80566365080654945</v>
      </c>
      <c r="G445" s="55" cm="1">
        <f t="array" ref="G445">(VLOOKUP($A445,'The List'!$B1:$AH671,19,FALSE)-AVERAGE('The List'!T2:T671))/STDEV('The List'!T2:T671)</f>
        <v>-0.71433379999508273</v>
      </c>
      <c r="H445" s="55" cm="1">
        <f t="array" ref="H445">(VLOOKUP($A445,'The List'!$B1:$AH671,20,FALSE)-AVERAGE('The List'!U2:U671))/STDEV('The List'!U2:U671)</f>
        <v>-0.80626567002488514</v>
      </c>
      <c r="I445" s="55" cm="1">
        <f t="array" ref="I445">(VLOOKUP($A445,'The List'!$B1:$AH671,21,FALSE)-AVERAGE('The List'!V2:V671))/STDEV('The List'!V2:V671)</f>
        <v>-0.65074868155257326</v>
      </c>
      <c r="J445" s="55" cm="1">
        <f t="array" ref="J445">(VLOOKUP($A445,'The List'!$B1:$AH671,22,FALSE)-AVERAGE('The List'!W2:W671))/STDEV('The List'!W2:W671)</f>
        <v>-0.73853908386105271</v>
      </c>
      <c r="K445" s="55" cm="1">
        <f t="array" ref="K445">(VLOOKUP($A445,'The List'!$B1:$AH671,23,FALSE)-AVERAGE('The List'!X2:X671))/STDEV('The List'!X2:X671)</f>
        <v>-0.80155300200843405</v>
      </c>
      <c r="L445" s="55" cm="1">
        <f t="array" ref="L445">(VLOOKUP($A445,'The List'!$B1:$AH671,24,FALSE)-AVERAGE('The List'!Y2:Y671))/STDEV('The List'!Y2:Y671)</f>
        <v>-0.47546929358800777</v>
      </c>
      <c r="M445" s="55" cm="1">
        <f t="array" ref="M445">(VLOOKUP($A445,'The List'!$B1:$AH671,25,FALSE)-AVERAGE('The List'!Z2:Z671))/STDEV('The List'!Z2:Z671)</f>
        <v>-0.64388478613809508</v>
      </c>
      <c r="N445" s="55" cm="1">
        <f t="array" ref="N445">(VLOOKUP($A445,'The List'!$B1:$AH671,26,FALSE)-AVERAGE('The List'!AA2:AA671))/STDEV('The List'!AA2:AA671)</f>
        <v>-0.97014179418882118</v>
      </c>
      <c r="O445" s="55" cm="1">
        <f t="array" ref="O445">(VLOOKUP($A445,'The List'!$B1:$AH671,27,FALSE)-AVERAGE('The List'!AB2:AB671))/STDEV('The List'!AB2:AB671)</f>
        <v>2.8448599917623487</v>
      </c>
      <c r="P445" s="55" cm="1">
        <f t="array" ref="P445">(VLOOKUP($A445,'The List'!$B1:$AH671,28,FALSE)-AVERAGE('The List'!AC2:AC671))/STDEV('The List'!AC2:AC671)</f>
        <v>-1.4917952900000855</v>
      </c>
      <c r="Q445" s="55" cm="1">
        <f t="array" ref="Q445">(VLOOKUP($A445,'The List'!$B1:$AH671,29,FALSE)-AVERAGE('The List'!AD2:AD671))/STDEV('The List'!AD2:AD671)</f>
        <v>1.1933268687821412</v>
      </c>
      <c r="R445" s="55" cm="1">
        <f t="array" ref="R445">(VLOOKUP($A445,'The List'!$B1:$AH671,30,FALSE)-AVERAGE('The List'!AE2:AE671))/STDEV('The List'!AE2:AE671)</f>
        <v>-0.90159991544977713</v>
      </c>
      <c r="S445" s="55" cm="1">
        <f t="array" ref="S445">(VLOOKUP($A445,'The List'!$B1:$AH671,31,FALSE)-AVERAGE('The List'!AF2:AF671))/STDEV('The List'!AF2:AF671)</f>
        <v>-0.36711505622113605</v>
      </c>
      <c r="T445" s="55" cm="1">
        <f t="array" ref="T445">(VLOOKUP($A445,'The List'!$B1:$AH671,32,FALSE)-AVERAGE('The List'!AG2:AG671))/STDEV('The List'!AG2:AG671)</f>
        <v>-0.32436048866244638</v>
      </c>
      <c r="U445" s="55" cm="1">
        <f t="array" ref="U445">(VLOOKUP($A445,'The List'!$B1:$AH671,33,FALSE)-AVERAGE('The List'!AH2:AH671))/STDEV('The List'!AH2:AH671)</f>
        <v>0.72270398897236576</v>
      </c>
      <c r="V445" s="55"/>
      <c r="W445" s="77"/>
      <c r="X445" s="57"/>
      <c r="Y445" s="57"/>
      <c r="Z445" s="57"/>
      <c r="AA445" s="57"/>
      <c r="AB445" s="57"/>
      <c r="AC445" s="60"/>
      <c r="AD445" s="61"/>
      <c r="AE445" s="55"/>
    </row>
    <row r="446" spans="1:31" ht="21.25" customHeight="1" x14ac:dyDescent="0.15">
      <c r="A446" s="10" t="s">
        <v>726</v>
      </c>
      <c r="B446" s="18" t="str" cm="1">
        <f t="array" ref="B446">VLOOKUP(A446,'Player Data'!A1:B673,2,FALSE)</f>
        <v>CHI</v>
      </c>
      <c r="C446" s="52" cm="1">
        <f t="array" ref="C446">((E446)*Settings!$C$12)+(F446*Settings!$C$2)+(G446*Settings!$C$3)+(H446*Settings!$C$4)+(I446*Settings!$C$5)+(K446*Settings!$C$9)+(N446*Settings!$C$6)+(J446*Settings!$C$8)+(O446*Settings!$C$7)+(P446*Settings!$C$14)+(Q446*Settings!$C$15)+(R446*Settings!$C$16)+(S446*Settings!$C$17)+(T446*Settings!$C$18)+(U446*Settings!$C$19)+(L446*Settings!$C$10)+(Settings!$C$11*M446)</f>
        <v>-4.8028475090220795</v>
      </c>
      <c r="D446" s="57" cm="1">
        <f t="array" ref="D446">IF(Settings!$E$12="YES",VLOOKUP(A446,'Player Data'!A1:E673,5,FALSE),82)</f>
        <v>80</v>
      </c>
      <c r="E446" s="55" cm="1">
        <f t="array" ref="E446">(VLOOKUP($A446,'The List'!$B1:$AH671,17,FALSE)-AVERAGE('The List'!R2:R671))/STDEV('The List'!R2:R671)</f>
        <v>-1.3940678353316283</v>
      </c>
      <c r="F446" s="55" cm="1">
        <f t="array" ref="F446">(VLOOKUP($A446,'The List'!$B1:$AH671,18,FALSE)-AVERAGE('The List'!S2:S671))/STDEV('The List'!S2:S671)</f>
        <v>-0.41447144522416579</v>
      </c>
      <c r="G446" s="55" cm="1">
        <f t="array" ref="G446">(VLOOKUP($A446,'The List'!$B1:$AH671,19,FALSE)-AVERAGE('The List'!T2:T671))/STDEV('The List'!T2:T671)</f>
        <v>-0.87526005411441332</v>
      </c>
      <c r="H446" s="55" cm="1">
        <f t="array" ref="H446">(VLOOKUP($A446,'The List'!$B1:$AH671,20,FALSE)-AVERAGE('The List'!U2:U671))/STDEV('The List'!U2:U671)</f>
        <v>-0.73420791587656054</v>
      </c>
      <c r="I446" s="55" cm="1">
        <f t="array" ref="I446">(VLOOKUP($A446,'The List'!$B1:$AH671,21,FALSE)-AVERAGE('The List'!V2:V671))/STDEV('The List'!V2:V671)</f>
        <v>-0.89867732973931291</v>
      </c>
      <c r="J446" s="55" cm="1">
        <f t="array" ref="J446">(VLOOKUP($A446,'The List'!$B1:$AH671,22,FALSE)-AVERAGE('The List'!W2:W671))/STDEV('The List'!W2:W671)</f>
        <v>-0.73853908386105271</v>
      </c>
      <c r="K446" s="55" cm="1">
        <f t="array" ref="K446">(VLOOKUP($A446,'The List'!$B1:$AH671,23,FALSE)-AVERAGE('The List'!X2:X671))/STDEV('The List'!X2:X671)</f>
        <v>-0.80155300200843405</v>
      </c>
      <c r="L446" s="55" cm="1">
        <f t="array" ref="L446">(VLOOKUP($A446,'The List'!$B1:$AH671,24,FALSE)-AVERAGE('The List'!Y2:Y671))/STDEV('The List'!Y2:Y671)</f>
        <v>0.99105006976271182</v>
      </c>
      <c r="M446" s="55" cm="1">
        <f t="array" ref="M446">(VLOOKUP($A446,'The List'!$B1:$AH671,25,FALSE)-AVERAGE('The List'!Z2:Z671))/STDEV('The List'!Z2:Z671)</f>
        <v>1.0947063432152622</v>
      </c>
      <c r="N446" s="55" cm="1">
        <f t="array" ref="N446">(VLOOKUP($A446,'The List'!$B1:$AH671,26,FALSE)-AVERAGE('The List'!AA2:AA671))/STDEV('The List'!AA2:AA671)</f>
        <v>-0.7647924675997908</v>
      </c>
      <c r="O446" s="55" cm="1">
        <f t="array" ref="O446">(VLOOKUP($A446,'The List'!$B1:$AH671,27,FALSE)-AVERAGE('The List'!AB2:AB671))/STDEV('The List'!AB2:AB671)</f>
        <v>-0.14529178182843933</v>
      </c>
      <c r="P446" s="55" cm="1">
        <f t="array" ref="P446">(VLOOKUP($A446,'The List'!$B1:$AH671,28,FALSE)-AVERAGE('The List'!AC2:AC671))/STDEV('The List'!AC2:AC671)</f>
        <v>-1.667593896107314</v>
      </c>
      <c r="Q446" s="55" cm="1">
        <f t="array" ref="Q446">(VLOOKUP($A446,'The List'!$B1:$AH671,29,FALSE)-AVERAGE('The List'!AD2:AD671))/STDEV('The List'!AD2:AD671)</f>
        <v>-0.6005862568813124</v>
      </c>
      <c r="R446" s="55" cm="1">
        <f t="array" ref="R446">(VLOOKUP($A446,'The List'!$B1:$AH671,30,FALSE)-AVERAGE('The List'!AE2:AE671))/STDEV('The List'!AE2:AE671)</f>
        <v>-0.34641889533938031</v>
      </c>
      <c r="S446" s="55" cm="1">
        <f t="array" ref="S446">(VLOOKUP($A446,'The List'!$B1:$AH671,31,FALSE)-AVERAGE('The List'!AF2:AF671))/STDEV('The List'!AF2:AF671)</f>
        <v>-0.5765876070599425</v>
      </c>
      <c r="T446" s="55" cm="1">
        <f t="array" ref="T446">(VLOOKUP($A446,'The List'!$B1:$AH671,32,FALSE)-AVERAGE('The List'!AG2:AG671))/STDEV('The List'!AG2:AG671)</f>
        <v>-0.61826385051006993</v>
      </c>
      <c r="U446" s="55" cm="1">
        <f t="array" ref="U446">(VLOOKUP($A446,'The List'!$B1:$AH671,33,FALSE)-AVERAGE('The List'!AH2:AH671))/STDEV('The List'!AH2:AH671)</f>
        <v>0.72270398897236576</v>
      </c>
      <c r="V446" s="55"/>
      <c r="W446" s="77"/>
      <c r="X446" s="57"/>
      <c r="Y446" s="57"/>
      <c r="Z446" s="57"/>
      <c r="AA446" s="57"/>
      <c r="AB446" s="57"/>
      <c r="AC446" s="60"/>
      <c r="AD446" s="61"/>
      <c r="AE446" s="55"/>
    </row>
    <row r="447" spans="1:31" ht="21.25" customHeight="1" x14ac:dyDescent="0.15">
      <c r="A447" s="10" t="s">
        <v>740</v>
      </c>
      <c r="B447" s="18" t="str" cm="1">
        <f t="array" ref="B447">VLOOKUP(A447,'Player Data'!A1:B673,2,FALSE)</f>
        <v>COL</v>
      </c>
      <c r="C447" s="52" cm="1">
        <f t="array" ref="C447">((E447)*Settings!$C$12)+(F447*Settings!$C$2)+(G447*Settings!$C$3)+(H447*Settings!$C$4)+(I447*Settings!$C$5)+(K447*Settings!$C$9)+(N447*Settings!$C$6)+(J447*Settings!$C$8)+(O447*Settings!$C$7)+(P447*Settings!$C$14)+(Q447*Settings!$C$15)+(R447*Settings!$C$16)+(S447*Settings!$C$17)+(T447*Settings!$C$18)+(U447*Settings!$C$19)+(L447*Settings!$C$10)+(Settings!$C$11*M447)</f>
        <v>-5.3452417971500132E-3</v>
      </c>
      <c r="D447" s="57" cm="1">
        <f t="array" ref="D447">IF(Settings!$E$12="YES",VLOOKUP(A447,'Player Data'!A1:E673,5,FALSE),82)</f>
        <v>69</v>
      </c>
      <c r="E447" s="55" cm="1">
        <f t="array" ref="E447">(VLOOKUP($A447,'The List'!$B1:$AH671,17,FALSE)-AVERAGE('The List'!R2:R671))/STDEV('The List'!R2:R671)</f>
        <v>-1.0005861826949407</v>
      </c>
      <c r="F447" s="55" cm="1">
        <f t="array" ref="F447">(VLOOKUP($A447,'The List'!$B1:$AH671,18,FALSE)-AVERAGE('The List'!S2:S671))/STDEV('The List'!S2:S671)</f>
        <v>-0.5461994328182338</v>
      </c>
      <c r="G447" s="55" cm="1">
        <f t="array" ref="G447">(VLOOKUP($A447,'The List'!$B1:$AH671,19,FALSE)-AVERAGE('The List'!T2:T671))/STDEV('The List'!T2:T671)</f>
        <v>-0.98348120317282794</v>
      </c>
      <c r="H447" s="55" cm="1">
        <f t="array" ref="H447">(VLOOKUP($A447,'The List'!$B1:$AH671,20,FALSE)-AVERAGE('The List'!U2:U671))/STDEV('The List'!U2:U671)</f>
        <v>-0.86064053971963328</v>
      </c>
      <c r="I447" s="55" cm="1">
        <f t="array" ref="I447">(VLOOKUP($A447,'The List'!$B1:$AH671,21,FALSE)-AVERAGE('The List'!V2:V671))/STDEV('The List'!V2:V671)</f>
        <v>-0.72970574930263621</v>
      </c>
      <c r="J447" s="55" cm="1">
        <f t="array" ref="J447">(VLOOKUP($A447,'The List'!$B1:$AH671,22,FALSE)-AVERAGE('The List'!W2:W671))/STDEV('The List'!W2:W671)</f>
        <v>-0.54796323124166191</v>
      </c>
      <c r="K447" s="55" cm="1">
        <f t="array" ref="K447">(VLOOKUP($A447,'The List'!$B1:$AH671,23,FALSE)-AVERAGE('The List'!X2:X671))/STDEV('The List'!X2:X671)</f>
        <v>-0.66287174002495519</v>
      </c>
      <c r="L447" s="55" cm="1">
        <f t="array" ref="L447">(VLOOKUP($A447,'The List'!$B1:$AH671,24,FALSE)-AVERAGE('The List'!Y2:Y671))/STDEV('The List'!Y2:Y671)</f>
        <v>-0.47546929358800777</v>
      </c>
      <c r="M447" s="55" cm="1">
        <f t="array" ref="M447">(VLOOKUP($A447,'The List'!$B1:$AH671,25,FALSE)-AVERAGE('The List'!Z2:Z671))/STDEV('The List'!Z2:Z671)</f>
        <v>0.1058826383955402</v>
      </c>
      <c r="N447" s="55" cm="1">
        <f t="array" ref="N447">(VLOOKUP($A447,'The List'!$B1:$AH671,26,FALSE)-AVERAGE('The List'!AA2:AA671))/STDEV('The List'!AA2:AA671)</f>
        <v>-0.68893581337473853</v>
      </c>
      <c r="O447" s="55" cm="1">
        <f t="array" ref="O447">(VLOOKUP($A447,'The List'!$B1:$AH671,27,FALSE)-AVERAGE('The List'!AB2:AB671))/STDEV('The List'!AB2:AB671)</f>
        <v>1.8238175577967821</v>
      </c>
      <c r="P447" s="55" cm="1">
        <f t="array" ref="P447">(VLOOKUP($A447,'The List'!$B1:$AH671,28,FALSE)-AVERAGE('The List'!AC2:AC671))/STDEV('The List'!AC2:AC671)</f>
        <v>1.0930953257247209</v>
      </c>
      <c r="Q447" s="55" cm="1">
        <f t="array" ref="Q447">(VLOOKUP($A447,'The List'!$B1:$AH671,29,FALSE)-AVERAGE('The List'!AD2:AD671))/STDEV('The List'!AD2:AD671)</f>
        <v>0.32814059606718893</v>
      </c>
      <c r="R447" s="55" cm="1">
        <f t="array" ref="R447">(VLOOKUP($A447,'The List'!$B1:$AH671,30,FALSE)-AVERAGE('The List'!AE2:AE671))/STDEV('The List'!AE2:AE671)</f>
        <v>-0.48365465311947836</v>
      </c>
      <c r="S447" s="55" cm="1">
        <f t="array" ref="S447">(VLOOKUP($A447,'The List'!$B1:$AH671,31,FALSE)-AVERAGE('The List'!AF2:AF671))/STDEV('The List'!AF2:AF671)</f>
        <v>-0.58586651509572174</v>
      </c>
      <c r="T447" s="55" cm="1">
        <f t="array" ref="T447">(VLOOKUP($A447,'The List'!$B1:$AH671,32,FALSE)-AVERAGE('The List'!AG2:AG671))/STDEV('The List'!AG2:AG671)</f>
        <v>-0.58345883353141392</v>
      </c>
      <c r="U447" s="55" cm="1">
        <f t="array" ref="U447">(VLOOKUP($A447,'The List'!$B1:$AH671,33,FALSE)-AVERAGE('The List'!AH2:AH671))/STDEV('The List'!AH2:AH671)</f>
        <v>-0.56527429953546926</v>
      </c>
      <c r="V447" s="55"/>
      <c r="W447" s="57"/>
      <c r="X447" s="55"/>
      <c r="Y447" s="55"/>
      <c r="Z447" s="55"/>
      <c r="AA447" s="55"/>
      <c r="AB447" s="55"/>
      <c r="AC447" s="55"/>
      <c r="AD447" s="55"/>
      <c r="AE447" s="55"/>
    </row>
    <row r="448" spans="1:31" ht="21.25" customHeight="1" x14ac:dyDescent="0.15">
      <c r="A448" s="10" t="s">
        <v>688</v>
      </c>
      <c r="B448" s="18" t="str" cm="1">
        <f t="array" ref="B448">VLOOKUP(A448,'Player Data'!A1:B673,2,FALSE)</f>
        <v>EDM</v>
      </c>
      <c r="C448" s="52" cm="1">
        <f t="array" ref="C448">((E448)*Settings!$C$12)+(F448*Settings!$C$2)+(G448*Settings!$C$3)+(H448*Settings!$C$4)+(I448*Settings!$C$5)+(K448*Settings!$C$9)+(N448*Settings!$C$6)+(J448*Settings!$C$8)+(O448*Settings!$C$7)+(P448*Settings!$C$14)+(Q448*Settings!$C$15)+(R448*Settings!$C$16)+(S448*Settings!$C$17)+(T448*Settings!$C$18)+(U448*Settings!$C$19)+(L448*Settings!$C$10)+(Settings!$C$11*M448)</f>
        <v>-1.6400950552983609</v>
      </c>
      <c r="D448" s="57" cm="1">
        <f t="array" ref="D448">IF(Settings!$E$12="YES",VLOOKUP(A448,'Player Data'!A1:E673,5,FALSE),82)</f>
        <v>78</v>
      </c>
      <c r="E448" s="55" cm="1">
        <f t="array" ref="E448">(VLOOKUP($A448,'The List'!$B1:$AH671,17,FALSE)-AVERAGE('The List'!R2:R671))/STDEV('The List'!R2:R671)</f>
        <v>-0.84319352164026595</v>
      </c>
      <c r="F448" s="55" cm="1">
        <f t="array" ref="F448">(VLOOKUP($A448,'The List'!$B1:$AH671,18,FALSE)-AVERAGE('The List'!S2:S671))/STDEV('The List'!S2:S671)</f>
        <v>-0.36058272302659244</v>
      </c>
      <c r="G448" s="55" cm="1">
        <f t="array" ref="G448">(VLOOKUP($A448,'The List'!$B1:$AH671,19,FALSE)-AVERAGE('The List'!T2:T671))/STDEV('The List'!T2:T671)</f>
        <v>-0.89493662667048868</v>
      </c>
      <c r="H448" s="55" cm="1">
        <f t="array" ref="H448">(VLOOKUP($A448,'The List'!$B1:$AH671,20,FALSE)-AVERAGE('The List'!U2:U671))/STDEV('The List'!U2:U671)</f>
        <v>-0.72271404098173564</v>
      </c>
      <c r="I448" s="55" cm="1">
        <f t="array" ref="I448">(VLOOKUP($A448,'The List'!$B1:$AH671,21,FALSE)-AVERAGE('The List'!V2:V671))/STDEV('The List'!V2:V671)</f>
        <v>-0.75562163587267839</v>
      </c>
      <c r="J448" s="55" cm="1">
        <f t="array" ref="J448">(VLOOKUP($A448,'The List'!$B1:$AH671,22,FALSE)-AVERAGE('The List'!W2:W671))/STDEV('The List'!W2:W671)</f>
        <v>-0.73853908386105271</v>
      </c>
      <c r="K448" s="55" cm="1">
        <f t="array" ref="K448">(VLOOKUP($A448,'The List'!$B1:$AH671,23,FALSE)-AVERAGE('The List'!X2:X671))/STDEV('The List'!X2:X671)</f>
        <v>-0.80155300200843405</v>
      </c>
      <c r="L448" s="55" cm="1">
        <f t="array" ref="L448">(VLOOKUP($A448,'The List'!$B1:$AH671,24,FALSE)-AVERAGE('The List'!Y2:Y671))/STDEV('The List'!Y2:Y671)</f>
        <v>0.95438708567894381</v>
      </c>
      <c r="M448" s="55" cm="1">
        <f t="array" ref="M448">(VLOOKUP($A448,'The List'!$B1:$AH671,25,FALSE)-AVERAGE('The List'!Z2:Z671))/STDEV('The List'!Z2:Z671)</f>
        <v>1.051241564981428</v>
      </c>
      <c r="N448" s="55" cm="1">
        <f t="array" ref="N448">(VLOOKUP($A448,'The List'!$B1:$AH671,26,FALSE)-AVERAGE('The List'!AA2:AA671))/STDEV('The List'!AA2:AA671)</f>
        <v>-0.20851033661607457</v>
      </c>
      <c r="O448" s="55" cm="1">
        <f t="array" ref="O448">(VLOOKUP($A448,'The List'!$B1:$AH671,27,FALSE)-AVERAGE('The List'!AB2:AB671))/STDEV('The List'!AB2:AB671)</f>
        <v>0.26181327214779326</v>
      </c>
      <c r="P448" s="55" cm="1">
        <f t="array" ref="P448">(VLOOKUP($A448,'The List'!$B1:$AH671,28,FALSE)-AVERAGE('The List'!AC2:AC671))/STDEV('The List'!AC2:AC671)</f>
        <v>0.91078566013203921</v>
      </c>
      <c r="Q448" s="55" cm="1">
        <f t="array" ref="Q448">(VLOOKUP($A448,'The List'!$B1:$AH671,29,FALSE)-AVERAGE('The List'!AD2:AD671))/STDEV('The List'!AD2:AD671)</f>
        <v>-0.47202740850180613</v>
      </c>
      <c r="R448" s="55" cm="1">
        <f t="array" ref="R448">(VLOOKUP($A448,'The List'!$B1:$AH671,30,FALSE)-AVERAGE('The List'!AE2:AE671))/STDEV('The List'!AE2:AE671)</f>
        <v>-0.37137085129939812</v>
      </c>
      <c r="S448" s="55" cm="1">
        <f t="array" ref="S448">(VLOOKUP($A448,'The List'!$B1:$AH671,31,FALSE)-AVERAGE('The List'!AF2:AF671))/STDEV('The List'!AF2:AF671)</f>
        <v>1.6991968011350866</v>
      </c>
      <c r="T448" s="55" cm="1">
        <f t="array" ref="T448">(VLOOKUP($A448,'The List'!$B1:$AH671,32,FALSE)-AVERAGE('The List'!AG2:AG671))/STDEV('The List'!AG2:AG671)</f>
        <v>1.8330912602710985</v>
      </c>
      <c r="U448" s="55" cm="1">
        <f t="array" ref="U448">(VLOOKUP($A448,'The List'!$B1:$AH671,33,FALSE)-AVERAGE('The List'!AH2:AH671))/STDEV('The List'!AH2:AH671)</f>
        <v>1.0446985610993245</v>
      </c>
      <c r="V448" s="55"/>
      <c r="W448" s="77"/>
      <c r="X448" s="57"/>
      <c r="Y448" s="57"/>
      <c r="Z448" s="57"/>
      <c r="AA448" s="57"/>
      <c r="AB448" s="57"/>
      <c r="AC448" s="60"/>
      <c r="AD448" s="61"/>
      <c r="AE448" s="55"/>
    </row>
    <row r="449" spans="1:31" ht="21.25" customHeight="1" x14ac:dyDescent="0.15">
      <c r="A449" s="10" t="s">
        <v>454</v>
      </c>
      <c r="B449" s="18" t="str" cm="1">
        <f t="array" ref="B449">VLOOKUP(A449,'Player Data'!A1:B673,2,FALSE)</f>
        <v>PHI</v>
      </c>
      <c r="C449" s="52" cm="1">
        <f t="array" ref="C449">((E449)*Settings!$C$12)+(F449*Settings!$C$2)+(G449*Settings!$C$3)+(H449*Settings!$C$4)+(I449*Settings!$C$5)+(K449*Settings!$C$9)+(N449*Settings!$C$6)+(J449*Settings!$C$8)+(O449*Settings!$C$7)+(P449*Settings!$C$14)+(Q449*Settings!$C$15)+(R449*Settings!$C$16)+(S449*Settings!$C$17)+(T449*Settings!$C$18)+(U449*Settings!$C$19)+(L449*Settings!$C$10)+(Settings!$C$11*M449)</f>
        <v>-3.1298986222746881</v>
      </c>
      <c r="D449" s="57" cm="1">
        <f t="array" ref="D449">IF(Settings!$E$12="YES",VLOOKUP(A449,'Player Data'!A1:E673,5,FALSE),82)</f>
        <v>70</v>
      </c>
      <c r="E449" s="55" cm="1">
        <f t="array" ref="E449">(VLOOKUP($A449,'The List'!$B1:$AH671,17,FALSE)-AVERAGE('The List'!R2:R671))/STDEV('The List'!R2:R671)</f>
        <v>1.0979826313673922</v>
      </c>
      <c r="F449" s="55" cm="1">
        <f t="array" ref="F449">(VLOOKUP($A449,'The List'!$B1:$AH671,18,FALSE)-AVERAGE('The List'!S2:S671))/STDEV('The List'!S2:S671)</f>
        <v>-1.1629259201904611</v>
      </c>
      <c r="G449" s="55" cm="1">
        <f t="array" ref="G449">(VLOOKUP($A449,'The List'!$B1:$AH671,19,FALSE)-AVERAGE('The List'!T2:T671))/STDEV('The List'!T2:T671)</f>
        <v>-0.58011146577328287</v>
      </c>
      <c r="H449" s="55" cm="1">
        <f t="array" ref="H449">(VLOOKUP($A449,'The List'!$B1:$AH671,20,FALSE)-AVERAGE('The List'!U2:U671))/STDEV('The List'!U2:U671)</f>
        <v>-0.88009171261856745</v>
      </c>
      <c r="I449" s="55" cm="1">
        <f t="array" ref="I449">(VLOOKUP($A449,'The List'!$B1:$AH671,21,FALSE)-AVERAGE('The List'!V2:V671))/STDEV('The List'!V2:V671)</f>
        <v>-0.68443933409362856</v>
      </c>
      <c r="J449" s="55" cm="1">
        <f t="array" ref="J449">(VLOOKUP($A449,'The List'!$B1:$AH671,22,FALSE)-AVERAGE('The List'!W2:W671))/STDEV('The List'!W2:W671)</f>
        <v>-0.73853908386105271</v>
      </c>
      <c r="K449" s="55" cm="1">
        <f t="array" ref="K449">(VLOOKUP($A449,'The List'!$B1:$AH671,23,FALSE)-AVERAGE('The List'!X2:X671))/STDEV('The List'!X2:X671)</f>
        <v>-0.73120743433565494</v>
      </c>
      <c r="L449" s="55" cm="1">
        <f t="array" ref="L449">(VLOOKUP($A449,'The List'!$B1:$AH671,24,FALSE)-AVERAGE('The List'!Y2:Y671))/STDEV('The List'!Y2:Y671)</f>
        <v>-0.47546929358800777</v>
      </c>
      <c r="M449" s="55" cm="1">
        <f t="array" ref="M449">(VLOOKUP($A449,'The List'!$B1:$AH671,25,FALSE)-AVERAGE('The List'!Z2:Z671))/STDEV('The List'!Z2:Z671)</f>
        <v>0.1167488329539987</v>
      </c>
      <c r="N449" s="55" cm="1">
        <f t="array" ref="N449">(VLOOKUP($A449,'The List'!$B1:$AH671,26,FALSE)-AVERAGE('The List'!AA2:AA671))/STDEV('The List'!AA2:AA671)</f>
        <v>1.0767108218366623</v>
      </c>
      <c r="O449" s="55" cm="1">
        <f t="array" ref="O449">(VLOOKUP($A449,'The List'!$B1:$AH671,27,FALSE)-AVERAGE('The List'!AB2:AB671))/STDEV('The List'!AB2:AB671)</f>
        <v>-1.8199569610280335E-2</v>
      </c>
      <c r="P449" s="55" cm="1">
        <f t="array" ref="P449">(VLOOKUP($A449,'The List'!$B1:$AH671,28,FALSE)-AVERAGE('The List'!AC2:AC671))/STDEV('The List'!AC2:AC671)</f>
        <v>4.6985101728619541E-2</v>
      </c>
      <c r="Q449" s="55" cm="1">
        <f t="array" ref="Q449">(VLOOKUP($A449,'The List'!$B1:$AH671,29,FALSE)-AVERAGE('The List'!AD2:AD671))/STDEV('The List'!AD2:AD671)</f>
        <v>-0.56364405907110948</v>
      </c>
      <c r="R449" s="55" cm="1">
        <f t="array" ref="R449">(VLOOKUP($A449,'The List'!$B1:$AH671,30,FALSE)-AVERAGE('The List'!AE2:AE671))/STDEV('The List'!AE2:AE671)</f>
        <v>-1.3444971337400937</v>
      </c>
      <c r="S449" s="55" cm="1">
        <f t="array" ref="S449">(VLOOKUP($A449,'The List'!$B1:$AH671,31,FALSE)-AVERAGE('The List'!AF2:AF671))/STDEV('The List'!AF2:AF671)</f>
        <v>-0.59581850454342256</v>
      </c>
      <c r="T449" s="55" cm="1">
        <f t="array" ref="T449">(VLOOKUP($A449,'The List'!$B1:$AH671,32,FALSE)-AVERAGE('The List'!AG2:AG671))/STDEV('The List'!AG2:AG671)</f>
        <v>-0.64684275008198677</v>
      </c>
      <c r="U449" s="55" cm="1">
        <f t="array" ref="U449">(VLOOKUP($A449,'The List'!$B1:$AH671,33,FALSE)-AVERAGE('The List'!AH2:AH671))/STDEV('The List'!AH2:AH671)</f>
        <v>-1.2552626683789523</v>
      </c>
      <c r="V449" s="55"/>
      <c r="W449" s="77"/>
      <c r="X449" s="57"/>
      <c r="Y449" s="57"/>
      <c r="Z449" s="57"/>
      <c r="AA449" s="57"/>
      <c r="AB449" s="57"/>
      <c r="AC449" s="60"/>
      <c r="AD449" s="61"/>
      <c r="AE449" s="55"/>
    </row>
    <row r="450" spans="1:31" ht="21.25" customHeight="1" x14ac:dyDescent="0.15">
      <c r="A450" s="10" t="s">
        <v>761</v>
      </c>
      <c r="B450" s="18" t="str" cm="1">
        <f t="array" ref="B450">VLOOKUP(A450,'Player Data'!A1:B673,2,FALSE)</f>
        <v>VGK</v>
      </c>
      <c r="C450" s="52" cm="1">
        <f t="array" ref="C450">((E450)*Settings!$C$12)+(F450*Settings!$C$2)+(G450*Settings!$C$3)+(H450*Settings!$C$4)+(I450*Settings!$C$5)+(K450*Settings!$C$9)+(N450*Settings!$C$6)+(J450*Settings!$C$8)+(O450*Settings!$C$7)+(P450*Settings!$C$14)+(Q450*Settings!$C$15)+(R450*Settings!$C$16)+(S450*Settings!$C$17)+(T450*Settings!$C$18)+(U450*Settings!$C$19)+(L450*Settings!$C$10)+(Settings!$C$11*M450)</f>
        <v>-3.0606294096661228</v>
      </c>
      <c r="D450" s="57" cm="1">
        <f t="array" ref="D450">IF(Settings!$E$12="YES",VLOOKUP(A450,'Player Data'!A1:E673,5,FALSE),82)</f>
        <v>70</v>
      </c>
      <c r="E450" s="55" cm="1">
        <f t="array" ref="E450">(VLOOKUP($A450,'The List'!$B1:$AH671,17,FALSE)-AVERAGE('The List'!R2:R671))/STDEV('The List'!R2:R671)</f>
        <v>-1.6301568269136408</v>
      </c>
      <c r="F450" s="55" cm="1">
        <f t="array" ref="F450">(VLOOKUP($A450,'The List'!$B1:$AH671,18,FALSE)-AVERAGE('The List'!S2:S671))/STDEV('The List'!S2:S671)</f>
        <v>-0.67393566321248144</v>
      </c>
      <c r="G450" s="55" cm="1">
        <f t="array" ref="G450">(VLOOKUP($A450,'The List'!$B1:$AH671,19,FALSE)-AVERAGE('The List'!T2:T671))/STDEV('The List'!T2:T671)</f>
        <v>-0.92445148550460177</v>
      </c>
      <c r="H450" s="55" cm="1">
        <f t="array" ref="H450">(VLOOKUP($A450,'The List'!$B1:$AH671,20,FALSE)-AVERAGE('The List'!U2:U671))/STDEV('The List'!U2:U671)</f>
        <v>-0.88009171261856745</v>
      </c>
      <c r="I450" s="55" cm="1">
        <f t="array" ref="I450">(VLOOKUP($A450,'The List'!$B1:$AH671,21,FALSE)-AVERAGE('The List'!V2:V671))/STDEV('The List'!V2:V671)</f>
        <v>-0.82956829888586636</v>
      </c>
      <c r="J450" s="55" cm="1">
        <f t="array" ref="J450">(VLOOKUP($A450,'The List'!$B1:$AH671,22,FALSE)-AVERAGE('The List'!W2:W671))/STDEV('The List'!W2:W671)</f>
        <v>-0.73853908386105271</v>
      </c>
      <c r="K450" s="55" cm="1">
        <f t="array" ref="K450">(VLOOKUP($A450,'The List'!$B1:$AH671,23,FALSE)-AVERAGE('The List'!X2:X671))/STDEV('The List'!X2:X671)</f>
        <v>-0.80155300200843405</v>
      </c>
      <c r="L450" s="55" cm="1">
        <f t="array" ref="L450">(VLOOKUP($A450,'The List'!$B1:$AH671,24,FALSE)-AVERAGE('The List'!Y2:Y671))/STDEV('The List'!Y2:Y671)</f>
        <v>-0.47546929358800777</v>
      </c>
      <c r="M450" s="55" cm="1">
        <f t="array" ref="M450">(VLOOKUP($A450,'The List'!$B1:$AH671,25,FALSE)-AVERAGE('The List'!Z2:Z671))/STDEV('The List'!Z2:Z671)</f>
        <v>-0.64388478613809508</v>
      </c>
      <c r="N450" s="55" cm="1">
        <f t="array" ref="N450">(VLOOKUP($A450,'The List'!$B1:$AH671,26,FALSE)-AVERAGE('The List'!AA2:AA671))/STDEV('The List'!AA2:AA671)</f>
        <v>-0.99721521286846937</v>
      </c>
      <c r="O450" s="55" cm="1">
        <f t="array" ref="O450">(VLOOKUP($A450,'The List'!$B1:$AH671,27,FALSE)-AVERAGE('The List'!AB2:AB671))/STDEV('The List'!AB2:AB671)</f>
        <v>-0.33388022576506271</v>
      </c>
      <c r="P450" s="55" cm="1">
        <f t="array" ref="P450">(VLOOKUP($A450,'The List'!$B1:$AH671,28,FALSE)-AVERAGE('The List'!AC2:AC671))/STDEV('The List'!AC2:AC671)</f>
        <v>0.50275926571032348</v>
      </c>
      <c r="Q450" s="55" cm="1">
        <f t="array" ref="Q450">(VLOOKUP($A450,'The List'!$B1:$AH671,29,FALSE)-AVERAGE('The List'!AD2:AD671))/STDEV('The List'!AD2:AD671)</f>
        <v>-1.2359920592168028</v>
      </c>
      <c r="R450" s="55" cm="1">
        <f t="array" ref="R450">(VLOOKUP($A450,'The List'!$B1:$AH671,30,FALSE)-AVERAGE('The List'!AE2:AE671))/STDEV('The List'!AE2:AE671)</f>
        <v>-0.47117867513946943</v>
      </c>
      <c r="S450" s="55" cm="1">
        <f t="array" ref="S450">(VLOOKUP($A450,'The List'!$B1:$AH671,31,FALSE)-AVERAGE('The List'!AF2:AF671))/STDEV('The List'!AF2:AF671)</f>
        <v>-0.56552984100694148</v>
      </c>
      <c r="T450" s="55" cm="1">
        <f t="array" ref="T450">(VLOOKUP($A450,'The List'!$B1:$AH671,32,FALSE)-AVERAGE('The List'!AG2:AG671))/STDEV('The List'!AG2:AG671)</f>
        <v>-0.55038896402676729</v>
      </c>
      <c r="U450" s="55" cm="1">
        <f t="array" ref="U450">(VLOOKUP($A450,'The List'!$B1:$AH671,33,FALSE)-AVERAGE('The List'!AH2:AH671))/STDEV('The List'!AH2:AH671)</f>
        <v>-0.10528205363981386</v>
      </c>
      <c r="V450" s="55"/>
      <c r="W450" s="77"/>
      <c r="X450" s="57"/>
      <c r="Y450" s="57"/>
      <c r="Z450" s="57"/>
      <c r="AA450" s="57"/>
      <c r="AB450" s="57"/>
      <c r="AC450" s="60"/>
      <c r="AD450" s="61"/>
      <c r="AE450" s="55"/>
    </row>
    <row r="451" spans="1:31" ht="21.25" customHeight="1" x14ac:dyDescent="0.15">
      <c r="A451" s="10" t="s">
        <v>500</v>
      </c>
      <c r="B451" s="18" t="str" cm="1">
        <f t="array" ref="B451">VLOOKUP(A451,'Player Data'!A1:B673,2,FALSE)</f>
        <v>NSH</v>
      </c>
      <c r="C451" s="52" cm="1">
        <f t="array" ref="C451">((E451)*Settings!$C$12)+(F451*Settings!$C$2)+(G451*Settings!$C$3)+(H451*Settings!$C$4)+(I451*Settings!$C$5)+(K451*Settings!$C$9)+(N451*Settings!$C$6)+(J451*Settings!$C$8)+(O451*Settings!$C$7)+(P451*Settings!$C$14)+(Q451*Settings!$C$15)+(R451*Settings!$C$16)+(S451*Settings!$C$17)+(T451*Settings!$C$18)+(U451*Settings!$C$19)+(L451*Settings!$C$10)+(Settings!$C$11*M451)</f>
        <v>-4.4157199528765609</v>
      </c>
      <c r="D451" s="57" cm="1">
        <f t="array" ref="D451">IF(Settings!$E$12="YES",VLOOKUP(A451,'Player Data'!A1:E673,5,FALSE),82)</f>
        <v>74</v>
      </c>
      <c r="E451" s="55" cm="1">
        <f t="array" ref="E451">(VLOOKUP($A451,'The List'!$B1:$AH671,17,FALSE)-AVERAGE('The List'!R2:R671))/STDEV('The List'!R2:R671)</f>
        <v>0.15362666503934194</v>
      </c>
      <c r="F451" s="55" cm="1">
        <f t="array" ref="F451">(VLOOKUP($A451,'The List'!$B1:$AH671,18,FALSE)-AVERAGE('The List'!S2:S671))/STDEV('The List'!S2:S671)</f>
        <v>-1.0771031403943259</v>
      </c>
      <c r="G451" s="55" cm="1">
        <f t="array" ref="G451">(VLOOKUP($A451,'The List'!$B1:$AH671,19,FALSE)-AVERAGE('The List'!T2:T671))/STDEV('The List'!T2:T671)</f>
        <v>-0.51827080916847446</v>
      </c>
      <c r="H451" s="55" cm="1">
        <f t="array" ref="H451">(VLOOKUP($A451,'The List'!$B1:$AH671,20,FALSE)-AVERAGE('The List'!U2:U671))/STDEV('The List'!U2:U671)</f>
        <v>-0.80317116524550924</v>
      </c>
      <c r="I451" s="55" cm="1">
        <f t="array" ref="I451">(VLOOKUP($A451,'The List'!$B1:$AH671,21,FALSE)-AVERAGE('The List'!V2:V671))/STDEV('The List'!V2:V671)</f>
        <v>-0.81609203786944418</v>
      </c>
      <c r="J451" s="55" cm="1">
        <f t="array" ref="J451">(VLOOKUP($A451,'The List'!$B1:$AH671,22,FALSE)-AVERAGE('The List'!W2:W671))/STDEV('The List'!W2:W671)</f>
        <v>-0.73853908386105271</v>
      </c>
      <c r="K451" s="55" cm="1">
        <f t="array" ref="K451">(VLOOKUP($A451,'The List'!$B1:$AH671,23,FALSE)-AVERAGE('The List'!X2:X671))/STDEV('The List'!X2:X671)</f>
        <v>-0.80155300200843405</v>
      </c>
      <c r="L451" s="55" cm="1">
        <f t="array" ref="L451">(VLOOKUP($A451,'The List'!$B1:$AH671,24,FALSE)-AVERAGE('The List'!Y2:Y671))/STDEV('The List'!Y2:Y671)</f>
        <v>-0.47546929358800777</v>
      </c>
      <c r="M451" s="55" cm="1">
        <f t="array" ref="M451">(VLOOKUP($A451,'The List'!$B1:$AH671,25,FALSE)-AVERAGE('The List'!Z2:Z671))/STDEV('The List'!Z2:Z671)</f>
        <v>-0.64388478613809508</v>
      </c>
      <c r="N451" s="55" cm="1">
        <f t="array" ref="N451">(VLOOKUP($A451,'The List'!$B1:$AH671,26,FALSE)-AVERAGE('The List'!AA2:AA671))/STDEV('The List'!AA2:AA671)</f>
        <v>0.26706235754906782</v>
      </c>
      <c r="O451" s="55" cm="1">
        <f t="array" ref="O451">(VLOOKUP($A451,'The List'!$B1:$AH671,27,FALSE)-AVERAGE('The List'!AB2:AB671))/STDEV('The List'!AB2:AB671)</f>
        <v>-0.61594294191375154</v>
      </c>
      <c r="P451" s="55" cm="1">
        <f t="array" ref="P451">(VLOOKUP($A451,'The List'!$B1:$AH671,28,FALSE)-AVERAGE('The List'!AC2:AC671))/STDEV('The List'!AC2:AC671)</f>
        <v>-0.58675802152213064</v>
      </c>
      <c r="Q451" s="55" cm="1">
        <f t="array" ref="Q451">(VLOOKUP($A451,'The List'!$B1:$AH671,29,FALSE)-AVERAGE('The List'!AD2:AD671))/STDEV('The List'!AD2:AD671)</f>
        <v>8.6538622388462147E-2</v>
      </c>
      <c r="R451" s="55" cm="1">
        <f t="array" ref="R451">(VLOOKUP($A451,'The List'!$B1:$AH671,30,FALSE)-AVERAGE('The List'!AE2:AE671))/STDEV('The List'!AE2:AE671)</f>
        <v>-1.3444971337400937</v>
      </c>
      <c r="S451" s="55" cm="1">
        <f t="array" ref="S451">(VLOOKUP($A451,'The List'!$B1:$AH671,31,FALSE)-AVERAGE('The List'!AF2:AF671))/STDEV('The List'!AF2:AF671)</f>
        <v>-0.59581850454342256</v>
      </c>
      <c r="T451" s="55" cm="1">
        <f t="array" ref="T451">(VLOOKUP($A451,'The List'!$B1:$AH671,32,FALSE)-AVERAGE('The List'!AG2:AG671))/STDEV('The List'!AG2:AG671)</f>
        <v>-0.64684275008198677</v>
      </c>
      <c r="U451" s="55" cm="1">
        <f t="array" ref="U451">(VLOOKUP($A451,'The List'!$B1:$AH671,33,FALSE)-AVERAGE('The List'!AH2:AH671))/STDEV('The List'!AH2:AH671)</f>
        <v>-1.2552626683789523</v>
      </c>
      <c r="V451" s="55"/>
      <c r="W451" s="77"/>
      <c r="X451" s="57"/>
      <c r="Y451" s="57"/>
      <c r="Z451" s="57"/>
      <c r="AA451" s="57"/>
      <c r="AB451" s="57"/>
      <c r="AC451" s="60"/>
      <c r="AD451" s="61"/>
      <c r="AE451" s="55"/>
    </row>
    <row r="452" spans="1:31" ht="21.25" customHeight="1" x14ac:dyDescent="0.15">
      <c r="A452" s="10" t="s">
        <v>379</v>
      </c>
      <c r="B452" s="18" t="str" cm="1">
        <f t="array" ref="B452">VLOOKUP(A452,'Player Data'!A1:B673,2,FALSE)</f>
        <v>NYI</v>
      </c>
      <c r="C452" s="52" cm="1">
        <f t="array" ref="C452">((E452)*Settings!$C$12)+(F452*Settings!$C$2)+(G452*Settings!$C$3)+(H452*Settings!$C$4)+(I452*Settings!$C$5)+(K452*Settings!$C$9)+(N452*Settings!$C$6)+(J452*Settings!$C$8)+(O452*Settings!$C$7)+(P452*Settings!$C$14)+(Q452*Settings!$C$15)+(R452*Settings!$C$16)+(S452*Settings!$C$17)+(T452*Settings!$C$18)+(U452*Settings!$C$19)+(L452*Settings!$C$10)+(Settings!$C$11*M452)</f>
        <v>-4.1896971415999813</v>
      </c>
      <c r="D452" s="57" cm="1">
        <f t="array" ref="D452">IF(Settings!$E$12="YES",VLOOKUP(A452,'Player Data'!A1:E673,5,FALSE),82)</f>
        <v>79</v>
      </c>
      <c r="E452" s="55" cm="1">
        <f t="array" ref="E452">(VLOOKUP($A452,'The List'!$B1:$AH671,17,FALSE)-AVERAGE('The List'!R2:R671))/STDEV('The List'!R2:R671)</f>
        <v>1.0192863008400543</v>
      </c>
      <c r="F452" s="55" cm="1">
        <f t="array" ref="F452">(VLOOKUP($A452,'The List'!$B1:$AH671,18,FALSE)-AVERAGE('The List'!S2:S671))/STDEV('The List'!S2:S671)</f>
        <v>-1.1359815590916744</v>
      </c>
      <c r="G452" s="55" cm="1">
        <f t="array" ref="G452">(VLOOKUP($A452,'The List'!$B1:$AH671,19,FALSE)-AVERAGE('The List'!T2:T671))/STDEV('The List'!T2:T671)</f>
        <v>-0.38545394441496567</v>
      </c>
      <c r="H452" s="55" cm="1">
        <f t="array" ref="H452">(VLOOKUP($A452,'The List'!$B1:$AH671,20,FALSE)-AVERAGE('The List'!U2:U671))/STDEV('The List'!U2:U671)</f>
        <v>-0.74570179077138521</v>
      </c>
      <c r="I452" s="55" cm="1">
        <f t="array" ref="I452">(VLOOKUP($A452,'The List'!$B1:$AH671,21,FALSE)-AVERAGE('The List'!V2:V671))/STDEV('The List'!V2:V671)</f>
        <v>-0.7646058098836267</v>
      </c>
      <c r="J452" s="55" cm="1">
        <f t="array" ref="J452">(VLOOKUP($A452,'The List'!$B1:$AH671,22,FALSE)-AVERAGE('The List'!W2:W671))/STDEV('The List'!W2:W671)</f>
        <v>-0.73853908386105271</v>
      </c>
      <c r="K452" s="55" cm="1">
        <f t="array" ref="K452">(VLOOKUP($A452,'The List'!$B1:$AH671,23,FALSE)-AVERAGE('The List'!X2:X671))/STDEV('The List'!X2:X671)</f>
        <v>-0.80155300200843405</v>
      </c>
      <c r="L452" s="55" cm="1">
        <f t="array" ref="L452">(VLOOKUP($A452,'The List'!$B1:$AH671,24,FALSE)-AVERAGE('The List'!Y2:Y671))/STDEV('The List'!Y2:Y671)</f>
        <v>-0.47546929358800777</v>
      </c>
      <c r="M452" s="55" cm="1">
        <f t="array" ref="M452">(VLOOKUP($A452,'The List'!$B1:$AH671,25,FALSE)-AVERAGE('The List'!Z2:Z671))/STDEV('The List'!Z2:Z671)</f>
        <v>0.21454458398012499</v>
      </c>
      <c r="N452" s="55" cm="1">
        <f t="array" ref="N452">(VLOOKUP($A452,'The List'!$B1:$AH671,26,FALSE)-AVERAGE('The List'!AA2:AA671))/STDEV('The List'!AA2:AA671)</f>
        <v>2.2712615686735957</v>
      </c>
      <c r="O452" s="55" cm="1">
        <f t="array" ref="O452">(VLOOKUP($A452,'The List'!$B1:$AH671,27,FALSE)-AVERAGE('The List'!AB2:AB671))/STDEV('The List'!AB2:AB671)</f>
        <v>-0.31133160746829236</v>
      </c>
      <c r="P452" s="55" cm="1">
        <f t="array" ref="P452">(VLOOKUP($A452,'The List'!$B1:$AH671,28,FALSE)-AVERAGE('The List'!AC2:AC671))/STDEV('The List'!AC2:AC671)</f>
        <v>-0.79077121873298861</v>
      </c>
      <c r="Q452" s="55" cm="1">
        <f t="array" ref="Q452">(VLOOKUP($A452,'The List'!$B1:$AH671,29,FALSE)-AVERAGE('The List'!AD2:AD671))/STDEV('The List'!AD2:AD671)</f>
        <v>-0.85622626572791671</v>
      </c>
      <c r="R452" s="55" cm="1">
        <f t="array" ref="R452">(VLOOKUP($A452,'The List'!$B1:$AH671,30,FALSE)-AVERAGE('The List'!AE2:AE671))/STDEV('The List'!AE2:AE671)</f>
        <v>-1.3444971337400937</v>
      </c>
      <c r="S452" s="55" cm="1">
        <f t="array" ref="S452">(VLOOKUP($A452,'The List'!$B1:$AH671,31,FALSE)-AVERAGE('The List'!AF2:AF671))/STDEV('The List'!AF2:AF671)</f>
        <v>-0.59581850454342256</v>
      </c>
      <c r="T452" s="55" cm="1">
        <f t="array" ref="T452">(VLOOKUP($A452,'The List'!$B1:$AH671,32,FALSE)-AVERAGE('The List'!AG2:AG671))/STDEV('The List'!AG2:AG671)</f>
        <v>-0.64684275008198677</v>
      </c>
      <c r="U452" s="55" cm="1">
        <f t="array" ref="U452">(VLOOKUP($A452,'The List'!$B1:$AH671,33,FALSE)-AVERAGE('The List'!AH2:AH671))/STDEV('The List'!AH2:AH671)</f>
        <v>-1.2552626683789523</v>
      </c>
      <c r="V452" s="55"/>
      <c r="W452" s="77"/>
      <c r="X452" s="57"/>
      <c r="Y452" s="57"/>
      <c r="Z452" s="57"/>
      <c r="AA452" s="57"/>
      <c r="AB452" s="57"/>
      <c r="AC452" s="60"/>
      <c r="AD452" s="61"/>
      <c r="AE452" s="55"/>
    </row>
    <row r="453" spans="1:31" ht="21.25" customHeight="1" x14ac:dyDescent="0.15">
      <c r="A453" s="10" t="s">
        <v>731</v>
      </c>
      <c r="B453" s="18" t="str" cm="1">
        <f t="array" ref="B453">VLOOKUP(A453,'Player Data'!A1:B673,2,FALSE)</f>
        <v>CAR</v>
      </c>
      <c r="C453" s="52" cm="1">
        <f t="array" ref="C453">((E453)*Settings!$C$12)+(F453*Settings!$C$2)+(G453*Settings!$C$3)+(H453*Settings!$C$4)+(I453*Settings!$C$5)+(K453*Settings!$C$9)+(N453*Settings!$C$6)+(J453*Settings!$C$8)+(O453*Settings!$C$7)+(P453*Settings!$C$14)+(Q453*Settings!$C$15)+(R453*Settings!$C$16)+(S453*Settings!$C$17)+(T453*Settings!$C$18)+(U453*Settings!$C$19)+(L453*Settings!$C$10)+(Settings!$C$11*M453)</f>
        <v>-1.0146216631431979</v>
      </c>
      <c r="D453" s="57" cm="1">
        <f t="array" ref="D453">IF(Settings!$E$12="YES",VLOOKUP(A453,'Player Data'!A1:E673,5,FALSE),82)</f>
        <v>78</v>
      </c>
      <c r="E453" s="55" cm="1">
        <f t="array" ref="E453">(VLOOKUP($A453,'The List'!$B1:$AH671,17,FALSE)-AVERAGE('The List'!R2:R671))/STDEV('The List'!R2:R671)</f>
        <v>-1.4465320556831864</v>
      </c>
      <c r="F453" s="55" cm="1">
        <f t="array" ref="F453">(VLOOKUP($A453,'The List'!$B1:$AH671,18,FALSE)-AVERAGE('The List'!S2:S671))/STDEV('The List'!S2:S671)</f>
        <v>-0.36058272302659244</v>
      </c>
      <c r="G453" s="55" cm="1">
        <f t="array" ref="G453">(VLOOKUP($A453,'The List'!$B1:$AH671,19,FALSE)-AVERAGE('The List'!T2:T671))/STDEV('The List'!T2:T671)</f>
        <v>-1.0045632451971944</v>
      </c>
      <c r="H453" s="55" cm="1">
        <f t="array" ref="H453">(VLOOKUP($A453,'The List'!$B1:$AH671,20,FALSE)-AVERAGE('The List'!U2:U671))/STDEV('The List'!U2:U671)</f>
        <v>-0.79167729035068446</v>
      </c>
      <c r="I453" s="55" cm="1">
        <f t="array" ref="I453">(VLOOKUP($A453,'The List'!$B1:$AH671,21,FALSE)-AVERAGE('The List'!V2:V671))/STDEV('The List'!V2:V671)</f>
        <v>-0.56695398164276933</v>
      </c>
      <c r="J453" s="55" cm="1">
        <f t="array" ref="J453">(VLOOKUP($A453,'The List'!$B1:$AH671,22,FALSE)-AVERAGE('The List'!W2:W671))/STDEV('The List'!W2:W671)</f>
        <v>-0.73853908386105271</v>
      </c>
      <c r="K453" s="55" cm="1">
        <f t="array" ref="K453">(VLOOKUP($A453,'The List'!$B1:$AH671,23,FALSE)-AVERAGE('The List'!X2:X671))/STDEV('The List'!X2:X671)</f>
        <v>-0.80155300200843405</v>
      </c>
      <c r="L453" s="55" cm="1">
        <f t="array" ref="L453">(VLOOKUP($A453,'The List'!$B1:$AH671,24,FALSE)-AVERAGE('The List'!Y2:Y671))/STDEV('The List'!Y2:Y671)</f>
        <v>-0.47546929358800777</v>
      </c>
      <c r="M453" s="55" cm="1">
        <f t="array" ref="M453">(VLOOKUP($A453,'The List'!$B1:$AH671,25,FALSE)-AVERAGE('The List'!Z2:Z671))/STDEV('The List'!Z2:Z671)</f>
        <v>0.20367838942166649</v>
      </c>
      <c r="N453" s="55" cm="1">
        <f t="array" ref="N453">(VLOOKUP($A453,'The List'!$B1:$AH671,26,FALSE)-AVERAGE('The List'!AA2:AA671))/STDEV('The List'!AA2:AA671)</f>
        <v>-1.1448419675556081</v>
      </c>
      <c r="O453" s="55" cm="1">
        <f t="array" ref="O453">(VLOOKUP($A453,'The List'!$B1:$AH671,27,FALSE)-AVERAGE('The List'!AB2:AB671))/STDEV('The List'!AB2:AB671)</f>
        <v>0.46967053535620173</v>
      </c>
      <c r="P453" s="55" cm="1">
        <f t="array" ref="P453">(VLOOKUP($A453,'The List'!$B1:$AH671,28,FALSE)-AVERAGE('The List'!AC2:AC671))/STDEV('The List'!AC2:AC671)</f>
        <v>1.2493607533755908</v>
      </c>
      <c r="Q453" s="55" cm="1">
        <f t="array" ref="Q453">(VLOOKUP($A453,'The List'!$B1:$AH671,29,FALSE)-AVERAGE('The List'!AD2:AD671))/STDEV('The List'!AD2:AD671)</f>
        <v>-1.3941046658444709</v>
      </c>
      <c r="R453" s="55" cm="1">
        <f t="array" ref="R453">(VLOOKUP($A453,'The List'!$B1:$AH671,30,FALSE)-AVERAGE('The List'!AE2:AE671))/STDEV('The List'!AE2:AE671)</f>
        <v>-0.37137085129939812</v>
      </c>
      <c r="S453" s="55" cm="1">
        <f t="array" ref="S453">(VLOOKUP($A453,'The List'!$B1:$AH671,31,FALSE)-AVERAGE('The List'!AF2:AF671))/STDEV('The List'!AF2:AF671)</f>
        <v>-0.57706837949702949</v>
      </c>
      <c r="T453" s="55" cm="1">
        <f t="array" ref="T453">(VLOOKUP($A453,'The List'!$B1:$AH671,32,FALSE)-AVERAGE('The List'!AG2:AG671))/STDEV('The List'!AG2:AG671)</f>
        <v>-0.5791719985956264</v>
      </c>
      <c r="U453" s="55" cm="1">
        <f t="array" ref="U453">(VLOOKUP($A453,'The List'!$B1:$AH671,33,FALSE)-AVERAGE('The List'!AH2:AH671))/STDEV('The List'!AH2:AH671)</f>
        <v>-0.28927895199807602</v>
      </c>
      <c r="V453" s="55"/>
      <c r="W453" s="57"/>
      <c r="X453" s="55"/>
      <c r="Y453" s="55"/>
      <c r="Z453" s="55"/>
      <c r="AA453" s="55"/>
      <c r="AB453" s="55"/>
      <c r="AC453" s="55"/>
      <c r="AD453" s="55"/>
      <c r="AE453" s="55"/>
    </row>
    <row r="454" spans="1:31" ht="21.25" customHeight="1" x14ac:dyDescent="0.15">
      <c r="A454" s="10" t="s">
        <v>433</v>
      </c>
      <c r="B454" s="18" t="str" cm="1">
        <f t="array" ref="B454">VLOOKUP(A454,'Player Data'!A1:B673,2,FALSE)</f>
        <v>NSH</v>
      </c>
      <c r="C454" s="52" cm="1">
        <f t="array" ref="C454">((E454)*Settings!$C$12)+(F454*Settings!$C$2)+(G454*Settings!$C$3)+(H454*Settings!$C$4)+(I454*Settings!$C$5)+(K454*Settings!$C$9)+(N454*Settings!$C$6)+(J454*Settings!$C$8)+(O454*Settings!$C$7)+(P454*Settings!$C$14)+(Q454*Settings!$C$15)+(R454*Settings!$C$16)+(S454*Settings!$C$17)+(T454*Settings!$C$18)+(U454*Settings!$C$19)+(L454*Settings!$C$10)+(Settings!$C$11*M454)</f>
        <v>-4.8043753812017904</v>
      </c>
      <c r="D454" s="57" cm="1">
        <f t="array" ref="D454">IF(Settings!$E$12="YES",VLOOKUP(A454,'Player Data'!A1:E673,5,FALSE),82)</f>
        <v>82</v>
      </c>
      <c r="E454" s="55" cm="1">
        <f t="array" ref="E454">(VLOOKUP($A454,'The List'!$B1:$AH671,17,FALSE)-AVERAGE('The List'!R2:R671))/STDEV('The List'!R2:R671)</f>
        <v>0.62580464820336701</v>
      </c>
      <c r="F454" s="55" cm="1">
        <f t="array" ref="F454">(VLOOKUP($A454,'The List'!$B1:$AH671,18,FALSE)-AVERAGE('The List'!S2:S671))/STDEV('The List'!S2:S671)</f>
        <v>-0.9633380601994489</v>
      </c>
      <c r="G454" s="55" cm="1">
        <f t="array" ref="G454">(VLOOKUP($A454,'The List'!$B1:$AH671,19,FALSE)-AVERAGE('The List'!T2:T671))/STDEV('The List'!T2:T671)</f>
        <v>-0.50983799235872784</v>
      </c>
      <c r="H454" s="55" cm="1">
        <f t="array" ref="H454">(VLOOKUP($A454,'The List'!$B1:$AH671,20,FALSE)-AVERAGE('The List'!U2:U671))/STDEV('The List'!U2:U671)</f>
        <v>-0.7474700792167428</v>
      </c>
      <c r="I454" s="55" cm="1">
        <f t="array" ref="I454">(VLOOKUP($A454,'The List'!$B1:$AH671,21,FALSE)-AVERAGE('The List'!V2:V671))/STDEV('The List'!V2:V671)</f>
        <v>-0.78153752244272112</v>
      </c>
      <c r="J454" s="55" cm="1">
        <f t="array" ref="J454">(VLOOKUP($A454,'The List'!$B1:$AH671,22,FALSE)-AVERAGE('The List'!W2:W671))/STDEV('The List'!W2:W671)</f>
        <v>-0.73853908386105271</v>
      </c>
      <c r="K454" s="55" cm="1">
        <f t="array" ref="K454">(VLOOKUP($A454,'The List'!$B1:$AH671,23,FALSE)-AVERAGE('The List'!X2:X671))/STDEV('The List'!X2:X671)</f>
        <v>-0.80155300200843405</v>
      </c>
      <c r="L454" s="55" cm="1">
        <f t="array" ref="L454">(VLOOKUP($A454,'The List'!$B1:$AH671,24,FALSE)-AVERAGE('The List'!Y2:Y671))/STDEV('The List'!Y2:Y671)</f>
        <v>-0.47546929358800777</v>
      </c>
      <c r="M454" s="55" cm="1">
        <f t="array" ref="M454">(VLOOKUP($A454,'The List'!$B1:$AH671,25,FALSE)-AVERAGE('The List'!Z2:Z671))/STDEV('The List'!Z2:Z671)</f>
        <v>1.1381711214490962</v>
      </c>
      <c r="N454" s="55" cm="1">
        <f t="array" ref="N454">(VLOOKUP($A454,'The List'!$B1:$AH671,26,FALSE)-AVERAGE('The List'!AA2:AA671))/STDEV('The List'!AA2:AA671)</f>
        <v>1.1206412747885444</v>
      </c>
      <c r="O454" s="55" cm="1">
        <f t="array" ref="O454">(VLOOKUP($A454,'The List'!$B1:$AH671,27,FALSE)-AVERAGE('The List'!AB2:AB671))/STDEV('The List'!AB2:AB671)</f>
        <v>-0.57535542897956526</v>
      </c>
      <c r="P454" s="55" cm="1">
        <f t="array" ref="P454">(VLOOKUP($A454,'The List'!$B1:$AH671,28,FALSE)-AVERAGE('The List'!AC2:AC671))/STDEV('The List'!AC2:AC671)</f>
        <v>-1.1727533752128929</v>
      </c>
      <c r="Q454" s="55" cm="1">
        <f t="array" ref="Q454">(VLOOKUP($A454,'The List'!$B1:$AH671,29,FALSE)-AVERAGE('The List'!AD2:AD671))/STDEV('The List'!AD2:AD671)</f>
        <v>-0.61684082391780193</v>
      </c>
      <c r="R454" s="55" cm="1">
        <f t="array" ref="R454">(VLOOKUP($A454,'The List'!$B1:$AH671,30,FALSE)-AVERAGE('The List'!AE2:AE671))/STDEV('The List'!AE2:AE671)</f>
        <v>-0.83298203655972802</v>
      </c>
      <c r="S454" s="55" cm="1">
        <f t="array" ref="S454">(VLOOKUP($A454,'The List'!$B1:$AH671,31,FALSE)-AVERAGE('The List'!AF2:AF671))/STDEV('The List'!AF2:AF671)</f>
        <v>-0.59581850454342256</v>
      </c>
      <c r="T454" s="55" cm="1">
        <f t="array" ref="T454">(VLOOKUP($A454,'The List'!$B1:$AH671,32,FALSE)-AVERAGE('The List'!AG2:AG671))/STDEV('The List'!AG2:AG671)</f>
        <v>-0.64684275008198677</v>
      </c>
      <c r="U454" s="55" cm="1">
        <f t="array" ref="U454">(VLOOKUP($A454,'The List'!$B1:$AH671,33,FALSE)-AVERAGE('The List'!AH2:AH671))/STDEV('The List'!AH2:AH671)</f>
        <v>-1.2552626683789523</v>
      </c>
      <c r="V454" s="55"/>
      <c r="W454" s="77"/>
      <c r="X454" s="57"/>
      <c r="Y454" s="57"/>
      <c r="Z454" s="57"/>
      <c r="AA454" s="57"/>
      <c r="AB454" s="57"/>
      <c r="AC454" s="60"/>
      <c r="AD454" s="61"/>
      <c r="AE454" s="55"/>
    </row>
    <row r="455" spans="1:31" ht="21.25" customHeight="1" x14ac:dyDescent="0.15">
      <c r="A455" s="10" t="s">
        <v>711</v>
      </c>
      <c r="B455" s="18" t="str" cm="1">
        <f t="array" ref="B455">VLOOKUP(A455,'Player Data'!A1:B673,2,FALSE)</f>
        <v>L.A</v>
      </c>
      <c r="C455" s="52" cm="1">
        <f t="array" ref="C455">((E455)*Settings!$C$12)+(F455*Settings!$C$2)+(G455*Settings!$C$3)+(H455*Settings!$C$4)+(I455*Settings!$C$5)+(K455*Settings!$C$9)+(N455*Settings!$C$6)+(J455*Settings!$C$8)+(O455*Settings!$C$7)+(P455*Settings!$C$14)+(Q455*Settings!$C$15)+(R455*Settings!$C$16)+(S455*Settings!$C$17)+(T455*Settings!$C$18)+(U455*Settings!$C$19)+(L455*Settings!$C$10)+(Settings!$C$11*M455)</f>
        <v>-3.2894602419570238</v>
      </c>
      <c r="D455" s="57" cm="1">
        <f t="array" ref="D455">IF(Settings!$E$12="YES",VLOOKUP(A455,'Player Data'!A1:E673,5,FALSE),82)</f>
        <v>80</v>
      </c>
      <c r="E455" s="55" cm="1">
        <f t="array" ref="E455">(VLOOKUP($A455,'The List'!$B1:$AH671,17,FALSE)-AVERAGE('The List'!R2:R671))/STDEV('The List'!R2:R671)</f>
        <v>-1.3940678353316283</v>
      </c>
      <c r="F455" s="55" cm="1">
        <f t="array" ref="F455">(VLOOKUP($A455,'The List'!$B1:$AH671,18,FALSE)-AVERAGE('The List'!S2:S671))/STDEV('The List'!S2:S671)</f>
        <v>-0.41447144522416579</v>
      </c>
      <c r="G455" s="55" cm="1">
        <f t="array" ref="G455">(VLOOKUP($A455,'The List'!$B1:$AH671,19,FALSE)-AVERAGE('The List'!T2:T671))/STDEV('The List'!T2:T671)</f>
        <v>-0.87526005411441332</v>
      </c>
      <c r="H455" s="55" cm="1">
        <f t="array" ref="H455">(VLOOKUP($A455,'The List'!$B1:$AH671,20,FALSE)-AVERAGE('The List'!U2:U671))/STDEV('The List'!U2:U671)</f>
        <v>-0.73420791587656054</v>
      </c>
      <c r="I455" s="55" cm="1">
        <f t="array" ref="I455">(VLOOKUP($A455,'The List'!$B1:$AH671,21,FALSE)-AVERAGE('The List'!V2:V671))/STDEV('The List'!V2:V671)</f>
        <v>-0.64988481866690506</v>
      </c>
      <c r="J455" s="55" cm="1">
        <f t="array" ref="J455">(VLOOKUP($A455,'The List'!$B1:$AH671,22,FALSE)-AVERAGE('The List'!W2:W671))/STDEV('The List'!W2:W671)</f>
        <v>-0.73853908386105271</v>
      </c>
      <c r="K455" s="55" cm="1">
        <f t="array" ref="K455">(VLOOKUP($A455,'The List'!$B1:$AH671,23,FALSE)-AVERAGE('The List'!X2:X671))/STDEV('The List'!X2:X671)</f>
        <v>-0.80155300200843405</v>
      </c>
      <c r="L455" s="55" cm="1">
        <f t="array" ref="L455">(VLOOKUP($A455,'The List'!$B1:$AH671,24,FALSE)-AVERAGE('The List'!Y2:Y671))/STDEV('The List'!Y2:Y671)</f>
        <v>0.99105006976271182</v>
      </c>
      <c r="M455" s="55" cm="1">
        <f t="array" ref="M455">(VLOOKUP($A455,'The List'!$B1:$AH671,25,FALSE)-AVERAGE('The List'!Z2:Z671))/STDEV('The List'!Z2:Z671)</f>
        <v>1.0947063432152622</v>
      </c>
      <c r="N455" s="55" cm="1">
        <f t="array" ref="N455">(VLOOKUP($A455,'The List'!$B1:$AH671,26,FALSE)-AVERAGE('The List'!AA2:AA671))/STDEV('The List'!AA2:AA671)</f>
        <v>-0.66262862352564655</v>
      </c>
      <c r="O455" s="55" cm="1">
        <f t="array" ref="O455">(VLOOKUP($A455,'The List'!$B1:$AH671,27,FALSE)-AVERAGE('The List'!AB2:AB671))/STDEV('The List'!AB2:AB671)</f>
        <v>-9.6094796453668183E-2</v>
      </c>
      <c r="P455" s="55" cm="1">
        <f t="array" ref="P455">(VLOOKUP($A455,'The List'!$B1:$AH671,28,FALSE)-AVERAGE('The List'!AC2:AC671))/STDEV('The List'!AC2:AC671)</f>
        <v>-0.45219612548943716</v>
      </c>
      <c r="Q455" s="55" cm="1">
        <f t="array" ref="Q455">(VLOOKUP($A455,'The List'!$B1:$AH671,29,FALSE)-AVERAGE('The List'!AD2:AD671))/STDEV('The List'!AD2:AD671)</f>
        <v>-0.65969377337763713</v>
      </c>
      <c r="R455" s="55" cm="1">
        <f t="array" ref="R455">(VLOOKUP($A455,'The List'!$B1:$AH671,30,FALSE)-AVERAGE('The List'!AE2:AE671))/STDEV('The List'!AE2:AE671)</f>
        <v>-0.34641889533938031</v>
      </c>
      <c r="S455" s="55" cm="1">
        <f t="array" ref="S455">(VLOOKUP($A455,'The List'!$B1:$AH671,31,FALSE)-AVERAGE('The List'!AF2:AF671))/STDEV('The List'!AF2:AF671)</f>
        <v>-0.50351019662271834</v>
      </c>
      <c r="T455" s="55" cm="1">
        <f t="array" ref="T455">(VLOOKUP($A455,'The List'!$B1:$AH671,32,FALSE)-AVERAGE('The List'!AG2:AG671))/STDEV('The List'!AG2:AG671)</f>
        <v>-0.4182115535066519</v>
      </c>
      <c r="U455" s="55" cm="1">
        <f t="array" ref="U455">(VLOOKUP($A455,'The List'!$B1:$AH671,33,FALSE)-AVERAGE('The List'!AH2:AH671))/STDEV('The List'!AH2:AH671)</f>
        <v>0.12471406930801376</v>
      </c>
      <c r="V455" s="55"/>
      <c r="W455" s="57"/>
      <c r="X455" s="57"/>
      <c r="Y455" s="57"/>
      <c r="Z455" s="57"/>
      <c r="AA455" s="57"/>
      <c r="AB455" s="57"/>
      <c r="AC455" s="60"/>
      <c r="AD455" s="61"/>
      <c r="AE455" s="55"/>
    </row>
    <row r="456" spans="1:31" ht="21.25" customHeight="1" x14ac:dyDescent="0.15">
      <c r="A456" s="10" t="s">
        <v>747</v>
      </c>
      <c r="B456" s="18" t="str" cm="1">
        <f t="array" ref="B456">VLOOKUP(A456,'Player Data'!A1:B673,2,FALSE)</f>
        <v>VAN</v>
      </c>
      <c r="C456" s="52" cm="1">
        <f t="array" ref="C456">((E456)*Settings!$C$12)+(F456*Settings!$C$2)+(G456*Settings!$C$3)+(H456*Settings!$C$4)+(I456*Settings!$C$5)+(K456*Settings!$C$9)+(N456*Settings!$C$6)+(J456*Settings!$C$8)+(O456*Settings!$C$7)+(P456*Settings!$C$14)+(Q456*Settings!$C$15)+(R456*Settings!$C$16)+(S456*Settings!$C$17)+(T456*Settings!$C$18)+(U456*Settings!$C$19)+(L456*Settings!$C$10)+(Settings!$C$11*M456)</f>
        <v>-3.7310258894068888</v>
      </c>
      <c r="D456" s="57" cm="1">
        <f t="array" ref="D456">IF(Settings!$E$12="YES",VLOOKUP(A456,'Player Data'!A1:E673,5,FALSE),82)</f>
        <v>71</v>
      </c>
      <c r="E456" s="55" cm="1">
        <f t="array" ref="E456">(VLOOKUP($A456,'The List'!$B1:$AH671,17,FALSE)-AVERAGE('The List'!R2:R671))/STDEV('The List'!R2:R671)</f>
        <v>-1.1579788437496157</v>
      </c>
      <c r="F456" s="55" cm="1">
        <f t="array" ref="F456">(VLOOKUP($A456,'The List'!$B1:$AH671,18,FALSE)-AVERAGE('The List'!S2:S671))/STDEV('The List'!S2:S671)</f>
        <v>-0.59310257991612159</v>
      </c>
      <c r="G456" s="55" cm="1">
        <f t="array" ref="G456">(VLOOKUP($A456,'The List'!$B1:$AH671,19,FALSE)-AVERAGE('The List'!T2:T671))/STDEV('The List'!T2:T671)</f>
        <v>-0.91391046449241853</v>
      </c>
      <c r="H456" s="55" cm="1">
        <f t="array" ref="H456">(VLOOKUP($A456,'The List'!$B1:$AH671,20,FALSE)-AVERAGE('The List'!U2:U671))/STDEV('The List'!U2:U671)</f>
        <v>-0.8376527899299836</v>
      </c>
      <c r="I456" s="55" cm="1">
        <f t="array" ref="I456">(VLOOKUP($A456,'The List'!$B1:$AH671,21,FALSE)-AVERAGE('The List'!V2:V671))/STDEV('The List'!V2:V671)</f>
        <v>-0.94515315298825597</v>
      </c>
      <c r="J456" s="55" cm="1">
        <f t="array" ref="J456">(VLOOKUP($A456,'The List'!$B1:$AH671,22,FALSE)-AVERAGE('The List'!W2:W671))/STDEV('The List'!W2:W671)</f>
        <v>-0.73853908386105271</v>
      </c>
      <c r="K456" s="55" cm="1">
        <f t="array" ref="K456">(VLOOKUP($A456,'The List'!$B1:$AH671,23,FALSE)-AVERAGE('The List'!X2:X671))/STDEV('The List'!X2:X671)</f>
        <v>-0.80155300200843405</v>
      </c>
      <c r="L456" s="55" cm="1">
        <f t="array" ref="L456">(VLOOKUP($A456,'The List'!$B1:$AH671,24,FALSE)-AVERAGE('The List'!Y2:Y671))/STDEV('The List'!Y2:Y671)</f>
        <v>-0.47546929358800777</v>
      </c>
      <c r="M456" s="55" cm="1">
        <f t="array" ref="M456">(VLOOKUP($A456,'The List'!$B1:$AH671,25,FALSE)-AVERAGE('The List'!Z2:Z671))/STDEV('The List'!Z2:Z671)</f>
        <v>0.12761502751245707</v>
      </c>
      <c r="N456" s="55" cm="1">
        <f t="array" ref="N456">(VLOOKUP($A456,'The List'!$B1:$AH671,26,FALSE)-AVERAGE('The List'!AA2:AA671))/STDEV('The List'!AA2:AA671)</f>
        <v>-1.0426781234814637</v>
      </c>
      <c r="O456" s="55" cm="1">
        <f t="array" ref="O456">(VLOOKUP($A456,'The List'!$B1:$AH671,27,FALSE)-AVERAGE('The List'!AB2:AB671))/STDEV('The List'!AB2:AB671)</f>
        <v>1.4767738234655832</v>
      </c>
      <c r="P456" s="55" cm="1">
        <f t="array" ref="P456">(VLOOKUP($A456,'The List'!$B1:$AH671,28,FALSE)-AVERAGE('The List'!AC2:AC671))/STDEV('The List'!AC2:AC671)</f>
        <v>-1.9540805134672421</v>
      </c>
      <c r="Q456" s="55" cm="1">
        <f t="array" ref="Q456">(VLOOKUP($A456,'The List'!$B1:$AH671,29,FALSE)-AVERAGE('The List'!AD2:AD671))/STDEV('The List'!AD2:AD671)</f>
        <v>-0.59024244149445559</v>
      </c>
      <c r="R456" s="55" cm="1">
        <f t="array" ref="R456">(VLOOKUP($A456,'The List'!$B1:$AH671,30,FALSE)-AVERAGE('The List'!AE2:AE671))/STDEV('The List'!AE2:AE671)</f>
        <v>-0.90159991544977713</v>
      </c>
      <c r="S456" s="55" cm="1">
        <f t="array" ref="S456">(VLOOKUP($A456,'The List'!$B1:$AH671,31,FALSE)-AVERAGE('The List'!AF2:AF671))/STDEV('The List'!AF2:AF671)</f>
        <v>1.8584767095420101</v>
      </c>
      <c r="T456" s="55" cm="1">
        <f t="array" ref="T456">(VLOOKUP($A456,'The List'!$B1:$AH671,32,FALSE)-AVERAGE('The List'!AG2:AG671))/STDEV('The List'!AG2:AG671)</f>
        <v>1.1249979896276225</v>
      </c>
      <c r="U456" s="55" cm="1">
        <f t="array" ref="U456">(VLOOKUP($A456,'The List'!$B1:$AH671,33,FALSE)-AVERAGE('The List'!AH2:AH671))/STDEV('The List'!AH2:AH671)</f>
        <v>1.5046908069949798</v>
      </c>
      <c r="V456" s="55"/>
      <c r="W456" s="57"/>
      <c r="X456" s="55"/>
      <c r="Y456" s="55"/>
      <c r="Z456" s="55"/>
      <c r="AA456" s="55"/>
      <c r="AB456" s="55"/>
      <c r="AC456" s="55"/>
      <c r="AD456" s="55"/>
      <c r="AE456" s="55"/>
    </row>
    <row r="457" spans="1:31" ht="21.25" customHeight="1" x14ac:dyDescent="0.15">
      <c r="A457" s="10" t="s">
        <v>523</v>
      </c>
      <c r="B457" s="18" t="str" cm="1">
        <f t="array" ref="B457">VLOOKUP(A457,'Player Data'!A1:B673,2,FALSE)</f>
        <v>EDM</v>
      </c>
      <c r="C457" s="52" cm="1">
        <f t="array" ref="C457">((E457)*Settings!$C$12)+(F457*Settings!$C$2)+(G457*Settings!$C$3)+(H457*Settings!$C$4)+(I457*Settings!$C$5)+(K457*Settings!$C$9)+(N457*Settings!$C$6)+(J457*Settings!$C$8)+(O457*Settings!$C$7)+(P457*Settings!$C$14)+(Q457*Settings!$C$15)+(R457*Settings!$C$16)+(S457*Settings!$C$17)+(T457*Settings!$C$18)+(U457*Settings!$C$19)+(L457*Settings!$C$10)+(Settings!$C$11*M457)</f>
        <v>-2.9451739568244015</v>
      </c>
      <c r="D457" s="57" cm="1">
        <f t="array" ref="D457">IF(Settings!$E$12="YES",VLOOKUP(A457,'Player Data'!A1:E673,5,FALSE),82)</f>
        <v>73</v>
      </c>
      <c r="E457" s="55" cm="1">
        <f t="array" ref="E457">(VLOOKUP($A457,'The List'!$B1:$AH671,17,FALSE)-AVERAGE('The List'!R2:R671))/STDEV('The List'!R2:R671)</f>
        <v>0.17985877521512147</v>
      </c>
      <c r="F457" s="55" cm="1">
        <f t="array" ref="F457">(VLOOKUP($A457,'The List'!$B1:$AH671,18,FALSE)-AVERAGE('The List'!S2:S671))/STDEV('The List'!S2:S671)</f>
        <v>-0.93539575980070744</v>
      </c>
      <c r="G457" s="55" cm="1">
        <f t="array" ref="G457">(VLOOKUP($A457,'The List'!$B1:$AH671,19,FALSE)-AVERAGE('The List'!T2:T671))/STDEV('The List'!T2:T671)</f>
        <v>-0.37983206654180141</v>
      </c>
      <c r="H457" s="55" cm="1">
        <f t="array" ref="H457">(VLOOKUP($A457,'The List'!$B1:$AH671,20,FALSE)-AVERAGE('The List'!U2:U671))/STDEV('The List'!U2:U671)</f>
        <v>-0.65330871950144764</v>
      </c>
      <c r="I457" s="55" cm="1">
        <f t="array" ref="I457">(VLOOKUP($A457,'The List'!$B1:$AH671,21,FALSE)-AVERAGE('The List'!V2:V671))/STDEV('The List'!V2:V671)</f>
        <v>-1.0363770737148053</v>
      </c>
      <c r="J457" s="55" cm="1">
        <f t="array" ref="J457">(VLOOKUP($A457,'The List'!$B1:$AH671,22,FALSE)-AVERAGE('The List'!W2:W671))/STDEV('The List'!W2:W671)</f>
        <v>-0.73853908386105271</v>
      </c>
      <c r="K457" s="55" cm="1">
        <f t="array" ref="K457">(VLOOKUP($A457,'The List'!$B1:$AH671,23,FALSE)-AVERAGE('The List'!X2:X671))/STDEV('The List'!X2:X671)</f>
        <v>-0.80155300200843405</v>
      </c>
      <c r="L457" s="55" cm="1">
        <f t="array" ref="L457">(VLOOKUP($A457,'The List'!$B1:$AH671,24,FALSE)-AVERAGE('The List'!Y2:Y671))/STDEV('The List'!Y2:Y671)</f>
        <v>-0.47546929358800777</v>
      </c>
      <c r="M457" s="55" cm="1">
        <f t="array" ref="M457">(VLOOKUP($A457,'The List'!$B1:$AH671,25,FALSE)-AVERAGE('The List'!Z2:Z671))/STDEV('The List'!Z2:Z671)</f>
        <v>-0.64388478613809508</v>
      </c>
      <c r="N457" s="55" cm="1">
        <f t="array" ref="N457">(VLOOKUP($A457,'The List'!$B1:$AH671,26,FALSE)-AVERAGE('The List'!AA2:AA671))/STDEV('The List'!AA2:AA671)</f>
        <v>0.80086844283647252</v>
      </c>
      <c r="O457" s="55" cm="1">
        <f t="array" ref="O457">(VLOOKUP($A457,'The List'!$B1:$AH671,27,FALSE)-AVERAGE('The List'!AB2:AB671))/STDEV('The List'!AB2:AB671)</f>
        <v>-0.7961269008488514</v>
      </c>
      <c r="P457" s="55" cm="1">
        <f t="array" ref="P457">(VLOOKUP($A457,'The List'!$B1:$AH671,28,FALSE)-AVERAGE('The List'!AC2:AC671))/STDEV('The List'!AC2:AC671)</f>
        <v>1.0041108460901977</v>
      </c>
      <c r="Q457" s="55" cm="1">
        <f t="array" ref="Q457">(VLOOKUP($A457,'The List'!$B1:$AH671,29,FALSE)-AVERAGE('The List'!AD2:AD671))/STDEV('The List'!AD2:AD671)</f>
        <v>-0.97148592289574964</v>
      </c>
      <c r="R457" s="55" cm="1">
        <f t="array" ref="R457">(VLOOKUP($A457,'The List'!$B1:$AH671,30,FALSE)-AVERAGE('The List'!AE2:AE671))/STDEV('The List'!AE2:AE671)</f>
        <v>-0.88912393746976826</v>
      </c>
      <c r="S457" s="55" cm="1">
        <f t="array" ref="S457">(VLOOKUP($A457,'The List'!$B1:$AH671,31,FALSE)-AVERAGE('The List'!AF2:AF671))/STDEV('The List'!AF2:AF671)</f>
        <v>-0.59581850454342256</v>
      </c>
      <c r="T457" s="55" cm="1">
        <f t="array" ref="T457">(VLOOKUP($A457,'The List'!$B1:$AH671,32,FALSE)-AVERAGE('The List'!AG2:AG671))/STDEV('The List'!AG2:AG671)</f>
        <v>-0.64684275008198677</v>
      </c>
      <c r="U457" s="55" cm="1">
        <f t="array" ref="U457">(VLOOKUP($A457,'The List'!$B1:$AH671,33,FALSE)-AVERAGE('The List'!AH2:AH671))/STDEV('The List'!AH2:AH671)</f>
        <v>-1.2552626683789523</v>
      </c>
      <c r="V457" s="55"/>
      <c r="W457" s="57"/>
      <c r="X457" s="55"/>
      <c r="Y457" s="55"/>
      <c r="Z457" s="55"/>
      <c r="AA457" s="55"/>
      <c r="AB457" s="55"/>
      <c r="AC457" s="55"/>
      <c r="AD457" s="55"/>
      <c r="AE457" s="55"/>
    </row>
    <row r="458" spans="1:31" ht="21.25" customHeight="1" x14ac:dyDescent="0.15">
      <c r="A458" s="10" t="s">
        <v>389</v>
      </c>
      <c r="B458" s="18" t="str" cm="1">
        <f t="array" ref="B458">VLOOKUP(A458,'Player Data'!A1:B673,2,FALSE)</f>
        <v>NYI</v>
      </c>
      <c r="C458" s="52" cm="1">
        <f t="array" ref="C458">((E458)*Settings!$C$12)+(F458*Settings!$C$2)+(G458*Settings!$C$3)+(H458*Settings!$C$4)+(I458*Settings!$C$5)+(K458*Settings!$C$9)+(N458*Settings!$C$6)+(J458*Settings!$C$8)+(O458*Settings!$C$7)+(P458*Settings!$C$14)+(Q458*Settings!$C$15)+(R458*Settings!$C$16)+(S458*Settings!$C$17)+(T458*Settings!$C$18)+(U458*Settings!$C$19)+(L458*Settings!$C$10)+(Settings!$C$11*M458)</f>
        <v>-3.3136977973440835</v>
      </c>
      <c r="D458" s="57" cm="1">
        <f t="array" ref="D458">IF(Settings!$E$12="YES",VLOOKUP(A458,'Player Data'!A1:E673,5,FALSE),82)</f>
        <v>76</v>
      </c>
      <c r="E458" s="55" cm="1">
        <f t="array" ref="E458">(VLOOKUP($A458,'The List'!$B1:$AH671,17,FALSE)-AVERAGE('The List'!R2:R671))/STDEV('The List'!R2:R671)</f>
        <v>0.5471083176760293</v>
      </c>
      <c r="F458" s="55" cm="1">
        <f t="array" ref="F458">(VLOOKUP($A458,'The List'!$B1:$AH671,18,FALSE)-AVERAGE('The List'!S2:S671))/STDEV('The List'!S2:S671)</f>
        <v>-0.9174328524015164</v>
      </c>
      <c r="G458" s="55" cm="1">
        <f t="array" ref="G458">(VLOOKUP($A458,'The List'!$B1:$AH671,19,FALSE)-AVERAGE('The List'!T2:T671))/STDEV('The List'!T2:T671)</f>
        <v>-0.64757400025125555</v>
      </c>
      <c r="H458" s="55" cm="1">
        <f t="array" ref="H458">(VLOOKUP($A458,'The List'!$B1:$AH671,20,FALSE)-AVERAGE('The List'!U2:U671))/STDEV('The List'!U2:U671)</f>
        <v>-0.81378089591765523</v>
      </c>
      <c r="I458" s="55" cm="1">
        <f t="array" ref="I458">(VLOOKUP($A458,'The List'!$B1:$AH671,21,FALSE)-AVERAGE('The List'!V2:V671))/STDEV('The List'!V2:V671)</f>
        <v>-0.52963510498190802</v>
      </c>
      <c r="J458" s="55" cm="1">
        <f t="array" ref="J458">(VLOOKUP($A458,'The List'!$B1:$AH671,22,FALSE)-AVERAGE('The List'!W2:W671))/STDEV('The List'!W2:W671)</f>
        <v>-0.73853908386105271</v>
      </c>
      <c r="K458" s="55" cm="1">
        <f t="array" ref="K458">(VLOOKUP($A458,'The List'!$B1:$AH671,23,FALSE)-AVERAGE('The List'!X2:X671))/STDEV('The List'!X2:X671)</f>
        <v>-0.80155300200843405</v>
      </c>
      <c r="L458" s="55" cm="1">
        <f t="array" ref="L458">(VLOOKUP($A458,'The List'!$B1:$AH671,24,FALSE)-AVERAGE('The List'!Y2:Y671))/STDEV('The List'!Y2:Y671)</f>
        <v>-0.47546929358800777</v>
      </c>
      <c r="M458" s="55" cm="1">
        <f t="array" ref="M458">(VLOOKUP($A458,'The List'!$B1:$AH671,25,FALSE)-AVERAGE('The List'!Z2:Z671))/STDEV('The List'!Z2:Z671)</f>
        <v>0.18194600030474953</v>
      </c>
      <c r="N458" s="55" cm="1">
        <f t="array" ref="N458">(VLOOKUP($A458,'The List'!$B1:$AH671,26,FALSE)-AVERAGE('The List'!AA2:AA671))/STDEV('The List'!AA2:AA671)</f>
        <v>1.9292681006353976</v>
      </c>
      <c r="O458" s="55" cm="1">
        <f t="array" ref="O458">(VLOOKUP($A458,'The List'!$B1:$AH671,27,FALSE)-AVERAGE('The List'!AB2:AB671))/STDEV('The List'!AB2:AB671)</f>
        <v>0.67711782368648787</v>
      </c>
      <c r="P458" s="55" cm="1">
        <f t="array" ref="P458">(VLOOKUP($A458,'The List'!$B1:$AH671,28,FALSE)-AVERAGE('The List'!AC2:AC671))/STDEV('The List'!AC2:AC671)</f>
        <v>-1.0946206613874578</v>
      </c>
      <c r="Q458" s="55" cm="1">
        <f t="array" ref="Q458">(VLOOKUP($A458,'The List'!$B1:$AH671,29,FALSE)-AVERAGE('The List'!AD2:AD671))/STDEV('The List'!AD2:AD671)</f>
        <v>-0.63309539095429113</v>
      </c>
      <c r="R458" s="55" cm="1">
        <f t="array" ref="R458">(VLOOKUP($A458,'The List'!$B1:$AH671,30,FALSE)-AVERAGE('The List'!AE2:AE671))/STDEV('The List'!AE2:AE671)</f>
        <v>-0.87040997049975488</v>
      </c>
      <c r="S458" s="55" cm="1">
        <f t="array" ref="S458">(VLOOKUP($A458,'The List'!$B1:$AH671,31,FALSE)-AVERAGE('The List'!AF2:AF671))/STDEV('The List'!AF2:AF671)</f>
        <v>-0.59581850454342256</v>
      </c>
      <c r="T458" s="55" cm="1">
        <f t="array" ref="T458">(VLOOKUP($A458,'The List'!$B1:$AH671,32,FALSE)-AVERAGE('The List'!AG2:AG671))/STDEV('The List'!AG2:AG671)</f>
        <v>-0.64684275008198677</v>
      </c>
      <c r="U458" s="55" cm="1">
        <f t="array" ref="U458">(VLOOKUP($A458,'The List'!$B1:$AH671,33,FALSE)-AVERAGE('The List'!AH2:AH671))/STDEV('The List'!AH2:AH671)</f>
        <v>-1.2552626683789523</v>
      </c>
      <c r="V458" s="55"/>
      <c r="W458" s="57"/>
      <c r="X458" s="55"/>
      <c r="Y458" s="55"/>
      <c r="Z458" s="55"/>
      <c r="AA458" s="55"/>
      <c r="AB458" s="55"/>
      <c r="AC458" s="55"/>
      <c r="AD458" s="55"/>
      <c r="AE458" s="55"/>
    </row>
    <row r="459" spans="1:31" ht="21.25" customHeight="1" x14ac:dyDescent="0.15">
      <c r="A459" s="10" t="s">
        <v>750</v>
      </c>
      <c r="B459" s="18" t="str" cm="1">
        <f t="array" ref="B459">VLOOKUP(A459,'Player Data'!A1:B673,2,FALSE)</f>
        <v>EDM</v>
      </c>
      <c r="C459" s="52" cm="1">
        <f t="array" ref="C459">((E459)*Settings!$C$12)+(F459*Settings!$C$2)+(G459*Settings!$C$3)+(H459*Settings!$C$4)+(I459*Settings!$C$5)+(K459*Settings!$C$9)+(N459*Settings!$C$6)+(J459*Settings!$C$8)+(O459*Settings!$C$7)+(P459*Settings!$C$14)+(Q459*Settings!$C$15)+(R459*Settings!$C$16)+(S459*Settings!$C$17)+(T459*Settings!$C$18)+(U459*Settings!$C$19)+(L459*Settings!$C$10)+(Settings!$C$11*M459)</f>
        <v>0.70853096857718834</v>
      </c>
      <c r="D459" s="57" cm="1">
        <f t="array" ref="D459">IF(Settings!$E$12="YES",VLOOKUP(A459,'Player Data'!A1:E673,5,FALSE),82)</f>
        <v>75</v>
      </c>
      <c r="E459" s="55" cm="1">
        <f t="array" ref="E459">(VLOOKUP($A459,'The List'!$B1:$AH671,17,FALSE)-AVERAGE('The List'!R2:R671))/STDEV('The List'!R2:R671)</f>
        <v>-1.3940678353316283</v>
      </c>
      <c r="F459" s="55" cm="1">
        <f t="array" ref="F459">(VLOOKUP($A459,'The List'!$B1:$AH671,18,FALSE)-AVERAGE('The List'!S2:S671))/STDEV('The List'!S2:S671)</f>
        <v>-0.62403869821472846</v>
      </c>
      <c r="G459" s="55" cm="1">
        <f t="array" ref="G459">(VLOOKUP($A459,'The List'!$B1:$AH671,19,FALSE)-AVERAGE('The List'!T2:T671))/STDEV('The List'!T2:T671)</f>
        <v>-0.8190412753827695</v>
      </c>
      <c r="H459" s="55" cm="1">
        <f t="array" ref="H459">(VLOOKUP($A459,'The List'!$B1:$AH671,20,FALSE)-AVERAGE('The List'!U2:U671))/STDEV('The List'!U2:U671)</f>
        <v>-0.79167729035068446</v>
      </c>
      <c r="I459" s="55" cm="1">
        <f t="array" ref="I459">(VLOOKUP($A459,'The List'!$B1:$AH671,21,FALSE)-AVERAGE('The List'!V2:V671))/STDEV('The List'!V2:V671)</f>
        <v>-0.88831097511129609</v>
      </c>
      <c r="J459" s="55" cm="1">
        <f t="array" ref="J459">(VLOOKUP($A459,'The List'!$B1:$AH671,22,FALSE)-AVERAGE('The List'!W2:W671))/STDEV('The List'!W2:W671)</f>
        <v>-0.53139141797041056</v>
      </c>
      <c r="K459" s="55" cm="1">
        <f t="array" ref="K459">(VLOOKUP($A459,'The List'!$B1:$AH671,23,FALSE)-AVERAGE('The List'!X2:X671))/STDEV('The List'!X2:X671)</f>
        <v>-0.6508124998524788</v>
      </c>
      <c r="L459" s="55" cm="1">
        <f t="array" ref="L459">(VLOOKUP($A459,'The List'!$B1:$AH671,24,FALSE)-AVERAGE('The List'!Y2:Y671))/STDEV('The List'!Y2:Y671)</f>
        <v>-0.47546929358800777</v>
      </c>
      <c r="M459" s="55" cm="1">
        <f t="array" ref="M459">(VLOOKUP($A459,'The List'!$B1:$AH671,25,FALSE)-AVERAGE('The List'!Z2:Z671))/STDEV('The List'!Z2:Z671)</f>
        <v>-0.64388478613809508</v>
      </c>
      <c r="N459" s="55" cm="1">
        <f t="array" ref="N459">(VLOOKUP($A459,'The List'!$B1:$AH671,26,FALSE)-AVERAGE('The List'!AA2:AA671))/STDEV('The List'!AA2:AA671)</f>
        <v>-0.70349416115530417</v>
      </c>
      <c r="O459" s="55" cm="1">
        <f t="array" ref="O459">(VLOOKUP($A459,'The List'!$B1:$AH671,27,FALSE)-AVERAGE('The List'!AB2:AB671))/STDEV('The List'!AB2:AB671)</f>
        <v>2.9817916010554621</v>
      </c>
      <c r="P459" s="55" cm="1">
        <f t="array" ref="P459">(VLOOKUP($A459,'The List'!$B1:$AH671,28,FALSE)-AVERAGE('The List'!AC2:AC671))/STDEV('The List'!AC2:AC671)</f>
        <v>0.70894281608299892</v>
      </c>
      <c r="Q459" s="55" cm="1">
        <f t="array" ref="Q459">(VLOOKUP($A459,'The List'!$B1:$AH671,29,FALSE)-AVERAGE('The List'!AD2:AD671))/STDEV('The List'!AD2:AD671)</f>
        <v>0.34143978727886198</v>
      </c>
      <c r="R459" s="55" cm="1">
        <f t="array" ref="R459">(VLOOKUP($A459,'The List'!$B1:$AH671,30,FALSE)-AVERAGE('The List'!AE2:AE671))/STDEV('The List'!AE2:AE671)</f>
        <v>-0.40879878523942492</v>
      </c>
      <c r="S459" s="55" cm="1">
        <f t="array" ref="S459">(VLOOKUP($A459,'The List'!$B1:$AH671,31,FALSE)-AVERAGE('The List'!AF2:AF671))/STDEV('The List'!AF2:AF671)</f>
        <v>-0.42634622047025467</v>
      </c>
      <c r="T459" s="55" cm="1">
        <f t="array" ref="T459">(VLOOKUP($A459,'The List'!$B1:$AH671,32,FALSE)-AVERAGE('The List'!AG2:AG671))/STDEV('The List'!AG2:AG671)</f>
        <v>-0.4018807537512708</v>
      </c>
      <c r="U459" s="55" cm="1">
        <f t="array" ref="U459">(VLOOKUP($A459,'The List'!$B1:$AH671,33,FALSE)-AVERAGE('The List'!AH2:AH671))/STDEV('The List'!AH2:AH671)</f>
        <v>0.67670476438280014</v>
      </c>
      <c r="V459" s="55"/>
      <c r="W459" s="57"/>
      <c r="X459" s="57"/>
      <c r="Y459" s="57"/>
      <c r="Z459" s="57"/>
      <c r="AA459" s="57"/>
      <c r="AB459" s="57"/>
      <c r="AC459" s="60"/>
      <c r="AD459" s="61"/>
      <c r="AE459" s="55"/>
    </row>
    <row r="460" spans="1:31" ht="21.25" customHeight="1" x14ac:dyDescent="0.15">
      <c r="A460" s="10" t="s">
        <v>729</v>
      </c>
      <c r="B460" s="18" t="str" cm="1">
        <f t="array" ref="B460">VLOOKUP(A460,'Player Data'!A1:B673,2,FALSE)</f>
        <v>NYR</v>
      </c>
      <c r="C460" s="52" cm="1">
        <f t="array" ref="C460">((E460)*Settings!$C$12)+(F460*Settings!$C$2)+(G460*Settings!$C$3)+(H460*Settings!$C$4)+(I460*Settings!$C$5)+(K460*Settings!$C$9)+(N460*Settings!$C$6)+(J460*Settings!$C$8)+(O460*Settings!$C$7)+(P460*Settings!$C$14)+(Q460*Settings!$C$15)+(R460*Settings!$C$16)+(S460*Settings!$C$17)+(T460*Settings!$C$18)+(U460*Settings!$C$19)+(L460*Settings!$C$10)+(Settings!$C$11*M460)</f>
        <v>-3.6941076043270926</v>
      </c>
      <c r="D460" s="57" cm="1">
        <f t="array" ref="D460">IF(Settings!$E$12="YES",VLOOKUP(A460,'Player Data'!A1:E673,5,FALSE),82)</f>
        <v>80</v>
      </c>
      <c r="E460" s="55" cm="1">
        <f t="array" ref="E460">(VLOOKUP($A460,'The List'!$B1:$AH671,17,FALSE)-AVERAGE('The List'!R2:R671))/STDEV('The List'!R2:R671)</f>
        <v>-1.4202999455074072</v>
      </c>
      <c r="F460" s="55" cm="1">
        <f t="array" ref="F460">(VLOOKUP($A460,'The List'!$B1:$AH671,18,FALSE)-AVERAGE('The List'!S2:S671))/STDEV('The List'!S2:S671)</f>
        <v>-0.57414173321697548</v>
      </c>
      <c r="G460" s="55" cm="1">
        <f t="array" ref="G460">(VLOOKUP($A460,'The List'!$B1:$AH671,19,FALSE)-AVERAGE('The List'!T2:T671))/STDEV('The List'!T2:T671)</f>
        <v>-0.8190412753827695</v>
      </c>
      <c r="H460" s="55" cm="1">
        <f t="array" ref="H460">(VLOOKUP($A460,'The List'!$B1:$AH671,20,FALSE)-AVERAGE('The List'!U2:U671))/STDEV('The List'!U2:U671)</f>
        <v>-0.7695736847837138</v>
      </c>
      <c r="I460" s="55" cm="1">
        <f t="array" ref="I460">(VLOOKUP($A460,'The List'!$B1:$AH671,21,FALSE)-AVERAGE('The List'!V2:V671))/STDEV('The List'!V2:V671)</f>
        <v>-0.92632094208069171</v>
      </c>
      <c r="J460" s="55" cm="1">
        <f t="array" ref="J460">(VLOOKUP($A460,'The List'!$B1:$AH671,22,FALSE)-AVERAGE('The List'!W2:W671))/STDEV('The List'!W2:W671)</f>
        <v>-0.73853908386105271</v>
      </c>
      <c r="K460" s="55" cm="1">
        <f t="array" ref="K460">(VLOOKUP($A460,'The List'!$B1:$AH671,23,FALSE)-AVERAGE('The List'!X2:X671))/STDEV('The List'!X2:X671)</f>
        <v>-0.72115806752525791</v>
      </c>
      <c r="L460" s="55" cm="1">
        <f t="array" ref="L460">(VLOOKUP($A460,'The List'!$B1:$AH671,24,FALSE)-AVERAGE('The List'!Y2:Y671))/STDEV('The List'!Y2:Y671)</f>
        <v>-0.47546929358800777</v>
      </c>
      <c r="M460" s="55" cm="1">
        <f t="array" ref="M460">(VLOOKUP($A460,'The List'!$B1:$AH671,25,FALSE)-AVERAGE('The List'!Z2:Z671))/STDEV('The List'!Z2:Z671)</f>
        <v>0.22541077853858349</v>
      </c>
      <c r="N460" s="55" cm="1">
        <f t="array" ref="N460">(VLOOKUP($A460,'The List'!$B1:$AH671,26,FALSE)-AVERAGE('The List'!AA2:AA671))/STDEV('The List'!AA2:AA671)</f>
        <v>-0.66262862352564655</v>
      </c>
      <c r="O460" s="55" cm="1">
        <f t="array" ref="O460">(VLOOKUP($A460,'The List'!$B1:$AH671,27,FALSE)-AVERAGE('The List'!AB2:AB671))/STDEV('The List'!AB2:AB671)</f>
        <v>-0.37487771357737215</v>
      </c>
      <c r="P460" s="55" cm="1">
        <f t="array" ref="P460">(VLOOKUP($A460,'The List'!$B1:$AH671,28,FALSE)-AVERAGE('The List'!AC2:AC671))/STDEV('The List'!AC2:AC671)</f>
        <v>-0.2785678725440261</v>
      </c>
      <c r="Q460" s="55" cm="1">
        <f t="array" ref="Q460">(VLOOKUP($A460,'The List'!$B1:$AH671,29,FALSE)-AVERAGE('The List'!AD2:AD671))/STDEV('The List'!AD2:AD671)</f>
        <v>-1.0734463888519097</v>
      </c>
      <c r="R460" s="55" cm="1">
        <f t="array" ref="R460">(VLOOKUP($A460,'The List'!$B1:$AH671,30,FALSE)-AVERAGE('The List'!AE2:AE671))/STDEV('The List'!AE2:AE671)</f>
        <v>-0.34641889533938031</v>
      </c>
      <c r="S460" s="55" cm="1">
        <f t="array" ref="S460">(VLOOKUP($A460,'The List'!$B1:$AH671,31,FALSE)-AVERAGE('The List'!AF2:AF671))/STDEV('The List'!AF2:AF671)</f>
        <v>-0.56504906856985448</v>
      </c>
      <c r="T460" s="55" cm="1">
        <f t="array" ref="T460">(VLOOKUP($A460,'The List'!$B1:$AH671,32,FALSE)-AVERAGE('The List'!AG2:AG671))/STDEV('The List'!AG2:AG671)</f>
        <v>-0.5570233514273909</v>
      </c>
      <c r="U460" s="55" cm="1">
        <f t="array" ref="U460">(VLOOKUP($A460,'The List'!$B1:$AH671,33,FALSE)-AVERAGE('The List'!AH2:AH671))/STDEV('The List'!AH2:AH671)</f>
        <v>3.271562012888287E-2</v>
      </c>
      <c r="V460" s="55"/>
      <c r="W460" s="77"/>
      <c r="X460" s="57"/>
      <c r="Y460" s="57"/>
      <c r="Z460" s="57"/>
      <c r="AA460" s="57"/>
      <c r="AB460" s="57"/>
      <c r="AC460" s="60"/>
      <c r="AD460" s="61"/>
      <c r="AE460" s="55"/>
    </row>
    <row r="461" spans="1:31" ht="21.25" customHeight="1" x14ac:dyDescent="0.15">
      <c r="A461" s="10" t="s">
        <v>697</v>
      </c>
      <c r="B461" s="18" t="str" cm="1">
        <f t="array" ref="B461">VLOOKUP(A461,'Player Data'!A1:B673,2,FALSE)</f>
        <v>DET</v>
      </c>
      <c r="C461" s="52" cm="1">
        <f t="array" ref="C461">((E461)*Settings!$C$12)+(F461*Settings!$C$2)+(G461*Settings!$C$3)+(H461*Settings!$C$4)+(I461*Settings!$C$5)+(K461*Settings!$C$9)+(N461*Settings!$C$6)+(J461*Settings!$C$8)+(O461*Settings!$C$7)+(P461*Settings!$C$14)+(Q461*Settings!$C$15)+(R461*Settings!$C$16)+(S461*Settings!$C$17)+(T461*Settings!$C$18)+(U461*Settings!$C$19)+(L461*Settings!$C$10)+(Settings!$C$11*M461)</f>
        <v>-3.2939768033201537</v>
      </c>
      <c r="D461" s="57" cm="1">
        <f t="array" ref="D461">IF(Settings!$E$12="YES",VLOOKUP(A461,'Player Data'!A1:E673,5,FALSE),82)</f>
        <v>79</v>
      </c>
      <c r="E461" s="55" cm="1">
        <f t="array" ref="E461">(VLOOKUP($A461,'The List'!$B1:$AH671,17,FALSE)-AVERAGE('The List'!R2:R671))/STDEV('The List'!R2:R671)</f>
        <v>-1.1055146233980575</v>
      </c>
      <c r="F461" s="55" cm="1">
        <f t="array" ref="F461">(VLOOKUP($A461,'The List'!$B1:$AH671,18,FALSE)-AVERAGE('The List'!S2:S671))/STDEV('The List'!S2:S671)</f>
        <v>-0.50528392152007628</v>
      </c>
      <c r="G461" s="55" cm="1">
        <f t="array" ref="G461">(VLOOKUP($A461,'The List'!$B1:$AH671,19,FALSE)-AVERAGE('The List'!T2:T671))/STDEV('The List'!T2:T671)</f>
        <v>-0.94061438438994949</v>
      </c>
      <c r="H461" s="55" cm="1">
        <f t="array" ref="H461">(VLOOKUP($A461,'The List'!$B1:$AH671,20,FALSE)-AVERAGE('The List'!U2:U671))/STDEV('The List'!U2:U671)</f>
        <v>-0.81554918436301282</v>
      </c>
      <c r="I461" s="55" cm="1">
        <f t="array" ref="I461">(VLOOKUP($A461,'The List'!$B1:$AH671,21,FALSE)-AVERAGE('The List'!V2:V671))/STDEV('The List'!V2:V671)</f>
        <v>-0.77825484347718221</v>
      </c>
      <c r="J461" s="55" cm="1">
        <f t="array" ref="J461">(VLOOKUP($A461,'The List'!$B1:$AH671,22,FALSE)-AVERAGE('The List'!W2:W671))/STDEV('The List'!W2:W671)</f>
        <v>-0.73853908386105271</v>
      </c>
      <c r="K461" s="55" cm="1">
        <f t="array" ref="K461">(VLOOKUP($A461,'The List'!$B1:$AH671,23,FALSE)-AVERAGE('The List'!X2:X671))/STDEV('The List'!X2:X671)</f>
        <v>-0.72216300420629753</v>
      </c>
      <c r="L461" s="55" cm="1">
        <f t="array" ref="L461">(VLOOKUP($A461,'The List'!$B1:$AH671,24,FALSE)-AVERAGE('The List'!Y2:Y671))/STDEV('The List'!Y2:Y671)</f>
        <v>0.97271857772082782</v>
      </c>
      <c r="M461" s="55" cm="1">
        <f t="array" ref="M461">(VLOOKUP($A461,'The List'!$B1:$AH671,25,FALSE)-AVERAGE('The List'!Z2:Z671))/STDEV('The List'!Z2:Z671)</f>
        <v>0.21454458398012499</v>
      </c>
      <c r="N461" s="55" cm="1">
        <f t="array" ref="N461">(VLOOKUP($A461,'The List'!$B1:$AH671,26,FALSE)-AVERAGE('The List'!AA2:AA671))/STDEV('The List'!AA2:AA671)</f>
        <v>3.1574696958164949E-2</v>
      </c>
      <c r="O461" s="55" cm="1">
        <f t="array" ref="O461">(VLOOKUP($A461,'The List'!$B1:$AH671,27,FALSE)-AVERAGE('The List'!AB2:AB671))/STDEV('The List'!AB2:AB671)</f>
        <v>0.27165266922274761</v>
      </c>
      <c r="P461" s="55" cm="1">
        <f t="array" ref="P461">(VLOOKUP($A461,'The List'!$B1:$AH671,28,FALSE)-AVERAGE('The List'!AC2:AC671))/STDEV('The List'!AC2:AC671)</f>
        <v>-0.61931331894939523</v>
      </c>
      <c r="Q461" s="55" cm="1">
        <f t="array" ref="Q461">(VLOOKUP($A461,'The List'!$B1:$AH671,29,FALSE)-AVERAGE('The List'!AD2:AD671))/STDEV('The List'!AD2:AD671)</f>
        <v>-0.62275157556743421</v>
      </c>
      <c r="R461" s="55" cm="1">
        <f t="array" ref="R461">(VLOOKUP($A461,'The List'!$B1:$AH671,30,FALSE)-AVERAGE('The List'!AE2:AE671))/STDEV('The List'!AE2:AE671)</f>
        <v>-0.35889487331938924</v>
      </c>
      <c r="S461" s="55" cm="1">
        <f t="array" ref="S461">(VLOOKUP($A461,'The List'!$B1:$AH671,31,FALSE)-AVERAGE('The List'!AF2:AF671))/STDEV('The List'!AF2:AF671)</f>
        <v>3.0868367199483517E-2</v>
      </c>
      <c r="T461" s="55" cm="1">
        <f t="array" ref="T461">(VLOOKUP($A461,'The List'!$B1:$AH671,32,FALSE)-AVERAGE('The List'!AG2:AG671))/STDEV('The List'!AG2:AG671)</f>
        <v>0.10707882737502712</v>
      </c>
      <c r="U461" s="55" cm="1">
        <f t="array" ref="U461">(VLOOKUP($A461,'The List'!$B1:$AH671,33,FALSE)-AVERAGE('The List'!AH2:AH671))/STDEV('The List'!AH2:AH671)</f>
        <v>0.90670088733062781</v>
      </c>
      <c r="V461" s="55"/>
      <c r="W461" s="77"/>
      <c r="X461" s="57"/>
      <c r="Y461" s="57"/>
      <c r="Z461" s="57"/>
      <c r="AA461" s="57"/>
      <c r="AB461" s="57"/>
      <c r="AC461" s="60"/>
      <c r="AD461" s="61"/>
      <c r="AE461" s="55"/>
    </row>
    <row r="462" spans="1:31" ht="21.25" customHeight="1" x14ac:dyDescent="0.15">
      <c r="A462" s="10" t="s">
        <v>461</v>
      </c>
      <c r="B462" s="18" t="str" cm="1">
        <f t="array" ref="B462">VLOOKUP(A462,'Player Data'!A1:B673,2,FALSE)</f>
        <v>NYR</v>
      </c>
      <c r="C462" s="52" cm="1">
        <f t="array" ref="C462">((E462)*Settings!$C$12)+(F462*Settings!$C$2)+(G462*Settings!$C$3)+(H462*Settings!$C$4)+(I462*Settings!$C$5)+(K462*Settings!$C$9)+(N462*Settings!$C$6)+(J462*Settings!$C$8)+(O462*Settings!$C$7)+(P462*Settings!$C$14)+(Q462*Settings!$C$15)+(R462*Settings!$C$16)+(S462*Settings!$C$17)+(T462*Settings!$C$18)+(U462*Settings!$C$19)+(L462*Settings!$C$10)+(Settings!$C$11*M462)</f>
        <v>-2.7412341880818731</v>
      </c>
      <c r="D462" s="57" cm="1">
        <f t="array" ref="D462">IF(Settings!$E$12="YES",VLOOKUP(A462,'Player Data'!A1:E673,5,FALSE),82)</f>
        <v>80</v>
      </c>
      <c r="E462" s="55" cm="1">
        <f t="array" ref="E462">(VLOOKUP($A462,'The List'!$B1:$AH671,17,FALSE)-AVERAGE('The List'!R2:R671))/STDEV('The List'!R2:R671)</f>
        <v>0.15362666503934194</v>
      </c>
      <c r="F462" s="55" cm="1">
        <f t="array" ref="F462">(VLOOKUP($A462,'The List'!$B1:$AH671,18,FALSE)-AVERAGE('The List'!S2:S671))/STDEV('The List'!S2:S671)</f>
        <v>-0.81364716520618985</v>
      </c>
      <c r="G462" s="55" cm="1">
        <f t="array" ref="G462">(VLOOKUP($A462,'The List'!$B1:$AH671,19,FALSE)-AVERAGE('The List'!T2:T671))/STDEV('The List'!T2:T671)</f>
        <v>-0.6503849391878378</v>
      </c>
      <c r="H462" s="55" cm="1">
        <f t="array" ref="H462">(VLOOKUP($A462,'The List'!$B1:$AH671,20,FALSE)-AVERAGE('The List'!U2:U671))/STDEV('The List'!U2:U671)</f>
        <v>-0.7695736847837138</v>
      </c>
      <c r="I462" s="55" cm="1">
        <f t="array" ref="I462">(VLOOKUP($A462,'The List'!$B1:$AH671,21,FALSE)-AVERAGE('The List'!V2:V671))/STDEV('The List'!V2:V671)</f>
        <v>-0.69135023717897304</v>
      </c>
      <c r="J462" s="55" cm="1">
        <f t="array" ref="J462">(VLOOKUP($A462,'The List'!$B1:$AH671,22,FALSE)-AVERAGE('The List'!W2:W671))/STDEV('The List'!W2:W671)</f>
        <v>-0.73853908386105271</v>
      </c>
      <c r="K462" s="55" cm="1">
        <f t="array" ref="K462">(VLOOKUP($A462,'The List'!$B1:$AH671,23,FALSE)-AVERAGE('The List'!X2:X671))/STDEV('The List'!X2:X671)</f>
        <v>-0.80155300200843405</v>
      </c>
      <c r="L462" s="55" cm="1">
        <f t="array" ref="L462">(VLOOKUP($A462,'The List'!$B1:$AH671,24,FALSE)-AVERAGE('The List'!Y2:Y671))/STDEV('The List'!Y2:Y671)</f>
        <v>-0.47546929358800777</v>
      </c>
      <c r="M462" s="55" cm="1">
        <f t="array" ref="M462">(VLOOKUP($A462,'The List'!$B1:$AH671,25,FALSE)-AVERAGE('The List'!Z2:Z671))/STDEV('The List'!Z2:Z671)</f>
        <v>-0.64388478613809508</v>
      </c>
      <c r="N462" s="55" cm="1">
        <f t="array" ref="N462">(VLOOKUP($A462,'The List'!$B1:$AH671,26,FALSE)-AVERAGE('The List'!AA2:AA671))/STDEV('The List'!AA2:AA671)</f>
        <v>0.76766519351237528</v>
      </c>
      <c r="O462" s="55" cm="1">
        <f t="array" ref="O462">(VLOOKUP($A462,'The List'!$B1:$AH671,27,FALSE)-AVERAGE('The List'!AB2:AB671))/STDEV('The List'!AB2:AB671)</f>
        <v>0.49426902804358747</v>
      </c>
      <c r="P462" s="55" cm="1">
        <f t="array" ref="P462">(VLOOKUP($A462,'The List'!$B1:$AH671,28,FALSE)-AVERAGE('The List'!AC2:AC671))/STDEV('The List'!AC2:AC671)</f>
        <v>-0.2785678725440261</v>
      </c>
      <c r="Q462" s="55" cm="1">
        <f t="array" ref="Q462">(VLOOKUP($A462,'The List'!$B1:$AH671,29,FALSE)-AVERAGE('The List'!AD2:AD671))/STDEV('The List'!AD2:AD671)</f>
        <v>0.46334904005253147</v>
      </c>
      <c r="R462" s="55" cm="1">
        <f t="array" ref="R462">(VLOOKUP($A462,'The List'!$B1:$AH671,30,FALSE)-AVERAGE('The List'!AE2:AE671))/STDEV('The List'!AE2:AE671)</f>
        <v>-0.84545801453973701</v>
      </c>
      <c r="S462" s="55" cm="1">
        <f t="array" ref="S462">(VLOOKUP($A462,'The List'!$B1:$AH671,31,FALSE)-AVERAGE('The List'!AF2:AF671))/STDEV('The List'!AF2:AF671)</f>
        <v>-0.59581850454342256</v>
      </c>
      <c r="T462" s="55" cm="1">
        <f t="array" ref="T462">(VLOOKUP($A462,'The List'!$B1:$AH671,32,FALSE)-AVERAGE('The List'!AG2:AG671))/STDEV('The List'!AG2:AG671)</f>
        <v>-0.64684275008198677</v>
      </c>
      <c r="U462" s="55" cm="1">
        <f t="array" ref="U462">(VLOOKUP($A462,'The List'!$B1:$AH671,33,FALSE)-AVERAGE('The List'!AH2:AH671))/STDEV('The List'!AH2:AH671)</f>
        <v>-1.2552626683789523</v>
      </c>
      <c r="V462" s="55"/>
      <c r="W462" s="77"/>
      <c r="X462" s="57"/>
      <c r="Y462" s="57"/>
      <c r="Z462" s="57"/>
      <c r="AA462" s="57"/>
      <c r="AB462" s="57"/>
      <c r="AC462" s="60"/>
      <c r="AD462" s="61"/>
      <c r="AE462" s="55"/>
    </row>
    <row r="463" spans="1:31" ht="21.25" customHeight="1" x14ac:dyDescent="0.15">
      <c r="A463" s="10" t="s">
        <v>548</v>
      </c>
      <c r="B463" s="18" t="str" cm="1">
        <f t="array" ref="B463">VLOOKUP(A463,'Player Data'!A1:B673,2,FALSE)</f>
        <v>CGY</v>
      </c>
      <c r="C463" s="52" cm="1">
        <f t="array" ref="C463">((E463)*Settings!$C$12)+(F463*Settings!$C$2)+(G463*Settings!$C$3)+(H463*Settings!$C$4)+(I463*Settings!$C$5)+(K463*Settings!$C$9)+(N463*Settings!$C$6)+(J463*Settings!$C$8)+(O463*Settings!$C$7)+(P463*Settings!$C$14)+(Q463*Settings!$C$15)+(R463*Settings!$C$16)+(S463*Settings!$C$17)+(T463*Settings!$C$18)+(U463*Settings!$C$19)+(L463*Settings!$C$10)+(Settings!$C$11*M463)</f>
        <v>-5.3463622590746169</v>
      </c>
      <c r="D463" s="57" cm="1">
        <f t="array" ref="D463">IF(Settings!$E$12="YES",VLOOKUP(A463,'Player Data'!A1:E673,5,FALSE),82)</f>
        <v>64</v>
      </c>
      <c r="E463" s="55" cm="1">
        <f t="array" ref="E463">(VLOOKUP($A463,'The List'!$B1:$AH671,17,FALSE)-AVERAGE('The List'!R2:R671))/STDEV('The List'!R2:R671)</f>
        <v>-3.7659960153324803E-3</v>
      </c>
      <c r="F463" s="55" cm="1">
        <f t="array" ref="F463">(VLOOKUP($A463,'The List'!$B1:$AH671,18,FALSE)-AVERAGE('The List'!S2:S671))/STDEV('The List'!S2:S671)</f>
        <v>-0.98928448199828056</v>
      </c>
      <c r="G463" s="55" cm="1">
        <f t="array" ref="G463">(VLOOKUP($A463,'The List'!$B1:$AH671,19,FALSE)-AVERAGE('The List'!T2:T671))/STDEV('The List'!T2:T671)</f>
        <v>-0.85277254262175584</v>
      </c>
      <c r="H463" s="55" cm="1">
        <f t="array" ref="H463">(VLOOKUP($A463,'The List'!$B1:$AH671,20,FALSE)-AVERAGE('The List'!U2:U671))/STDEV('The List'!U2:U671)</f>
        <v>-0.97469514444520233</v>
      </c>
      <c r="I463" s="55" cm="1">
        <f t="array" ref="I463">(VLOOKUP($A463,'The List'!$B1:$AH671,21,FALSE)-AVERAGE('The List'!V2:V671))/STDEV('The List'!V2:V671)</f>
        <v>-1.0562459200851713</v>
      </c>
      <c r="J463" s="55" cm="1">
        <f t="array" ref="J463">(VLOOKUP($A463,'The List'!$B1:$AH671,22,FALSE)-AVERAGE('The List'!W2:W671))/STDEV('The List'!W2:W671)</f>
        <v>-0.73853908386105271</v>
      </c>
      <c r="K463" s="55" cm="1">
        <f t="array" ref="K463">(VLOOKUP($A463,'The List'!$B1:$AH671,23,FALSE)-AVERAGE('The List'!X2:X671))/STDEV('The List'!X2:X671)</f>
        <v>-0.54428921166227029</v>
      </c>
      <c r="L463" s="55" cm="1">
        <f t="array" ref="L463">(VLOOKUP($A463,'The List'!$B1:$AH671,24,FALSE)-AVERAGE('The List'!Y2:Y671))/STDEV('The List'!Y2:Y671)</f>
        <v>-0.47546929358800777</v>
      </c>
      <c r="M463" s="55" cm="1">
        <f t="array" ref="M463">(VLOOKUP($A463,'The List'!$B1:$AH671,25,FALSE)-AVERAGE('The List'!Z2:Z671))/STDEV('The List'!Z2:Z671)</f>
        <v>-0.64388478613809508</v>
      </c>
      <c r="N463" s="55" cm="1">
        <f t="array" ref="N463">(VLOOKUP($A463,'The List'!$B1:$AH671,26,FALSE)-AVERAGE('The List'!AA2:AA671))/STDEV('The List'!AA2:AA671)</f>
        <v>-5.3732112843745725E-2</v>
      </c>
      <c r="O463" s="55" cm="1">
        <f t="array" ref="O463">(VLOOKUP($A463,'The List'!$B1:$AH671,27,FALSE)-AVERAGE('The List'!AB2:AB671))/STDEV('The List'!AB2:AB671)</f>
        <v>-0.54870706190156404</v>
      </c>
      <c r="P463" s="55" cm="1">
        <f t="array" ref="P463">(VLOOKUP($A463,'The List'!$B1:$AH671,28,FALSE)-AVERAGE('The List'!AC2:AC671))/STDEV('The List'!AC2:AC671)</f>
        <v>-1.3550630408055744</v>
      </c>
      <c r="Q463" s="55" cm="1">
        <f t="array" ref="Q463">(VLOOKUP($A463,'The List'!$B1:$AH671,29,FALSE)-AVERAGE('The List'!AD2:AD671))/STDEV('The List'!AD2:AD671)</f>
        <v>-0.90794534266220073</v>
      </c>
      <c r="R463" s="55" cm="1">
        <f t="array" ref="R463">(VLOOKUP($A463,'The List'!$B1:$AH671,30,FALSE)-AVERAGE('The List'!AE2:AE671))/STDEV('The List'!AE2:AE671)</f>
        <v>-0.94526583837980827</v>
      </c>
      <c r="S463" s="55" cm="1">
        <f t="array" ref="S463">(VLOOKUP($A463,'The List'!$B1:$AH671,31,FALSE)-AVERAGE('The List'!AF2:AF671))/STDEV('The List'!AF2:AF671)</f>
        <v>-0.59581850454342256</v>
      </c>
      <c r="T463" s="55" cm="1">
        <f t="array" ref="T463">(VLOOKUP($A463,'The List'!$B1:$AH671,32,FALSE)-AVERAGE('The List'!AG2:AG671))/STDEV('The List'!AG2:AG671)</f>
        <v>-0.64684275008198677</v>
      </c>
      <c r="U463" s="55" cm="1">
        <f t="array" ref="U463">(VLOOKUP($A463,'The List'!$B1:$AH671,33,FALSE)-AVERAGE('The List'!AH2:AH671))/STDEV('The List'!AH2:AH671)</f>
        <v>-1.2552626683789523</v>
      </c>
      <c r="V463" s="55"/>
      <c r="W463" s="77"/>
      <c r="X463" s="57"/>
      <c r="Y463" s="57"/>
      <c r="Z463" s="57"/>
      <c r="AA463" s="57"/>
      <c r="AB463" s="57"/>
      <c r="AC463" s="60"/>
      <c r="AD463" s="61"/>
      <c r="AE463" s="55"/>
    </row>
    <row r="464" spans="1:31" ht="21.25" customHeight="1" x14ac:dyDescent="0.15">
      <c r="A464" s="10" t="s">
        <v>743</v>
      </c>
      <c r="B464" s="18" t="str" cm="1">
        <f t="array" ref="B464">VLOOKUP(A464,'Player Data'!A1:B673,2,FALSE)</f>
        <v>WPG</v>
      </c>
      <c r="C464" s="52" cm="1">
        <f t="array" ref="C464">((E464)*Settings!$C$12)+(F464*Settings!$C$2)+(G464*Settings!$C$3)+(H464*Settings!$C$4)+(I464*Settings!$C$5)+(K464*Settings!$C$9)+(N464*Settings!$C$6)+(J464*Settings!$C$8)+(O464*Settings!$C$7)+(P464*Settings!$C$14)+(Q464*Settings!$C$15)+(R464*Settings!$C$16)+(S464*Settings!$C$17)+(T464*Settings!$C$18)+(U464*Settings!$C$19)+(L464*Settings!$C$10)+(Settings!$C$11*M464)</f>
        <v>-0.56201023685147022</v>
      </c>
      <c r="D464" s="57" cm="1">
        <f t="array" ref="D464">IF(Settings!$E$12="YES",VLOOKUP(A464,'Player Data'!A1:E673,5,FALSE),82)</f>
        <v>73</v>
      </c>
      <c r="E464" s="55" cm="1">
        <f t="array" ref="E464">(VLOOKUP($A464,'The List'!$B1:$AH671,17,FALSE)-AVERAGE('The List'!R2:R671))/STDEV('The List'!R2:R671)</f>
        <v>-1.3940678353316283</v>
      </c>
      <c r="F464" s="55" cm="1">
        <f t="array" ref="F464">(VLOOKUP($A464,'The List'!$B1:$AH671,18,FALSE)-AVERAGE('The List'!S2:S671))/STDEV('The List'!S2:S671)</f>
        <v>-0.49829834642039089</v>
      </c>
      <c r="G464" s="55" cm="1">
        <f t="array" ref="G464">(VLOOKUP($A464,'The List'!$B1:$AH671,19,FALSE)-AVERAGE('The List'!T2:T671))/STDEV('The List'!T2:T671)</f>
        <v>-0.99542769365330219</v>
      </c>
      <c r="H464" s="55" cm="1">
        <f t="array" ref="H464">(VLOOKUP($A464,'The List'!$B1:$AH671,20,FALSE)-AVERAGE('The List'!U2:U671))/STDEV('The List'!U2:U671)</f>
        <v>-0.8469363042681114</v>
      </c>
      <c r="I464" s="55" cm="1">
        <f t="array" ref="I464">(VLOOKUP($A464,'The List'!$B1:$AH671,21,FALSE)-AVERAGE('The List'!V2:V671))/STDEV('The List'!V2:V671)</f>
        <v>-0.53188114848464496</v>
      </c>
      <c r="J464" s="55" cm="1">
        <f t="array" ref="J464">(VLOOKUP($A464,'The List'!$B1:$AH671,22,FALSE)-AVERAGE('The List'!W2:W671))/STDEV('The List'!W2:W671)</f>
        <v>-0.73853908386105271</v>
      </c>
      <c r="K464" s="55" cm="1">
        <f t="array" ref="K464">(VLOOKUP($A464,'The List'!$B1:$AH671,23,FALSE)-AVERAGE('The List'!X2:X671))/STDEV('The List'!X2:X671)</f>
        <v>-0.80155300200843405</v>
      </c>
      <c r="L464" s="55" cm="1">
        <f t="array" ref="L464">(VLOOKUP($A464,'The List'!$B1:$AH671,24,FALSE)-AVERAGE('The List'!Y2:Y671))/STDEV('The List'!Y2:Y671)</f>
        <v>0.86272962546952381</v>
      </c>
      <c r="M464" s="55" cm="1">
        <f t="array" ref="M464">(VLOOKUP($A464,'The List'!$B1:$AH671,25,FALSE)-AVERAGE('The List'!Z2:Z671))/STDEV('The List'!Z2:Z671)</f>
        <v>0.14934741662937404</v>
      </c>
      <c r="N464" s="55" cm="1">
        <f t="array" ref="N464">(VLOOKUP($A464,'The List'!$B1:$AH671,26,FALSE)-AVERAGE('The List'!AA2:AA671))/STDEV('The List'!AA2:AA671)</f>
        <v>-0.95175230225547525</v>
      </c>
      <c r="O464" s="55" cm="1">
        <f t="array" ref="O464">(VLOOKUP($A464,'The List'!$B1:$AH671,27,FALSE)-AVERAGE('The List'!AB2:AB671))/STDEV('The List'!AB2:AB671)</f>
        <v>2.2116537925012296</v>
      </c>
      <c r="P464" s="55" cm="1">
        <f t="array" ref="P464">(VLOOKUP($A464,'The List'!$B1:$AH671,28,FALSE)-AVERAGE('The List'!AC2:AC671))/STDEV('The List'!AC2:AC671)</f>
        <v>5.3496161214072434E-2</v>
      </c>
      <c r="Q464" s="55" cm="1">
        <f t="array" ref="Q464">(VLOOKUP($A464,'The List'!$B1:$AH671,29,FALSE)-AVERAGE('The List'!AD2:AD671))/STDEV('The List'!AD2:AD671)</f>
        <v>-1.2950995757131272</v>
      </c>
      <c r="R464" s="55" cm="1">
        <f t="array" ref="R464">(VLOOKUP($A464,'The List'!$B1:$AH671,30,FALSE)-AVERAGE('The List'!AE2:AE671))/STDEV('The List'!AE2:AE671)</f>
        <v>-0.43375074119944279</v>
      </c>
      <c r="S464" s="55" cm="1">
        <f t="array" ref="S464">(VLOOKUP($A464,'The List'!$B1:$AH671,31,FALSE)-AVERAGE('The List'!AF2:AF671))/STDEV('The List'!AF2:AF671)</f>
        <v>-0.59581850454342256</v>
      </c>
      <c r="T464" s="55" cm="1">
        <f t="array" ref="T464">(VLOOKUP($A464,'The List'!$B1:$AH671,32,FALSE)-AVERAGE('The List'!AG2:AG671))/STDEV('The List'!AG2:AG671)</f>
        <v>-0.63566635899939783</v>
      </c>
      <c r="U464" s="55" cm="1">
        <f t="array" ref="U464">(VLOOKUP($A464,'The List'!$B1:$AH671,33,FALSE)-AVERAGE('The List'!AH2:AH671))/STDEV('The List'!AH2:AH671)</f>
        <v>-1.2552626683789523</v>
      </c>
      <c r="V464" s="55"/>
      <c r="W464" s="57"/>
      <c r="X464" s="55"/>
      <c r="Y464" s="55"/>
      <c r="Z464" s="55"/>
      <c r="AA464" s="55"/>
      <c r="AB464" s="55"/>
      <c r="AC464" s="55"/>
      <c r="AD464" s="55"/>
      <c r="AE464" s="55"/>
    </row>
    <row r="465" spans="1:31" ht="21.25" customHeight="1" x14ac:dyDescent="0.15">
      <c r="A465" s="10" t="s">
        <v>478</v>
      </c>
      <c r="B465" s="18" t="str" cm="1">
        <f t="array" ref="B465">VLOOKUP(A465,'Player Data'!A1:B673,2,FALSE)</f>
        <v>CHI</v>
      </c>
      <c r="C465" s="52" cm="1">
        <f t="array" ref="C465">((E465)*Settings!$C$12)+(F465*Settings!$C$2)+(G465*Settings!$C$3)+(H465*Settings!$C$4)+(I465*Settings!$C$5)+(K465*Settings!$C$9)+(N465*Settings!$C$6)+(J465*Settings!$C$8)+(O465*Settings!$C$7)+(P465*Settings!$C$14)+(Q465*Settings!$C$15)+(R465*Settings!$C$16)+(S465*Settings!$C$17)+(T465*Settings!$C$18)+(U465*Settings!$C$19)+(L465*Settings!$C$10)+(Settings!$C$11*M465)</f>
        <v>-5.6115692403722148</v>
      </c>
      <c r="D465" s="57" cm="1">
        <f t="array" ref="D465">IF(Settings!$E$12="YES",VLOOKUP(A465,'Player Data'!A1:E673,5,FALSE),82)</f>
        <v>75</v>
      </c>
      <c r="E465" s="55" cm="1">
        <f t="array" ref="E465">(VLOOKUP($A465,'The List'!$B1:$AH671,17,FALSE)-AVERAGE('The List'!R2:R671))/STDEV('The List'!R2:R671)</f>
        <v>0.78319730925804232</v>
      </c>
      <c r="F465" s="55" cm="1">
        <f t="array" ref="F465">(VLOOKUP($A465,'The List'!$B1:$AH671,18,FALSE)-AVERAGE('The List'!S2:S671))/STDEV('The List'!S2:S671)</f>
        <v>-0.77372959320798751</v>
      </c>
      <c r="G465" s="55" cm="1">
        <f t="array" ref="G465">(VLOOKUP($A465,'The List'!$B1:$AH671,19,FALSE)-AVERAGE('The List'!T2:T671))/STDEV('The List'!T2:T671)</f>
        <v>-0.76633617032185319</v>
      </c>
      <c r="H465" s="55" cm="1">
        <f t="array" ref="H465">(VLOOKUP($A465,'The List'!$B1:$AH671,20,FALSE)-AVERAGE('The List'!U2:U671))/STDEV('The List'!U2:U671)</f>
        <v>-0.82483269870114062</v>
      </c>
      <c r="I465" s="55" cm="1">
        <f t="array" ref="I465">(VLOOKUP($A465,'The List'!$B1:$AH671,21,FALSE)-AVERAGE('The List'!V2:V671))/STDEV('The List'!V2:V671)</f>
        <v>-0.75873154226108364</v>
      </c>
      <c r="J465" s="55" cm="1">
        <f t="array" ref="J465">(VLOOKUP($A465,'The List'!$B1:$AH671,22,FALSE)-AVERAGE('The List'!W2:W671))/STDEV('The List'!W2:W671)</f>
        <v>-0.73853908386105271</v>
      </c>
      <c r="K465" s="55" cm="1">
        <f t="array" ref="K465">(VLOOKUP($A465,'The List'!$B1:$AH671,23,FALSE)-AVERAGE('The List'!X2:X671))/STDEV('The List'!X2:X671)</f>
        <v>-0.80155300200843405</v>
      </c>
      <c r="L465" s="55" cm="1">
        <f t="array" ref="L465">(VLOOKUP($A465,'The List'!$B1:$AH671,24,FALSE)-AVERAGE('The List'!Y2:Y671))/STDEV('The List'!Y2:Y671)</f>
        <v>-0.47546929358800777</v>
      </c>
      <c r="M465" s="55" cm="1">
        <f t="array" ref="M465">(VLOOKUP($A465,'The List'!$B1:$AH671,25,FALSE)-AVERAGE('The List'!Z2:Z671))/STDEV('The List'!Z2:Z671)</f>
        <v>-0.64388478613809508</v>
      </c>
      <c r="N465" s="55" cm="1">
        <f t="array" ref="N465">(VLOOKUP($A465,'The List'!$B1:$AH671,26,FALSE)-AVERAGE('The List'!AA2:AA671))/STDEV('The List'!AA2:AA671)</f>
        <v>0.71402917537344968</v>
      </c>
      <c r="O465" s="55" cm="1">
        <f t="array" ref="O465">(VLOOKUP($A465,'The List'!$B1:$AH671,27,FALSE)-AVERAGE('The List'!AB2:AB671))/STDEV('The List'!AB2:AB671)</f>
        <v>-0.61573795447469004</v>
      </c>
      <c r="P465" s="55" cm="1">
        <f t="array" ref="P465">(VLOOKUP($A465,'The List'!$B1:$AH671,28,FALSE)-AVERAGE('The List'!AC2:AC671))/STDEV('The List'!AC2:AC671)</f>
        <v>-1.8954809780981661</v>
      </c>
      <c r="Q465" s="55" cm="1">
        <f t="array" ref="Q465">(VLOOKUP($A465,'The List'!$B1:$AH671,29,FALSE)-AVERAGE('The List'!AD2:AD671))/STDEV('The List'!AD2:AD671)</f>
        <v>0.11978660041764447</v>
      </c>
      <c r="R465" s="55" cm="1">
        <f t="array" ref="R465">(VLOOKUP($A465,'The List'!$B1:$AH671,30,FALSE)-AVERAGE('The List'!AE2:AE671))/STDEV('The List'!AE2:AE671)</f>
        <v>-0.87664795948975927</v>
      </c>
      <c r="S465" s="55" cm="1">
        <f t="array" ref="S465">(VLOOKUP($A465,'The List'!$B1:$AH671,31,FALSE)-AVERAGE('The List'!AF2:AF671))/STDEV('The List'!AF2:AF671)</f>
        <v>-0.59581850454342256</v>
      </c>
      <c r="T465" s="55" cm="1">
        <f t="array" ref="T465">(VLOOKUP($A465,'The List'!$B1:$AH671,32,FALSE)-AVERAGE('The List'!AG2:AG671))/STDEV('The List'!AG2:AG671)</f>
        <v>-0.64684275008198677</v>
      </c>
      <c r="U465" s="55" cm="1">
        <f t="array" ref="U465">(VLOOKUP($A465,'The List'!$B1:$AH671,33,FALSE)-AVERAGE('The List'!AH2:AH671))/STDEV('The List'!AH2:AH671)</f>
        <v>-1.2552626683789523</v>
      </c>
      <c r="V465" s="55"/>
      <c r="W465" s="77"/>
      <c r="X465" s="57"/>
      <c r="Y465" s="57"/>
      <c r="Z465" s="57"/>
      <c r="AA465" s="57"/>
      <c r="AB465" s="57"/>
      <c r="AC465" s="60"/>
      <c r="AD465" s="61"/>
      <c r="AE465" s="55"/>
    </row>
    <row r="466" spans="1:31" ht="21.25" customHeight="1" x14ac:dyDescent="0.15">
      <c r="A466" s="10" t="s">
        <v>413</v>
      </c>
      <c r="B466" s="18" t="str" cm="1">
        <f t="array" ref="B466">VLOOKUP(A466,'Player Data'!A1:B673,2,FALSE)</f>
        <v>BOS</v>
      </c>
      <c r="C466" s="52" cm="1">
        <f t="array" ref="C466">((E466)*Settings!$C$12)+(F466*Settings!$C$2)+(G466*Settings!$C$3)+(H466*Settings!$C$4)+(I466*Settings!$C$5)+(K466*Settings!$C$9)+(N466*Settings!$C$6)+(J466*Settings!$C$8)+(O466*Settings!$C$7)+(P466*Settings!$C$14)+(Q466*Settings!$C$15)+(R466*Settings!$C$16)+(S466*Settings!$C$17)+(T466*Settings!$C$18)+(U466*Settings!$C$19)+(L466*Settings!$C$10)+(Settings!$C$11*M466)</f>
        <v>-1.3332934161137575</v>
      </c>
      <c r="D466" s="57" cm="1">
        <f t="array" ref="D466">IF(Settings!$E$12="YES",VLOOKUP(A466,'Player Data'!A1:E673,5,FALSE),82)</f>
        <v>83</v>
      </c>
      <c r="E466" s="55" cm="1">
        <f t="array" ref="E466">(VLOOKUP($A466,'The List'!$B1:$AH671,17,FALSE)-AVERAGE('The List'!R2:R671))/STDEV('The List'!R2:R671)</f>
        <v>0.96682208048849627</v>
      </c>
      <c r="F466" s="55" cm="1">
        <f t="array" ref="F466">(VLOOKUP($A466,'The List'!$B1:$AH671,18,FALSE)-AVERAGE('The List'!S2:S671))/STDEV('The List'!S2:S671)</f>
        <v>-1.1240062874922137</v>
      </c>
      <c r="G466" s="55" cm="1">
        <f t="array" ref="G466">(VLOOKUP($A466,'The List'!$B1:$AH671,19,FALSE)-AVERAGE('The List'!T2:T671))/STDEV('The List'!T2:T671)</f>
        <v>-0.37912933180765579</v>
      </c>
      <c r="H466" s="55" cm="1">
        <f t="array" ref="H466">(VLOOKUP($A466,'The List'!$B1:$AH671,20,FALSE)-AVERAGE('The List'!U2:U671))/STDEV('The List'!U2:U671)</f>
        <v>-0.73641827643325763</v>
      </c>
      <c r="I466" s="55" cm="1">
        <f t="array" ref="I466">(VLOOKUP($A466,'The List'!$B1:$AH671,21,FALSE)-AVERAGE('The List'!V2:V671))/STDEV('The List'!V2:V671)</f>
        <v>-0.52065093097096027</v>
      </c>
      <c r="J466" s="55" cm="1">
        <f t="array" ref="J466">(VLOOKUP($A466,'The List'!$B1:$AH671,22,FALSE)-AVERAGE('The List'!W2:W671))/STDEV('The List'!W2:W671)</f>
        <v>-0.73853908386105271</v>
      </c>
      <c r="K466" s="55" cm="1">
        <f t="array" ref="K466">(VLOOKUP($A466,'The List'!$B1:$AH671,23,FALSE)-AVERAGE('The List'!X2:X671))/STDEV('The List'!X2:X671)</f>
        <v>-0.80155300200843405</v>
      </c>
      <c r="L466" s="55" cm="1">
        <f t="array" ref="L466">(VLOOKUP($A466,'The List'!$B1:$AH671,24,FALSE)-AVERAGE('The List'!Y2:Y671))/STDEV('The List'!Y2:Y671)</f>
        <v>-0.47546929358800777</v>
      </c>
      <c r="M466" s="55" cm="1">
        <f t="array" ref="M466">(VLOOKUP($A466,'The List'!$B1:$AH671,25,FALSE)-AVERAGE('The List'!Z2:Z671))/STDEV('The List'!Z2:Z671)</f>
        <v>-0.64388478613809508</v>
      </c>
      <c r="N466" s="55" cm="1">
        <f t="array" ref="N466">(VLOOKUP($A466,'The List'!$B1:$AH671,26,FALSE)-AVERAGE('The List'!AA2:AA671))/STDEV('The List'!AA2:AA671)</f>
        <v>1.1752989313682116</v>
      </c>
      <c r="O466" s="55" cm="1">
        <f t="array" ref="O466">(VLOOKUP($A466,'The List'!$B1:$AH671,27,FALSE)-AVERAGE('The List'!AB2:AB671))/STDEV('The List'!AB2:AB671)</f>
        <v>1.9572643806258492</v>
      </c>
      <c r="P466" s="55" cm="1">
        <f t="array" ref="P466">(VLOOKUP($A466,'The List'!$B1:$AH671,28,FALSE)-AVERAGE('The List'!AC2:AC671))/STDEV('The List'!AC2:AC671)</f>
        <v>-0.46521824446034304</v>
      </c>
      <c r="Q466" s="55" cm="1">
        <f t="array" ref="Q466">(VLOOKUP($A466,'The List'!$B1:$AH671,29,FALSE)-AVERAGE('The List'!AD2:AD671))/STDEV('The List'!AD2:AD671)</f>
        <v>5.3530183422109898</v>
      </c>
      <c r="R466" s="55" cm="1">
        <f t="array" ref="R466">(VLOOKUP($A466,'The List'!$B1:$AH671,30,FALSE)-AVERAGE('The List'!AE2:AE671))/STDEV('The List'!AE2:AE671)</f>
        <v>-1.3444971337400937</v>
      </c>
      <c r="S466" s="55" cm="1">
        <f t="array" ref="S466">(VLOOKUP($A466,'The List'!$B1:$AH671,31,FALSE)-AVERAGE('The List'!AF2:AF671))/STDEV('The List'!AF2:AF671)</f>
        <v>-0.59581850454342256</v>
      </c>
      <c r="T466" s="55" cm="1">
        <f t="array" ref="T466">(VLOOKUP($A466,'The List'!$B1:$AH671,32,FALSE)-AVERAGE('The List'!AG2:AG671))/STDEV('The List'!AG2:AG671)</f>
        <v>-0.64684275008198677</v>
      </c>
      <c r="U466" s="55" cm="1">
        <f t="array" ref="U466">(VLOOKUP($A466,'The List'!$B1:$AH671,33,FALSE)-AVERAGE('The List'!AH2:AH671))/STDEV('The List'!AH2:AH671)</f>
        <v>-1.2552626683789523</v>
      </c>
      <c r="V466" s="55"/>
      <c r="W466" s="57"/>
      <c r="X466" s="57"/>
      <c r="Y466" s="57"/>
      <c r="Z466" s="57"/>
      <c r="AA466" s="57"/>
      <c r="AB466" s="57"/>
      <c r="AC466" s="60"/>
      <c r="AD466" s="61"/>
      <c r="AE466" s="55"/>
    </row>
    <row r="467" spans="1:31" ht="21.25" customHeight="1" x14ac:dyDescent="0.15">
      <c r="A467" s="10" t="s">
        <v>779</v>
      </c>
      <c r="B467" s="18" t="str" cm="1">
        <f t="array" ref="B467">VLOOKUP(A467,'Player Data'!A1:B673,2,FALSE)</f>
        <v>SEA</v>
      </c>
      <c r="C467" s="52" cm="1">
        <f t="array" ref="C467">((E467)*Settings!$C$12)+(F467*Settings!$C$2)+(G467*Settings!$C$3)+(H467*Settings!$C$4)+(I467*Settings!$C$5)+(K467*Settings!$C$9)+(N467*Settings!$C$6)+(J467*Settings!$C$8)+(O467*Settings!$C$7)+(P467*Settings!$C$14)+(Q467*Settings!$C$15)+(R467*Settings!$C$16)+(S467*Settings!$C$17)+(T467*Settings!$C$18)+(U467*Settings!$C$19)+(L467*Settings!$C$10)+(Settings!$C$11*M467)</f>
        <v>-4.861795825206344</v>
      </c>
      <c r="D467" s="57" cm="1">
        <f t="array" ref="D467">IF(Settings!$E$12="YES",VLOOKUP(A467,'Player Data'!A1:E673,5,FALSE),82)</f>
        <v>63</v>
      </c>
      <c r="E467" s="55" cm="1">
        <f t="array" ref="E467">(VLOOKUP($A467,'The List'!$B1:$AH671,17,FALSE)-AVERAGE('The List'!R2:R671))/STDEV('The List'!R2:R671)</f>
        <v>-1.2366751742769533</v>
      </c>
      <c r="F467" s="55" cm="1">
        <f t="array" ref="F467">(VLOOKUP($A467,'The List'!$B1:$AH671,18,FALSE)-AVERAGE('The List'!S2:S671))/STDEV('The List'!S2:S671)</f>
        <v>-0.68092123831216689</v>
      </c>
      <c r="G467" s="55" cm="1">
        <f t="array" ref="G467">(VLOOKUP($A467,'The List'!$B1:$AH671,19,FALSE)-AVERAGE('The List'!T2:T671))/STDEV('The List'!T2:T671)</f>
        <v>-1.0425109208410539</v>
      </c>
      <c r="H467" s="55" cm="1">
        <f t="array" ref="H467">(VLOOKUP($A467,'The List'!$B1:$AH671,20,FALSE)-AVERAGE('The List'!U2:U671))/STDEV('The List'!U2:U671)</f>
        <v>-0.95745433210296504</v>
      </c>
      <c r="I467" s="55" cm="1">
        <f t="array" ref="I467">(VLOOKUP($A467,'The List'!$B1:$AH671,21,FALSE)-AVERAGE('The List'!V2:V671))/STDEV('The List'!V2:V671)</f>
        <v>-0.97590667171803946</v>
      </c>
      <c r="J467" s="55" cm="1">
        <f t="array" ref="J467">(VLOOKUP($A467,'The List'!$B1:$AH671,22,FALSE)-AVERAGE('The List'!W2:W671))/STDEV('The List'!W2:W671)</f>
        <v>-0.73853908386105271</v>
      </c>
      <c r="K467" s="55" cm="1">
        <f t="array" ref="K467">(VLOOKUP($A467,'The List'!$B1:$AH671,23,FALSE)-AVERAGE('The List'!X2:X671))/STDEV('The List'!X2:X671)</f>
        <v>-0.80155300200843405</v>
      </c>
      <c r="L467" s="55" cm="1">
        <f t="array" ref="L467">(VLOOKUP($A467,'The List'!$B1:$AH671,24,FALSE)-AVERAGE('The List'!Y2:Y671))/STDEV('The List'!Y2:Y671)</f>
        <v>-0.47546929358800777</v>
      </c>
      <c r="M467" s="55" cm="1">
        <f t="array" ref="M467">(VLOOKUP($A467,'The List'!$B1:$AH671,25,FALSE)-AVERAGE('The List'!Z2:Z671))/STDEV('The List'!Z2:Z671)</f>
        <v>4.0685471044789256E-2</v>
      </c>
      <c r="N467" s="55" cm="1">
        <f t="array" ref="N467">(VLOOKUP($A467,'The List'!$B1:$AH671,26,FALSE)-AVERAGE('The List'!AA2:AA671))/STDEV('The List'!AA2:AA671)</f>
        <v>-1.0919721782472382</v>
      </c>
      <c r="O467" s="55" cm="1">
        <f t="array" ref="O467">(VLOOKUP($A467,'The List'!$B1:$AH671,27,FALSE)-AVERAGE('The List'!AB2:AB671))/STDEV('The List'!AB2:AB671)</f>
        <v>-2.5374129977434077E-2</v>
      </c>
      <c r="P467" s="55" cm="1">
        <f t="array" ref="P467">(VLOOKUP($A467,'The List'!$B1:$AH671,28,FALSE)-AVERAGE('The List'!AC2:AC671))/STDEV('The List'!AC2:AC671)</f>
        <v>-1.3355298623492156</v>
      </c>
      <c r="Q467" s="55" cm="1">
        <f t="array" ref="Q467">(VLOOKUP($A467,'The List'!$B1:$AH671,29,FALSE)-AVERAGE('The List'!AD2:AD671))/STDEV('The List'!AD2:AD671)</f>
        <v>-0.93084950530452637</v>
      </c>
      <c r="R467" s="55" cm="1">
        <f t="array" ref="R467">(VLOOKUP($A467,'The List'!$B1:$AH671,30,FALSE)-AVERAGE('The List'!AE2:AE671))/STDEV('The List'!AE2:AE671)</f>
        <v>-0.55851052099953191</v>
      </c>
      <c r="S467" s="55" cm="1">
        <f t="array" ref="S467">(VLOOKUP($A467,'The List'!$B1:$AH671,31,FALSE)-AVERAGE('The List'!AF2:AF671))/STDEV('The List'!AF2:AF671)</f>
        <v>0.44308265475787845</v>
      </c>
      <c r="T467" s="55" cm="1">
        <f t="array" ref="T467">(VLOOKUP($A467,'The List'!$B1:$AH671,32,FALSE)-AVERAGE('The List'!AG2:AG671))/STDEV('The List'!AG2:AG671)</f>
        <v>0.33377074147941027</v>
      </c>
      <c r="U467" s="55" cm="1">
        <f t="array" ref="U467">(VLOOKUP($A467,'The List'!$B1:$AH671,33,FALSE)-AVERAGE('The List'!AH2:AH671))/STDEV('The List'!AH2:AH671)</f>
        <v>1.1826962348680212</v>
      </c>
      <c r="V467" s="55"/>
      <c r="W467" s="57"/>
      <c r="X467" s="55"/>
      <c r="Y467" s="55"/>
      <c r="Z467" s="55"/>
      <c r="AA467" s="55"/>
      <c r="AB467" s="55"/>
      <c r="AC467" s="55"/>
      <c r="AD467" s="55"/>
      <c r="AE467" s="55"/>
    </row>
    <row r="468" spans="1:31" ht="21.25" customHeight="1" x14ac:dyDescent="0.15">
      <c r="A468" s="10" t="s">
        <v>690</v>
      </c>
      <c r="B468" s="18" t="str" cm="1">
        <f t="array" ref="B468">VLOOKUP(A468,'Player Data'!A1:B673,2,FALSE)</f>
        <v>BOS</v>
      </c>
      <c r="C468" s="52" cm="1">
        <f t="array" ref="C468">((E468)*Settings!$C$12)+(F468*Settings!$C$2)+(G468*Settings!$C$3)+(H468*Settings!$C$4)+(I468*Settings!$C$5)+(K468*Settings!$C$9)+(N468*Settings!$C$6)+(J468*Settings!$C$8)+(O468*Settings!$C$7)+(P468*Settings!$C$14)+(Q468*Settings!$C$15)+(R468*Settings!$C$16)+(S468*Settings!$C$17)+(T468*Settings!$C$18)+(U468*Settings!$C$19)+(L468*Settings!$C$10)+(Settings!$C$11*M468)</f>
        <v>-0.81661890518515745</v>
      </c>
      <c r="D468" s="57" cm="1">
        <f t="array" ref="D468">IF(Settings!$E$12="YES",VLOOKUP(A468,'Player Data'!A1:E673,5,FALSE),82)</f>
        <v>79</v>
      </c>
      <c r="E468" s="55" cm="1">
        <f t="array" ref="E468">(VLOOKUP($A468,'The List'!$B1:$AH671,17,FALSE)-AVERAGE('The List'!R2:R671))/STDEV('The List'!R2:R671)</f>
        <v>-1.1842109539253947</v>
      </c>
      <c r="F468" s="55" cm="1">
        <f t="array" ref="F468">(VLOOKUP($A468,'The List'!$B1:$AH671,18,FALSE)-AVERAGE('The List'!S2:S671))/STDEV('The List'!S2:S671)</f>
        <v>-0.42644671682362645</v>
      </c>
      <c r="G468" s="55" cm="1">
        <f t="array" ref="G468">(VLOOKUP($A468,'The List'!$B1:$AH671,19,FALSE)-AVERAGE('The List'!T2:T671))/STDEV('The List'!T2:T671)</f>
        <v>-0.94061438438994949</v>
      </c>
      <c r="H468" s="55" cm="1">
        <f t="array" ref="H468">(VLOOKUP($A468,'The List'!$B1:$AH671,20,FALSE)-AVERAGE('The List'!U2:U671))/STDEV('The List'!U2:U671)</f>
        <v>-0.78062548756719907</v>
      </c>
      <c r="I468" s="55" cm="1">
        <f t="array" ref="I468">(VLOOKUP($A468,'The List'!$B1:$AH671,21,FALSE)-AVERAGE('The List'!V2:V671))/STDEV('The List'!V2:V671)</f>
        <v>-0.51892320519962398</v>
      </c>
      <c r="J468" s="55" cm="1">
        <f t="array" ref="J468">(VLOOKUP($A468,'The List'!$B1:$AH671,22,FALSE)-AVERAGE('The List'!W2:W671))/STDEV('The List'!W2:W671)</f>
        <v>-0.73853908386105271</v>
      </c>
      <c r="K468" s="55" cm="1">
        <f t="array" ref="K468">(VLOOKUP($A468,'The List'!$B1:$AH671,23,FALSE)-AVERAGE('The List'!X2:X671))/STDEV('The List'!X2:X671)</f>
        <v>-0.80155300200843405</v>
      </c>
      <c r="L468" s="55" cm="1">
        <f t="array" ref="L468">(VLOOKUP($A468,'The List'!$B1:$AH671,24,FALSE)-AVERAGE('The List'!Y2:Y671))/STDEV('The List'!Y2:Y671)</f>
        <v>0.97271857772082782</v>
      </c>
      <c r="M468" s="55" cm="1">
        <f t="array" ref="M468">(VLOOKUP($A468,'The List'!$B1:$AH671,25,FALSE)-AVERAGE('The List'!Z2:Z671))/STDEV('The List'!Z2:Z671)</f>
        <v>0.21454458398012499</v>
      </c>
      <c r="N468" s="55" cm="1">
        <f t="array" ref="N468">(VLOOKUP($A468,'The List'!$B1:$AH671,26,FALSE)-AVERAGE('The List'!AA2:AA671))/STDEV('The List'!AA2:AA671)</f>
        <v>-0.17019889508827041</v>
      </c>
      <c r="O468" s="55" cm="1">
        <f t="array" ref="O468">(VLOOKUP($A468,'The List'!$B1:$AH671,27,FALSE)-AVERAGE('The List'!AB2:AB671))/STDEV('The List'!AB2:AB671)</f>
        <v>2.4902317221858716</v>
      </c>
      <c r="P468" s="55" cm="1">
        <f t="array" ref="P468">(VLOOKUP($A468,'The List'!$B1:$AH671,28,FALSE)-AVERAGE('The List'!AC2:AC671))/STDEV('The List'!AC2:AC671)</f>
        <v>-0.61931331894939523</v>
      </c>
      <c r="Q468" s="55" cm="1">
        <f t="array" ref="Q468">(VLOOKUP($A468,'The List'!$B1:$AH671,29,FALSE)-AVERAGE('The List'!AD2:AD671))/STDEV('The List'!AD2:AD671)</f>
        <v>3.6965301924014908</v>
      </c>
      <c r="R468" s="55" cm="1">
        <f t="array" ref="R468">(VLOOKUP($A468,'The List'!$B1:$AH671,30,FALSE)-AVERAGE('The List'!AE2:AE671))/STDEV('The List'!AE2:AE671)</f>
        <v>-0.35889487331938924</v>
      </c>
      <c r="S468" s="55" cm="1">
        <f t="array" ref="S468">(VLOOKUP($A468,'The List'!$B1:$AH671,31,FALSE)-AVERAGE('The List'!AF2:AF671))/STDEV('The List'!AF2:AF671)</f>
        <v>0.91962429439851412</v>
      </c>
      <c r="T468" s="55" cm="1">
        <f t="array" ref="T468">(VLOOKUP($A468,'The List'!$B1:$AH671,32,FALSE)-AVERAGE('The List'!AG2:AG671))/STDEV('The List'!AG2:AG671)</f>
        <v>0.52637211109443582</v>
      </c>
      <c r="U468" s="55" cm="1">
        <f t="array" ref="U468">(VLOOKUP($A468,'The List'!$B1:$AH671,33,FALSE)-AVERAGE('The List'!AH2:AH671))/STDEV('The List'!AH2:AH671)</f>
        <v>1.4126923578158486</v>
      </c>
      <c r="V468" s="55"/>
      <c r="W468" s="57"/>
      <c r="X468" s="57"/>
      <c r="Y468" s="57"/>
      <c r="Z468" s="57"/>
      <c r="AA468" s="57"/>
      <c r="AB468" s="57"/>
      <c r="AC468" s="60"/>
      <c r="AD468" s="61"/>
      <c r="AE468" s="55"/>
    </row>
    <row r="469" spans="1:31" ht="21.25" customHeight="1" x14ac:dyDescent="0.15">
      <c r="A469" s="10" t="s">
        <v>394</v>
      </c>
      <c r="B469" s="18" t="str" cm="1">
        <f t="array" ref="B469">VLOOKUP(A469,'Player Data'!A1:B673,2,FALSE)</f>
        <v>MTL</v>
      </c>
      <c r="C469" s="52" cm="1">
        <f t="array" ref="C469">((E469)*Settings!$C$12)+(F469*Settings!$C$2)+(G469*Settings!$C$3)+(H469*Settings!$C$4)+(I469*Settings!$C$5)+(K469*Settings!$C$9)+(N469*Settings!$C$6)+(J469*Settings!$C$8)+(O469*Settings!$C$7)+(P469*Settings!$C$14)+(Q469*Settings!$C$15)+(R469*Settings!$C$16)+(S469*Settings!$C$17)+(T469*Settings!$C$18)+(U469*Settings!$C$19)+(L469*Settings!$C$10)+(Settings!$C$11*M469)</f>
        <v>-3.7133721432982316</v>
      </c>
      <c r="D469" s="57" cm="1">
        <f t="array" ref="D469">IF(Settings!$E$12="YES",VLOOKUP(A469,'Player Data'!A1:E673,5,FALSE),82)</f>
        <v>81</v>
      </c>
      <c r="E469" s="55" cm="1">
        <f t="array" ref="E469">(VLOOKUP($A469,'The List'!$B1:$AH671,17,FALSE)-AVERAGE('The List'!R2:R671))/STDEV('The List'!R2:R671)</f>
        <v>0.57334042785180894</v>
      </c>
      <c r="F469" s="55" cm="1">
        <f t="array" ref="F469">(VLOOKUP($A469,'The List'!$B1:$AH671,18,FALSE)-AVERAGE('The List'!S2:S671))/STDEV('The List'!S2:S671)</f>
        <v>-1.0491608399955841</v>
      </c>
      <c r="G469" s="55" cm="1">
        <f t="array" ref="G469">(VLOOKUP($A469,'The List'!$B1:$AH671,19,FALSE)-AVERAGE('The List'!T2:T671))/STDEV('The List'!T2:T671)</f>
        <v>-0.52389268704163905</v>
      </c>
      <c r="H469" s="55" cm="1">
        <f t="array" ref="H469">(VLOOKUP($A469,'The List'!$B1:$AH671,20,FALSE)-AVERAGE('The List'!U2:U671))/STDEV('The List'!U2:U671)</f>
        <v>-0.79432972301872107</v>
      </c>
      <c r="I469" s="55" cm="1">
        <f t="array" ref="I469">(VLOOKUP($A469,'The List'!$B1:$AH671,21,FALSE)-AVERAGE('The List'!V2:V671))/STDEV('The List'!V2:V671)</f>
        <v>-1.0785335825354079</v>
      </c>
      <c r="J469" s="55" cm="1">
        <f t="array" ref="J469">(VLOOKUP($A469,'The List'!$B1:$AH671,22,FALSE)-AVERAGE('The List'!W2:W671))/STDEV('The List'!W2:W671)</f>
        <v>-0.73853908386105271</v>
      </c>
      <c r="K469" s="55" cm="1">
        <f t="array" ref="K469">(VLOOKUP($A469,'The List'!$B1:$AH671,23,FALSE)-AVERAGE('The List'!X2:X671))/STDEV('The List'!X2:X671)</f>
        <v>-0.80155300200843405</v>
      </c>
      <c r="L469" s="55" cm="1">
        <f t="array" ref="L469">(VLOOKUP($A469,'The List'!$B1:$AH671,24,FALSE)-AVERAGE('The List'!Y2:Y671))/STDEV('The List'!Y2:Y671)</f>
        <v>-0.47546929358800777</v>
      </c>
      <c r="M469" s="55" cm="1">
        <f t="array" ref="M469">(VLOOKUP($A469,'The List'!$B1:$AH671,25,FALSE)-AVERAGE('The List'!Z2:Z671))/STDEV('The List'!Z2:Z671)</f>
        <v>0.23627697309704196</v>
      </c>
      <c r="N469" s="55" cm="1">
        <f t="array" ref="N469">(VLOOKUP($A469,'The List'!$B1:$AH671,26,FALSE)-AVERAGE('The List'!AA2:AA671))/STDEV('The List'!AA2:AA671)</f>
        <v>2.4319142134801877</v>
      </c>
      <c r="O469" s="55" cm="1">
        <f t="array" ref="O469">(VLOOKUP($A469,'The List'!$B1:$AH671,27,FALSE)-AVERAGE('The List'!AB2:AB671))/STDEV('The List'!AB2:AB671)</f>
        <v>-0.50688962433300844</v>
      </c>
      <c r="P469" s="55" cm="1">
        <f t="array" ref="P469">(VLOOKUP($A469,'The List'!$B1:$AH671,28,FALSE)-AVERAGE('The List'!AC2:AC671))/STDEV('The List'!AC2:AC671)</f>
        <v>0.24665759261584222</v>
      </c>
      <c r="Q469" s="55" cm="1">
        <f t="array" ref="Q469">(VLOOKUP($A469,'The List'!$B1:$AH671,29,FALSE)-AVERAGE('The List'!AD2:AD671))/STDEV('The List'!AD2:AD671)</f>
        <v>0.55865991040285501</v>
      </c>
      <c r="R469" s="55" cm="1">
        <f t="array" ref="R469">(VLOOKUP($A469,'The List'!$B1:$AH671,30,FALSE)-AVERAGE('The List'!AE2:AE671))/STDEV('The List'!AE2:AE671)</f>
        <v>-0.83922002554973252</v>
      </c>
      <c r="S469" s="55" cm="1">
        <f t="array" ref="S469">(VLOOKUP($A469,'The List'!$B1:$AH671,31,FALSE)-AVERAGE('The List'!AF2:AF671))/STDEV('The List'!AF2:AF671)</f>
        <v>-0.59581850454342256</v>
      </c>
      <c r="T469" s="55" cm="1">
        <f t="array" ref="T469">(VLOOKUP($A469,'The List'!$B1:$AH671,32,FALSE)-AVERAGE('The List'!AG2:AG671))/STDEV('The List'!AG2:AG671)</f>
        <v>-0.64684275008198677</v>
      </c>
      <c r="U469" s="55" cm="1">
        <f t="array" ref="U469">(VLOOKUP($A469,'The List'!$B1:$AH671,33,FALSE)-AVERAGE('The List'!AH2:AH671))/STDEV('The List'!AH2:AH671)</f>
        <v>-1.2552626683789523</v>
      </c>
      <c r="V469" s="55"/>
      <c r="W469" s="77"/>
      <c r="X469" s="57"/>
      <c r="Y469" s="57"/>
      <c r="Z469" s="57"/>
      <c r="AA469" s="57"/>
      <c r="AB469" s="57"/>
      <c r="AC469" s="60"/>
      <c r="AD469" s="61"/>
      <c r="AE469" s="55"/>
    </row>
    <row r="470" spans="1:31" ht="21.25" customHeight="1" x14ac:dyDescent="0.15">
      <c r="A470" s="10" t="s">
        <v>700</v>
      </c>
      <c r="B470" s="18" t="str" cm="1">
        <f t="array" ref="B470">VLOOKUP(A470,'Player Data'!A1:B673,2,FALSE)</f>
        <v>WSH</v>
      </c>
      <c r="C470" s="52" cm="1">
        <f t="array" ref="C470">((E470)*Settings!$C$12)+(F470*Settings!$C$2)+(G470*Settings!$C$3)+(H470*Settings!$C$4)+(I470*Settings!$C$5)+(K470*Settings!$C$9)+(N470*Settings!$C$6)+(J470*Settings!$C$8)+(O470*Settings!$C$7)+(P470*Settings!$C$14)+(Q470*Settings!$C$15)+(R470*Settings!$C$16)+(S470*Settings!$C$17)+(T470*Settings!$C$18)+(U470*Settings!$C$19)+(L470*Settings!$C$10)+(Settings!$C$11*M470)</f>
        <v>-1.7357624054724721</v>
      </c>
      <c r="D470" s="57" cm="1">
        <f t="array" ref="D470">IF(Settings!$E$12="YES",VLOOKUP(A470,'Player Data'!A1:E673,5,FALSE),82)</f>
        <v>82</v>
      </c>
      <c r="E470" s="55" cm="1">
        <f t="array" ref="E470">(VLOOKUP($A470,'The List'!$B1:$AH671,17,FALSE)-AVERAGE('The List'!R2:R671))/STDEV('The List'!R2:R671)</f>
        <v>-1.2366751742769533</v>
      </c>
      <c r="F470" s="55" cm="1">
        <f t="array" ref="F470">(VLOOKUP($A470,'The List'!$B1:$AH671,18,FALSE)-AVERAGE('The List'!S2:S671))/STDEV('The List'!S2:S671)</f>
        <v>-0.39052090202524437</v>
      </c>
      <c r="G470" s="55" cm="1">
        <f t="array" ref="G470">(VLOOKUP($A470,'The List'!$B1:$AH671,19,FALSE)-AVERAGE('The List'!T2:T671))/STDEV('The List'!T2:T671)</f>
        <v>-0.97083197795820808</v>
      </c>
      <c r="H470" s="55" cm="1">
        <f t="array" ref="H470">(VLOOKUP($A470,'The List'!$B1:$AH671,20,FALSE)-AVERAGE('The List'!U2:U671))/STDEV('The List'!U2:U671)</f>
        <v>-0.78371999234657508</v>
      </c>
      <c r="I470" s="55" cm="1">
        <f t="array" ref="I470">(VLOOKUP($A470,'The List'!$B1:$AH671,21,FALSE)-AVERAGE('The List'!V2:V671))/STDEV('The List'!V2:V671)</f>
        <v>-0.24317817209437184</v>
      </c>
      <c r="J470" s="55" cm="1">
        <f t="array" ref="J470">(VLOOKUP($A470,'The List'!$B1:$AH671,22,FALSE)-AVERAGE('The List'!W2:W671))/STDEV('The List'!W2:W671)</f>
        <v>-0.73853908386105271</v>
      </c>
      <c r="K470" s="55" cm="1">
        <f t="array" ref="K470">(VLOOKUP($A470,'The List'!$B1:$AH671,23,FALSE)-AVERAGE('The List'!X2:X671))/STDEV('The List'!X2:X671)</f>
        <v>-0.80155300200843405</v>
      </c>
      <c r="L470" s="55" cm="1">
        <f t="array" ref="L470">(VLOOKUP($A470,'The List'!$B1:$AH671,24,FALSE)-AVERAGE('The List'!Y2:Y671))/STDEV('The List'!Y2:Y671)</f>
        <v>1.0277130538464798</v>
      </c>
      <c r="M470" s="55" cm="1">
        <f t="array" ref="M470">(VLOOKUP($A470,'The List'!$B1:$AH671,25,FALSE)-AVERAGE('The List'!Z2:Z671))/STDEV('The List'!Z2:Z671)</f>
        <v>1.1381711214490962</v>
      </c>
      <c r="N470" s="55" cm="1">
        <f t="array" ref="N470">(VLOOKUP($A470,'The List'!$B1:$AH671,26,FALSE)-AVERAGE('The List'!AA2:AA671))/STDEV('The List'!AA2:AA671)</f>
        <v>-0.63862012016822245</v>
      </c>
      <c r="O470" s="55" cm="1">
        <f t="array" ref="O470">(VLOOKUP($A470,'The List'!$B1:$AH671,27,FALSE)-AVERAGE('The List'!AB2:AB671))/STDEV('The List'!AB2:AB671)</f>
        <v>6.3385431136215795E-2</v>
      </c>
      <c r="P470" s="55" cm="1">
        <f t="array" ref="P470">(VLOOKUP($A470,'The List'!$B1:$AH671,28,FALSE)-AVERAGE('The List'!AC2:AC671))/STDEV('The List'!AC2:AC671)</f>
        <v>0.60693621747757009</v>
      </c>
      <c r="Q470" s="55" cm="1">
        <f t="array" ref="Q470">(VLOOKUP($A470,'The List'!$B1:$AH671,29,FALSE)-AVERAGE('The List'!AD2:AD671))/STDEV('The List'!AD2:AD671)</f>
        <v>-0.98035205037019846</v>
      </c>
      <c r="R470" s="55" cm="1">
        <f t="array" ref="R470">(VLOOKUP($A470,'The List'!$B1:$AH671,30,FALSE)-AVERAGE('The List'!AE2:AE671))/STDEV('The List'!AE2:AE671)</f>
        <v>-0.32146693937936244</v>
      </c>
      <c r="S470" s="55" cm="1">
        <f t="array" ref="S470">(VLOOKUP($A470,'The List'!$B1:$AH671,31,FALSE)-AVERAGE('The List'!AF2:AF671))/STDEV('The List'!AF2:AF671)</f>
        <v>-0.44600981314711302</v>
      </c>
      <c r="T470" s="55" cm="1">
        <f t="array" ref="T470">(VLOOKUP($A470,'The List'!$B1:$AH671,32,FALSE)-AVERAGE('The List'!AG2:AG671))/STDEV('The List'!AG2:AG671)</f>
        <v>-0.48363682002664721</v>
      </c>
      <c r="U470" s="55" cm="1">
        <f t="array" ref="U470">(VLOOKUP($A470,'The List'!$B1:$AH671,33,FALSE)-AVERAGE('The List'!AH2:AH671))/STDEV('The List'!AH2:AH671)</f>
        <v>0.99869933650975895</v>
      </c>
      <c r="V470" s="55"/>
      <c r="W470" s="57"/>
      <c r="X470" s="55"/>
      <c r="Y470" s="55"/>
      <c r="Z470" s="55"/>
      <c r="AA470" s="55"/>
      <c r="AB470" s="55"/>
      <c r="AC470" s="55"/>
      <c r="AD470" s="55"/>
      <c r="AE470" s="55"/>
    </row>
    <row r="471" spans="1:31" ht="21.25" customHeight="1" x14ac:dyDescent="0.15">
      <c r="A471" s="10" t="s">
        <v>717</v>
      </c>
      <c r="B471" s="18" t="str" cm="1">
        <f t="array" ref="B471">VLOOKUP(A471,'Player Data'!A1:B673,2,FALSE)</f>
        <v>DET</v>
      </c>
      <c r="C471" s="52" cm="1">
        <f t="array" ref="C471">((E471)*Settings!$C$12)+(F471*Settings!$C$2)+(G471*Settings!$C$3)+(H471*Settings!$C$4)+(I471*Settings!$C$5)+(K471*Settings!$C$9)+(N471*Settings!$C$6)+(J471*Settings!$C$8)+(O471*Settings!$C$7)+(P471*Settings!$C$14)+(Q471*Settings!$C$15)+(R471*Settings!$C$16)+(S471*Settings!$C$17)+(T471*Settings!$C$18)+(U471*Settings!$C$19)+(L471*Settings!$C$10)+(Settings!$C$11*M471)</f>
        <v>-0.75007217298942763</v>
      </c>
      <c r="D471" s="57" cm="1">
        <f t="array" ref="D471">IF(Settings!$E$12="YES",VLOOKUP(A471,'Player Data'!A1:E673,5,FALSE),82)</f>
        <v>84</v>
      </c>
      <c r="E471" s="55" cm="1">
        <f t="array" ref="E471">(VLOOKUP($A471,'The List'!$B1:$AH671,17,FALSE)-AVERAGE('The List'!R2:R671))/STDEV('The List'!R2:R671)</f>
        <v>-1.3678357251558491</v>
      </c>
      <c r="F471" s="55" cm="1">
        <f t="array" ref="F471">(VLOOKUP($A471,'The List'!$B1:$AH671,18,FALSE)-AVERAGE('The List'!S2:S671))/STDEV('The List'!S2:S671)</f>
        <v>-0.61805106241499819</v>
      </c>
      <c r="G471" s="55" cm="1">
        <f t="array" ref="G471">(VLOOKUP($A471,'The List'!$B1:$AH671,19,FALSE)-AVERAGE('The List'!T2:T671))/STDEV('The List'!T2:T671)</f>
        <v>-0.77687719133403654</v>
      </c>
      <c r="H471" s="55" cm="1">
        <f t="array" ref="H471">(VLOOKUP($A471,'The List'!$B1:$AH671,20,FALSE)-AVERAGE('The List'!U2:U671))/STDEV('The List'!U2:U671)</f>
        <v>-0.7625005310022831</v>
      </c>
      <c r="I471" s="55" cm="1">
        <f t="array" ref="I471">(VLOOKUP($A471,'The List'!$B1:$AH671,21,FALSE)-AVERAGE('The List'!V2:V671))/STDEV('The List'!V2:V671)</f>
        <v>-0.89245751696250275</v>
      </c>
      <c r="J471" s="55" cm="1">
        <f t="array" ref="J471">(VLOOKUP($A471,'The List'!$B1:$AH671,22,FALSE)-AVERAGE('The List'!W2:W671))/STDEV('The List'!W2:W671)</f>
        <v>-0.73853908386105271</v>
      </c>
      <c r="K471" s="55" cm="1">
        <f t="array" ref="K471">(VLOOKUP($A471,'The List'!$B1:$AH671,23,FALSE)-AVERAGE('The List'!X2:X671))/STDEV('The List'!X2:X671)</f>
        <v>-0.80155300200843405</v>
      </c>
      <c r="L471" s="55" cm="1">
        <f t="array" ref="L471">(VLOOKUP($A471,'The List'!$B1:$AH671,24,FALSE)-AVERAGE('The List'!Y2:Y671))/STDEV('The List'!Y2:Y671)</f>
        <v>-0.47546929358800777</v>
      </c>
      <c r="M471" s="55" cm="1">
        <f t="array" ref="M471">(VLOOKUP($A471,'The List'!$B1:$AH671,25,FALSE)-AVERAGE('The List'!Z2:Z671))/STDEV('The List'!Z2:Z671)</f>
        <v>0.26887555677241731</v>
      </c>
      <c r="N471" s="55" cm="1">
        <f t="array" ref="N471">(VLOOKUP($A471,'The List'!$B1:$AH671,26,FALSE)-AVERAGE('The List'!AA2:AA671))/STDEV('The List'!AA2:AA671)</f>
        <v>-0.50733958053294692</v>
      </c>
      <c r="O471" s="55" cm="1">
        <f t="array" ref="O471">(VLOOKUP($A471,'The List'!$B1:$AH671,27,FALSE)-AVERAGE('The List'!AB2:AB671))/STDEV('The List'!AB2:AB671)</f>
        <v>3.1730448816998855</v>
      </c>
      <c r="P471" s="55" cm="1">
        <f t="array" ref="P471">(VLOOKUP($A471,'The List'!$B1:$AH671,28,FALSE)-AVERAGE('The List'!AC2:AC671))/STDEV('The List'!AC2:AC671)</f>
        <v>-0.83417828196934141</v>
      </c>
      <c r="Q471" s="55" cm="1">
        <f t="array" ref="Q471">(VLOOKUP($A471,'The List'!$B1:$AH671,29,FALSE)-AVERAGE('The List'!AD2:AD671))/STDEV('The List'!AD2:AD671)</f>
        <v>0.72933286428599264</v>
      </c>
      <c r="R471" s="55" cm="1">
        <f t="array" ref="R471">(VLOOKUP($A471,'The List'!$B1:$AH671,30,FALSE)-AVERAGE('The List'!AE2:AE671))/STDEV('The List'!AE2:AE671)</f>
        <v>-0.82050605857971926</v>
      </c>
      <c r="S471" s="55" cm="1">
        <f t="array" ref="S471">(VLOOKUP($A471,'The List'!$B1:$AH671,31,FALSE)-AVERAGE('The List'!AF2:AF671))/STDEV('The List'!AF2:AF671)</f>
        <v>-0.54735664288505281</v>
      </c>
      <c r="T471" s="55" cm="1">
        <f t="array" ref="T471">(VLOOKUP($A471,'The List'!$B1:$AH671,32,FALSE)-AVERAGE('The List'!AG2:AG671))/STDEV('The List'!AG2:AG671)</f>
        <v>-0.55681921643044863</v>
      </c>
      <c r="U471" s="55" cm="1">
        <f t="array" ref="U471">(VLOOKUP($A471,'The List'!$B1:$AH671,33,FALSE)-AVERAGE('The List'!AH2:AH671))/STDEV('The List'!AH2:AH671)</f>
        <v>0.40070941684540695</v>
      </c>
      <c r="V471" s="55"/>
      <c r="W471" s="77"/>
      <c r="X471" s="57"/>
      <c r="Y471" s="57"/>
      <c r="Z471" s="57"/>
      <c r="AA471" s="57"/>
      <c r="AB471" s="57"/>
      <c r="AC471" s="60"/>
      <c r="AD471" s="61"/>
      <c r="AE471" s="55"/>
    </row>
    <row r="472" spans="1:31" ht="21.25" customHeight="1" x14ac:dyDescent="0.15">
      <c r="A472" s="10" t="s">
        <v>728</v>
      </c>
      <c r="B472" s="18" t="str" cm="1">
        <f t="array" ref="B472">VLOOKUP(A472,'Player Data'!A1:B673,2,FALSE)</f>
        <v>MIN</v>
      </c>
      <c r="C472" s="52" cm="1">
        <f t="array" ref="C472">((E472)*Settings!$C$12)+(F472*Settings!$C$2)+(G472*Settings!$C$3)+(H472*Settings!$C$4)+(I472*Settings!$C$5)+(K472*Settings!$C$9)+(N472*Settings!$C$6)+(J472*Settings!$C$8)+(O472*Settings!$C$7)+(P472*Settings!$C$14)+(Q472*Settings!$C$15)+(R472*Settings!$C$16)+(S472*Settings!$C$17)+(T472*Settings!$C$18)+(U472*Settings!$C$19)+(L472*Settings!$C$10)+(Settings!$C$11*M472)</f>
        <v>-3.2807839921433768E-6</v>
      </c>
      <c r="D472" s="57" cm="1">
        <f t="array" ref="D472">IF(Settings!$E$12="YES",VLOOKUP(A472,'Player Data'!A1:E673,5,FALSE),82)</f>
        <v>76</v>
      </c>
      <c r="E472" s="55" cm="1">
        <f t="array" ref="E472">(VLOOKUP($A472,'The List'!$B1:$AH671,17,FALSE)-AVERAGE('The List'!R2:R671))/STDEV('The List'!R2:R671)</f>
        <v>-1.0792825132222785</v>
      </c>
      <c r="F472" s="55" cm="1">
        <f t="array" ref="F472">(VLOOKUP($A472,'The List'!$B1:$AH671,18,FALSE)-AVERAGE('The List'!S2:S671))/STDEV('The List'!S2:S671)</f>
        <v>-0.46237253162200875</v>
      </c>
      <c r="G472" s="55" cm="1">
        <f t="array" ref="G472">(VLOOKUP($A472,'The List'!$B1:$AH671,19,FALSE)-AVERAGE('The List'!T2:T671))/STDEV('The List'!T2:T671)</f>
        <v>-0.96802103902162584</v>
      </c>
      <c r="H472" s="55" cm="1">
        <f t="array" ref="H472">(VLOOKUP($A472,'The List'!$B1:$AH671,20,FALSE)-AVERAGE('The List'!U2:U671))/STDEV('The List'!U2:U671)</f>
        <v>-0.81378089591765523</v>
      </c>
      <c r="I472" s="55" cm="1">
        <f t="array" ref="I472">(VLOOKUP($A472,'The List'!$B1:$AH671,21,FALSE)-AVERAGE('The List'!V2:V671))/STDEV('The List'!V2:V671)</f>
        <v>-0.84477228567362472</v>
      </c>
      <c r="J472" s="55" cm="1">
        <f t="array" ref="J472">(VLOOKUP($A472,'The List'!$B1:$AH671,22,FALSE)-AVERAGE('The List'!W2:W671))/STDEV('The List'!W2:W671)</f>
        <v>-0.73853908386105271</v>
      </c>
      <c r="K472" s="55" cm="1">
        <f t="array" ref="K472">(VLOOKUP($A472,'The List'!$B1:$AH671,23,FALSE)-AVERAGE('The List'!X2:X671))/STDEV('The List'!X2:X671)</f>
        <v>-0.80155300200843405</v>
      </c>
      <c r="L472" s="55" cm="1">
        <f t="array" ref="L472">(VLOOKUP($A472,'The List'!$B1:$AH671,24,FALSE)-AVERAGE('The List'!Y2:Y671))/STDEV('The List'!Y2:Y671)</f>
        <v>-0.47546929358800777</v>
      </c>
      <c r="M472" s="55" cm="1">
        <f t="array" ref="M472">(VLOOKUP($A472,'The List'!$B1:$AH671,25,FALSE)-AVERAGE('The List'!Z2:Z671))/STDEV('The List'!Z2:Z671)</f>
        <v>-0.64388478613809508</v>
      </c>
      <c r="N472" s="55" cm="1">
        <f t="array" ref="N472">(VLOOKUP($A472,'The List'!$B1:$AH671,26,FALSE)-AVERAGE('The List'!AA2:AA671))/STDEV('The List'!AA2:AA671)</f>
        <v>-0.26418963163648329</v>
      </c>
      <c r="O472" s="55" cm="1">
        <f t="array" ref="O472">(VLOOKUP($A472,'The List'!$B1:$AH671,27,FALSE)-AVERAGE('The List'!AB2:AB671))/STDEV('The List'!AB2:AB671)</f>
        <v>2.6868146762458949</v>
      </c>
      <c r="P472" s="55" cm="1">
        <f t="array" ref="P472">(VLOOKUP($A472,'The List'!$B1:$AH671,28,FALSE)-AVERAGE('The List'!AC2:AC671))/STDEV('The List'!AC2:AC671)</f>
        <v>0.38990090129580623</v>
      </c>
      <c r="Q472" s="55" cm="1">
        <f t="array" ref="Q472">(VLOOKUP($A472,'The List'!$B1:$AH671,29,FALSE)-AVERAGE('The List'!AD2:AD671))/STDEV('The List'!AD2:AD671)</f>
        <v>1.8375987985920801</v>
      </c>
      <c r="R472" s="55" cm="1">
        <f t="array" ref="R472">(VLOOKUP($A472,'The List'!$B1:$AH671,30,FALSE)-AVERAGE('The List'!AE2:AE671))/STDEV('The List'!AE2:AE671)</f>
        <v>-0.39632280725941599</v>
      </c>
      <c r="S472" s="55" cm="1">
        <f t="array" ref="S472">(VLOOKUP($A472,'The List'!$B1:$AH671,31,FALSE)-AVERAGE('The List'!AF2:AF671))/STDEV('The List'!AF2:AF671)</f>
        <v>-0.54831818775922692</v>
      </c>
      <c r="T472" s="55" cm="1">
        <f t="array" ref="T472">(VLOOKUP($A472,'The List'!$B1:$AH671,32,FALSE)-AVERAGE('The List'!AG2:AG671))/STDEV('The List'!AG2:AG671)</f>
        <v>-0.57315001618582972</v>
      </c>
      <c r="U472" s="55" cm="1">
        <f t="array" ref="U472">(VLOOKUP($A472,'The List'!$B1:$AH671,33,FALSE)-AVERAGE('The List'!AH2:AH671))/STDEV('The List'!AH2:AH671)</f>
        <v>0.58470631520366922</v>
      </c>
      <c r="V472" s="55"/>
      <c r="W472" s="77"/>
      <c r="X472" s="57"/>
      <c r="Y472" s="57"/>
      <c r="Z472" s="57"/>
      <c r="AA472" s="57"/>
      <c r="AB472" s="57"/>
      <c r="AC472" s="60"/>
      <c r="AD472" s="61"/>
      <c r="AE472" s="55"/>
    </row>
    <row r="473" spans="1:31" ht="21.25" customHeight="1" x14ac:dyDescent="0.15">
      <c r="A473" s="10" t="s">
        <v>758</v>
      </c>
      <c r="B473" s="18" t="str" cm="1">
        <f t="array" ref="B473">VLOOKUP(A473,'Player Data'!A1:B673,2,FALSE)</f>
        <v>MIN</v>
      </c>
      <c r="C473" s="52" cm="1">
        <f t="array" ref="C473">((E473)*Settings!$C$12)+(F473*Settings!$C$2)+(G473*Settings!$C$3)+(H473*Settings!$C$4)+(I473*Settings!$C$5)+(K473*Settings!$C$9)+(N473*Settings!$C$6)+(J473*Settings!$C$8)+(O473*Settings!$C$7)+(P473*Settings!$C$14)+(Q473*Settings!$C$15)+(R473*Settings!$C$16)+(S473*Settings!$C$17)+(T473*Settings!$C$18)+(U473*Settings!$C$19)+(L473*Settings!$C$10)+(Settings!$C$11*M473)</f>
        <v>-1.1763249349317575</v>
      </c>
      <c r="D473" s="57" cm="1">
        <f t="array" ref="D473">IF(Settings!$E$12="YES",VLOOKUP(A473,'Player Data'!A1:E673,5,FALSE),82)</f>
        <v>78</v>
      </c>
      <c r="E473" s="55" cm="1">
        <f t="array" ref="E473">(VLOOKUP($A473,'The List'!$B1:$AH671,17,FALSE)-AVERAGE('The List'!R2:R671))/STDEV('The List'!R2:R671)</f>
        <v>-1.4989962760347451</v>
      </c>
      <c r="F473" s="55" cm="1">
        <f t="array" ref="F473">(VLOOKUP($A473,'The List'!$B1:$AH671,18,FALSE)-AVERAGE('The List'!S2:S671))/STDEV('The List'!S2:S671)</f>
        <v>-0.59410051921607654</v>
      </c>
      <c r="G473" s="55" cm="1">
        <f t="array" ref="G473">(VLOOKUP($A473,'The List'!$B1:$AH671,19,FALSE)-AVERAGE('The List'!T2:T671))/STDEV('The List'!T2:T671)</f>
        <v>-0.84012331740713597</v>
      </c>
      <c r="H473" s="55" cm="1">
        <f t="array" ref="H473">(VLOOKUP($A473,'The List'!$B1:$AH671,20,FALSE)-AVERAGE('The List'!U2:U671))/STDEV('The List'!U2:U671)</f>
        <v>-0.79167729035068446</v>
      </c>
      <c r="I473" s="55" cm="1">
        <f t="array" ref="I473">(VLOOKUP($A473,'The List'!$B1:$AH671,21,FALSE)-AVERAGE('The List'!V2:V671))/STDEV('The List'!V2:V671)</f>
        <v>-0.93081302908616559</v>
      </c>
      <c r="J473" s="55" cm="1">
        <f t="array" ref="J473">(VLOOKUP($A473,'The List'!$B1:$AH671,22,FALSE)-AVERAGE('The List'!W2:W671))/STDEV('The List'!W2:W671)</f>
        <v>-0.52310551133478489</v>
      </c>
      <c r="K473" s="55" cm="1">
        <f t="array" ref="K473">(VLOOKUP($A473,'The List'!$B1:$AH671,23,FALSE)-AVERAGE('The List'!X2:X671))/STDEV('The List'!X2:X671)</f>
        <v>-0.72316794088733727</v>
      </c>
      <c r="L473" s="55" cm="1">
        <f t="array" ref="L473">(VLOOKUP($A473,'The List'!$B1:$AH671,24,FALSE)-AVERAGE('The List'!Y2:Y671))/STDEV('The List'!Y2:Y671)</f>
        <v>-0.47546929358800777</v>
      </c>
      <c r="M473" s="55" cm="1">
        <f t="array" ref="M473">(VLOOKUP($A473,'The List'!$B1:$AH671,25,FALSE)-AVERAGE('The List'!Z2:Z671))/STDEV('The List'!Z2:Z671)</f>
        <v>-0.64388478613809508</v>
      </c>
      <c r="N473" s="55" cm="1">
        <f t="array" ref="N473">(VLOOKUP($A473,'The List'!$B1:$AH671,26,FALSE)-AVERAGE('The List'!AA2:AA671))/STDEV('The List'!AA2:AA671)</f>
        <v>-0.72648102607198661</v>
      </c>
      <c r="O473" s="55" cm="1">
        <f t="array" ref="O473">(VLOOKUP($A473,'The List'!$B1:$AH671,27,FALSE)-AVERAGE('The List'!AB2:AB671))/STDEV('The List'!AB2:AB671)</f>
        <v>1.5089568513982454</v>
      </c>
      <c r="P473" s="55" cm="1">
        <f t="array" ref="P473">(VLOOKUP($A473,'The List'!$B1:$AH671,28,FALSE)-AVERAGE('The List'!AC2:AC671))/STDEV('The List'!AC2:AC671)</f>
        <v>0.40292302026671206</v>
      </c>
      <c r="Q473" s="55" cm="1">
        <f t="array" ref="Q473">(VLOOKUP($A473,'The List'!$B1:$AH671,29,FALSE)-AVERAGE('The List'!AD2:AD671))/STDEV('The List'!AD2:AD671)</f>
        <v>0.27716036308910907</v>
      </c>
      <c r="R473" s="55" cm="1">
        <f t="array" ref="R473">(VLOOKUP($A473,'The List'!$B1:$AH671,30,FALSE)-AVERAGE('The List'!AE2:AE671))/STDEV('The List'!AE2:AE671)</f>
        <v>-0.37137085129939812</v>
      </c>
      <c r="S473" s="55" cm="1">
        <f t="array" ref="S473">(VLOOKUP($A473,'The List'!$B1:$AH671,31,FALSE)-AVERAGE('The List'!AF2:AF671))/STDEV('The List'!AF2:AF671)</f>
        <v>0.51418889820304592</v>
      </c>
      <c r="T473" s="55" cm="1">
        <f t="array" ref="T473">(VLOOKUP($A473,'The List'!$B1:$AH671,32,FALSE)-AVERAGE('The List'!AG2:AG671))/STDEV('The List'!AG2:AG671)</f>
        <v>0.53540508470913106</v>
      </c>
      <c r="U473" s="55" cm="1">
        <f t="array" ref="U473">(VLOOKUP($A473,'The List'!$B1:$AH671,33,FALSE)-AVERAGE('The List'!AH2:AH671))/STDEV('The List'!AH2:AH671)</f>
        <v>1.0446985610993245</v>
      </c>
      <c r="V473" s="55"/>
      <c r="W473" s="77"/>
      <c r="X473" s="57"/>
      <c r="Y473" s="57"/>
      <c r="Z473" s="57"/>
      <c r="AA473" s="57"/>
      <c r="AB473" s="57"/>
      <c r="AC473" s="60"/>
      <c r="AD473" s="61"/>
      <c r="AE473" s="55"/>
    </row>
    <row r="474" spans="1:31" ht="21.25" customHeight="1" x14ac:dyDescent="0.15">
      <c r="A474" s="10" t="s">
        <v>513</v>
      </c>
      <c r="B474" s="18" t="str" cm="1">
        <f t="array" ref="B474">VLOOKUP(A474,'Player Data'!A1:B673,2,FALSE)</f>
        <v>UTA</v>
      </c>
      <c r="C474" s="52" cm="1">
        <f t="array" ref="C474">((E474)*Settings!$C$12)+(F474*Settings!$C$2)+(G474*Settings!$C$3)+(H474*Settings!$C$4)+(I474*Settings!$C$5)+(K474*Settings!$C$9)+(N474*Settings!$C$6)+(J474*Settings!$C$8)+(O474*Settings!$C$7)+(P474*Settings!$C$14)+(Q474*Settings!$C$15)+(R474*Settings!$C$16)+(S474*Settings!$C$17)+(T474*Settings!$C$18)+(U474*Settings!$C$19)+(L474*Settings!$C$10)+(Settings!$C$11*M474)</f>
        <v>-3.1284122176554634</v>
      </c>
      <c r="D474" s="57" cm="1">
        <f t="array" ref="D474">IF(Settings!$E$12="YES",VLOOKUP(A474,'Player Data'!A1:E673,5,FALSE),82)</f>
        <v>72</v>
      </c>
      <c r="E474" s="55" cm="1">
        <f t="array" ref="E474">(VLOOKUP($A474,'The List'!$B1:$AH671,17,FALSE)-AVERAGE('The List'!R2:R671))/STDEV('The List'!R2:R671)</f>
        <v>-0.34478342830046177</v>
      </c>
      <c r="F474" s="55" cm="1">
        <f t="array" ref="F474">(VLOOKUP($A474,'The List'!$B1:$AH671,18,FALSE)-AVERAGE('The List'!S2:S671))/STDEV('The List'!S2:S671)</f>
        <v>-0.9413833956004376</v>
      </c>
      <c r="G474" s="55" cm="1">
        <f t="array" ref="G474">(VLOOKUP($A474,'The List'!$B1:$AH671,19,FALSE)-AVERAGE('The List'!T2:T671))/STDEV('The List'!T2:T671)</f>
        <v>-0.75157874090479682</v>
      </c>
      <c r="H474" s="55" cm="1">
        <f t="array" ref="H474">(VLOOKUP($A474,'The List'!$B1:$AH671,20,FALSE)-AVERAGE('The List'!U2:U671))/STDEV('The List'!U2:U671)</f>
        <v>-0.88981729906803453</v>
      </c>
      <c r="I474" s="55" cm="1">
        <f t="array" ref="I474">(VLOOKUP($A474,'The List'!$B1:$AH671,21,FALSE)-AVERAGE('The List'!V2:V671))/STDEV('The List'!V2:V671)</f>
        <v>-0.90282387159051991</v>
      </c>
      <c r="J474" s="55" cm="1">
        <f t="array" ref="J474">(VLOOKUP($A474,'The List'!$B1:$AH671,22,FALSE)-AVERAGE('The List'!W2:W671))/STDEV('The List'!W2:W671)</f>
        <v>-0.73853908386105271</v>
      </c>
      <c r="K474" s="55" cm="1">
        <f t="array" ref="K474">(VLOOKUP($A474,'The List'!$B1:$AH671,23,FALSE)-AVERAGE('The List'!X2:X671))/STDEV('The List'!X2:X671)</f>
        <v>-0.80155300200843405</v>
      </c>
      <c r="L474" s="55" cm="1">
        <f t="array" ref="L474">(VLOOKUP($A474,'The List'!$B1:$AH671,24,FALSE)-AVERAGE('The List'!Y2:Y671))/STDEV('The List'!Y2:Y671)</f>
        <v>-0.47546929358800777</v>
      </c>
      <c r="M474" s="55" cm="1">
        <f t="array" ref="M474">(VLOOKUP($A474,'The List'!$B1:$AH671,25,FALSE)-AVERAGE('The List'!Z2:Z671))/STDEV('The List'!Z2:Z671)</f>
        <v>-0.64388478613809508</v>
      </c>
      <c r="N474" s="55" cm="1">
        <f t="array" ref="N474">(VLOOKUP($A474,'The List'!$B1:$AH671,26,FALSE)-AVERAGE('The List'!AA2:AA671))/STDEV('The List'!AA2:AA671)</f>
        <v>0.51021230644553139</v>
      </c>
      <c r="O474" s="55" cm="1">
        <f t="array" ref="O474">(VLOOKUP($A474,'The List'!$B1:$AH671,27,FALSE)-AVERAGE('The List'!AB2:AB671))/STDEV('The List'!AB2:AB671)</f>
        <v>6.1335556745600144E-2</v>
      </c>
      <c r="P474" s="55" cm="1">
        <f t="array" ref="P474">(VLOOKUP($A474,'The List'!$B1:$AH671,28,FALSE)-AVERAGE('The List'!AC2:AC671))/STDEV('The List'!AC2:AC671)</f>
        <v>0.20759123570312471</v>
      </c>
      <c r="Q474" s="55" cm="1">
        <f t="array" ref="Q474">(VLOOKUP($A474,'The List'!$B1:$AH671,29,FALSE)-AVERAGE('The List'!AD2:AD671))/STDEV('The List'!AD2:AD671)</f>
        <v>1.2967650226507088</v>
      </c>
      <c r="R474" s="55" cm="1">
        <f t="array" ref="R474">(VLOOKUP($A474,'The List'!$B1:$AH671,30,FALSE)-AVERAGE('The List'!AE2:AE671))/STDEV('The List'!AE2:AE671)</f>
        <v>-0.89536192645977275</v>
      </c>
      <c r="S474" s="55" cm="1">
        <f t="array" ref="S474">(VLOOKUP($A474,'The List'!$B1:$AH671,31,FALSE)-AVERAGE('The List'!AF2:AF671))/STDEV('The List'!AF2:AF671)</f>
        <v>-0.59581850454342256</v>
      </c>
      <c r="T474" s="55" cm="1">
        <f t="array" ref="T474">(VLOOKUP($A474,'The List'!$B1:$AH671,32,FALSE)-AVERAGE('The List'!AG2:AG671))/STDEV('The List'!AG2:AG671)</f>
        <v>-0.64684275008198677</v>
      </c>
      <c r="U474" s="55" cm="1">
        <f t="array" ref="U474">(VLOOKUP($A474,'The List'!$B1:$AH671,33,FALSE)-AVERAGE('The List'!AH2:AH671))/STDEV('The List'!AH2:AH671)</f>
        <v>-1.2552626683789523</v>
      </c>
      <c r="V474" s="55"/>
      <c r="W474" s="77"/>
      <c r="X474" s="57"/>
      <c r="Y474" s="57"/>
      <c r="Z474" s="57"/>
      <c r="AA474" s="57"/>
      <c r="AB474" s="57"/>
      <c r="AC474" s="60"/>
      <c r="AD474" s="61"/>
      <c r="AE474" s="55"/>
    </row>
    <row r="475" spans="1:31" ht="21.25" customHeight="1" x14ac:dyDescent="0.15">
      <c r="A475" s="10" t="s">
        <v>525</v>
      </c>
      <c r="B475" s="18" t="str" cm="1">
        <f t="array" ref="B475">VLOOKUP(A475,'Player Data'!A1:B673,2,FALSE)</f>
        <v>DAL</v>
      </c>
      <c r="C475" s="52" cm="1">
        <f t="array" ref="C475">((E475)*Settings!$C$12)+(F475*Settings!$C$2)+(G475*Settings!$C$3)+(H475*Settings!$C$4)+(I475*Settings!$C$5)+(K475*Settings!$C$9)+(N475*Settings!$C$6)+(J475*Settings!$C$8)+(O475*Settings!$C$7)+(P475*Settings!$C$14)+(Q475*Settings!$C$15)+(R475*Settings!$C$16)+(S475*Settings!$C$17)+(T475*Settings!$C$18)+(U475*Settings!$C$19)+(L475*Settings!$C$10)+(Settings!$C$11*M475)</f>
        <v>-3.043051253406885</v>
      </c>
      <c r="D475" s="57" cm="1">
        <f t="array" ref="D475">IF(Settings!$E$12="YES",VLOOKUP(A475,'Player Data'!A1:E673,5,FALSE),82)</f>
        <v>70</v>
      </c>
      <c r="E475" s="55" cm="1">
        <f t="array" ref="E475">(VLOOKUP($A475,'The List'!$B1:$AH671,17,FALSE)-AVERAGE('The List'!R2:R671))/STDEV('The List'!R2:R671)</f>
        <v>-0.10869443671844968</v>
      </c>
      <c r="F475" s="55" cm="1">
        <f t="array" ref="F475">(VLOOKUP($A475,'The List'!$B1:$AH671,18,FALSE)-AVERAGE('The List'!S2:S671))/STDEV('The List'!S2:S671)</f>
        <v>-1.0930701691936067</v>
      </c>
      <c r="G475" s="55" cm="1">
        <f t="array" ref="G475">(VLOOKUP($A475,'The List'!$B1:$AH671,19,FALSE)-AVERAGE('The List'!T2:T671))/STDEV('The List'!T2:T671)</f>
        <v>-0.67849432855365965</v>
      </c>
      <c r="H475" s="55" cm="1">
        <f t="array" ref="H475">(VLOOKUP($A475,'The List'!$B1:$AH671,20,FALSE)-AVERAGE('The List'!U2:U671))/STDEV('The List'!U2:U671)</f>
        <v>-0.91103676041232651</v>
      </c>
      <c r="I475" s="55" cm="1">
        <f t="array" ref="I475">(VLOOKUP($A475,'The List'!$B1:$AH671,21,FALSE)-AVERAGE('The List'!V2:V671))/STDEV('The List'!V2:V671)</f>
        <v>-0.90213278128198526</v>
      </c>
      <c r="J475" s="55" cm="1">
        <f t="array" ref="J475">(VLOOKUP($A475,'The List'!$B1:$AH671,22,FALSE)-AVERAGE('The List'!W2:W671))/STDEV('The List'!W2:W671)</f>
        <v>-0.73853908386105271</v>
      </c>
      <c r="K475" s="55" cm="1">
        <f t="array" ref="K475">(VLOOKUP($A475,'The List'!$B1:$AH671,23,FALSE)-AVERAGE('The List'!X2:X671))/STDEV('The List'!X2:X671)</f>
        <v>-0.80155300200843405</v>
      </c>
      <c r="L475" s="55" cm="1">
        <f t="array" ref="L475">(VLOOKUP($A475,'The List'!$B1:$AH671,24,FALSE)-AVERAGE('The List'!Y2:Y671))/STDEV('The List'!Y2:Y671)</f>
        <v>-0.47546929358800777</v>
      </c>
      <c r="M475" s="55" cm="1">
        <f t="array" ref="M475">(VLOOKUP($A475,'The List'!$B1:$AH671,25,FALSE)-AVERAGE('The List'!Z2:Z671))/STDEV('The List'!Z2:Z671)</f>
        <v>-0.64388478613809508</v>
      </c>
      <c r="N475" s="55" cm="1">
        <f t="array" ref="N475">(VLOOKUP($A475,'The List'!$B1:$AH671,26,FALSE)-AVERAGE('The List'!AA2:AA671))/STDEV('The List'!AA2:AA671)</f>
        <v>0.20065585890087409</v>
      </c>
      <c r="O475" s="55" cm="1">
        <f t="array" ref="O475">(VLOOKUP($A475,'The List'!$B1:$AH671,27,FALSE)-AVERAGE('The List'!AB2:AB671))/STDEV('The List'!AB2:AB671)</f>
        <v>-0.67825912338846184</v>
      </c>
      <c r="P475" s="55" cm="1">
        <f t="array" ref="P475">(VLOOKUP($A475,'The List'!$B1:$AH671,28,FALSE)-AVERAGE('The List'!AC2:AC671))/STDEV('The List'!AC2:AC671)</f>
        <v>1.1104581510192622</v>
      </c>
      <c r="Q475" s="55" cm="1">
        <f t="array" ref="Q475">(VLOOKUP($A475,'The List'!$B1:$AH671,29,FALSE)-AVERAGE('The List'!AD2:AD671))/STDEV('The List'!AD2:AD671)</f>
        <v>-0.40848682826825716</v>
      </c>
      <c r="R475" s="55" cm="1">
        <f t="array" ref="R475">(VLOOKUP($A475,'The List'!$B1:$AH671,30,FALSE)-AVERAGE('The List'!AE2:AE671))/STDEV('The List'!AE2:AE671)</f>
        <v>-0.90783790443978152</v>
      </c>
      <c r="S475" s="55" cm="1">
        <f t="array" ref="S475">(VLOOKUP($A475,'The List'!$B1:$AH671,31,FALSE)-AVERAGE('The List'!AF2:AF671))/STDEV('The List'!AF2:AF671)</f>
        <v>-0.59581850454342256</v>
      </c>
      <c r="T475" s="55" cm="1">
        <f t="array" ref="T475">(VLOOKUP($A475,'The List'!$B1:$AH671,32,FALSE)-AVERAGE('The List'!AG2:AG671))/STDEV('The List'!AG2:AG671)</f>
        <v>-0.64684275008198677</v>
      </c>
      <c r="U475" s="55" cm="1">
        <f t="array" ref="U475">(VLOOKUP($A475,'The List'!$B1:$AH671,33,FALSE)-AVERAGE('The List'!AH2:AH671))/STDEV('The List'!AH2:AH671)</f>
        <v>-1.2552626683789523</v>
      </c>
      <c r="V475" s="55"/>
      <c r="W475" s="57"/>
      <c r="X475" s="55"/>
      <c r="Y475" s="55"/>
      <c r="Z475" s="55"/>
      <c r="AA475" s="55"/>
      <c r="AB475" s="55"/>
      <c r="AC475" s="55"/>
      <c r="AD475" s="55"/>
      <c r="AE475" s="55"/>
    </row>
    <row r="476" spans="1:31" ht="21.25" customHeight="1" x14ac:dyDescent="0.15">
      <c r="A476" s="10" t="s">
        <v>432</v>
      </c>
      <c r="B476" s="18" t="str" cm="1">
        <f t="array" ref="B476">VLOOKUP(A476,'Player Data'!A1:B673,2,FALSE)</f>
        <v>MIN</v>
      </c>
      <c r="C476" s="52" cm="1">
        <f t="array" ref="C476">((E476)*Settings!$C$12)+(F476*Settings!$C$2)+(G476*Settings!$C$3)+(H476*Settings!$C$4)+(I476*Settings!$C$5)+(K476*Settings!$C$9)+(N476*Settings!$C$6)+(J476*Settings!$C$8)+(O476*Settings!$C$7)+(P476*Settings!$C$14)+(Q476*Settings!$C$15)+(R476*Settings!$C$16)+(S476*Settings!$C$17)+(T476*Settings!$C$18)+(U476*Settings!$C$19)+(L476*Settings!$C$10)+(Settings!$C$11*M476)</f>
        <v>-2.8987760749906974</v>
      </c>
      <c r="D476" s="57" cm="1">
        <f t="array" ref="D476">IF(Settings!$E$12="YES",VLOOKUP(A476,'Player Data'!A1:E673,5,FALSE),82)</f>
        <v>75</v>
      </c>
      <c r="E476" s="55" cm="1">
        <f t="array" ref="E476">(VLOOKUP($A476,'The List'!$B1:$AH671,17,FALSE)-AVERAGE('The List'!R2:R671))/STDEV('The List'!R2:R671)</f>
        <v>0.62580464820336701</v>
      </c>
      <c r="F476" s="55" cm="1">
        <f t="array" ref="F476">(VLOOKUP($A476,'The List'!$B1:$AH671,18,FALSE)-AVERAGE('The List'!S2:S671))/STDEV('The List'!S2:S671)</f>
        <v>-1.1479568306911352</v>
      </c>
      <c r="G476" s="55" cm="1">
        <f t="array" ref="G476">(VLOOKUP($A476,'The List'!$B1:$AH671,19,FALSE)-AVERAGE('The List'!T2:T671))/STDEV('The List'!T2:T671)</f>
        <v>-0.66092596020002092</v>
      </c>
      <c r="H476" s="55" cm="1">
        <f t="array" ref="H476">(VLOOKUP($A476,'The List'!$B1:$AH671,20,FALSE)-AVERAGE('The List'!U2:U671))/STDEV('The List'!U2:U671)</f>
        <v>-0.92429892375250899</v>
      </c>
      <c r="I476" s="55" cm="1">
        <f t="array" ref="I476">(VLOOKUP($A476,'The List'!$B1:$AH671,21,FALSE)-AVERAGE('The List'!V2:V671))/STDEV('The List'!V2:V671)</f>
        <v>-0.87535303182627477</v>
      </c>
      <c r="J476" s="55" cm="1">
        <f t="array" ref="J476">(VLOOKUP($A476,'The List'!$B1:$AH671,22,FALSE)-AVERAGE('The List'!W2:W671))/STDEV('The List'!W2:W671)</f>
        <v>-0.73853908386105271</v>
      </c>
      <c r="K476" s="55" cm="1">
        <f t="array" ref="K476">(VLOOKUP($A476,'The List'!$B1:$AH671,23,FALSE)-AVERAGE('The List'!X2:X671))/STDEV('The List'!X2:X671)</f>
        <v>-0.57544224877450112</v>
      </c>
      <c r="L476" s="55" cm="1">
        <f t="array" ref="L476">(VLOOKUP($A476,'The List'!$B1:$AH671,24,FALSE)-AVERAGE('The List'!Y2:Y671))/STDEV('The List'!Y2:Y671)</f>
        <v>-0.47546929358800777</v>
      </c>
      <c r="M476" s="55" cm="1">
        <f t="array" ref="M476">(VLOOKUP($A476,'The List'!$B1:$AH671,25,FALSE)-AVERAGE('The List'!Z2:Z671))/STDEV('The List'!Z2:Z671)</f>
        <v>-0.64388478613809508</v>
      </c>
      <c r="N476" s="55" cm="1">
        <f t="array" ref="N476">(VLOOKUP($A476,'The List'!$B1:$AH671,26,FALSE)-AVERAGE('The List'!AA2:AA671))/STDEV('The List'!AA2:AA671)</f>
        <v>1.5760366097490432</v>
      </c>
      <c r="O476" s="55" cm="1">
        <f t="array" ref="O476">(VLOOKUP($A476,'The List'!$B1:$AH671,27,FALSE)-AVERAGE('The List'!AB2:AB671))/STDEV('The List'!AB2:AB671)</f>
        <v>-0.18526433244544108</v>
      </c>
      <c r="P476" s="55" cm="1">
        <f t="array" ref="P476">(VLOOKUP($A476,'The List'!$B1:$AH671,28,FALSE)-AVERAGE('The List'!AC2:AC671))/STDEV('The List'!AC2:AC671)</f>
        <v>0.54616632894667616</v>
      </c>
      <c r="Q476" s="55" cm="1">
        <f t="array" ref="Q476">(VLOOKUP($A476,'The List'!$B1:$AH671,29,FALSE)-AVERAGE('The List'!AD2:AD671))/STDEV('The List'!AD2:AD671)</f>
        <v>-1.0438926306037475</v>
      </c>
      <c r="R476" s="55" cm="1">
        <f t="array" ref="R476">(VLOOKUP($A476,'The List'!$B1:$AH671,30,FALSE)-AVERAGE('The List'!AE2:AE671))/STDEV('The List'!AE2:AE671)</f>
        <v>-0.87664795948975927</v>
      </c>
      <c r="S476" s="55" cm="1">
        <f t="array" ref="S476">(VLOOKUP($A476,'The List'!$B1:$AH671,31,FALSE)-AVERAGE('The List'!AF2:AF671))/STDEV('The List'!AF2:AF671)</f>
        <v>-0.59581850454342256</v>
      </c>
      <c r="T476" s="55" cm="1">
        <f t="array" ref="T476">(VLOOKUP($A476,'The List'!$B1:$AH671,32,FALSE)-AVERAGE('The List'!AG2:AG671))/STDEV('The List'!AG2:AG671)</f>
        <v>-0.64684275008198677</v>
      </c>
      <c r="U476" s="55" cm="1">
        <f t="array" ref="U476">(VLOOKUP($A476,'The List'!$B1:$AH671,33,FALSE)-AVERAGE('The List'!AH2:AH671))/STDEV('The List'!AH2:AH671)</f>
        <v>-1.2552626683789523</v>
      </c>
      <c r="V476" s="55"/>
      <c r="W476" s="77"/>
      <c r="X476" s="57"/>
      <c r="Y476" s="57"/>
      <c r="Z476" s="57"/>
      <c r="AA476" s="57"/>
      <c r="AB476" s="57"/>
      <c r="AC476" s="60"/>
      <c r="AD476" s="61"/>
      <c r="AE476" s="55"/>
    </row>
    <row r="477" spans="1:31" ht="21.25" customHeight="1" x14ac:dyDescent="0.15">
      <c r="A477" s="10" t="s">
        <v>777</v>
      </c>
      <c r="B477" s="18" t="str" cm="1">
        <f t="array" ref="B477">VLOOKUP(A477,'Player Data'!A1:B673,2,FALSE)</f>
        <v>PHI</v>
      </c>
      <c r="C477" s="52" cm="1">
        <f t="array" ref="C477">((E477)*Settings!$C$12)+(F477*Settings!$C$2)+(G477*Settings!$C$3)+(H477*Settings!$C$4)+(I477*Settings!$C$5)+(K477*Settings!$C$9)+(N477*Settings!$C$6)+(J477*Settings!$C$8)+(O477*Settings!$C$7)+(P477*Settings!$C$14)+(Q477*Settings!$C$15)+(R477*Settings!$C$16)+(S477*Settings!$C$17)+(T477*Settings!$C$18)+(U477*Settings!$C$19)+(L477*Settings!$C$10)+(Settings!$C$11*M477)</f>
        <v>-3.5019036343420527</v>
      </c>
      <c r="D477" s="57" cm="1">
        <f t="array" ref="D477">IF(Settings!$E$12="YES",VLOOKUP(A477,'Player Data'!A1:E673,5,FALSE),82)</f>
        <v>73</v>
      </c>
      <c r="E477" s="55" cm="1">
        <f t="array" ref="E477">(VLOOKUP($A477,'The List'!$B1:$AH671,17,FALSE)-AVERAGE('The List'!R2:R671))/STDEV('The List'!R2:R671)</f>
        <v>-1.5776926065620822</v>
      </c>
      <c r="F477" s="55" cm="1">
        <f t="array" ref="F477">(VLOOKUP($A477,'The List'!$B1:$AH671,18,FALSE)-AVERAGE('The List'!S2:S671))/STDEV('The List'!S2:S671)</f>
        <v>-0.78969662200726853</v>
      </c>
      <c r="G477" s="55" cm="1">
        <f t="array" ref="G477">(VLOOKUP($A477,'The List'!$B1:$AH671,19,FALSE)-AVERAGE('The List'!T2:T671))/STDEV('The List'!T2:T671)</f>
        <v>-0.84152878687542709</v>
      </c>
      <c r="H477" s="55" cm="1">
        <f t="array" ref="H477">(VLOOKUP($A477,'The List'!$B1:$AH671,20,FALSE)-AVERAGE('The List'!U2:U671))/STDEV('The List'!U2:U671)</f>
        <v>-0.87920756839588865</v>
      </c>
      <c r="I477" s="55" cm="1">
        <f t="array" ref="I477">(VLOOKUP($A477,'The List'!$B1:$AH671,21,FALSE)-AVERAGE('The List'!V2:V671))/STDEV('The List'!V2:V671)</f>
        <v>-1.3264622307221476</v>
      </c>
      <c r="J477" s="55" cm="1">
        <f t="array" ref="J477">(VLOOKUP($A477,'The List'!$B1:$AH671,22,FALSE)-AVERAGE('The List'!W2:W671))/STDEV('The List'!W2:W671)</f>
        <v>-0.73853908386105271</v>
      </c>
      <c r="K477" s="55" cm="1">
        <f t="array" ref="K477">(VLOOKUP($A477,'The List'!$B1:$AH671,23,FALSE)-AVERAGE('The List'!X2:X671))/STDEV('The List'!X2:X671)</f>
        <v>-0.80155300200843405</v>
      </c>
      <c r="L477" s="55" cm="1">
        <f t="array" ref="L477">(VLOOKUP($A477,'The List'!$B1:$AH671,24,FALSE)-AVERAGE('The List'!Y2:Y671))/STDEV('The List'!Y2:Y671)</f>
        <v>-0.47546929358800777</v>
      </c>
      <c r="M477" s="55" cm="1">
        <f t="array" ref="M477">(VLOOKUP($A477,'The List'!$B1:$AH671,25,FALSE)-AVERAGE('The List'!Z2:Z671))/STDEV('The List'!Z2:Z671)</f>
        <v>-0.64388478613809508</v>
      </c>
      <c r="N477" s="55" cm="1">
        <f t="array" ref="N477">(VLOOKUP($A477,'The List'!$B1:$AH671,26,FALSE)-AVERAGE('The List'!AA2:AA671))/STDEV('The List'!AA2:AA671)</f>
        <v>-1.0076870068860693</v>
      </c>
      <c r="O477" s="55" cm="1">
        <f t="array" ref="O477">(VLOOKUP($A477,'The List'!$B1:$AH671,27,FALSE)-AVERAGE('The List'!AB2:AB671))/STDEV('The List'!AB2:AB671)</f>
        <v>0.52071240768252713</v>
      </c>
      <c r="P477" s="55" cm="1">
        <f t="array" ref="P477">(VLOOKUP($A477,'The List'!$B1:$AH671,28,FALSE)-AVERAGE('The List'!AC2:AC671))/STDEV('The List'!AC2:AC671)</f>
        <v>-0.26337540041130264</v>
      </c>
      <c r="Q477" s="55" cm="1">
        <f t="array" ref="Q477">(VLOOKUP($A477,'The List'!$B1:$AH671,29,FALSE)-AVERAGE('The List'!AD2:AD671))/STDEV('The List'!AD2:AD671)</f>
        <v>-0.54000105247257957</v>
      </c>
      <c r="R477" s="55" cm="1">
        <f t="array" ref="R477">(VLOOKUP($A477,'The List'!$B1:$AH671,30,FALSE)-AVERAGE('The List'!AE2:AE671))/STDEV('The List'!AE2:AE671)</f>
        <v>-0.88912393746976826</v>
      </c>
      <c r="S477" s="55" cm="1">
        <f t="array" ref="S477">(VLOOKUP($A477,'The List'!$B1:$AH671,31,FALSE)-AVERAGE('The List'!AF2:AF671))/STDEV('The List'!AF2:AF671)</f>
        <v>-0.57125103300827684</v>
      </c>
      <c r="T477" s="55" cm="1">
        <f t="array" ref="T477">(VLOOKUP($A477,'The List'!$B1:$AH671,32,FALSE)-AVERAGE('The List'!AG2:AG671))/STDEV('The List'!AG2:AG671)</f>
        <v>-0.63566635899939783</v>
      </c>
      <c r="U477" s="55" cm="1">
        <f t="array" ref="U477">(VLOOKUP($A477,'The List'!$B1:$AH671,33,FALSE)-AVERAGE('The List'!AH2:AH671))/STDEV('The List'!AH2:AH671)</f>
        <v>1.9186838283010694</v>
      </c>
      <c r="V477" s="55"/>
      <c r="W477" s="77"/>
      <c r="X477" s="57"/>
      <c r="Y477" s="57"/>
      <c r="Z477" s="57"/>
      <c r="AA477" s="57"/>
      <c r="AB477" s="57"/>
      <c r="AC477" s="60"/>
      <c r="AD477" s="61"/>
      <c r="AE477" s="55"/>
    </row>
    <row r="478" spans="1:31" ht="21.25" customHeight="1" x14ac:dyDescent="0.15">
      <c r="A478" s="10" t="s">
        <v>709</v>
      </c>
      <c r="B478" s="18" t="str" cm="1">
        <f t="array" ref="B478">VLOOKUP(A478,'Player Data'!A1:B673,2,FALSE)</f>
        <v>MIN</v>
      </c>
      <c r="C478" s="52" cm="1">
        <f t="array" ref="C478">((E478)*Settings!$C$12)+(F478*Settings!$C$2)+(G478*Settings!$C$3)+(H478*Settings!$C$4)+(I478*Settings!$C$5)+(K478*Settings!$C$9)+(N478*Settings!$C$6)+(J478*Settings!$C$8)+(O478*Settings!$C$7)+(P478*Settings!$C$14)+(Q478*Settings!$C$15)+(R478*Settings!$C$16)+(S478*Settings!$C$17)+(T478*Settings!$C$18)+(U478*Settings!$C$19)+(L478*Settings!$C$10)+(Settings!$C$11*M478)</f>
        <v>2.6923313742704238</v>
      </c>
      <c r="D478" s="57" cm="1">
        <f t="array" ref="D478">IF(Settings!$E$12="YES",VLOOKUP(A478,'Player Data'!A1:E673,5,FALSE),82)</f>
        <v>83</v>
      </c>
      <c r="E478" s="55" cm="1">
        <f t="array" ref="E478">(VLOOKUP($A478,'The List'!$B1:$AH671,17,FALSE)-AVERAGE('The List'!R2:R671))/STDEV('The List'!R2:R671)</f>
        <v>-1.1317467335738367</v>
      </c>
      <c r="F478" s="55" cm="1">
        <f t="array" ref="F478">(VLOOKUP($A478,'The List'!$B1:$AH671,18,FALSE)-AVERAGE('The List'!S2:S671))/STDEV('The List'!S2:S671)</f>
        <v>-0.54420355421832356</v>
      </c>
      <c r="G478" s="55" cm="1">
        <f t="array" ref="G478">(VLOOKUP($A478,'The List'!$B1:$AH671,19,FALSE)-AVERAGE('The List'!T2:T671))/STDEV('The List'!T2:T671)</f>
        <v>-0.78741821234621978</v>
      </c>
      <c r="H478" s="55" cm="1">
        <f t="array" ref="H478">(VLOOKUP($A478,'The List'!$B1:$AH671,20,FALSE)-AVERAGE('The List'!U2:U671))/STDEV('The List'!U2:U671)</f>
        <v>-0.73641827643325763</v>
      </c>
      <c r="I478" s="55" cm="1">
        <f t="array" ref="I478">(VLOOKUP($A478,'The List'!$B1:$AH671,21,FALSE)-AVERAGE('The List'!V2:V671))/STDEV('The List'!V2:V671)</f>
        <v>-0.52065093097096027</v>
      </c>
      <c r="J478" s="55" cm="1">
        <f t="array" ref="J478">(VLOOKUP($A478,'The List'!$B1:$AH671,22,FALSE)-AVERAGE('The List'!W2:W671))/STDEV('The List'!W2:W671)</f>
        <v>-0.73853908386105271</v>
      </c>
      <c r="K478" s="55" cm="1">
        <f t="array" ref="K478">(VLOOKUP($A478,'The List'!$B1:$AH671,23,FALSE)-AVERAGE('The List'!X2:X671))/STDEV('The List'!X2:X671)</f>
        <v>-0.80155300200843405</v>
      </c>
      <c r="L478" s="55" cm="1">
        <f t="array" ref="L478">(VLOOKUP($A478,'The List'!$B1:$AH671,24,FALSE)-AVERAGE('The List'!Y2:Y671))/STDEV('The List'!Y2:Y671)</f>
        <v>-0.47546929358800777</v>
      </c>
      <c r="M478" s="55" cm="1">
        <f t="array" ref="M478">(VLOOKUP($A478,'The List'!$B1:$AH671,25,FALSE)-AVERAGE('The List'!Z2:Z671))/STDEV('The List'!Z2:Z671)</f>
        <v>0.25800936221395893</v>
      </c>
      <c r="N478" s="55" cm="1">
        <f t="array" ref="N478">(VLOOKUP($A478,'The List'!$B1:$AH671,26,FALSE)-AVERAGE('The List'!AA2:AA671))/STDEV('The List'!AA2:AA671)</f>
        <v>-0.66901386378028038</v>
      </c>
      <c r="O478" s="55" cm="1">
        <f t="array" ref="O478">(VLOOKUP($A478,'The List'!$B1:$AH671,27,FALSE)-AVERAGE('The List'!AB2:AB671))/STDEV('The List'!AB2:AB671)</f>
        <v>4.730539443689521</v>
      </c>
      <c r="P478" s="55" cm="1">
        <f t="array" ref="P478">(VLOOKUP($A478,'The List'!$B1:$AH671,28,FALSE)-AVERAGE('The List'!AC2:AC671))/STDEV('The List'!AC2:AC671)</f>
        <v>0.61561763012484061</v>
      </c>
      <c r="Q478" s="55" cm="1">
        <f t="array" ref="Q478">(VLOOKUP($A478,'The List'!$B1:$AH671,29,FALSE)-AVERAGE('The List'!AD2:AD671))/STDEV('The List'!AD2:AD671)</f>
        <v>0.14047423119135818</v>
      </c>
      <c r="R478" s="55" cm="1">
        <f t="array" ref="R478">(VLOOKUP($A478,'The List'!$B1:$AH671,30,FALSE)-AVERAGE('The List'!AE2:AE671))/STDEV('The List'!AE2:AE671)</f>
        <v>-0.3089909613993535</v>
      </c>
      <c r="S478" s="55" cm="1">
        <f t="array" ref="S478">(VLOOKUP($A478,'The List'!$B1:$AH671,31,FALSE)-AVERAGE('The List'!AF2:AF671))/STDEV('The List'!AF2:AF671)</f>
        <v>-0.35240341964627386</v>
      </c>
      <c r="T478" s="55" cm="1">
        <f t="array" ref="T478">(VLOOKUP($A478,'The List'!$B1:$AH671,32,FALSE)-AVERAGE('The List'!AG2:AG671))/STDEV('The List'!AG2:AG671)</f>
        <v>-0.28679964922506995</v>
      </c>
      <c r="U478" s="55" cm="1">
        <f t="array" ref="U478">(VLOOKUP($A478,'The List'!$B1:$AH671,33,FALSE)-AVERAGE('The List'!AH2:AH671))/STDEV('The List'!AH2:AH671)</f>
        <v>0.67670476438280014</v>
      </c>
      <c r="V478" s="55"/>
      <c r="W478" s="77"/>
      <c r="X478" s="57"/>
      <c r="Y478" s="57"/>
      <c r="Z478" s="57"/>
      <c r="AA478" s="57"/>
      <c r="AB478" s="57"/>
      <c r="AC478" s="60"/>
      <c r="AD478" s="61"/>
      <c r="AE478" s="55"/>
    </row>
    <row r="479" spans="1:31" ht="21.25" customHeight="1" x14ac:dyDescent="0.15">
      <c r="A479" s="10" t="s">
        <v>391</v>
      </c>
      <c r="B479" s="18" t="str" cm="1">
        <f t="array" ref="B479">VLOOKUP(A479,'Player Data'!A1:B673,2,FALSE)</f>
        <v>NYR</v>
      </c>
      <c r="C479" s="52" cm="1">
        <f t="array" ref="C479">((E479)*Settings!$C$12)+(F479*Settings!$C$2)+(G479*Settings!$C$3)+(H479*Settings!$C$4)+(I479*Settings!$C$5)+(K479*Settings!$C$9)+(N479*Settings!$C$6)+(J479*Settings!$C$8)+(O479*Settings!$C$7)+(P479*Settings!$C$14)+(Q479*Settings!$C$15)+(R479*Settings!$C$16)+(S479*Settings!$C$17)+(T479*Settings!$C$18)+(U479*Settings!$C$19)+(L479*Settings!$C$10)+(Settings!$C$11*M479)</f>
        <v>-2.4048401050308819</v>
      </c>
      <c r="D479" s="57" cm="1">
        <f t="array" ref="D479">IF(Settings!$E$12="YES",VLOOKUP(A479,'Player Data'!A1:E673,5,FALSE),82)</f>
        <v>84</v>
      </c>
      <c r="E479" s="55" cm="1">
        <f t="array" ref="E479">(VLOOKUP($A479,'The List'!$B1:$AH671,17,FALSE)-AVERAGE('The List'!R2:R671))/STDEV('The List'!R2:R671)</f>
        <v>0.28478721591823775</v>
      </c>
      <c r="F479" s="55" cm="1">
        <f t="array" ref="F479">(VLOOKUP($A479,'The List'!$B1:$AH671,18,FALSE)-AVERAGE('The List'!S2:S671))/STDEV('The List'!S2:S671)</f>
        <v>-0.95335866719989848</v>
      </c>
      <c r="G479" s="55" cm="1">
        <f t="array" ref="G479">(VLOOKUP($A479,'The List'!$B1:$AH671,19,FALSE)-AVERAGE('The List'!T2:T671))/STDEV('The List'!T2:T671)</f>
        <v>-0.54075832066113205</v>
      </c>
      <c r="H479" s="55" cm="1">
        <f t="array" ref="H479">(VLOOKUP($A479,'The List'!$B1:$AH671,20,FALSE)-AVERAGE('The List'!U2:U671))/STDEV('The List'!U2:U671)</f>
        <v>-0.7625005310022831</v>
      </c>
      <c r="I479" s="55" cm="1">
        <f t="array" ref="I479">(VLOOKUP($A479,'The List'!$B1:$AH671,21,FALSE)-AVERAGE('The List'!V2:V671))/STDEV('The List'!V2:V671)</f>
        <v>-0.52963510498190824</v>
      </c>
      <c r="J479" s="55" cm="1">
        <f t="array" ref="J479">(VLOOKUP($A479,'The List'!$B1:$AH671,22,FALSE)-AVERAGE('The List'!W2:W671))/STDEV('The List'!W2:W671)</f>
        <v>-0.73853908386105271</v>
      </c>
      <c r="K479" s="55" cm="1">
        <f t="array" ref="K479">(VLOOKUP($A479,'The List'!$B1:$AH671,23,FALSE)-AVERAGE('The List'!X2:X671))/STDEV('The List'!X2:X671)</f>
        <v>-0.80155300200843405</v>
      </c>
      <c r="L479" s="55" cm="1">
        <f t="array" ref="L479">(VLOOKUP($A479,'The List'!$B1:$AH671,24,FALSE)-AVERAGE('The List'!Y2:Y671))/STDEV('The List'!Y2:Y671)</f>
        <v>1.0643760379302476</v>
      </c>
      <c r="M479" s="55" cm="1">
        <f t="array" ref="M479">(VLOOKUP($A479,'The List'!$B1:$AH671,25,FALSE)-AVERAGE('The List'!Z2:Z671))/STDEV('The List'!Z2:Z671)</f>
        <v>0.26887555677241731</v>
      </c>
      <c r="N479" s="55" cm="1">
        <f t="array" ref="N479">(VLOOKUP($A479,'The List'!$B1:$AH671,26,FALSE)-AVERAGE('The List'!AA2:AA671))/STDEV('The List'!AA2:AA671)</f>
        <v>1.7239187740463668</v>
      </c>
      <c r="O479" s="55" cm="1">
        <f t="array" ref="O479">(VLOOKUP($A479,'The List'!$B1:$AH671,27,FALSE)-AVERAGE('The List'!AB2:AB671))/STDEV('The List'!AB2:AB671)</f>
        <v>1.0723336061971505</v>
      </c>
      <c r="P479" s="55" cm="1">
        <f t="array" ref="P479">(VLOOKUP($A479,'The List'!$B1:$AH671,28,FALSE)-AVERAGE('The List'!AC2:AC671))/STDEV('The List'!AC2:AC671)</f>
        <v>-0.65186861637665983</v>
      </c>
      <c r="Q479" s="55" cm="1">
        <f t="array" ref="Q479">(VLOOKUP($A479,'The List'!$B1:$AH671,29,FALSE)-AVERAGE('The List'!AD2:AD671))/STDEV('The List'!AD2:AD671)</f>
        <v>-0.63605076677910699</v>
      </c>
      <c r="R479" s="55" cm="1">
        <f t="array" ref="R479">(VLOOKUP($A479,'The List'!$B1:$AH671,30,FALSE)-AVERAGE('The List'!AE2:AE671))/STDEV('The List'!AE2:AE671)</f>
        <v>-0.82050605857971926</v>
      </c>
      <c r="S479" s="55" cm="1">
        <f t="array" ref="S479">(VLOOKUP($A479,'The List'!$B1:$AH671,31,FALSE)-AVERAGE('The List'!AF2:AF671))/STDEV('The List'!AF2:AF671)</f>
        <v>-0.59581850454342256</v>
      </c>
      <c r="T479" s="55" cm="1">
        <f t="array" ref="T479">(VLOOKUP($A479,'The List'!$B1:$AH671,32,FALSE)-AVERAGE('The List'!AG2:AG671))/STDEV('The List'!AG2:AG671)</f>
        <v>-0.64684275008198677</v>
      </c>
      <c r="U479" s="55" cm="1">
        <f t="array" ref="U479">(VLOOKUP($A479,'The List'!$B1:$AH671,33,FALSE)-AVERAGE('The List'!AH2:AH671))/STDEV('The List'!AH2:AH671)</f>
        <v>-1.2552626683789523</v>
      </c>
      <c r="V479" s="55"/>
      <c r="W479" s="77"/>
      <c r="X479" s="57"/>
      <c r="Y479" s="57"/>
      <c r="Z479" s="57"/>
      <c r="AA479" s="57"/>
      <c r="AB479" s="57"/>
      <c r="AC479" s="60"/>
      <c r="AD479" s="61"/>
      <c r="AE479" s="55"/>
    </row>
    <row r="480" spans="1:31" ht="21.25" customHeight="1" x14ac:dyDescent="0.15">
      <c r="A480" s="10" t="s">
        <v>724</v>
      </c>
      <c r="B480" s="18" t="str" cm="1">
        <f t="array" ref="B480">VLOOKUP(A480,'Player Data'!A1:B673,2,FALSE)</f>
        <v>CAR</v>
      </c>
      <c r="C480" s="52" cm="1">
        <f t="array" ref="C480">((E480)*Settings!$C$12)+(F480*Settings!$C$2)+(G480*Settings!$C$3)+(H480*Settings!$C$4)+(I480*Settings!$C$5)+(K480*Settings!$C$9)+(N480*Settings!$C$6)+(J480*Settings!$C$8)+(O480*Settings!$C$7)+(P480*Settings!$C$14)+(Q480*Settings!$C$15)+(R480*Settings!$C$16)+(S480*Settings!$C$17)+(T480*Settings!$C$18)+(U480*Settings!$C$19)+(L480*Settings!$C$10)+(Settings!$C$11*M480)</f>
        <v>-2.4084530914898847</v>
      </c>
      <c r="D480" s="57" cm="1">
        <f t="array" ref="D480">IF(Settings!$E$12="YES",VLOOKUP(A480,'Player Data'!A1:E673,5,FALSE),82)</f>
        <v>74</v>
      </c>
      <c r="E480" s="55" cm="1">
        <f t="array" ref="E480">(VLOOKUP($A480,'The List'!$B1:$AH671,17,FALSE)-AVERAGE('The List'!R2:R671))/STDEV('The List'!R2:R671)</f>
        <v>-1.551460496386303</v>
      </c>
      <c r="F480" s="55" cm="1">
        <f t="array" ref="F480">(VLOOKUP($A480,'The List'!$B1:$AH671,18,FALSE)-AVERAGE('The List'!S2:S671))/STDEV('The List'!S2:S671)</f>
        <v>-0.33862805842758109</v>
      </c>
      <c r="G480" s="55" cm="1">
        <f t="array" ref="G480">(VLOOKUP($A480,'The List'!$B1:$AH671,19,FALSE)-AVERAGE('The List'!T2:T671))/STDEV('The List'!T2:T671)</f>
        <v>-1.142299253089722</v>
      </c>
      <c r="H480" s="55" cm="1">
        <f t="array" ref="H480">(VLOOKUP($A480,'The List'!$B1:$AH671,20,FALSE)-AVERAGE('The List'!U2:U671))/STDEV('The List'!U2:U671)</f>
        <v>-0.86859783772374266</v>
      </c>
      <c r="I480" s="55" cm="1">
        <f t="array" ref="I480">(VLOOKUP($A480,'The List'!$B1:$AH671,21,FALSE)-AVERAGE('The List'!V2:V671))/STDEV('The List'!V2:V671)</f>
        <v>-0.95672891565620832</v>
      </c>
      <c r="J480" s="55" cm="1">
        <f t="array" ref="J480">(VLOOKUP($A480,'The List'!$B1:$AH671,22,FALSE)-AVERAGE('The List'!W2:W671))/STDEV('The List'!W2:W671)</f>
        <v>-0.73853908386105271</v>
      </c>
      <c r="K480" s="55" cm="1">
        <f t="array" ref="K480">(VLOOKUP($A480,'The List'!$B1:$AH671,23,FALSE)-AVERAGE('The List'!X2:X671))/STDEV('The List'!X2:X671)</f>
        <v>-0.80155300200843405</v>
      </c>
      <c r="L480" s="55" cm="1">
        <f t="array" ref="L480">(VLOOKUP($A480,'The List'!$B1:$AH671,24,FALSE)-AVERAGE('The List'!Y2:Y671))/STDEV('The List'!Y2:Y671)</f>
        <v>-0.47546929358800777</v>
      </c>
      <c r="M480" s="55" cm="1">
        <f t="array" ref="M480">(VLOOKUP($A480,'The List'!$B1:$AH671,25,FALSE)-AVERAGE('The List'!Z2:Z671))/STDEV('The List'!Z2:Z671)</f>
        <v>-0.64388478613809508</v>
      </c>
      <c r="N480" s="55" cm="1">
        <f t="array" ref="N480">(VLOOKUP($A480,'The List'!$B1:$AH671,26,FALSE)-AVERAGE('The List'!AA2:AA671))/STDEV('The List'!AA2:AA671)</f>
        <v>-0.5267507109070344</v>
      </c>
      <c r="O480" s="55" cm="1">
        <f t="array" ref="O480">(VLOOKUP($A480,'The List'!$B1:$AH671,27,FALSE)-AVERAGE('The List'!AB2:AB671))/STDEV('The List'!AB2:AB671)</f>
        <v>-0.50975944847987031</v>
      </c>
      <c r="P480" s="55" cm="1">
        <f t="array" ref="P480">(VLOOKUP($A480,'The List'!$B1:$AH671,28,FALSE)-AVERAGE('The List'!AC2:AC671))/STDEV('The List'!AC2:AC671)</f>
        <v>1.3405155861719316</v>
      </c>
      <c r="Q480" s="55" cm="1">
        <f t="array" ref="Q480">(VLOOKUP($A480,'The List'!$B1:$AH671,29,FALSE)-AVERAGE('The List'!AD2:AD671))/STDEV('The List'!AD2:AD671)</f>
        <v>-0.89760152727534381</v>
      </c>
      <c r="R480" s="55" cm="1">
        <f t="array" ref="R480">(VLOOKUP($A480,'The List'!$B1:$AH671,30,FALSE)-AVERAGE('The List'!AE2:AE671))/STDEV('The List'!AE2:AE671)</f>
        <v>-0.42127476321943386</v>
      </c>
      <c r="S480" s="55" cm="1">
        <f t="array" ref="S480">(VLOOKUP($A480,'The List'!$B1:$AH671,31,FALSE)-AVERAGE('The List'!AF2:AF671))/STDEV('The List'!AF2:AF671)</f>
        <v>1.0442885873351737</v>
      </c>
      <c r="T480" s="55" cm="1">
        <f t="array" ref="T480">(VLOOKUP($A480,'The List'!$B1:$AH671,32,FALSE)-AVERAGE('The List'!AG2:AG671))/STDEV('The List'!AG2:AG671)</f>
        <v>1.0261456173583317</v>
      </c>
      <c r="U480" s="55" cm="1">
        <f t="array" ref="U480">(VLOOKUP($A480,'The List'!$B1:$AH671,33,FALSE)-AVERAGE('The List'!AH2:AH671))/STDEV('The List'!AH2:AH671)</f>
        <v>1.09069778568889</v>
      </c>
      <c r="V480" s="55"/>
      <c r="W480" s="57"/>
      <c r="X480" s="55"/>
      <c r="Y480" s="55"/>
      <c r="Z480" s="55"/>
      <c r="AA480" s="55"/>
      <c r="AB480" s="55"/>
      <c r="AC480" s="55"/>
      <c r="AD480" s="55"/>
      <c r="AE480" s="55"/>
    </row>
    <row r="481" spans="1:31" ht="21.25" customHeight="1" x14ac:dyDescent="0.15">
      <c r="A481" s="10" t="s">
        <v>767</v>
      </c>
      <c r="B481" s="18" t="str" cm="1">
        <f t="array" ref="B481">VLOOKUP(A481,'Player Data'!A1:B673,2,FALSE)</f>
        <v>CAR</v>
      </c>
      <c r="C481" s="52" cm="1">
        <f t="array" ref="C481">((E481)*Settings!$C$12)+(F481*Settings!$C$2)+(G481*Settings!$C$3)+(H481*Settings!$C$4)+(I481*Settings!$C$5)+(K481*Settings!$C$9)+(N481*Settings!$C$6)+(J481*Settings!$C$8)+(O481*Settings!$C$7)+(P481*Settings!$C$14)+(Q481*Settings!$C$15)+(R481*Settings!$C$16)+(S481*Settings!$C$17)+(T481*Settings!$C$18)+(U481*Settings!$C$19)+(L481*Settings!$C$10)+(Settings!$C$11*M481)</f>
        <v>-0.20251232233313554</v>
      </c>
      <c r="D481" s="57" cm="1">
        <f t="array" ref="D481">IF(Settings!$E$12="YES",VLOOKUP(A481,'Player Data'!A1:E673,5,FALSE),82)</f>
        <v>72</v>
      </c>
      <c r="E481" s="55" cm="1">
        <f t="array" ref="E481">(VLOOKUP($A481,'The List'!$B1:$AH671,17,FALSE)-AVERAGE('The List'!R2:R671))/STDEV('The List'!R2:R671)</f>
        <v>-1.5776926065620822</v>
      </c>
      <c r="F481" s="55" cm="1">
        <f t="array" ref="F481">(VLOOKUP($A481,'The List'!$B1:$AH671,18,FALSE)-AVERAGE('The List'!S2:S671))/STDEV('The List'!S2:S671)</f>
        <v>-0.65397687721338027</v>
      </c>
      <c r="G481" s="55" cm="1">
        <f t="array" ref="G481">(VLOOKUP($A481,'The List'!$B1:$AH671,19,FALSE)-AVERAGE('The List'!T2:T671))/STDEV('The List'!T2:T671)</f>
        <v>-0.95396634433871474</v>
      </c>
      <c r="H481" s="55" cm="1">
        <f t="array" ref="H481">(VLOOKUP($A481,'The List'!$B1:$AH671,20,FALSE)-AVERAGE('The List'!U2:U671))/STDEV('The List'!U2:U671)</f>
        <v>-0.88981729906803453</v>
      </c>
      <c r="I481" s="55" cm="1">
        <f t="array" ref="I481">(VLOOKUP($A481,'The List'!$B1:$AH671,21,FALSE)-AVERAGE('The List'!V2:V671))/STDEV('The List'!V2:V671)</f>
        <v>-0.74110873939345479</v>
      </c>
      <c r="J481" s="55" cm="1">
        <f t="array" ref="J481">(VLOOKUP($A481,'The List'!$B1:$AH671,22,FALSE)-AVERAGE('The List'!W2:W671))/STDEV('The List'!W2:W671)</f>
        <v>-0.73853908386105271</v>
      </c>
      <c r="K481" s="55" cm="1">
        <f t="array" ref="K481">(VLOOKUP($A481,'The List'!$B1:$AH671,23,FALSE)-AVERAGE('The List'!X2:X671))/STDEV('The List'!X2:X671)</f>
        <v>-0.80155300200843405</v>
      </c>
      <c r="L481" s="55" cm="1">
        <f t="array" ref="L481">(VLOOKUP($A481,'The List'!$B1:$AH671,24,FALSE)-AVERAGE('The List'!Y2:Y671))/STDEV('The List'!Y2:Y671)</f>
        <v>-0.47546929358800777</v>
      </c>
      <c r="M481" s="55" cm="1">
        <f t="array" ref="M481">(VLOOKUP($A481,'The List'!$B1:$AH671,25,FALSE)-AVERAGE('The List'!Z2:Z671))/STDEV('The List'!Z2:Z671)</f>
        <v>-0.64388478613809508</v>
      </c>
      <c r="N481" s="55" cm="1">
        <f t="array" ref="N481">(VLOOKUP($A481,'The List'!$B1:$AH671,26,FALSE)-AVERAGE('The List'!AA2:AA671))/STDEV('The List'!AA2:AA671)</f>
        <v>-1.0896734917555699</v>
      </c>
      <c r="O481" s="55" cm="1">
        <f t="array" ref="O481">(VLOOKUP($A481,'The List'!$B1:$AH671,27,FALSE)-AVERAGE('The List'!AB2:AB671))/STDEV('The List'!AB2:AB671)</f>
        <v>1.8029088390125045</v>
      </c>
      <c r="P481" s="55" cm="1">
        <f t="array" ref="P481">(VLOOKUP($A481,'The List'!$B1:$AH671,28,FALSE)-AVERAGE('The List'!AC2:AC671))/STDEV('The List'!AC2:AC671)</f>
        <v>1.145183801608344</v>
      </c>
      <c r="Q481" s="55" cm="1">
        <f t="array" ref="Q481">(VLOOKUP($A481,'The List'!$B1:$AH671,29,FALSE)-AVERAGE('The List'!AD2:AD671))/STDEV('The List'!AD2:AD671)</f>
        <v>-0.8311055712169787</v>
      </c>
      <c r="R481" s="55" cm="1">
        <f t="array" ref="R481">(VLOOKUP($A481,'The List'!$B1:$AH671,30,FALSE)-AVERAGE('The List'!AE2:AE671))/STDEV('The List'!AE2:AE671)</f>
        <v>-0.44622671917945173</v>
      </c>
      <c r="S481" s="55" cm="1">
        <f t="array" ref="S481">(VLOOKUP($A481,'The List'!$B1:$AH671,31,FALSE)-AVERAGE('The List'!AF2:AF671))/STDEV('The List'!AF2:AF671)</f>
        <v>-0.55427976597910567</v>
      </c>
      <c r="T481" s="55" cm="1">
        <f t="array" ref="T481">(VLOOKUP($A481,'The List'!$B1:$AH671,32,FALSE)-AVERAGE('The List'!AG2:AG671))/STDEV('The List'!AG2:AG671)</f>
        <v>-0.59172630090757561</v>
      </c>
      <c r="U481" s="55" cm="1">
        <f t="array" ref="U481">(VLOOKUP($A481,'The List'!$B1:$AH671,33,FALSE)-AVERAGE('The List'!AH2:AH671))/STDEV('The List'!AH2:AH671)</f>
        <v>0.76870321356193128</v>
      </c>
      <c r="V481" s="55"/>
      <c r="W481" s="77"/>
      <c r="X481" s="57"/>
      <c r="Y481" s="57"/>
      <c r="Z481" s="57"/>
      <c r="AA481" s="57"/>
      <c r="AB481" s="57"/>
      <c r="AC481" s="60"/>
      <c r="AD481" s="61"/>
      <c r="AE481" s="55"/>
    </row>
    <row r="482" spans="1:31" ht="21.25" customHeight="1" x14ac:dyDescent="0.15">
      <c r="A482" s="10" t="s">
        <v>737</v>
      </c>
      <c r="B482" s="18" t="str" cm="1">
        <f t="array" ref="B482">VLOOKUP(A482,'Player Data'!A1:B673,2,FALSE)</f>
        <v>COL</v>
      </c>
      <c r="C482" s="52" cm="1">
        <f t="array" ref="C482">((E482)*Settings!$C$12)+(F482*Settings!$C$2)+(G482*Settings!$C$3)+(H482*Settings!$C$4)+(I482*Settings!$C$5)+(K482*Settings!$C$9)+(N482*Settings!$C$6)+(J482*Settings!$C$8)+(O482*Settings!$C$7)+(P482*Settings!$C$14)+(Q482*Settings!$C$15)+(R482*Settings!$C$16)+(S482*Settings!$C$17)+(T482*Settings!$C$18)+(U482*Settings!$C$19)+(L482*Settings!$C$10)+(Settings!$C$11*M482)</f>
        <v>-2.831584267157591</v>
      </c>
      <c r="D482" s="57" cm="1">
        <f t="array" ref="D482">IF(Settings!$E$12="YES",VLOOKUP(A482,'Player Data'!A1:E673,5,FALSE),82)</f>
        <v>75</v>
      </c>
      <c r="E482" s="55" cm="1">
        <f t="array" ref="E482">(VLOOKUP($A482,'The List'!$B1:$AH671,17,FALSE)-AVERAGE('The List'!R2:R671))/STDEV('The List'!R2:R671)</f>
        <v>-1.525228386210524</v>
      </c>
      <c r="F482" s="55" cm="1">
        <f t="array" ref="F482">(VLOOKUP($A482,'The List'!$B1:$AH671,18,FALSE)-AVERAGE('The List'!S2:S671))/STDEV('The List'!S2:S671)</f>
        <v>-0.77372959320798751</v>
      </c>
      <c r="G482" s="55" cm="1">
        <f t="array" ref="G482">(VLOOKUP($A482,'The List'!$B1:$AH671,19,FALSE)-AVERAGE('The List'!T2:T671))/STDEV('The List'!T2:T671)</f>
        <v>-0.8190412753827695</v>
      </c>
      <c r="H482" s="55" cm="1">
        <f t="array" ref="H482">(VLOOKUP($A482,'The List'!$B1:$AH671,20,FALSE)-AVERAGE('The List'!U2:U671))/STDEV('The List'!U2:U671)</f>
        <v>-0.85798810705159678</v>
      </c>
      <c r="I482" s="55" cm="1">
        <f t="array" ref="I482">(VLOOKUP($A482,'The List'!$B1:$AH671,21,FALSE)-AVERAGE('The List'!V2:V671))/STDEV('The List'!V2:V671)</f>
        <v>-0.9531006915364022</v>
      </c>
      <c r="J482" s="55" cm="1">
        <f t="array" ref="J482">(VLOOKUP($A482,'The List'!$B1:$AH671,22,FALSE)-AVERAGE('The List'!W2:W671))/STDEV('The List'!W2:W671)</f>
        <v>-0.73853908386105271</v>
      </c>
      <c r="K482" s="55" cm="1">
        <f t="array" ref="K482">(VLOOKUP($A482,'The List'!$B1:$AH671,23,FALSE)-AVERAGE('The List'!X2:X671))/STDEV('The List'!X2:X671)</f>
        <v>-0.72618275093045637</v>
      </c>
      <c r="L482" s="55" cm="1">
        <f t="array" ref="L482">(VLOOKUP($A482,'The List'!$B1:$AH671,24,FALSE)-AVERAGE('The List'!Y2:Y671))/STDEV('The List'!Y2:Y671)</f>
        <v>-0.47546929358800777</v>
      </c>
      <c r="M482" s="55" cm="1">
        <f t="array" ref="M482">(VLOOKUP($A482,'The List'!$B1:$AH671,25,FALSE)-AVERAGE('The List'!Z2:Z671))/STDEV('The List'!Z2:Z671)</f>
        <v>-0.64388478613809508</v>
      </c>
      <c r="N482" s="55" cm="1">
        <f t="array" ref="N482">(VLOOKUP($A482,'The List'!$B1:$AH671,26,FALSE)-AVERAGE('The List'!AA2:AA671))/STDEV('The List'!AA2:AA671)</f>
        <v>-0.85673992726652082</v>
      </c>
      <c r="O482" s="55" cm="1">
        <f t="array" ref="O482">(VLOOKUP($A482,'The List'!$B1:$AH671,27,FALSE)-AVERAGE('The List'!AB2:AB671))/STDEV('The List'!AB2:AB671)</f>
        <v>-0.43124925931929758</v>
      </c>
      <c r="P482" s="55" cm="1">
        <f t="array" ref="P482">(VLOOKUP($A482,'The List'!$B1:$AH671,28,FALSE)-AVERAGE('The List'!AC2:AC671))/STDEV('The List'!AC2:AC671)</f>
        <v>0.87171930321932178</v>
      </c>
      <c r="Q482" s="55" cm="1">
        <f t="array" ref="Q482">(VLOOKUP($A482,'The List'!$B1:$AH671,29,FALSE)-AVERAGE('The List'!AD2:AD671))/STDEV('The List'!AD2:AD671)</f>
        <v>-0.87765274045783426</v>
      </c>
      <c r="R482" s="55" cm="1">
        <f t="array" ref="R482">(VLOOKUP($A482,'The List'!$B1:$AH671,30,FALSE)-AVERAGE('The List'!AE2:AE671))/STDEV('The List'!AE2:AE671)</f>
        <v>-0.87664795948975927</v>
      </c>
      <c r="S482" s="55" cm="1">
        <f t="array" ref="S482">(VLOOKUP($A482,'The List'!$B1:$AH671,31,FALSE)-AVERAGE('The List'!AF2:AF671))/STDEV('The List'!AF2:AF671)</f>
        <v>0.40298623350482249</v>
      </c>
      <c r="T482" s="55" cm="1">
        <f t="array" ref="T482">(VLOOKUP($A482,'The List'!$B1:$AH671,32,FALSE)-AVERAGE('The List'!AG2:AG671))/STDEV('The List'!AG2:AG671)</f>
        <v>0.9262725701043294</v>
      </c>
      <c r="U482" s="55" cm="1">
        <f t="array" ref="U482">(VLOOKUP($A482,'The List'!$B1:$AH671,33,FALSE)-AVERAGE('The List'!AH2:AH671))/STDEV('The List'!AH2:AH671)</f>
        <v>0.58470631520366922</v>
      </c>
      <c r="V482" s="55"/>
      <c r="W482" s="77"/>
      <c r="X482" s="57"/>
      <c r="Y482" s="57"/>
      <c r="Z482" s="57"/>
      <c r="AA482" s="57"/>
      <c r="AB482" s="57"/>
      <c r="AC482" s="60"/>
      <c r="AD482" s="61"/>
      <c r="AE482" s="55"/>
    </row>
    <row r="483" spans="1:31" ht="21.25" customHeight="1" x14ac:dyDescent="0.15">
      <c r="A483" s="10" t="s">
        <v>554</v>
      </c>
      <c r="B483" s="18" t="str" cm="1">
        <f t="array" ref="B483">VLOOKUP(A483,'Player Data'!A1:B673,2,FALSE)</f>
        <v>STL</v>
      </c>
      <c r="C483" s="52" cm="1">
        <f t="array" ref="C483">((E483)*Settings!$C$12)+(F483*Settings!$C$2)+(G483*Settings!$C$3)+(H483*Settings!$C$4)+(I483*Settings!$C$5)+(K483*Settings!$C$9)+(N483*Settings!$C$6)+(J483*Settings!$C$8)+(O483*Settings!$C$7)+(P483*Settings!$C$14)+(Q483*Settings!$C$15)+(R483*Settings!$C$16)+(S483*Settings!$C$17)+(T483*Settings!$C$18)+(U483*Settings!$C$19)+(L483*Settings!$C$10)+(Settings!$C$11*M483)</f>
        <v>-3.5042815135397039</v>
      </c>
      <c r="D483" s="57" cm="1">
        <f t="array" ref="D483">IF(Settings!$E$12="YES",VLOOKUP(A483,'Player Data'!A1:E673,5,FALSE),82)</f>
        <v>63</v>
      </c>
      <c r="E483" s="55" cm="1">
        <f t="array" ref="E483">(VLOOKUP($A483,'The List'!$B1:$AH671,17,FALSE)-AVERAGE('The List'!R2:R671))/STDEV('The List'!R2:R671)</f>
        <v>-0.10869443671844968</v>
      </c>
      <c r="F483" s="55" cm="1">
        <f t="array" ref="F483">(VLOOKUP($A483,'The List'!$B1:$AH671,18,FALSE)-AVERAGE('The List'!S2:S671))/STDEV('The List'!S2:S671)</f>
        <v>-0.74379141420933559</v>
      </c>
      <c r="G483" s="55" cm="1">
        <f t="array" ref="G483">(VLOOKUP($A483,'The List'!$B1:$AH671,19,FALSE)-AVERAGE('The List'!T2:T671))/STDEV('The List'!T2:T671)</f>
        <v>-0.68833261483169739</v>
      </c>
      <c r="H483" s="55" cm="1">
        <f t="array" ref="H483">(VLOOKUP($A483,'The List'!$B1:$AH671,20,FALSE)-AVERAGE('The List'!U2:U671))/STDEV('The List'!U2:U671)</f>
        <v>-0.7625005310022831</v>
      </c>
      <c r="I483" s="55" cm="1">
        <f t="array" ref="I483">(VLOOKUP($A483,'The List'!$B1:$AH671,21,FALSE)-AVERAGE('The List'!V2:V671))/STDEV('The List'!V2:V671)</f>
        <v>-0.64936650093550441</v>
      </c>
      <c r="J483" s="55" cm="1">
        <f t="array" ref="J483">(VLOOKUP($A483,'The List'!$B1:$AH671,22,FALSE)-AVERAGE('The List'!W2:W671))/STDEV('The List'!W2:W671)</f>
        <v>-0.56453504451291336</v>
      </c>
      <c r="K483" s="55" cm="1">
        <f t="array" ref="K483">(VLOOKUP($A483,'The List'!$B1:$AH671,23,FALSE)-AVERAGE('The List'!X2:X671))/STDEV('The List'!X2:X671)</f>
        <v>-0.48499794748092789</v>
      </c>
      <c r="L483" s="55" cm="1">
        <f t="array" ref="L483">(VLOOKUP($A483,'The List'!$B1:$AH671,24,FALSE)-AVERAGE('The List'!Y2:Y671))/STDEV('The List'!Y2:Y671)</f>
        <v>-0.47546929358800777</v>
      </c>
      <c r="M483" s="55" cm="1">
        <f t="array" ref="M483">(VLOOKUP($A483,'The List'!$B1:$AH671,25,FALSE)-AVERAGE('The List'!Z2:Z671))/STDEV('The List'!Z2:Z671)</f>
        <v>-0.64388478613809508</v>
      </c>
      <c r="N483" s="55" cm="1">
        <f t="array" ref="N483">(VLOOKUP($A483,'The List'!$B1:$AH671,26,FALSE)-AVERAGE('The List'!AA2:AA671))/STDEV('The List'!AA2:AA671)</f>
        <v>0.13092903532027042</v>
      </c>
      <c r="O483" s="55" cm="1">
        <f t="array" ref="O483">(VLOOKUP($A483,'The List'!$B1:$AH671,27,FALSE)-AVERAGE('The List'!AB2:AB671))/STDEV('The List'!AB2:AB671)</f>
        <v>-1.24599213165567E-2</v>
      </c>
      <c r="P483" s="55" cm="1">
        <f t="array" ref="P483">(VLOOKUP($A483,'The List'!$B1:$AH671,28,FALSE)-AVERAGE('The List'!AC2:AC671))/STDEV('The List'!AC2:AC671)</f>
        <v>-0.92533311476568203</v>
      </c>
      <c r="Q483" s="55" cm="1">
        <f t="array" ref="Q483">(VLOOKUP($A483,'The List'!$B1:$AH671,29,FALSE)-AVERAGE('The List'!AD2:AD671))/STDEV('The List'!AD2:AD671)</f>
        <v>0.372471233439432</v>
      </c>
      <c r="R483" s="55" cm="1">
        <f t="array" ref="R483">(VLOOKUP($A483,'The List'!$B1:$AH671,30,FALSE)-AVERAGE('The List'!AE2:AE671))/STDEV('The List'!AE2:AE671)</f>
        <v>-0.95150382736981287</v>
      </c>
      <c r="S483" s="55" cm="1">
        <f t="array" ref="S483">(VLOOKUP($A483,'The List'!$B1:$AH671,31,FALSE)-AVERAGE('The List'!AF2:AF671))/STDEV('The List'!AF2:AF671)</f>
        <v>-0.59581850454342256</v>
      </c>
      <c r="T483" s="55" cm="1">
        <f t="array" ref="T483">(VLOOKUP($A483,'The List'!$B1:$AH671,32,FALSE)-AVERAGE('The List'!AG2:AG671))/STDEV('The List'!AG2:AG671)</f>
        <v>-0.64684275008198677</v>
      </c>
      <c r="U483" s="55" cm="1">
        <f t="array" ref="U483">(VLOOKUP($A483,'The List'!$B1:$AH671,33,FALSE)-AVERAGE('The List'!AH2:AH671))/STDEV('The List'!AH2:AH671)</f>
        <v>-1.2552626683789523</v>
      </c>
      <c r="V483" s="55"/>
      <c r="W483" s="77"/>
      <c r="X483" s="57"/>
      <c r="Y483" s="57"/>
      <c r="Z483" s="57"/>
      <c r="AA483" s="57"/>
      <c r="AB483" s="57"/>
      <c r="AC483" s="60"/>
      <c r="AD483" s="61"/>
      <c r="AE483" s="55"/>
    </row>
    <row r="484" spans="1:31" ht="21.25" customHeight="1" x14ac:dyDescent="0.15">
      <c r="A484" s="10" t="s">
        <v>417</v>
      </c>
      <c r="B484" s="18" t="str" cm="1">
        <f t="array" ref="B484">VLOOKUP(A484,'Player Data'!A1:B673,2,FALSE)</f>
        <v>BOS</v>
      </c>
      <c r="C484" s="52" cm="1">
        <f t="array" ref="C484">((E484)*Settings!$C$12)+(F484*Settings!$C$2)+(G484*Settings!$C$3)+(H484*Settings!$C$4)+(I484*Settings!$C$5)+(K484*Settings!$C$9)+(N484*Settings!$C$6)+(J484*Settings!$C$8)+(O484*Settings!$C$7)+(P484*Settings!$C$14)+(Q484*Settings!$C$15)+(R484*Settings!$C$16)+(S484*Settings!$C$17)+(T484*Settings!$C$18)+(U484*Settings!$C$19)+(L484*Settings!$C$10)+(Settings!$C$11*M484)</f>
        <v>-2.8639861159048223</v>
      </c>
      <c r="D484" s="57" cm="1">
        <f t="array" ref="D484">IF(Settings!$E$12="YES",VLOOKUP(A484,'Player Data'!A1:E673,5,FALSE),82)</f>
        <v>83</v>
      </c>
      <c r="E484" s="55" cm="1">
        <f t="array" ref="E484">(VLOOKUP($A484,'The List'!$B1:$AH671,17,FALSE)-AVERAGE('The List'!R2:R671))/STDEV('The List'!R2:R671)</f>
        <v>0.59957253802758848</v>
      </c>
      <c r="F484" s="55" cm="1">
        <f t="array" ref="F484">(VLOOKUP($A484,'The List'!$B1:$AH671,18,FALSE)-AVERAGE('The List'!S2:S671))/STDEV('The List'!S2:S671)</f>
        <v>-0.8755194018034036</v>
      </c>
      <c r="G484" s="55" cm="1">
        <f t="array" ref="G484">(VLOOKUP($A484,'The List'!$B1:$AH671,19,FALSE)-AVERAGE('The List'!T2:T671))/STDEV('The List'!T2:T671)</f>
        <v>-0.61243726354397809</v>
      </c>
      <c r="H484" s="55" cm="1">
        <f t="array" ref="H484">(VLOOKUP($A484,'The List'!$B1:$AH671,20,FALSE)-AVERAGE('The List'!U2:U671))/STDEV('The List'!U2:U671)</f>
        <v>-0.7731102616744292</v>
      </c>
      <c r="I484" s="55" cm="1">
        <f t="array" ref="I484">(VLOOKUP($A484,'The List'!$B1:$AH671,21,FALSE)-AVERAGE('The List'!V2:V671))/STDEV('The List'!V2:V671)</f>
        <v>-0.67839229389395184</v>
      </c>
      <c r="J484" s="55" cm="1">
        <f t="array" ref="J484">(VLOOKUP($A484,'The List'!$B1:$AH671,22,FALSE)-AVERAGE('The List'!W2:W671))/STDEV('The List'!W2:W671)</f>
        <v>-0.73853908386105271</v>
      </c>
      <c r="K484" s="55" cm="1">
        <f t="array" ref="K484">(VLOOKUP($A484,'The List'!$B1:$AH671,23,FALSE)-AVERAGE('The List'!X2:X671))/STDEV('The List'!X2:X671)</f>
        <v>-0.80155300200843405</v>
      </c>
      <c r="L484" s="55" cm="1">
        <f t="array" ref="L484">(VLOOKUP($A484,'The List'!$B1:$AH671,24,FALSE)-AVERAGE('The List'!Y2:Y671))/STDEV('The List'!Y2:Y671)</f>
        <v>-0.47546929358800777</v>
      </c>
      <c r="M484" s="55" cm="1">
        <f t="array" ref="M484">(VLOOKUP($A484,'The List'!$B1:$AH671,25,FALSE)-AVERAGE('The List'!Z2:Z671))/STDEV('The List'!Z2:Z671)</f>
        <v>-0.64388478613809508</v>
      </c>
      <c r="N484" s="55" cm="1">
        <f t="array" ref="N484">(VLOOKUP($A484,'The List'!$B1:$AH671,26,FALSE)-AVERAGE('The List'!AA2:AA671))/STDEV('The List'!AA2:AA671)</f>
        <v>1.450885900758216</v>
      </c>
      <c r="O484" s="55" cm="1">
        <f t="array" ref="O484">(VLOOKUP($A484,'The List'!$B1:$AH671,27,FALSE)-AVERAGE('The List'!AB2:AB671))/STDEV('The List'!AB2:AB671)</f>
        <v>0.74927340223615235</v>
      </c>
      <c r="P484" s="55" cm="1">
        <f t="array" ref="P484">(VLOOKUP($A484,'The List'!$B1:$AH671,28,FALSE)-AVERAGE('The List'!AC2:AC671))/STDEV('The List'!AC2:AC671)</f>
        <v>-0.64535755689120688</v>
      </c>
      <c r="Q484" s="55" cm="1">
        <f t="array" ref="Q484">(VLOOKUP($A484,'The List'!$B1:$AH671,29,FALSE)-AVERAGE('The List'!AD2:AD671))/STDEV('The List'!AD2:AD671)</f>
        <v>0.99901090830047434</v>
      </c>
      <c r="R484" s="55" cm="1">
        <f t="array" ref="R484">(VLOOKUP($A484,'The List'!$B1:$AH671,30,FALSE)-AVERAGE('The List'!AE2:AE671))/STDEV('The List'!AE2:AE671)</f>
        <v>-0.82674404756972364</v>
      </c>
      <c r="S484" s="55" cm="1">
        <f t="array" ref="S484">(VLOOKUP($A484,'The List'!$B1:$AH671,31,FALSE)-AVERAGE('The List'!AF2:AF671))/STDEV('The List'!AF2:AF671)</f>
        <v>-0.59581850454342256</v>
      </c>
      <c r="T484" s="55" cm="1">
        <f t="array" ref="T484">(VLOOKUP($A484,'The List'!$B1:$AH671,32,FALSE)-AVERAGE('The List'!AG2:AG671))/STDEV('The List'!AG2:AG671)</f>
        <v>-0.64684275008198677</v>
      </c>
      <c r="U484" s="55" cm="1">
        <f t="array" ref="U484">(VLOOKUP($A484,'The List'!$B1:$AH671,33,FALSE)-AVERAGE('The List'!AH2:AH671))/STDEV('The List'!AH2:AH671)</f>
        <v>-1.2552626683789523</v>
      </c>
      <c r="V484" s="55"/>
      <c r="W484" s="77"/>
      <c r="X484" s="57"/>
      <c r="Y484" s="57"/>
      <c r="Z484" s="57"/>
      <c r="AA484" s="57"/>
      <c r="AB484" s="57"/>
      <c r="AC484" s="60"/>
      <c r="AD484" s="61"/>
      <c r="AE484" s="55"/>
    </row>
    <row r="485" spans="1:31" ht="21.25" customHeight="1" x14ac:dyDescent="0.15">
      <c r="A485" s="10" t="s">
        <v>745</v>
      </c>
      <c r="B485" s="18" t="str" cm="1">
        <f t="array" ref="B485">VLOOKUP(A485,'Player Data'!A1:B673,2,FALSE)</f>
        <v>N.J</v>
      </c>
      <c r="C485" s="52" cm="1">
        <f t="array" ref="C485">((E485)*Settings!$C$12)+(F485*Settings!$C$2)+(G485*Settings!$C$3)+(H485*Settings!$C$4)+(I485*Settings!$C$5)+(K485*Settings!$C$9)+(N485*Settings!$C$6)+(J485*Settings!$C$8)+(O485*Settings!$C$7)+(P485*Settings!$C$14)+(Q485*Settings!$C$15)+(R485*Settings!$C$16)+(S485*Settings!$C$17)+(T485*Settings!$C$18)+(U485*Settings!$C$19)+(L485*Settings!$C$10)+(Settings!$C$11*M485)</f>
        <v>-3.2310887533119801</v>
      </c>
      <c r="D485" s="57" cm="1">
        <f t="array" ref="D485">IF(Settings!$E$12="YES",VLOOKUP(A485,'Player Data'!A1:E673,5,FALSE),82)</f>
        <v>76</v>
      </c>
      <c r="E485" s="55" cm="1">
        <f t="array" ref="E485">(VLOOKUP($A485,'The List'!$B1:$AH671,17,FALSE)-AVERAGE('The List'!R2:R671))/STDEV('The List'!R2:R671)</f>
        <v>-1.6301568269136408</v>
      </c>
      <c r="F485" s="55" cm="1">
        <f t="array" ref="F485">(VLOOKUP($A485,'The List'!$B1:$AH671,18,FALSE)-AVERAGE('The List'!S2:S671))/STDEV('The List'!S2:S671)</f>
        <v>-0.61405930521517782</v>
      </c>
      <c r="G485" s="55" cm="1">
        <f t="array" ref="G485">(VLOOKUP($A485,'The List'!$B1:$AH671,19,FALSE)-AVERAGE('The List'!T2:T671))/STDEV('The List'!T2:T671)</f>
        <v>-1.0214288788166876</v>
      </c>
      <c r="H485" s="55" cm="1">
        <f t="array" ref="H485">(VLOOKUP($A485,'The List'!$B1:$AH671,20,FALSE)-AVERAGE('The List'!U2:U671))/STDEV('The List'!U2:U671)</f>
        <v>-0.91457333730304191</v>
      </c>
      <c r="I485" s="55" cm="1">
        <f t="array" ref="I485">(VLOOKUP($A485,'The List'!$B1:$AH671,21,FALSE)-AVERAGE('The List'!V2:V671))/STDEV('The List'!V2:V671)</f>
        <v>-0.80538013808716014</v>
      </c>
      <c r="J485" s="55" cm="1">
        <f t="array" ref="J485">(VLOOKUP($A485,'The List'!$B1:$AH671,22,FALSE)-AVERAGE('The List'!W2:W671))/STDEV('The List'!W2:W671)</f>
        <v>-0.73853908386105271</v>
      </c>
      <c r="K485" s="55" cm="1">
        <f t="array" ref="K485">(VLOOKUP($A485,'The List'!$B1:$AH671,23,FALSE)-AVERAGE('The List'!X2:X671))/STDEV('The List'!X2:X671)</f>
        <v>-0.80155300200843405</v>
      </c>
      <c r="L485" s="55" cm="1">
        <f t="array" ref="L485">(VLOOKUP($A485,'The List'!$B1:$AH671,24,FALSE)-AVERAGE('The List'!Y2:Y671))/STDEV('The List'!Y2:Y671)</f>
        <v>-0.47546929358800777</v>
      </c>
      <c r="M485" s="55" cm="1">
        <f t="array" ref="M485">(VLOOKUP($A485,'The List'!$B1:$AH671,25,FALSE)-AVERAGE('The List'!Z2:Z671))/STDEV('The List'!Z2:Z671)</f>
        <v>-0.64388478613809508</v>
      </c>
      <c r="N485" s="55" cm="1">
        <f t="array" ref="N485">(VLOOKUP($A485,'The List'!$B1:$AH671,26,FALSE)-AVERAGE('The List'!AA2:AA671))/STDEV('The List'!AA2:AA671)</f>
        <v>-1.0018125858518059</v>
      </c>
      <c r="O485" s="55" cm="1">
        <f t="array" ref="O485">(VLOOKUP($A485,'The List'!$B1:$AH671,27,FALSE)-AVERAGE('The List'!AB2:AB671))/STDEV('The List'!AB2:AB671)</f>
        <v>0.11627219041409462</v>
      </c>
      <c r="P485" s="55" cm="1">
        <f t="array" ref="P485">(VLOOKUP($A485,'The List'!$B1:$AH671,28,FALSE)-AVERAGE('The List'!AC2:AC671))/STDEV('The List'!AC2:AC671)</f>
        <v>-0.1049396195986151</v>
      </c>
      <c r="Q485" s="55" cm="1">
        <f t="array" ref="Q485">(VLOOKUP($A485,'The List'!$B1:$AH671,29,FALSE)-AVERAGE('The List'!AD2:AD671))/STDEV('The List'!AD2:AD671)</f>
        <v>-7.1573984239206898E-2</v>
      </c>
      <c r="R485" s="55" cm="1">
        <f t="array" ref="R485">(VLOOKUP($A485,'The List'!$B1:$AH671,30,FALSE)-AVERAGE('The List'!AE2:AE671))/STDEV('The List'!AE2:AE671)</f>
        <v>-0.39632280725941599</v>
      </c>
      <c r="S485" s="55" cm="1">
        <f t="array" ref="S485">(VLOOKUP($A485,'The List'!$B1:$AH671,31,FALSE)-AVERAGE('The List'!AF2:AF671))/STDEV('The List'!AF2:AF671)</f>
        <v>-0.44600981314711302</v>
      </c>
      <c r="T485" s="55" cm="1">
        <f t="array" ref="T485">(VLOOKUP($A485,'The List'!$B1:$AH671,32,FALSE)-AVERAGE('The List'!AG2:AG671))/STDEV('The List'!AG2:AG671)</f>
        <v>-0.47230732769635164</v>
      </c>
      <c r="U485" s="55" cm="1">
        <f t="array" ref="U485">(VLOOKUP($A485,'The List'!$B1:$AH671,33,FALSE)-AVERAGE('The List'!AH2:AH671))/STDEV('The List'!AH2:AH671)</f>
        <v>0.90670088733062781</v>
      </c>
      <c r="V485" s="55"/>
      <c r="W485" s="77"/>
      <c r="X485" s="57"/>
      <c r="Y485" s="57"/>
      <c r="Z485" s="57"/>
      <c r="AA485" s="57"/>
      <c r="AB485" s="57"/>
      <c r="AC485" s="60"/>
      <c r="AD485" s="61"/>
      <c r="AE485" s="55"/>
    </row>
    <row r="486" spans="1:31" ht="21.25" customHeight="1" x14ac:dyDescent="0.15">
      <c r="A486" s="10" t="s">
        <v>722</v>
      </c>
      <c r="B486" s="18" t="str" cm="1">
        <f t="array" ref="B486">VLOOKUP(A486,'Player Data'!A1:B673,2,FALSE)</f>
        <v>BOS</v>
      </c>
      <c r="C486" s="52" cm="1">
        <f t="array" ref="C486">((E486)*Settings!$C$12)+(F486*Settings!$C$2)+(G486*Settings!$C$3)+(H486*Settings!$C$4)+(I486*Settings!$C$5)+(K486*Settings!$C$9)+(N486*Settings!$C$6)+(J486*Settings!$C$8)+(O486*Settings!$C$7)+(P486*Settings!$C$14)+(Q486*Settings!$C$15)+(R486*Settings!$C$16)+(S486*Settings!$C$17)+(T486*Settings!$C$18)+(U486*Settings!$C$19)+(L486*Settings!$C$10)+(Settings!$C$11*M486)</f>
        <v>-1.1794715691308397</v>
      </c>
      <c r="D486" s="57" cm="1">
        <f t="array" ref="D486">IF(Settings!$E$12="YES",VLOOKUP(A486,'Player Data'!A1:E673,5,FALSE),82)</f>
        <v>78</v>
      </c>
      <c r="E486" s="55" cm="1">
        <f t="array" ref="E486">(VLOOKUP($A486,'The List'!$B1:$AH671,17,FALSE)-AVERAGE('The List'!R2:R671))/STDEV('The List'!R2:R671)</f>
        <v>-1.2629072844527325</v>
      </c>
      <c r="F486" s="55" cm="1">
        <f t="array" ref="F486">(VLOOKUP($A486,'The List'!$B1:$AH671,18,FALSE)-AVERAGE('The List'!S2:S671))/STDEV('The List'!S2:S671)</f>
        <v>-0.67193978461257142</v>
      </c>
      <c r="G486" s="55" cm="1">
        <f t="array" ref="G486">(VLOOKUP($A486,'The List'!$B1:$AH671,19,FALSE)-AVERAGE('The List'!T2:T671))/STDEV('The List'!T2:T671)</f>
        <v>-0.89493662667048868</v>
      </c>
      <c r="H486" s="55" cm="1">
        <f t="array" ref="H486">(VLOOKUP($A486,'The List'!$B1:$AH671,20,FALSE)-AVERAGE('The List'!U2:U671))/STDEV('The List'!U2:U671)</f>
        <v>-0.86064053971963317</v>
      </c>
      <c r="I486" s="55" cm="1">
        <f t="array" ref="I486">(VLOOKUP($A486,'The List'!$B1:$AH671,21,FALSE)-AVERAGE('The List'!V2:V671))/STDEV('The List'!V2:V671)</f>
        <v>-0.89038424603689947</v>
      </c>
      <c r="J486" s="55" cm="1">
        <f t="array" ref="J486">(VLOOKUP($A486,'The List'!$B1:$AH671,22,FALSE)-AVERAGE('The List'!W2:W671))/STDEV('The List'!W2:W671)</f>
        <v>-0.73853908386105271</v>
      </c>
      <c r="K486" s="55" cm="1">
        <f t="array" ref="K486">(VLOOKUP($A486,'The List'!$B1:$AH671,23,FALSE)-AVERAGE('The List'!X2:X671))/STDEV('The List'!X2:X671)</f>
        <v>-0.80155300200843405</v>
      </c>
      <c r="L486" s="55" cm="1">
        <f t="array" ref="L486">(VLOOKUP($A486,'The List'!$B1:$AH671,24,FALSE)-AVERAGE('The List'!Y2:Y671))/STDEV('The List'!Y2:Y671)</f>
        <v>-0.47546929358800777</v>
      </c>
      <c r="M486" s="55" cm="1">
        <f t="array" ref="M486">(VLOOKUP($A486,'The List'!$B1:$AH671,25,FALSE)-AVERAGE('The List'!Z2:Z671))/STDEV('The List'!Z2:Z671)</f>
        <v>-0.64388478613809508</v>
      </c>
      <c r="N486" s="55" cm="1">
        <f t="array" ref="N486">(VLOOKUP($A486,'The List'!$B1:$AH671,26,FALSE)-AVERAGE('The List'!AA2:AA671))/STDEV('The List'!AA2:AA671)</f>
        <v>-0.30812008458836515</v>
      </c>
      <c r="O486" s="55" cm="1">
        <f t="array" ref="O486">(VLOOKUP($A486,'The List'!$B1:$AH671,27,FALSE)-AVERAGE('The List'!AB2:AB671))/STDEV('The List'!AB2:AB671)</f>
        <v>2.6921443496614961</v>
      </c>
      <c r="P486" s="55" cm="1">
        <f t="array" ref="P486">(VLOOKUP($A486,'The List'!$B1:$AH671,28,FALSE)-AVERAGE('The List'!AC2:AC671))/STDEV('The List'!AC2:AC671)</f>
        <v>-0.61280225946394229</v>
      </c>
      <c r="Q486" s="55" cm="1">
        <f t="array" ref="Q486">(VLOOKUP($A486,'The List'!$B1:$AH671,29,FALSE)-AVERAGE('The List'!AD2:AD671))/STDEV('The List'!AD2:AD671)</f>
        <v>2.2365745349422719</v>
      </c>
      <c r="R486" s="55" cm="1">
        <f t="array" ref="R486">(VLOOKUP($A486,'The List'!$B1:$AH671,30,FALSE)-AVERAGE('The List'!AE2:AE671))/STDEV('The List'!AE2:AE671)</f>
        <v>-0.85793399251974589</v>
      </c>
      <c r="S486" s="55" cm="1">
        <f t="array" ref="S486">(VLOOKUP($A486,'The List'!$B1:$AH671,31,FALSE)-AVERAGE('The List'!AF2:AF671))/STDEV('The List'!AF2:AF671)</f>
        <v>-0.54331815441352205</v>
      </c>
      <c r="T486" s="55" cm="1">
        <f t="array" ref="T486">(VLOOKUP($A486,'The List'!$B1:$AH671,32,FALSE)-AVERAGE('The List'!AG2:AG671))/STDEV('The List'!AG2:AG671)</f>
        <v>-0.57121073371487818</v>
      </c>
      <c r="U486" s="55" cm="1">
        <f t="array" ref="U486">(VLOOKUP($A486,'The List'!$B1:$AH671,33,FALSE)-AVERAGE('The List'!AH2:AH671))/STDEV('The List'!AH2:AH671)</f>
        <v>0.72270398897236576</v>
      </c>
      <c r="V486" s="55"/>
      <c r="W486" s="77"/>
      <c r="X486" s="57"/>
      <c r="Y486" s="57"/>
      <c r="Z486" s="57"/>
      <c r="AA486" s="57"/>
      <c r="AB486" s="57"/>
      <c r="AC486" s="60"/>
      <c r="AD486" s="61"/>
      <c r="AE486" s="55"/>
    </row>
    <row r="487" spans="1:31" ht="21.25" customHeight="1" x14ac:dyDescent="0.15">
      <c r="A487" s="10" t="s">
        <v>733</v>
      </c>
      <c r="B487" s="18" t="str" cm="1">
        <f t="array" ref="B487">VLOOKUP(A487,'Player Data'!A1:B673,2,FALSE)</f>
        <v>DET</v>
      </c>
      <c r="C487" s="52" cm="1">
        <f t="array" ref="C487">((E487)*Settings!$C$12)+(F487*Settings!$C$2)+(G487*Settings!$C$3)+(H487*Settings!$C$4)+(I487*Settings!$C$5)+(K487*Settings!$C$9)+(N487*Settings!$C$6)+(J487*Settings!$C$8)+(O487*Settings!$C$7)+(P487*Settings!$C$14)+(Q487*Settings!$C$15)+(R487*Settings!$C$16)+(S487*Settings!$C$17)+(T487*Settings!$C$18)+(U487*Settings!$C$19)+(L487*Settings!$C$10)+(Settings!$C$11*M487)</f>
        <v>-3.4217523248872075</v>
      </c>
      <c r="D487" s="57" cm="1">
        <f t="array" ref="D487">IF(Settings!$E$12="YES",VLOOKUP(A487,'Player Data'!A1:E673,5,FALSE),82)</f>
        <v>80</v>
      </c>
      <c r="E487" s="55" cm="1">
        <f t="array" ref="E487">(VLOOKUP($A487,'The List'!$B1:$AH671,17,FALSE)-AVERAGE('The List'!R2:R671))/STDEV('The List'!R2:R671)</f>
        <v>-1.1055146233980575</v>
      </c>
      <c r="F487" s="55" cm="1">
        <f t="array" ref="F487">(VLOOKUP($A487,'The List'!$B1:$AH671,18,FALSE)-AVERAGE('The List'!S2:S671))/STDEV('The List'!S2:S671)</f>
        <v>-0.57414173321697548</v>
      </c>
      <c r="G487" s="55" cm="1">
        <f t="array" ref="G487">(VLOOKUP($A487,'The List'!$B1:$AH671,19,FALSE)-AVERAGE('The List'!T2:T671))/STDEV('The List'!T2:T671)</f>
        <v>-0.87526005411441332</v>
      </c>
      <c r="H487" s="55" cm="1">
        <f t="array" ref="H487">(VLOOKUP($A487,'The List'!$B1:$AH671,20,FALSE)-AVERAGE('The List'!U2:U671))/STDEV('The List'!U2:U671)</f>
        <v>-0.80493945369086684</v>
      </c>
      <c r="I487" s="55" cm="1">
        <f t="array" ref="I487">(VLOOKUP($A487,'The List'!$B1:$AH671,21,FALSE)-AVERAGE('The List'!V2:V671))/STDEV('The List'!V2:V671)</f>
        <v>-0.7604592680324197</v>
      </c>
      <c r="J487" s="55" cm="1">
        <f t="array" ref="J487">(VLOOKUP($A487,'The List'!$B1:$AH671,22,FALSE)-AVERAGE('The List'!W2:W671))/STDEV('The List'!W2:W671)</f>
        <v>-0.73853908386105271</v>
      </c>
      <c r="K487" s="55" cm="1">
        <f t="array" ref="K487">(VLOOKUP($A487,'The List'!$B1:$AH671,23,FALSE)-AVERAGE('The List'!X2:X671))/STDEV('The List'!X2:X671)</f>
        <v>-0.80155300200843405</v>
      </c>
      <c r="L487" s="55" cm="1">
        <f t="array" ref="L487">(VLOOKUP($A487,'The List'!$B1:$AH671,24,FALSE)-AVERAGE('The List'!Y2:Y671))/STDEV('The List'!Y2:Y671)</f>
        <v>-0.47546929358800777</v>
      </c>
      <c r="M487" s="55" cm="1">
        <f t="array" ref="M487">(VLOOKUP($A487,'The List'!$B1:$AH671,25,FALSE)-AVERAGE('The List'!Z2:Z671))/STDEV('The List'!Z2:Z671)</f>
        <v>0.22541077853858349</v>
      </c>
      <c r="N487" s="55" cm="1">
        <f t="array" ref="N487">(VLOOKUP($A487,'The List'!$B1:$AH671,26,FALSE)-AVERAGE('The List'!AA2:AA671))/STDEV('The List'!AA2:AA671)</f>
        <v>-0.72392692997013297</v>
      </c>
      <c r="O487" s="55" cm="1">
        <f t="array" ref="O487">(VLOOKUP($A487,'The List'!$B1:$AH671,27,FALSE)-AVERAGE('The List'!AB2:AB671))/STDEV('The List'!AB2:AB671)</f>
        <v>0.21548611091988351</v>
      </c>
      <c r="P487" s="55" cm="1">
        <f t="array" ref="P487">(VLOOKUP($A487,'The List'!$B1:$AH671,28,FALSE)-AVERAGE('The List'!AC2:AC671))/STDEV('The List'!AC2:AC671)</f>
        <v>-0.62582437843484817</v>
      </c>
      <c r="Q487" s="55" cm="1">
        <f t="array" ref="Q487">(VLOOKUP($A487,'The List'!$B1:$AH671,29,FALSE)-AVERAGE('The List'!AD2:AD671))/STDEV('The List'!AD2:AD671)</f>
        <v>-0.65969377337763713</v>
      </c>
      <c r="R487" s="55" cm="1">
        <f t="array" ref="R487">(VLOOKUP($A487,'The List'!$B1:$AH671,30,FALSE)-AVERAGE('The List'!AE2:AE671))/STDEV('The List'!AE2:AE671)</f>
        <v>-0.34641889533938031</v>
      </c>
      <c r="S487" s="55" cm="1">
        <f t="array" ref="S487">(VLOOKUP($A487,'The List'!$B1:$AH671,31,FALSE)-AVERAGE('The List'!AF2:AF671))/STDEV('The List'!AF2:AF671)</f>
        <v>-0.5496643505830705</v>
      </c>
      <c r="T487" s="55" cm="1">
        <f t="array" ref="T487">(VLOOKUP($A487,'The List'!$B1:$AH671,32,FALSE)-AVERAGE('The List'!AG2:AG671))/STDEV('The List'!AG2:AG671)</f>
        <v>-0.58151955106046249</v>
      </c>
      <c r="U487" s="55" cm="1">
        <f t="array" ref="U487">(VLOOKUP($A487,'The List'!$B1:$AH671,33,FALSE)-AVERAGE('The List'!AH2:AH671))/STDEV('The List'!AH2:AH671)</f>
        <v>0.63070553979323463</v>
      </c>
      <c r="V487" s="55"/>
      <c r="W487" s="77"/>
      <c r="X487" s="57"/>
      <c r="Y487" s="57"/>
      <c r="Z487" s="57"/>
      <c r="AA487" s="57"/>
      <c r="AB487" s="57"/>
      <c r="AC487" s="60"/>
      <c r="AD487" s="61"/>
      <c r="AE487" s="55"/>
    </row>
    <row r="488" spans="1:31" ht="21.25" customHeight="1" x14ac:dyDescent="0.15">
      <c r="A488" s="10" t="s">
        <v>751</v>
      </c>
      <c r="B488" s="18" t="str" cm="1">
        <f t="array" ref="B488">VLOOKUP(A488,'Player Data'!A1:B673,2,FALSE)</f>
        <v>OTT</v>
      </c>
      <c r="C488" s="52" cm="1">
        <f t="array" ref="C488">((E488)*Settings!$C$12)+(F488*Settings!$C$2)+(G488*Settings!$C$3)+(H488*Settings!$C$4)+(I488*Settings!$C$5)+(K488*Settings!$C$9)+(N488*Settings!$C$6)+(J488*Settings!$C$8)+(O488*Settings!$C$7)+(P488*Settings!$C$14)+(Q488*Settings!$C$15)+(R488*Settings!$C$16)+(S488*Settings!$C$17)+(T488*Settings!$C$18)+(U488*Settings!$C$19)+(L488*Settings!$C$10)+(Settings!$C$11*M488)</f>
        <v>-1.5589041044680725</v>
      </c>
      <c r="D488" s="57" cm="1">
        <f t="array" ref="D488">IF(Settings!$E$12="YES",VLOOKUP(A488,'Player Data'!A1:E673,5,FALSE),82)</f>
        <v>78</v>
      </c>
      <c r="E488" s="55" cm="1">
        <f t="array" ref="E488">(VLOOKUP($A488,'The List'!$B1:$AH671,17,FALSE)-AVERAGE('The List'!R2:R671))/STDEV('The List'!R2:R671)</f>
        <v>-1.551460496386303</v>
      </c>
      <c r="F488" s="55" cm="1">
        <f t="array" ref="F488">(VLOOKUP($A488,'The List'!$B1:$AH671,18,FALSE)-AVERAGE('The List'!S2:S671))/STDEV('The List'!S2:S671)</f>
        <v>-0.67193978461257142</v>
      </c>
      <c r="G488" s="55" cm="1">
        <f t="array" ref="G488">(VLOOKUP($A488,'The List'!$B1:$AH671,19,FALSE)-AVERAGE('The List'!T2:T671))/STDEV('The List'!T2:T671)</f>
        <v>-0.89493662667048868</v>
      </c>
      <c r="H488" s="55" cm="1">
        <f t="array" ref="H488">(VLOOKUP($A488,'The List'!$B1:$AH671,20,FALSE)-AVERAGE('The List'!U2:U671))/STDEV('The List'!U2:U671)</f>
        <v>-0.86064053971963317</v>
      </c>
      <c r="I488" s="55" cm="1">
        <f t="array" ref="I488">(VLOOKUP($A488,'The List'!$B1:$AH671,21,FALSE)-AVERAGE('The List'!V2:V671))/STDEV('The List'!V2:V671)</f>
        <v>-0.78257415790552265</v>
      </c>
      <c r="J488" s="55" cm="1">
        <f t="array" ref="J488">(VLOOKUP($A488,'The List'!$B1:$AH671,22,FALSE)-AVERAGE('The List'!W2:W671))/STDEV('The List'!W2:W671)</f>
        <v>-0.73853908386105271</v>
      </c>
      <c r="K488" s="55" cm="1">
        <f t="array" ref="K488">(VLOOKUP($A488,'The List'!$B1:$AH671,23,FALSE)-AVERAGE('The List'!X2:X671))/STDEV('The List'!X2:X671)</f>
        <v>-0.80155300200843405</v>
      </c>
      <c r="L488" s="55" cm="1">
        <f t="array" ref="L488">(VLOOKUP($A488,'The List'!$B1:$AH671,24,FALSE)-AVERAGE('The List'!Y2:Y671))/STDEV('The List'!Y2:Y671)</f>
        <v>-0.47546929358800777</v>
      </c>
      <c r="M488" s="55" cm="1">
        <f t="array" ref="M488">(VLOOKUP($A488,'The List'!$B1:$AH671,25,FALSE)-AVERAGE('The List'!Z2:Z671))/STDEV('The List'!Z2:Z671)</f>
        <v>-0.64388478613809508</v>
      </c>
      <c r="N488" s="55" cm="1">
        <f t="array" ref="N488">(VLOOKUP($A488,'The List'!$B1:$AH671,26,FALSE)-AVERAGE('The List'!AA2:AA671))/STDEV('The List'!AA2:AA671)</f>
        <v>-0.68663712688307044</v>
      </c>
      <c r="O488" s="55" cm="1">
        <f t="array" ref="O488">(VLOOKUP($A488,'The List'!$B1:$AH671,27,FALSE)-AVERAGE('The List'!AB2:AB671))/STDEV('The List'!AB2:AB671)</f>
        <v>1.1891764464622325</v>
      </c>
      <c r="P488" s="55" cm="1">
        <f t="array" ref="P488">(VLOOKUP($A488,'The List'!$B1:$AH671,28,FALSE)-AVERAGE('The List'!AC2:AC671))/STDEV('The List'!AC2:AC671)</f>
        <v>0.40292302026671206</v>
      </c>
      <c r="Q488" s="55" cm="1">
        <f t="array" ref="Q488">(VLOOKUP($A488,'The List'!$B1:$AH671,29,FALSE)-AVERAGE('The List'!AD2:AD671))/STDEV('The List'!AD2:AD671)</f>
        <v>0.91108847751219046</v>
      </c>
      <c r="R488" s="55" cm="1">
        <f t="array" ref="R488">(VLOOKUP($A488,'The List'!$B1:$AH671,30,FALSE)-AVERAGE('The List'!AE2:AE671))/STDEV('The List'!AE2:AE671)</f>
        <v>-0.37137085129939812</v>
      </c>
      <c r="S488" s="55" cm="1">
        <f t="array" ref="S488">(VLOOKUP($A488,'The List'!$B1:$AH671,31,FALSE)-AVERAGE('The List'!AF2:AF671))/STDEV('The List'!AF2:AF671)</f>
        <v>-0.54706817942280062</v>
      </c>
      <c r="T488" s="55" cm="1">
        <f t="array" ref="T488">(VLOOKUP($A488,'The List'!$B1:$AH671,32,FALSE)-AVERAGE('The List'!AG2:AG671))/STDEV('The List'!AG2:AG671)</f>
        <v>-0.57121073371487818</v>
      </c>
      <c r="U488" s="55" cm="1">
        <f t="array" ref="U488">(VLOOKUP($A488,'The List'!$B1:$AH671,33,FALSE)-AVERAGE('The List'!AH2:AH671))/STDEV('The List'!AH2:AH671)</f>
        <v>0.58470631520366922</v>
      </c>
      <c r="V488" s="55"/>
      <c r="W488" s="77"/>
      <c r="X488" s="57"/>
      <c r="Y488" s="57"/>
      <c r="Z488" s="57"/>
      <c r="AA488" s="57"/>
      <c r="AB488" s="57"/>
      <c r="AC488" s="60"/>
      <c r="AD488" s="61"/>
      <c r="AE488" s="55"/>
    </row>
    <row r="489" spans="1:31" ht="21.25" customHeight="1" x14ac:dyDescent="0.15">
      <c r="A489" s="10" t="s">
        <v>748</v>
      </c>
      <c r="B489" s="18" t="str" cm="1">
        <f t="array" ref="B489">VLOOKUP(A489,'Player Data'!A1:B673,2,FALSE)</f>
        <v>CBJ</v>
      </c>
      <c r="C489" s="52" cm="1">
        <f t="array" ref="C489">((E489)*Settings!$C$12)+(F489*Settings!$C$2)+(G489*Settings!$C$3)+(H489*Settings!$C$4)+(I489*Settings!$C$5)+(K489*Settings!$C$9)+(N489*Settings!$C$6)+(J489*Settings!$C$8)+(O489*Settings!$C$7)+(P489*Settings!$C$14)+(Q489*Settings!$C$15)+(R489*Settings!$C$16)+(S489*Settings!$C$17)+(T489*Settings!$C$18)+(U489*Settings!$C$19)+(L489*Settings!$C$10)+(Settings!$C$11*M489)</f>
        <v>-2.8992825348890658</v>
      </c>
      <c r="D489" s="57" cm="1">
        <f t="array" ref="D489">IF(Settings!$E$12="YES",VLOOKUP(A489,'Player Data'!A1:E673,5,FALSE),82)</f>
        <v>72</v>
      </c>
      <c r="E489" s="55" cm="1">
        <f t="array" ref="E489">(VLOOKUP($A489,'The List'!$B1:$AH671,17,FALSE)-AVERAGE('The List'!R2:R671))/STDEV('The List'!R2:R671)</f>
        <v>-1.3940678353316283</v>
      </c>
      <c r="F489" s="55" cm="1">
        <f t="array" ref="F489">(VLOOKUP($A489,'The List'!$B1:$AH671,18,FALSE)-AVERAGE('The List'!S2:S671))/STDEV('The List'!S2:S671)</f>
        <v>-0.58212524761661588</v>
      </c>
      <c r="G489" s="55" cm="1">
        <f t="array" ref="G489">(VLOOKUP($A489,'The List'!$B1:$AH671,19,FALSE)-AVERAGE('The List'!T2:T671))/STDEV('The List'!T2:T671)</f>
        <v>-1.0045632451971944</v>
      </c>
      <c r="H489" s="55" cm="1">
        <f t="array" ref="H489">(VLOOKUP($A489,'The List'!$B1:$AH671,20,FALSE)-AVERAGE('The List'!U2:U671))/STDEV('The List'!U2:U671)</f>
        <v>-0.88981729906803453</v>
      </c>
      <c r="I489" s="55" cm="1">
        <f t="array" ref="I489">(VLOOKUP($A489,'The List'!$B1:$AH671,21,FALSE)-AVERAGE('The List'!V2:V671))/STDEV('The List'!V2:V671)</f>
        <v>-0.46743697721380639</v>
      </c>
      <c r="J489" s="55" cm="1">
        <f t="array" ref="J489">(VLOOKUP($A489,'The List'!$B1:$AH671,22,FALSE)-AVERAGE('The List'!W2:W671))/STDEV('The List'!W2:W671)</f>
        <v>-0.73853908386105271</v>
      </c>
      <c r="K489" s="55" cm="1">
        <f t="array" ref="K489">(VLOOKUP($A489,'The List'!$B1:$AH671,23,FALSE)-AVERAGE('The List'!X2:X671))/STDEV('The List'!X2:X671)</f>
        <v>-0.80155300200843405</v>
      </c>
      <c r="L489" s="55" cm="1">
        <f t="array" ref="L489">(VLOOKUP($A489,'The List'!$B1:$AH671,24,FALSE)-AVERAGE('The List'!Y2:Y671))/STDEV('The List'!Y2:Y671)</f>
        <v>-0.47546929358800777</v>
      </c>
      <c r="M489" s="55" cm="1">
        <f t="array" ref="M489">(VLOOKUP($A489,'The List'!$B1:$AH671,25,FALSE)-AVERAGE('The List'!Z2:Z671))/STDEV('The List'!Z2:Z671)</f>
        <v>0.13848122207091557</v>
      </c>
      <c r="N489" s="55" cm="1">
        <f t="array" ref="N489">(VLOOKUP($A489,'The List'!$B1:$AH671,26,FALSE)-AVERAGE('The List'!AA2:AA671))/STDEV('The List'!AA2:AA671)</f>
        <v>-0.92416806435545606</v>
      </c>
      <c r="O489" s="55" cm="1">
        <f t="array" ref="O489">(VLOOKUP($A489,'The List'!$B1:$AH671,27,FALSE)-AVERAGE('The List'!AB2:AB671))/STDEV('The List'!AB2:AB671)</f>
        <v>6.1335556745600144E-2</v>
      </c>
      <c r="P489" s="55" cm="1">
        <f t="array" ref="P489">(VLOOKUP($A489,'The List'!$B1:$AH671,28,FALSE)-AVERAGE('The List'!AC2:AC671))/STDEV('The List'!AC2:AC671)</f>
        <v>-0.1049396195986151</v>
      </c>
      <c r="Q489" s="55" cm="1">
        <f t="array" ref="Q489">(VLOOKUP($A489,'The List'!$B1:$AH671,29,FALSE)-AVERAGE('The List'!AD2:AD671))/STDEV('The List'!AD2:AD671)</f>
        <v>0.44561678510363445</v>
      </c>
      <c r="R489" s="55" cm="1">
        <f t="array" ref="R489">(VLOOKUP($A489,'The List'!$B1:$AH671,30,FALSE)-AVERAGE('The List'!AE2:AE671))/STDEV('The List'!AE2:AE671)</f>
        <v>-0.44622671917945173</v>
      </c>
      <c r="S489" s="55" cm="1">
        <f t="array" ref="S489">(VLOOKUP($A489,'The List'!$B1:$AH671,31,FALSE)-AVERAGE('The List'!AF2:AF671))/STDEV('The List'!AF2:AF671)</f>
        <v>-0.56466445062018489</v>
      </c>
      <c r="T489" s="55" cm="1">
        <f t="array" ref="T489">(VLOOKUP($A489,'The List'!$B1:$AH671,32,FALSE)-AVERAGE('The List'!AG2:AG671))/STDEV('The List'!AG2:AG671)</f>
        <v>-0.56233086134788968</v>
      </c>
      <c r="U489" s="55" cm="1">
        <f t="array" ref="U489">(VLOOKUP($A489,'The List'!$B1:$AH671,33,FALSE)-AVERAGE('The List'!AH2:AH671))/STDEV('The List'!AH2:AH671)</f>
        <v>7.8714844718448196E-2</v>
      </c>
      <c r="V489" s="55"/>
      <c r="W489" s="77"/>
      <c r="X489" s="57"/>
      <c r="Y489" s="57"/>
      <c r="Z489" s="57"/>
      <c r="AA489" s="57"/>
      <c r="AB489" s="57"/>
      <c r="AC489" s="60"/>
      <c r="AD489" s="61"/>
      <c r="AE489" s="55"/>
    </row>
    <row r="490" spans="1:31" ht="21.25" customHeight="1" x14ac:dyDescent="0.15">
      <c r="A490" s="10" t="s">
        <v>373</v>
      </c>
      <c r="B490" s="18" t="str" cm="1">
        <f t="array" ref="B490">VLOOKUP(A490,'Player Data'!A1:B673,2,FALSE)</f>
        <v>SEA</v>
      </c>
      <c r="C490" s="52" cm="1">
        <f t="array" ref="C490">((E490)*Settings!$C$12)+(F490*Settings!$C$2)+(G490*Settings!$C$3)+(H490*Settings!$C$4)+(I490*Settings!$C$5)+(K490*Settings!$C$9)+(N490*Settings!$C$6)+(J490*Settings!$C$8)+(O490*Settings!$C$7)+(P490*Settings!$C$14)+(Q490*Settings!$C$15)+(R490*Settings!$C$16)+(S490*Settings!$C$17)+(T490*Settings!$C$18)+(U490*Settings!$C$19)+(L490*Settings!$C$10)+(Settings!$C$11*M490)</f>
        <v>-4.4535924606226764</v>
      </c>
      <c r="D490" s="57" cm="1">
        <f t="array" ref="D490">IF(Settings!$E$12="YES",VLOOKUP(A490,'Player Data'!A1:E673,5,FALSE),82)</f>
        <v>84</v>
      </c>
      <c r="E490" s="55" cm="1">
        <f t="array" ref="E490">(VLOOKUP($A490,'The List'!$B1:$AH671,17,FALSE)-AVERAGE('The List'!R2:R671))/STDEV('The List'!R2:R671)</f>
        <v>1.0192863008400543</v>
      </c>
      <c r="F490" s="55" cm="1">
        <f t="array" ref="F490">(VLOOKUP($A490,'The List'!$B1:$AH671,18,FALSE)-AVERAGE('The List'!S2:S671))/STDEV('The List'!S2:S671)</f>
        <v>-1.0371855683961235</v>
      </c>
      <c r="G490" s="55" cm="1">
        <f t="array" ref="G490">(VLOOKUP($A490,'The List'!$B1:$AH671,19,FALSE)-AVERAGE('The List'!T2:T671))/STDEV('The List'!T2:T671)</f>
        <v>-0.54075832066113205</v>
      </c>
      <c r="H490" s="55" cm="1">
        <f t="array" ref="H490">(VLOOKUP($A490,'The List'!$B1:$AH671,20,FALSE)-AVERAGE('The List'!U2:U671))/STDEV('The List'!U2:U671)</f>
        <v>-0.79963458835479395</v>
      </c>
      <c r="I490" s="55" cm="1">
        <f t="array" ref="I490">(VLOOKUP($A490,'The List'!$B1:$AH671,21,FALSE)-AVERAGE('The List'!V2:V671))/STDEV('The List'!V2:V671)</f>
        <v>-0.52963510498190824</v>
      </c>
      <c r="J490" s="55" cm="1">
        <f t="array" ref="J490">(VLOOKUP($A490,'The List'!$B1:$AH671,22,FALSE)-AVERAGE('The List'!W2:W671))/STDEV('The List'!W2:W671)</f>
        <v>-0.73853908386105271</v>
      </c>
      <c r="K490" s="55" cm="1">
        <f t="array" ref="K490">(VLOOKUP($A490,'The List'!$B1:$AH671,23,FALSE)-AVERAGE('The List'!X2:X671))/STDEV('The List'!X2:X671)</f>
        <v>-0.80155300200843405</v>
      </c>
      <c r="L490" s="55" cm="1">
        <f t="array" ref="L490">(VLOOKUP($A490,'The List'!$B1:$AH671,24,FALSE)-AVERAGE('The List'!Y2:Y671))/STDEV('The List'!Y2:Y671)</f>
        <v>-0.47546929358800777</v>
      </c>
      <c r="M490" s="55" cm="1">
        <f t="array" ref="M490">(VLOOKUP($A490,'The List'!$B1:$AH671,25,FALSE)-AVERAGE('The List'!Z2:Z671))/STDEV('The List'!Z2:Z671)</f>
        <v>-0.64388478613809508</v>
      </c>
      <c r="N490" s="55" cm="1">
        <f t="array" ref="N490">(VLOOKUP($A490,'The List'!$B1:$AH671,26,FALSE)-AVERAGE('The List'!AA2:AA671))/STDEV('The List'!AA2:AA671)</f>
        <v>2.3031877699467658</v>
      </c>
      <c r="O490" s="55" cm="1">
        <f t="array" ref="O490">(VLOOKUP($A490,'The List'!$B1:$AH671,27,FALSE)-AVERAGE('The List'!AB2:AB671))/STDEV('The List'!AB2:AB671)</f>
        <v>0.3835758109503522</v>
      </c>
      <c r="P490" s="55" cm="1">
        <f t="array" ref="P490">(VLOOKUP($A490,'The List'!$B1:$AH671,28,FALSE)-AVERAGE('The List'!AC2:AC671))/STDEV('The List'!AC2:AC671)</f>
        <v>-1.9280362755254306</v>
      </c>
      <c r="Q490" s="55" cm="1">
        <f t="array" ref="Q490">(VLOOKUP($A490,'The List'!$B1:$AH671,29,FALSE)-AVERAGE('The List'!AD2:AD671))/STDEV('The List'!AD2:AD671)</f>
        <v>0.54314418732256964</v>
      </c>
      <c r="R490" s="55" cm="1">
        <f t="array" ref="R490">(VLOOKUP($A490,'The List'!$B1:$AH671,30,FALSE)-AVERAGE('The List'!AE2:AE671))/STDEV('The List'!AE2:AE671)</f>
        <v>-0.82050605857971926</v>
      </c>
      <c r="S490" s="55" cm="1">
        <f t="array" ref="S490">(VLOOKUP($A490,'The List'!$B1:$AH671,31,FALSE)-AVERAGE('The List'!AF2:AF671))/STDEV('The List'!AF2:AF671)</f>
        <v>-0.59581850454342256</v>
      </c>
      <c r="T490" s="55" cm="1">
        <f t="array" ref="T490">(VLOOKUP($A490,'The List'!$B1:$AH671,32,FALSE)-AVERAGE('The List'!AG2:AG671))/STDEV('The List'!AG2:AG671)</f>
        <v>-0.64684275008198677</v>
      </c>
      <c r="U490" s="55" cm="1">
        <f t="array" ref="U490">(VLOOKUP($A490,'The List'!$B1:$AH671,33,FALSE)-AVERAGE('The List'!AH2:AH671))/STDEV('The List'!AH2:AH671)</f>
        <v>-1.2552626683789523</v>
      </c>
      <c r="V490" s="55"/>
      <c r="W490" s="77"/>
      <c r="X490" s="57"/>
      <c r="Y490" s="57"/>
      <c r="Z490" s="57"/>
      <c r="AA490" s="57"/>
      <c r="AB490" s="57"/>
      <c r="AC490" s="60"/>
      <c r="AD490" s="61"/>
      <c r="AE490" s="55"/>
    </row>
    <row r="491" spans="1:31" ht="21.25" customHeight="1" x14ac:dyDescent="0.15">
      <c r="A491" s="10" t="s">
        <v>763</v>
      </c>
      <c r="B491" s="18" t="str" cm="1">
        <f t="array" ref="B491">VLOOKUP(A491,'Player Data'!A1:B673,2,FALSE)</f>
        <v>CGY</v>
      </c>
      <c r="C491" s="52" cm="1">
        <f t="array" ref="C491">((E491)*Settings!$C$12)+(F491*Settings!$C$2)+(G491*Settings!$C$3)+(H491*Settings!$C$4)+(I491*Settings!$C$5)+(K491*Settings!$C$9)+(N491*Settings!$C$6)+(J491*Settings!$C$8)+(O491*Settings!$C$7)+(P491*Settings!$C$14)+(Q491*Settings!$C$15)+(R491*Settings!$C$16)+(S491*Settings!$C$17)+(T491*Settings!$C$18)+(U491*Settings!$C$19)+(L491*Settings!$C$10)+(Settings!$C$11*M491)</f>
        <v>-4.0634360510744019</v>
      </c>
      <c r="D491" s="57" cm="1">
        <f t="array" ref="D491">IF(Settings!$E$12="YES",VLOOKUP(A491,'Player Data'!A1:E673,5,FALSE),82)</f>
        <v>76</v>
      </c>
      <c r="E491" s="55" cm="1">
        <f t="array" ref="E491">(VLOOKUP($A491,'The List'!$B1:$AH671,17,FALSE)-AVERAGE('The List'!R2:R671))/STDEV('The List'!R2:R671)</f>
        <v>-1.6563889370894198</v>
      </c>
      <c r="F491" s="55" cm="1">
        <f t="array" ref="F491">(VLOOKUP($A491,'The List'!$B1:$AH671,18,FALSE)-AVERAGE('The List'!S2:S671))/STDEV('The List'!S2:S671)</f>
        <v>-0.765746078808347</v>
      </c>
      <c r="G491" s="55" cm="1">
        <f t="array" ref="G491">(VLOOKUP($A491,'The List'!$B1:$AH671,19,FALSE)-AVERAGE('The List'!T2:T671))/STDEV('The List'!T2:T671)</f>
        <v>-0.86120535943150234</v>
      </c>
      <c r="H491" s="55" cm="1">
        <f t="array" ref="H491">(VLOOKUP($A491,'The List'!$B1:$AH671,20,FALSE)-AVERAGE('The List'!U2:U671))/STDEV('The List'!U2:U671)</f>
        <v>-0.88097585684124624</v>
      </c>
      <c r="I491" s="55" cm="1">
        <f t="array" ref="I491">(VLOOKUP($A491,'The List'!$B1:$AH671,21,FALSE)-AVERAGE('The List'!V2:V671))/STDEV('The List'!V2:V671)</f>
        <v>-0.83164156981146975</v>
      </c>
      <c r="J491" s="55" cm="1">
        <f t="array" ref="J491">(VLOOKUP($A491,'The List'!$B1:$AH671,22,FALSE)-AVERAGE('The List'!W2:W671))/STDEV('The List'!W2:W671)</f>
        <v>-0.73853908386105271</v>
      </c>
      <c r="K491" s="55" cm="1">
        <f t="array" ref="K491">(VLOOKUP($A491,'The List'!$B1:$AH671,23,FALSE)-AVERAGE('The List'!X2:X671))/STDEV('The List'!X2:X671)</f>
        <v>-0.80155300200843405</v>
      </c>
      <c r="L491" s="55" cm="1">
        <f t="array" ref="L491">(VLOOKUP($A491,'The List'!$B1:$AH671,24,FALSE)-AVERAGE('The List'!Y2:Y671))/STDEV('The List'!Y2:Y671)</f>
        <v>-0.47546929358800777</v>
      </c>
      <c r="M491" s="55" cm="1">
        <f t="array" ref="M491">(VLOOKUP($A491,'The List'!$B1:$AH671,25,FALSE)-AVERAGE('The List'!Z2:Z671))/STDEV('The List'!Z2:Z671)</f>
        <v>-0.64388478613809508</v>
      </c>
      <c r="N491" s="55" cm="1">
        <f t="array" ref="N491">(VLOOKUP($A491,'The List'!$B1:$AH671,26,FALSE)-AVERAGE('The List'!AA2:AA671))/STDEV('The List'!AA2:AA671)</f>
        <v>-1.0018125858518059</v>
      </c>
      <c r="O491" s="55" cm="1">
        <f t="array" ref="O491">(VLOOKUP($A491,'The List'!$B1:$AH671,27,FALSE)-AVERAGE('The List'!AB2:AB671))/STDEV('The List'!AB2:AB671)</f>
        <v>0.78617114126723042</v>
      </c>
      <c r="P491" s="55" cm="1">
        <f t="array" ref="P491">(VLOOKUP($A491,'The List'!$B1:$AH671,28,FALSE)-AVERAGE('The List'!AC2:AC671))/STDEV('The List'!AC2:AC671)</f>
        <v>-1.5894611822818792</v>
      </c>
      <c r="Q491" s="55" cm="1">
        <f t="array" ref="Q491">(VLOOKUP($A491,'The List'!$B1:$AH671,29,FALSE)-AVERAGE('The List'!AD2:AD671))/STDEV('The List'!AD2:AD671)</f>
        <v>-0.85770395364032448</v>
      </c>
      <c r="R491" s="55" cm="1">
        <f t="array" ref="R491">(VLOOKUP($A491,'The List'!$B1:$AH671,30,FALSE)-AVERAGE('The List'!AE2:AE671))/STDEV('The List'!AE2:AE671)</f>
        <v>-0.87040997049975488</v>
      </c>
      <c r="S491" s="55" cm="1">
        <f t="array" ref="S491">(VLOOKUP($A491,'The List'!$B1:$AH671,31,FALSE)-AVERAGE('The List'!AF2:AF671))/STDEV('The List'!AF2:AF671)</f>
        <v>-0.53370270567178202</v>
      </c>
      <c r="T491" s="55" cm="1">
        <f t="array" ref="T491">(VLOOKUP($A491,'The List'!$B1:$AH671,32,FALSE)-AVERAGE('The List'!AG2:AG671))/STDEV('The List'!AG2:AG671)</f>
        <v>-0.56539288630202367</v>
      </c>
      <c r="U491" s="55" cm="1">
        <f t="array" ref="U491">(VLOOKUP($A491,'The List'!$B1:$AH671,33,FALSE)-AVERAGE('The List'!AH2:AH671))/STDEV('The List'!AH2:AH671)</f>
        <v>0.76870321356193128</v>
      </c>
      <c r="V491" s="55"/>
      <c r="W491" s="77"/>
      <c r="X491" s="57"/>
      <c r="Y491" s="57"/>
      <c r="Z491" s="57"/>
      <c r="AA491" s="57"/>
      <c r="AB491" s="57"/>
      <c r="AC491" s="60"/>
      <c r="AD491" s="61"/>
      <c r="AE491" s="55"/>
    </row>
    <row r="492" spans="1:31" ht="21.25" customHeight="1" x14ac:dyDescent="0.15">
      <c r="A492" s="10" t="s">
        <v>406</v>
      </c>
      <c r="B492" s="18" t="str" cm="1">
        <f t="array" ref="B492">VLOOKUP(A492,'Player Data'!A1:B673,2,FALSE)</f>
        <v>CGY</v>
      </c>
      <c r="C492" s="52" cm="1">
        <f t="array" ref="C492">((E492)*Settings!$C$12)+(F492*Settings!$C$2)+(G492*Settings!$C$3)+(H492*Settings!$C$4)+(I492*Settings!$C$5)+(K492*Settings!$C$9)+(N492*Settings!$C$6)+(J492*Settings!$C$8)+(O492*Settings!$C$7)+(P492*Settings!$C$14)+(Q492*Settings!$C$15)+(R492*Settings!$C$16)+(S492*Settings!$C$17)+(T492*Settings!$C$18)+(U492*Settings!$C$19)+(L492*Settings!$C$10)+(Settings!$C$11*M492)</f>
        <v>-4.459402862901106</v>
      </c>
      <c r="D492" s="57" cm="1">
        <f t="array" ref="D492">IF(Settings!$E$12="YES",VLOOKUP(A492,'Player Data'!A1:E673,5,FALSE),82)</f>
        <v>81</v>
      </c>
      <c r="E492" s="55" cm="1">
        <f t="array" ref="E492">(VLOOKUP($A492,'The List'!$B1:$AH671,17,FALSE)-AVERAGE('The List'!R2:R671))/STDEV('The List'!R2:R671)</f>
        <v>0.65203675837914654</v>
      </c>
      <c r="F492" s="55" cm="1">
        <f t="array" ref="F492">(VLOOKUP($A492,'The List'!$B1:$AH671,18,FALSE)-AVERAGE('The List'!S2:S671))/STDEV('The List'!S2:S671)</f>
        <v>-0.88749467340286448</v>
      </c>
      <c r="G492" s="55" cm="1">
        <f t="array" ref="G492">(VLOOKUP($A492,'The List'!$B1:$AH671,19,FALSE)-AVERAGE('The List'!T2:T671))/STDEV('The List'!T2:T671)</f>
        <v>-0.52389268704163905</v>
      </c>
      <c r="H492" s="55" cm="1">
        <f t="array" ref="H492">(VLOOKUP($A492,'The List'!$B1:$AH671,20,FALSE)-AVERAGE('The List'!U2:U671))/STDEV('The List'!U2:U671)</f>
        <v>-0.72271404098173586</v>
      </c>
      <c r="I492" s="55" cm="1">
        <f t="array" ref="I492">(VLOOKUP($A492,'The List'!$B1:$AH671,21,FALSE)-AVERAGE('The List'!V2:V671))/STDEV('The List'!V2:V671)</f>
        <v>-0.75665827133548014</v>
      </c>
      <c r="J492" s="55" cm="1">
        <f t="array" ref="J492">(VLOOKUP($A492,'The List'!$B1:$AH671,22,FALSE)-AVERAGE('The List'!W2:W671))/STDEV('The List'!W2:W671)</f>
        <v>-0.73853908386105271</v>
      </c>
      <c r="K492" s="55" cm="1">
        <f t="array" ref="K492">(VLOOKUP($A492,'The List'!$B1:$AH671,23,FALSE)-AVERAGE('The List'!X2:X671))/STDEV('The List'!X2:X671)</f>
        <v>-0.80155300200843405</v>
      </c>
      <c r="L492" s="55" cm="1">
        <f t="array" ref="L492">(VLOOKUP($A492,'The List'!$B1:$AH671,24,FALSE)-AVERAGE('The List'!Y2:Y671))/STDEV('The List'!Y2:Y671)</f>
        <v>-0.47546929358800777</v>
      </c>
      <c r="M492" s="55" cm="1">
        <f t="array" ref="M492">(VLOOKUP($A492,'The List'!$B1:$AH671,25,FALSE)-AVERAGE('The List'!Z2:Z671))/STDEV('The List'!Z2:Z671)</f>
        <v>-0.64388478613809508</v>
      </c>
      <c r="N492" s="55" cm="1">
        <f t="array" ref="N492">(VLOOKUP($A492,'The List'!$B1:$AH671,26,FALSE)-AVERAGE('The List'!AA2:AA671))/STDEV('The List'!AA2:AA671)</f>
        <v>2.2664087860800737</v>
      </c>
      <c r="O492" s="55" cm="1">
        <f t="array" ref="O492">(VLOOKUP($A492,'The List'!$B1:$AH671,27,FALSE)-AVERAGE('The List'!AB2:AB671))/STDEV('The List'!AB2:AB671)</f>
        <v>0.37312145155821347</v>
      </c>
      <c r="P492" s="55" cm="1">
        <f t="array" ref="P492">(VLOOKUP($A492,'The List'!$B1:$AH671,28,FALSE)-AVERAGE('The List'!AC2:AC671))/STDEV('The List'!AC2:AC671)</f>
        <v>-1.8629256806709014</v>
      </c>
      <c r="Q492" s="55" cm="1">
        <f t="array" ref="Q492">(VLOOKUP($A492,'The List'!$B1:$AH671,29,FALSE)-AVERAGE('The List'!AD2:AD671))/STDEV('The List'!AD2:AD671)</f>
        <v>2.1146652821686018</v>
      </c>
      <c r="R492" s="55" cm="1">
        <f t="array" ref="R492">(VLOOKUP($A492,'The List'!$B1:$AH671,30,FALSE)-AVERAGE('The List'!AE2:AE671))/STDEV('The List'!AE2:AE671)</f>
        <v>-0.83922002554973252</v>
      </c>
      <c r="S492" s="55" cm="1">
        <f t="array" ref="S492">(VLOOKUP($A492,'The List'!$B1:$AH671,31,FALSE)-AVERAGE('The List'!AF2:AF671))/STDEV('The List'!AF2:AF671)</f>
        <v>-0.59581850454342256</v>
      </c>
      <c r="T492" s="55" cm="1">
        <f t="array" ref="T492">(VLOOKUP($A492,'The List'!$B1:$AH671,32,FALSE)-AVERAGE('The List'!AG2:AG671))/STDEV('The List'!AG2:AG671)</f>
        <v>-0.64684275008198677</v>
      </c>
      <c r="U492" s="55" cm="1">
        <f t="array" ref="U492">(VLOOKUP($A492,'The List'!$B1:$AH671,33,FALSE)-AVERAGE('The List'!AH2:AH671))/STDEV('The List'!AH2:AH671)</f>
        <v>-1.2552626683789523</v>
      </c>
      <c r="V492" s="55"/>
      <c r="W492" s="77"/>
      <c r="X492" s="57"/>
      <c r="Y492" s="57"/>
      <c r="Z492" s="57"/>
      <c r="AA492" s="57"/>
      <c r="AB492" s="57"/>
      <c r="AC492" s="60"/>
      <c r="AD492" s="61"/>
      <c r="AE492" s="55"/>
    </row>
    <row r="493" spans="1:31" ht="21.25" customHeight="1" x14ac:dyDescent="0.15">
      <c r="A493" s="10" t="s">
        <v>439</v>
      </c>
      <c r="B493" s="18" t="str" cm="1">
        <f t="array" ref="B493">VLOOKUP(A493,'Player Data'!A1:B673,2,FALSE)</f>
        <v>CBJ</v>
      </c>
      <c r="C493" s="52" cm="1">
        <f t="array" ref="C493">((E493)*Settings!$C$12)+(F493*Settings!$C$2)+(G493*Settings!$C$3)+(H493*Settings!$C$4)+(I493*Settings!$C$5)+(K493*Settings!$C$9)+(N493*Settings!$C$6)+(J493*Settings!$C$8)+(O493*Settings!$C$7)+(P493*Settings!$C$14)+(Q493*Settings!$C$15)+(R493*Settings!$C$16)+(S493*Settings!$C$17)+(T493*Settings!$C$18)+(U493*Settings!$C$19)+(L493*Settings!$C$10)+(Settings!$C$11*M493)</f>
        <v>-3.5737574823838312</v>
      </c>
      <c r="D493" s="57" cm="1">
        <f t="array" ref="D493">IF(Settings!$E$12="YES",VLOOKUP(A493,'Player Data'!A1:E673,5,FALSE),82)</f>
        <v>78</v>
      </c>
      <c r="E493" s="55" cm="1">
        <f t="array" ref="E493">(VLOOKUP($A493,'The List'!$B1:$AH671,17,FALSE)-AVERAGE('The List'!R2:R671))/STDEV('The List'!R2:R671)</f>
        <v>0.17985877521512147</v>
      </c>
      <c r="F493" s="55" cm="1">
        <f t="array" ref="F493">(VLOOKUP($A493,'The List'!$B1:$AH671,18,FALSE)-AVERAGE('The List'!S2:S671))/STDEV('The List'!S2:S671)</f>
        <v>-0.82761831540556074</v>
      </c>
      <c r="G493" s="55" cm="1">
        <f t="array" ref="G493">(VLOOKUP($A493,'The List'!$B1:$AH671,19,FALSE)-AVERAGE('The List'!T2:T671))/STDEV('The List'!T2:T671)</f>
        <v>-0.78531000814378316</v>
      </c>
      <c r="H493" s="55" cm="1">
        <f t="array" ref="H493">(VLOOKUP($A493,'The List'!$B1:$AH671,20,FALSE)-AVERAGE('The List'!U2:U671))/STDEV('The List'!U2:U671)</f>
        <v>-0.86064053971963317</v>
      </c>
      <c r="I493" s="55" cm="1">
        <f t="array" ref="I493">(VLOOKUP($A493,'The List'!$B1:$AH671,21,FALSE)-AVERAGE('The List'!V2:V671))/STDEV('The List'!V2:V671)</f>
        <v>-0.83647920197121106</v>
      </c>
      <c r="J493" s="55" cm="1">
        <f t="array" ref="J493">(VLOOKUP($A493,'The List'!$B1:$AH671,22,FALSE)-AVERAGE('The List'!W2:W671))/STDEV('The List'!W2:W671)</f>
        <v>-0.73853908386105271</v>
      </c>
      <c r="K493" s="55" cm="1">
        <f t="array" ref="K493">(VLOOKUP($A493,'The List'!$B1:$AH671,23,FALSE)-AVERAGE('The List'!X2:X671))/STDEV('The List'!X2:X671)</f>
        <v>-0.80155300200843405</v>
      </c>
      <c r="L493" s="55" cm="1">
        <f t="array" ref="L493">(VLOOKUP($A493,'The List'!$B1:$AH671,24,FALSE)-AVERAGE('The List'!Y2:Y671))/STDEV('The List'!Y2:Y671)</f>
        <v>-0.47546929358800777</v>
      </c>
      <c r="M493" s="55" cm="1">
        <f t="array" ref="M493">(VLOOKUP($A493,'The List'!$B1:$AH671,25,FALSE)-AVERAGE('The List'!Z2:Z671))/STDEV('The List'!Z2:Z671)</f>
        <v>-0.64388478613809508</v>
      </c>
      <c r="N493" s="55" cm="1">
        <f t="array" ref="N493">(VLOOKUP($A493,'The List'!$B1:$AH671,26,FALSE)-AVERAGE('The List'!AA2:AA671))/STDEV('The List'!AA2:AA671)</f>
        <v>1.644230975668534</v>
      </c>
      <c r="O493" s="55" cm="1">
        <f t="array" ref="O493">(VLOOKUP($A493,'The List'!$B1:$AH671,27,FALSE)-AVERAGE('The List'!AB2:AB671))/STDEV('The List'!AB2:AB671)</f>
        <v>-0.21785733525622714</v>
      </c>
      <c r="P493" s="55" cm="1">
        <f t="array" ref="P493">(VLOOKUP($A493,'The List'!$B1:$AH671,28,FALSE)-AVERAGE('The List'!AC2:AC671))/STDEV('The List'!AC2:AC671)</f>
        <v>-0.1049396195986151</v>
      </c>
      <c r="Q493" s="55" cm="1">
        <f t="array" ref="Q493">(VLOOKUP($A493,'The List'!$B1:$AH671,29,FALSE)-AVERAGE('The List'!AD2:AD671))/STDEV('The List'!AD2:AD671)</f>
        <v>0.27716036308910907</v>
      </c>
      <c r="R493" s="55" cm="1">
        <f t="array" ref="R493">(VLOOKUP($A493,'The List'!$B1:$AH671,30,FALSE)-AVERAGE('The List'!AE2:AE671))/STDEV('The List'!AE2:AE671)</f>
        <v>-0.85793399251974589</v>
      </c>
      <c r="S493" s="55" cm="1">
        <f t="array" ref="S493">(VLOOKUP($A493,'The List'!$B1:$AH671,31,FALSE)-AVERAGE('The List'!AF2:AF671))/STDEV('The List'!AF2:AF671)</f>
        <v>-0.59581850454342256</v>
      </c>
      <c r="T493" s="55" cm="1">
        <f t="array" ref="T493">(VLOOKUP($A493,'The List'!$B1:$AH671,32,FALSE)-AVERAGE('The List'!AG2:AG671))/STDEV('The List'!AG2:AG671)</f>
        <v>-0.64684275008198677</v>
      </c>
      <c r="U493" s="55" cm="1">
        <f t="array" ref="U493">(VLOOKUP($A493,'The List'!$B1:$AH671,33,FALSE)-AVERAGE('The List'!AH2:AH671))/STDEV('The List'!AH2:AH671)</f>
        <v>-1.2552626683789523</v>
      </c>
      <c r="V493" s="55"/>
      <c r="W493" s="57"/>
      <c r="X493" s="55"/>
      <c r="Y493" s="55"/>
      <c r="Z493" s="55"/>
      <c r="AA493" s="55"/>
      <c r="AB493" s="55"/>
      <c r="AC493" s="55"/>
      <c r="AD493" s="55"/>
      <c r="AE493" s="55"/>
    </row>
    <row r="494" spans="1:31" ht="21.25" customHeight="1" x14ac:dyDescent="0.15">
      <c r="A494" s="10" t="s">
        <v>463</v>
      </c>
      <c r="B494" s="18" t="str" cm="1">
        <f t="array" ref="B494">VLOOKUP(A494,'Player Data'!A1:B673,2,FALSE)</f>
        <v>CAR</v>
      </c>
      <c r="C494" s="52" cm="1">
        <f t="array" ref="C494">((E494)*Settings!$C$12)+(F494*Settings!$C$2)+(G494*Settings!$C$3)+(H494*Settings!$C$4)+(I494*Settings!$C$5)+(K494*Settings!$C$9)+(N494*Settings!$C$6)+(J494*Settings!$C$8)+(O494*Settings!$C$7)+(P494*Settings!$C$14)+(Q494*Settings!$C$15)+(R494*Settings!$C$16)+(S494*Settings!$C$17)+(T494*Settings!$C$18)+(U494*Settings!$C$19)+(L494*Settings!$C$10)+(Settings!$C$11*M494)</f>
        <v>-2.1832810922182682</v>
      </c>
      <c r="D494" s="57" cm="1">
        <f t="array" ref="D494">IF(Settings!$E$12="YES",VLOOKUP(A494,'Player Data'!A1:E673,5,FALSE),82)</f>
        <v>81</v>
      </c>
      <c r="E494" s="55" cm="1">
        <f t="array" ref="E494">(VLOOKUP($A494,'The List'!$B1:$AH671,17,FALSE)-AVERAGE('The List'!R2:R671))/STDEV('The List'!R2:R671)</f>
        <v>0.59957253802758848</v>
      </c>
      <c r="F494" s="55" cm="1">
        <f t="array" ref="F494">(VLOOKUP($A494,'The List'!$B1:$AH671,18,FALSE)-AVERAGE('The List'!S2:S671))/STDEV('The List'!S2:S671)</f>
        <v>-0.96832775669922422</v>
      </c>
      <c r="G494" s="55" cm="1">
        <f t="array" ref="G494">(VLOOKUP($A494,'The List'!$B1:$AH671,19,FALSE)-AVERAGE('The List'!T2:T671))/STDEV('The List'!T2:T671)</f>
        <v>-0.63773571397321782</v>
      </c>
      <c r="H494" s="55" cm="1">
        <f t="array" ref="H494">(VLOOKUP($A494,'The List'!$B1:$AH671,20,FALSE)-AVERAGE('The List'!U2:U671))/STDEV('The List'!U2:U671)</f>
        <v>-0.83013756403721362</v>
      </c>
      <c r="I494" s="55" cm="1">
        <f t="array" ref="I494">(VLOOKUP($A494,'The List'!$B1:$AH671,21,FALSE)-AVERAGE('The List'!V2:V671))/STDEV('The List'!V2:V671)</f>
        <v>-0.42078838138772967</v>
      </c>
      <c r="J494" s="55" cm="1">
        <f t="array" ref="J494">(VLOOKUP($A494,'The List'!$B1:$AH671,22,FALSE)-AVERAGE('The List'!W2:W671))/STDEV('The List'!W2:W671)</f>
        <v>-0.73853908386105271</v>
      </c>
      <c r="K494" s="55" cm="1">
        <f t="array" ref="K494">(VLOOKUP($A494,'The List'!$B1:$AH671,23,FALSE)-AVERAGE('The List'!X2:X671))/STDEV('The List'!X2:X671)</f>
        <v>-0.80155300200843405</v>
      </c>
      <c r="L494" s="55" cm="1">
        <f t="array" ref="L494">(VLOOKUP($A494,'The List'!$B1:$AH671,24,FALSE)-AVERAGE('The List'!Y2:Y671))/STDEV('The List'!Y2:Y671)</f>
        <v>-0.47546929358800777</v>
      </c>
      <c r="M494" s="55" cm="1">
        <f t="array" ref="M494">(VLOOKUP($A494,'The List'!$B1:$AH671,25,FALSE)-AVERAGE('The List'!Z2:Z671))/STDEV('The List'!Z2:Z671)</f>
        <v>0.23627697309704196</v>
      </c>
      <c r="N494" s="55" cm="1">
        <f t="array" ref="N494">(VLOOKUP($A494,'The List'!$B1:$AH671,26,FALSE)-AVERAGE('The List'!AA2:AA671))/STDEV('The List'!AA2:AA671)</f>
        <v>0.46653726310383481</v>
      </c>
      <c r="O494" s="55" cm="1">
        <f t="array" ref="O494">(VLOOKUP($A494,'The List'!$B1:$AH671,27,FALSE)-AVERAGE('The List'!AB2:AB671))/STDEV('The List'!AB2:AB671)</f>
        <v>-0.65632546740887632</v>
      </c>
      <c r="P494" s="55" cm="1">
        <f t="array" ref="P494">(VLOOKUP($A494,'The List'!$B1:$AH671,28,FALSE)-AVERAGE('The List'!AC2:AC671))/STDEV('The List'!AC2:AC671)</f>
        <v>1.3014492292592141</v>
      </c>
      <c r="Q494" s="55" cm="1">
        <f t="array" ref="Q494">(VLOOKUP($A494,'The List'!$B1:$AH671,29,FALSE)-AVERAGE('The List'!AD2:AD671))/STDEV('The List'!AD2:AD671)</f>
        <v>2.0042666330096482E-2</v>
      </c>
      <c r="R494" s="55" cm="1">
        <f t="array" ref="R494">(VLOOKUP($A494,'The List'!$B1:$AH671,30,FALSE)-AVERAGE('The List'!AE2:AE671))/STDEV('The List'!AE2:AE671)</f>
        <v>-0.83922002554973252</v>
      </c>
      <c r="S494" s="55" cm="1">
        <f t="array" ref="S494">(VLOOKUP($A494,'The List'!$B1:$AH671,31,FALSE)-AVERAGE('The List'!AF2:AF671))/STDEV('The List'!AF2:AF671)</f>
        <v>-0.59581850454342256</v>
      </c>
      <c r="T494" s="55" cm="1">
        <f t="array" ref="T494">(VLOOKUP($A494,'The List'!$B1:$AH671,32,FALSE)-AVERAGE('The List'!AG2:AG671))/STDEV('The List'!AG2:AG671)</f>
        <v>-0.64684275008198677</v>
      </c>
      <c r="U494" s="55" cm="1">
        <f t="array" ref="U494">(VLOOKUP($A494,'The List'!$B1:$AH671,33,FALSE)-AVERAGE('The List'!AH2:AH671))/STDEV('The List'!AH2:AH671)</f>
        <v>-1.2552626683789523</v>
      </c>
      <c r="V494" s="55"/>
      <c r="W494" s="77"/>
      <c r="X494" s="57"/>
      <c r="Y494" s="57"/>
      <c r="Z494" s="57"/>
      <c r="AA494" s="57"/>
      <c r="AB494" s="57"/>
      <c r="AC494" s="60"/>
      <c r="AD494" s="61"/>
      <c r="AE494" s="55"/>
    </row>
    <row r="495" spans="1:31" ht="21.25" customHeight="1" x14ac:dyDescent="0.15">
      <c r="A495" s="10" t="s">
        <v>505</v>
      </c>
      <c r="B495" s="18" t="str" cm="1">
        <f t="array" ref="B495">VLOOKUP(A495,'Player Data'!A1:B673,2,FALSE)</f>
        <v>VAN</v>
      </c>
      <c r="C495" s="52" cm="1">
        <f t="array" ref="C495">((E495)*Settings!$C$12)+(F495*Settings!$C$2)+(G495*Settings!$C$3)+(H495*Settings!$C$4)+(I495*Settings!$C$5)+(K495*Settings!$C$9)+(N495*Settings!$C$6)+(J495*Settings!$C$8)+(O495*Settings!$C$7)+(P495*Settings!$C$14)+(Q495*Settings!$C$15)+(R495*Settings!$C$16)+(S495*Settings!$C$17)+(T495*Settings!$C$18)+(U495*Settings!$C$19)+(L495*Settings!$C$10)+(Settings!$C$11*M495)</f>
        <v>-5.0848844079275466</v>
      </c>
      <c r="D495" s="57" cm="1">
        <f t="array" ref="D495">IF(Settings!$E$12="YES",VLOOKUP(A495,'Player Data'!A1:E673,5,FALSE),82)</f>
        <v>71</v>
      </c>
      <c r="E495" s="55" cm="1">
        <f t="array" ref="E495">(VLOOKUP($A495,'The List'!$B1:$AH671,17,FALSE)-AVERAGE('The List'!R2:R671))/STDEV('The List'!R2:R671)</f>
        <v>0.33725143626979681</v>
      </c>
      <c r="F495" s="55" cm="1">
        <f t="array" ref="F495">(VLOOKUP($A495,'The List'!$B1:$AH671,18,FALSE)-AVERAGE('The List'!S2:S671))/STDEV('The List'!S2:S671)</f>
        <v>-0.87651734110335866</v>
      </c>
      <c r="G495" s="55" cm="1">
        <f t="array" ref="G495">(VLOOKUP($A495,'The List'!$B1:$AH671,19,FALSE)-AVERAGE('The List'!T2:T671))/STDEV('The List'!T2:T671)</f>
        <v>-0.86401629836808469</v>
      </c>
      <c r="H495" s="55" cm="1">
        <f t="array" ref="H495">(VLOOKUP($A495,'The List'!$B1:$AH671,20,FALSE)-AVERAGE('The List'!U2:U671))/STDEV('The List'!U2:U671)</f>
        <v>-0.93181414964527909</v>
      </c>
      <c r="I495" s="55" cm="1">
        <f t="array" ref="I495">(VLOOKUP($A495,'The List'!$B1:$AH671,21,FALSE)-AVERAGE('The List'!V2:V671))/STDEV('The List'!V2:V671)</f>
        <v>-1.0064874178706897</v>
      </c>
      <c r="J495" s="55" cm="1">
        <f t="array" ref="J495">(VLOOKUP($A495,'The List'!$B1:$AH671,22,FALSE)-AVERAGE('The List'!W2:W671))/STDEV('The List'!W2:W671)</f>
        <v>-0.73853908386105271</v>
      </c>
      <c r="K495" s="55" cm="1">
        <f t="array" ref="K495">(VLOOKUP($A495,'The List'!$B1:$AH671,23,FALSE)-AVERAGE('The List'!X2:X671))/STDEV('The List'!X2:X671)</f>
        <v>-0.80155300200843405</v>
      </c>
      <c r="L495" s="55" cm="1">
        <f t="array" ref="L495">(VLOOKUP($A495,'The List'!$B1:$AH671,24,FALSE)-AVERAGE('The List'!Y2:Y671))/STDEV('The List'!Y2:Y671)</f>
        <v>-0.47546929358800777</v>
      </c>
      <c r="M495" s="55" cm="1">
        <f t="array" ref="M495">(VLOOKUP($A495,'The List'!$B1:$AH671,25,FALSE)-AVERAGE('The List'!Z2:Z671))/STDEV('The List'!Z2:Z671)</f>
        <v>-0.64388478613809508</v>
      </c>
      <c r="N495" s="55" cm="1">
        <f t="array" ref="N495">(VLOOKUP($A495,'The List'!$B1:$AH671,26,FALSE)-AVERAGE('The List'!AA2:AA671))/STDEV('The List'!AA2:AA671)</f>
        <v>0.87953460277356332</v>
      </c>
      <c r="O495" s="55" cm="1">
        <f t="array" ref="O495">(VLOOKUP($A495,'The List'!$B1:$AH671,27,FALSE)-AVERAGE('The List'!AB2:AB671))/STDEV('The List'!AB2:AB671)</f>
        <v>0.88005538835741925</v>
      </c>
      <c r="P495" s="55" cm="1">
        <f t="array" ref="P495">(VLOOKUP($A495,'The List'!$B1:$AH671,28,FALSE)-AVERAGE('The List'!AC2:AC671))/STDEV('The List'!AC2:AC671)</f>
        <v>-2.4163657369343992</v>
      </c>
      <c r="Q495" s="55" cm="1">
        <f t="array" ref="Q495">(VLOOKUP($A495,'The List'!$B1:$AH671,29,FALSE)-AVERAGE('The List'!AD2:AD671))/STDEV('The List'!AD2:AD671)</f>
        <v>0.3540001345343311</v>
      </c>
      <c r="R495" s="55" cm="1">
        <f t="array" ref="R495">(VLOOKUP($A495,'The List'!$B1:$AH671,30,FALSE)-AVERAGE('The List'!AE2:AE671))/STDEV('The List'!AE2:AE671)</f>
        <v>-0.90159991544977713</v>
      </c>
      <c r="S495" s="55" cm="1">
        <f t="array" ref="S495">(VLOOKUP($A495,'The List'!$B1:$AH671,31,FALSE)-AVERAGE('The List'!AF2:AF671))/STDEV('The List'!AF2:AF671)</f>
        <v>-0.59581850454342256</v>
      </c>
      <c r="T495" s="55" cm="1">
        <f t="array" ref="T495">(VLOOKUP($A495,'The List'!$B1:$AH671,32,FALSE)-AVERAGE('The List'!AG2:AG671))/STDEV('The List'!AG2:AG671)</f>
        <v>-0.64684275008198677</v>
      </c>
      <c r="U495" s="55" cm="1">
        <f t="array" ref="U495">(VLOOKUP($A495,'The List'!$B1:$AH671,33,FALSE)-AVERAGE('The List'!AH2:AH671))/STDEV('The List'!AH2:AH671)</f>
        <v>-1.2552626683789523</v>
      </c>
      <c r="V495" s="55"/>
      <c r="W495" s="57"/>
      <c r="X495" s="55"/>
      <c r="Y495" s="55"/>
      <c r="Z495" s="55"/>
      <c r="AA495" s="55"/>
      <c r="AB495" s="55"/>
      <c r="AC495" s="55"/>
      <c r="AD495" s="55"/>
      <c r="AE495" s="55"/>
    </row>
    <row r="496" spans="1:31" ht="21.25" customHeight="1" x14ac:dyDescent="0.15">
      <c r="A496" s="10" t="s">
        <v>365</v>
      </c>
      <c r="B496" s="18" t="str" cm="1">
        <f t="array" ref="B496">VLOOKUP(A496,'Player Data'!A1:B673,2,FALSE)</f>
        <v>VGK</v>
      </c>
      <c r="C496" s="52" cm="1">
        <f t="array" ref="C496">((E496)*Settings!$C$12)+(F496*Settings!$C$2)+(G496*Settings!$C$3)+(H496*Settings!$C$4)+(I496*Settings!$C$5)+(K496*Settings!$C$9)+(N496*Settings!$C$6)+(J496*Settings!$C$8)+(O496*Settings!$C$7)+(P496*Settings!$C$14)+(Q496*Settings!$C$15)+(R496*Settings!$C$16)+(S496*Settings!$C$17)+(T496*Settings!$C$18)+(U496*Settings!$C$19)+(L496*Settings!$C$10)+(Settings!$C$11*M496)</f>
        <v>-1.0238804414251954</v>
      </c>
      <c r="D496" s="57" cm="1">
        <f t="array" ref="D496">IF(Settings!$E$12="YES",VLOOKUP(A496,'Player Data'!A1:E673,5,FALSE),82)</f>
        <v>81</v>
      </c>
      <c r="E496" s="55" cm="1">
        <f t="array" ref="E496">(VLOOKUP($A496,'The List'!$B1:$AH671,17,FALSE)-AVERAGE('The List'!R2:R671))/STDEV('The List'!R2:R671)</f>
        <v>0.91435786013693821</v>
      </c>
      <c r="F496" s="55" cm="1">
        <f t="array" ref="F496">(VLOOKUP($A496,'The List'!$B1:$AH671,18,FALSE)-AVERAGE('The List'!S2:S671))/STDEV('The List'!S2:S671)</f>
        <v>-0.96832775669922422</v>
      </c>
      <c r="G496" s="55" cm="1">
        <f t="array" ref="G496">(VLOOKUP($A496,'The List'!$B1:$AH671,19,FALSE)-AVERAGE('The List'!T2:T671))/STDEV('The List'!T2:T671)</f>
        <v>-0.63773571397321782</v>
      </c>
      <c r="H496" s="55" cm="1">
        <f t="array" ref="H496">(VLOOKUP($A496,'The List'!$B1:$AH671,20,FALSE)-AVERAGE('The List'!U2:U671))/STDEV('The List'!U2:U671)</f>
        <v>-0.83013756403721362</v>
      </c>
      <c r="I496" s="55" cm="1">
        <f t="array" ref="I496">(VLOOKUP($A496,'The List'!$B1:$AH671,21,FALSE)-AVERAGE('The List'!V2:V671))/STDEV('The List'!V2:V671)</f>
        <v>-0.54673959011813622</v>
      </c>
      <c r="J496" s="55" cm="1">
        <f t="array" ref="J496">(VLOOKUP($A496,'The List'!$B1:$AH671,22,FALSE)-AVERAGE('The List'!W2:W671))/STDEV('The List'!W2:W671)</f>
        <v>-0.73853908386105271</v>
      </c>
      <c r="K496" s="55" cm="1">
        <f t="array" ref="K496">(VLOOKUP($A496,'The List'!$B1:$AH671,23,FALSE)-AVERAGE('The List'!X2:X671))/STDEV('The List'!X2:X671)</f>
        <v>-0.80155300200843405</v>
      </c>
      <c r="L496" s="55" cm="1">
        <f t="array" ref="L496">(VLOOKUP($A496,'The List'!$B1:$AH671,24,FALSE)-AVERAGE('The List'!Y2:Y671))/STDEV('The List'!Y2:Y671)</f>
        <v>-0.47546929358800777</v>
      </c>
      <c r="M496" s="55" cm="1">
        <f t="array" ref="M496">(VLOOKUP($A496,'The List'!$B1:$AH671,25,FALSE)-AVERAGE('The List'!Z2:Z671))/STDEV('The List'!Z2:Z671)</f>
        <v>0.23627697309704196</v>
      </c>
      <c r="N496" s="55" cm="1">
        <f t="array" ref="N496">(VLOOKUP($A496,'The List'!$B1:$AH671,26,FALSE)-AVERAGE('The List'!AA2:AA671))/STDEV('The List'!AA2:AA671)</f>
        <v>2.6387959977303308</v>
      </c>
      <c r="O496" s="55" cm="1">
        <f t="array" ref="O496">(VLOOKUP($A496,'The List'!$B1:$AH671,27,FALSE)-AVERAGE('The List'!AB2:AB671))/STDEV('The List'!AB2:AB671)</f>
        <v>0.80482499822183151</v>
      </c>
      <c r="P496" s="55" cm="1">
        <f t="array" ref="P496">(VLOOKUP($A496,'The List'!$B1:$AH671,28,FALSE)-AVERAGE('The List'!AC2:AC671))/STDEV('The List'!AC2:AC671)</f>
        <v>1.1256506231519856</v>
      </c>
      <c r="Q496" s="55" cm="1">
        <f t="array" ref="Q496">(VLOOKUP($A496,'The List'!$B1:$AH671,29,FALSE)-AVERAGE('The List'!AD2:AD671))/STDEV('The List'!AD2:AD671)</f>
        <v>0.19958174768768264</v>
      </c>
      <c r="R496" s="55" cm="1">
        <f t="array" ref="R496">(VLOOKUP($A496,'The List'!$B1:$AH671,30,FALSE)-AVERAGE('The List'!AE2:AE671))/STDEV('The List'!AE2:AE671)</f>
        <v>-0.83922002554973252</v>
      </c>
      <c r="S496" s="55" cm="1">
        <f t="array" ref="S496">(VLOOKUP($A496,'The List'!$B1:$AH671,31,FALSE)-AVERAGE('The List'!AF2:AF671))/STDEV('The List'!AF2:AF671)</f>
        <v>-0.59581850454342256</v>
      </c>
      <c r="T496" s="55" cm="1">
        <f t="array" ref="T496">(VLOOKUP($A496,'The List'!$B1:$AH671,32,FALSE)-AVERAGE('The List'!AG2:AG671))/STDEV('The List'!AG2:AG671)</f>
        <v>-0.64684275008198677</v>
      </c>
      <c r="U496" s="55" cm="1">
        <f t="array" ref="U496">(VLOOKUP($A496,'The List'!$B1:$AH671,33,FALSE)-AVERAGE('The List'!AH2:AH671))/STDEV('The List'!AH2:AH671)</f>
        <v>-1.2552626683789523</v>
      </c>
      <c r="V496" s="55"/>
      <c r="W496" s="77"/>
      <c r="X496" s="57"/>
      <c r="Y496" s="57"/>
      <c r="Z496" s="57"/>
      <c r="AA496" s="57"/>
      <c r="AB496" s="57"/>
      <c r="AC496" s="60"/>
      <c r="AD496" s="61"/>
      <c r="AE496" s="55"/>
    </row>
    <row r="497" spans="1:31" ht="21.25" customHeight="1" x14ac:dyDescent="0.15">
      <c r="A497" s="10" t="s">
        <v>429</v>
      </c>
      <c r="B497" s="18" t="str" cm="1">
        <f t="array" ref="B497">VLOOKUP(A497,'Player Data'!A1:B673,2,FALSE)</f>
        <v>OTT</v>
      </c>
      <c r="C497" s="52" cm="1">
        <f t="array" ref="C497">((E497)*Settings!$C$12)+(F497*Settings!$C$2)+(G497*Settings!$C$3)+(H497*Settings!$C$4)+(I497*Settings!$C$5)+(K497*Settings!$C$9)+(N497*Settings!$C$6)+(J497*Settings!$C$8)+(O497*Settings!$C$7)+(P497*Settings!$C$14)+(Q497*Settings!$C$15)+(R497*Settings!$C$16)+(S497*Settings!$C$17)+(T497*Settings!$C$18)+(U497*Settings!$C$19)+(L497*Settings!$C$10)+(Settings!$C$11*M497)</f>
        <v>-2.0762053887620375</v>
      </c>
      <c r="D497" s="57" cm="1">
        <f t="array" ref="D497">IF(Settings!$E$12="YES",VLOOKUP(A497,'Player Data'!A1:E673,5,FALSE),82)</f>
        <v>80</v>
      </c>
      <c r="E497" s="55" cm="1">
        <f t="array" ref="E497">(VLOOKUP($A497,'The List'!$B1:$AH671,17,FALSE)-AVERAGE('The List'!R2:R671))/STDEV('The List'!R2:R671)</f>
        <v>0.12739455486356333</v>
      </c>
      <c r="F497" s="55" cm="1">
        <f t="array" ref="F497">(VLOOKUP($A497,'The List'!$B1:$AH671,18,FALSE)-AVERAGE('The List'!S2:S671))/STDEV('The List'!S2:S671)</f>
        <v>-0.97331745319899965</v>
      </c>
      <c r="G497" s="55" cm="1">
        <f t="array" ref="G497">(VLOOKUP($A497,'The List'!$B1:$AH671,19,FALSE)-AVERAGE('The List'!T2:T671))/STDEV('The List'!T2:T671)</f>
        <v>-0.6503849391878378</v>
      </c>
      <c r="H497" s="55" cm="1">
        <f t="array" ref="H497">(VLOOKUP($A497,'The List'!$B1:$AH671,20,FALSE)-AVERAGE('The List'!U2:U671))/STDEV('The List'!U2:U671)</f>
        <v>-0.84030522259802021</v>
      </c>
      <c r="I497" s="55" cm="1">
        <f t="array" ref="I497">(VLOOKUP($A497,'The List'!$B1:$AH671,21,FALSE)-AVERAGE('The List'!V2:V671))/STDEV('The List'!V2:V671)</f>
        <v>-0.52548856313070136</v>
      </c>
      <c r="J497" s="55" cm="1">
        <f t="array" ref="J497">(VLOOKUP($A497,'The List'!$B1:$AH671,22,FALSE)-AVERAGE('The List'!W2:W671))/STDEV('The List'!W2:W671)</f>
        <v>-0.73853908386105271</v>
      </c>
      <c r="K497" s="55" cm="1">
        <f t="array" ref="K497">(VLOOKUP($A497,'The List'!$B1:$AH671,23,FALSE)-AVERAGE('The List'!X2:X671))/STDEV('The List'!X2:X671)</f>
        <v>-0.80155300200843405</v>
      </c>
      <c r="L497" s="55" cm="1">
        <f t="array" ref="L497">(VLOOKUP($A497,'The List'!$B1:$AH671,24,FALSE)-AVERAGE('The List'!Y2:Y671))/STDEV('The List'!Y2:Y671)</f>
        <v>-0.47546929358800777</v>
      </c>
      <c r="M497" s="55" cm="1">
        <f t="array" ref="M497">(VLOOKUP($A497,'The List'!$B1:$AH671,25,FALSE)-AVERAGE('The List'!Z2:Z671))/STDEV('The List'!Z2:Z671)</f>
        <v>1.0947063432152622</v>
      </c>
      <c r="N497" s="55" cm="1">
        <f t="array" ref="N497">(VLOOKUP($A497,'The List'!$B1:$AH671,26,FALSE)-AVERAGE('The List'!AA2:AA671))/STDEV('The List'!AA2:AA671)</f>
        <v>1.1967533386237819</v>
      </c>
      <c r="O497" s="55" cm="1">
        <f t="array" ref="O497">(VLOOKUP($A497,'The List'!$B1:$AH671,27,FALSE)-AVERAGE('The List'!AB2:AB671))/STDEV('The List'!AB2:AB671)</f>
        <v>0.80584993541713945</v>
      </c>
      <c r="P497" s="55" cm="1">
        <f t="array" ref="P497">(VLOOKUP($A497,'The List'!$B1:$AH671,28,FALSE)-AVERAGE('The List'!AC2:AC671))/STDEV('The List'!AC2:AC671)</f>
        <v>6.868863334679591E-2</v>
      </c>
      <c r="Q497" s="55" cm="1">
        <f t="array" ref="Q497">(VLOOKUP($A497,'The List'!$B1:$AH671,29,FALSE)-AVERAGE('The List'!AD2:AD671))/STDEV('The List'!AD2:AD671)</f>
        <v>0.64067158954150538</v>
      </c>
      <c r="R497" s="55" cm="1">
        <f t="array" ref="R497">(VLOOKUP($A497,'The List'!$B1:$AH671,30,FALSE)-AVERAGE('The List'!AE2:AE671))/STDEV('The List'!AE2:AE671)</f>
        <v>-0.84545801453973701</v>
      </c>
      <c r="S497" s="55" cm="1">
        <f t="array" ref="S497">(VLOOKUP($A497,'The List'!$B1:$AH671,31,FALSE)-AVERAGE('The List'!AF2:AF671))/STDEV('The List'!AF2:AF671)</f>
        <v>-0.59581850454342256</v>
      </c>
      <c r="T497" s="55" cm="1">
        <f t="array" ref="T497">(VLOOKUP($A497,'The List'!$B1:$AH671,32,FALSE)-AVERAGE('The List'!AG2:AG671))/STDEV('The List'!AG2:AG671)</f>
        <v>-0.64684275008198677</v>
      </c>
      <c r="U497" s="55" cm="1">
        <f t="array" ref="U497">(VLOOKUP($A497,'The List'!$B1:$AH671,33,FALSE)-AVERAGE('The List'!AH2:AH671))/STDEV('The List'!AH2:AH671)</f>
        <v>-1.2552626683789523</v>
      </c>
      <c r="V497" s="55"/>
      <c r="W497" s="77"/>
      <c r="X497" s="57"/>
      <c r="Y497" s="57"/>
      <c r="Z497" s="57"/>
      <c r="AA497" s="57"/>
      <c r="AB497" s="57"/>
      <c r="AC497" s="60"/>
      <c r="AD497" s="61"/>
      <c r="AE497" s="55"/>
    </row>
    <row r="498" spans="1:31" ht="21.25" customHeight="1" x14ac:dyDescent="0.15">
      <c r="A498" s="10" t="s">
        <v>723</v>
      </c>
      <c r="B498" s="18" t="str" cm="1">
        <f t="array" ref="B498">VLOOKUP(A498,'Player Data'!A1:B673,2,FALSE)</f>
        <v>TOR</v>
      </c>
      <c r="C498" s="52" cm="1">
        <f t="array" ref="C498">((E498)*Settings!$C$12)+(F498*Settings!$C$2)+(G498*Settings!$C$3)+(H498*Settings!$C$4)+(I498*Settings!$C$5)+(K498*Settings!$C$9)+(N498*Settings!$C$6)+(J498*Settings!$C$8)+(O498*Settings!$C$7)+(P498*Settings!$C$14)+(Q498*Settings!$C$15)+(R498*Settings!$C$16)+(S498*Settings!$C$17)+(T498*Settings!$C$18)+(U498*Settings!$C$19)+(L498*Settings!$C$10)+(Settings!$C$11*M498)</f>
        <v>-1.5854709524943382</v>
      </c>
      <c r="D498" s="57" cm="1">
        <f t="array" ref="D498">IF(Settings!$E$12="YES",VLOOKUP(A498,'Player Data'!A1:E673,5,FALSE),82)</f>
        <v>77</v>
      </c>
      <c r="E498" s="55" cm="1">
        <f t="array" ref="E498">(VLOOKUP($A498,'The List'!$B1:$AH671,17,FALSE)-AVERAGE('The List'!R2:R671))/STDEV('The List'!R2:R671)</f>
        <v>-1.3153715048042907</v>
      </c>
      <c r="F498" s="55" cm="1">
        <f t="array" ref="F498">(VLOOKUP($A498,'The List'!$B1:$AH671,18,FALSE)-AVERAGE('The List'!S2:S671))/STDEV('The List'!S2:S671)</f>
        <v>-0.60407991221562729</v>
      </c>
      <c r="G498" s="55" cm="1">
        <f t="array" ref="G498">(VLOOKUP($A498,'The List'!$B1:$AH671,19,FALSE)-AVERAGE('The List'!T2:T671))/STDEV('The List'!T2:T671)</f>
        <v>-0.95888548747773372</v>
      </c>
      <c r="H498" s="55" cm="1">
        <f t="array" ref="H498">(VLOOKUP($A498,'The List'!$B1:$AH671,20,FALSE)-AVERAGE('The List'!U2:U671))/STDEV('The List'!U2:U671)</f>
        <v>-0.87080819828043976</v>
      </c>
      <c r="I498" s="55" cm="1">
        <f t="array" ref="I498">(VLOOKUP($A498,'The List'!$B1:$AH671,21,FALSE)-AVERAGE('The List'!V2:V671))/STDEV('The List'!V2:V671)</f>
        <v>-0.86705994812386111</v>
      </c>
      <c r="J498" s="55" cm="1">
        <f t="array" ref="J498">(VLOOKUP($A498,'The List'!$B1:$AH671,22,FALSE)-AVERAGE('The List'!W2:W671))/STDEV('The List'!W2:W671)</f>
        <v>-0.73853908386105271</v>
      </c>
      <c r="K498" s="55" cm="1">
        <f t="array" ref="K498">(VLOOKUP($A498,'The List'!$B1:$AH671,23,FALSE)-AVERAGE('The List'!X2:X671))/STDEV('The List'!X2:X671)</f>
        <v>-0.80155300200843405</v>
      </c>
      <c r="L498" s="55" cm="1">
        <f t="array" ref="L498">(VLOOKUP($A498,'The List'!$B1:$AH671,24,FALSE)-AVERAGE('The List'!Y2:Y671))/STDEV('The List'!Y2:Y671)</f>
        <v>2.3475804808621272</v>
      </c>
      <c r="M498" s="55" cm="1">
        <f t="array" ref="M498">(VLOOKUP($A498,'The List'!$B1:$AH671,25,FALSE)-AVERAGE('The List'!Z2:Z671))/STDEV('The List'!Z2:Z671)</f>
        <v>1.029509175864511</v>
      </c>
      <c r="N498" s="55" cm="1">
        <f t="array" ref="N498">(VLOOKUP($A498,'The List'!$B1:$AH671,26,FALSE)-AVERAGE('The List'!AA2:AA671))/STDEV('The List'!AA2:AA671)</f>
        <v>-0.30531057887632618</v>
      </c>
      <c r="O498" s="55" cm="1">
        <f t="array" ref="O498">(VLOOKUP($A498,'The List'!$B1:$AH671,27,FALSE)-AVERAGE('The List'!AB2:AB671))/STDEV('The List'!AB2:AB671)</f>
        <v>1.7510470169299333</v>
      </c>
      <c r="P498" s="55" cm="1">
        <f t="array" ref="P498">(VLOOKUP($A498,'The List'!$B1:$AH671,28,FALSE)-AVERAGE('The List'!AC2:AC671))/STDEV('The List'!AC2:AC671)</f>
        <v>-0.1049396195986151</v>
      </c>
      <c r="Q498" s="55" cm="1">
        <f t="array" ref="Q498">(VLOOKUP($A498,'The List'!$B1:$AH671,29,FALSE)-AVERAGE('The List'!AD2:AD671))/STDEV('The List'!AD2:AD671)</f>
        <v>-1.3497740284722277</v>
      </c>
      <c r="R498" s="55" cm="1">
        <f t="array" ref="R498">(VLOOKUP($A498,'The List'!$B1:$AH671,30,FALSE)-AVERAGE('The List'!AE2:AE671))/STDEV('The List'!AE2:AE671)</f>
        <v>-0.86417198150975039</v>
      </c>
      <c r="S498" s="55" cm="1">
        <f t="array" ref="S498">(VLOOKUP($A498,'The List'!$B1:$AH671,31,FALSE)-AVERAGE('The List'!AF2:AF671))/STDEV('The List'!AF2:AF671)</f>
        <v>-0.32557631765681921</v>
      </c>
      <c r="T498" s="55" cm="1">
        <f t="array" ref="T498">(VLOOKUP($A498,'The List'!$B1:$AH671,32,FALSE)-AVERAGE('The List'!AG2:AG671))/STDEV('The List'!AG2:AG671)</f>
        <v>-0.25781247965926851</v>
      </c>
      <c r="U498" s="55" cm="1">
        <f t="array" ref="U498">(VLOOKUP($A498,'The List'!$B1:$AH671,33,FALSE)-AVERAGE('The List'!AH2:AH671))/STDEV('The List'!AH2:AH671)</f>
        <v>0.67670476438280014</v>
      </c>
      <c r="V498" s="55"/>
      <c r="W498" s="77"/>
      <c r="X498" s="57"/>
      <c r="Y498" s="57"/>
      <c r="Z498" s="57"/>
      <c r="AA498" s="57"/>
      <c r="AB498" s="57"/>
      <c r="AC498" s="60"/>
      <c r="AD498" s="61"/>
      <c r="AE498" s="55"/>
    </row>
    <row r="499" spans="1:31" ht="21.25" customHeight="1" x14ac:dyDescent="0.15">
      <c r="A499" s="10" t="s">
        <v>515</v>
      </c>
      <c r="B499" s="18" t="str" cm="1">
        <f t="array" ref="B499">VLOOKUP(A499,'Player Data'!A1:B673,2,FALSE)</f>
        <v>N.J</v>
      </c>
      <c r="C499" s="52" cm="1">
        <f t="array" ref="C499">((E499)*Settings!$C$12)+(F499*Settings!$C$2)+(G499*Settings!$C$3)+(H499*Settings!$C$4)+(I499*Settings!$C$5)+(K499*Settings!$C$9)+(N499*Settings!$C$6)+(J499*Settings!$C$8)+(O499*Settings!$C$7)+(P499*Settings!$C$14)+(Q499*Settings!$C$15)+(R499*Settings!$C$16)+(S499*Settings!$C$17)+(T499*Settings!$C$18)+(U499*Settings!$C$19)+(L499*Settings!$C$10)+(Settings!$C$11*M499)</f>
        <v>-3.5392901408472253</v>
      </c>
      <c r="D499" s="57" cm="1">
        <f t="array" ref="D499">IF(Settings!$E$12="YES",VLOOKUP(A499,'Player Data'!A1:E673,5,FALSE),82)</f>
        <v>73</v>
      </c>
      <c r="E499" s="55" cm="1">
        <f t="array" ref="E499">(VLOOKUP($A499,'The List'!$B1:$AH671,17,FALSE)-AVERAGE('The List'!R2:R671))/STDEV('The List'!R2:R671)</f>
        <v>0.62580464820336701</v>
      </c>
      <c r="F499" s="55" cm="1">
        <f t="array" ref="F499">(VLOOKUP($A499,'The List'!$B1:$AH671,18,FALSE)-AVERAGE('The List'!S2:S671))/STDEV('The List'!S2:S671)</f>
        <v>-1.1539444664908656</v>
      </c>
      <c r="G499" s="55" cm="1">
        <f t="array" ref="G499">(VLOOKUP($A499,'The List'!$B1:$AH671,19,FALSE)-AVERAGE('The List'!T2:T671))/STDEV('The List'!T2:T671)</f>
        <v>-0.6363302445049267</v>
      </c>
      <c r="H499" s="55" cm="1">
        <f t="array" ref="H499">(VLOOKUP($A499,'The List'!$B1:$AH671,20,FALSE)-AVERAGE('The List'!U2:U671))/STDEV('The List'!U2:U671)</f>
        <v>-0.91147883252366579</v>
      </c>
      <c r="I499" s="55" cm="1">
        <f t="array" ref="I499">(VLOOKUP($A499,'The List'!$B1:$AH671,21,FALSE)-AVERAGE('The List'!V2:V671))/STDEV('The List'!V2:V671)</f>
        <v>-1.0489894718455595</v>
      </c>
      <c r="J499" s="55" cm="1">
        <f t="array" ref="J499">(VLOOKUP($A499,'The List'!$B1:$AH671,22,FALSE)-AVERAGE('The List'!W2:W671))/STDEV('The List'!W2:W671)</f>
        <v>-0.73853908386105271</v>
      </c>
      <c r="K499" s="55" cm="1">
        <f t="array" ref="K499">(VLOOKUP($A499,'The List'!$B1:$AH671,23,FALSE)-AVERAGE('The List'!X2:X671))/STDEV('The List'!X2:X671)</f>
        <v>-0.80155300200843405</v>
      </c>
      <c r="L499" s="55" cm="1">
        <f t="array" ref="L499">(VLOOKUP($A499,'The List'!$B1:$AH671,24,FALSE)-AVERAGE('The List'!Y2:Y671))/STDEV('The List'!Y2:Y671)</f>
        <v>-0.47546929358800777</v>
      </c>
      <c r="M499" s="55" cm="1">
        <f t="array" ref="M499">(VLOOKUP($A499,'The List'!$B1:$AH671,25,FALSE)-AVERAGE('The List'!Z2:Z671))/STDEV('The List'!Z2:Z671)</f>
        <v>-0.64388478613809508</v>
      </c>
      <c r="N499" s="55" cm="1">
        <f t="array" ref="N499">(VLOOKUP($A499,'The List'!$B1:$AH671,26,FALSE)-AVERAGE('The List'!AA2:AA671))/STDEV('The List'!AA2:AA671)</f>
        <v>0.80086844283647252</v>
      </c>
      <c r="O499" s="55" cm="1">
        <f t="array" ref="O499">(VLOOKUP($A499,'The List'!$B1:$AH671,27,FALSE)-AVERAGE('The List'!AB2:AB671))/STDEV('The List'!AB2:AB671)</f>
        <v>0.20646666360117547</v>
      </c>
      <c r="P499" s="55" cm="1">
        <f t="array" ref="P499">(VLOOKUP($A499,'The List'!$B1:$AH671,28,FALSE)-AVERAGE('The List'!AC2:AC671))/STDEV('The List'!AC2:AC671)</f>
        <v>-0.1049396195986151</v>
      </c>
      <c r="Q499" s="55" cm="1">
        <f t="array" ref="Q499">(VLOOKUP($A499,'The List'!$B1:$AH671,29,FALSE)-AVERAGE('The List'!AD2:AD671))/STDEV('The List'!AD2:AD671)</f>
        <v>1.7252945172490635</v>
      </c>
      <c r="R499" s="55" cm="1">
        <f t="array" ref="R499">(VLOOKUP($A499,'The List'!$B1:$AH671,30,FALSE)-AVERAGE('The List'!AE2:AE671))/STDEV('The List'!AE2:AE671)</f>
        <v>-1.3444971337400937</v>
      </c>
      <c r="S499" s="55" cm="1">
        <f t="array" ref="S499">(VLOOKUP($A499,'The List'!$B1:$AH671,31,FALSE)-AVERAGE('The List'!AF2:AF671))/STDEV('The List'!AF2:AF671)</f>
        <v>-0.59581850454342256</v>
      </c>
      <c r="T499" s="55" cm="1">
        <f t="array" ref="T499">(VLOOKUP($A499,'The List'!$B1:$AH671,32,FALSE)-AVERAGE('The List'!AG2:AG671))/STDEV('The List'!AG2:AG671)</f>
        <v>-0.64684275008198677</v>
      </c>
      <c r="U499" s="55" cm="1">
        <f t="array" ref="U499">(VLOOKUP($A499,'The List'!$B1:$AH671,33,FALSE)-AVERAGE('The List'!AH2:AH671))/STDEV('The List'!AH2:AH671)</f>
        <v>-1.2552626683789523</v>
      </c>
      <c r="V499" s="55"/>
      <c r="W499" s="57"/>
      <c r="X499" s="55"/>
      <c r="Y499" s="55"/>
      <c r="Z499" s="55"/>
      <c r="AA499" s="55"/>
      <c r="AB499" s="55"/>
      <c r="AC499" s="55"/>
      <c r="AD499" s="55"/>
      <c r="AE499" s="55"/>
    </row>
    <row r="500" spans="1:31" ht="21.25" customHeight="1" x14ac:dyDescent="0.15">
      <c r="A500" s="10" t="s">
        <v>464</v>
      </c>
      <c r="B500" s="18" t="str" cm="1">
        <f t="array" ref="B500">VLOOKUP(A500,'Player Data'!A1:B673,2,FALSE)</f>
        <v>WPG</v>
      </c>
      <c r="C500" s="52" cm="1">
        <f t="array" ref="C500">((E500)*Settings!$C$12)+(F500*Settings!$C$2)+(G500*Settings!$C$3)+(H500*Settings!$C$4)+(I500*Settings!$C$5)+(K500*Settings!$C$9)+(N500*Settings!$C$6)+(J500*Settings!$C$8)+(O500*Settings!$C$7)+(P500*Settings!$C$14)+(Q500*Settings!$C$15)+(R500*Settings!$C$16)+(S500*Settings!$C$17)+(T500*Settings!$C$18)+(U500*Settings!$C$19)+(L500*Settings!$C$10)+(Settings!$C$11*M500)</f>
        <v>-2.3542040481268138</v>
      </c>
      <c r="D500" s="57" cm="1">
        <f t="array" ref="D500">IF(Settings!$E$12="YES",VLOOKUP(A500,'Player Data'!A1:E673,5,FALSE),82)</f>
        <v>84</v>
      </c>
      <c r="E500" s="55" cm="1">
        <f t="array" ref="E500">(VLOOKUP($A500,'The List'!$B1:$AH671,17,FALSE)-AVERAGE('The List'!R2:R671))/STDEV('The List'!R2:R671)</f>
        <v>1.2029110720705083</v>
      </c>
      <c r="F500" s="55" cm="1">
        <f t="array" ref="F500">(VLOOKUP($A500,'The List'!$B1:$AH671,18,FALSE)-AVERAGE('The List'!S2:S671))/STDEV('The List'!S2:S671)</f>
        <v>-1.2886662719847988</v>
      </c>
      <c r="G500" s="55" cm="1">
        <f t="array" ref="G500">(VLOOKUP($A500,'The List'!$B1:$AH671,19,FALSE)-AVERAGE('The List'!T2:T671))/STDEV('The List'!T2:T671)</f>
        <v>-0.42269888532467986</v>
      </c>
      <c r="H500" s="55" cm="1">
        <f t="array" ref="H500">(VLOOKUP($A500,'The List'!$B1:$AH671,20,FALSE)-AVERAGE('The List'!U2:U671))/STDEV('The List'!U2:U671)</f>
        <v>-0.8367686457073048</v>
      </c>
      <c r="I500" s="55" cm="1">
        <f t="array" ref="I500">(VLOOKUP($A500,'The List'!$B1:$AH671,21,FALSE)-AVERAGE('The List'!V2:V671))/STDEV('The List'!V2:V671)</f>
        <v>-1.1246638606300836</v>
      </c>
      <c r="J500" s="55" cm="1">
        <f t="array" ref="J500">(VLOOKUP($A500,'The List'!$B1:$AH671,22,FALSE)-AVERAGE('The List'!W2:W671))/STDEV('The List'!W2:W671)</f>
        <v>-0.73853908386105271</v>
      </c>
      <c r="K500" s="55" cm="1">
        <f t="array" ref="K500">(VLOOKUP($A500,'The List'!$B1:$AH671,23,FALSE)-AVERAGE('The List'!X2:X671))/STDEV('The List'!X2:X671)</f>
        <v>-0.80155300200843405</v>
      </c>
      <c r="L500" s="55" cm="1">
        <f t="array" ref="L500">(VLOOKUP($A500,'The List'!$B1:$AH671,24,FALSE)-AVERAGE('The List'!Y2:Y671))/STDEV('The List'!Y2:Y671)</f>
        <v>-0.47546929358800777</v>
      </c>
      <c r="M500" s="55" cm="1">
        <f t="array" ref="M500">(VLOOKUP($A500,'The List'!$B1:$AH671,25,FALSE)-AVERAGE('The List'!Z2:Z671))/STDEV('The List'!Z2:Z671)</f>
        <v>0.26887555677241731</v>
      </c>
      <c r="N500" s="55" cm="1">
        <f t="array" ref="N500">(VLOOKUP($A500,'The List'!$B1:$AH671,26,FALSE)-AVERAGE('The List'!AA2:AA671))/STDEV('The List'!AA2:AA671)</f>
        <v>1.4021026652128121</v>
      </c>
      <c r="O500" s="55" cm="1">
        <f t="array" ref="O500">(VLOOKUP($A500,'The List'!$B1:$AH671,27,FALSE)-AVERAGE('The List'!AB2:AB671))/STDEV('The List'!AB2:AB671)</f>
        <v>0.6590789290490715</v>
      </c>
      <c r="P500" s="55" cm="1">
        <f t="array" ref="P500">(VLOOKUP($A500,'The List'!$B1:$AH671,28,FALSE)-AVERAGE('The List'!AC2:AC671))/STDEV('The List'!AC2:AC671)</f>
        <v>0.62429904277211112</v>
      </c>
      <c r="Q500" s="55" cm="1">
        <f t="array" ref="Q500">(VLOOKUP($A500,'The List'!$B1:$AH671,29,FALSE)-AVERAGE('The List'!AD2:AD671))/STDEV('The List'!AD2:AD671)</f>
        <v>0.54314418732256964</v>
      </c>
      <c r="R500" s="55" cm="1">
        <f t="array" ref="R500">(VLOOKUP($A500,'The List'!$B1:$AH671,30,FALSE)-AVERAGE('The List'!AE2:AE671))/STDEV('The List'!AE2:AE671)</f>
        <v>-1.3444971337400937</v>
      </c>
      <c r="S500" s="55" cm="1">
        <f t="array" ref="S500">(VLOOKUP($A500,'The List'!$B1:$AH671,31,FALSE)-AVERAGE('The List'!AF2:AF671))/STDEV('The List'!AF2:AF671)</f>
        <v>-0.59581850454342256</v>
      </c>
      <c r="T500" s="55" cm="1">
        <f t="array" ref="T500">(VLOOKUP($A500,'The List'!$B1:$AH671,32,FALSE)-AVERAGE('The List'!AG2:AG671))/STDEV('The List'!AG2:AG671)</f>
        <v>-0.64684275008198677</v>
      </c>
      <c r="U500" s="55" cm="1">
        <f t="array" ref="U500">(VLOOKUP($A500,'The List'!$B1:$AH671,33,FALSE)-AVERAGE('The List'!AH2:AH671))/STDEV('The List'!AH2:AH671)</f>
        <v>-1.2552626683789523</v>
      </c>
      <c r="V500" s="55"/>
      <c r="W500" s="77"/>
      <c r="X500" s="57"/>
      <c r="Y500" s="57"/>
      <c r="Z500" s="57"/>
      <c r="AA500" s="57"/>
      <c r="AB500" s="57"/>
      <c r="AC500" s="60"/>
      <c r="AD500" s="61"/>
      <c r="AE500" s="55"/>
    </row>
    <row r="501" spans="1:31" ht="21.25" customHeight="1" x14ac:dyDescent="0.15">
      <c r="A501" s="10" t="s">
        <v>557</v>
      </c>
      <c r="B501" s="18" t="str" cm="1">
        <f t="array" ref="B501">VLOOKUP(A501,'Player Data'!A1:B673,2,FALSE)</f>
        <v>T.B</v>
      </c>
      <c r="C501" s="52" cm="1">
        <f t="array" ref="C501">((E501)*Settings!$C$12)+(F501*Settings!$C$2)+(G501*Settings!$C$3)+(H501*Settings!$C$4)+(I501*Settings!$C$5)+(K501*Settings!$C$9)+(N501*Settings!$C$6)+(J501*Settings!$C$8)+(O501*Settings!$C$7)+(P501*Settings!$C$14)+(Q501*Settings!$C$15)+(R501*Settings!$C$16)+(S501*Settings!$C$17)+(T501*Settings!$C$18)+(U501*Settings!$C$19)+(L501*Settings!$C$10)+(Settings!$C$11*M501)</f>
        <v>-2.1172851606323126</v>
      </c>
      <c r="D501" s="57" cm="1">
        <f t="array" ref="D501">IF(Settings!$E$12="YES",VLOOKUP(A501,'Player Data'!A1:E673,5,FALSE),82)</f>
        <v>73</v>
      </c>
      <c r="E501" s="55" cm="1">
        <f t="array" ref="E501">(VLOOKUP($A501,'The List'!$B1:$AH671,17,FALSE)-AVERAGE('The List'!R2:R671))/STDEV('The List'!R2:R671)</f>
        <v>-0.31855131812468268</v>
      </c>
      <c r="F501" s="55" cm="1">
        <f t="array" ref="F501">(VLOOKUP($A501,'The List'!$B1:$AH671,18,FALSE)-AVERAGE('The List'!S2:S671))/STDEV('The List'!S2:S671)</f>
        <v>-1.0810948975941461</v>
      </c>
      <c r="G501" s="55" cm="1">
        <f t="array" ref="G501">(VLOOKUP($A501,'The List'!$B1:$AH671,19,FALSE)-AVERAGE('The List'!T2:T671))/STDEV('The List'!T2:T671)</f>
        <v>-0.68762988009755177</v>
      </c>
      <c r="H501" s="55" cm="1">
        <f t="array" ref="H501">(VLOOKUP($A501,'The List'!$B1:$AH671,20,FALSE)-AVERAGE('The List'!U2:U671))/STDEV('The List'!U2:U671)</f>
        <v>-0.91147883252366602</v>
      </c>
      <c r="I501" s="55" cm="1">
        <f t="array" ref="I501">(VLOOKUP($A501,'The List'!$B1:$AH671,21,FALSE)-AVERAGE('The List'!V2:V671))/STDEV('The List'!V2:V671)</f>
        <v>-1.2003382494146075</v>
      </c>
      <c r="J501" s="55" cm="1">
        <f t="array" ref="J501">(VLOOKUP($A501,'The List'!$B1:$AH671,22,FALSE)-AVERAGE('The List'!W2:W671))/STDEV('The List'!W2:W671)</f>
        <v>-0.73853908386105271</v>
      </c>
      <c r="K501" s="55" cm="1">
        <f t="array" ref="K501">(VLOOKUP($A501,'The List'!$B1:$AH671,23,FALSE)-AVERAGE('The List'!X2:X671))/STDEV('The List'!X2:X671)</f>
        <v>-0.80155300200843405</v>
      </c>
      <c r="L501" s="55" cm="1">
        <f t="array" ref="L501">(VLOOKUP($A501,'The List'!$B1:$AH671,24,FALSE)-AVERAGE('The List'!Y2:Y671))/STDEV('The List'!Y2:Y671)</f>
        <v>-0.47546929358800777</v>
      </c>
      <c r="M501" s="55" cm="1">
        <f t="array" ref="M501">(VLOOKUP($A501,'The List'!$B1:$AH671,25,FALSE)-AVERAGE('The List'!Z2:Z671))/STDEV('The List'!Z2:Z671)</f>
        <v>-0.64388478613809508</v>
      </c>
      <c r="N501" s="55" cm="1">
        <f t="array" ref="N501">(VLOOKUP($A501,'The List'!$B1:$AH671,26,FALSE)-AVERAGE('The List'!AA2:AA671))/STDEV('The List'!AA2:AA671)</f>
        <v>0.11100708572581222</v>
      </c>
      <c r="O501" s="55" cm="1">
        <f t="array" ref="O501">(VLOOKUP($A501,'The List'!$B1:$AH671,27,FALSE)-AVERAGE('The List'!AB2:AB671))/STDEV('The List'!AB2:AB671)</f>
        <v>0.49078424157954142</v>
      </c>
      <c r="P501" s="55" cm="1">
        <f t="array" ref="P501">(VLOOKUP($A501,'The List'!$B1:$AH671,28,FALSE)-AVERAGE('The List'!AC2:AC671))/STDEV('The List'!AC2:AC671)</f>
        <v>1.1625466269028852</v>
      </c>
      <c r="Q501" s="55" cm="1">
        <f t="array" ref="Q501">(VLOOKUP($A501,'The List'!$B1:$AH671,29,FALSE)-AVERAGE('The List'!AD2:AD671))/STDEV('The List'!AD2:AD671)</f>
        <v>2.264650605278026</v>
      </c>
      <c r="R501" s="55" cm="1">
        <f t="array" ref="R501">(VLOOKUP($A501,'The List'!$B1:$AH671,30,FALSE)-AVERAGE('The List'!AE2:AE671))/STDEV('The List'!AE2:AE671)</f>
        <v>-0.88912393746976826</v>
      </c>
      <c r="S501" s="55" cm="1">
        <f t="array" ref="S501">(VLOOKUP($A501,'The List'!$B1:$AH671,31,FALSE)-AVERAGE('The List'!AF2:AF671))/STDEV('The List'!AF2:AF671)</f>
        <v>-0.59581850454342256</v>
      </c>
      <c r="T501" s="55" cm="1">
        <f t="array" ref="T501">(VLOOKUP($A501,'The List'!$B1:$AH671,32,FALSE)-AVERAGE('The List'!AG2:AG671))/STDEV('The List'!AG2:AG671)</f>
        <v>-0.64684275008198677</v>
      </c>
      <c r="U501" s="55" cm="1">
        <f t="array" ref="U501">(VLOOKUP($A501,'The List'!$B1:$AH671,33,FALSE)-AVERAGE('The List'!AH2:AH671))/STDEV('The List'!AH2:AH671)</f>
        <v>-1.2552626683789523</v>
      </c>
      <c r="V501" s="55"/>
      <c r="W501" s="77"/>
      <c r="X501" s="57"/>
      <c r="Y501" s="57"/>
      <c r="Z501" s="57"/>
      <c r="AA501" s="57"/>
      <c r="AB501" s="57"/>
      <c r="AC501" s="60"/>
      <c r="AD501" s="61"/>
      <c r="AE501" s="55"/>
    </row>
    <row r="502" spans="1:31" ht="21.25" customHeight="1" x14ac:dyDescent="0.15">
      <c r="A502" s="10" t="s">
        <v>408</v>
      </c>
      <c r="B502" s="18" t="str" cm="1">
        <f t="array" ref="B502">VLOOKUP(A502,'Player Data'!A1:B673,2,FALSE)</f>
        <v>NYI</v>
      </c>
      <c r="C502" s="52" cm="1">
        <f t="array" ref="C502">((E502)*Settings!$C$12)+(F502*Settings!$C$2)+(G502*Settings!$C$3)+(H502*Settings!$C$4)+(I502*Settings!$C$5)+(K502*Settings!$C$9)+(N502*Settings!$C$6)+(J502*Settings!$C$8)+(O502*Settings!$C$7)+(P502*Settings!$C$14)+(Q502*Settings!$C$15)+(R502*Settings!$C$16)+(S502*Settings!$C$17)+(T502*Settings!$C$18)+(U502*Settings!$C$19)+(L502*Settings!$C$10)+(Settings!$C$11*M502)</f>
        <v>-3.7901172691849743</v>
      </c>
      <c r="D502" s="57" cm="1">
        <f t="array" ref="D502">IF(Settings!$E$12="YES",VLOOKUP(A502,'Player Data'!A1:E673,5,FALSE),82)</f>
        <v>79</v>
      </c>
      <c r="E502" s="55" cm="1">
        <f t="array" ref="E502">(VLOOKUP($A502,'The List'!$B1:$AH671,17,FALSE)-AVERAGE('The List'!R2:R671))/STDEV('The List'!R2:R671)</f>
        <v>1.0717505211916125</v>
      </c>
      <c r="F502" s="55" cm="1">
        <f t="array" ref="F502">(VLOOKUP($A502,'The List'!$B1:$AH671,18,FALSE)-AVERAGE('The List'!S2:S671))/STDEV('The List'!S2:S671)</f>
        <v>-1.2148187637881243</v>
      </c>
      <c r="G502" s="55" cm="1">
        <f t="array" ref="G502">(VLOOKUP($A502,'The List'!$B1:$AH671,19,FALSE)-AVERAGE('The List'!T2:T671))/STDEV('The List'!T2:T671)</f>
        <v>-0.44096998841246426</v>
      </c>
      <c r="H502" s="55" cm="1">
        <f t="array" ref="H502">(VLOOKUP($A502,'The List'!$B1:$AH671,20,FALSE)-AVERAGE('The List'!U2:U671))/STDEV('The List'!U2:U671)</f>
        <v>-0.81554918436301282</v>
      </c>
      <c r="I502" s="55" cm="1">
        <f t="array" ref="I502">(VLOOKUP($A502,'The List'!$B1:$AH671,21,FALSE)-AVERAGE('The List'!V2:V671))/STDEV('The List'!V2:V671)</f>
        <v>-0.32783673488984377</v>
      </c>
      <c r="J502" s="55" cm="1">
        <f t="array" ref="J502">(VLOOKUP($A502,'The List'!$B1:$AH671,22,FALSE)-AVERAGE('The List'!W2:W671))/STDEV('The List'!W2:W671)</f>
        <v>-0.73853908386105271</v>
      </c>
      <c r="K502" s="55" cm="1">
        <f t="array" ref="K502">(VLOOKUP($A502,'The List'!$B1:$AH671,23,FALSE)-AVERAGE('The List'!X2:X671))/STDEV('The List'!X2:X671)</f>
        <v>-0.80155300200843405</v>
      </c>
      <c r="L502" s="55" cm="1">
        <f t="array" ref="L502">(VLOOKUP($A502,'The List'!$B1:$AH671,24,FALSE)-AVERAGE('The List'!Y2:Y671))/STDEV('The List'!Y2:Y671)</f>
        <v>-0.47546929358800777</v>
      </c>
      <c r="M502" s="55" cm="1">
        <f t="array" ref="M502">(VLOOKUP($A502,'The List'!$B1:$AH671,25,FALSE)-AVERAGE('The List'!Z2:Z671))/STDEV('The List'!Z2:Z671)</f>
        <v>0.21454458398012499</v>
      </c>
      <c r="N502" s="55" cm="1">
        <f t="array" ref="N502">(VLOOKUP($A502,'The List'!$B1:$AH671,26,FALSE)-AVERAGE('The List'!AA2:AA671))/STDEV('The List'!AA2:AA671)</f>
        <v>1.6054087149203597</v>
      </c>
      <c r="O502" s="55" cm="1">
        <f t="array" ref="O502">(VLOOKUP($A502,'The List'!$B1:$AH671,27,FALSE)-AVERAGE('The List'!AB2:AB671))/STDEV('The List'!AB2:AB671)</f>
        <v>-0.21416756135311912</v>
      </c>
      <c r="P502" s="55" cm="1">
        <f t="array" ref="P502">(VLOOKUP($A502,'The List'!$B1:$AH671,28,FALSE)-AVERAGE('The List'!AC2:AC671))/STDEV('The List'!AC2:AC671)</f>
        <v>-0.79077121873298861</v>
      </c>
      <c r="Q502" s="55" cm="1">
        <f t="array" ref="Q502">(VLOOKUP($A502,'The List'!$B1:$AH671,29,FALSE)-AVERAGE('The List'!AD2:AD671))/STDEV('The List'!AD2:AD671)</f>
        <v>0.83646523793558125</v>
      </c>
      <c r="R502" s="55" cm="1">
        <f t="array" ref="R502">(VLOOKUP($A502,'The List'!$B1:$AH671,30,FALSE)-AVERAGE('The List'!AE2:AE671))/STDEV('The List'!AE2:AE671)</f>
        <v>-1.3444971337400937</v>
      </c>
      <c r="S502" s="55" cm="1">
        <f t="array" ref="S502">(VLOOKUP($A502,'The List'!$B1:$AH671,31,FALSE)-AVERAGE('The List'!AF2:AF671))/STDEV('The List'!AF2:AF671)</f>
        <v>-0.59581850454342256</v>
      </c>
      <c r="T502" s="55" cm="1">
        <f t="array" ref="T502">(VLOOKUP($A502,'The List'!$B1:$AH671,32,FALSE)-AVERAGE('The List'!AG2:AG671))/STDEV('The List'!AG2:AG671)</f>
        <v>-0.64684275008198677</v>
      </c>
      <c r="U502" s="55" cm="1">
        <f t="array" ref="U502">(VLOOKUP($A502,'The List'!$B1:$AH671,33,FALSE)-AVERAGE('The List'!AH2:AH671))/STDEV('The List'!AH2:AH671)</f>
        <v>-1.2552626683789523</v>
      </c>
      <c r="V502" s="55"/>
      <c r="W502" s="57"/>
      <c r="X502" s="57"/>
      <c r="Y502" s="57"/>
      <c r="Z502" s="57"/>
      <c r="AA502" s="57"/>
      <c r="AB502" s="57"/>
      <c r="AC502" s="60"/>
      <c r="AD502" s="61"/>
      <c r="AE502" s="55"/>
    </row>
    <row r="503" spans="1:31" ht="21.25" customHeight="1" x14ac:dyDescent="0.15">
      <c r="A503" s="10" t="s">
        <v>512</v>
      </c>
      <c r="B503" s="18" t="str" cm="1">
        <f t="array" ref="B503">VLOOKUP(A503,'Player Data'!A1:B673,2,FALSE)</f>
        <v>ANA</v>
      </c>
      <c r="C503" s="52" cm="1">
        <f t="array" ref="C503">((E503)*Settings!$C$12)+(F503*Settings!$C$2)+(G503*Settings!$C$3)+(H503*Settings!$C$4)+(I503*Settings!$C$5)+(K503*Settings!$C$9)+(N503*Settings!$C$6)+(J503*Settings!$C$8)+(O503*Settings!$C$7)+(P503*Settings!$C$14)+(Q503*Settings!$C$15)+(R503*Settings!$C$16)+(S503*Settings!$C$17)+(T503*Settings!$C$18)+(U503*Settings!$C$19)+(L503*Settings!$C$10)+(Settings!$C$11*M503)</f>
        <v>-5.552338543707199</v>
      </c>
      <c r="D503" s="57" cm="1">
        <f t="array" ref="D503">IF(Settings!$E$12="YES",VLOOKUP(A503,'Player Data'!A1:E673,5,FALSE),82)</f>
        <v>78</v>
      </c>
      <c r="E503" s="55" cm="1">
        <f t="array" ref="E503">(VLOOKUP($A503,'The List'!$B1:$AH671,17,FALSE)-AVERAGE('The List'!R2:R671))/STDEV('The List'!R2:R671)</f>
        <v>0.70450097873070472</v>
      </c>
      <c r="F503" s="55" cm="1">
        <f t="array" ref="F503">(VLOOKUP($A503,'The List'!$B1:$AH671,18,FALSE)-AVERAGE('The List'!S2:S671))/STDEV('The List'!S2:S671)</f>
        <v>-1.2946539077845292</v>
      </c>
      <c r="G503" s="55" cm="1">
        <f t="array" ref="G503">(VLOOKUP($A503,'The List'!$B1:$AH671,19,FALSE)-AVERAGE('The List'!T2:T671))/STDEV('The List'!T2:T671)</f>
        <v>-0.73049669888043023</v>
      </c>
      <c r="H503" s="55" cm="1">
        <f t="array" ref="H503">(VLOOKUP($A503,'The List'!$B1:$AH671,20,FALSE)-AVERAGE('The List'!U2:U671))/STDEV('The List'!U2:U671)</f>
        <v>-1.0330486631420051</v>
      </c>
      <c r="I503" s="55" cm="1">
        <f t="array" ref="I503">(VLOOKUP($A503,'The List'!$B1:$AH671,21,FALSE)-AVERAGE('The List'!V2:V671))/STDEV('The List'!V2:V671)</f>
        <v>-1.4698634697430493</v>
      </c>
      <c r="J503" s="55" cm="1">
        <f t="array" ref="J503">(VLOOKUP($A503,'The List'!$B1:$AH671,22,FALSE)-AVERAGE('The List'!W2:W671))/STDEV('The List'!W2:W671)</f>
        <v>-0.73853908386105271</v>
      </c>
      <c r="K503" s="55" cm="1">
        <f t="array" ref="K503">(VLOOKUP($A503,'The List'!$B1:$AH671,23,FALSE)-AVERAGE('The List'!X2:X671))/STDEV('The List'!X2:X671)</f>
        <v>-0.80155300200843405</v>
      </c>
      <c r="L503" s="55" cm="1">
        <f t="array" ref="L503">(VLOOKUP($A503,'The List'!$B1:$AH671,24,FALSE)-AVERAGE('The List'!Y2:Y671))/STDEV('The List'!Y2:Y671)</f>
        <v>-0.47546929358800777</v>
      </c>
      <c r="M503" s="55" cm="1">
        <f t="array" ref="M503">(VLOOKUP($A503,'The List'!$B1:$AH671,25,FALSE)-AVERAGE('The List'!Z2:Z671))/STDEV('The List'!Z2:Z671)</f>
        <v>-0.64388478613809508</v>
      </c>
      <c r="N503" s="55" cm="1">
        <f t="array" ref="N503">(VLOOKUP($A503,'The List'!$B1:$AH671,26,FALSE)-AVERAGE('The List'!AA2:AA671))/STDEV('The List'!AA2:AA671)</f>
        <v>0.76766519351237528</v>
      </c>
      <c r="O503" s="55" cm="1">
        <f t="array" ref="O503">(VLOOKUP($A503,'The List'!$B1:$AH671,27,FALSE)-AVERAGE('The List'!AB2:AB671))/STDEV('The List'!AB2:AB671)</f>
        <v>-0.47368165920503774</v>
      </c>
      <c r="P503" s="55" cm="1">
        <f t="array" ref="P503">(VLOOKUP($A503,'The List'!$B1:$AH671,28,FALSE)-AVERAGE('The List'!AC2:AC671))/STDEV('The List'!AC2:AC671)</f>
        <v>-0.7820898060857181</v>
      </c>
      <c r="Q503" s="55" cm="1">
        <f t="array" ref="Q503">(VLOOKUP($A503,'The List'!$B1:$AH671,29,FALSE)-AVERAGE('The List'!AD2:AD671))/STDEV('The List'!AD2:AD671)</f>
        <v>-1.163585351508805</v>
      </c>
      <c r="R503" s="55" cm="1">
        <f t="array" ref="R503">(VLOOKUP($A503,'The List'!$B1:$AH671,30,FALSE)-AVERAGE('The List'!AE2:AE671))/STDEV('The List'!AE2:AE671)</f>
        <v>-1.3444971337400937</v>
      </c>
      <c r="S503" s="55" cm="1">
        <f t="array" ref="S503">(VLOOKUP($A503,'The List'!$B1:$AH671,31,FALSE)-AVERAGE('The List'!AF2:AF671))/STDEV('The List'!AF2:AF671)</f>
        <v>-0.59581850454342256</v>
      </c>
      <c r="T503" s="55" cm="1">
        <f t="array" ref="T503">(VLOOKUP($A503,'The List'!$B1:$AH671,32,FALSE)-AVERAGE('The List'!AG2:AG671))/STDEV('The List'!AG2:AG671)</f>
        <v>-0.64684275008198677</v>
      </c>
      <c r="U503" s="55" cm="1">
        <f t="array" ref="U503">(VLOOKUP($A503,'The List'!$B1:$AH671,33,FALSE)-AVERAGE('The List'!AH2:AH671))/STDEV('The List'!AH2:AH671)</f>
        <v>-1.2552626683789523</v>
      </c>
      <c r="V503" s="55"/>
      <c r="W503" s="77"/>
      <c r="X503" s="57"/>
      <c r="Y503" s="57"/>
      <c r="Z503" s="57"/>
      <c r="AA503" s="57"/>
      <c r="AB503" s="57"/>
      <c r="AC503" s="60"/>
      <c r="AD503" s="61"/>
      <c r="AE503" s="55"/>
    </row>
    <row r="504" spans="1:31" ht="21.25" customHeight="1" x14ac:dyDescent="0.15">
      <c r="A504" s="10" t="s">
        <v>465</v>
      </c>
      <c r="B504" s="18" t="str" cm="1">
        <f t="array" ref="B504">VLOOKUP(A504,'Player Data'!A1:B673,2,FALSE)</f>
        <v>ANA</v>
      </c>
      <c r="C504" s="52" cm="1">
        <f t="array" ref="C504">((E504)*Settings!$C$12)+(F504*Settings!$C$2)+(G504*Settings!$C$3)+(H504*Settings!$C$4)+(I504*Settings!$C$5)+(K504*Settings!$C$9)+(N504*Settings!$C$6)+(J504*Settings!$C$8)+(O504*Settings!$C$7)+(P504*Settings!$C$14)+(Q504*Settings!$C$15)+(R504*Settings!$C$16)+(S504*Settings!$C$17)+(T504*Settings!$C$18)+(U504*Settings!$C$19)+(L504*Settings!$C$10)+(Settings!$C$11*M504)</f>
        <v>-4.4802205309133454</v>
      </c>
      <c r="D504" s="57" cm="1">
        <f t="array" ref="D504">IF(Settings!$E$12="YES",VLOOKUP(A504,'Player Data'!A1:E673,5,FALSE),82)</f>
        <v>78</v>
      </c>
      <c r="E504" s="55" cm="1">
        <f t="array" ref="E504">(VLOOKUP($A504,'The List'!$B1:$AH671,17,FALSE)-AVERAGE('The List'!R2:R671))/STDEV('The List'!R2:R671)</f>
        <v>-0.21362287742156597</v>
      </c>
      <c r="F504" s="55" cm="1">
        <f t="array" ref="F504">(VLOOKUP($A504,'The List'!$B1:$AH671,18,FALSE)-AVERAGE('The List'!S2:S671))/STDEV('The List'!S2:S671)</f>
        <v>-0.90545758080205552</v>
      </c>
      <c r="G504" s="55" cm="1">
        <f t="array" ref="G504">(VLOOKUP($A504,'The List'!$B1:$AH671,19,FALSE)-AVERAGE('The List'!T2:T671))/STDEV('The List'!T2:T671)</f>
        <v>-0.78531000814378316</v>
      </c>
      <c r="H504" s="55" cm="1">
        <f t="array" ref="H504">(VLOOKUP($A504,'The List'!$B1:$AH671,20,FALSE)-AVERAGE('The List'!U2:U671))/STDEV('The List'!U2:U671)</f>
        <v>-0.89512216440410763</v>
      </c>
      <c r="I504" s="55" cm="1">
        <f t="array" ref="I504">(VLOOKUP($A504,'The List'!$B1:$AH671,21,FALSE)-AVERAGE('The List'!V2:V671))/STDEV('The List'!V2:V671)</f>
        <v>-0.67476406977414571</v>
      </c>
      <c r="J504" s="55" cm="1">
        <f t="array" ref="J504">(VLOOKUP($A504,'The List'!$B1:$AH671,22,FALSE)-AVERAGE('The List'!W2:W671))/STDEV('The List'!W2:W671)</f>
        <v>-0.73853908386105271</v>
      </c>
      <c r="K504" s="55" cm="1">
        <f t="array" ref="K504">(VLOOKUP($A504,'The List'!$B1:$AH671,23,FALSE)-AVERAGE('The List'!X2:X671))/STDEV('The List'!X2:X671)</f>
        <v>-0.80155300200843405</v>
      </c>
      <c r="L504" s="55" cm="1">
        <f t="array" ref="L504">(VLOOKUP($A504,'The List'!$B1:$AH671,24,FALSE)-AVERAGE('The List'!Y2:Y671))/STDEV('The List'!Y2:Y671)</f>
        <v>-0.47546929358800777</v>
      </c>
      <c r="M504" s="55" cm="1">
        <f t="array" ref="M504">(VLOOKUP($A504,'The List'!$B1:$AH671,25,FALSE)-AVERAGE('The List'!Z2:Z671))/STDEV('The List'!Z2:Z671)</f>
        <v>0.20367838942166649</v>
      </c>
      <c r="N504" s="55" cm="1">
        <f t="array" ref="N504">(VLOOKUP($A504,'The List'!$B1:$AH671,26,FALSE)-AVERAGE('The List'!AA2:AA671))/STDEV('The List'!AA2:AA671)</f>
        <v>0.96688468945695716</v>
      </c>
      <c r="O504" s="55" cm="1">
        <f t="array" ref="O504">(VLOOKUP($A504,'The List'!$B1:$AH671,27,FALSE)-AVERAGE('The List'!AB2:AB671))/STDEV('The List'!AB2:AB671)</f>
        <v>-0.36175851747743309</v>
      </c>
      <c r="P504" s="55" cm="1">
        <f t="array" ref="P504">(VLOOKUP($A504,'The List'!$B1:$AH671,28,FALSE)-AVERAGE('The List'!AC2:AC671))/STDEV('The List'!AC2:AC671)</f>
        <v>-0.95137735270749391</v>
      </c>
      <c r="Q504" s="55" cm="1">
        <f t="array" ref="Q504">(VLOOKUP($A504,'The List'!$B1:$AH671,29,FALSE)-AVERAGE('The List'!AD2:AD671))/STDEV('The List'!AD2:AD671)</f>
        <v>-0.12624843699830685</v>
      </c>
      <c r="R504" s="55" cm="1">
        <f t="array" ref="R504">(VLOOKUP($A504,'The List'!$B1:$AH671,30,FALSE)-AVERAGE('The List'!AE2:AE671))/STDEV('The List'!AE2:AE671)</f>
        <v>-0.85793399251974589</v>
      </c>
      <c r="S504" s="55" cm="1">
        <f t="array" ref="S504">(VLOOKUP($A504,'The List'!$B1:$AH671,31,FALSE)-AVERAGE('The List'!AF2:AF671))/STDEV('The List'!AF2:AF671)</f>
        <v>-0.59581850454342256</v>
      </c>
      <c r="T504" s="55" cm="1">
        <f t="array" ref="T504">(VLOOKUP($A504,'The List'!$B1:$AH671,32,FALSE)-AVERAGE('The List'!AG2:AG671))/STDEV('The List'!AG2:AG671)</f>
        <v>-0.63490085276086428</v>
      </c>
      <c r="U504" s="55" cm="1">
        <f t="array" ref="U504">(VLOOKUP($A504,'The List'!$B1:$AH671,33,FALSE)-AVERAGE('The List'!AH2:AH671))/STDEV('The List'!AH2:AH671)</f>
        <v>-1.2552626683789523</v>
      </c>
      <c r="V504" s="55"/>
      <c r="W504" s="77"/>
      <c r="X504" s="57"/>
      <c r="Y504" s="57"/>
      <c r="Z504" s="57"/>
      <c r="AA504" s="57"/>
      <c r="AB504" s="57"/>
      <c r="AC504" s="60"/>
      <c r="AD504" s="61"/>
      <c r="AE504" s="55"/>
    </row>
    <row r="505" spans="1:31" ht="21.25" customHeight="1" x14ac:dyDescent="0.15">
      <c r="A505" s="10" t="s">
        <v>560</v>
      </c>
      <c r="B505" s="18" t="str" cm="1">
        <f t="array" ref="B505">VLOOKUP(A505,'Player Data'!A1:B673,2,FALSE)</f>
        <v>EDM</v>
      </c>
      <c r="C505" s="52" cm="1">
        <f t="array" ref="C505">((E505)*Settings!$C$12)+(F505*Settings!$C$2)+(G505*Settings!$C$3)+(H505*Settings!$C$4)+(I505*Settings!$C$5)+(K505*Settings!$C$9)+(N505*Settings!$C$6)+(J505*Settings!$C$8)+(O505*Settings!$C$7)+(P505*Settings!$C$14)+(Q505*Settings!$C$15)+(R505*Settings!$C$16)+(S505*Settings!$C$17)+(T505*Settings!$C$18)+(U505*Settings!$C$19)+(L505*Settings!$C$10)+(Settings!$C$11*M505)</f>
        <v>-4.0093014959949658</v>
      </c>
      <c r="D505" s="57" cm="1">
        <f t="array" ref="D505">IF(Settings!$E$12="YES",VLOOKUP(A505,'Player Data'!A1:E673,5,FALSE),82)</f>
        <v>63</v>
      </c>
      <c r="E505" s="55" cm="1">
        <f t="array" ref="E505">(VLOOKUP($A505,'The List'!$B1:$AH671,17,FALSE)-AVERAGE('The List'!R2:R671))/STDEV('The List'!R2:R671)</f>
        <v>-0.21362287742156597</v>
      </c>
      <c r="F505" s="55" cm="1">
        <f t="array" ref="F505">(VLOOKUP($A505,'The List'!$B1:$AH671,18,FALSE)-AVERAGE('The List'!S2:S671))/STDEV('The List'!S2:S671)</f>
        <v>-0.93240194190084213</v>
      </c>
      <c r="G505" s="55" cm="1">
        <f t="array" ref="G505">(VLOOKUP($A505,'The List'!$B1:$AH671,19,FALSE)-AVERAGE('The List'!T2:T671))/STDEV('The List'!T2:T671)</f>
        <v>-0.99823863258988454</v>
      </c>
      <c r="H505" s="55" cm="1">
        <f t="array" ref="H505">(VLOOKUP($A505,'The List'!$B1:$AH671,20,FALSE)-AVERAGE('The List'!U2:U671))/STDEV('The List'!U2:U671)</f>
        <v>-1.0410059611461147</v>
      </c>
      <c r="I505" s="55" cm="1">
        <f t="array" ref="I505">(VLOOKUP($A505,'The List'!$B1:$AH671,21,FALSE)-AVERAGE('The List'!V2:V671))/STDEV('The List'!V2:V671)</f>
        <v>-1.1718307741875607</v>
      </c>
      <c r="J505" s="55" cm="1">
        <f t="array" ref="J505">(VLOOKUP($A505,'The List'!$B1:$AH671,22,FALSE)-AVERAGE('The List'!W2:W671))/STDEV('The List'!W2:W671)</f>
        <v>-0.73853908386105271</v>
      </c>
      <c r="K505" s="55" cm="1">
        <f t="array" ref="K505">(VLOOKUP($A505,'The List'!$B1:$AH671,23,FALSE)-AVERAGE('The List'!X2:X671))/STDEV('The List'!X2:X671)</f>
        <v>-0.80155300200843405</v>
      </c>
      <c r="L505" s="55" cm="1">
        <f t="array" ref="L505">(VLOOKUP($A505,'The List'!$B1:$AH671,24,FALSE)-AVERAGE('The List'!Y2:Y671))/STDEV('The List'!Y2:Y671)</f>
        <v>-0.47546929358800777</v>
      </c>
      <c r="M505" s="55" cm="1">
        <f t="array" ref="M505">(VLOOKUP($A505,'The List'!$B1:$AH671,25,FALSE)-AVERAGE('The List'!Z2:Z671))/STDEV('The List'!Z2:Z671)</f>
        <v>-0.64388478613809508</v>
      </c>
      <c r="N505" s="55" cm="1">
        <f t="array" ref="N505">(VLOOKUP($A505,'The List'!$B1:$AH671,26,FALSE)-AVERAGE('The List'!AA2:AA671))/STDEV('The List'!AA2:AA671)</f>
        <v>0.35620031150375869</v>
      </c>
      <c r="O505" s="55" cm="1">
        <f t="array" ref="O505">(VLOOKUP($A505,'The List'!$B1:$AH671,27,FALSE)-AVERAGE('The List'!AB2:AB671))/STDEV('The List'!AB2:AB671)</f>
        <v>-0.68399877168218537</v>
      </c>
      <c r="P505" s="55" cm="1">
        <f t="array" ref="P505">(VLOOKUP($A505,'The List'!$B1:$AH671,28,FALSE)-AVERAGE('The List'!AC2:AC671))/STDEV('The List'!AC2:AC671)</f>
        <v>0.57872162637394076</v>
      </c>
      <c r="Q505" s="55" cm="1">
        <f t="array" ref="Q505">(VLOOKUP($A505,'The List'!$B1:$AH671,29,FALSE)-AVERAGE('The List'!AD2:AD671))/STDEV('The List'!AD2:AD671)</f>
        <v>-0.60501932061853669</v>
      </c>
      <c r="R505" s="55" cm="1">
        <f t="array" ref="R505">(VLOOKUP($A505,'The List'!$B1:$AH671,30,FALSE)-AVERAGE('The List'!AE2:AE671))/STDEV('The List'!AE2:AE671)</f>
        <v>-0.95150382736981287</v>
      </c>
      <c r="S505" s="55" cm="1">
        <f t="array" ref="S505">(VLOOKUP($A505,'The List'!$B1:$AH671,31,FALSE)-AVERAGE('The List'!AF2:AF671))/STDEV('The List'!AF2:AF671)</f>
        <v>-0.59581850454342256</v>
      </c>
      <c r="T505" s="55" cm="1">
        <f t="array" ref="T505">(VLOOKUP($A505,'The List'!$B1:$AH671,32,FALSE)-AVERAGE('The List'!AG2:AG671))/STDEV('The List'!AG2:AG671)</f>
        <v>-0.64684275008198677</v>
      </c>
      <c r="U505" s="55" cm="1">
        <f t="array" ref="U505">(VLOOKUP($A505,'The List'!$B1:$AH671,33,FALSE)-AVERAGE('The List'!AH2:AH671))/STDEV('The List'!AH2:AH671)</f>
        <v>-1.2552626683789523</v>
      </c>
      <c r="V505" s="55"/>
      <c r="W505" s="77"/>
      <c r="X505" s="57"/>
      <c r="Y505" s="57"/>
      <c r="Z505" s="57"/>
      <c r="AA505" s="57"/>
      <c r="AB505" s="57"/>
      <c r="AC505" s="60"/>
      <c r="AD505" s="61"/>
      <c r="AE505" s="55"/>
    </row>
    <row r="506" spans="1:31" ht="21.25" customHeight="1" x14ac:dyDescent="0.15">
      <c r="A506" s="10" t="s">
        <v>687</v>
      </c>
      <c r="B506" s="18" t="str" cm="1">
        <f t="array" ref="B506">VLOOKUP(A506,'Player Data'!A1:B673,2,FALSE)</f>
        <v>PHI</v>
      </c>
      <c r="C506" s="52" cm="1">
        <f t="array" ref="C506">((E506)*Settings!$C$12)+(F506*Settings!$C$2)+(G506*Settings!$C$3)+(H506*Settings!$C$4)+(I506*Settings!$C$5)+(K506*Settings!$C$9)+(N506*Settings!$C$6)+(J506*Settings!$C$8)+(O506*Settings!$C$7)+(P506*Settings!$C$14)+(Q506*Settings!$C$15)+(R506*Settings!$C$16)+(S506*Settings!$C$17)+(T506*Settings!$C$18)+(U506*Settings!$C$19)+(L506*Settings!$C$10)+(Settings!$C$11*M506)</f>
        <v>-2.4421427064460115</v>
      </c>
      <c r="D506" s="57" cm="1">
        <f t="array" ref="D506">IF(Settings!$E$12="YES",VLOOKUP(A506,'Player Data'!A1:E673,5,FALSE),82)</f>
        <v>78</v>
      </c>
      <c r="E506" s="55" cm="1">
        <f t="array" ref="E506">(VLOOKUP($A506,'The List'!$B1:$AH671,17,FALSE)-AVERAGE('The List'!R2:R671))/STDEV('The List'!R2:R671)</f>
        <v>-0.86942563181604504</v>
      </c>
      <c r="F506" s="55" cm="1">
        <f t="array" ref="F506">(VLOOKUP($A506,'The List'!$B1:$AH671,18,FALSE)-AVERAGE('The List'!S2:S671))/STDEV('The List'!S2:S671)</f>
        <v>-0.51626125381958199</v>
      </c>
      <c r="G506" s="55" cm="1">
        <f t="array" ref="G506">(VLOOKUP($A506,'The List'!$B1:$AH671,19,FALSE)-AVERAGE('The List'!T2:T671))/STDEV('The List'!T2:T671)</f>
        <v>-1.0045632451971944</v>
      </c>
      <c r="H506" s="55" cm="1">
        <f t="array" ref="H506">(VLOOKUP($A506,'The List'!$B1:$AH671,20,FALSE)-AVERAGE('The List'!U2:U671))/STDEV('The List'!U2:U671)</f>
        <v>-0.86064053971963328</v>
      </c>
      <c r="I506" s="55" cm="1">
        <f t="array" ref="I506">(VLOOKUP($A506,'The List'!$B1:$AH671,21,FALSE)-AVERAGE('The List'!V2:V671))/STDEV('The List'!V2:V671)</f>
        <v>-0.58043024265919152</v>
      </c>
      <c r="J506" s="55" cm="1">
        <f t="array" ref="J506">(VLOOKUP($A506,'The List'!$B1:$AH671,22,FALSE)-AVERAGE('The List'!W2:W671))/STDEV('The List'!W2:W671)</f>
        <v>-0.73853908386105271</v>
      </c>
      <c r="K506" s="55" cm="1">
        <f t="array" ref="K506">(VLOOKUP($A506,'The List'!$B1:$AH671,23,FALSE)-AVERAGE('The List'!X2:X671))/STDEV('The List'!X2:X671)</f>
        <v>-0.80155300200843405</v>
      </c>
      <c r="L506" s="55" cm="1">
        <f t="array" ref="L506">(VLOOKUP($A506,'The List'!$B1:$AH671,24,FALSE)-AVERAGE('The List'!Y2:Y671))/STDEV('The List'!Y2:Y671)</f>
        <v>-0.47546929358800777</v>
      </c>
      <c r="M506" s="55" cm="1">
        <f t="array" ref="M506">(VLOOKUP($A506,'The List'!$B1:$AH671,25,FALSE)-AVERAGE('The List'!Z2:Z671))/STDEV('The List'!Z2:Z671)</f>
        <v>0.20367838942166649</v>
      </c>
      <c r="N506" s="55" cm="1">
        <f t="array" ref="N506">(VLOOKUP($A506,'The List'!$B1:$AH671,26,FALSE)-AVERAGE('The List'!AA2:AA671))/STDEV('The List'!AA2:AA671)</f>
        <v>0.34930425202875404</v>
      </c>
      <c r="O506" s="55" cm="1">
        <f t="array" ref="O506">(VLOOKUP($A506,'The List'!$B1:$AH671,27,FALSE)-AVERAGE('The List'!AB2:AB671))/STDEV('The List'!AB2:AB671)</f>
        <v>0.56560465683700589</v>
      </c>
      <c r="P506" s="55" cm="1">
        <f t="array" ref="P506">(VLOOKUP($A506,'The List'!$B1:$AH671,28,FALSE)-AVERAGE('The List'!AC2:AC671))/STDEV('The List'!AC2:AC671)</f>
        <v>-0.1049396195986151</v>
      </c>
      <c r="Q506" s="55" cm="1">
        <f t="array" ref="Q506">(VLOOKUP($A506,'The List'!$B1:$AH671,29,FALSE)-AVERAGE('The List'!AD2:AD671))/STDEV('The List'!AD2:AD671)</f>
        <v>-0.99069586575705537</v>
      </c>
      <c r="R506" s="55" cm="1">
        <f t="array" ref="R506">(VLOOKUP($A506,'The List'!$B1:$AH671,30,FALSE)-AVERAGE('The List'!AE2:AE671))/STDEV('The List'!AE2:AE671)</f>
        <v>-0.37137085129939812</v>
      </c>
      <c r="S506" s="55" cm="1">
        <f t="array" ref="S506">(VLOOKUP($A506,'The List'!$B1:$AH671,31,FALSE)-AVERAGE('The List'!AF2:AF671))/STDEV('The List'!AF2:AF671)</f>
        <v>1.1516931497804095</v>
      </c>
      <c r="T506" s="55" cm="1">
        <f t="array" ref="T506">(VLOOKUP($A506,'The List'!$B1:$AH671,32,FALSE)-AVERAGE('The List'!AG2:AG671))/STDEV('The List'!AG2:AG671)</f>
        <v>0.99317781535215621</v>
      </c>
      <c r="U506" s="55" cm="1">
        <f t="array" ref="U506">(VLOOKUP($A506,'The List'!$B1:$AH671,33,FALSE)-AVERAGE('The List'!AH2:AH671))/STDEV('The List'!AH2:AH671)</f>
        <v>1.1826962348680212</v>
      </c>
      <c r="V506" s="55"/>
      <c r="W506" s="77"/>
      <c r="X506" s="57"/>
      <c r="Y506" s="57"/>
      <c r="Z506" s="57"/>
      <c r="AA506" s="57"/>
      <c r="AB506" s="57"/>
      <c r="AC506" s="60"/>
      <c r="AD506" s="61"/>
      <c r="AE506" s="55"/>
    </row>
    <row r="507" spans="1:31" ht="21.25" customHeight="1" x14ac:dyDescent="0.15">
      <c r="A507" s="10" t="s">
        <v>772</v>
      </c>
      <c r="B507" s="18" t="str" cm="1">
        <f t="array" ref="B507">VLOOKUP(A507,'Player Data'!A1:B673,2,FALSE)</f>
        <v>COL</v>
      </c>
      <c r="C507" s="52" cm="1">
        <f t="array" ref="C507">((E507)*Settings!$C$12)+(F507*Settings!$C$2)+(G507*Settings!$C$3)+(H507*Settings!$C$4)+(I507*Settings!$C$5)+(K507*Settings!$C$9)+(N507*Settings!$C$6)+(J507*Settings!$C$8)+(O507*Settings!$C$7)+(P507*Settings!$C$14)+(Q507*Settings!$C$15)+(R507*Settings!$C$16)+(S507*Settings!$C$17)+(T507*Settings!$C$18)+(U507*Settings!$C$19)+(L507*Settings!$C$10)+(Settings!$C$11*M507)</f>
        <v>-3.0396598546849933</v>
      </c>
      <c r="D507" s="57" cm="1">
        <f t="array" ref="D507">IF(Settings!$E$12="YES",VLOOKUP(A507,'Player Data'!A1:E673,5,FALSE),82)</f>
        <v>69</v>
      </c>
      <c r="E507" s="55" cm="1">
        <f t="array" ref="E507">(VLOOKUP($A507,'The List'!$B1:$AH671,17,FALSE)-AVERAGE('The List'!R2:R671))/STDEV('The List'!R2:R671)</f>
        <v>-1.3940678353316283</v>
      </c>
      <c r="F507" s="55" cm="1">
        <f t="array" ref="F507">(VLOOKUP($A507,'The List'!$B1:$AH671,18,FALSE)-AVERAGE('The List'!S2:S671))/STDEV('The List'!S2:S671)</f>
        <v>-0.68391505621203208</v>
      </c>
      <c r="G507" s="55" cm="1">
        <f t="array" ref="G507">(VLOOKUP($A507,'The List'!$B1:$AH671,19,FALSE)-AVERAGE('The List'!T2:T671))/STDEV('The List'!T2:T671)</f>
        <v>-1.0804585964849136</v>
      </c>
      <c r="H507" s="55" cm="1">
        <f t="array" ref="H507">(VLOOKUP($A507,'The List'!$B1:$AH671,20,FALSE)-AVERAGE('The List'!U2:U671))/STDEV('The List'!U2:U671)</f>
        <v>-0.98265244244931171</v>
      </c>
      <c r="I507" s="55" cm="1">
        <f t="array" ref="I507">(VLOOKUP($A507,'The List'!$B1:$AH671,21,FALSE)-AVERAGE('The List'!V2:V671))/STDEV('The List'!V2:V671)</f>
        <v>-0.99197452139146591</v>
      </c>
      <c r="J507" s="55" cm="1">
        <f t="array" ref="J507">(VLOOKUP($A507,'The List'!$B1:$AH671,22,FALSE)-AVERAGE('The List'!W2:W671))/STDEV('The List'!W2:W671)</f>
        <v>-0.73853908386105271</v>
      </c>
      <c r="K507" s="55" cm="1">
        <f t="array" ref="K507">(VLOOKUP($A507,'The List'!$B1:$AH671,23,FALSE)-AVERAGE('The List'!X2:X671))/STDEV('The List'!X2:X671)</f>
        <v>-0.80155300200843405</v>
      </c>
      <c r="L507" s="55" cm="1">
        <f t="array" ref="L507">(VLOOKUP($A507,'The List'!$B1:$AH671,24,FALSE)-AVERAGE('The List'!Y2:Y671))/STDEV('The List'!Y2:Y671)</f>
        <v>0.78940365730198792</v>
      </c>
      <c r="M507" s="55" cm="1">
        <f t="array" ref="M507">(VLOOKUP($A507,'The List'!$B1:$AH671,25,FALSE)-AVERAGE('The List'!Z2:Z671))/STDEV('The List'!Z2:Z671)</f>
        <v>0.1058826383955402</v>
      </c>
      <c r="N507" s="55" cm="1">
        <f t="array" ref="N507">(VLOOKUP($A507,'The List'!$B1:$AH671,26,FALSE)-AVERAGE('The List'!AA2:AA671))/STDEV('The List'!AA2:AA671)</f>
        <v>-0.81229865509426791</v>
      </c>
      <c r="O507" s="55" cm="1">
        <f t="array" ref="O507">(VLOOKUP($A507,'The List'!$B1:$AH671,27,FALSE)-AVERAGE('The List'!AB2:AB671))/STDEV('The List'!AB2:AB671)</f>
        <v>-0.42509963614745128</v>
      </c>
      <c r="P507" s="55" cm="1">
        <f t="array" ref="P507">(VLOOKUP($A507,'The List'!$B1:$AH671,28,FALSE)-AVERAGE('The List'!AC2:AC671))/STDEV('The List'!AC2:AC671)</f>
        <v>0.94334095755930381</v>
      </c>
      <c r="Q507" s="55" cm="1">
        <f t="array" ref="Q507">(VLOOKUP($A507,'The List'!$B1:$AH671,29,FALSE)-AVERAGE('The List'!AD2:AD671))/STDEV('The List'!AD2:AD671)</f>
        <v>-0.74244429647249144</v>
      </c>
      <c r="R507" s="55" cm="1">
        <f t="array" ref="R507">(VLOOKUP($A507,'The List'!$B1:$AH671,30,FALSE)-AVERAGE('The List'!AE2:AE671))/STDEV('The List'!AE2:AE671)</f>
        <v>-0.48365465311947836</v>
      </c>
      <c r="S507" s="55" cm="1">
        <f t="array" ref="S507">(VLOOKUP($A507,'The List'!$B1:$AH671,31,FALSE)-AVERAGE('The List'!AF2:AF671))/STDEV('The List'!AF2:AF671)</f>
        <v>-0.5228372485936158</v>
      </c>
      <c r="T507" s="55" cm="1">
        <f t="array" ref="T507">(VLOOKUP($A507,'The List'!$B1:$AH671,32,FALSE)-AVERAGE('The List'!AG2:AG671))/STDEV('The List'!AG2:AG671)</f>
        <v>-0.51655358828358722</v>
      </c>
      <c r="U507" s="55" cm="1">
        <f t="array" ref="U507">(VLOOKUP($A507,'The List'!$B1:$AH671,33,FALSE)-AVERAGE('The List'!AH2:AH671))/STDEV('The List'!AH2:AH671)</f>
        <v>0.44670864143497252</v>
      </c>
      <c r="V507" s="55"/>
      <c r="W507" s="77"/>
      <c r="X507" s="57"/>
      <c r="Y507" s="57"/>
      <c r="Z507" s="57"/>
      <c r="AA507" s="57"/>
      <c r="AB507" s="57"/>
      <c r="AC507" s="60"/>
      <c r="AD507" s="61"/>
      <c r="AE507" s="55"/>
    </row>
    <row r="508" spans="1:31" ht="21.25" customHeight="1" x14ac:dyDescent="0.15">
      <c r="A508" s="10" t="s">
        <v>471</v>
      </c>
      <c r="B508" s="18" t="str" cm="1">
        <f t="array" ref="B508">VLOOKUP(A508,'Player Data'!A1:B673,2,FALSE)</f>
        <v>UTA</v>
      </c>
      <c r="C508" s="52" cm="1">
        <f t="array" ref="C508">((E508)*Settings!$C$12)+(F508*Settings!$C$2)+(G508*Settings!$C$3)+(H508*Settings!$C$4)+(I508*Settings!$C$5)+(K508*Settings!$C$9)+(N508*Settings!$C$6)+(J508*Settings!$C$8)+(O508*Settings!$C$7)+(P508*Settings!$C$14)+(Q508*Settings!$C$15)+(R508*Settings!$C$16)+(S508*Settings!$C$17)+(T508*Settings!$C$18)+(U508*Settings!$C$19)+(L508*Settings!$C$10)+(Settings!$C$11*M508)</f>
        <v>-2.5268462063975461</v>
      </c>
      <c r="D508" s="57" cm="1">
        <f t="array" ref="D508">IF(Settings!$E$12="YES",VLOOKUP(A508,'Player Data'!A1:E673,5,FALSE),82)</f>
        <v>82</v>
      </c>
      <c r="E508" s="55" cm="1">
        <f t="array" ref="E508">(VLOOKUP($A508,'The List'!$B1:$AH671,17,FALSE)-AVERAGE('The List'!R2:R671))/STDEV('The List'!R2:R671)</f>
        <v>0.62580464820336701</v>
      </c>
      <c r="F508" s="55" cm="1">
        <f t="array" ref="F508">(VLOOKUP($A508,'The List'!$B1:$AH671,18,FALSE)-AVERAGE('The List'!S2:S671))/STDEV('The List'!S2:S671)</f>
        <v>-0.9633380601994489</v>
      </c>
      <c r="G508" s="55" cm="1">
        <f t="array" ref="G508">(VLOOKUP($A508,'The List'!$B1:$AH671,19,FALSE)-AVERAGE('The List'!T2:T671))/STDEV('The List'!T2:T671)</f>
        <v>-0.6827107369585329</v>
      </c>
      <c r="H508" s="55" cm="1">
        <f t="array" ref="H508">(VLOOKUP($A508,'The List'!$B1:$AH671,20,FALSE)-AVERAGE('The List'!U2:U671))/STDEV('The List'!U2:U671)</f>
        <v>-0.85621981860623897</v>
      </c>
      <c r="I508" s="55" cm="1">
        <f t="array" ref="I508">(VLOOKUP($A508,'The List'!$B1:$AH671,21,FALSE)-AVERAGE('The List'!V2:V671))/STDEV('The List'!V2:V671)</f>
        <v>-0.80987222509263423</v>
      </c>
      <c r="J508" s="55" cm="1">
        <f t="array" ref="J508">(VLOOKUP($A508,'The List'!$B1:$AH671,22,FALSE)-AVERAGE('The List'!W2:W671))/STDEV('The List'!W2:W671)</f>
        <v>-0.73853908386105271</v>
      </c>
      <c r="K508" s="55" cm="1">
        <f t="array" ref="K508">(VLOOKUP($A508,'The List'!$B1:$AH671,23,FALSE)-AVERAGE('The List'!X2:X671))/STDEV('The List'!X2:X671)</f>
        <v>-0.80155300200843405</v>
      </c>
      <c r="L508" s="55" cm="1">
        <f t="array" ref="L508">(VLOOKUP($A508,'The List'!$B1:$AH671,24,FALSE)-AVERAGE('The List'!Y2:Y671))/STDEV('The List'!Y2:Y671)</f>
        <v>-0.47546929358800777</v>
      </c>
      <c r="M508" s="55" cm="1">
        <f t="array" ref="M508">(VLOOKUP($A508,'The List'!$B1:$AH671,25,FALSE)-AVERAGE('The List'!Z2:Z671))/STDEV('The List'!Z2:Z671)</f>
        <v>-0.64388478613809508</v>
      </c>
      <c r="N508" s="55" cm="1">
        <f t="array" ref="N508">(VLOOKUP($A508,'The List'!$B1:$AH671,26,FALSE)-AVERAGE('The List'!AA2:AA671))/STDEV('The List'!AA2:AA671)</f>
        <v>0.97403615854214698</v>
      </c>
      <c r="O508" s="55" cm="1">
        <f t="array" ref="O508">(VLOOKUP($A508,'The List'!$B1:$AH671,27,FALSE)-AVERAGE('The List'!AB2:AB671))/STDEV('The List'!AB2:AB671)</f>
        <v>-5.4277358885112439E-2</v>
      </c>
      <c r="P508" s="55" cm="1">
        <f t="array" ref="P508">(VLOOKUP($A508,'The List'!$B1:$AH671,28,FALSE)-AVERAGE('The List'!AC2:AC671))/STDEV('The List'!AC2:AC671)</f>
        <v>0.78490517674661642</v>
      </c>
      <c r="Q508" s="55" cm="1">
        <f t="array" ref="Q508">(VLOOKUP($A508,'The List'!$B1:$AH671,29,FALSE)-AVERAGE('The List'!AD2:AD671))/STDEV('The List'!AD2:AD671)</f>
        <v>-0.25332959746540507</v>
      </c>
      <c r="R508" s="55" cm="1">
        <f t="array" ref="R508">(VLOOKUP($A508,'The List'!$B1:$AH671,30,FALSE)-AVERAGE('The List'!AE2:AE671))/STDEV('The List'!AE2:AE671)</f>
        <v>-0.83298203655972802</v>
      </c>
      <c r="S508" s="55" cm="1">
        <f t="array" ref="S508">(VLOOKUP($A508,'The List'!$B1:$AH671,31,FALSE)-AVERAGE('The List'!AF2:AF671))/STDEV('The List'!AF2:AF671)</f>
        <v>-0.59581850454342256</v>
      </c>
      <c r="T508" s="55" cm="1">
        <f t="array" ref="T508">(VLOOKUP($A508,'The List'!$B1:$AH671,32,FALSE)-AVERAGE('The List'!AG2:AG671))/STDEV('The List'!AG2:AG671)</f>
        <v>-0.64684275008198677</v>
      </c>
      <c r="U508" s="55" cm="1">
        <f t="array" ref="U508">(VLOOKUP($A508,'The List'!$B1:$AH671,33,FALSE)-AVERAGE('The List'!AH2:AH671))/STDEV('The List'!AH2:AH671)</f>
        <v>-1.2552626683789523</v>
      </c>
      <c r="V508" s="55"/>
      <c r="W508" s="77"/>
      <c r="X508" s="57"/>
      <c r="Y508" s="57"/>
      <c r="Z508" s="57"/>
      <c r="AA508" s="57"/>
      <c r="AB508" s="57"/>
      <c r="AC508" s="60"/>
      <c r="AD508" s="61"/>
      <c r="AE508" s="55"/>
    </row>
    <row r="509" spans="1:31" ht="21.25" customHeight="1" x14ac:dyDescent="0.15">
      <c r="A509" s="10" t="s">
        <v>466</v>
      </c>
      <c r="B509" s="18" t="str" cm="1">
        <f t="array" ref="B509">VLOOKUP(A509,'Player Data'!A1:B673,2,FALSE)</f>
        <v>EDM</v>
      </c>
      <c r="C509" s="52" cm="1">
        <f t="array" ref="C509">((E509)*Settings!$C$12)+(F509*Settings!$C$2)+(G509*Settings!$C$3)+(H509*Settings!$C$4)+(I509*Settings!$C$5)+(K509*Settings!$C$9)+(N509*Settings!$C$6)+(J509*Settings!$C$8)+(O509*Settings!$C$7)+(P509*Settings!$C$14)+(Q509*Settings!$C$15)+(R509*Settings!$C$16)+(S509*Settings!$C$17)+(T509*Settings!$C$18)+(U509*Settings!$C$19)+(L509*Settings!$C$10)+(Settings!$C$11*M509)</f>
        <v>-1.7034893145515837</v>
      </c>
      <c r="D509" s="57" cm="1">
        <f t="array" ref="D509">IF(Settings!$E$12="YES",VLOOKUP(A509,'Player Data'!A1:E673,5,FALSE),82)</f>
        <v>80</v>
      </c>
      <c r="E509" s="55" cm="1">
        <f t="array" ref="E509">(VLOOKUP($A509,'The List'!$B1:$AH671,17,FALSE)-AVERAGE('The List'!R2:R671))/STDEV('The List'!R2:R671)</f>
        <v>0.12739455486356333</v>
      </c>
      <c r="F509" s="55" cm="1">
        <f t="array" ref="F509">(VLOOKUP($A509,'The List'!$B1:$AH671,18,FALSE)-AVERAGE('The List'!S2:S671))/STDEV('The List'!S2:S671)</f>
        <v>-1.0531525971954045</v>
      </c>
      <c r="G509" s="55" cm="1">
        <f t="array" ref="G509">(VLOOKUP($A509,'The List'!$B1:$AH671,19,FALSE)-AVERAGE('The List'!T2:T671))/STDEV('The List'!T2:T671)</f>
        <v>-0.6503849391878378</v>
      </c>
      <c r="H509" s="55" cm="1">
        <f t="array" ref="H509">(VLOOKUP($A509,'The List'!$B1:$AH671,20,FALSE)-AVERAGE('The List'!U2:U671))/STDEV('The List'!U2:U671)</f>
        <v>-0.87567099150517347</v>
      </c>
      <c r="I509" s="55" cm="1">
        <f t="array" ref="I509">(VLOOKUP($A509,'The List'!$B1:$AH671,21,FALSE)-AVERAGE('The List'!V2:V671))/STDEV('The List'!V2:V671)</f>
        <v>-1.0230735852755168</v>
      </c>
      <c r="J509" s="55" cm="1">
        <f t="array" ref="J509">(VLOOKUP($A509,'The List'!$B1:$AH671,22,FALSE)-AVERAGE('The List'!W2:W671))/STDEV('The List'!W2:W671)</f>
        <v>-0.73853908386105271</v>
      </c>
      <c r="K509" s="55" cm="1">
        <f t="array" ref="K509">(VLOOKUP($A509,'The List'!$B1:$AH671,23,FALSE)-AVERAGE('The List'!X2:X671))/STDEV('The List'!X2:X671)</f>
        <v>-0.80155300200843405</v>
      </c>
      <c r="L509" s="55" cm="1">
        <f t="array" ref="L509">(VLOOKUP($A509,'The List'!$B1:$AH671,24,FALSE)-AVERAGE('The List'!Y2:Y671))/STDEV('The List'!Y2:Y671)</f>
        <v>-0.47546929358800777</v>
      </c>
      <c r="M509" s="55" cm="1">
        <f t="array" ref="M509">(VLOOKUP($A509,'The List'!$B1:$AH671,25,FALSE)-AVERAGE('The List'!Z2:Z671))/STDEV('The List'!Z2:Z671)</f>
        <v>-0.64388478613809508</v>
      </c>
      <c r="N509" s="55" cm="1">
        <f t="array" ref="N509">(VLOOKUP($A509,'The List'!$B1:$AH671,26,FALSE)-AVERAGE('The List'!AA2:AA671))/STDEV('The List'!AA2:AA671)</f>
        <v>1.401081026772071</v>
      </c>
      <c r="O509" s="55" cm="1">
        <f t="array" ref="O509">(VLOOKUP($A509,'The List'!$B1:$AH671,27,FALSE)-AVERAGE('The List'!AB2:AB671))/STDEV('The List'!AB2:AB671)</f>
        <v>0.88784491104175856</v>
      </c>
      <c r="P509" s="55" cm="1">
        <f t="array" ref="P509">(VLOOKUP($A509,'The List'!$B1:$AH671,28,FALSE)-AVERAGE('The List'!AC2:AC671))/STDEV('The List'!AC2:AC671)</f>
        <v>0.93682989807385086</v>
      </c>
      <c r="Q509" s="55" cm="1">
        <f t="array" ref="Q509">(VLOOKUP($A509,'The List'!$B1:$AH671,29,FALSE)-AVERAGE('The List'!AD2:AD671))/STDEV('The List'!AD2:AD671)</f>
        <v>-0.42326370739233826</v>
      </c>
      <c r="R509" s="55" cm="1">
        <f t="array" ref="R509">(VLOOKUP($A509,'The List'!$B1:$AH671,30,FALSE)-AVERAGE('The List'!AE2:AE671))/STDEV('The List'!AE2:AE671)</f>
        <v>-0.84545801453973701</v>
      </c>
      <c r="S509" s="55" cm="1">
        <f t="array" ref="S509">(VLOOKUP($A509,'The List'!$B1:$AH671,31,FALSE)-AVERAGE('The List'!AF2:AF671))/STDEV('The List'!AF2:AF671)</f>
        <v>-0.59581850454342256</v>
      </c>
      <c r="T509" s="55" cm="1">
        <f t="array" ref="T509">(VLOOKUP($A509,'The List'!$B1:$AH671,32,FALSE)-AVERAGE('The List'!AG2:AG671))/STDEV('The List'!AG2:AG671)</f>
        <v>-0.64684275008198677</v>
      </c>
      <c r="U509" s="55" cm="1">
        <f t="array" ref="U509">(VLOOKUP($A509,'The List'!$B1:$AH671,33,FALSE)-AVERAGE('The List'!AH2:AH671))/STDEV('The List'!AH2:AH671)</f>
        <v>-1.2552626683789523</v>
      </c>
      <c r="V509" s="55"/>
      <c r="W509" s="77"/>
      <c r="X509" s="57"/>
      <c r="Y509" s="57"/>
      <c r="Z509" s="57"/>
      <c r="AA509" s="57"/>
      <c r="AB509" s="57"/>
      <c r="AC509" s="60"/>
      <c r="AD509" s="61"/>
      <c r="AE509" s="55"/>
    </row>
    <row r="510" spans="1:31" ht="21.25" customHeight="1" x14ac:dyDescent="0.15">
      <c r="A510" s="10" t="s">
        <v>534</v>
      </c>
      <c r="B510" s="18" t="str" cm="1">
        <f t="array" ref="B510">VLOOKUP(A510,'Player Data'!A1:B673,2,FALSE)</f>
        <v>VGK</v>
      </c>
      <c r="C510" s="52" cm="1">
        <f t="array" ref="C510">((E510)*Settings!$C$12)+(F510*Settings!$C$2)+(G510*Settings!$C$3)+(H510*Settings!$C$4)+(I510*Settings!$C$5)+(K510*Settings!$C$9)+(N510*Settings!$C$6)+(J510*Settings!$C$8)+(O510*Settings!$C$7)+(P510*Settings!$C$14)+(Q510*Settings!$C$15)+(R510*Settings!$C$16)+(S510*Settings!$C$17)+(T510*Settings!$C$18)+(U510*Settings!$C$19)+(L510*Settings!$C$10)+(Settings!$C$11*M510)</f>
        <v>-2.7823816098331582</v>
      </c>
      <c r="D510" s="57" cm="1">
        <f t="array" ref="D510">IF(Settings!$E$12="YES",VLOOKUP(A510,'Player Data'!A1:E673,5,FALSE),82)</f>
        <v>76</v>
      </c>
      <c r="E510" s="55" cm="1">
        <f t="array" ref="E510">(VLOOKUP($A510,'The List'!$B1:$AH671,17,FALSE)-AVERAGE('The List'!R2:R671))/STDEV('The List'!R2:R671)</f>
        <v>2.2466114160446121E-2</v>
      </c>
      <c r="F510" s="55" cm="1">
        <f t="array" ref="F510">(VLOOKUP($A510,'The List'!$B1:$AH671,18,FALSE)-AVERAGE('The List'!S2:S671))/STDEV('The List'!S2:S671)</f>
        <v>-1.2208063995878546</v>
      </c>
      <c r="G510" s="55" cm="1">
        <f t="array" ref="G510">(VLOOKUP($A510,'The List'!$B1:$AH671,19,FALSE)-AVERAGE('The List'!T2:T671))/STDEV('The List'!T2:T671)</f>
        <v>-0.59416616045619375</v>
      </c>
      <c r="H510" s="55" cm="1">
        <f t="array" ref="H510">(VLOOKUP($A510,'The List'!$B1:$AH671,20,FALSE)-AVERAGE('The List'!U2:U671))/STDEV('The List'!U2:U671)</f>
        <v>-0.91457333730304169</v>
      </c>
      <c r="I510" s="55" cm="1">
        <f t="array" ref="I510">(VLOOKUP($A510,'The List'!$B1:$AH671,21,FALSE)-AVERAGE('The List'!V2:V671))/STDEV('The List'!V2:V671)</f>
        <v>-1.3043473408490447</v>
      </c>
      <c r="J510" s="55" cm="1">
        <f t="array" ref="J510">(VLOOKUP($A510,'The List'!$B1:$AH671,22,FALSE)-AVERAGE('The List'!W2:W671))/STDEV('The List'!W2:W671)</f>
        <v>-0.73853908386105271</v>
      </c>
      <c r="K510" s="55" cm="1">
        <f t="array" ref="K510">(VLOOKUP($A510,'The List'!$B1:$AH671,23,FALSE)-AVERAGE('The List'!X2:X671))/STDEV('The List'!X2:X671)</f>
        <v>-0.80155300200843405</v>
      </c>
      <c r="L510" s="55" cm="1">
        <f t="array" ref="L510">(VLOOKUP($A510,'The List'!$B1:$AH671,24,FALSE)-AVERAGE('The List'!Y2:Y671))/STDEV('The List'!Y2:Y671)</f>
        <v>-0.47546929358800777</v>
      </c>
      <c r="M510" s="55" cm="1">
        <f t="array" ref="M510">(VLOOKUP($A510,'The List'!$B1:$AH671,25,FALSE)-AVERAGE('The List'!Z2:Z671))/STDEV('The List'!Z2:Z671)</f>
        <v>0.18194600030474953</v>
      </c>
      <c r="N510" s="55" cm="1">
        <f t="array" ref="N510">(VLOOKUP($A510,'The List'!$B1:$AH671,26,FALSE)-AVERAGE('The List'!AA2:AA671))/STDEV('The List'!AA2:AA671)</f>
        <v>0.66754462631971379</v>
      </c>
      <c r="O510" s="55" cm="1">
        <f t="array" ref="O510">(VLOOKUP($A510,'The List'!$B1:$AH671,27,FALSE)-AVERAGE('The List'!AB2:AB671))/STDEV('The List'!AB2:AB671)</f>
        <v>0.58364355147442226</v>
      </c>
      <c r="P510" s="55" cm="1">
        <f t="array" ref="P510">(VLOOKUP($A510,'The List'!$B1:$AH671,28,FALSE)-AVERAGE('The List'!AC2:AC671))/STDEV('The List'!AC2:AC671)</f>
        <v>0.55484774159394668</v>
      </c>
      <c r="Q510" s="55" cm="1">
        <f t="array" ref="Q510">(VLOOKUP($A510,'The List'!$B1:$AH671,29,FALSE)-AVERAGE('The List'!AD2:AD671))/STDEV('The List'!AD2:AD671)</f>
        <v>4.0730297103810202E-2</v>
      </c>
      <c r="R510" s="55" cm="1">
        <f t="array" ref="R510">(VLOOKUP($A510,'The List'!$B1:$AH671,30,FALSE)-AVERAGE('The List'!AE2:AE671))/STDEV('The List'!AE2:AE671)</f>
        <v>-1.3444971337400937</v>
      </c>
      <c r="S510" s="55" cm="1">
        <f t="array" ref="S510">(VLOOKUP($A510,'The List'!$B1:$AH671,31,FALSE)-AVERAGE('The List'!AF2:AF671))/STDEV('The List'!AF2:AF671)</f>
        <v>-0.59581850454342256</v>
      </c>
      <c r="T510" s="55" cm="1">
        <f t="array" ref="T510">(VLOOKUP($A510,'The List'!$B1:$AH671,32,FALSE)-AVERAGE('The List'!AG2:AG671))/STDEV('The List'!AG2:AG671)</f>
        <v>-0.64684275008198677</v>
      </c>
      <c r="U510" s="55" cm="1">
        <f t="array" ref="U510">(VLOOKUP($A510,'The List'!$B1:$AH671,33,FALSE)-AVERAGE('The List'!AH2:AH671))/STDEV('The List'!AH2:AH671)</f>
        <v>-1.2552626683789523</v>
      </c>
      <c r="V510" s="55"/>
      <c r="W510" s="77"/>
      <c r="X510" s="57"/>
      <c r="Y510" s="57"/>
      <c r="Z510" s="57"/>
      <c r="AA510" s="57"/>
      <c r="AB510" s="57"/>
      <c r="AC510" s="60"/>
      <c r="AD510" s="61"/>
      <c r="AE510" s="55"/>
    </row>
    <row r="511" spans="1:31" ht="21.25" customHeight="1" x14ac:dyDescent="0.15">
      <c r="A511" s="10" t="s">
        <v>581</v>
      </c>
      <c r="B511" s="18" t="str" cm="1">
        <f t="array" ref="B511">VLOOKUP(A511,'Player Data'!A1:B673,2,FALSE)</f>
        <v>DAL</v>
      </c>
      <c r="C511" s="52" cm="1">
        <f t="array" ref="C511">((E511)*Settings!$C$12)+(F511*Settings!$C$2)+(G511*Settings!$C$3)+(H511*Settings!$C$4)+(I511*Settings!$C$5)+(K511*Settings!$C$9)+(N511*Settings!$C$6)+(J511*Settings!$C$8)+(O511*Settings!$C$7)+(P511*Settings!$C$14)+(Q511*Settings!$C$15)+(R511*Settings!$C$16)+(S511*Settings!$C$17)+(T511*Settings!$C$18)+(U511*Settings!$C$19)+(L511*Settings!$C$10)+(Settings!$C$11*M511)</f>
        <v>-1.5581484641757304</v>
      </c>
      <c r="D511" s="57" cm="1">
        <f t="array" ref="D511">IF(Settings!$E$12="YES",VLOOKUP(A511,'Player Data'!A1:E673,5,FALSE),82)</f>
        <v>69</v>
      </c>
      <c r="E511" s="55" cm="1">
        <f t="array" ref="E511">(VLOOKUP($A511,'The List'!$B1:$AH671,17,FALSE)-AVERAGE('The List'!R2:R671))/STDEV('The List'!R2:R671)</f>
        <v>-0.42347975882779942</v>
      </c>
      <c r="F511" s="55" cm="1">
        <f t="array" ref="F511">(VLOOKUP($A511,'The List'!$B1:$AH671,18,FALSE)-AVERAGE('The List'!S2:S671))/STDEV('The List'!S2:S671)</f>
        <v>-0.75277286790893128</v>
      </c>
      <c r="G511" s="55" cm="1">
        <f t="array" ref="G511">(VLOOKUP($A511,'The List'!$B1:$AH671,19,FALSE)-AVERAGE('The List'!T2:T671))/STDEV('The List'!T2:T671)</f>
        <v>-1.0319698998288707</v>
      </c>
      <c r="H511" s="55" cm="1">
        <f t="array" ref="H511">(VLOOKUP($A511,'The List'!$B1:$AH671,20,FALSE)-AVERAGE('The List'!U2:U671))/STDEV('The List'!U2:U671)</f>
        <v>-0.98265244244931171</v>
      </c>
      <c r="I511" s="55" cm="1">
        <f t="array" ref="I511">(VLOOKUP($A511,'The List'!$B1:$AH671,21,FALSE)-AVERAGE('The List'!V2:V671))/STDEV('The List'!V2:V671)</f>
        <v>-1.278085909124735</v>
      </c>
      <c r="J511" s="55" cm="1">
        <f t="array" ref="J511">(VLOOKUP($A511,'The List'!$B1:$AH671,22,FALSE)-AVERAGE('The List'!W2:W671))/STDEV('The List'!W2:W671)</f>
        <v>-0.73853908386105271</v>
      </c>
      <c r="K511" s="55" cm="1">
        <f t="array" ref="K511">(VLOOKUP($A511,'The List'!$B1:$AH671,23,FALSE)-AVERAGE('The List'!X2:X671))/STDEV('The List'!X2:X671)</f>
        <v>-0.80155300200843405</v>
      </c>
      <c r="L511" s="55" cm="1">
        <f t="array" ref="L511">(VLOOKUP($A511,'The List'!$B1:$AH671,24,FALSE)-AVERAGE('The List'!Y2:Y671))/STDEV('The List'!Y2:Y671)</f>
        <v>-0.47546929358800777</v>
      </c>
      <c r="M511" s="55" cm="1">
        <f t="array" ref="M511">(VLOOKUP($A511,'The List'!$B1:$AH671,25,FALSE)-AVERAGE('The List'!Z2:Z671))/STDEV('The List'!Z2:Z671)</f>
        <v>-0.64388478613809508</v>
      </c>
      <c r="N511" s="55" cm="1">
        <f t="array" ref="N511">(VLOOKUP($A511,'The List'!$B1:$AH671,26,FALSE)-AVERAGE('The List'!AA2:AA671))/STDEV('The List'!AA2:AA671)</f>
        <v>-1.9251815468721945E-2</v>
      </c>
      <c r="O511" s="55" cm="1">
        <f t="array" ref="O511">(VLOOKUP($A511,'The List'!$B1:$AH671,27,FALSE)-AVERAGE('The List'!AB2:AB671))/STDEV('The List'!AB2:AB671)</f>
        <v>1.5126466253013535</v>
      </c>
      <c r="P511" s="55" cm="1">
        <f t="array" ref="P511">(VLOOKUP($A511,'The List'!$B1:$AH671,28,FALSE)-AVERAGE('The List'!AC2:AC671))/STDEV('The List'!AC2:AC671)</f>
        <v>0.79358658939388682</v>
      </c>
      <c r="Q511" s="55" cm="1">
        <f t="array" ref="Q511">(VLOOKUP($A511,'The List'!$B1:$AH671,29,FALSE)-AVERAGE('The List'!AD2:AD671))/STDEV('The List'!AD2:AD671)</f>
        <v>0.99088362478222924</v>
      </c>
      <c r="R511" s="55" cm="1">
        <f t="array" ref="R511">(VLOOKUP($A511,'The List'!$B1:$AH671,30,FALSE)-AVERAGE('The List'!AE2:AE671))/STDEV('The List'!AE2:AE671)</f>
        <v>-0.91407589342978612</v>
      </c>
      <c r="S511" s="55" cm="1">
        <f t="array" ref="S511">(VLOOKUP($A511,'The List'!$B1:$AH671,31,FALSE)-AVERAGE('The List'!AF2:AF671))/STDEV('The List'!AF2:AF671)</f>
        <v>-0.59581850454342256</v>
      </c>
      <c r="T511" s="55" cm="1">
        <f t="array" ref="T511">(VLOOKUP($A511,'The List'!$B1:$AH671,32,FALSE)-AVERAGE('The List'!AG2:AG671))/STDEV('The List'!AG2:AG671)</f>
        <v>-0.64684275008198677</v>
      </c>
      <c r="U511" s="55" cm="1">
        <f t="array" ref="U511">(VLOOKUP($A511,'The List'!$B1:$AH671,33,FALSE)-AVERAGE('The List'!AH2:AH671))/STDEV('The List'!AH2:AH671)</f>
        <v>-1.2552626683789523</v>
      </c>
      <c r="V511" s="55"/>
      <c r="W511" s="57"/>
      <c r="X511" s="55"/>
      <c r="Y511" s="55"/>
      <c r="Z511" s="55"/>
      <c r="AA511" s="55"/>
      <c r="AB511" s="55"/>
      <c r="AC511" s="55"/>
      <c r="AD511" s="55"/>
      <c r="AE511" s="55"/>
    </row>
    <row r="512" spans="1:31" ht="21.25" customHeight="1" x14ac:dyDescent="0.15">
      <c r="A512" s="10" t="s">
        <v>720</v>
      </c>
      <c r="B512" s="18" t="str" cm="1">
        <f t="array" ref="B512">VLOOKUP(A512,'Player Data'!A1:B673,2,FALSE)</f>
        <v>VGK</v>
      </c>
      <c r="C512" s="52" cm="1">
        <f t="array" ref="C512">((E512)*Settings!$C$12)+(F512*Settings!$C$2)+(G512*Settings!$C$3)+(H512*Settings!$C$4)+(I512*Settings!$C$5)+(K512*Settings!$C$9)+(N512*Settings!$C$6)+(J512*Settings!$C$8)+(O512*Settings!$C$7)+(P512*Settings!$C$14)+(Q512*Settings!$C$15)+(R512*Settings!$C$16)+(S512*Settings!$C$17)+(T512*Settings!$C$18)+(U512*Settings!$C$19)+(L512*Settings!$C$10)+(Settings!$C$11*M512)</f>
        <v>-2.258050240993283</v>
      </c>
      <c r="D512" s="57" cm="1">
        <f t="array" ref="D512">IF(Settings!$E$12="YES",VLOOKUP(A512,'Player Data'!A1:E673,5,FALSE),82)</f>
        <v>81</v>
      </c>
      <c r="E512" s="55" cm="1">
        <f t="array" ref="E512">(VLOOKUP($A512,'The List'!$B1:$AH671,17,FALSE)-AVERAGE('The List'!R2:R671))/STDEV('The List'!R2:R671)</f>
        <v>-1.1055146233980575</v>
      </c>
      <c r="F512" s="55" cm="1">
        <f t="array" ref="F512">(VLOOKUP($A512,'The List'!$B1:$AH671,18,FALSE)-AVERAGE('The List'!S2:S671))/STDEV('The List'!S2:S671)</f>
        <v>-0.72582850681014455</v>
      </c>
      <c r="G512" s="55" cm="1">
        <f t="array" ref="G512">(VLOOKUP($A512,'The List'!$B1:$AH671,19,FALSE)-AVERAGE('The List'!T2:T671))/STDEV('The List'!T2:T671)</f>
        <v>-0.86542176783637559</v>
      </c>
      <c r="H512" s="55" cm="1">
        <f t="array" ref="H512">(VLOOKUP($A512,'The List'!$B1:$AH671,20,FALSE)-AVERAGE('The List'!U2:U671))/STDEV('The List'!U2:U671)</f>
        <v>-0.86594540505570616</v>
      </c>
      <c r="I512" s="55" cm="1">
        <f t="array" ref="I512">(VLOOKUP($A512,'The List'!$B1:$AH671,21,FALSE)-AVERAGE('The List'!V2:V671))/STDEV('The List'!V2:V671)</f>
        <v>-1.0925281612832307</v>
      </c>
      <c r="J512" s="55" cm="1">
        <f t="array" ref="J512">(VLOOKUP($A512,'The List'!$B1:$AH671,22,FALSE)-AVERAGE('The List'!W2:W671))/STDEV('The List'!W2:W671)</f>
        <v>-0.73853908386105271</v>
      </c>
      <c r="K512" s="55" cm="1">
        <f t="array" ref="K512">(VLOOKUP($A512,'The List'!$B1:$AH671,23,FALSE)-AVERAGE('The List'!X2:X671))/STDEV('The List'!X2:X671)</f>
        <v>-0.80155300200843405</v>
      </c>
      <c r="L512" s="55" cm="1">
        <f t="array" ref="L512">(VLOOKUP($A512,'The List'!$B1:$AH671,24,FALSE)-AVERAGE('The List'!Y2:Y671))/STDEV('The List'!Y2:Y671)</f>
        <v>1.0093815618045958</v>
      </c>
      <c r="M512" s="55" cm="1">
        <f t="array" ref="M512">(VLOOKUP($A512,'The List'!$B1:$AH671,25,FALSE)-AVERAGE('The List'!Z2:Z671))/STDEV('The List'!Z2:Z671)</f>
        <v>0.23627697309704196</v>
      </c>
      <c r="N512" s="55" cm="1">
        <f t="array" ref="N512">(VLOOKUP($A512,'The List'!$B1:$AH671,26,FALSE)-AVERAGE('The List'!AA2:AA671))/STDEV('The List'!AA2:AA671)</f>
        <v>-0.27823716019667805</v>
      </c>
      <c r="O512" s="55" cm="1">
        <f t="array" ref="O512">(VLOOKUP($A512,'The List'!$B1:$AH671,27,FALSE)-AVERAGE('The List'!AB2:AB671))/STDEV('The List'!AB2:AB671)</f>
        <v>0.80482499822183151</v>
      </c>
      <c r="P512" s="55" cm="1">
        <f t="array" ref="P512">(VLOOKUP($A512,'The List'!$B1:$AH671,28,FALSE)-AVERAGE('The List'!AC2:AC671))/STDEV('The List'!AC2:AC671)</f>
        <v>0.42245619872307077</v>
      </c>
      <c r="Q512" s="55" cm="1">
        <f t="array" ref="Q512">(VLOOKUP($A512,'The List'!$B1:$AH671,29,FALSE)-AVERAGE('The List'!AD2:AD671))/STDEV('The List'!AD2:AD671)</f>
        <v>0.67835263130791279</v>
      </c>
      <c r="R512" s="55" cm="1">
        <f t="array" ref="R512">(VLOOKUP($A512,'The List'!$B1:$AH671,30,FALSE)-AVERAGE('The List'!AE2:AE671))/STDEV('The List'!AE2:AE671)</f>
        <v>-0.33394291735937137</v>
      </c>
      <c r="S512" s="55" cm="1">
        <f t="array" ref="S512">(VLOOKUP($A512,'The List'!$B1:$AH671,31,FALSE)-AVERAGE('The List'!AF2:AF671))/STDEV('The List'!AF2:AF671)</f>
        <v>1.6200135807468576</v>
      </c>
      <c r="T512" s="55" cm="1">
        <f t="array" ref="T512">(VLOOKUP($A512,'The List'!$B1:$AH671,32,FALSE)-AVERAGE('The List'!AG2:AG671))/STDEV('The List'!AG2:AG671)</f>
        <v>1.808595060638027</v>
      </c>
      <c r="U512" s="55" cm="1">
        <f t="array" ref="U512">(VLOOKUP($A512,'The List'!$B1:$AH671,33,FALSE)-AVERAGE('The List'!AH2:AH671))/STDEV('The List'!AH2:AH671)</f>
        <v>0.99869933650975895</v>
      </c>
      <c r="V512" s="55"/>
      <c r="W512" s="77"/>
      <c r="X512" s="57"/>
      <c r="Y512" s="57"/>
      <c r="Z512" s="57"/>
      <c r="AA512" s="57"/>
      <c r="AB512" s="57"/>
      <c r="AC512" s="60"/>
      <c r="AD512" s="61"/>
      <c r="AE512" s="55"/>
    </row>
    <row r="513" spans="1:31" ht="21.25" customHeight="1" x14ac:dyDescent="0.15">
      <c r="A513" s="10" t="s">
        <v>774</v>
      </c>
      <c r="B513" s="18" t="str" cm="1">
        <f t="array" ref="B513">VLOOKUP(A513,'Player Data'!A1:B673,2,FALSE)</f>
        <v>NSH</v>
      </c>
      <c r="C513" s="52" cm="1">
        <f t="array" ref="C513">((E513)*Settings!$C$12)+(F513*Settings!$C$2)+(G513*Settings!$C$3)+(H513*Settings!$C$4)+(I513*Settings!$C$5)+(K513*Settings!$C$9)+(N513*Settings!$C$6)+(J513*Settings!$C$8)+(O513*Settings!$C$7)+(P513*Settings!$C$14)+(Q513*Settings!$C$15)+(R513*Settings!$C$16)+(S513*Settings!$C$17)+(T513*Settings!$C$18)+(U513*Settings!$C$19)+(L513*Settings!$C$10)+(Settings!$C$11*M513)</f>
        <v>-3.5213081359452563</v>
      </c>
      <c r="D513" s="57" cm="1">
        <f t="array" ref="D513">IF(Settings!$E$12="YES",VLOOKUP(A513,'Player Data'!A1:E673,5,FALSE),82)</f>
        <v>64</v>
      </c>
      <c r="E513" s="55" cm="1">
        <f t="array" ref="E513">(VLOOKUP($A513,'The List'!$B1:$AH671,17,FALSE)-AVERAGE('The List'!R2:R671))/STDEV('The List'!R2:R671)</f>
        <v>-1.4465320556831864</v>
      </c>
      <c r="F513" s="55" cm="1">
        <f t="array" ref="F513">(VLOOKUP($A513,'The List'!$B1:$AH671,18,FALSE)-AVERAGE('The List'!S2:S671))/STDEV('The List'!S2:S671)</f>
        <v>-0.60607579081553742</v>
      </c>
      <c r="G513" s="55" cm="1">
        <f t="array" ref="G513">(VLOOKUP($A513,'The List'!$B1:$AH671,19,FALSE)-AVERAGE('The List'!T2:T671))/STDEV('The List'!T2:T671)</f>
        <v>-1.2125727265042769</v>
      </c>
      <c r="H513" s="55" cm="1">
        <f t="array" ref="H513">(VLOOKUP($A513,'The List'!$B1:$AH671,20,FALSE)-AVERAGE('The List'!U2:U671))/STDEV('The List'!U2:U671)</f>
        <v>-1.0312803746966475</v>
      </c>
      <c r="I513" s="55" cm="1">
        <f t="array" ref="I513">(VLOOKUP($A513,'The List'!$B1:$AH671,21,FALSE)-AVERAGE('The List'!V2:V671))/STDEV('The List'!V2:V671)</f>
        <v>-1.0562459200851713</v>
      </c>
      <c r="J513" s="55" cm="1">
        <f t="array" ref="J513">(VLOOKUP($A513,'The List'!$B1:$AH671,22,FALSE)-AVERAGE('The List'!W2:W671))/STDEV('The List'!W2:W671)</f>
        <v>-0.73853908386105271</v>
      </c>
      <c r="K513" s="55" cm="1">
        <f t="array" ref="K513">(VLOOKUP($A513,'The List'!$B1:$AH671,23,FALSE)-AVERAGE('The List'!X2:X671))/STDEV('The List'!X2:X671)</f>
        <v>-0.80155300200843405</v>
      </c>
      <c r="L513" s="55" cm="1">
        <f t="array" ref="L513">(VLOOKUP($A513,'The List'!$B1:$AH671,24,FALSE)-AVERAGE('The List'!Y2:Y671))/STDEV('The List'!Y2:Y671)</f>
        <v>-0.47546929358800777</v>
      </c>
      <c r="M513" s="55" cm="1">
        <f t="array" ref="M513">(VLOOKUP($A513,'The List'!$B1:$AH671,25,FALSE)-AVERAGE('The List'!Z2:Z671))/STDEV('The List'!Z2:Z671)</f>
        <v>5.1551665603247747E-2</v>
      </c>
      <c r="N513" s="55" cm="1">
        <f t="array" ref="N513">(VLOOKUP($A513,'The List'!$B1:$AH671,26,FALSE)-AVERAGE('The List'!AA2:AA671))/STDEV('The List'!AA2:AA671)</f>
        <v>-0.52777234934777573</v>
      </c>
      <c r="O513" s="55" cm="1">
        <f t="array" ref="O513">(VLOOKUP($A513,'The List'!$B1:$AH671,27,FALSE)-AVERAGE('The List'!AB2:AB671))/STDEV('The List'!AB2:AB671)</f>
        <v>0.81568933249209352</v>
      </c>
      <c r="P513" s="55" cm="1">
        <f t="array" ref="P513">(VLOOKUP($A513,'The List'!$B1:$AH671,28,FALSE)-AVERAGE('The List'!AC2:AC671))/STDEV('The List'!AC2:AC671)</f>
        <v>-0.66055002902393034</v>
      </c>
      <c r="Q513" s="55" cm="1">
        <f t="array" ref="Q513">(VLOOKUP($A513,'The List'!$B1:$AH671,29,FALSE)-AVERAGE('The List'!AD2:AD671))/STDEV('The List'!AD2:AD671)</f>
        <v>-1.1916614218445591</v>
      </c>
      <c r="R513" s="55" cm="1">
        <f t="array" ref="R513">(VLOOKUP($A513,'The List'!$B1:$AH671,30,FALSE)-AVERAGE('The List'!AE2:AE671))/STDEV('The List'!AE2:AE671)</f>
        <v>-0.54603454301952303</v>
      </c>
      <c r="S513" s="55" cm="1">
        <f t="array" ref="S513">(VLOOKUP($A513,'The List'!$B1:$AH671,31,FALSE)-AVERAGE('The List'!AF2:AF671))/STDEV('The List'!AF2:AF671)</f>
        <v>-0.57120295576456814</v>
      </c>
      <c r="T513" s="55" cm="1">
        <f t="array" ref="T513">(VLOOKUP($A513,'The List'!$B1:$AH671,32,FALSE)-AVERAGE('The List'!AG2:AG671))/STDEV('The List'!AG2:AG671)</f>
        <v>-0.49333323238140475</v>
      </c>
      <c r="U513" s="55" cm="1">
        <f t="array" ref="U513">(VLOOKUP($A513,'The List'!$B1:$AH671,33,FALSE)-AVERAGE('The List'!AH2:AH671))/STDEV('The List'!AH2:AH671)</f>
        <v>-0.61127352412503466</v>
      </c>
      <c r="V513" s="55"/>
      <c r="W513" s="77"/>
      <c r="X513" s="57"/>
      <c r="Y513" s="57"/>
      <c r="Z513" s="57"/>
      <c r="AA513" s="57"/>
      <c r="AB513" s="57"/>
      <c r="AC513" s="60"/>
      <c r="AD513" s="61"/>
      <c r="AE513" s="55"/>
    </row>
    <row r="514" spans="1:31" ht="21.25" customHeight="1" x14ac:dyDescent="0.15">
      <c r="A514" s="10" t="s">
        <v>550</v>
      </c>
      <c r="B514" s="18" t="str" cm="1">
        <f t="array" ref="B514">VLOOKUP(A514,'Player Data'!A1:B673,2,FALSE)</f>
        <v>BOS</v>
      </c>
      <c r="C514" s="52" cm="1">
        <f t="array" ref="C514">((E514)*Settings!$C$12)+(F514*Settings!$C$2)+(G514*Settings!$C$3)+(H514*Settings!$C$4)+(I514*Settings!$C$5)+(K514*Settings!$C$9)+(N514*Settings!$C$6)+(J514*Settings!$C$8)+(O514*Settings!$C$7)+(P514*Settings!$C$14)+(Q514*Settings!$C$15)+(R514*Settings!$C$16)+(S514*Settings!$C$17)+(T514*Settings!$C$18)+(U514*Settings!$C$19)+(L514*Settings!$C$10)+(Settings!$C$11*M514)</f>
        <v>-4.5985923740121422</v>
      </c>
      <c r="D514" s="57" cm="1">
        <f t="array" ref="D514">IF(Settings!$E$12="YES",VLOOKUP(A514,'Player Data'!A1:E673,5,FALSE),82)</f>
        <v>73</v>
      </c>
      <c r="E514" s="55" cm="1">
        <f t="array" ref="E514">(VLOOKUP($A514,'The List'!$B1:$AH671,17,FALSE)-AVERAGE('The List'!R2:R671))/STDEV('The List'!R2:R671)</f>
        <v>-0.23985498759734503</v>
      </c>
      <c r="F514" s="55" cm="1">
        <f t="array" ref="F514">(VLOOKUP($A514,'The List'!$B1:$AH671,18,FALSE)-AVERAGE('The List'!S2:S671))/STDEV('The List'!S2:S671)</f>
        <v>-1.0810948975941461</v>
      </c>
      <c r="G514" s="55" cm="1">
        <f t="array" ref="G514">(VLOOKUP($A514,'The List'!$B1:$AH671,19,FALSE)-AVERAGE('The List'!T2:T671))/STDEV('The List'!T2:T671)</f>
        <v>-0.73892951569017695</v>
      </c>
      <c r="H514" s="55" cm="1">
        <f t="array" ref="H514">(VLOOKUP($A514,'The List'!$B1:$AH671,20,FALSE)-AVERAGE('The List'!U2:U671))/STDEV('The List'!U2:U671)</f>
        <v>-0.94375009665144327</v>
      </c>
      <c r="I514" s="55" cm="1">
        <f t="array" ref="I514">(VLOOKUP($A514,'The List'!$B1:$AH671,21,FALSE)-AVERAGE('The List'!V2:V671))/STDEV('The List'!V2:V671)</f>
        <v>-1.0868266662378214</v>
      </c>
      <c r="J514" s="55" cm="1">
        <f t="array" ref="J514">(VLOOKUP($A514,'The List'!$B1:$AH671,22,FALSE)-AVERAGE('The List'!W2:W671))/STDEV('The List'!W2:W671)</f>
        <v>-0.73853908386105271</v>
      </c>
      <c r="K514" s="55" cm="1">
        <f t="array" ref="K514">(VLOOKUP($A514,'The List'!$B1:$AH671,23,FALSE)-AVERAGE('The List'!X2:X671))/STDEV('The List'!X2:X671)</f>
        <v>-0.72819262429253573</v>
      </c>
      <c r="L514" s="55" cm="1">
        <f t="array" ref="L514">(VLOOKUP($A514,'The List'!$B1:$AH671,24,FALSE)-AVERAGE('The List'!Y2:Y671))/STDEV('The List'!Y2:Y671)</f>
        <v>-0.47546929358800777</v>
      </c>
      <c r="M514" s="55" cm="1">
        <f t="array" ref="M514">(VLOOKUP($A514,'The List'!$B1:$AH671,25,FALSE)-AVERAGE('The List'!Z2:Z671))/STDEV('The List'!Z2:Z671)</f>
        <v>-0.64388478613809508</v>
      </c>
      <c r="N514" s="55" cm="1">
        <f t="array" ref="N514">(VLOOKUP($A514,'The List'!$B1:$AH671,26,FALSE)-AVERAGE('The List'!AA2:AA671))/STDEV('The List'!AA2:AA671)</f>
        <v>0.12965198726934332</v>
      </c>
      <c r="O514" s="55" cm="1">
        <f t="array" ref="O514">(VLOOKUP($A514,'The List'!$B1:$AH671,27,FALSE)-AVERAGE('The List'!AB2:AB671))/STDEV('The List'!AB2:AB671)</f>
        <v>-0.54173748897347151</v>
      </c>
      <c r="P514" s="55" cm="1">
        <f t="array" ref="P514">(VLOOKUP($A514,'The List'!$B1:$AH671,28,FALSE)-AVERAGE('The List'!AC2:AC671))/STDEV('The List'!AC2:AC671)</f>
        <v>-0.42181118122399019</v>
      </c>
      <c r="Q514" s="55" cm="1">
        <f t="array" ref="Q514">(VLOOKUP($A514,'The List'!$B1:$AH671,29,FALSE)-AVERAGE('The List'!AD2:AD671))/STDEV('The List'!AD2:AD671)</f>
        <v>-0.80967909648706105</v>
      </c>
      <c r="R514" s="55" cm="1">
        <f t="array" ref="R514">(VLOOKUP($A514,'The List'!$B1:$AH671,30,FALSE)-AVERAGE('The List'!AE2:AE671))/STDEV('The List'!AE2:AE671)</f>
        <v>-0.88912393746976826</v>
      </c>
      <c r="S514" s="55" cm="1">
        <f t="array" ref="S514">(VLOOKUP($A514,'The List'!$B1:$AH671,31,FALSE)-AVERAGE('The List'!AF2:AF671))/STDEV('The List'!AF2:AF671)</f>
        <v>-0.59581850454342256</v>
      </c>
      <c r="T514" s="55" cm="1">
        <f t="array" ref="T514">(VLOOKUP($A514,'The List'!$B1:$AH671,32,FALSE)-AVERAGE('The List'!AG2:AG671))/STDEV('The List'!AG2:AG671)</f>
        <v>-0.64684275008198677</v>
      </c>
      <c r="U514" s="55" cm="1">
        <f t="array" ref="U514">(VLOOKUP($A514,'The List'!$B1:$AH671,33,FALSE)-AVERAGE('The List'!AH2:AH671))/STDEV('The List'!AH2:AH671)</f>
        <v>-1.2552626683789523</v>
      </c>
      <c r="V514" s="55"/>
      <c r="W514" s="77"/>
      <c r="X514" s="57"/>
      <c r="Y514" s="57"/>
      <c r="Z514" s="57"/>
      <c r="AA514" s="57"/>
      <c r="AB514" s="57"/>
      <c r="AC514" s="60"/>
      <c r="AD514" s="61"/>
      <c r="AE514" s="55"/>
    </row>
    <row r="515" spans="1:31" ht="21.25" customHeight="1" x14ac:dyDescent="0.15">
      <c r="A515" s="10" t="s">
        <v>491</v>
      </c>
      <c r="B515" s="18" t="str" cm="1">
        <f t="array" ref="B515">VLOOKUP(A515,'Player Data'!A1:B673,2,FALSE)</f>
        <v>NSH</v>
      </c>
      <c r="C515" s="52" cm="1">
        <f t="array" ref="C515">((E515)*Settings!$C$12)+(F515*Settings!$C$2)+(G515*Settings!$C$3)+(H515*Settings!$C$4)+(I515*Settings!$C$5)+(K515*Settings!$C$9)+(N515*Settings!$C$6)+(J515*Settings!$C$8)+(O515*Settings!$C$7)+(P515*Settings!$C$14)+(Q515*Settings!$C$15)+(R515*Settings!$C$16)+(S515*Settings!$C$17)+(T515*Settings!$C$18)+(U515*Settings!$C$19)+(L515*Settings!$C$10)+(Settings!$C$11*M515)</f>
        <v>-3.997535822474152</v>
      </c>
      <c r="D515" s="57" cm="1">
        <f t="array" ref="D515">IF(Settings!$E$12="YES",VLOOKUP(A515,'Player Data'!A1:E673,5,FALSE),82)</f>
        <v>78</v>
      </c>
      <c r="E515" s="55" cm="1">
        <f t="array" ref="E515">(VLOOKUP($A515,'The List'!$B1:$AH671,17,FALSE)-AVERAGE('The List'!R2:R671))/STDEV('The List'!R2:R671)</f>
        <v>0.70450097873070472</v>
      </c>
      <c r="F515" s="55" cm="1">
        <f t="array" ref="F515">(VLOOKUP($A515,'The List'!$B1:$AH671,18,FALSE)-AVERAGE('The List'!S2:S671))/STDEV('The List'!S2:S671)</f>
        <v>-0.98329684619855018</v>
      </c>
      <c r="G515" s="55" cm="1">
        <f t="array" ref="G515">(VLOOKUP($A515,'The List'!$B1:$AH671,19,FALSE)-AVERAGE('The List'!T2:T671))/STDEV('The List'!T2:T671)</f>
        <v>-0.73049669888043023</v>
      </c>
      <c r="H515" s="55" cm="1">
        <f t="array" ref="H515">(VLOOKUP($A515,'The List'!$B1:$AH671,20,FALSE)-AVERAGE('The List'!U2:U671))/STDEV('The List'!U2:U671)</f>
        <v>-0.89512216440410741</v>
      </c>
      <c r="I515" s="55" cm="1">
        <f t="array" ref="I515">(VLOOKUP($A515,'The List'!$B1:$AH671,21,FALSE)-AVERAGE('The List'!V2:V671))/STDEV('The List'!V2:V671)</f>
        <v>-0.72866911383983424</v>
      </c>
      <c r="J515" s="55" cm="1">
        <f t="array" ref="J515">(VLOOKUP($A515,'The List'!$B1:$AH671,22,FALSE)-AVERAGE('The List'!W2:W671))/STDEV('The List'!W2:W671)</f>
        <v>-0.73853908386105271</v>
      </c>
      <c r="K515" s="55" cm="1">
        <f t="array" ref="K515">(VLOOKUP($A515,'The List'!$B1:$AH671,23,FALSE)-AVERAGE('The List'!X2:X671))/STDEV('The List'!X2:X671)</f>
        <v>-0.80155300200843405</v>
      </c>
      <c r="L515" s="55" cm="1">
        <f t="array" ref="L515">(VLOOKUP($A515,'The List'!$B1:$AH671,24,FALSE)-AVERAGE('The List'!Y2:Y671))/STDEV('The List'!Y2:Y671)</f>
        <v>-0.47546929358800777</v>
      </c>
      <c r="M515" s="55" cm="1">
        <f t="array" ref="M515">(VLOOKUP($A515,'The List'!$B1:$AH671,25,FALSE)-AVERAGE('The List'!Z2:Z671))/STDEV('The List'!Z2:Z671)</f>
        <v>0.20367838942166649</v>
      </c>
      <c r="N515" s="55" cm="1">
        <f t="array" ref="N515">(VLOOKUP($A515,'The List'!$B1:$AH671,26,FALSE)-AVERAGE('The List'!AA2:AA671))/STDEV('The List'!AA2:AA671)</f>
        <v>0.62821154635116794</v>
      </c>
      <c r="O515" s="55" cm="1">
        <f t="array" ref="O515">(VLOOKUP($A515,'The List'!$B1:$AH671,27,FALSE)-AVERAGE('The List'!AB2:AB671))/STDEV('The List'!AB2:AB671)</f>
        <v>0.19785719116059045</v>
      </c>
      <c r="P515" s="55" cm="1">
        <f t="array" ref="P515">(VLOOKUP($A515,'The List'!$B1:$AH671,28,FALSE)-AVERAGE('The List'!AC2:AC671))/STDEV('The List'!AC2:AC671)</f>
        <v>-0.95137735270749391</v>
      </c>
      <c r="Q515" s="55" cm="1">
        <f t="array" ref="Q515">(VLOOKUP($A515,'The List'!$B1:$AH671,29,FALSE)-AVERAGE('The List'!AD2:AD671))/STDEV('The List'!AD2:AD671)</f>
        <v>1.3721271061835236</v>
      </c>
      <c r="R515" s="55" cm="1">
        <f t="array" ref="R515">(VLOOKUP($A515,'The List'!$B1:$AH671,30,FALSE)-AVERAGE('The List'!AE2:AE671))/STDEV('The List'!AE2:AE671)</f>
        <v>-0.85793399251974589</v>
      </c>
      <c r="S515" s="55" cm="1">
        <f t="array" ref="S515">(VLOOKUP($A515,'The List'!$B1:$AH671,31,FALSE)-AVERAGE('The List'!AF2:AF671))/STDEV('The List'!AF2:AF671)</f>
        <v>-0.59581850454342256</v>
      </c>
      <c r="T515" s="55" cm="1">
        <f t="array" ref="T515">(VLOOKUP($A515,'The List'!$B1:$AH671,32,FALSE)-AVERAGE('The List'!AG2:AG671))/STDEV('The List'!AG2:AG671)</f>
        <v>-0.64684275008198677</v>
      </c>
      <c r="U515" s="55" cm="1">
        <f t="array" ref="U515">(VLOOKUP($A515,'The List'!$B1:$AH671,33,FALSE)-AVERAGE('The List'!AH2:AH671))/STDEV('The List'!AH2:AH671)</f>
        <v>-1.2552626683789523</v>
      </c>
      <c r="V515" s="55"/>
      <c r="W515" s="77"/>
      <c r="X515" s="57"/>
      <c r="Y515" s="57"/>
      <c r="Z515" s="57"/>
      <c r="AA515" s="57"/>
      <c r="AB515" s="57"/>
      <c r="AC515" s="60"/>
      <c r="AD515" s="61"/>
      <c r="AE515" s="55"/>
    </row>
    <row r="516" spans="1:31" ht="21.25" customHeight="1" x14ac:dyDescent="0.15">
      <c r="A516" s="10" t="s">
        <v>786</v>
      </c>
      <c r="B516" s="18" t="str" cm="1">
        <f t="array" ref="B516">VLOOKUP(A516,'Player Data'!A1:B673,2,FALSE)</f>
        <v>NSH</v>
      </c>
      <c r="C516" s="52" cm="1">
        <f t="array" ref="C516">((E516)*Settings!$C$12)+(F516*Settings!$C$2)+(G516*Settings!$C$3)+(H516*Settings!$C$4)+(I516*Settings!$C$5)+(K516*Settings!$C$9)+(N516*Settings!$C$6)+(J516*Settings!$C$8)+(O516*Settings!$C$7)+(P516*Settings!$C$14)+(Q516*Settings!$C$15)+(R516*Settings!$C$16)+(S516*Settings!$C$17)+(T516*Settings!$C$18)+(U516*Settings!$C$19)+(L516*Settings!$C$10)+(Settings!$C$11*M516)</f>
        <v>-3.515069715972825</v>
      </c>
      <c r="D516" s="57" cm="1">
        <f t="array" ref="D516">IF(Settings!$E$12="YES",VLOOKUP(A516,'Player Data'!A1:E673,5,FALSE),82)</f>
        <v>60</v>
      </c>
      <c r="E516" s="55" cm="1">
        <f t="array" ref="E516">(VLOOKUP($A516,'The List'!$B1:$AH671,17,FALSE)-AVERAGE('The List'!R2:R671))/STDEV('The List'!R2:R671)</f>
        <v>-1.2104430641011743</v>
      </c>
      <c r="F516" s="55" cm="1">
        <f t="array" ref="F516">(VLOOKUP($A516,'The List'!$B1:$AH671,18,FALSE)-AVERAGE('The List'!S2:S671))/STDEV('The List'!S2:S671)</f>
        <v>-0.95335866719989848</v>
      </c>
      <c r="G516" s="55" cm="1">
        <f t="array" ref="G516">(VLOOKUP($A516,'The List'!$B1:$AH671,19,FALSE)-AVERAGE('The List'!T2:T671))/STDEV('The List'!T2:T671)</f>
        <v>-1.0720257796751671</v>
      </c>
      <c r="H516" s="55" cm="1">
        <f t="array" ref="H516">(VLOOKUP($A516,'The List'!$B1:$AH671,20,FALSE)-AVERAGE('The List'!U2:U671))/STDEV('The List'!U2:U671)</f>
        <v>-1.0967070471748808</v>
      </c>
      <c r="I516" s="55" cm="1">
        <f t="array" ref="I516">(VLOOKUP($A516,'The List'!$B1:$AH671,21,FALSE)-AVERAGE('The List'!V2:V671))/STDEV('The List'!V2:V671)</f>
        <v>-1.2822324509759417</v>
      </c>
      <c r="J516" s="55" cm="1">
        <f t="array" ref="J516">(VLOOKUP($A516,'The List'!$B1:$AH671,22,FALSE)-AVERAGE('The List'!W2:W671))/STDEV('The List'!W2:W671)</f>
        <v>-0.73853908386105271</v>
      </c>
      <c r="K516" s="55" cm="1">
        <f t="array" ref="K516">(VLOOKUP($A516,'The List'!$B1:$AH671,23,FALSE)-AVERAGE('The List'!X2:X671))/STDEV('The List'!X2:X671)</f>
        <v>-0.80155300200843405</v>
      </c>
      <c r="L516" s="55" cm="1">
        <f t="array" ref="L516">(VLOOKUP($A516,'The List'!$B1:$AH671,24,FALSE)-AVERAGE('The List'!Y2:Y671))/STDEV('The List'!Y2:Y671)</f>
        <v>-0.47546929358800777</v>
      </c>
      <c r="M516" s="55" cm="1">
        <f t="array" ref="M516">(VLOOKUP($A516,'The List'!$B1:$AH671,25,FALSE)-AVERAGE('The List'!Z2:Z671))/STDEV('The List'!Z2:Z671)</f>
        <v>8.086887369413787E-3</v>
      </c>
      <c r="N516" s="55" cm="1">
        <f t="array" ref="N516">(VLOOKUP($A516,'The List'!$B1:$AH671,26,FALSE)-AVERAGE('The List'!AA2:AA671))/STDEV('The List'!AA2:AA671)</f>
        <v>-0.79544162082203396</v>
      </c>
      <c r="O516" s="55" cm="1">
        <f t="array" ref="O516">(VLOOKUP($A516,'The List'!$B1:$AH671,27,FALSE)-AVERAGE('The List'!AB2:AB671))/STDEV('The List'!AB2:AB671)</f>
        <v>1.2199245623214647</v>
      </c>
      <c r="P516" s="55" cm="1">
        <f t="array" ref="P516">(VLOOKUP($A516,'The List'!$B1:$AH671,28,FALSE)-AVERAGE('The List'!AC2:AC671))/STDEV('The List'!AC2:AC671)</f>
        <v>-0.62582437843484817</v>
      </c>
      <c r="Q516" s="55" cm="1">
        <f t="array" ref="Q516">(VLOOKUP($A516,'The List'!$B1:$AH671,29,FALSE)-AVERAGE('The List'!AD2:AD671))/STDEV('The List'!AD2:AD671)</f>
        <v>0.19736521581907038</v>
      </c>
      <c r="R516" s="55" cm="1">
        <f t="array" ref="R516">(VLOOKUP($A516,'The List'!$B1:$AH671,30,FALSE)-AVERAGE('The List'!AE2:AE671))/STDEV('The List'!AE2:AE671)</f>
        <v>-0.97021779433982613</v>
      </c>
      <c r="S516" s="55" cm="1">
        <f t="array" ref="S516">(VLOOKUP($A516,'The List'!$B1:$AH671,31,FALSE)-AVERAGE('The List'!AF2:AF671))/STDEV('The List'!AF2:AF671)</f>
        <v>-0.58139533143081257</v>
      </c>
      <c r="T516" s="55" cm="1">
        <f t="array" ref="T516">(VLOOKUP($A516,'The List'!$B1:$AH671,32,FALSE)-AVERAGE('The List'!AG2:AG671))/STDEV('The List'!AG2:AG671)</f>
        <v>-0.60091237576997747</v>
      </c>
      <c r="U516" s="55" cm="1">
        <f t="array" ref="U516">(VLOOKUP($A516,'The List'!$B1:$AH671,33,FALSE)-AVERAGE('The List'!AH2:AH671))/STDEV('The List'!AH2:AH671)</f>
        <v>-5.928282905024828E-2</v>
      </c>
      <c r="V516" s="55"/>
      <c r="W516" s="57"/>
      <c r="X516" s="55"/>
      <c r="Y516" s="55"/>
      <c r="Z516" s="55"/>
      <c r="AA516" s="55"/>
      <c r="AB516" s="55"/>
      <c r="AC516" s="55"/>
      <c r="AD516" s="55"/>
      <c r="AE516" s="55"/>
    </row>
    <row r="517" spans="1:31" ht="21.25" customHeight="1" x14ac:dyDescent="0.15">
      <c r="A517" s="10" t="s">
        <v>770</v>
      </c>
      <c r="B517" s="18" t="str" cm="1">
        <f t="array" ref="B517">VLOOKUP(A517,'Player Data'!A1:B673,2,FALSE)</f>
        <v>VAN</v>
      </c>
      <c r="C517" s="52" cm="1">
        <f t="array" ref="C517">((E517)*Settings!$C$12)+(F517*Settings!$C$2)+(G517*Settings!$C$3)+(H517*Settings!$C$4)+(I517*Settings!$C$5)+(K517*Settings!$C$9)+(N517*Settings!$C$6)+(J517*Settings!$C$8)+(O517*Settings!$C$7)+(P517*Settings!$C$14)+(Q517*Settings!$C$15)+(R517*Settings!$C$16)+(S517*Settings!$C$17)+(T517*Settings!$C$18)+(U517*Settings!$C$19)+(L517*Settings!$C$10)+(Settings!$C$11*M517)</f>
        <v>-3.0727250031253059</v>
      </c>
      <c r="D517" s="57" cm="1">
        <f t="array" ref="D517">IF(Settings!$E$12="YES",VLOOKUP(A517,'Player Data'!A1:E673,5,FALSE),82)</f>
        <v>82</v>
      </c>
      <c r="E517" s="55" cm="1">
        <f t="array" ref="E517">(VLOOKUP($A517,'The List'!$B1:$AH671,17,FALSE)-AVERAGE('The List'!R2:R671))/STDEV('The List'!R2:R671)</f>
        <v>-1.6301568269136408</v>
      </c>
      <c r="F517" s="55" cm="1">
        <f t="array" ref="F517">(VLOOKUP($A517,'The List'!$B1:$AH671,18,FALSE)-AVERAGE('The List'!S2:S671))/STDEV('The List'!S2:S671)</f>
        <v>-0.30868987942892939</v>
      </c>
      <c r="G517" s="55" cm="1">
        <f t="array" ref="G517">(VLOOKUP($A517,'The List'!$B1:$AH671,19,FALSE)-AVERAGE('The List'!T2:T671))/STDEV('The List'!T2:T671)</f>
        <v>-1.0284562261581431</v>
      </c>
      <c r="H517" s="55" cm="1">
        <f t="array" ref="H517">(VLOOKUP($A517,'The List'!$B1:$AH671,20,FALSE)-AVERAGE('The List'!U2:U671))/STDEV('The List'!U2:U671)</f>
        <v>-0.78371999234657508</v>
      </c>
      <c r="I517" s="55" cm="1">
        <f t="array" ref="I517">(VLOOKUP($A517,'The List'!$B1:$AH671,21,FALSE)-AVERAGE('The List'!V2:V671))/STDEV('The List'!V2:V671)</f>
        <v>-0.83820692774254735</v>
      </c>
      <c r="J517" s="55" cm="1">
        <f t="array" ref="J517">(VLOOKUP($A517,'The List'!$B1:$AH671,22,FALSE)-AVERAGE('The List'!W2:W671))/STDEV('The List'!W2:W671)</f>
        <v>-0.73853908386105271</v>
      </c>
      <c r="K517" s="55" cm="1">
        <f t="array" ref="K517">(VLOOKUP($A517,'The List'!$B1:$AH671,23,FALSE)-AVERAGE('The List'!X2:X671))/STDEV('The List'!X2:X671)</f>
        <v>-0.80155300200843405</v>
      </c>
      <c r="L517" s="55" cm="1">
        <f t="array" ref="L517">(VLOOKUP($A517,'The List'!$B1:$AH671,24,FALSE)-AVERAGE('The List'!Y2:Y671))/STDEV('The List'!Y2:Y671)</f>
        <v>-0.47546929358800777</v>
      </c>
      <c r="M517" s="55" cm="1">
        <f t="array" ref="M517">(VLOOKUP($A517,'The List'!$B1:$AH671,25,FALSE)-AVERAGE('The List'!Z2:Z671))/STDEV('The List'!Z2:Z671)</f>
        <v>-0.64388478613809508</v>
      </c>
      <c r="N517" s="55" cm="1">
        <f t="array" ref="N517">(VLOOKUP($A517,'The List'!$B1:$AH671,26,FALSE)-AVERAGE('The List'!AA2:AA671))/STDEV('The List'!AA2:AA671)</f>
        <v>-0.88994317659061783</v>
      </c>
      <c r="O517" s="55" cm="1">
        <f t="array" ref="O517">(VLOOKUP($A517,'The List'!$B1:$AH671,27,FALSE)-AVERAGE('The List'!AB2:AB671))/STDEV('The List'!AB2:AB671)</f>
        <v>2.500686081578011</v>
      </c>
      <c r="P517" s="55" cm="1">
        <f t="array" ref="P517">(VLOOKUP($A517,'The List'!$B1:$AH671,28,FALSE)-AVERAGE('The List'!AC2:AC671))/STDEV('The List'!AC2:AC671)</f>
        <v>-2.5965050493652631</v>
      </c>
      <c r="Q517" s="55" cm="1">
        <f t="array" ref="Q517">(VLOOKUP($A517,'The List'!$B1:$AH671,29,FALSE)-AVERAGE('The List'!AD2:AD671))/STDEV('The List'!AD2:AD671)</f>
        <v>-0.31391480187413762</v>
      </c>
      <c r="R517" s="55" cm="1">
        <f t="array" ref="R517">(VLOOKUP($A517,'The List'!$B1:$AH671,30,FALSE)-AVERAGE('The List'!AE2:AE671))/STDEV('The List'!AE2:AE671)</f>
        <v>-0.32146693937936244</v>
      </c>
      <c r="S517" s="55" cm="1">
        <f t="array" ref="S517">(VLOOKUP($A517,'The List'!$B1:$AH671,31,FALSE)-AVERAGE('The List'!AF2:AF671))/STDEV('The List'!AF2:AF671)</f>
        <v>-0.32379745963959727</v>
      </c>
      <c r="T517" s="55" cm="1">
        <f t="array" ref="T517">(VLOOKUP($A517,'The List'!$B1:$AH671,32,FALSE)-AVERAGE('The List'!AG2:AG671))/STDEV('The List'!AG2:AG671)</f>
        <v>-0.37483286665642096</v>
      </c>
      <c r="U517" s="55" cm="1">
        <f t="array" ref="U517">(VLOOKUP($A517,'The List'!$B1:$AH671,33,FALSE)-AVERAGE('The List'!AH2:AH671))/STDEV('The List'!AH2:AH671)</f>
        <v>1.09069778568889</v>
      </c>
      <c r="V517" s="55"/>
      <c r="W517" s="77"/>
      <c r="X517" s="57"/>
      <c r="Y517" s="57"/>
      <c r="Z517" s="57"/>
      <c r="AA517" s="57"/>
      <c r="AB517" s="57"/>
      <c r="AC517" s="60"/>
      <c r="AD517" s="61"/>
      <c r="AE517" s="55"/>
    </row>
    <row r="518" spans="1:31" ht="21.25" customHeight="1" x14ac:dyDescent="0.15">
      <c r="A518" s="10" t="s">
        <v>783</v>
      </c>
      <c r="B518" s="18" t="str" cm="1">
        <f t="array" ref="B518">VLOOKUP(A518,'Player Data'!A1:B673,2,FALSE)</f>
        <v>T.B</v>
      </c>
      <c r="C518" s="52" cm="1">
        <f t="array" ref="C518">((E518)*Settings!$C$12)+(F518*Settings!$C$2)+(G518*Settings!$C$3)+(H518*Settings!$C$4)+(I518*Settings!$C$5)+(K518*Settings!$C$9)+(N518*Settings!$C$6)+(J518*Settings!$C$8)+(O518*Settings!$C$7)+(P518*Settings!$C$14)+(Q518*Settings!$C$15)+(R518*Settings!$C$16)+(S518*Settings!$C$17)+(T518*Settings!$C$18)+(U518*Settings!$C$19)+(L518*Settings!$C$10)+(Settings!$C$11*M518)</f>
        <v>-1.7283872596701955</v>
      </c>
      <c r="D518" s="57" cm="1">
        <f t="array" ref="D518">IF(Settings!$E$12="YES",VLOOKUP(A518,'Player Data'!A1:E673,5,FALSE),82)</f>
        <v>61</v>
      </c>
      <c r="E518" s="55" cm="1">
        <f t="array" ref="E518">(VLOOKUP($A518,'The List'!$B1:$AH671,17,FALSE)-AVERAGE('The List'!R2:R671))/STDEV('The List'!R2:R671)</f>
        <v>-1.551460496386303</v>
      </c>
      <c r="F518" s="55" cm="1">
        <f t="array" ref="F518">(VLOOKUP($A518,'The List'!$B1:$AH671,18,FALSE)-AVERAGE('The List'!S2:S671))/STDEV('The List'!S2:S671)</f>
        <v>-0.88549879480295435</v>
      </c>
      <c r="G518" s="55" cm="1">
        <f t="array" ref="G518">(VLOOKUP($A518,'The List'!$B1:$AH671,19,FALSE)-AVERAGE('The List'!T2:T671))/STDEV('The List'!T2:T671)</f>
        <v>-1.0621874933971294</v>
      </c>
      <c r="H518" s="55" cm="1">
        <f t="array" ref="H518">(VLOOKUP($A518,'The List'!$B1:$AH671,20,FALSE)-AVERAGE('The List'!U2:U671))/STDEV('The List'!U2:U671)</f>
        <v>-1.0604571340450486</v>
      </c>
      <c r="I518" s="55" cm="1">
        <f t="array" ref="I518">(VLOOKUP($A518,'The List'!$B1:$AH671,21,FALSE)-AVERAGE('The List'!V2:V671))/STDEV('The List'!V2:V671)</f>
        <v>-0.94048829340564843</v>
      </c>
      <c r="J518" s="55" cm="1">
        <f t="array" ref="J518">(VLOOKUP($A518,'The List'!$B1:$AH671,22,FALSE)-AVERAGE('The List'!W2:W671))/STDEV('The List'!W2:W671)</f>
        <v>-0.73853908386105271</v>
      </c>
      <c r="K518" s="55" cm="1">
        <f t="array" ref="K518">(VLOOKUP($A518,'The List'!$B1:$AH671,23,FALSE)-AVERAGE('The List'!X2:X671))/STDEV('The List'!X2:X671)</f>
        <v>-0.80155300200843405</v>
      </c>
      <c r="L518" s="55" cm="1">
        <f t="array" ref="L518">(VLOOKUP($A518,'The List'!$B1:$AH671,24,FALSE)-AVERAGE('The List'!Y2:Y671))/STDEV('The List'!Y2:Y671)</f>
        <v>-0.47546929358800777</v>
      </c>
      <c r="M518" s="55" cm="1">
        <f t="array" ref="M518">(VLOOKUP($A518,'The List'!$B1:$AH671,25,FALSE)-AVERAGE('The List'!Z2:Z671))/STDEV('The List'!Z2:Z671)</f>
        <v>-0.64388478613809508</v>
      </c>
      <c r="N518" s="55" cm="1">
        <f t="array" ref="N518">(VLOOKUP($A518,'The List'!$B1:$AH671,26,FALSE)-AVERAGE('The List'!AA2:AA671))/STDEV('The List'!AA2:AA671)</f>
        <v>-0.93744936408509494</v>
      </c>
      <c r="O518" s="55" cm="1">
        <f t="array" ref="O518">(VLOOKUP($A518,'The List'!$B1:$AH671,27,FALSE)-AVERAGE('The List'!AB2:AB671))/STDEV('The List'!AB2:AB671)</f>
        <v>1.0071476005755788</v>
      </c>
      <c r="P518" s="55" cm="1">
        <f t="array" ref="P518">(VLOOKUP($A518,'The List'!$B1:$AH671,28,FALSE)-AVERAGE('The List'!AC2:AC671))/STDEV('The List'!AC2:AC671)</f>
        <v>0.954192723368392</v>
      </c>
      <c r="Q518" s="55" cm="1">
        <f t="array" ref="Q518">(VLOOKUP($A518,'The List'!$B1:$AH671,29,FALSE)-AVERAGE('The List'!AD2:AD671))/STDEV('The List'!AD2:AD671)</f>
        <v>1.1866772731763051</v>
      </c>
      <c r="R518" s="55" cm="1">
        <f t="array" ref="R518">(VLOOKUP($A518,'The List'!$B1:$AH671,30,FALSE)-AVERAGE('The List'!AE2:AE671))/STDEV('The List'!AE2:AE671)</f>
        <v>-0.96397980534982186</v>
      </c>
      <c r="S518" s="55" cm="1">
        <f t="array" ref="S518">(VLOOKUP($A518,'The List'!$B1:$AH671,31,FALSE)-AVERAGE('The List'!AF2:AF671))/STDEV('The List'!AF2:AF671)</f>
        <v>-0.58702036894473042</v>
      </c>
      <c r="T518" s="55" cm="1">
        <f t="array" ref="T518">(VLOOKUP($A518,'The List'!$B1:$AH671,32,FALSE)-AVERAGE('The List'!AG2:AG671))/STDEV('The List'!AG2:AG671)</f>
        <v>-0.62193828045503063</v>
      </c>
      <c r="U518" s="55" cm="1">
        <f t="array" ref="U518">(VLOOKUP($A518,'The List'!$B1:$AH671,33,FALSE)-AVERAGE('The List'!AH2:AH671))/STDEV('The List'!AH2:AH671)</f>
        <v>-0.15128127822937942</v>
      </c>
      <c r="V518" s="55"/>
      <c r="W518" s="77"/>
      <c r="X518" s="57"/>
      <c r="Y518" s="57"/>
      <c r="Z518" s="57"/>
      <c r="AA518" s="57"/>
      <c r="AB518" s="57"/>
      <c r="AC518" s="60"/>
      <c r="AD518" s="61"/>
      <c r="AE518" s="55"/>
    </row>
    <row r="519" spans="1:31" ht="21.25" customHeight="1" x14ac:dyDescent="0.15">
      <c r="A519" s="10" t="s">
        <v>536</v>
      </c>
      <c r="B519" s="18" t="str" cm="1">
        <f t="array" ref="B519">VLOOKUP(A519,'Player Data'!A1:B673,2,FALSE)</f>
        <v>SEA</v>
      </c>
      <c r="C519" s="52" cm="1">
        <f t="array" ref="C519">((E519)*Settings!$C$12)+(F519*Settings!$C$2)+(G519*Settings!$C$3)+(H519*Settings!$C$4)+(I519*Settings!$C$5)+(K519*Settings!$C$9)+(N519*Settings!$C$6)+(J519*Settings!$C$8)+(O519*Settings!$C$7)+(P519*Settings!$C$14)+(Q519*Settings!$C$15)+(R519*Settings!$C$16)+(S519*Settings!$C$17)+(T519*Settings!$C$18)+(U519*Settings!$C$19)+(L519*Settings!$C$10)+(Settings!$C$11*M519)</f>
        <v>-5.0490589515351374</v>
      </c>
      <c r="D519" s="57" cm="1">
        <f t="array" ref="D519">IF(Settings!$E$12="YES",VLOOKUP(A519,'Player Data'!A1:E673,5,FALSE),82)</f>
        <v>66</v>
      </c>
      <c r="E519" s="55" cm="1">
        <f t="array" ref="E519">(VLOOKUP($A519,'The List'!$B1:$AH671,17,FALSE)-AVERAGE('The List'!R2:R671))/STDEV('The List'!R2:R671)</f>
        <v>0.28478721591823775</v>
      </c>
      <c r="F519" s="55" cm="1">
        <f t="array" ref="F519">(VLOOKUP($A519,'The List'!$B1:$AH671,18,FALSE)-AVERAGE('The List'!S2:S671))/STDEV('The List'!S2:S671)</f>
        <v>-1.2407651855869557</v>
      </c>
      <c r="G519" s="55" cm="1">
        <f t="array" ref="G519">(VLOOKUP($A519,'The List'!$B1:$AH671,19,FALSE)-AVERAGE('The List'!T2:T671))/STDEV('The List'!T2:T671)</f>
        <v>-0.73471310728530359</v>
      </c>
      <c r="H519" s="55" cm="1">
        <f t="array" ref="H519">(VLOOKUP($A519,'The List'!$B1:$AH671,20,FALSE)-AVERAGE('The List'!U2:U671))/STDEV('The List'!U2:U671)</f>
        <v>-1.0118292017977131</v>
      </c>
      <c r="I519" s="55" cm="1">
        <f t="array" ref="I519">(VLOOKUP($A519,'The List'!$B1:$AH671,21,FALSE)-AVERAGE('The List'!V2:V671))/STDEV('The List'!V2:V671)</f>
        <v>-1.146433205348919</v>
      </c>
      <c r="J519" s="55" cm="1">
        <f t="array" ref="J519">(VLOOKUP($A519,'The List'!$B1:$AH671,22,FALSE)-AVERAGE('The List'!W2:W671))/STDEV('The List'!W2:W671)</f>
        <v>-0.73853908386105271</v>
      </c>
      <c r="K519" s="55" cm="1">
        <f t="array" ref="K519">(VLOOKUP($A519,'The List'!$B1:$AH671,23,FALSE)-AVERAGE('The List'!X2:X671))/STDEV('The List'!X2:X671)</f>
        <v>-0.80155300200843405</v>
      </c>
      <c r="L519" s="55" cm="1">
        <f t="array" ref="L519">(VLOOKUP($A519,'The List'!$B1:$AH671,24,FALSE)-AVERAGE('The List'!Y2:Y671))/STDEV('The List'!Y2:Y671)</f>
        <v>-0.47546929358800777</v>
      </c>
      <c r="M519" s="55" cm="1">
        <f t="array" ref="M519">(VLOOKUP($A519,'The List'!$B1:$AH671,25,FALSE)-AVERAGE('The List'!Z2:Z671))/STDEV('The List'!Z2:Z671)</f>
        <v>7.3284054720164735E-2</v>
      </c>
      <c r="N519" s="55" cm="1">
        <f t="array" ref="N519">(VLOOKUP($A519,'The List'!$B1:$AH671,26,FALSE)-AVERAGE('The List'!AA2:AA671))/STDEV('The List'!AA2:AA671)</f>
        <v>0.80444417737906726</v>
      </c>
      <c r="O519" s="55" cm="1">
        <f t="array" ref="O519">(VLOOKUP($A519,'The List'!$B1:$AH671,27,FALSE)-AVERAGE('The List'!AB2:AB671))/STDEV('The List'!AB2:AB671)</f>
        <v>0.12529163773280266</v>
      </c>
      <c r="P519" s="55" cm="1">
        <f t="array" ref="P519">(VLOOKUP($A519,'The List'!$B1:$AH671,28,FALSE)-AVERAGE('The List'!AC2:AC671))/STDEV('The List'!AC2:AC671)</f>
        <v>-1.2508860890383278</v>
      </c>
      <c r="Q519" s="55" cm="1">
        <f t="array" ref="Q519">(VLOOKUP($A519,'The List'!$B1:$AH671,29,FALSE)-AVERAGE('The List'!AD2:AD671))/STDEV('The List'!AD2:AD671)</f>
        <v>-0.17944520184499921</v>
      </c>
      <c r="R519" s="55" cm="1">
        <f t="array" ref="R519">(VLOOKUP($A519,'The List'!$B1:$AH671,30,FALSE)-AVERAGE('The List'!AE2:AE671))/STDEV('The List'!AE2:AE671)</f>
        <v>-1.3444971337400937</v>
      </c>
      <c r="S519" s="55" cm="1">
        <f t="array" ref="S519">(VLOOKUP($A519,'The List'!$B1:$AH671,31,FALSE)-AVERAGE('The List'!AF2:AF671))/STDEV('The List'!AF2:AF671)</f>
        <v>-0.59581850454342256</v>
      </c>
      <c r="T519" s="55" cm="1">
        <f t="array" ref="T519">(VLOOKUP($A519,'The List'!$B1:$AH671,32,FALSE)-AVERAGE('The List'!AG2:AG671))/STDEV('The List'!AG2:AG671)</f>
        <v>-0.64684275008198677</v>
      </c>
      <c r="U519" s="55" cm="1">
        <f t="array" ref="U519">(VLOOKUP($A519,'The List'!$B1:$AH671,33,FALSE)-AVERAGE('The List'!AH2:AH671))/STDEV('The List'!AH2:AH671)</f>
        <v>-1.2552626683789523</v>
      </c>
      <c r="V519" s="55"/>
      <c r="W519" s="57"/>
      <c r="X519" s="55"/>
      <c r="Y519" s="55"/>
      <c r="Z519" s="55"/>
      <c r="AA519" s="55"/>
      <c r="AB519" s="55"/>
      <c r="AC519" s="55"/>
      <c r="AD519" s="55"/>
      <c r="AE519" s="55"/>
    </row>
    <row r="520" spans="1:31" ht="21.25" customHeight="1" x14ac:dyDescent="0.15">
      <c r="A520" s="10" t="s">
        <v>501</v>
      </c>
      <c r="B520" s="18" t="str" cm="1">
        <f t="array" ref="B520">VLOOKUP(A520,'Player Data'!A1:B673,2,FALSE)</f>
        <v>BUF</v>
      </c>
      <c r="C520" s="52" cm="1">
        <f t="array" ref="C520">((E520)*Settings!$C$12)+(F520*Settings!$C$2)+(G520*Settings!$C$3)+(H520*Settings!$C$4)+(I520*Settings!$C$5)+(K520*Settings!$C$9)+(N520*Settings!$C$6)+(J520*Settings!$C$8)+(O520*Settings!$C$7)+(P520*Settings!$C$14)+(Q520*Settings!$C$15)+(R520*Settings!$C$16)+(S520*Settings!$C$17)+(T520*Settings!$C$18)+(U520*Settings!$C$19)+(L520*Settings!$C$10)+(Settings!$C$11*M520)</f>
        <v>-4.1850316334333542</v>
      </c>
      <c r="D520" s="57" cm="1">
        <f t="array" ref="D520">IF(Settings!$E$12="YES",VLOOKUP(A520,'Player Data'!A1:E673,5,FALSE),82)</f>
        <v>69</v>
      </c>
      <c r="E520" s="55" cm="1">
        <f t="array" ref="E520">(VLOOKUP($A520,'The List'!$B1:$AH671,17,FALSE)-AVERAGE('The List'!R2:R671))/STDEV('The List'!R2:R671)</f>
        <v>0.2323229955666796</v>
      </c>
      <c r="F520" s="55" cm="1">
        <f t="array" ref="F520">(VLOOKUP($A520,'The List'!$B1:$AH671,18,FALSE)-AVERAGE('The List'!S2:S671))/STDEV('The List'!S2:S671)</f>
        <v>-1.1659197380903261</v>
      </c>
      <c r="G520" s="55" cm="1">
        <f t="array" ref="G520">(VLOOKUP($A520,'The List'!$B1:$AH671,19,FALSE)-AVERAGE('The List'!T2:T671))/STDEV('The List'!T2:T671)</f>
        <v>-0.74103771989261358</v>
      </c>
      <c r="H520" s="55" cm="1">
        <f t="array" ref="H520">(VLOOKUP($A520,'The List'!$B1:$AH671,20,FALSE)-AVERAGE('The List'!U2:U671))/STDEV('The List'!U2:U671)</f>
        <v>-0.98265244244931171</v>
      </c>
      <c r="I520" s="55" cm="1">
        <f t="array" ref="I520">(VLOOKUP($A520,'The List'!$B1:$AH671,21,FALSE)-AVERAGE('The List'!V2:V671))/STDEV('The List'!V2:V671)</f>
        <v>-1.0396597526803442</v>
      </c>
      <c r="J520" s="55" cm="1">
        <f t="array" ref="J520">(VLOOKUP($A520,'The List'!$B1:$AH671,22,FALSE)-AVERAGE('The List'!W2:W671))/STDEV('The List'!W2:W671)</f>
        <v>-0.73853908386105271</v>
      </c>
      <c r="K520" s="55" cm="1">
        <f t="array" ref="K520">(VLOOKUP($A520,'The List'!$B1:$AH671,23,FALSE)-AVERAGE('The List'!X2:X671))/STDEV('The List'!X2:X671)</f>
        <v>-0.80155300200843405</v>
      </c>
      <c r="L520" s="55" cm="1">
        <f t="array" ref="L520">(VLOOKUP($A520,'The List'!$B1:$AH671,24,FALSE)-AVERAGE('The List'!Y2:Y671))/STDEV('The List'!Y2:Y671)</f>
        <v>-0.47546929358800777</v>
      </c>
      <c r="M520" s="55" cm="1">
        <f t="array" ref="M520">(VLOOKUP($A520,'The List'!$B1:$AH671,25,FALSE)-AVERAGE('The List'!Z2:Z671))/STDEV('The List'!Z2:Z671)</f>
        <v>-0.64388478613809508</v>
      </c>
      <c r="N520" s="55" cm="1">
        <f t="array" ref="N520">(VLOOKUP($A520,'The List'!$B1:$AH671,26,FALSE)-AVERAGE('The List'!AA2:AA671))/STDEV('The List'!AA2:AA671)</f>
        <v>1.2848696541377314</v>
      </c>
      <c r="O520" s="55" cm="1">
        <f t="array" ref="O520">(VLOOKUP($A520,'The List'!$B1:$AH671,27,FALSE)-AVERAGE('The List'!AB2:AB671))/STDEV('The List'!AB2:AB671)</f>
        <v>-0.48167616932843821</v>
      </c>
      <c r="P520" s="55" cm="1">
        <f t="array" ref="P520">(VLOOKUP($A520,'The List'!$B1:$AH671,28,FALSE)-AVERAGE('The List'!AC2:AC671))/STDEV('The List'!AC2:AC671)</f>
        <v>4.4814748566801905E-2</v>
      </c>
      <c r="Q520" s="55" cm="1">
        <f t="array" ref="Q520">(VLOOKUP($A520,'The List'!$B1:$AH671,29,FALSE)-AVERAGE('The List'!AD2:AD671))/STDEV('The List'!AD2:AD671)</f>
        <v>7.3239431176788605E-2</v>
      </c>
      <c r="R520" s="55" cm="1">
        <f t="array" ref="R520">(VLOOKUP($A520,'The List'!$B1:$AH671,30,FALSE)-AVERAGE('The List'!AE2:AE671))/STDEV('The List'!AE2:AE671)</f>
        <v>-1.3444971337400937</v>
      </c>
      <c r="S520" s="55" cm="1">
        <f t="array" ref="S520">(VLOOKUP($A520,'The List'!$B1:$AH671,31,FALSE)-AVERAGE('The List'!AF2:AF671))/STDEV('The List'!AF2:AF671)</f>
        <v>-0.59581850454342256</v>
      </c>
      <c r="T520" s="55" cm="1">
        <f t="array" ref="T520">(VLOOKUP($A520,'The List'!$B1:$AH671,32,FALSE)-AVERAGE('The List'!AG2:AG671))/STDEV('The List'!AG2:AG671)</f>
        <v>-0.64684275008198677</v>
      </c>
      <c r="U520" s="55" cm="1">
        <f t="array" ref="U520">(VLOOKUP($A520,'The List'!$B1:$AH671,33,FALSE)-AVERAGE('The List'!AH2:AH671))/STDEV('The List'!AH2:AH671)</f>
        <v>-1.2552626683789523</v>
      </c>
      <c r="V520" s="55"/>
      <c r="W520" s="77"/>
      <c r="X520" s="57"/>
      <c r="Y520" s="57"/>
      <c r="Z520" s="57"/>
      <c r="AA520" s="57"/>
      <c r="AB520" s="57"/>
      <c r="AC520" s="60"/>
      <c r="AD520" s="61"/>
      <c r="AE520" s="55"/>
    </row>
    <row r="521" spans="1:31" ht="21.25" customHeight="1" x14ac:dyDescent="0.15">
      <c r="A521" s="10" t="s">
        <v>673</v>
      </c>
      <c r="B521" s="18" t="str" cm="1">
        <f t="array" ref="B521">VLOOKUP(A521,'Player Data'!A1:B673,2,FALSE)</f>
        <v>MIN</v>
      </c>
      <c r="C521" s="52" cm="1">
        <f t="array" ref="C521">((E521)*Settings!$C$12)+(F521*Settings!$C$2)+(G521*Settings!$C$3)+(H521*Settings!$C$4)+(I521*Settings!$C$5)+(K521*Settings!$C$9)+(N521*Settings!$C$6)+(J521*Settings!$C$8)+(O521*Settings!$C$7)+(P521*Settings!$C$14)+(Q521*Settings!$C$15)+(R521*Settings!$C$16)+(S521*Settings!$C$17)+(T521*Settings!$C$18)+(U521*Settings!$C$19)+(L521*Settings!$C$10)+(Settings!$C$11*M521)</f>
        <v>-0.80560685935972742</v>
      </c>
      <c r="D521" s="57" cm="1">
        <f t="array" ref="D521">IF(Settings!$E$12="YES",VLOOKUP(A521,'Player Data'!A1:E673,5,FALSE),82)</f>
        <v>81</v>
      </c>
      <c r="E521" s="55" cm="1">
        <f t="array" ref="E521">(VLOOKUP($A521,'The List'!$B1:$AH671,17,FALSE)-AVERAGE('The List'!R2:R671))/STDEV('The List'!R2:R671)</f>
        <v>-0.92188985216760311</v>
      </c>
      <c r="F521" s="55" cm="1">
        <f t="array" ref="F521">(VLOOKUP($A521,'The List'!$B1:$AH671,18,FALSE)-AVERAGE('The List'!S2:S671))/STDEV('The List'!S2:S671)</f>
        <v>-0.56416234021742484</v>
      </c>
      <c r="G521" s="55" cm="1">
        <f t="array" ref="G521">(VLOOKUP($A521,'The List'!$B1:$AH671,19,FALSE)-AVERAGE('The List'!T2:T671))/STDEV('The List'!T2:T671)</f>
        <v>-0.97926479476795469</v>
      </c>
      <c r="H521" s="55" cm="1">
        <f t="array" ref="H521">(VLOOKUP($A521,'The List'!$B1:$AH671,20,FALSE)-AVERAGE('The List'!U2:U671))/STDEV('The List'!U2:U671)</f>
        <v>-0.86594540505570616</v>
      </c>
      <c r="I521" s="55" cm="1">
        <f t="array" ref="I521">(VLOOKUP($A521,'The List'!$B1:$AH671,21,FALSE)-AVERAGE('The List'!V2:V671))/STDEV('The List'!V2:V671)</f>
        <v>-0.44877753888337563</v>
      </c>
      <c r="J521" s="55" cm="1">
        <f t="array" ref="J521">(VLOOKUP($A521,'The List'!$B1:$AH671,22,FALSE)-AVERAGE('The List'!W2:W671))/STDEV('The List'!W2:W671)</f>
        <v>-0.73853908386105271</v>
      </c>
      <c r="K521" s="55" cm="1">
        <f t="array" ref="K521">(VLOOKUP($A521,'The List'!$B1:$AH671,23,FALSE)-AVERAGE('The List'!X2:X671))/STDEV('The List'!X2:X671)</f>
        <v>-0.80155300200843405</v>
      </c>
      <c r="L521" s="55" cm="1">
        <f t="array" ref="L521">(VLOOKUP($A521,'The List'!$B1:$AH671,24,FALSE)-AVERAGE('The List'!Y2:Y671))/STDEV('The List'!Y2:Y671)</f>
        <v>1.0093815618045958</v>
      </c>
      <c r="M521" s="55" cm="1">
        <f t="array" ref="M521">(VLOOKUP($A521,'The List'!$B1:$AH671,25,FALSE)-AVERAGE('The List'!Z2:Z671))/STDEV('The List'!Z2:Z671)</f>
        <v>0.23627697309704196</v>
      </c>
      <c r="N521" s="55" cm="1">
        <f t="array" ref="N521">(VLOOKUP($A521,'The List'!$B1:$AH671,26,FALSE)-AVERAGE('The List'!AA2:AA671))/STDEV('The List'!AA2:AA671)</f>
        <v>0.11483822987859242</v>
      </c>
      <c r="O521" s="55" cm="1">
        <f t="array" ref="O521">(VLOOKUP($A521,'The List'!$B1:$AH671,27,FALSE)-AVERAGE('The List'!AB2:AB671))/STDEV('The List'!AB2:AB671)</f>
        <v>1.9172918300088482</v>
      </c>
      <c r="P521" s="55" cm="1">
        <f t="array" ref="P521">(VLOOKUP($A521,'The List'!$B1:$AH671,28,FALSE)-AVERAGE('The List'!AC2:AC671))/STDEV('The List'!AC2:AC671)</f>
        <v>7.0858986508613553E-2</v>
      </c>
      <c r="Q521" s="55" cm="1">
        <f t="array" ref="Q521">(VLOOKUP($A521,'The List'!$B1:$AH671,29,FALSE)-AVERAGE('The List'!AD2:AD671))/STDEV('The List'!AD2:AD671)</f>
        <v>2.7131288866938887</v>
      </c>
      <c r="R521" s="55" cm="1">
        <f t="array" ref="R521">(VLOOKUP($A521,'The List'!$B1:$AH671,30,FALSE)-AVERAGE('The List'!AE2:AE671))/STDEV('The List'!AE2:AE671)</f>
        <v>-0.33394291735937137</v>
      </c>
      <c r="S521" s="55" cm="1">
        <f t="array" ref="S521">(VLOOKUP($A521,'The List'!$B1:$AH671,31,FALSE)-AVERAGE('The List'!AF2:AF671))/STDEV('The List'!AF2:AF671)</f>
        <v>1.8264091879883071</v>
      </c>
      <c r="T521" s="55" cm="1">
        <f t="array" ref="T521">(VLOOKUP($A521,'The List'!$B1:$AH671,32,FALSE)-AVERAGE('The List'!AG2:AG671))/STDEV('The List'!AG2:AG671)</f>
        <v>1.6060421099220659</v>
      </c>
      <c r="U521" s="55" cm="1">
        <f t="array" ref="U521">(VLOOKUP($A521,'The List'!$B1:$AH671,33,FALSE)-AVERAGE('The List'!AH2:AH671))/STDEV('The List'!AH2:AH671)</f>
        <v>1.1826962348680212</v>
      </c>
      <c r="V521" s="55"/>
      <c r="W521" s="77"/>
      <c r="X521" s="57"/>
      <c r="Y521" s="57"/>
      <c r="Z521" s="57"/>
      <c r="AA521" s="57"/>
      <c r="AB521" s="57"/>
      <c r="AC521" s="60"/>
      <c r="AD521" s="61"/>
      <c r="AE521" s="55"/>
    </row>
    <row r="522" spans="1:31" ht="21.25" customHeight="1" x14ac:dyDescent="0.15">
      <c r="A522" s="10" t="s">
        <v>447</v>
      </c>
      <c r="B522" s="18" t="str" cm="1">
        <f t="array" ref="B522">VLOOKUP(A522,'Player Data'!A1:B673,2,FALSE)</f>
        <v>DAL</v>
      </c>
      <c r="C522" s="52" cm="1">
        <f t="array" ref="C522">((E522)*Settings!$C$12)+(F522*Settings!$C$2)+(G522*Settings!$C$3)+(H522*Settings!$C$4)+(I522*Settings!$C$5)+(K522*Settings!$C$9)+(N522*Settings!$C$6)+(J522*Settings!$C$8)+(O522*Settings!$C$7)+(P522*Settings!$C$14)+(Q522*Settings!$C$15)+(R522*Settings!$C$16)+(S522*Settings!$C$17)+(T522*Settings!$C$18)+(U522*Settings!$C$19)+(L522*Settings!$C$10)+(Settings!$C$11*M522)</f>
        <v>-2.6495466779575656</v>
      </c>
      <c r="D522" s="57" cm="1">
        <f t="array" ref="D522">IF(Settings!$E$12="YES",VLOOKUP(A522,'Player Data'!A1:E673,5,FALSE),82)</f>
        <v>80</v>
      </c>
      <c r="E522" s="55" cm="1">
        <f t="array" ref="E522">(VLOOKUP($A522,'The List'!$B1:$AH671,17,FALSE)-AVERAGE('The List'!R2:R671))/STDEV('The List'!R2:R671)</f>
        <v>0.31101932609401728</v>
      </c>
      <c r="F522" s="55" cm="1">
        <f t="array" ref="F522">(VLOOKUP($A522,'The List'!$B1:$AH671,18,FALSE)-AVERAGE('The List'!S2:S671))/STDEV('The List'!S2:S671)</f>
        <v>-1.0531525971954045</v>
      </c>
      <c r="G522" s="55" cm="1">
        <f t="array" ref="G522">(VLOOKUP($A522,'The List'!$B1:$AH671,19,FALSE)-AVERAGE('The List'!T2:T671))/STDEV('The List'!T2:T671)</f>
        <v>-0.6503849391878378</v>
      </c>
      <c r="H522" s="55" cm="1">
        <f t="array" ref="H522">(VLOOKUP($A522,'The List'!$B1:$AH671,20,FALSE)-AVERAGE('The List'!U2:U671))/STDEV('The List'!U2:U671)</f>
        <v>-0.87567099150517347</v>
      </c>
      <c r="I522" s="55" cm="1">
        <f t="array" ref="I522">(VLOOKUP($A522,'The List'!$B1:$AH671,21,FALSE)-AVERAGE('The List'!V2:V671))/STDEV('The List'!V2:V671)</f>
        <v>-0.80192468654448779</v>
      </c>
      <c r="J522" s="55" cm="1">
        <f t="array" ref="J522">(VLOOKUP($A522,'The List'!$B1:$AH671,22,FALSE)-AVERAGE('The List'!W2:W671))/STDEV('The List'!W2:W671)</f>
        <v>-0.73853908386105271</v>
      </c>
      <c r="K522" s="55" cm="1">
        <f t="array" ref="K522">(VLOOKUP($A522,'The List'!$B1:$AH671,23,FALSE)-AVERAGE('The List'!X2:X671))/STDEV('The List'!X2:X671)</f>
        <v>-0.80155300200843405</v>
      </c>
      <c r="L522" s="55" cm="1">
        <f t="array" ref="L522">(VLOOKUP($A522,'The List'!$B1:$AH671,24,FALSE)-AVERAGE('The List'!Y2:Y671))/STDEV('The List'!Y2:Y671)</f>
        <v>0.99105006976271182</v>
      </c>
      <c r="M522" s="55" cm="1">
        <f t="array" ref="M522">(VLOOKUP($A522,'The List'!$B1:$AH671,25,FALSE)-AVERAGE('The List'!Z2:Z671))/STDEV('The List'!Z2:Z671)</f>
        <v>0.22541077853858349</v>
      </c>
      <c r="N522" s="55" cm="1">
        <f t="array" ref="N522">(VLOOKUP($A522,'The List'!$B1:$AH671,26,FALSE)-AVERAGE('The List'!AA2:AA671))/STDEV('The List'!AA2:AA671)</f>
        <v>1.4828121020313862</v>
      </c>
      <c r="O522" s="55" cm="1">
        <f t="array" ref="O522">(VLOOKUP($A522,'The List'!$B1:$AH671,27,FALSE)-AVERAGE('The List'!AB2:AB671))/STDEV('The List'!AB2:AB671)</f>
        <v>6.7895154795569804E-2</v>
      </c>
      <c r="P522" s="55" cm="1">
        <f t="array" ref="P522">(VLOOKUP($A522,'The List'!$B1:$AH671,28,FALSE)-AVERAGE('The List'!AC2:AC671))/STDEV('The List'!AC2:AC671)</f>
        <v>0.58957339218302895</v>
      </c>
      <c r="Q522" s="55" cm="1">
        <f t="array" ref="Q522">(VLOOKUP($A522,'The List'!$B1:$AH671,29,FALSE)-AVERAGE('The List'!AD2:AD671))/STDEV('The List'!AD2:AD671)</f>
        <v>1.7046068864753494</v>
      </c>
      <c r="R522" s="55" cm="1">
        <f t="array" ref="R522">(VLOOKUP($A522,'The List'!$B1:$AH671,30,FALSE)-AVERAGE('The List'!AE2:AE671))/STDEV('The List'!AE2:AE671)</f>
        <v>-0.84545801453973701</v>
      </c>
      <c r="S522" s="55" cm="1">
        <f t="array" ref="S522">(VLOOKUP($A522,'The List'!$B1:$AH671,31,FALSE)-AVERAGE('The List'!AF2:AF671))/STDEV('The List'!AF2:AF671)</f>
        <v>-0.59581850454342256</v>
      </c>
      <c r="T522" s="55" cm="1">
        <f t="array" ref="T522">(VLOOKUP($A522,'The List'!$B1:$AH671,32,FALSE)-AVERAGE('The List'!AG2:AG671))/STDEV('The List'!AG2:AG671)</f>
        <v>-0.64684275008198677</v>
      </c>
      <c r="U522" s="55" cm="1">
        <f t="array" ref="U522">(VLOOKUP($A522,'The List'!$B1:$AH671,33,FALSE)-AVERAGE('The List'!AH2:AH671))/STDEV('The List'!AH2:AH671)</f>
        <v>-1.2552626683789523</v>
      </c>
      <c r="V522" s="55"/>
      <c r="W522" s="77"/>
      <c r="X522" s="57"/>
      <c r="Y522" s="57"/>
      <c r="Z522" s="57"/>
      <c r="AA522" s="57"/>
      <c r="AB522" s="57"/>
      <c r="AC522" s="60"/>
      <c r="AD522" s="61"/>
      <c r="AE522" s="55"/>
    </row>
    <row r="523" spans="1:31" ht="21.25" customHeight="1" x14ac:dyDescent="0.15">
      <c r="A523" s="10" t="s">
        <v>732</v>
      </c>
      <c r="B523" s="18" t="str" cm="1">
        <f t="array" ref="B523">VLOOKUP(A523,'Player Data'!A1:B673,2,FALSE)</f>
        <v>DAL</v>
      </c>
      <c r="C523" s="52" cm="1">
        <f t="array" ref="C523">((E523)*Settings!$C$12)+(F523*Settings!$C$2)+(G523*Settings!$C$3)+(H523*Settings!$C$4)+(I523*Settings!$C$5)+(K523*Settings!$C$9)+(N523*Settings!$C$6)+(J523*Settings!$C$8)+(O523*Settings!$C$7)+(P523*Settings!$C$14)+(Q523*Settings!$C$15)+(R523*Settings!$C$16)+(S523*Settings!$C$17)+(T523*Settings!$C$18)+(U523*Settings!$C$19)+(L523*Settings!$C$10)+(Settings!$C$11*M523)</f>
        <v>-2.5237820972325968</v>
      </c>
      <c r="D523" s="57" cm="1">
        <f t="array" ref="D523">IF(Settings!$E$12="YES",VLOOKUP(A523,'Player Data'!A1:E673,5,FALSE),82)</f>
        <v>77</v>
      </c>
      <c r="E523" s="55" cm="1">
        <f t="array" ref="E523">(VLOOKUP($A523,'The List'!$B1:$AH671,17,FALSE)-AVERAGE('The List'!R2:R671))/STDEV('The List'!R2:R671)</f>
        <v>-1.3940678353316283</v>
      </c>
      <c r="F523" s="55" cm="1">
        <f t="array" ref="F523">(VLOOKUP($A523,'The List'!$B1:$AH671,18,FALSE)-AVERAGE('The List'!S2:S671))/STDEV('The List'!S2:S671)</f>
        <v>-0.9882865426983255</v>
      </c>
      <c r="G523" s="55" cm="1">
        <f t="array" ref="G523">(VLOOKUP($A523,'The List'!$B1:$AH671,19,FALSE)-AVERAGE('The List'!T2:T671))/STDEV('The List'!T2:T671)</f>
        <v>-0.74244318936090459</v>
      </c>
      <c r="H523" s="55" cm="1">
        <f t="array" ref="H523">(VLOOKUP($A523,'The List'!$B1:$AH671,20,FALSE)-AVERAGE('The List'!U2:U671))/STDEV('The List'!U2:U671)</f>
        <v>-0.90484775085357472</v>
      </c>
      <c r="I523" s="55" cm="1">
        <f t="array" ref="I523">(VLOOKUP($A523,'The List'!$B1:$AH671,21,FALSE)-AVERAGE('The List'!V2:V671))/STDEV('The List'!V2:V671)</f>
        <v>-1.2262541359846499</v>
      </c>
      <c r="J523" s="55" cm="1">
        <f t="array" ref="J523">(VLOOKUP($A523,'The List'!$B1:$AH671,22,FALSE)-AVERAGE('The List'!W2:W671))/STDEV('The List'!W2:W671)</f>
        <v>-0.73853908386105271</v>
      </c>
      <c r="K523" s="55" cm="1">
        <f t="array" ref="K523">(VLOOKUP($A523,'The List'!$B1:$AH671,23,FALSE)-AVERAGE('The List'!X2:X671))/STDEV('The List'!X2:X671)</f>
        <v>-0.80155300200843405</v>
      </c>
      <c r="L523" s="55" cm="1">
        <f t="array" ref="L523">(VLOOKUP($A523,'The List'!$B1:$AH671,24,FALSE)-AVERAGE('The List'!Y2:Y671))/STDEV('The List'!Y2:Y671)</f>
        <v>0.93605559363705981</v>
      </c>
      <c r="M523" s="55" cm="1">
        <f t="array" ref="M523">(VLOOKUP($A523,'The List'!$B1:$AH671,25,FALSE)-AVERAGE('The List'!Z2:Z671))/STDEV('The List'!Z2:Z671)</f>
        <v>1.8662061568658141</v>
      </c>
      <c r="N523" s="55" cm="1">
        <f t="array" ref="N523">(VLOOKUP($A523,'The List'!$B1:$AH671,26,FALSE)-AVERAGE('The List'!AA2:AA671))/STDEV('The List'!AA2:AA671)</f>
        <v>-0.24631095892350793</v>
      </c>
      <c r="O523" s="55" cm="1">
        <f t="array" ref="O523">(VLOOKUP($A523,'The List'!$B1:$AH671,27,FALSE)-AVERAGE('The List'!AB2:AB671))/STDEV('The List'!AB2:AB671)</f>
        <v>0.50410842511854181</v>
      </c>
      <c r="P523" s="55" cm="1">
        <f t="array" ref="P523">(VLOOKUP($A523,'The List'!$B1:$AH671,28,FALSE)-AVERAGE('The List'!AC2:AC671))/STDEV('The List'!AC2:AC671)</f>
        <v>0.73064634770117531</v>
      </c>
      <c r="Q523" s="55" cm="1">
        <f t="array" ref="Q523">(VLOOKUP($A523,'The List'!$B1:$AH671,29,FALSE)-AVERAGE('The List'!AD2:AD671))/STDEV('The List'!AD2:AD671)</f>
        <v>-0.61019122831196515</v>
      </c>
      <c r="R523" s="55" cm="1">
        <f t="array" ref="R523">(VLOOKUP($A523,'The List'!$B1:$AH671,30,FALSE)-AVERAGE('The List'!AE2:AE671))/STDEV('The List'!AE2:AE671)</f>
        <v>-0.86417198150975039</v>
      </c>
      <c r="S523" s="55" cm="1">
        <f t="array" ref="S523">(VLOOKUP($A523,'The List'!$B1:$AH671,31,FALSE)-AVERAGE('The List'!AF2:AF671))/STDEV('The List'!AF2:AF671)</f>
        <v>0.96640345252707915</v>
      </c>
      <c r="T523" s="55" cm="1">
        <f t="array" ref="T523">(VLOOKUP($A523,'The List'!$B1:$AH671,32,FALSE)-AVERAGE('The List'!AG2:AG671))/STDEV('The List'!AG2:AG671)</f>
        <v>0.68529120621398776</v>
      </c>
      <c r="U523" s="55" cm="1">
        <f t="array" ref="U523">(VLOOKUP($A523,'The List'!$B1:$AH671,33,FALSE)-AVERAGE('The List'!AH2:AH671))/STDEV('The List'!AH2:AH671)</f>
        <v>1.2746946840471525</v>
      </c>
      <c r="V523" s="55"/>
      <c r="W523" s="57"/>
      <c r="X523" s="55"/>
      <c r="Y523" s="55"/>
      <c r="Z523" s="55"/>
      <c r="AA523" s="55"/>
      <c r="AB523" s="55"/>
      <c r="AC523" s="55"/>
      <c r="AD523" s="55"/>
      <c r="AE523" s="55"/>
    </row>
    <row r="524" spans="1:31" ht="21.25" customHeight="1" x14ac:dyDescent="0.15">
      <c r="A524" s="10" t="s">
        <v>735</v>
      </c>
      <c r="B524" s="18" t="str" cm="1">
        <f t="array" ref="B524">VLOOKUP(A524,'Player Data'!A1:B673,2,FALSE)</f>
        <v>NYI</v>
      </c>
      <c r="C524" s="52" cm="1">
        <f t="array" ref="C524">((E524)*Settings!$C$12)+(F524*Settings!$C$2)+(G524*Settings!$C$3)+(H524*Settings!$C$4)+(I524*Settings!$C$5)+(K524*Settings!$C$9)+(N524*Settings!$C$6)+(J524*Settings!$C$8)+(O524*Settings!$C$7)+(P524*Settings!$C$14)+(Q524*Settings!$C$15)+(R524*Settings!$C$16)+(S524*Settings!$C$17)+(T524*Settings!$C$18)+(U524*Settings!$C$19)+(L524*Settings!$C$10)+(Settings!$C$11*M524)</f>
        <v>-3.5240950743821609</v>
      </c>
      <c r="D524" s="57" cm="1">
        <f t="array" ref="D524">IF(Settings!$E$12="YES",VLOOKUP(A524,'Player Data'!A1:E673,5,FALSE),82)</f>
        <v>82</v>
      </c>
      <c r="E524" s="55" cm="1">
        <f t="array" ref="E524">(VLOOKUP($A524,'The List'!$B1:$AH671,17,FALSE)-AVERAGE('The List'!R2:R671))/STDEV('The List'!R2:R671)</f>
        <v>-1.4989962760347451</v>
      </c>
      <c r="F524" s="55" cm="1">
        <f t="array" ref="F524">(VLOOKUP($A524,'The List'!$B1:$AH671,18,FALSE)-AVERAGE('The List'!S2:S671))/STDEV('The List'!S2:S671)</f>
        <v>-0.63601396981418923</v>
      </c>
      <c r="G524" s="55" cm="1">
        <f t="array" ref="G524">(VLOOKUP($A524,'The List'!$B1:$AH671,19,FALSE)-AVERAGE('The List'!T2:T671))/STDEV('The List'!T2:T671)</f>
        <v>-0.97083197795820808</v>
      </c>
      <c r="H524" s="55" cm="1">
        <f t="array" ref="H524">(VLOOKUP($A524,'The List'!$B1:$AH671,20,FALSE)-AVERAGE('The List'!U2:U671))/STDEV('The List'!U2:U671)</f>
        <v>-0.89246973173607114</v>
      </c>
      <c r="I524" s="55" cm="1">
        <f t="array" ref="I524">(VLOOKUP($A524,'The List'!$B1:$AH671,21,FALSE)-AVERAGE('The List'!V2:V671))/STDEV('The List'!V2:V671)</f>
        <v>-0.83820692774254735</v>
      </c>
      <c r="J524" s="55" cm="1">
        <f t="array" ref="J524">(VLOOKUP($A524,'The List'!$B1:$AH671,22,FALSE)-AVERAGE('The List'!W2:W671))/STDEV('The List'!W2:W671)</f>
        <v>-0.73853908386105271</v>
      </c>
      <c r="K524" s="55" cm="1">
        <f t="array" ref="K524">(VLOOKUP($A524,'The List'!$B1:$AH671,23,FALSE)-AVERAGE('The List'!X2:X671))/STDEV('The List'!X2:X671)</f>
        <v>-0.71914819416317843</v>
      </c>
      <c r="L524" s="55" cm="1">
        <f t="array" ref="L524">(VLOOKUP($A524,'The List'!$B1:$AH671,24,FALSE)-AVERAGE('The List'!Y2:Y671))/STDEV('The List'!Y2:Y671)</f>
        <v>-0.47546929358800777</v>
      </c>
      <c r="M524" s="55" cm="1">
        <f t="array" ref="M524">(VLOOKUP($A524,'The List'!$B1:$AH671,25,FALSE)-AVERAGE('The List'!Z2:Z671))/STDEV('The List'!Z2:Z671)</f>
        <v>-0.64388478613809508</v>
      </c>
      <c r="N524" s="55" cm="1">
        <f t="array" ref="N524">(VLOOKUP($A524,'The List'!$B1:$AH671,26,FALSE)-AVERAGE('The List'!AA2:AA671))/STDEV('The List'!AA2:AA671)</f>
        <v>-0.21974835946423021</v>
      </c>
      <c r="O524" s="55" cm="1">
        <f t="array" ref="O524">(VLOOKUP($A524,'The List'!$B1:$AH671,27,FALSE)-AVERAGE('The List'!AB2:AB671))/STDEV('The List'!AB2:AB671)</f>
        <v>0.63489041123980883</v>
      </c>
      <c r="P524" s="55" cm="1">
        <f t="array" ref="P524">(VLOOKUP($A524,'The List'!$B1:$AH671,28,FALSE)-AVERAGE('The List'!AC2:AC671))/STDEV('The List'!AC2:AC671)</f>
        <v>-0.9947844159438467</v>
      </c>
      <c r="Q524" s="55" cm="1">
        <f t="array" ref="Q524">(VLOOKUP($A524,'The List'!$B1:$AH671,29,FALSE)-AVERAGE('The List'!AD2:AD671))/STDEV('The List'!AD2:AD671)</f>
        <v>-1.1621076635963967</v>
      </c>
      <c r="R524" s="55" cm="1">
        <f t="array" ref="R524">(VLOOKUP($A524,'The List'!$B1:$AH671,30,FALSE)-AVERAGE('The List'!AE2:AE671))/STDEV('The List'!AE2:AE671)</f>
        <v>-0.83298203655972802</v>
      </c>
      <c r="S524" s="55" cm="1">
        <f t="array" ref="S524">(VLOOKUP($A524,'The List'!$B1:$AH671,31,FALSE)-AVERAGE('The List'!AF2:AF671))/STDEV('The List'!AF2:AF671)</f>
        <v>-0.57610683462285561</v>
      </c>
      <c r="T524" s="55" cm="1">
        <f t="array" ref="T524">(VLOOKUP($A524,'The List'!$B1:$AH671,32,FALSE)-AVERAGE('The List'!AG2:AG671))/STDEV('The List'!AG2:AG671)</f>
        <v>-0.59662554083418995</v>
      </c>
      <c r="U524" s="55" cm="1">
        <f t="array" ref="U524">(VLOOKUP($A524,'The List'!$B1:$AH671,33,FALSE)-AVERAGE('The List'!AH2:AH671))/STDEV('The List'!AH2:AH671)</f>
        <v>0.12471406930801376</v>
      </c>
      <c r="V524" s="55"/>
      <c r="W524" s="57"/>
      <c r="X524" s="55"/>
      <c r="Y524" s="55"/>
      <c r="Z524" s="55"/>
      <c r="AA524" s="55"/>
      <c r="AB524" s="55"/>
      <c r="AC524" s="55"/>
      <c r="AD524" s="55"/>
      <c r="AE524" s="55"/>
    </row>
    <row r="525" spans="1:31" ht="21.25" customHeight="1" x14ac:dyDescent="0.15">
      <c r="A525" s="10" t="s">
        <v>710</v>
      </c>
      <c r="B525" s="18" t="str" cm="1">
        <f t="array" ref="B525">VLOOKUP(A525,'Player Data'!A1:B673,2,FALSE)</f>
        <v>BOS</v>
      </c>
      <c r="C525" s="52" cm="1">
        <f t="array" ref="C525">((E525)*Settings!$C$12)+(F525*Settings!$C$2)+(G525*Settings!$C$3)+(H525*Settings!$C$4)+(I525*Settings!$C$5)+(K525*Settings!$C$9)+(N525*Settings!$C$6)+(J525*Settings!$C$8)+(O525*Settings!$C$7)+(P525*Settings!$C$14)+(Q525*Settings!$C$15)+(R525*Settings!$C$16)+(S525*Settings!$C$17)+(T525*Settings!$C$18)+(U525*Settings!$C$19)+(L525*Settings!$C$10)+(Settings!$C$11*M525)</f>
        <v>-2.9092596885174622</v>
      </c>
      <c r="D525" s="57" cm="1">
        <f t="array" ref="D525">IF(Settings!$E$12="YES",VLOOKUP(A525,'Player Data'!A1:E673,5,FALSE),82)</f>
        <v>82</v>
      </c>
      <c r="E525" s="55" cm="1">
        <f t="array" ref="E525">(VLOOKUP($A525,'The List'!$B1:$AH671,17,FALSE)-AVERAGE('The List'!R2:R671))/STDEV('The List'!R2:R671)</f>
        <v>-1.0268182928707199</v>
      </c>
      <c r="F525" s="55" cm="1">
        <f t="array" ref="F525">(VLOOKUP($A525,'The List'!$B1:$AH671,18,FALSE)-AVERAGE('The List'!S2:S671))/STDEV('The List'!S2:S671)</f>
        <v>-0.79967601500681906</v>
      </c>
      <c r="G525" s="55" cm="1">
        <f t="array" ref="G525">(VLOOKUP($A525,'The List'!$B1:$AH671,19,FALSE)-AVERAGE('The List'!T2:T671))/STDEV('The List'!T2:T671)</f>
        <v>-0.79795923335840313</v>
      </c>
      <c r="H525" s="55" cm="1">
        <f t="array" ref="H525">(VLOOKUP($A525,'The List'!$B1:$AH671,20,FALSE)-AVERAGE('The List'!U2:U671))/STDEV('The List'!U2:U671)</f>
        <v>-0.85621981860623908</v>
      </c>
      <c r="I525" s="55" cm="1">
        <f t="array" ref="I525">(VLOOKUP($A525,'The List'!$B1:$AH671,21,FALSE)-AVERAGE('The List'!V2:V671))/STDEV('The List'!V2:V671)</f>
        <v>-0.45568844196872038</v>
      </c>
      <c r="J525" s="55" cm="1">
        <f t="array" ref="J525">(VLOOKUP($A525,'The List'!$B1:$AH671,22,FALSE)-AVERAGE('The List'!W2:W671))/STDEV('The List'!W2:W671)</f>
        <v>-0.73853908386105271</v>
      </c>
      <c r="K525" s="55" cm="1">
        <f t="array" ref="K525">(VLOOKUP($A525,'The List'!$B1:$AH671,23,FALSE)-AVERAGE('The List'!X2:X671))/STDEV('The List'!X2:X671)</f>
        <v>-0.80155300200843405</v>
      </c>
      <c r="L525" s="55" cm="1">
        <f t="array" ref="L525">(VLOOKUP($A525,'The List'!$B1:$AH671,24,FALSE)-AVERAGE('The List'!Y2:Y671))/STDEV('The List'!Y2:Y671)</f>
        <v>-0.47546929358800777</v>
      </c>
      <c r="M525" s="55" cm="1">
        <f t="array" ref="M525">(VLOOKUP($A525,'The List'!$B1:$AH671,25,FALSE)-AVERAGE('The List'!Z2:Z671))/STDEV('The List'!Z2:Z671)</f>
        <v>-0.64388478613809508</v>
      </c>
      <c r="N525" s="55" cm="1">
        <f t="array" ref="N525">(VLOOKUP($A525,'The List'!$B1:$AH671,26,FALSE)-AVERAGE('The List'!AA2:AA671))/STDEV('The List'!AA2:AA671)</f>
        <v>-0.42918423981622655</v>
      </c>
      <c r="O525" s="55" cm="1">
        <f t="array" ref="O525">(VLOOKUP($A525,'The List'!$B1:$AH671,27,FALSE)-AVERAGE('The List'!AB2:AB671))/STDEV('The List'!AB2:AB671)</f>
        <v>0.58446350123066837</v>
      </c>
      <c r="P525" s="55" cm="1">
        <f t="array" ref="P525">(VLOOKUP($A525,'The List'!$B1:$AH671,28,FALSE)-AVERAGE('The List'!AC2:AC671))/STDEV('The List'!AC2:AC671)</f>
        <v>-0.63884649740575394</v>
      </c>
      <c r="Q525" s="55" cm="1">
        <f t="array" ref="Q525">(VLOOKUP($A525,'The List'!$B1:$AH671,29,FALSE)-AVERAGE('The List'!AD2:AD671))/STDEV('The List'!AD2:AD671)</f>
        <v>-1.0988779830473833E-2</v>
      </c>
      <c r="R525" s="55" cm="1">
        <f t="array" ref="R525">(VLOOKUP($A525,'The List'!$B1:$AH671,30,FALSE)-AVERAGE('The List'!AE2:AE671))/STDEV('The List'!AE2:AE671)</f>
        <v>-0.83298203655972802</v>
      </c>
      <c r="S525" s="55" cm="1">
        <f t="array" ref="S525">(VLOOKUP($A525,'The List'!$B1:$AH671,31,FALSE)-AVERAGE('The List'!AF2:AF671))/STDEV('The List'!AF2:AF671)</f>
        <v>1.0087114269907353</v>
      </c>
      <c r="T525" s="55" cm="1">
        <f t="array" ref="T525">(VLOOKUP($A525,'The List'!$B1:$AH671,32,FALSE)-AVERAGE('The List'!AG2:AG671))/STDEV('The List'!AG2:AG671)</f>
        <v>0.95173841097287681</v>
      </c>
      <c r="U525" s="55" cm="1">
        <f t="array" ref="U525">(VLOOKUP($A525,'The List'!$B1:$AH671,33,FALSE)-AVERAGE('The List'!AH2:AH671))/STDEV('The List'!AH2:AH671)</f>
        <v>1.1366970102784557</v>
      </c>
      <c r="V525" s="55"/>
      <c r="W525" s="77"/>
      <c r="X525" s="57"/>
      <c r="Y525" s="57"/>
      <c r="Z525" s="57"/>
      <c r="AA525" s="57"/>
      <c r="AB525" s="57"/>
      <c r="AC525" s="60"/>
      <c r="AD525" s="61"/>
      <c r="AE525" s="55"/>
    </row>
    <row r="526" spans="1:31" ht="21.25" customHeight="1" x14ac:dyDescent="0.15">
      <c r="A526" s="10" t="s">
        <v>437</v>
      </c>
      <c r="B526" s="18" t="str" cm="1">
        <f t="array" ref="B526">VLOOKUP(A526,'Player Data'!A1:B673,2,FALSE)</f>
        <v>CGY</v>
      </c>
      <c r="C526" s="52" cm="1">
        <f t="array" ref="C526">((E526)*Settings!$C$12)+(F526*Settings!$C$2)+(G526*Settings!$C$3)+(H526*Settings!$C$4)+(I526*Settings!$C$5)+(K526*Settings!$C$9)+(N526*Settings!$C$6)+(J526*Settings!$C$8)+(O526*Settings!$C$7)+(P526*Settings!$C$14)+(Q526*Settings!$C$15)+(R526*Settings!$C$16)+(S526*Settings!$C$17)+(T526*Settings!$C$18)+(U526*Settings!$C$19)+(L526*Settings!$C$10)+(Settings!$C$11*M526)</f>
        <v>-5.2963447431492572</v>
      </c>
      <c r="D526" s="57" cm="1">
        <f t="array" ref="D526">IF(Settings!$E$12="YES",VLOOKUP(A526,'Player Data'!A1:E673,5,FALSE),82)</f>
        <v>80</v>
      </c>
      <c r="E526" s="55" cm="1">
        <f t="array" ref="E526">(VLOOKUP($A526,'The List'!$B1:$AH671,17,FALSE)-AVERAGE('The List'!R2:R671))/STDEV('The List'!R2:R671)</f>
        <v>1.0717505211916125</v>
      </c>
      <c r="F526" s="55" cm="1">
        <f t="array" ref="F526">(VLOOKUP($A526,'The List'!$B1:$AH671,18,FALSE)-AVERAGE('The List'!S2:S671))/STDEV('The List'!S2:S671)</f>
        <v>-1.1329877411918092</v>
      </c>
      <c r="G526" s="55" cm="1">
        <f t="array" ref="G526">(VLOOKUP($A526,'The List'!$B1:$AH671,19,FALSE)-AVERAGE('The List'!T2:T671))/STDEV('The List'!T2:T671)</f>
        <v>-0.70660371791948151</v>
      </c>
      <c r="H526" s="55" cm="1">
        <f t="array" ref="H526">(VLOOKUP($A526,'The List'!$B1:$AH671,20,FALSE)-AVERAGE('The List'!U2:U671))/STDEV('The List'!U2:U671)</f>
        <v>-0.94640252931947977</v>
      </c>
      <c r="I526" s="55" cm="1">
        <f t="array" ref="I526">(VLOOKUP($A526,'The List'!$B1:$AH671,21,FALSE)-AVERAGE('The List'!V2:V671))/STDEV('The List'!V2:V671)</f>
        <v>-1.0921826161289636</v>
      </c>
      <c r="J526" s="55" cm="1">
        <f t="array" ref="J526">(VLOOKUP($A526,'The List'!$B1:$AH671,22,FALSE)-AVERAGE('The List'!W2:W671))/STDEV('The List'!W2:W671)</f>
        <v>-0.73853908386105271</v>
      </c>
      <c r="K526" s="55" cm="1">
        <f t="array" ref="K526">(VLOOKUP($A526,'The List'!$B1:$AH671,23,FALSE)-AVERAGE('The List'!X2:X671))/STDEV('The List'!X2:X671)</f>
        <v>-0.80155300200843405</v>
      </c>
      <c r="L526" s="55" cm="1">
        <f t="array" ref="L526">(VLOOKUP($A526,'The List'!$B1:$AH671,24,FALSE)-AVERAGE('The List'!Y2:Y671))/STDEV('The List'!Y2:Y671)</f>
        <v>-0.47546929358800777</v>
      </c>
      <c r="M526" s="55" cm="1">
        <f t="array" ref="M526">(VLOOKUP($A526,'The List'!$B1:$AH671,25,FALSE)-AVERAGE('The List'!Z2:Z671))/STDEV('The List'!Z2:Z671)</f>
        <v>-0.64388478613809508</v>
      </c>
      <c r="N526" s="55" cm="1">
        <f t="array" ref="N526">(VLOOKUP($A526,'The List'!$B1:$AH671,26,FALSE)-AVERAGE('The List'!AA2:AA671))/STDEV('The List'!AA2:AA671)</f>
        <v>1.8710347095131352</v>
      </c>
      <c r="O526" s="55" cm="1">
        <f t="array" ref="O526">(VLOOKUP($A526,'The List'!$B1:$AH671,27,FALSE)-AVERAGE('The List'!AB2:AB671))/STDEV('The List'!AB2:AB671)</f>
        <v>0.62546098904297776</v>
      </c>
      <c r="P526" s="55" cm="1">
        <f t="array" ref="P526">(VLOOKUP($A526,'The List'!$B1:$AH671,28,FALSE)-AVERAGE('The List'!AC2:AC671))/STDEV('The List'!AC2:AC671)</f>
        <v>-2.1884786549435469</v>
      </c>
      <c r="Q526" s="55" cm="1">
        <f t="array" ref="Q526">(VLOOKUP($A526,'The List'!$B1:$AH671,29,FALSE)-AVERAGE('The List'!AD2:AD671))/STDEV('The List'!AD2:AD671)</f>
        <v>0.34513400705988256</v>
      </c>
      <c r="R526" s="55" cm="1">
        <f t="array" ref="R526">(VLOOKUP($A526,'The List'!$B1:$AH671,30,FALSE)-AVERAGE('The List'!AE2:AE671))/STDEV('The List'!AE2:AE671)</f>
        <v>-1.3444971337400937</v>
      </c>
      <c r="S526" s="55" cm="1">
        <f t="array" ref="S526">(VLOOKUP($A526,'The List'!$B1:$AH671,31,FALSE)-AVERAGE('The List'!AF2:AF671))/STDEV('The List'!AF2:AF671)</f>
        <v>-0.59581850454342256</v>
      </c>
      <c r="T526" s="55" cm="1">
        <f t="array" ref="T526">(VLOOKUP($A526,'The List'!$B1:$AH671,32,FALSE)-AVERAGE('The List'!AG2:AG671))/STDEV('The List'!AG2:AG671)</f>
        <v>-0.64684275008198677</v>
      </c>
      <c r="U526" s="55" cm="1">
        <f t="array" ref="U526">(VLOOKUP($A526,'The List'!$B1:$AH671,33,FALSE)-AVERAGE('The List'!AH2:AH671))/STDEV('The List'!AH2:AH671)</f>
        <v>-1.2552626683789523</v>
      </c>
      <c r="V526" s="55"/>
      <c r="W526" s="77"/>
      <c r="X526" s="57"/>
      <c r="Y526" s="57"/>
      <c r="Z526" s="57"/>
      <c r="AA526" s="57"/>
      <c r="AB526" s="57"/>
      <c r="AC526" s="60"/>
      <c r="AD526" s="61"/>
      <c r="AE526" s="55"/>
    </row>
    <row r="527" spans="1:31" ht="21.25" customHeight="1" x14ac:dyDescent="0.15">
      <c r="A527" s="10" t="s">
        <v>488</v>
      </c>
      <c r="B527" s="18" t="str" cm="1">
        <f t="array" ref="B527">VLOOKUP(A527,'Player Data'!A1:B673,2,FALSE)</f>
        <v>WSH</v>
      </c>
      <c r="C527" s="52" cm="1">
        <f t="array" ref="C527">((E527)*Settings!$C$12)+(F527*Settings!$C$2)+(G527*Settings!$C$3)+(H527*Settings!$C$4)+(I527*Settings!$C$5)+(K527*Settings!$C$9)+(N527*Settings!$C$6)+(J527*Settings!$C$8)+(O527*Settings!$C$7)+(P527*Settings!$C$14)+(Q527*Settings!$C$15)+(R527*Settings!$C$16)+(S527*Settings!$C$17)+(T527*Settings!$C$18)+(U527*Settings!$C$19)+(L527*Settings!$C$10)+(Settings!$C$11*M527)</f>
        <v>-3.5426191133036085</v>
      </c>
      <c r="D527" s="57" cm="1">
        <f t="array" ref="D527">IF(Settings!$E$12="YES",VLOOKUP(A527,'Player Data'!A1:E673,5,FALSE),82)</f>
        <v>73</v>
      </c>
      <c r="E527" s="55" cm="1">
        <f t="array" ref="E527">(VLOOKUP($A527,'The List'!$B1:$AH671,17,FALSE)-AVERAGE('The List'!R2:R671))/STDEV('The List'!R2:R671)</f>
        <v>0.17985877521512147</v>
      </c>
      <c r="F527" s="55" cm="1">
        <f t="array" ref="F527">(VLOOKUP($A527,'The List'!$B1:$AH671,18,FALSE)-AVERAGE('The List'!S2:S671))/STDEV('The List'!S2:S671)</f>
        <v>-1.0810948975941461</v>
      </c>
      <c r="G527" s="55" cm="1">
        <f t="array" ref="G527">(VLOOKUP($A527,'The List'!$B1:$AH671,19,FALSE)-AVERAGE('The List'!T2:T671))/STDEV('The List'!T2:T671)</f>
        <v>-0.79022915128280191</v>
      </c>
      <c r="H527" s="55" cm="1">
        <f t="array" ref="H527">(VLOOKUP($A527,'The List'!$B1:$AH671,20,FALSE)-AVERAGE('The List'!U2:U671))/STDEV('The List'!U2:U671)</f>
        <v>-0.97602136077922064</v>
      </c>
      <c r="I527" s="55" cm="1">
        <f t="array" ref="I527">(VLOOKUP($A527,'The List'!$B1:$AH671,21,FALSE)-AVERAGE('The List'!V2:V671))/STDEV('The List'!V2:V671)</f>
        <v>-1.0363770737148053</v>
      </c>
      <c r="J527" s="55" cm="1">
        <f t="array" ref="J527">(VLOOKUP($A527,'The List'!$B1:$AH671,22,FALSE)-AVERAGE('The List'!W2:W671))/STDEV('The List'!W2:W671)</f>
        <v>-0.73853908386105271</v>
      </c>
      <c r="K527" s="55" cm="1">
        <f t="array" ref="K527">(VLOOKUP($A527,'The List'!$B1:$AH671,23,FALSE)-AVERAGE('The List'!X2:X671))/STDEV('The List'!X2:X671)</f>
        <v>-0.80155300200843405</v>
      </c>
      <c r="L527" s="55" cm="1">
        <f t="array" ref="L527">(VLOOKUP($A527,'The List'!$B1:$AH671,24,FALSE)-AVERAGE('The List'!Y2:Y671))/STDEV('The List'!Y2:Y671)</f>
        <v>-0.47546929358800777</v>
      </c>
      <c r="M527" s="55" cm="1">
        <f t="array" ref="M527">(VLOOKUP($A527,'The List'!$B1:$AH671,25,FALSE)-AVERAGE('The List'!Z2:Z671))/STDEV('The List'!Z2:Z671)</f>
        <v>-0.64388478613809508</v>
      </c>
      <c r="N527" s="55" cm="1">
        <f t="array" ref="N527">(VLOOKUP($A527,'The List'!$B1:$AH671,26,FALSE)-AVERAGE('The List'!AA2:AA671))/STDEV('The List'!AA2:AA671)</f>
        <v>1.3602154891424134</v>
      </c>
      <c r="O527" s="55" cm="1">
        <f t="array" ref="O527">(VLOOKUP($A527,'The List'!$B1:$AH671,27,FALSE)-AVERAGE('The List'!AB2:AB671))/STDEV('The List'!AB2:AB671)</f>
        <v>-0.36216849235555643</v>
      </c>
      <c r="P527" s="55" cm="1">
        <f t="array" ref="P527">(VLOOKUP($A527,'The List'!$B1:$AH671,28,FALSE)-AVERAGE('The List'!AC2:AC671))/STDEV('The List'!AC2:AC671)</f>
        <v>0.52880350365213502</v>
      </c>
      <c r="Q527" s="55" cm="1">
        <f t="array" ref="Q527">(VLOOKUP($A527,'The List'!$B1:$AH671,29,FALSE)-AVERAGE('The List'!AD2:AD671))/STDEV('The List'!AD2:AD671)</f>
        <v>0.10722625316217535</v>
      </c>
      <c r="R527" s="55" cm="1">
        <f t="array" ref="R527">(VLOOKUP($A527,'The List'!$B1:$AH671,30,FALSE)-AVERAGE('The List'!AE2:AE671))/STDEV('The List'!AE2:AE671)</f>
        <v>-0.88912393746976826</v>
      </c>
      <c r="S527" s="55" cm="1">
        <f t="array" ref="S527">(VLOOKUP($A527,'The List'!$B1:$AH671,31,FALSE)-AVERAGE('The List'!AF2:AF671))/STDEV('The List'!AF2:AF671)</f>
        <v>-0.59581850454342256</v>
      </c>
      <c r="T527" s="55" cm="1">
        <f t="array" ref="T527">(VLOOKUP($A527,'The List'!$B1:$AH671,32,FALSE)-AVERAGE('The List'!AG2:AG671))/STDEV('The List'!AG2:AG671)</f>
        <v>-0.64684275008198677</v>
      </c>
      <c r="U527" s="55" cm="1">
        <f t="array" ref="U527">(VLOOKUP($A527,'The List'!$B1:$AH671,33,FALSE)-AVERAGE('The List'!AH2:AH671))/STDEV('The List'!AH2:AH671)</f>
        <v>-1.2552626683789523</v>
      </c>
      <c r="V527" s="55"/>
      <c r="W527" s="57"/>
      <c r="X527" s="55"/>
      <c r="Y527" s="55"/>
      <c r="Z527" s="55"/>
      <c r="AA527" s="55"/>
      <c r="AB527" s="55"/>
      <c r="AC527" s="55"/>
      <c r="AD527" s="55"/>
      <c r="AE527" s="55"/>
    </row>
    <row r="528" spans="1:31" ht="21.25" customHeight="1" x14ac:dyDescent="0.15">
      <c r="A528" s="10" t="s">
        <v>423</v>
      </c>
      <c r="B528" s="18" t="str" cm="1">
        <f t="array" ref="B528">VLOOKUP(A528,'Player Data'!A1:B673,2,FALSE)</f>
        <v>N.J</v>
      </c>
      <c r="C528" s="52" cm="1">
        <f t="array" ref="C528">((E528)*Settings!$C$12)+(F528*Settings!$C$2)+(G528*Settings!$C$3)+(H528*Settings!$C$4)+(I528*Settings!$C$5)+(K528*Settings!$C$9)+(N528*Settings!$C$6)+(J528*Settings!$C$8)+(O528*Settings!$C$7)+(P528*Settings!$C$14)+(Q528*Settings!$C$15)+(R528*Settings!$C$16)+(S528*Settings!$C$17)+(T528*Settings!$C$18)+(U528*Settings!$C$19)+(L528*Settings!$C$10)+(Settings!$C$11*M528)</f>
        <v>-4.5470803672148676</v>
      </c>
      <c r="D528" s="57" cm="1">
        <f t="array" ref="D528">IF(Settings!$E$12="YES",VLOOKUP(A528,'Player Data'!A1:E673,5,FALSE),82)</f>
        <v>73</v>
      </c>
      <c r="E528" s="55" cm="1">
        <f t="array" ref="E528">(VLOOKUP($A528,'The List'!$B1:$AH671,17,FALSE)-AVERAGE('The List'!R2:R671))/STDEV('The List'!R2:R671)</f>
        <v>0.91435786013693821</v>
      </c>
      <c r="F528" s="55" cm="1">
        <f t="array" ref="F528">(VLOOKUP($A528,'The List'!$B1:$AH671,18,FALSE)-AVERAGE('The List'!S2:S671))/STDEV('The List'!S2:S671)</f>
        <v>-1.0810948975941461</v>
      </c>
      <c r="G528" s="55" cm="1">
        <f t="array" ref="G528">(VLOOKUP($A528,'The List'!$B1:$AH671,19,FALSE)-AVERAGE('The List'!T2:T671))/STDEV('The List'!T2:T671)</f>
        <v>-0.79022915128280191</v>
      </c>
      <c r="H528" s="55" cm="1">
        <f t="array" ref="H528">(VLOOKUP($A528,'The List'!$B1:$AH671,20,FALSE)-AVERAGE('The List'!U2:U671))/STDEV('The List'!U2:U671)</f>
        <v>-0.97602136077922064</v>
      </c>
      <c r="I528" s="55" cm="1">
        <f t="array" ref="I528">(VLOOKUP($A528,'The List'!$B1:$AH671,21,FALSE)-AVERAGE('The List'!V2:V671))/STDEV('The List'!V2:V671)</f>
        <v>-0.62016793539992321</v>
      </c>
      <c r="J528" s="55" cm="1">
        <f t="array" ref="J528">(VLOOKUP($A528,'The List'!$B1:$AH671,22,FALSE)-AVERAGE('The List'!W2:W671))/STDEV('The List'!W2:W671)</f>
        <v>-0.73853908386105271</v>
      </c>
      <c r="K528" s="55" cm="1">
        <f t="array" ref="K528">(VLOOKUP($A528,'The List'!$B1:$AH671,23,FALSE)-AVERAGE('The List'!X2:X671))/STDEV('The List'!X2:X671)</f>
        <v>-0.80155300200843405</v>
      </c>
      <c r="L528" s="55" cm="1">
        <f t="array" ref="L528">(VLOOKUP($A528,'The List'!$B1:$AH671,24,FALSE)-AVERAGE('The List'!Y2:Y671))/STDEV('The List'!Y2:Y671)</f>
        <v>-0.47546929358800777</v>
      </c>
      <c r="M528" s="55" cm="1">
        <f t="array" ref="M528">(VLOOKUP($A528,'The List'!$B1:$AH671,25,FALSE)-AVERAGE('The List'!Z2:Z671))/STDEV('The List'!Z2:Z671)</f>
        <v>0.14934741662937404</v>
      </c>
      <c r="N528" s="55" cm="1">
        <f t="array" ref="N528">(VLOOKUP($A528,'The List'!$B1:$AH671,26,FALSE)-AVERAGE('The List'!AA2:AA671))/STDEV('The List'!AA2:AA671)</f>
        <v>1.8636278308177601</v>
      </c>
      <c r="O528" s="55" cm="1">
        <f t="array" ref="O528">(VLOOKUP($A528,'The List'!$B1:$AH671,27,FALSE)-AVERAGE('The List'!AB2:AB671))/STDEV('The List'!AB2:AB671)</f>
        <v>-0.99065998051825965</v>
      </c>
      <c r="P528" s="55" cm="1">
        <f t="array" ref="P528">(VLOOKUP($A528,'The List'!$B1:$AH671,28,FALSE)-AVERAGE('The List'!AC2:AC671))/STDEV('The List'!AC2:AC671)</f>
        <v>-0.26337540041130264</v>
      </c>
      <c r="Q528" s="55" cm="1">
        <f t="array" ref="Q528">(VLOOKUP($A528,'The List'!$B1:$AH671,29,FALSE)-AVERAGE('The List'!AD2:AD671))/STDEV('The List'!AD2:AD671)</f>
        <v>-0.59393666127547595</v>
      </c>
      <c r="R528" s="55" cm="1">
        <f t="array" ref="R528">(VLOOKUP($A528,'The List'!$B1:$AH671,30,FALSE)-AVERAGE('The List'!AE2:AE671))/STDEV('The List'!AE2:AE671)</f>
        <v>-0.88912393746976826</v>
      </c>
      <c r="S528" s="55" cm="1">
        <f t="array" ref="S528">(VLOOKUP($A528,'The List'!$B1:$AH671,31,FALSE)-AVERAGE('The List'!AF2:AF671))/STDEV('The List'!AF2:AF671)</f>
        <v>-0.59581850454342256</v>
      </c>
      <c r="T528" s="55" cm="1">
        <f t="array" ref="T528">(VLOOKUP($A528,'The List'!$B1:$AH671,32,FALSE)-AVERAGE('The List'!AG2:AG671))/STDEV('The List'!AG2:AG671)</f>
        <v>-0.64684275008198677</v>
      </c>
      <c r="U528" s="55" cm="1">
        <f t="array" ref="U528">(VLOOKUP($A528,'The List'!$B1:$AH671,33,FALSE)-AVERAGE('The List'!AH2:AH671))/STDEV('The List'!AH2:AH671)</f>
        <v>-1.2552626683789523</v>
      </c>
      <c r="V528" s="55"/>
      <c r="W528" s="77"/>
      <c r="X528" s="57"/>
      <c r="Y528" s="57"/>
      <c r="Z528" s="57"/>
      <c r="AA528" s="57"/>
      <c r="AB528" s="57"/>
      <c r="AC528" s="60"/>
      <c r="AD528" s="61"/>
      <c r="AE528" s="55"/>
    </row>
    <row r="529" spans="1:31" ht="21.25" customHeight="1" x14ac:dyDescent="0.15">
      <c r="A529" s="10" t="s">
        <v>752</v>
      </c>
      <c r="B529" s="18" t="str" cm="1">
        <f t="array" ref="B529">VLOOKUP(A529,'Player Data'!A1:B673,2,FALSE)</f>
        <v>EDM</v>
      </c>
      <c r="C529" s="52" cm="1">
        <f t="array" ref="C529">((E529)*Settings!$C$12)+(F529*Settings!$C$2)+(G529*Settings!$C$3)+(H529*Settings!$C$4)+(I529*Settings!$C$5)+(K529*Settings!$C$9)+(N529*Settings!$C$6)+(J529*Settings!$C$8)+(O529*Settings!$C$7)+(P529*Settings!$C$14)+(Q529*Settings!$C$15)+(R529*Settings!$C$16)+(S529*Settings!$C$17)+(T529*Settings!$C$18)+(U529*Settings!$C$19)+(L529*Settings!$C$10)+(Settings!$C$11*M529)</f>
        <v>-0.33342779672342404</v>
      </c>
      <c r="D529" s="57" cm="1">
        <f t="array" ref="D529">IF(Settings!$E$12="YES",VLOOKUP(A529,'Player Data'!A1:E673,5,FALSE),82)</f>
        <v>79</v>
      </c>
      <c r="E529" s="55" cm="1">
        <f t="array" ref="E529">(VLOOKUP($A529,'The List'!$B1:$AH671,17,FALSE)-AVERAGE('The List'!R2:R671))/STDEV('The List'!R2:R671)</f>
        <v>-1.3940678353316283</v>
      </c>
      <c r="F529" s="55" cm="1">
        <f t="array" ref="F529">(VLOOKUP($A529,'The List'!$B1:$AH671,18,FALSE)-AVERAGE('The List'!S2:S671))/STDEV('The List'!S2:S671)</f>
        <v>-0.58412112621652601</v>
      </c>
      <c r="G529" s="55" cm="1">
        <f t="array" ref="G529">(VLOOKUP($A529,'The List'!$B1:$AH671,19,FALSE)-AVERAGE('The List'!T2:T671))/STDEV('The List'!T2:T671)</f>
        <v>-1.0516464723849461</v>
      </c>
      <c r="H529" s="55" cm="1">
        <f t="array" ref="H529">(VLOOKUP($A529,'The List'!$B1:$AH671,20,FALSE)-AVERAGE('The List'!U2:U671))/STDEV('The List'!U2:U671)</f>
        <v>-0.9203202747504543</v>
      </c>
      <c r="I529" s="55" cm="1">
        <f t="array" ref="I529">(VLOOKUP($A529,'The List'!$B1:$AH671,21,FALSE)-AVERAGE('The List'!V2:V671))/STDEV('The List'!V2:V671)</f>
        <v>-0.66906257472873643</v>
      </c>
      <c r="J529" s="55" cm="1">
        <f t="array" ref="J529">(VLOOKUP($A529,'The List'!$B1:$AH671,22,FALSE)-AVERAGE('The List'!W2:W671))/STDEV('The List'!W2:W671)</f>
        <v>-0.73853908386105271</v>
      </c>
      <c r="K529" s="55" cm="1">
        <f t="array" ref="K529">(VLOOKUP($A529,'The List'!$B1:$AH671,23,FALSE)-AVERAGE('The List'!X2:X671))/STDEV('The List'!X2:X671)</f>
        <v>-0.80155300200843405</v>
      </c>
      <c r="L529" s="55" cm="1">
        <f t="array" ref="L529">(VLOOKUP($A529,'The List'!$B1:$AH671,24,FALSE)-AVERAGE('The List'!Y2:Y671))/STDEV('The List'!Y2:Y671)</f>
        <v>-0.47546929358800777</v>
      </c>
      <c r="M529" s="55" cm="1">
        <f t="array" ref="M529">(VLOOKUP($A529,'The List'!$B1:$AH671,25,FALSE)-AVERAGE('The List'!Z2:Z671))/STDEV('The List'!Z2:Z671)</f>
        <v>-0.64388478613809508</v>
      </c>
      <c r="N529" s="55" cm="1">
        <f t="array" ref="N529">(VLOOKUP($A529,'The List'!$B1:$AH671,26,FALSE)-AVERAGE('The List'!AA2:AA671))/STDEV('The List'!AA2:AA671)</f>
        <v>-0.83605174884150646</v>
      </c>
      <c r="O529" s="55" cm="1">
        <f t="array" ref="O529">(VLOOKUP($A529,'The List'!$B1:$AH671,27,FALSE)-AVERAGE('The List'!AB2:AB671))/STDEV('The List'!AB2:AB671)</f>
        <v>2.0206054992958671</v>
      </c>
      <c r="P529" s="55" cm="1">
        <f t="array" ref="P529">(VLOOKUP($A529,'The List'!$B1:$AH671,28,FALSE)-AVERAGE('The List'!AC2:AC671))/STDEV('The List'!AC2:AC671)</f>
        <v>0.75234987931935171</v>
      </c>
      <c r="Q529" s="55" cm="1">
        <f t="array" ref="Q529">(VLOOKUP($A529,'The List'!$B1:$AH671,29,FALSE)-AVERAGE('The List'!AD2:AD671))/STDEV('The List'!AD2:AD671)</f>
        <v>0.6613592203152191</v>
      </c>
      <c r="R529" s="55" cm="1">
        <f t="array" ref="R529">(VLOOKUP($A529,'The List'!$B1:$AH671,30,FALSE)-AVERAGE('The List'!AE2:AE671))/STDEV('The List'!AE2:AE671)</f>
        <v>-0.35889487331938924</v>
      </c>
      <c r="S529" s="55" cm="1">
        <f t="array" ref="S529">(VLOOKUP($A529,'The List'!$B1:$AH671,31,FALSE)-AVERAGE('The List'!AF2:AF671))/STDEV('The List'!AF2:AF671)</f>
        <v>-0.13624813193195806</v>
      </c>
      <c r="T529" s="55" cm="1">
        <f t="array" ref="T529">(VLOOKUP($A529,'The List'!$B1:$AH671,32,FALSE)-AVERAGE('The List'!AG2:AG671))/STDEV('The List'!AG2:AG671)</f>
        <v>-0.14288447638077431</v>
      </c>
      <c r="U529" s="55" cm="1">
        <f t="array" ref="U529">(VLOOKUP($A529,'The List'!$B1:$AH671,33,FALSE)-AVERAGE('The List'!AH2:AH671))/STDEV('The List'!AH2:AH671)</f>
        <v>0.99869933650975895</v>
      </c>
      <c r="V529" s="55"/>
      <c r="W529" s="57"/>
      <c r="X529" s="55"/>
      <c r="Y529" s="55"/>
      <c r="Z529" s="55"/>
      <c r="AA529" s="55"/>
      <c r="AB529" s="55"/>
      <c r="AC529" s="55"/>
      <c r="AD529" s="55"/>
      <c r="AE529" s="55"/>
    </row>
    <row r="530" spans="1:31" ht="21.25" customHeight="1" x14ac:dyDescent="0.15">
      <c r="A530" s="10" t="s">
        <v>507</v>
      </c>
      <c r="B530" s="18" t="str" cm="1">
        <f t="array" ref="B530">VLOOKUP(A530,'Player Data'!A1:B673,2,FALSE)</f>
        <v>L.A</v>
      </c>
      <c r="C530" s="52" cm="1">
        <f t="array" ref="C530">((E530)*Settings!$C$12)+(F530*Settings!$C$2)+(G530*Settings!$C$3)+(H530*Settings!$C$4)+(I530*Settings!$C$5)+(K530*Settings!$C$9)+(N530*Settings!$C$6)+(J530*Settings!$C$8)+(O530*Settings!$C$7)+(P530*Settings!$C$14)+(Q530*Settings!$C$15)+(R530*Settings!$C$16)+(S530*Settings!$C$17)+(T530*Settings!$C$18)+(U530*Settings!$C$19)+(L530*Settings!$C$10)+(Settings!$C$11*M530)</f>
        <v>-4.5917816126094113</v>
      </c>
      <c r="D530" s="57" cm="1">
        <f t="array" ref="D530">IF(Settings!$E$12="YES",VLOOKUP(A530,'Player Data'!A1:E673,5,FALSE),82)</f>
        <v>84</v>
      </c>
      <c r="E530" s="55" cm="1">
        <f t="array" ref="E530">(VLOOKUP($A530,'The List'!$B1:$AH671,17,FALSE)-AVERAGE('The List'!R2:R671))/STDEV('The List'!R2:R671)</f>
        <v>0.2323229955666796</v>
      </c>
      <c r="F530" s="55" cm="1">
        <f t="array" ref="F530">(VLOOKUP($A530,'The List'!$B1:$AH671,18,FALSE)-AVERAGE('The List'!S2:S671))/STDEV('The List'!S2:S671)</f>
        <v>-1.0371855683961235</v>
      </c>
      <c r="G530" s="55" cm="1">
        <f t="array" ref="G530">(VLOOKUP($A530,'The List'!$B1:$AH671,19,FALSE)-AVERAGE('The List'!T2:T671))/STDEV('The List'!T2:T671)</f>
        <v>-0.6588177559975843</v>
      </c>
      <c r="H530" s="55" cm="1">
        <f t="array" ref="H530">(VLOOKUP($A530,'The List'!$B1:$AH671,20,FALSE)-AVERAGE('The List'!U2:U671))/STDEV('The List'!U2:U671)</f>
        <v>-0.87390270305981566</v>
      </c>
      <c r="I530" s="55" cm="1">
        <f t="array" ref="I530">(VLOOKUP($A530,'The List'!$B1:$AH671,21,FALSE)-AVERAGE('The List'!V2:V671))/STDEV('The List'!V2:V671)</f>
        <v>-1.095638067671636</v>
      </c>
      <c r="J530" s="55" cm="1">
        <f t="array" ref="J530">(VLOOKUP($A530,'The List'!$B1:$AH671,22,FALSE)-AVERAGE('The List'!W2:W671))/STDEV('The List'!W2:W671)</f>
        <v>-0.73853908386105271</v>
      </c>
      <c r="K530" s="55" cm="1">
        <f t="array" ref="K530">(VLOOKUP($A530,'The List'!$B1:$AH671,23,FALSE)-AVERAGE('The List'!X2:X671))/STDEV('The List'!X2:X671)</f>
        <v>-0.80155300200843405</v>
      </c>
      <c r="L530" s="55" cm="1">
        <f t="array" ref="L530">(VLOOKUP($A530,'The List'!$B1:$AH671,24,FALSE)-AVERAGE('The List'!Y2:Y671))/STDEV('The List'!Y2:Y671)</f>
        <v>-0.47546929358800777</v>
      </c>
      <c r="M530" s="55" cm="1">
        <f t="array" ref="M530">(VLOOKUP($A530,'The List'!$B1:$AH671,25,FALSE)-AVERAGE('The List'!Z2:Z671))/STDEV('The List'!Z2:Z671)</f>
        <v>-0.64388478613809508</v>
      </c>
      <c r="N530" s="55" cm="1">
        <f t="array" ref="N530">(VLOOKUP($A530,'The List'!$B1:$AH671,26,FALSE)-AVERAGE('The List'!AA2:AA671))/STDEV('The List'!AA2:AA671)</f>
        <v>0.88719689107912447</v>
      </c>
      <c r="O530" s="55" cm="1">
        <f t="array" ref="O530">(VLOOKUP($A530,'The List'!$B1:$AH671,27,FALSE)-AVERAGE('The List'!AB2:AB671))/STDEV('The List'!AB2:AB671)</f>
        <v>-0.52902826775165568</v>
      </c>
      <c r="P530" s="55" cm="1">
        <f t="array" ref="P530">(VLOOKUP($A530,'The List'!$B1:$AH671,28,FALSE)-AVERAGE('The List'!AC2:AC671))/STDEV('The List'!AC2:AC671)</f>
        <v>-0.46955895078397819</v>
      </c>
      <c r="Q530" s="55" cm="1">
        <f t="array" ref="Q530">(VLOOKUP($A530,'The List'!$B1:$AH671,29,FALSE)-AVERAGE('The List'!AD2:AD671))/STDEV('The List'!AD2:AD671)</f>
        <v>-0.69811365910024814</v>
      </c>
      <c r="R530" s="55" cm="1">
        <f t="array" ref="R530">(VLOOKUP($A530,'The List'!$B1:$AH671,30,FALSE)-AVERAGE('The List'!AE2:AE671))/STDEV('The List'!AE2:AE671)</f>
        <v>-0.82050605857971926</v>
      </c>
      <c r="S530" s="55" cm="1">
        <f t="array" ref="S530">(VLOOKUP($A530,'The List'!$B1:$AH671,31,FALSE)-AVERAGE('The List'!AF2:AF671))/STDEV('The List'!AF2:AF671)</f>
        <v>-0.59581850454342256</v>
      </c>
      <c r="T530" s="55" cm="1">
        <f t="array" ref="T530">(VLOOKUP($A530,'The List'!$B1:$AH671,32,FALSE)-AVERAGE('The List'!AG2:AG671))/STDEV('The List'!AG2:AG671)</f>
        <v>-0.64684275008198677</v>
      </c>
      <c r="U530" s="55" cm="1">
        <f t="array" ref="U530">(VLOOKUP($A530,'The List'!$B1:$AH671,33,FALSE)-AVERAGE('The List'!AH2:AH671))/STDEV('The List'!AH2:AH671)</f>
        <v>-1.2552626683789523</v>
      </c>
      <c r="V530" s="55"/>
      <c r="W530" s="77"/>
      <c r="X530" s="57"/>
      <c r="Y530" s="57"/>
      <c r="Z530" s="57"/>
      <c r="AA530" s="57"/>
      <c r="AB530" s="57"/>
      <c r="AC530" s="60"/>
      <c r="AD530" s="61"/>
      <c r="AE530" s="55"/>
    </row>
    <row r="531" spans="1:31" ht="21.25" customHeight="1" x14ac:dyDescent="0.15">
      <c r="A531" s="10" t="s">
        <v>484</v>
      </c>
      <c r="B531" s="18" t="str" cm="1">
        <f t="array" ref="B531">VLOOKUP(A531,'Player Data'!A1:B673,2,FALSE)</f>
        <v>T.B</v>
      </c>
      <c r="C531" s="52" cm="1">
        <f t="array" ref="C531">((E531)*Settings!$C$12)+(F531*Settings!$C$2)+(G531*Settings!$C$3)+(H531*Settings!$C$4)+(I531*Settings!$C$5)+(K531*Settings!$C$9)+(N531*Settings!$C$6)+(J531*Settings!$C$8)+(O531*Settings!$C$7)+(P531*Settings!$C$14)+(Q531*Settings!$C$15)+(R531*Settings!$C$16)+(S531*Settings!$C$17)+(T531*Settings!$C$18)+(U531*Settings!$C$19)+(L531*Settings!$C$10)+(Settings!$C$11*M531)</f>
        <v>-1.3341588110496614</v>
      </c>
      <c r="D531" s="57" cm="1">
        <f t="array" ref="D531">IF(Settings!$E$12="YES",VLOOKUP(A531,'Player Data'!A1:E673,5,FALSE),82)</f>
        <v>78</v>
      </c>
      <c r="E531" s="55" cm="1">
        <f t="array" ref="E531">(VLOOKUP($A531,'The List'!$B1:$AH671,17,FALSE)-AVERAGE('The List'!R2:R671))/STDEV('The List'!R2:R671)</f>
        <v>0.38971565662135493</v>
      </c>
      <c r="F531" s="55" cm="1">
        <f t="array" ref="F531">(VLOOKUP($A531,'The List'!$B1:$AH671,18,FALSE)-AVERAGE('The List'!S2:S671))/STDEV('The List'!S2:S671)</f>
        <v>-1.1389753769915396</v>
      </c>
      <c r="G531" s="55" cm="1">
        <f t="array" ref="G531">(VLOOKUP($A531,'The List'!$B1:$AH671,19,FALSE)-AVERAGE('The List'!T2:T671))/STDEV('The List'!T2:T671)</f>
        <v>-0.67568338961707752</v>
      </c>
      <c r="H531" s="55" cm="1">
        <f t="array" ref="H531">(VLOOKUP($A531,'The List'!$B1:$AH671,20,FALSE)-AVERAGE('The List'!U2:U671))/STDEV('The List'!U2:U671)</f>
        <v>-0.92960378908858199</v>
      </c>
      <c r="I531" s="55" cm="1">
        <f t="array" ref="I531">(VLOOKUP($A531,'The List'!$B1:$AH671,21,FALSE)-AVERAGE('The List'!V2:V671))/STDEV('The List'!V2:V671)</f>
        <v>-1.0925281612832307</v>
      </c>
      <c r="J531" s="55" cm="1">
        <f t="array" ref="J531">(VLOOKUP($A531,'The List'!$B1:$AH671,22,FALSE)-AVERAGE('The List'!W2:W671))/STDEV('The List'!W2:W671)</f>
        <v>-0.73853908386105271</v>
      </c>
      <c r="K531" s="55" cm="1">
        <f t="array" ref="K531">(VLOOKUP($A531,'The List'!$B1:$AH671,23,FALSE)-AVERAGE('The List'!X2:X671))/STDEV('The List'!X2:X671)</f>
        <v>-0.80155300200843405</v>
      </c>
      <c r="L531" s="55" cm="1">
        <f t="array" ref="L531">(VLOOKUP($A531,'The List'!$B1:$AH671,24,FALSE)-AVERAGE('The List'!Y2:Y671))/STDEV('The List'!Y2:Y671)</f>
        <v>-0.47546929358800777</v>
      </c>
      <c r="M531" s="55" cm="1">
        <f t="array" ref="M531">(VLOOKUP($A531,'The List'!$B1:$AH671,25,FALSE)-AVERAGE('The List'!Z2:Z671))/STDEV('The List'!Z2:Z671)</f>
        <v>0.20367838942166649</v>
      </c>
      <c r="N531" s="55" cm="1">
        <f t="array" ref="N531">(VLOOKUP($A531,'The List'!$B1:$AH671,26,FALSE)-AVERAGE('The List'!AA2:AA671))/STDEV('The List'!AA2:AA671)</f>
        <v>1.4051675805350368</v>
      </c>
      <c r="O531" s="55" cm="1">
        <f t="array" ref="O531">(VLOOKUP($A531,'The List'!$B1:$AH671,27,FALSE)-AVERAGE('The List'!AB2:AB671))/STDEV('The List'!AB2:AB671)</f>
        <v>1.1252203654750299</v>
      </c>
      <c r="P531" s="55" cm="1">
        <f t="array" ref="P531">(VLOOKUP($A531,'The List'!$B1:$AH671,28,FALSE)-AVERAGE('The List'!AC2:AC671))/STDEV('The List'!AC2:AC671)</f>
        <v>1.2493607533755908</v>
      </c>
      <c r="Q531" s="55" cm="1">
        <f t="array" ref="Q531">(VLOOKUP($A531,'The List'!$B1:$AH671,29,FALSE)-AVERAGE('The List'!AD2:AD671))/STDEV('The List'!AD2:AD671)</f>
        <v>1.6602762491031058</v>
      </c>
      <c r="R531" s="55" cm="1">
        <f t="array" ref="R531">(VLOOKUP($A531,'The List'!$B1:$AH671,30,FALSE)-AVERAGE('The List'!AE2:AE671))/STDEV('The List'!AE2:AE671)</f>
        <v>-0.85793399251974589</v>
      </c>
      <c r="S531" s="55" cm="1">
        <f t="array" ref="S531">(VLOOKUP($A531,'The List'!$B1:$AH671,31,FALSE)-AVERAGE('The List'!AF2:AF671))/STDEV('The List'!AF2:AF671)</f>
        <v>-0.59581850454342256</v>
      </c>
      <c r="T531" s="55" cm="1">
        <f t="array" ref="T531">(VLOOKUP($A531,'The List'!$B1:$AH671,32,FALSE)-AVERAGE('The List'!AG2:AG671))/STDEV('The List'!AG2:AG671)</f>
        <v>-0.64684275008198677</v>
      </c>
      <c r="U531" s="55" cm="1">
        <f t="array" ref="U531">(VLOOKUP($A531,'The List'!$B1:$AH671,33,FALSE)-AVERAGE('The List'!AH2:AH671))/STDEV('The List'!AH2:AH671)</f>
        <v>-1.2552626683789523</v>
      </c>
      <c r="V531" s="55"/>
      <c r="W531" s="77"/>
      <c r="X531" s="57"/>
      <c r="Y531" s="57"/>
      <c r="Z531" s="57"/>
      <c r="AA531" s="57"/>
      <c r="AB531" s="57"/>
      <c r="AC531" s="60"/>
      <c r="AD531" s="61"/>
      <c r="AE531" s="55"/>
    </row>
    <row r="532" spans="1:31" ht="21.25" customHeight="1" x14ac:dyDescent="0.15">
      <c r="A532" s="10" t="s">
        <v>712</v>
      </c>
      <c r="B532" s="18" t="str" cm="1">
        <f t="array" ref="B532">VLOOKUP(A532,'Player Data'!A1:B673,2,FALSE)</f>
        <v>STL</v>
      </c>
      <c r="C532" s="52" cm="1">
        <f t="array" ref="C532">((E532)*Settings!$C$12)+(F532*Settings!$C$2)+(G532*Settings!$C$3)+(H532*Settings!$C$4)+(I532*Settings!$C$5)+(K532*Settings!$C$9)+(N532*Settings!$C$6)+(J532*Settings!$C$8)+(O532*Settings!$C$7)+(P532*Settings!$C$14)+(Q532*Settings!$C$15)+(R532*Settings!$C$16)+(S532*Settings!$C$17)+(T532*Settings!$C$18)+(U532*Settings!$C$19)+(L532*Settings!$C$10)+(Settings!$C$11*M532)</f>
        <v>-2.2554325284737589</v>
      </c>
      <c r="D532" s="57" cm="1">
        <f t="array" ref="D532">IF(Settings!$E$12="YES",VLOOKUP(A532,'Player Data'!A1:E673,5,FALSE),82)</f>
        <v>81</v>
      </c>
      <c r="E532" s="55" cm="1">
        <f t="array" ref="E532">(VLOOKUP($A532,'The List'!$B1:$AH671,17,FALSE)-AVERAGE('The List'!R2:R671))/STDEV('The List'!R2:R671)</f>
        <v>-1.3416036149800701</v>
      </c>
      <c r="F532" s="55" cm="1">
        <f t="array" ref="F532">(VLOOKUP($A532,'The List'!$B1:$AH671,18,FALSE)-AVERAGE('The List'!S2:S671))/STDEV('The List'!S2:S671)</f>
        <v>-0.72582850681014455</v>
      </c>
      <c r="G532" s="55" cm="1">
        <f t="array" ref="G532">(VLOOKUP($A532,'The List'!$B1:$AH671,19,FALSE)-AVERAGE('The List'!T2:T671))/STDEV('The List'!T2:T671)</f>
        <v>-0.97926479476795469</v>
      </c>
      <c r="H532" s="55" cm="1">
        <f t="array" ref="H532">(VLOOKUP($A532,'The List'!$B1:$AH671,20,FALSE)-AVERAGE('The List'!U2:U671))/STDEV('The List'!U2:U671)</f>
        <v>-0.93756108709269148</v>
      </c>
      <c r="I532" s="55" cm="1">
        <f t="array" ref="I532">(VLOOKUP($A532,'The List'!$B1:$AH671,21,FALSE)-AVERAGE('The List'!V2:V671))/STDEV('The List'!V2:V671)</f>
        <v>-0.6586962201007196</v>
      </c>
      <c r="J532" s="55" cm="1">
        <f t="array" ref="J532">(VLOOKUP($A532,'The List'!$B1:$AH671,22,FALSE)-AVERAGE('The List'!W2:W671))/STDEV('The List'!W2:W671)</f>
        <v>-0.73853908386105271</v>
      </c>
      <c r="K532" s="55" cm="1">
        <f t="array" ref="K532">(VLOOKUP($A532,'The List'!$B1:$AH671,23,FALSE)-AVERAGE('The List'!X2:X671))/STDEV('The List'!X2:X671)</f>
        <v>-0.80155300200843405</v>
      </c>
      <c r="L532" s="55" cm="1">
        <f t="array" ref="L532">(VLOOKUP($A532,'The List'!$B1:$AH671,24,FALSE)-AVERAGE('The List'!Y2:Y671))/STDEV('The List'!Y2:Y671)</f>
        <v>1.0093815618045958</v>
      </c>
      <c r="M532" s="55" cm="1">
        <f t="array" ref="M532">(VLOOKUP($A532,'The List'!$B1:$AH671,25,FALSE)-AVERAGE('The List'!Z2:Z671))/STDEV('The List'!Z2:Z671)</f>
        <v>1.1164387323321792</v>
      </c>
      <c r="N532" s="55" cm="1">
        <f t="array" ref="N532">(VLOOKUP($A532,'The List'!$B1:$AH671,26,FALSE)-AVERAGE('The List'!AA2:AA671))/STDEV('The List'!AA2:AA671)</f>
        <v>-0.13341991122157831</v>
      </c>
      <c r="O532" s="55" cm="1">
        <f t="array" ref="O532">(VLOOKUP($A532,'The List'!$B1:$AH671,27,FALSE)-AVERAGE('The List'!AB2:AB671))/STDEV('The List'!AB2:AB671)</f>
        <v>1.7180440392410239</v>
      </c>
      <c r="P532" s="55" cm="1">
        <f t="array" ref="P532">(VLOOKUP($A532,'The List'!$B1:$AH671,28,FALSE)-AVERAGE('The List'!AC2:AC671))/STDEV('The List'!AC2:AC671)</f>
        <v>-0.80813404402752975</v>
      </c>
      <c r="Q532" s="55" cm="1">
        <f t="array" ref="Q532">(VLOOKUP($A532,'The List'!$B1:$AH671,29,FALSE)-AVERAGE('The List'!AD2:AD671))/STDEV('The List'!AD2:AD671)</f>
        <v>-0.63826729864771947</v>
      </c>
      <c r="R532" s="55" cm="1">
        <f t="array" ref="R532">(VLOOKUP($A532,'The List'!$B1:$AH671,30,FALSE)-AVERAGE('The List'!AE2:AE671))/STDEV('The List'!AE2:AE671)</f>
        <v>-0.83922002554973252</v>
      </c>
      <c r="S532" s="55" cm="1">
        <f t="array" ref="S532">(VLOOKUP($A532,'The List'!$B1:$AH671,31,FALSE)-AVERAGE('The List'!AF2:AF671))/STDEV('The List'!AF2:AF671)</f>
        <v>-0.58024147758180378</v>
      </c>
      <c r="T532" s="55" cm="1">
        <f t="array" ref="T532">(VLOOKUP($A532,'The List'!$B1:$AH671,32,FALSE)-AVERAGE('The List'!AG2:AG671))/STDEV('The List'!AG2:AG671)</f>
        <v>-0.62617408164158261</v>
      </c>
      <c r="U532" s="55" cm="1">
        <f t="array" ref="U532">(VLOOKUP($A532,'The List'!$B1:$AH671,33,FALSE)-AVERAGE('The List'!AH2:AH671))/STDEV('The List'!AH2:AH671)</f>
        <v>0.63070553979323463</v>
      </c>
      <c r="V532" s="55"/>
      <c r="W532" s="77"/>
      <c r="X532" s="57"/>
      <c r="Y532" s="57"/>
      <c r="Z532" s="57"/>
      <c r="AA532" s="57"/>
      <c r="AB532" s="57"/>
      <c r="AC532" s="60"/>
      <c r="AD532" s="61"/>
      <c r="AE532" s="55"/>
    </row>
    <row r="533" spans="1:31" ht="21.25" customHeight="1" x14ac:dyDescent="0.15">
      <c r="A533" s="10" t="s">
        <v>522</v>
      </c>
      <c r="B533" s="18" t="str" cm="1">
        <f t="array" ref="B533">VLOOKUP(A533,'Player Data'!A1:B673,2,FALSE)</f>
        <v>BOS</v>
      </c>
      <c r="C533" s="52" cm="1">
        <f t="array" ref="C533">((E533)*Settings!$C$12)+(F533*Settings!$C$2)+(G533*Settings!$C$3)+(H533*Settings!$C$4)+(I533*Settings!$C$5)+(K533*Settings!$C$9)+(N533*Settings!$C$6)+(J533*Settings!$C$8)+(O533*Settings!$C$7)+(P533*Settings!$C$14)+(Q533*Settings!$C$15)+(R533*Settings!$C$16)+(S533*Settings!$C$17)+(T533*Settings!$C$18)+(U533*Settings!$C$19)+(L533*Settings!$C$10)+(Settings!$C$11*M533)</f>
        <v>-3.6390183272006285</v>
      </c>
      <c r="D533" s="57" cm="1">
        <f t="array" ref="D533">IF(Settings!$E$12="YES",VLOOKUP(A533,'Player Data'!A1:E673,5,FALSE),82)</f>
        <v>75</v>
      </c>
      <c r="E533" s="55" cm="1">
        <f t="array" ref="E533">(VLOOKUP($A533,'The List'!$B1:$AH671,17,FALSE)-AVERAGE('The List'!R2:R671))/STDEV('The List'!R2:R671)</f>
        <v>-5.6230216366890615E-2</v>
      </c>
      <c r="F533" s="55" cm="1">
        <f t="array" ref="F533">(VLOOKUP($A533,'The List'!$B1:$AH671,18,FALSE)-AVERAGE('The List'!S2:S671))/STDEV('The List'!S2:S671)</f>
        <v>-0.99826593569787614</v>
      </c>
      <c r="G533" s="55" cm="1">
        <f t="array" ref="G533">(VLOOKUP($A533,'The List'!$B1:$AH671,19,FALSE)-AVERAGE('The List'!T2:T671))/STDEV('The List'!T2:T671)</f>
        <v>-0.8190412753827695</v>
      </c>
      <c r="H533" s="55" cm="1">
        <f t="array" ref="H533">(VLOOKUP($A533,'The List'!$B1:$AH671,20,FALSE)-AVERAGE('The List'!U2:U671))/STDEV('The List'!U2:U671)</f>
        <v>-0.95745433210296504</v>
      </c>
      <c r="I533" s="55" cm="1">
        <f t="array" ref="I533">(VLOOKUP($A533,'The List'!$B1:$AH671,21,FALSE)-AVERAGE('The List'!V2:V671))/STDEV('The List'!V2:V671)</f>
        <v>-1.1604277840967421</v>
      </c>
      <c r="J533" s="55" cm="1">
        <f t="array" ref="J533">(VLOOKUP($A533,'The List'!$B1:$AH671,22,FALSE)-AVERAGE('The List'!W2:W671))/STDEV('The List'!W2:W671)</f>
        <v>-0.73853908386105271</v>
      </c>
      <c r="K533" s="55" cm="1">
        <f t="array" ref="K533">(VLOOKUP($A533,'The List'!$B1:$AH671,23,FALSE)-AVERAGE('The List'!X2:X671))/STDEV('The List'!X2:X671)</f>
        <v>-0.80155300200843405</v>
      </c>
      <c r="L533" s="55" cm="1">
        <f t="array" ref="L533">(VLOOKUP($A533,'The List'!$B1:$AH671,24,FALSE)-AVERAGE('The List'!Y2:Y671))/STDEV('The List'!Y2:Y671)</f>
        <v>-0.47546929358800777</v>
      </c>
      <c r="M533" s="55" cm="1">
        <f t="array" ref="M533">(VLOOKUP($A533,'The List'!$B1:$AH671,25,FALSE)-AVERAGE('The List'!Z2:Z671))/STDEV('The List'!Z2:Z671)</f>
        <v>-0.64388478613809508</v>
      </c>
      <c r="N533" s="55" cm="1">
        <f t="array" ref="N533">(VLOOKUP($A533,'The List'!$B1:$AH671,26,FALSE)-AVERAGE('The List'!AA2:AA671))/STDEV('The List'!AA2:AA671)</f>
        <v>0.90558638301247041</v>
      </c>
      <c r="O533" s="55" cm="1">
        <f t="array" ref="O533">(VLOOKUP($A533,'The List'!$B1:$AH671,27,FALSE)-AVERAGE('The List'!AB2:AB671))/STDEV('The List'!AB2:AB671)</f>
        <v>0.24520928958380789</v>
      </c>
      <c r="P533" s="55" cm="1">
        <f t="array" ref="P533">(VLOOKUP($A533,'The List'!$B1:$AH671,28,FALSE)-AVERAGE('The List'!AC2:AC671))/STDEV('The List'!AC2:AC671)</f>
        <v>-0.1049396195986151</v>
      </c>
      <c r="Q533" s="55" cm="1">
        <f t="array" ref="Q533">(VLOOKUP($A533,'The List'!$B1:$AH671,29,FALSE)-AVERAGE('The List'!AD2:AD671))/STDEV('The List'!AD2:AD671)</f>
        <v>0.84015945771660139</v>
      </c>
      <c r="R533" s="55" cm="1">
        <f t="array" ref="R533">(VLOOKUP($A533,'The List'!$B1:$AH671,30,FALSE)-AVERAGE('The List'!AE2:AE671))/STDEV('The List'!AE2:AE671)</f>
        <v>-0.87664795948975927</v>
      </c>
      <c r="S533" s="55" cm="1">
        <f t="array" ref="S533">(VLOOKUP($A533,'The List'!$B1:$AH671,31,FALSE)-AVERAGE('The List'!AF2:AF671))/STDEV('The List'!AF2:AF671)</f>
        <v>-0.59581850454342256</v>
      </c>
      <c r="T533" s="55" cm="1">
        <f t="array" ref="T533">(VLOOKUP($A533,'The List'!$B1:$AH671,32,FALSE)-AVERAGE('The List'!AG2:AG671))/STDEV('The List'!AG2:AG671)</f>
        <v>-0.64684275008198677</v>
      </c>
      <c r="U533" s="55" cm="1">
        <f t="array" ref="U533">(VLOOKUP($A533,'The List'!$B1:$AH671,33,FALSE)-AVERAGE('The List'!AH2:AH671))/STDEV('The List'!AH2:AH671)</f>
        <v>-1.2552626683789523</v>
      </c>
      <c r="V533" s="55"/>
      <c r="W533" s="77"/>
      <c r="X533" s="57"/>
      <c r="Y533" s="57"/>
      <c r="Z533" s="57"/>
      <c r="AA533" s="57"/>
      <c r="AB533" s="57"/>
      <c r="AC533" s="60"/>
      <c r="AD533" s="61"/>
      <c r="AE533" s="55"/>
    </row>
    <row r="534" spans="1:31" ht="21.25" customHeight="1" x14ac:dyDescent="0.15">
      <c r="A534" s="10" t="s">
        <v>445</v>
      </c>
      <c r="B534" s="18" t="str" cm="1">
        <f t="array" ref="B534">VLOOKUP(A534,'Player Data'!A1:B673,2,FALSE)</f>
        <v>WPG</v>
      </c>
      <c r="C534" s="52" cm="1">
        <f t="array" ref="C534">((E534)*Settings!$C$12)+(F534*Settings!$C$2)+(G534*Settings!$C$3)+(H534*Settings!$C$4)+(I534*Settings!$C$5)+(K534*Settings!$C$9)+(N534*Settings!$C$6)+(J534*Settings!$C$8)+(O534*Settings!$C$7)+(P534*Settings!$C$14)+(Q534*Settings!$C$15)+(R534*Settings!$C$16)+(S534*Settings!$C$17)+(T534*Settings!$C$18)+(U534*Settings!$C$19)+(L534*Settings!$C$10)+(Settings!$C$11*M534)</f>
        <v>-2.7685360900502136</v>
      </c>
      <c r="D534" s="57" cm="1">
        <f t="array" ref="D534">IF(Settings!$E$12="YES",VLOOKUP(A534,'Player Data'!A1:E673,5,FALSE),82)</f>
        <v>83</v>
      </c>
      <c r="E534" s="55" cm="1">
        <f t="array" ref="E534">(VLOOKUP($A534,'The List'!$B1:$AH671,17,FALSE)-AVERAGE('The List'!R2:R671))/STDEV('The List'!R2:R671)</f>
        <v>0.33725143626979681</v>
      </c>
      <c r="F534" s="55" cm="1">
        <f t="array" ref="F534">(VLOOKUP($A534,'The List'!$B1:$AH671,18,FALSE)-AVERAGE('The List'!S2:S671))/STDEV('The List'!S2:S671)</f>
        <v>-0.95834836369967369</v>
      </c>
      <c r="G534" s="55" cm="1">
        <f t="array" ref="G534">(VLOOKUP($A534,'The List'!$B1:$AH671,19,FALSE)-AVERAGE('The List'!T2:T671))/STDEV('The List'!T2:T671)</f>
        <v>-0.72909122941213911</v>
      </c>
      <c r="H534" s="55" cm="1">
        <f t="array" ref="H534">(VLOOKUP($A534,'The List'!$B1:$AH671,20,FALSE)-AVERAGE('The List'!U2:U671))/STDEV('The List'!U2:U671)</f>
        <v>-0.88318621739794345</v>
      </c>
      <c r="I534" s="55" cm="1">
        <f t="array" ref="I534">(VLOOKUP($A534,'The List'!$B1:$AH671,21,FALSE)-AVERAGE('The List'!V2:V671))/STDEV('The List'!V2:V671)</f>
        <v>-0.8217935329148538</v>
      </c>
      <c r="J534" s="55" cm="1">
        <f t="array" ref="J534">(VLOOKUP($A534,'The List'!$B1:$AH671,22,FALSE)-AVERAGE('The List'!W2:W671))/STDEV('The List'!W2:W671)</f>
        <v>-0.73853908386105271</v>
      </c>
      <c r="K534" s="55" cm="1">
        <f t="array" ref="K534">(VLOOKUP($A534,'The List'!$B1:$AH671,23,FALSE)-AVERAGE('The List'!X2:X671))/STDEV('The List'!X2:X671)</f>
        <v>-0.80155300200843405</v>
      </c>
      <c r="L534" s="55" cm="1">
        <f t="array" ref="L534">(VLOOKUP($A534,'The List'!$B1:$AH671,24,FALSE)-AVERAGE('The List'!Y2:Y671))/STDEV('The List'!Y2:Y671)</f>
        <v>-0.47546929358800777</v>
      </c>
      <c r="M534" s="55" cm="1">
        <f t="array" ref="M534">(VLOOKUP($A534,'The List'!$B1:$AH671,25,FALSE)-AVERAGE('The List'!Z2:Z671))/STDEV('The List'!Z2:Z671)</f>
        <v>-0.64388478613809508</v>
      </c>
      <c r="N534" s="55" cm="1">
        <f t="array" ref="N534">(VLOOKUP($A534,'The List'!$B1:$AH671,26,FALSE)-AVERAGE('The List'!AA2:AA671))/STDEV('The List'!AA2:AA671)</f>
        <v>1.6204778819212962</v>
      </c>
      <c r="O534" s="55" cm="1">
        <f t="array" ref="O534">(VLOOKUP($A534,'The List'!$B1:$AH671,27,FALSE)-AVERAGE('The List'!AB2:AB671))/STDEV('The List'!AB2:AB671)</f>
        <v>0.64718965758350178</v>
      </c>
      <c r="P534" s="55" cm="1">
        <f t="array" ref="P534">(VLOOKUP($A534,'The List'!$B1:$AH671,28,FALSE)-AVERAGE('The List'!AC2:AC671))/STDEV('The List'!AC2:AC671)</f>
        <v>-0.1049396195986151</v>
      </c>
      <c r="Q534" s="55" cm="1">
        <f t="array" ref="Q534">(VLOOKUP($A534,'The List'!$B1:$AH671,29,FALSE)-AVERAGE('The List'!AD2:AD671))/STDEV('The List'!AD2:AD671)</f>
        <v>0.26312232792123164</v>
      </c>
      <c r="R534" s="55" cm="1">
        <f t="array" ref="R534">(VLOOKUP($A534,'The List'!$B1:$AH671,30,FALSE)-AVERAGE('The List'!AE2:AE671))/STDEV('The List'!AE2:AE671)</f>
        <v>-0.82674404756972364</v>
      </c>
      <c r="S534" s="55" cm="1">
        <f t="array" ref="S534">(VLOOKUP($A534,'The List'!$B1:$AH671,31,FALSE)-AVERAGE('The List'!AF2:AF671))/STDEV('The List'!AF2:AF671)</f>
        <v>-0.59581850454342256</v>
      </c>
      <c r="T534" s="55" cm="1">
        <f t="array" ref="T534">(VLOOKUP($A534,'The List'!$B1:$AH671,32,FALSE)-AVERAGE('The List'!AG2:AG671))/STDEV('The List'!AG2:AG671)</f>
        <v>-0.64684275008198677</v>
      </c>
      <c r="U534" s="55" cm="1">
        <f t="array" ref="U534">(VLOOKUP($A534,'The List'!$B1:$AH671,33,FALSE)-AVERAGE('The List'!AH2:AH671))/STDEV('The List'!AH2:AH671)</f>
        <v>-1.2552626683789523</v>
      </c>
      <c r="V534" s="55"/>
      <c r="W534" s="77"/>
      <c r="X534" s="57"/>
      <c r="Y534" s="57"/>
      <c r="Z534" s="57"/>
      <c r="AA534" s="57"/>
      <c r="AB534" s="57"/>
      <c r="AC534" s="60"/>
      <c r="AD534" s="61"/>
      <c r="AE534" s="55"/>
    </row>
    <row r="535" spans="1:31" ht="21.25" customHeight="1" x14ac:dyDescent="0.15">
      <c r="A535" s="10" t="s">
        <v>716</v>
      </c>
      <c r="B535" s="18" t="str" cm="1">
        <f t="array" ref="B535">VLOOKUP(A535,'Player Data'!A1:B673,2,FALSE)</f>
        <v>TOR</v>
      </c>
      <c r="C535" s="52" cm="1">
        <f t="array" ref="C535">((E535)*Settings!$C$12)+(F535*Settings!$C$2)+(G535*Settings!$C$3)+(H535*Settings!$C$4)+(I535*Settings!$C$5)+(K535*Settings!$C$9)+(N535*Settings!$C$6)+(J535*Settings!$C$8)+(O535*Settings!$C$7)+(P535*Settings!$C$14)+(Q535*Settings!$C$15)+(R535*Settings!$C$16)+(S535*Settings!$C$17)+(T535*Settings!$C$18)+(U535*Settings!$C$19)+(L535*Settings!$C$10)+(Settings!$C$11*M535)</f>
        <v>-2.6295194922595329</v>
      </c>
      <c r="D535" s="57" cm="1">
        <f t="array" ref="D535">IF(Settings!$E$12="YES",VLOOKUP(A535,'Player Data'!A1:E673,5,FALSE),82)</f>
        <v>80</v>
      </c>
      <c r="E535" s="55" cm="1">
        <f t="array" ref="E535">(VLOOKUP($A535,'The List'!$B1:$AH671,17,FALSE)-AVERAGE('The List'!R2:R671))/STDEV('The List'!R2:R671)</f>
        <v>-1.0268182928707199</v>
      </c>
      <c r="F535" s="55" cm="1">
        <f t="array" ref="F535">(VLOOKUP($A535,'The List'!$B1:$AH671,18,FALSE)-AVERAGE('The List'!S2:S671))/STDEV('The List'!S2:S671)</f>
        <v>-0.65397687721338038</v>
      </c>
      <c r="G535" s="55" cm="1">
        <f t="array" ref="G535">(VLOOKUP($A535,'The List'!$B1:$AH671,19,FALSE)-AVERAGE('The List'!T2:T671))/STDEV('The List'!T2:T671)</f>
        <v>-0.9876976115777012</v>
      </c>
      <c r="H535" s="55" cm="1">
        <f t="array" ref="H535">(VLOOKUP($A535,'The List'!$B1:$AH671,20,FALSE)-AVERAGE('The List'!U2:U671))/STDEV('The List'!U2:U671)</f>
        <v>-0.91103676041232662</v>
      </c>
      <c r="I535" s="55" cm="1">
        <f t="array" ref="I535">(VLOOKUP($A535,'The List'!$B1:$AH671,21,FALSE)-AVERAGE('The List'!V2:V671))/STDEV('The List'!V2:V671)</f>
        <v>-0.60841940015483742</v>
      </c>
      <c r="J535" s="55" cm="1">
        <f t="array" ref="J535">(VLOOKUP($A535,'The List'!$B1:$AH671,22,FALSE)-AVERAGE('The List'!W2:W671))/STDEV('The List'!W2:W671)</f>
        <v>-0.73853908386105271</v>
      </c>
      <c r="K535" s="55" cm="1">
        <f t="array" ref="K535">(VLOOKUP($A535,'The List'!$B1:$AH671,23,FALSE)-AVERAGE('The List'!X2:X671))/STDEV('The List'!X2:X671)</f>
        <v>-0.80155300200843405</v>
      </c>
      <c r="L535" s="55" cm="1">
        <f t="array" ref="L535">(VLOOKUP($A535,'The List'!$B1:$AH671,24,FALSE)-AVERAGE('The List'!Y2:Y671))/STDEV('The List'!Y2:Y671)</f>
        <v>0.99105006976271182</v>
      </c>
      <c r="M535" s="55" cm="1">
        <f t="array" ref="M535">(VLOOKUP($A535,'The List'!$B1:$AH671,25,FALSE)-AVERAGE('The List'!Z2:Z671))/STDEV('The List'!Z2:Z671)</f>
        <v>0.22541077853858349</v>
      </c>
      <c r="N535" s="55" cm="1">
        <f t="array" ref="N535">(VLOOKUP($A535,'The List'!$B1:$AH671,26,FALSE)-AVERAGE('The List'!AA2:AA671))/STDEV('The List'!AA2:AA671)</f>
        <v>-0.11094386552526647</v>
      </c>
      <c r="O535" s="55" cm="1">
        <f t="array" ref="O535">(VLOOKUP($A535,'The List'!$B1:$AH671,27,FALSE)-AVERAGE('The List'!AB2:AB671))/STDEV('The List'!AB2:AB671)</f>
        <v>0.52706701829343516</v>
      </c>
      <c r="P535" s="55" cm="1">
        <f t="array" ref="P535">(VLOOKUP($A535,'The List'!$B1:$AH671,28,FALSE)-AVERAGE('The List'!AC2:AC671))/STDEV('The List'!AC2:AC671)</f>
        <v>-0.1049396195986151</v>
      </c>
      <c r="Q535" s="55" cm="1">
        <f t="array" ref="Q535">(VLOOKUP($A535,'The List'!$B1:$AH671,29,FALSE)-AVERAGE('The List'!AD2:AD671))/STDEV('The List'!AD2:AD671)</f>
        <v>-0.30504867439968908</v>
      </c>
      <c r="R535" s="55" cm="1">
        <f t="array" ref="R535">(VLOOKUP($A535,'The List'!$B1:$AH671,30,FALSE)-AVERAGE('The List'!AE2:AE671))/STDEV('The List'!AE2:AE671)</f>
        <v>-0.84545801453973701</v>
      </c>
      <c r="S535" s="55" cm="1">
        <f t="array" ref="S535">(VLOOKUP($A535,'The List'!$B1:$AH671,31,FALSE)-AVERAGE('The List'!AF2:AF671))/STDEV('The List'!AF2:AF671)</f>
        <v>1.4349642697120708</v>
      </c>
      <c r="T535" s="55" cm="1">
        <f t="array" ref="T535">(VLOOKUP($A535,'The List'!$B1:$AH671,32,FALSE)-AVERAGE('The List'!AG2:AG671))/STDEV('The List'!AG2:AG671)</f>
        <v>1.1372971231933942</v>
      </c>
      <c r="U535" s="55" cm="1">
        <f t="array" ref="U535">(VLOOKUP($A535,'The List'!$B1:$AH671,33,FALSE)-AVERAGE('The List'!AH2:AH671))/STDEV('The List'!AH2:AH671)</f>
        <v>1.2746946840471525</v>
      </c>
      <c r="V535" s="55"/>
      <c r="W535" s="77"/>
      <c r="X535" s="57"/>
      <c r="Y535" s="57"/>
      <c r="Z535" s="57"/>
      <c r="AA535" s="57"/>
      <c r="AB535" s="57"/>
      <c r="AC535" s="60"/>
      <c r="AD535" s="61"/>
      <c r="AE535" s="55"/>
    </row>
    <row r="536" spans="1:31" ht="21.25" customHeight="1" x14ac:dyDescent="0.15">
      <c r="A536" s="10" t="s">
        <v>605</v>
      </c>
      <c r="B536" s="18" t="str" cm="1">
        <f t="array" ref="B536">VLOOKUP(A536,'Player Data'!A1:B673,2,FALSE)</f>
        <v>MTL</v>
      </c>
      <c r="C536" s="52" cm="1">
        <f t="array" ref="C536">((E536)*Settings!$C$12)+(F536*Settings!$C$2)+(G536*Settings!$C$3)+(H536*Settings!$C$4)+(I536*Settings!$C$5)+(K536*Settings!$C$9)+(N536*Settings!$C$6)+(J536*Settings!$C$8)+(O536*Settings!$C$7)+(P536*Settings!$C$14)+(Q536*Settings!$C$15)+(R536*Settings!$C$16)+(S536*Settings!$C$17)+(T536*Settings!$C$18)+(U536*Settings!$C$19)+(L536*Settings!$C$10)+(Settings!$C$11*M536)</f>
        <v>-2.8424598738455358</v>
      </c>
      <c r="D536" s="57" cm="1">
        <f t="array" ref="D536">IF(Settings!$E$12="YES",VLOOKUP(A536,'Player Data'!A1:E673,5,FALSE),82)</f>
        <v>74</v>
      </c>
      <c r="E536" s="55" cm="1">
        <f t="array" ref="E536">(VLOOKUP($A536,'The List'!$B1:$AH671,17,FALSE)-AVERAGE('The List'!R2:R671))/STDEV('The List'!R2:R671)</f>
        <v>-0.76449719111292824</v>
      </c>
      <c r="F536" s="55" cm="1">
        <f t="array" ref="F536">(VLOOKUP($A536,'The List'!$B1:$AH671,18,FALSE)-AVERAGE('The List'!S2:S671))/STDEV('The List'!S2:S671)</f>
        <v>-1.0771031403943259</v>
      </c>
      <c r="G536" s="55" cm="1">
        <f t="array" ref="G536">(VLOOKUP($A536,'The List'!$B1:$AH671,19,FALSE)-AVERAGE('The List'!T2:T671))/STDEV('The List'!T2:T671)</f>
        <v>-0.83028503112909824</v>
      </c>
      <c r="H536" s="55" cm="1">
        <f t="array" ref="H536">(VLOOKUP($A536,'The List'!$B1:$AH671,20,FALSE)-AVERAGE('The List'!U2:U671))/STDEV('The List'!U2:U671)</f>
        <v>-0.99945118268020949</v>
      </c>
      <c r="I536" s="55" cm="1">
        <f t="array" ref="I536">(VLOOKUP($A536,'The List'!$B1:$AH671,21,FALSE)-AVERAGE('The List'!V2:V671))/STDEV('The List'!V2:V671)</f>
        <v>-1.3658543783086121</v>
      </c>
      <c r="J536" s="55" cm="1">
        <f t="array" ref="J536">(VLOOKUP($A536,'The List'!$B1:$AH671,22,FALSE)-AVERAGE('The List'!W2:W671))/STDEV('The List'!W2:W671)</f>
        <v>-0.73853908386105271</v>
      </c>
      <c r="K536" s="55" cm="1">
        <f t="array" ref="K536">(VLOOKUP($A536,'The List'!$B1:$AH671,23,FALSE)-AVERAGE('The List'!X2:X671))/STDEV('The List'!X2:X671)</f>
        <v>-0.80155300200843405</v>
      </c>
      <c r="L536" s="55" cm="1">
        <f t="array" ref="L536">(VLOOKUP($A536,'The List'!$B1:$AH671,24,FALSE)-AVERAGE('The List'!Y2:Y671))/STDEV('The List'!Y2:Y671)</f>
        <v>-0.47546929358800777</v>
      </c>
      <c r="M536" s="55" cm="1">
        <f t="array" ref="M536">(VLOOKUP($A536,'The List'!$B1:$AH671,25,FALSE)-AVERAGE('The List'!Z2:Z671))/STDEV('The List'!Z2:Z671)</f>
        <v>-0.64388478613809508</v>
      </c>
      <c r="N536" s="55" cm="1">
        <f t="array" ref="N536">(VLOOKUP($A536,'The List'!$B1:$AH671,26,FALSE)-AVERAGE('The List'!AA2:AA671))/STDEV('The List'!AA2:AA671)</f>
        <v>-0.20544542129385013</v>
      </c>
      <c r="O536" s="55" cm="1">
        <f t="array" ref="O536">(VLOOKUP($A536,'The List'!$B1:$AH671,27,FALSE)-AVERAGE('The List'!AB2:AB671))/STDEV('The List'!AB2:AB671)</f>
        <v>0.85545689567003391</v>
      </c>
      <c r="P536" s="55" cm="1">
        <f t="array" ref="P536">(VLOOKUP($A536,'The List'!$B1:$AH671,28,FALSE)-AVERAGE('The List'!AC2:AC671))/STDEV('The List'!AC2:AC671)</f>
        <v>0.37687878232490041</v>
      </c>
      <c r="Q536" s="55" cm="1">
        <f t="array" ref="Q536">(VLOOKUP($A536,'The List'!$B1:$AH671,29,FALSE)-AVERAGE('The List'!AD2:AD671))/STDEV('The List'!AD2:AD671)</f>
        <v>0.68795760273856565</v>
      </c>
      <c r="R536" s="55" cm="1">
        <f t="array" ref="R536">(VLOOKUP($A536,'The List'!$B1:$AH671,30,FALSE)-AVERAGE('The List'!AE2:AE671))/STDEV('The List'!AE2:AE671)</f>
        <v>-0.88288594847976376</v>
      </c>
      <c r="S536" s="55" cm="1">
        <f t="array" ref="S536">(VLOOKUP($A536,'The List'!$B1:$AH671,31,FALSE)-AVERAGE('The List'!AF2:AF671))/STDEV('The List'!AF2:AF671)</f>
        <v>-0.59581850454342256</v>
      </c>
      <c r="T536" s="55" cm="1">
        <f t="array" ref="T536">(VLOOKUP($A536,'The List'!$B1:$AH671,32,FALSE)-AVERAGE('The List'!AG2:AG671))/STDEV('The List'!AG2:AG671)</f>
        <v>-0.64684275008198677</v>
      </c>
      <c r="U536" s="55" cm="1">
        <f t="array" ref="U536">(VLOOKUP($A536,'The List'!$B1:$AH671,33,FALSE)-AVERAGE('The List'!AH2:AH671))/STDEV('The List'!AH2:AH671)</f>
        <v>-1.2552626683789523</v>
      </c>
      <c r="V536" s="55"/>
      <c r="W536" s="77"/>
      <c r="X536" s="57"/>
      <c r="Y536" s="57"/>
      <c r="Z536" s="57"/>
      <c r="AA536" s="57"/>
      <c r="AB536" s="57"/>
      <c r="AC536" s="60"/>
      <c r="AD536" s="61"/>
      <c r="AE536" s="55"/>
    </row>
    <row r="537" spans="1:31" ht="21.25" customHeight="1" x14ac:dyDescent="0.15">
      <c r="A537" s="10" t="s">
        <v>544</v>
      </c>
      <c r="B537" s="18" t="str" cm="1">
        <f t="array" ref="B537">VLOOKUP(A537,'Player Data'!A1:B673,2,FALSE)</f>
        <v>MIN</v>
      </c>
      <c r="C537" s="52" cm="1">
        <f t="array" ref="C537">((E537)*Settings!$C$12)+(F537*Settings!$C$2)+(G537*Settings!$C$3)+(H537*Settings!$C$4)+(I537*Settings!$C$5)+(K537*Settings!$C$9)+(N537*Settings!$C$6)+(J537*Settings!$C$8)+(O537*Settings!$C$7)+(P537*Settings!$C$14)+(Q537*Settings!$C$15)+(R537*Settings!$C$16)+(S537*Settings!$C$17)+(T537*Settings!$C$18)+(U537*Settings!$C$19)+(L537*Settings!$C$10)+(Settings!$C$11*M537)</f>
        <v>-4.7426470702377612</v>
      </c>
      <c r="D537" s="57" cm="1">
        <f t="array" ref="D537">IF(Settings!$E$12="YES",VLOOKUP(A537,'Player Data'!A1:E673,5,FALSE),82)</f>
        <v>75</v>
      </c>
      <c r="E537" s="55" cm="1">
        <f t="array" ref="E537">(VLOOKUP($A537,'The List'!$B1:$AH671,17,FALSE)-AVERAGE('The List'!R2:R671))/STDEV('The List'!R2:R671)</f>
        <v>-0.26608709777312411</v>
      </c>
      <c r="F537" s="55" cm="1">
        <f t="array" ref="F537">(VLOOKUP($A537,'The List'!$B1:$AH671,18,FALSE)-AVERAGE('The List'!S2:S671))/STDEV('The List'!S2:S671)</f>
        <v>-1.2228022781877648</v>
      </c>
      <c r="G537" s="55" cm="1">
        <f t="array" ref="G537">(VLOOKUP($A537,'The List'!$B1:$AH671,19,FALSE)-AVERAGE('The List'!T2:T671))/STDEV('The List'!T2:T671)</f>
        <v>-0.71363106526093711</v>
      </c>
      <c r="H537" s="55" cm="1">
        <f t="array" ref="H537">(VLOOKUP($A537,'The List'!$B1:$AH671,20,FALSE)-AVERAGE('The List'!U2:U671))/STDEV('The List'!U2:U671)</f>
        <v>-0.99060974045342121</v>
      </c>
      <c r="I537" s="55" cm="1">
        <f t="array" ref="I537">(VLOOKUP($A537,'The List'!$B1:$AH671,21,FALSE)-AVERAGE('The List'!V2:V671))/STDEV('The List'!V2:V671)</f>
        <v>-1.3418389900870396</v>
      </c>
      <c r="J537" s="55" cm="1">
        <f t="array" ref="J537">(VLOOKUP($A537,'The List'!$B1:$AH671,22,FALSE)-AVERAGE('The List'!W2:W671))/STDEV('The List'!W2:W671)</f>
        <v>-0.73853908386105271</v>
      </c>
      <c r="K537" s="55" cm="1">
        <f t="array" ref="K537">(VLOOKUP($A537,'The List'!$B1:$AH671,23,FALSE)-AVERAGE('The List'!X2:X671))/STDEV('The List'!X2:X671)</f>
        <v>-0.80155300200843405</v>
      </c>
      <c r="L537" s="55" cm="1">
        <f t="array" ref="L537">(VLOOKUP($A537,'The List'!$B1:$AH671,24,FALSE)-AVERAGE('The List'!Y2:Y671))/STDEV('The List'!Y2:Y671)</f>
        <v>-0.47546929358800777</v>
      </c>
      <c r="M537" s="55" cm="1">
        <f t="array" ref="M537">(VLOOKUP($A537,'The List'!$B1:$AH671,25,FALSE)-AVERAGE('The List'!Z2:Z671))/STDEV('The List'!Z2:Z671)</f>
        <v>-0.64388478613809508</v>
      </c>
      <c r="N537" s="55" cm="1">
        <f t="array" ref="N537">(VLOOKUP($A537,'The List'!$B1:$AH671,26,FALSE)-AVERAGE('The List'!AA2:AA671))/STDEV('The List'!AA2:AA671)</f>
        <v>0.75234061690125376</v>
      </c>
      <c r="O537" s="55" cm="1">
        <f t="array" ref="O537">(VLOOKUP($A537,'The List'!$B1:$AH671,27,FALSE)-AVERAGE('The List'!AB2:AB671))/STDEV('The List'!AB2:AB671)</f>
        <v>-1.046211576503939</v>
      </c>
      <c r="P537" s="55" cm="1">
        <f t="array" ref="P537">(VLOOKUP($A537,'The List'!$B1:$AH671,28,FALSE)-AVERAGE('The List'!AC2:AC671))/STDEV('The List'!AC2:AC671)</f>
        <v>0.38338984181035335</v>
      </c>
      <c r="Q537" s="55" cm="1">
        <f t="array" ref="Q537">(VLOOKUP($A537,'The List'!$B1:$AH671,29,FALSE)-AVERAGE('The List'!AD2:AD671))/STDEV('The List'!AD2:AD671)</f>
        <v>-1.265545817464965</v>
      </c>
      <c r="R537" s="55" cm="1">
        <f t="array" ref="R537">(VLOOKUP($A537,'The List'!$B1:$AH671,30,FALSE)-AVERAGE('The List'!AE2:AE671))/STDEV('The List'!AE2:AE671)</f>
        <v>-1.3444971337400937</v>
      </c>
      <c r="S537" s="55" cm="1">
        <f t="array" ref="S537">(VLOOKUP($A537,'The List'!$B1:$AH671,31,FALSE)-AVERAGE('The List'!AF2:AF671))/STDEV('The List'!AF2:AF671)</f>
        <v>-0.59581850454342256</v>
      </c>
      <c r="T537" s="55" cm="1">
        <f t="array" ref="T537">(VLOOKUP($A537,'The List'!$B1:$AH671,32,FALSE)-AVERAGE('The List'!AG2:AG671))/STDEV('The List'!AG2:AG671)</f>
        <v>-0.64684275008198677</v>
      </c>
      <c r="U537" s="55" cm="1">
        <f t="array" ref="U537">(VLOOKUP($A537,'The List'!$B1:$AH671,33,FALSE)-AVERAGE('The List'!AH2:AH671))/STDEV('The List'!AH2:AH671)</f>
        <v>-1.2552626683789523</v>
      </c>
      <c r="V537" s="55"/>
      <c r="W537" s="57"/>
      <c r="X537" s="55"/>
      <c r="Y537" s="55"/>
      <c r="Z537" s="55"/>
      <c r="AA537" s="55"/>
      <c r="AB537" s="55"/>
      <c r="AC537" s="55"/>
      <c r="AD537" s="55"/>
      <c r="AE537" s="55"/>
    </row>
    <row r="538" spans="1:31" ht="21.25" customHeight="1" x14ac:dyDescent="0.15">
      <c r="A538" s="10" t="s">
        <v>734</v>
      </c>
      <c r="B538" s="18" t="str" cm="1">
        <f t="array" ref="B538">VLOOKUP(A538,'Player Data'!A1:B673,2,FALSE)</f>
        <v>T.B</v>
      </c>
      <c r="C538" s="52" cm="1">
        <f t="array" ref="C538">((E538)*Settings!$C$12)+(F538*Settings!$C$2)+(G538*Settings!$C$3)+(H538*Settings!$C$4)+(I538*Settings!$C$5)+(K538*Settings!$C$9)+(N538*Settings!$C$6)+(J538*Settings!$C$8)+(O538*Settings!$C$7)+(P538*Settings!$C$14)+(Q538*Settings!$C$15)+(R538*Settings!$C$16)+(S538*Settings!$C$17)+(T538*Settings!$C$18)+(U538*Settings!$C$19)+(L538*Settings!$C$10)+(Settings!$C$11*M538)</f>
        <v>-0.21308998417946112</v>
      </c>
      <c r="D538" s="57" cm="1">
        <f t="array" ref="D538">IF(Settings!$E$12="YES",VLOOKUP(A538,'Player Data'!A1:E673,5,FALSE),82)</f>
        <v>81</v>
      </c>
      <c r="E538" s="55" cm="1">
        <f t="array" ref="E538">(VLOOKUP($A538,'The List'!$B1:$AH671,17,FALSE)-AVERAGE('The List'!R2:R671))/STDEV('The List'!R2:R671)</f>
        <v>-0.92188985216760311</v>
      </c>
      <c r="F538" s="55" cm="1">
        <f t="array" ref="F538">(VLOOKUP($A538,'The List'!$B1:$AH671,18,FALSE)-AVERAGE('The List'!S2:S671))/STDEV('The List'!S2:S671)</f>
        <v>-0.64499542351378469</v>
      </c>
      <c r="G538" s="55" cm="1">
        <f t="array" ref="G538">(VLOOKUP($A538,'The List'!$B1:$AH671,19,FALSE)-AVERAGE('The List'!T2:T671))/STDEV('The List'!T2:T671)</f>
        <v>-1.0361863082337441</v>
      </c>
      <c r="H538" s="55" cm="1">
        <f t="array" ref="H538">(VLOOKUP($A538,'The List'!$B1:$AH671,20,FALSE)-AVERAGE('The List'!U2:U671))/STDEV('The List'!U2:U671)</f>
        <v>-0.93756108709269148</v>
      </c>
      <c r="I538" s="55" cm="1">
        <f t="array" ref="I538">(VLOOKUP($A538,'The List'!$B1:$AH671,21,FALSE)-AVERAGE('The List'!V2:V671))/STDEV('The List'!V2:V671)</f>
        <v>-0.63070706260507359</v>
      </c>
      <c r="J538" s="55" cm="1">
        <f t="array" ref="J538">(VLOOKUP($A538,'The List'!$B1:$AH671,22,FALSE)-AVERAGE('The List'!W2:W671))/STDEV('The List'!W2:W671)</f>
        <v>-0.73853908386105271</v>
      </c>
      <c r="K538" s="55" cm="1">
        <f t="array" ref="K538">(VLOOKUP($A538,'The List'!$B1:$AH671,23,FALSE)-AVERAGE('The List'!X2:X671))/STDEV('The List'!X2:X671)</f>
        <v>-0.80155300200843405</v>
      </c>
      <c r="L538" s="55" cm="1">
        <f t="array" ref="L538">(VLOOKUP($A538,'The List'!$B1:$AH671,24,FALSE)-AVERAGE('The List'!Y2:Y671))/STDEV('The List'!Y2:Y671)</f>
        <v>-0.47546929358800777</v>
      </c>
      <c r="M538" s="55" cm="1">
        <f t="array" ref="M538">(VLOOKUP($A538,'The List'!$B1:$AH671,25,FALSE)-AVERAGE('The List'!Z2:Z671))/STDEV('The List'!Z2:Z671)</f>
        <v>-0.64388478613809508</v>
      </c>
      <c r="N538" s="55" cm="1">
        <f t="array" ref="N538">(VLOOKUP($A538,'The List'!$B1:$AH671,26,FALSE)-AVERAGE('The List'!AA2:AA671))/STDEV('The List'!AA2:AA671)</f>
        <v>-0.46443076602180605</v>
      </c>
      <c r="O538" s="55" cm="1">
        <f t="array" ref="O538">(VLOOKUP($A538,'The List'!$B1:$AH671,27,FALSE)-AVERAGE('The List'!AB2:AB671))/STDEV('The List'!AB2:AB671)</f>
        <v>1.9504997951368188</v>
      </c>
      <c r="P538" s="55" cm="1">
        <f t="array" ref="P538">(VLOOKUP($A538,'The List'!$B1:$AH671,28,FALSE)-AVERAGE('The List'!AC2:AC671))/STDEV('The List'!AC2:AC671)</f>
        <v>0.94985201704475664</v>
      </c>
      <c r="Q538" s="55" cm="1">
        <f t="array" ref="Q538">(VLOOKUP($A538,'The List'!$B1:$AH671,29,FALSE)-AVERAGE('The List'!AD2:AD671))/STDEV('The List'!AD2:AD671)</f>
        <v>-3.9803694122432148E-2</v>
      </c>
      <c r="R538" s="55" cm="1">
        <f t="array" ref="R538">(VLOOKUP($A538,'The List'!$B1:$AH671,30,FALSE)-AVERAGE('The List'!AE2:AE671))/STDEV('The List'!AE2:AE671)</f>
        <v>-0.33394291735937137</v>
      </c>
      <c r="S538" s="55" cm="1">
        <f t="array" ref="S538">(VLOOKUP($A538,'The List'!$B1:$AH671,31,FALSE)-AVERAGE('The List'!AF2:AF671))/STDEV('The List'!AF2:AF671)</f>
        <v>-0.10903641199283381</v>
      </c>
      <c r="T538" s="55" cm="1">
        <f t="array" ref="T538">(VLOOKUP($A538,'The List'!$B1:$AH671,32,FALSE)-AVERAGE('The List'!AG2:AG671))/STDEV('The List'!AG2:AG671)</f>
        <v>-5.1585098998347081E-2</v>
      </c>
      <c r="U538" s="55" cm="1">
        <f t="array" ref="U538">(VLOOKUP($A538,'The List'!$B1:$AH671,33,FALSE)-AVERAGE('The List'!AH2:AH671))/STDEV('The List'!AH2:AH671)</f>
        <v>0.86070166274106241</v>
      </c>
      <c r="V538" s="55"/>
      <c r="W538" s="77"/>
      <c r="X538" s="57"/>
      <c r="Y538" s="57"/>
      <c r="Z538" s="57"/>
      <c r="AA538" s="57"/>
      <c r="AB538" s="57"/>
      <c r="AC538" s="60"/>
      <c r="AD538" s="61"/>
      <c r="AE538" s="55"/>
    </row>
    <row r="539" spans="1:31" ht="21.25" customHeight="1" x14ac:dyDescent="0.15">
      <c r="A539" s="10" t="s">
        <v>561</v>
      </c>
      <c r="B539" s="18" t="str" cm="1">
        <f t="array" ref="B539">VLOOKUP(A539,'Player Data'!A1:B673,2,FALSE)</f>
        <v>TOR</v>
      </c>
      <c r="C539" s="52" cm="1">
        <f t="array" ref="C539">((E539)*Settings!$C$12)+(F539*Settings!$C$2)+(G539*Settings!$C$3)+(H539*Settings!$C$4)+(I539*Settings!$C$5)+(K539*Settings!$C$9)+(N539*Settings!$C$6)+(J539*Settings!$C$8)+(O539*Settings!$C$7)+(P539*Settings!$C$14)+(Q539*Settings!$C$15)+(R539*Settings!$C$16)+(S539*Settings!$C$17)+(T539*Settings!$C$18)+(U539*Settings!$C$19)+(L539*Settings!$C$10)+(Settings!$C$11*M539)</f>
        <v>-3.6805749250812316</v>
      </c>
      <c r="D539" s="57" cm="1">
        <f t="array" ref="D539">IF(Settings!$E$12="YES",VLOOKUP(A539,'Player Data'!A1:E673,5,FALSE),82)</f>
        <v>71</v>
      </c>
      <c r="E539" s="55" cm="1">
        <f t="array" ref="E539">(VLOOKUP($A539,'The List'!$B1:$AH671,17,FALSE)-AVERAGE('The List'!R2:R671))/STDEV('The List'!R2:R671)</f>
        <v>-0.18739076724578643</v>
      </c>
      <c r="F539" s="55" cm="1">
        <f t="array" ref="F539">(VLOOKUP($A539,'The List'!$B1:$AH671,18,FALSE)-AVERAGE('The List'!S2:S671))/STDEV('The List'!S2:S671)</f>
        <v>-1.0890784119937866</v>
      </c>
      <c r="G539" s="55" cm="1">
        <f t="array" ref="G539">(VLOOKUP($A539,'The List'!$B1:$AH671,19,FALSE)-AVERAGE('The List'!T2:T671))/STDEV('The List'!T2:T671)</f>
        <v>-0.86401629836808469</v>
      </c>
      <c r="H539" s="55" cm="1">
        <f t="array" ref="H539">(VLOOKUP($A539,'The List'!$B1:$AH671,20,FALSE)-AVERAGE('The List'!U2:U671))/STDEV('The List'!U2:U671)</f>
        <v>-1.0259755093605745</v>
      </c>
      <c r="I539" s="55" cm="1">
        <f t="array" ref="I539">(VLOOKUP($A539,'The List'!$B1:$AH671,21,FALSE)-AVERAGE('The List'!V2:V671))/STDEV('The List'!V2:V671)</f>
        <v>-1.2027570654944779</v>
      </c>
      <c r="J539" s="55" cm="1">
        <f t="array" ref="J539">(VLOOKUP($A539,'The List'!$B1:$AH671,22,FALSE)-AVERAGE('The List'!W2:W671))/STDEV('The List'!W2:W671)</f>
        <v>-0.73853908386105271</v>
      </c>
      <c r="K539" s="55" cm="1">
        <f t="array" ref="K539">(VLOOKUP($A539,'The List'!$B1:$AH671,23,FALSE)-AVERAGE('The List'!X2:X671))/STDEV('The List'!X2:X671)</f>
        <v>-0.80155300200843405</v>
      </c>
      <c r="L539" s="55" cm="1">
        <f t="array" ref="L539">(VLOOKUP($A539,'The List'!$B1:$AH671,24,FALSE)-AVERAGE('The List'!Y2:Y671))/STDEV('The List'!Y2:Y671)</f>
        <v>-0.47546929358800777</v>
      </c>
      <c r="M539" s="55" cm="1">
        <f t="array" ref="M539">(VLOOKUP($A539,'The List'!$B1:$AH671,25,FALSE)-AVERAGE('The List'!Z2:Z671))/STDEV('The List'!Z2:Z671)</f>
        <v>-0.64388478613809508</v>
      </c>
      <c r="N539" s="55" cm="1">
        <f t="array" ref="N539">(VLOOKUP($A539,'The List'!$B1:$AH671,26,FALSE)-AVERAGE('The List'!AA2:AA671))/STDEV('The List'!AA2:AA671)</f>
        <v>0.38991438004822654</v>
      </c>
      <c r="O539" s="55" cm="1">
        <f t="array" ref="O539">(VLOOKUP($A539,'The List'!$B1:$AH671,27,FALSE)-AVERAGE('The List'!AB2:AB671))/STDEV('The List'!AB2:AB671)</f>
        <v>-8.0515751084990497E-2</v>
      </c>
      <c r="P539" s="55" cm="1">
        <f t="array" ref="P539">(VLOOKUP($A539,'The List'!$B1:$AH671,28,FALSE)-AVERAGE('The List'!AC2:AC671))/STDEV('The List'!AC2:AC671)</f>
        <v>0.35734560386854169</v>
      </c>
      <c r="Q539" s="55" cm="1">
        <f t="array" ref="Q539">(VLOOKUP($A539,'The List'!$B1:$AH671,29,FALSE)-AVERAGE('The List'!AD2:AD671))/STDEV('The List'!AD2:AD671)</f>
        <v>-0.43286867882299124</v>
      </c>
      <c r="R539" s="55" cm="1">
        <f t="array" ref="R539">(VLOOKUP($A539,'The List'!$B1:$AH671,30,FALSE)-AVERAGE('The List'!AE2:AE671))/STDEV('The List'!AE2:AE671)</f>
        <v>-0.90159991544977713</v>
      </c>
      <c r="S539" s="55" cm="1">
        <f t="array" ref="S539">(VLOOKUP($A539,'The List'!$B1:$AH671,31,FALSE)-AVERAGE('The List'!AF2:AF671))/STDEV('The List'!AF2:AF671)</f>
        <v>-0.5889915359367871</v>
      </c>
      <c r="T539" s="55" cm="1">
        <f t="array" ref="T539">(VLOOKUP($A539,'The List'!$B1:$AH671,32,FALSE)-AVERAGE('The List'!AG2:AG671))/STDEV('The List'!AG2:AG671)</f>
        <v>-0.63597256149481118</v>
      </c>
      <c r="U539" s="55" cm="1">
        <f t="array" ref="U539">(VLOOKUP($A539,'The List'!$B1:$AH671,33,FALSE)-AVERAGE('The List'!AH2:AH671))/STDEV('The List'!AH2:AH671)</f>
        <v>0.58470631520366922</v>
      </c>
      <c r="V539" s="55"/>
      <c r="W539" s="77"/>
      <c r="X539" s="57"/>
      <c r="Y539" s="57"/>
      <c r="Z539" s="57"/>
      <c r="AA539" s="57"/>
      <c r="AB539" s="57"/>
      <c r="AC539" s="60"/>
      <c r="AD539" s="61"/>
      <c r="AE539" s="55"/>
    </row>
    <row r="540" spans="1:31" ht="21.25" customHeight="1" x14ac:dyDescent="0.15">
      <c r="A540" s="10" t="s">
        <v>477</v>
      </c>
      <c r="B540" s="18" t="str" cm="1">
        <f t="array" ref="B540">VLOOKUP(A540,'Player Data'!A1:B673,2,FALSE)</f>
        <v>FLA</v>
      </c>
      <c r="C540" s="52" cm="1">
        <f t="array" ref="C540">((E540)*Settings!$C$12)+(F540*Settings!$C$2)+(G540*Settings!$C$3)+(H540*Settings!$C$4)+(I540*Settings!$C$5)+(K540*Settings!$C$9)+(N540*Settings!$C$6)+(J540*Settings!$C$8)+(O540*Settings!$C$7)+(P540*Settings!$C$14)+(Q540*Settings!$C$15)+(R540*Settings!$C$16)+(S540*Settings!$C$17)+(T540*Settings!$C$18)+(U540*Settings!$C$19)+(L540*Settings!$C$10)+(Settings!$C$11*M540)</f>
        <v>-1.8474713846927537</v>
      </c>
      <c r="D540" s="57" cm="1">
        <f t="array" ref="D540">IF(Settings!$E$12="YES",VLOOKUP(A540,'Player Data'!A1:E673,5,FALSE),82)</f>
        <v>81</v>
      </c>
      <c r="E540" s="55" cm="1">
        <f t="array" ref="E540">(VLOOKUP($A540,'The List'!$B1:$AH671,17,FALSE)-AVERAGE('The List'!R2:R671))/STDEV('The List'!R2:R671)</f>
        <v>0.80942941943382096</v>
      </c>
      <c r="F540" s="55" cm="1">
        <f t="array" ref="F540">(VLOOKUP($A540,'The List'!$B1:$AH671,18,FALSE)-AVERAGE('The List'!S2:S671))/STDEV('The List'!S2:S671)</f>
        <v>-1.0491608399955841</v>
      </c>
      <c r="G540" s="55" cm="1">
        <f t="array" ref="G540">(VLOOKUP($A540,'The List'!$B1:$AH671,19,FALSE)-AVERAGE('The List'!T2:T671))/STDEV('The List'!T2:T671)</f>
        <v>-0.7515787409047967</v>
      </c>
      <c r="H540" s="55" cm="1">
        <f t="array" ref="H540">(VLOOKUP($A540,'The List'!$B1:$AH671,20,FALSE)-AVERAGE('The List'!U2:U671))/STDEV('The List'!U2:U671)</f>
        <v>-0.93756108709269126</v>
      </c>
      <c r="I540" s="55" cm="1">
        <f t="array" ref="I540">(VLOOKUP($A540,'The List'!$B1:$AH671,21,FALSE)-AVERAGE('The List'!V2:V671))/STDEV('The List'!V2:V671)</f>
        <v>-0.71467453509201151</v>
      </c>
      <c r="J540" s="55" cm="1">
        <f t="array" ref="J540">(VLOOKUP($A540,'The List'!$B1:$AH671,22,FALSE)-AVERAGE('The List'!W2:W671))/STDEV('The List'!W2:W671)</f>
        <v>-0.73853908386105271</v>
      </c>
      <c r="K540" s="55" cm="1">
        <f t="array" ref="K540">(VLOOKUP($A540,'The List'!$B1:$AH671,23,FALSE)-AVERAGE('The List'!X2:X671))/STDEV('The List'!X2:X671)</f>
        <v>-0.80155300200843405</v>
      </c>
      <c r="L540" s="55" cm="1">
        <f t="array" ref="L540">(VLOOKUP($A540,'The List'!$B1:$AH671,24,FALSE)-AVERAGE('The List'!Y2:Y671))/STDEV('The List'!Y2:Y671)</f>
        <v>-0.47546929358800777</v>
      </c>
      <c r="M540" s="55" cm="1">
        <f t="array" ref="M540">(VLOOKUP($A540,'The List'!$B1:$AH671,25,FALSE)-AVERAGE('The List'!Z2:Z671))/STDEV('The List'!Z2:Z671)</f>
        <v>-0.64388478613809508</v>
      </c>
      <c r="N540" s="55" cm="1">
        <f t="array" ref="N540">(VLOOKUP($A540,'The List'!$B1:$AH671,26,FALSE)-AVERAGE('The List'!AA2:AA671))/STDEV('The List'!AA2:AA671)</f>
        <v>0.983741723729191</v>
      </c>
      <c r="O540" s="55" cm="1">
        <f t="array" ref="O540">(VLOOKUP($A540,'The List'!$B1:$AH671,27,FALSE)-AVERAGE('The List'!AB2:AB671))/STDEV('The List'!AB2:AB671)</f>
        <v>0.87124092847777324</v>
      </c>
      <c r="P540" s="55" cm="1">
        <f t="array" ref="P540">(VLOOKUP($A540,'The List'!$B1:$AH671,28,FALSE)-AVERAGE('The List'!AC2:AC671))/STDEV('The List'!AC2:AC671)</f>
        <v>0.59825480483029947</v>
      </c>
      <c r="Q540" s="55" cm="1">
        <f t="array" ref="Q540">(VLOOKUP($A540,'The List'!$B1:$AH671,29,FALSE)-AVERAGE('The List'!AD2:AD671))/STDEV('The List'!AD2:AD671)</f>
        <v>1.5162016776433147</v>
      </c>
      <c r="R540" s="55" cm="1">
        <f t="array" ref="R540">(VLOOKUP($A540,'The List'!$B1:$AH671,30,FALSE)-AVERAGE('The List'!AE2:AE671))/STDEV('The List'!AE2:AE671)</f>
        <v>-0.83922002554973252</v>
      </c>
      <c r="S540" s="55" cm="1">
        <f t="array" ref="S540">(VLOOKUP($A540,'The List'!$B1:$AH671,31,FALSE)-AVERAGE('The List'!AF2:AF671))/STDEV('The List'!AF2:AF671)</f>
        <v>-0.59581850454342256</v>
      </c>
      <c r="T540" s="55" cm="1">
        <f t="array" ref="T540">(VLOOKUP($A540,'The List'!$B1:$AH671,32,FALSE)-AVERAGE('The List'!AG2:AG671))/STDEV('The List'!AG2:AG671)</f>
        <v>-0.64684275008198677</v>
      </c>
      <c r="U540" s="55" cm="1">
        <f t="array" ref="U540">(VLOOKUP($A540,'The List'!$B1:$AH671,33,FALSE)-AVERAGE('The List'!AH2:AH671))/STDEV('The List'!AH2:AH671)</f>
        <v>-1.2552626683789523</v>
      </c>
      <c r="V540" s="55"/>
      <c r="W540" s="77"/>
      <c r="X540" s="57"/>
      <c r="Y540" s="57"/>
      <c r="Z540" s="57"/>
      <c r="AA540" s="57"/>
      <c r="AB540" s="57"/>
      <c r="AC540" s="60"/>
      <c r="AD540" s="61"/>
      <c r="AE540" s="55"/>
    </row>
    <row r="541" spans="1:31" ht="21.25" customHeight="1" x14ac:dyDescent="0.15">
      <c r="A541" s="10" t="s">
        <v>474</v>
      </c>
      <c r="B541" s="18" t="str" cm="1">
        <f t="array" ref="B541">VLOOKUP(A541,'Player Data'!A1:B673,2,FALSE)</f>
        <v>N.J</v>
      </c>
      <c r="C541" s="52" cm="1">
        <f t="array" ref="C541">((E541)*Settings!$C$12)+(F541*Settings!$C$2)+(G541*Settings!$C$3)+(H541*Settings!$C$4)+(I541*Settings!$C$5)+(K541*Settings!$C$9)+(N541*Settings!$C$6)+(J541*Settings!$C$8)+(O541*Settings!$C$7)+(P541*Settings!$C$14)+(Q541*Settings!$C$15)+(R541*Settings!$C$16)+(S541*Settings!$C$17)+(T541*Settings!$C$18)+(U541*Settings!$C$19)+(L541*Settings!$C$10)+(Settings!$C$11*M541)</f>
        <v>-4.1222328551338707</v>
      </c>
      <c r="D541" s="57" cm="1">
        <f t="array" ref="D541">IF(Settings!$E$12="YES",VLOOKUP(A541,'Player Data'!A1:E673,5,FALSE),82)</f>
        <v>78</v>
      </c>
      <c r="E541" s="55" cm="1">
        <f t="array" ref="E541">(VLOOKUP($A541,'The List'!$B1:$AH671,17,FALSE)-AVERAGE('The List'!R2:R671))/STDEV('The List'!R2:R671)</f>
        <v>0.73073308890648425</v>
      </c>
      <c r="F541" s="55" cm="1">
        <f t="array" ref="F541">(VLOOKUP($A541,'The List'!$B1:$AH671,18,FALSE)-AVERAGE('The List'!S2:S671))/STDEV('The List'!S2:S671)</f>
        <v>-1.2168146423880344</v>
      </c>
      <c r="G541" s="55" cm="1">
        <f t="array" ref="G541">(VLOOKUP($A541,'The List'!$B1:$AH671,19,FALSE)-AVERAGE('The List'!T2:T671))/STDEV('The List'!T2:T671)</f>
        <v>-0.67568338961707752</v>
      </c>
      <c r="H541" s="55" cm="1">
        <f t="array" ref="H541">(VLOOKUP($A541,'The List'!$B1:$AH671,20,FALSE)-AVERAGE('The List'!U2:U671))/STDEV('The List'!U2:U671)</f>
        <v>-0.96408541377305623</v>
      </c>
      <c r="I541" s="55" cm="1">
        <f t="array" ref="I541">(VLOOKUP($A541,'The List'!$B1:$AH671,21,FALSE)-AVERAGE('The List'!V2:V671))/STDEV('The List'!V2:V671)</f>
        <v>-1.0386231172175424</v>
      </c>
      <c r="J541" s="55" cm="1">
        <f t="array" ref="J541">(VLOOKUP($A541,'The List'!$B1:$AH671,22,FALSE)-AVERAGE('The List'!W2:W671))/STDEV('The List'!W2:W671)</f>
        <v>-0.73853908386105271</v>
      </c>
      <c r="K541" s="55" cm="1">
        <f t="array" ref="K541">(VLOOKUP($A541,'The List'!$B1:$AH671,23,FALSE)-AVERAGE('The List'!X2:X671))/STDEV('The List'!X2:X671)</f>
        <v>-0.80155300200843405</v>
      </c>
      <c r="L541" s="55" cm="1">
        <f t="array" ref="L541">(VLOOKUP($A541,'The List'!$B1:$AH671,24,FALSE)-AVERAGE('The List'!Y2:Y671))/STDEV('The List'!Y2:Y671)</f>
        <v>-0.47546929358800777</v>
      </c>
      <c r="M541" s="55" cm="1">
        <f t="array" ref="M541">(VLOOKUP($A541,'The List'!$B1:$AH671,25,FALSE)-AVERAGE('The List'!Z2:Z671))/STDEV('The List'!Z2:Z671)</f>
        <v>0.20367838942166649</v>
      </c>
      <c r="N541" s="55" cm="1">
        <f t="array" ref="N541">(VLOOKUP($A541,'The List'!$B1:$AH671,26,FALSE)-AVERAGE('The List'!AA2:AA671))/STDEV('The List'!AA2:AA671)</f>
        <v>1.6043870764796186</v>
      </c>
      <c r="O541" s="55" cm="1">
        <f t="array" ref="O541">(VLOOKUP($A541,'The List'!$B1:$AH671,27,FALSE)-AVERAGE('The List'!AB2:AB671))/STDEV('The List'!AB2:AB671)</f>
        <v>5.3956008939384167E-2</v>
      </c>
      <c r="P541" s="55" cm="1">
        <f t="array" ref="P541">(VLOOKUP($A541,'The List'!$B1:$AH671,28,FALSE)-AVERAGE('The List'!AC2:AC671))/STDEV('The List'!AC2:AC671)</f>
        <v>-0.44351471284216665</v>
      </c>
      <c r="Q541" s="55" cm="1">
        <f t="array" ref="Q541">(VLOOKUP($A541,'The List'!$B1:$AH671,29,FALSE)-AVERAGE('The List'!AD2:AD671))/STDEV('The List'!AD2:AD671)</f>
        <v>0.39242002025694184</v>
      </c>
      <c r="R541" s="55" cm="1">
        <f t="array" ref="R541">(VLOOKUP($A541,'The List'!$B1:$AH671,30,FALSE)-AVERAGE('The List'!AE2:AE671))/STDEV('The List'!AE2:AE671)</f>
        <v>-1.3444971337400937</v>
      </c>
      <c r="S541" s="55" cm="1">
        <f t="array" ref="S541">(VLOOKUP($A541,'The List'!$B1:$AH671,31,FALSE)-AVERAGE('The List'!AF2:AF671))/STDEV('The List'!AF2:AF671)</f>
        <v>-0.59581850454342256</v>
      </c>
      <c r="T541" s="55" cm="1">
        <f t="array" ref="T541">(VLOOKUP($A541,'The List'!$B1:$AH671,32,FALSE)-AVERAGE('The List'!AG2:AG671))/STDEV('The List'!AG2:AG671)</f>
        <v>-0.64684275008198677</v>
      </c>
      <c r="U541" s="55" cm="1">
        <f t="array" ref="U541">(VLOOKUP($A541,'The List'!$B1:$AH671,33,FALSE)-AVERAGE('The List'!AH2:AH671))/STDEV('The List'!AH2:AH671)</f>
        <v>-1.2552626683789523</v>
      </c>
      <c r="V541" s="55"/>
      <c r="W541" s="57"/>
      <c r="X541" s="55"/>
      <c r="Y541" s="55"/>
      <c r="Z541" s="55"/>
      <c r="AA541" s="55"/>
      <c r="AB541" s="55"/>
      <c r="AC541" s="55"/>
      <c r="AD541" s="55"/>
      <c r="AE541" s="55"/>
    </row>
    <row r="542" spans="1:31" ht="21.25" customHeight="1" x14ac:dyDescent="0.15">
      <c r="A542" s="10" t="s">
        <v>790</v>
      </c>
      <c r="B542" s="18" t="str" cm="1">
        <f t="array" ref="B542">VLOOKUP(A542,'Player Data'!A1:B673,2,FALSE)</f>
        <v>VGK</v>
      </c>
      <c r="C542" s="52" cm="1">
        <f t="array" ref="C542">((E542)*Settings!$C$12)+(F542*Settings!$C$2)+(G542*Settings!$C$3)+(H542*Settings!$C$4)+(I542*Settings!$C$5)+(K542*Settings!$C$9)+(N542*Settings!$C$6)+(J542*Settings!$C$8)+(O542*Settings!$C$7)+(P542*Settings!$C$14)+(Q542*Settings!$C$15)+(R542*Settings!$C$16)+(S542*Settings!$C$17)+(T542*Settings!$C$18)+(U542*Settings!$C$19)+(L542*Settings!$C$10)+(Settings!$C$11*M542)</f>
        <v>-4.2781138537097068</v>
      </c>
      <c r="D542" s="57" cm="1">
        <f t="array" ref="D542">IF(Settings!$E$12="YES",VLOOKUP(A542,'Player Data'!A1:E673,5,FALSE),82)</f>
        <v>54</v>
      </c>
      <c r="E542" s="55" cm="1">
        <f t="array" ref="E542">(VLOOKUP($A542,'The List'!$B1:$AH671,17,FALSE)-AVERAGE('The List'!R2:R671))/STDEV('The List'!R2:R671)</f>
        <v>-1.4465320556831864</v>
      </c>
      <c r="F542" s="55" cm="1">
        <f t="array" ref="F542">(VLOOKUP($A542,'The List'!$B1:$AH671,18,FALSE)-AVERAGE('The List'!S2:S671))/STDEV('The List'!S2:S671)</f>
        <v>-0.9413833956004376</v>
      </c>
      <c r="G542" s="55" cm="1">
        <f t="array" ref="G542">(VLOOKUP($A542,'The List'!$B1:$AH671,19,FALSE)-AVERAGE('The List'!T2:T671))/STDEV('The List'!T2:T671)</f>
        <v>-1.2069508486311125</v>
      </c>
      <c r="H542" s="55" cm="1">
        <f t="array" ref="H542">(VLOOKUP($A542,'The List'!$B1:$AH671,20,FALSE)-AVERAGE('The List'!U2:U671))/STDEV('The List'!U2:U671)</f>
        <v>-1.1762800272159755</v>
      </c>
      <c r="I542" s="55" cm="1">
        <f t="array" ref="I542">(VLOOKUP($A542,'The List'!$B1:$AH671,21,FALSE)-AVERAGE('The List'!V2:V671))/STDEV('The List'!V2:V671)</f>
        <v>-1.1298470379440921</v>
      </c>
      <c r="J542" s="55" cm="1">
        <f t="array" ref="J542">(VLOOKUP($A542,'The List'!$B1:$AH671,22,FALSE)-AVERAGE('The List'!W2:W671))/STDEV('The List'!W2:W671)</f>
        <v>-0.73853908386105271</v>
      </c>
      <c r="K542" s="55" cm="1">
        <f t="array" ref="K542">(VLOOKUP($A542,'The List'!$B1:$AH671,23,FALSE)-AVERAGE('The List'!X2:X671))/STDEV('The List'!X2:X671)</f>
        <v>-0.80155300200843405</v>
      </c>
      <c r="L542" s="55" cm="1">
        <f t="array" ref="L542">(VLOOKUP($A542,'The List'!$B1:$AH671,24,FALSE)-AVERAGE('The List'!Y2:Y671))/STDEV('The List'!Y2:Y671)</f>
        <v>-0.47546929358800777</v>
      </c>
      <c r="M542" s="55" cm="1">
        <f t="array" ref="M542">(VLOOKUP($A542,'The List'!$B1:$AH671,25,FALSE)-AVERAGE('The List'!Z2:Z671))/STDEV('The List'!Z2:Z671)</f>
        <v>-5.7110279981337032E-2</v>
      </c>
      <c r="N542" s="55" cm="1">
        <f t="array" ref="N542">(VLOOKUP($A542,'The List'!$B1:$AH671,26,FALSE)-AVERAGE('The List'!AA2:AA671))/STDEV('The List'!AA2:AA671)</f>
        <v>-1.0712839998222241</v>
      </c>
      <c r="O542" s="55" cm="1">
        <f t="array" ref="O542">(VLOOKUP($A542,'The List'!$B1:$AH671,27,FALSE)-AVERAGE('The List'!AB2:AB671))/STDEV('The List'!AB2:AB671)</f>
        <v>-0.5622362328796261</v>
      </c>
      <c r="P542" s="55" cm="1">
        <f t="array" ref="P542">(VLOOKUP($A542,'The List'!$B1:$AH671,28,FALSE)-AVERAGE('The List'!AC2:AC671))/STDEV('The List'!AC2:AC671)</f>
        <v>0.36385666335399469</v>
      </c>
      <c r="Q542" s="55" cm="1">
        <f t="array" ref="Q542">(VLOOKUP($A542,'The List'!$B1:$AH671,29,FALSE)-AVERAGE('The List'!AD2:AD671))/STDEV('The List'!AD2:AD671)</f>
        <v>-1.5359627054356504</v>
      </c>
      <c r="R542" s="55" cm="1">
        <f t="array" ref="R542">(VLOOKUP($A542,'The List'!$B1:$AH671,30,FALSE)-AVERAGE('The List'!AE2:AE671))/STDEV('The List'!AE2:AE671)</f>
        <v>-1.007645728279853</v>
      </c>
      <c r="S542" s="55" cm="1">
        <f t="array" ref="S542">(VLOOKUP($A542,'The List'!$B1:$AH671,31,FALSE)-AVERAGE('The List'!AF2:AF671))/STDEV('The List'!AF2:AF671)</f>
        <v>-0.59322233338315278</v>
      </c>
      <c r="T542" s="55" cm="1">
        <f t="array" ref="T542">(VLOOKUP($A542,'The List'!$B1:$AH671,32,FALSE)-AVERAGE('The List'!AG2:AG671))/STDEV('The List'!AG2:AG671)</f>
        <v>-0.61652870303606067</v>
      </c>
      <c r="U542" s="55" cm="1">
        <f t="array" ref="U542">(VLOOKUP($A542,'The List'!$B1:$AH671,33,FALSE)-AVERAGE('The List'!AH2:AH671))/STDEV('The List'!AH2:AH671)</f>
        <v>-0.93326809625199347</v>
      </c>
      <c r="V542" s="55"/>
      <c r="W542" s="77"/>
      <c r="X542" s="57"/>
      <c r="Y542" s="57"/>
      <c r="Z542" s="57"/>
      <c r="AA542" s="57"/>
      <c r="AB542" s="57"/>
      <c r="AC542" s="60"/>
      <c r="AD542" s="61"/>
      <c r="AE542" s="55"/>
    </row>
    <row r="543" spans="1:31" ht="21.25" customHeight="1" x14ac:dyDescent="0.15">
      <c r="A543" s="10" t="s">
        <v>776</v>
      </c>
      <c r="B543" s="18" t="str" cm="1">
        <f t="array" ref="B543">VLOOKUP(A543,'Player Data'!A1:B673,2,FALSE)</f>
        <v>DAL</v>
      </c>
      <c r="C543" s="52" cm="1">
        <f t="array" ref="C543">((E543)*Settings!$C$12)+(F543*Settings!$C$2)+(G543*Settings!$C$3)+(H543*Settings!$C$4)+(I543*Settings!$C$5)+(K543*Settings!$C$9)+(N543*Settings!$C$6)+(J543*Settings!$C$8)+(O543*Settings!$C$7)+(P543*Settings!$C$14)+(Q543*Settings!$C$15)+(R543*Settings!$C$16)+(S543*Settings!$C$17)+(T543*Settings!$C$18)+(U543*Settings!$C$19)+(L543*Settings!$C$10)+(Settings!$C$11*M543)</f>
        <v>-3.6829667851601449</v>
      </c>
      <c r="D543" s="57" cm="1">
        <f t="array" ref="D543">IF(Settings!$E$12="YES",VLOOKUP(A543,'Player Data'!A1:E673,5,FALSE),82)</f>
        <v>80</v>
      </c>
      <c r="E543" s="55" cm="1">
        <f t="array" ref="E543">(VLOOKUP($A543,'The List'!$B1:$AH671,17,FALSE)-AVERAGE('The List'!R2:R671))/STDEV('The List'!R2:R671)</f>
        <v>-1.2629072844527325</v>
      </c>
      <c r="F543" s="55" cm="1">
        <f t="array" ref="F543">(VLOOKUP($A543,'The List'!$B1:$AH671,18,FALSE)-AVERAGE('The List'!S2:S671))/STDEV('The List'!S2:S671)</f>
        <v>-0.81364716520618985</v>
      </c>
      <c r="G543" s="55" cm="1">
        <f t="array" ref="G543">(VLOOKUP($A543,'The List'!$B1:$AH671,19,FALSE)-AVERAGE('The List'!T2:T671))/STDEV('The List'!T2:T671)</f>
        <v>-0.93147883284605726</v>
      </c>
      <c r="H543" s="55" cm="1">
        <f t="array" ref="H543">(VLOOKUP($A543,'The List'!$B1:$AH671,20,FALSE)-AVERAGE('The List'!U2:U671))/STDEV('The List'!U2:U671)</f>
        <v>-0.94640252931947977</v>
      </c>
      <c r="I543" s="55" cm="1">
        <f t="array" ref="I543">(VLOOKUP($A543,'The List'!$B1:$AH671,21,FALSE)-AVERAGE('The List'!V2:V671))/STDEV('The List'!V2:V671)</f>
        <v>-1.2718660963479245</v>
      </c>
      <c r="J543" s="55" cm="1">
        <f t="array" ref="J543">(VLOOKUP($A543,'The List'!$B1:$AH671,22,FALSE)-AVERAGE('The List'!W2:W671))/STDEV('The List'!W2:W671)</f>
        <v>-0.73853908386105271</v>
      </c>
      <c r="K543" s="55" cm="1">
        <f t="array" ref="K543">(VLOOKUP($A543,'The List'!$B1:$AH671,23,FALSE)-AVERAGE('The List'!X2:X671))/STDEV('The List'!X2:X671)</f>
        <v>-0.80155300200843405</v>
      </c>
      <c r="L543" s="55" cm="1">
        <f t="array" ref="L543">(VLOOKUP($A543,'The List'!$B1:$AH671,24,FALSE)-AVERAGE('The List'!Y2:Y671))/STDEV('The List'!Y2:Y671)</f>
        <v>0.99105006976271182</v>
      </c>
      <c r="M543" s="55" cm="1">
        <f t="array" ref="M543">(VLOOKUP($A543,'The List'!$B1:$AH671,25,FALSE)-AVERAGE('The List'!Z2:Z671))/STDEV('The List'!Z2:Z671)</f>
        <v>0.22541077853858349</v>
      </c>
      <c r="N543" s="55" cm="1">
        <f t="array" ref="N543">(VLOOKUP($A543,'The List'!$B1:$AH671,26,FALSE)-AVERAGE('The List'!AA2:AA671))/STDEV('The List'!AA2:AA671)</f>
        <v>-0.60133031708115969</v>
      </c>
      <c r="O543" s="55" cm="1">
        <f t="array" ref="O543">(VLOOKUP($A543,'The List'!$B1:$AH671,27,FALSE)-AVERAGE('The List'!AB2:AB671))/STDEV('The List'!AB2:AB671)</f>
        <v>-0.80125158682539022</v>
      </c>
      <c r="P543" s="55" cm="1">
        <f t="array" ref="P543">(VLOOKUP($A543,'The List'!$B1:$AH671,28,FALSE)-AVERAGE('The List'!AC2:AC671))/STDEV('The List'!AC2:AC671)</f>
        <v>0.93682989807385086</v>
      </c>
      <c r="Q543" s="55" cm="1">
        <f t="array" ref="Q543">(VLOOKUP($A543,'The List'!$B1:$AH671,29,FALSE)-AVERAGE('The List'!AD2:AD671))/STDEV('The List'!AD2:AD671)</f>
        <v>-1.2507689383408838</v>
      </c>
      <c r="R543" s="55" cm="1">
        <f t="array" ref="R543">(VLOOKUP($A543,'The List'!$B1:$AH671,30,FALSE)-AVERAGE('The List'!AE2:AE671))/STDEV('The List'!AE2:AE671)</f>
        <v>-0.84545801453973701</v>
      </c>
      <c r="S543" s="55" cm="1">
        <f t="array" ref="S543">(VLOOKUP($A543,'The List'!$B1:$AH671,31,FALSE)-AVERAGE('The List'!AF2:AF671))/STDEV('The List'!AF2:AF671)</f>
        <v>-0.38043245272844606</v>
      </c>
      <c r="T543" s="55" cm="1">
        <f t="array" ref="T543">(VLOOKUP($A543,'The List'!$B1:$AH671,32,FALSE)-AVERAGE('The List'!AG2:AG671))/STDEV('The List'!AG2:AG671)</f>
        <v>-0.38963265393473506</v>
      </c>
      <c r="U543" s="55" cm="1">
        <f t="array" ref="U543">(VLOOKUP($A543,'The List'!$B1:$AH671,33,FALSE)-AVERAGE('The List'!AH2:AH671))/STDEV('The List'!AH2:AH671)</f>
        <v>0.90670088733062781</v>
      </c>
      <c r="V543" s="55"/>
      <c r="W543" s="57"/>
      <c r="X543" s="55"/>
      <c r="Y543" s="55"/>
      <c r="Z543" s="55"/>
      <c r="AA543" s="55"/>
      <c r="AB543" s="55"/>
      <c r="AC543" s="55"/>
      <c r="AD543" s="55"/>
      <c r="AE543" s="55"/>
    </row>
    <row r="544" spans="1:31" ht="21.25" customHeight="1" x14ac:dyDescent="0.15">
      <c r="A544" s="10" t="s">
        <v>780</v>
      </c>
      <c r="B544" s="18" t="str" cm="1">
        <f t="array" ref="B544">VLOOKUP(A544,'Player Data'!A1:B673,2,FALSE)</f>
        <v>SEA</v>
      </c>
      <c r="C544" s="52" cm="1">
        <f t="array" ref="C544">((E544)*Settings!$C$12)+(F544*Settings!$C$2)+(G544*Settings!$C$3)+(H544*Settings!$C$4)+(I544*Settings!$C$5)+(K544*Settings!$C$9)+(N544*Settings!$C$6)+(J544*Settings!$C$8)+(O544*Settings!$C$7)+(P544*Settings!$C$14)+(Q544*Settings!$C$15)+(R544*Settings!$C$16)+(S544*Settings!$C$17)+(T544*Settings!$C$18)+(U544*Settings!$C$19)+(L544*Settings!$C$10)+(Settings!$C$11*M544)</f>
        <v>-5.4349542901548968</v>
      </c>
      <c r="D544" s="57" cm="1">
        <f t="array" ref="D544">IF(Settings!$E$12="YES",VLOOKUP(A544,'Player Data'!A1:E673,5,FALSE),82)</f>
        <v>65</v>
      </c>
      <c r="E544" s="55" cm="1">
        <f t="array" ref="E544">(VLOOKUP($A544,'The List'!$B1:$AH671,17,FALSE)-AVERAGE('The List'!R2:R671))/STDEV('The List'!R2:R671)</f>
        <v>-1.682621047265199</v>
      </c>
      <c r="F544" s="55" cm="1">
        <f t="array" ref="F544">(VLOOKUP($A544,'The List'!$B1:$AH671,18,FALSE)-AVERAGE('The List'!S2:S671))/STDEV('The List'!S2:S671)</f>
        <v>-0.98329684619855018</v>
      </c>
      <c r="G544" s="55" cm="1">
        <f t="array" ref="G544">(VLOOKUP($A544,'The List'!$B1:$AH671,19,FALSE)-AVERAGE('The List'!T2:T671))/STDEV('The List'!T2:T671)</f>
        <v>-1.0228343482849787</v>
      </c>
      <c r="H544" s="55" cm="1">
        <f t="array" ref="H544">(VLOOKUP($A544,'The List'!$B1:$AH671,20,FALSE)-AVERAGE('The List'!U2:U671))/STDEV('The List'!U2:U671)</f>
        <v>-1.0790241627213042</v>
      </c>
      <c r="I544" s="55" cm="1">
        <f t="array" ref="I544">(VLOOKUP($A544,'The List'!$B1:$AH671,21,FALSE)-AVERAGE('The List'!V2:V671))/STDEV('The List'!V2:V671)</f>
        <v>-1.0161626821901721</v>
      </c>
      <c r="J544" s="55" cm="1">
        <f t="array" ref="J544">(VLOOKUP($A544,'The List'!$B1:$AH671,22,FALSE)-AVERAGE('The List'!W2:W671))/STDEV('The List'!W2:W671)</f>
        <v>-0.73853908386105271</v>
      </c>
      <c r="K544" s="55" cm="1">
        <f t="array" ref="K544">(VLOOKUP($A544,'The List'!$B1:$AH671,23,FALSE)-AVERAGE('The List'!X2:X671))/STDEV('The List'!X2:X671)</f>
        <v>-0.80155300200843405</v>
      </c>
      <c r="L544" s="55" cm="1">
        <f t="array" ref="L544">(VLOOKUP($A544,'The List'!$B1:$AH671,24,FALSE)-AVERAGE('The List'!Y2:Y671))/STDEV('The List'!Y2:Y671)</f>
        <v>-0.47546929358800777</v>
      </c>
      <c r="M544" s="55" cm="1">
        <f t="array" ref="M544">(VLOOKUP($A544,'The List'!$B1:$AH671,25,FALSE)-AVERAGE('The List'!Z2:Z671))/STDEV('The List'!Z2:Z671)</f>
        <v>6.2417860161706237E-2</v>
      </c>
      <c r="N544" s="55" cm="1">
        <f t="array" ref="N544">(VLOOKUP($A544,'The List'!$B1:$AH671,26,FALSE)-AVERAGE('The List'!AA2:AA671))/STDEV('The List'!AA2:AA671)</f>
        <v>-0.87589564803042286</v>
      </c>
      <c r="O544" s="55" cm="1">
        <f t="array" ref="O544">(VLOOKUP($A544,'The List'!$B1:$AH671,27,FALSE)-AVERAGE('The List'!AB2:AB671))/STDEV('The List'!AB2:AB671)</f>
        <v>-0.23651119221082784</v>
      </c>
      <c r="P544" s="55" cm="1">
        <f t="array" ref="P544">(VLOOKUP($A544,'The List'!$B1:$AH671,28,FALSE)-AVERAGE('The List'!AC2:AC671))/STDEV('The List'!AC2:AC671)</f>
        <v>-1.374596219261933</v>
      </c>
      <c r="Q544" s="55" cm="1">
        <f t="array" ref="Q544">(VLOOKUP($A544,'The List'!$B1:$AH671,29,FALSE)-AVERAGE('The List'!AD2:AD671))/STDEV('The List'!AD2:AD671)</f>
        <v>-1.3652897515525129</v>
      </c>
      <c r="R544" s="55" cm="1">
        <f t="array" ref="R544">(VLOOKUP($A544,'The List'!$B1:$AH671,30,FALSE)-AVERAGE('The List'!AE2:AE671))/STDEV('The List'!AE2:AE671)</f>
        <v>-0.93902784938980399</v>
      </c>
      <c r="S544" s="55" cm="1">
        <f t="array" ref="S544">(VLOOKUP($A544,'The List'!$B1:$AH671,31,FALSE)-AVERAGE('The List'!AF2:AF671))/STDEV('The List'!AF2:AF671)</f>
        <v>-0.59581850454342256</v>
      </c>
      <c r="T544" s="55" cm="1">
        <f t="array" ref="T544">(VLOOKUP($A544,'The List'!$B1:$AH671,32,FALSE)-AVERAGE('The List'!AG2:AG671))/STDEV('The List'!AG2:AG671)</f>
        <v>-0.62030520047949245</v>
      </c>
      <c r="U544" s="55" cm="1">
        <f t="array" ref="U544">(VLOOKUP($A544,'The List'!$B1:$AH671,33,FALSE)-AVERAGE('The List'!AH2:AH671))/STDEV('The List'!AH2:AH671)</f>
        <v>-0.97926732084155899</v>
      </c>
      <c r="V544" s="55"/>
      <c r="W544" s="77"/>
      <c r="X544" s="57"/>
      <c r="Y544" s="57"/>
      <c r="Z544" s="57"/>
      <c r="AA544" s="57"/>
      <c r="AB544" s="57"/>
      <c r="AC544" s="60"/>
      <c r="AD544" s="61"/>
      <c r="AE544" s="55"/>
    </row>
    <row r="545" spans="1:31" ht="21.25" customHeight="1" x14ac:dyDescent="0.15">
      <c r="A545" s="10" t="s">
        <v>781</v>
      </c>
      <c r="B545" s="18" t="str" cm="1">
        <f t="array" ref="B545">VLOOKUP(A545,'Player Data'!A1:B673,2,FALSE)</f>
        <v>NSH</v>
      </c>
      <c r="C545" s="52" cm="1">
        <f t="array" ref="C545">((E545)*Settings!$C$12)+(F545*Settings!$C$2)+(G545*Settings!$C$3)+(H545*Settings!$C$4)+(I545*Settings!$C$5)+(K545*Settings!$C$9)+(N545*Settings!$C$6)+(J545*Settings!$C$8)+(O545*Settings!$C$7)+(P545*Settings!$C$14)+(Q545*Settings!$C$15)+(R545*Settings!$C$16)+(S545*Settings!$C$17)+(T545*Settings!$C$18)+(U545*Settings!$C$19)+(L545*Settings!$C$10)+(Settings!$C$11*M545)</f>
        <v>-3.5242294259694704</v>
      </c>
      <c r="D545" s="57" cm="1">
        <f t="array" ref="D545">IF(Settings!$E$12="YES",VLOOKUP(A545,'Player Data'!A1:E673,5,FALSE),82)</f>
        <v>69</v>
      </c>
      <c r="E545" s="55" cm="1">
        <f t="array" ref="E545">(VLOOKUP($A545,'The List'!$B1:$AH671,17,FALSE)-AVERAGE('The List'!R2:R671))/STDEV('The List'!R2:R671)</f>
        <v>-1.7875494879683156</v>
      </c>
      <c r="F545" s="55" cm="1">
        <f t="array" ref="F545">(VLOOKUP($A545,'The List'!$B1:$AH671,18,FALSE)-AVERAGE('The List'!S2:S671))/STDEV('The List'!S2:S671)</f>
        <v>-0.5461994328182338</v>
      </c>
      <c r="G545" s="55" cm="1">
        <f t="array" ref="G545">(VLOOKUP($A545,'The List'!$B1:$AH671,19,FALSE)-AVERAGE('The List'!T2:T671))/STDEV('The List'!T2:T671)</f>
        <v>-1.2744133831090851</v>
      </c>
      <c r="H545" s="55" cm="1">
        <f t="array" ref="H545">(VLOOKUP($A545,'The List'!$B1:$AH671,20,FALSE)-AVERAGE('The List'!U2:U671))/STDEV('The List'!U2:U671)</f>
        <v>-1.043658393814151</v>
      </c>
      <c r="I545" s="55" cm="1">
        <f t="array" ref="I545">(VLOOKUP($A545,'The List'!$B1:$AH671,21,FALSE)-AVERAGE('The List'!V2:V671))/STDEV('The List'!V2:V671)</f>
        <v>-1.1707941387247589</v>
      </c>
      <c r="J545" s="55" cm="1">
        <f t="array" ref="J545">(VLOOKUP($A545,'The List'!$B1:$AH671,22,FALSE)-AVERAGE('The List'!W2:W671))/STDEV('The List'!W2:W671)</f>
        <v>-0.73853908386105271</v>
      </c>
      <c r="K545" s="55" cm="1">
        <f t="array" ref="K545">(VLOOKUP($A545,'The List'!$B1:$AH671,23,FALSE)-AVERAGE('The List'!X2:X671))/STDEV('The List'!X2:X671)</f>
        <v>-0.80155300200843405</v>
      </c>
      <c r="L545" s="55" cm="1">
        <f t="array" ref="L545">(VLOOKUP($A545,'The List'!$B1:$AH671,24,FALSE)-AVERAGE('The List'!Y2:Y671))/STDEV('The List'!Y2:Y671)</f>
        <v>-0.47546929358800777</v>
      </c>
      <c r="M545" s="55" cm="1">
        <f t="array" ref="M545">(VLOOKUP($A545,'The List'!$B1:$AH671,25,FALSE)-AVERAGE('The List'!Z2:Z671))/STDEV('The List'!Z2:Z671)</f>
        <v>0.1058826383955402</v>
      </c>
      <c r="N545" s="55" cm="1">
        <f t="array" ref="N545">(VLOOKUP($A545,'The List'!$B1:$AH671,26,FALSE)-AVERAGE('The List'!AA2:AA671))/STDEV('The List'!AA2:AA671)</f>
        <v>-0.56557297165520926</v>
      </c>
      <c r="O545" s="55" cm="1">
        <f t="array" ref="O545">(VLOOKUP($A545,'The List'!$B1:$AH671,27,FALSE)-AVERAGE('The List'!AB2:AB671))/STDEV('The List'!AB2:AB671)</f>
        <v>1.2721963592821588</v>
      </c>
      <c r="P545" s="55" cm="1">
        <f t="array" ref="P545">(VLOOKUP($A545,'The List'!$B1:$AH671,28,FALSE)-AVERAGE('The List'!AC2:AC671))/STDEV('The List'!AC2:AC671)</f>
        <v>-1.0034658285911171</v>
      </c>
      <c r="Q545" s="55" cm="1">
        <f t="array" ref="Q545">(VLOOKUP($A545,'The List'!$B1:$AH671,29,FALSE)-AVERAGE('The List'!AD2:AD671))/STDEV('The List'!AD2:AD671)</f>
        <v>-0.89538499540673189</v>
      </c>
      <c r="R545" s="55" cm="1">
        <f t="array" ref="R545">(VLOOKUP($A545,'The List'!$B1:$AH671,30,FALSE)-AVERAGE('The List'!AE2:AE671))/STDEV('The List'!AE2:AE671)</f>
        <v>-0.48365465311947836</v>
      </c>
      <c r="S545" s="55" cm="1">
        <f t="array" ref="S545">(VLOOKUP($A545,'The List'!$B1:$AH671,31,FALSE)-AVERAGE('The List'!AF2:AF671))/STDEV('The List'!AF2:AF671)</f>
        <v>-0.58918384491162201</v>
      </c>
      <c r="T545" s="55" cm="1">
        <f t="array" ref="T545">(VLOOKUP($A545,'The List'!$B1:$AH671,32,FALSE)-AVERAGE('The List'!AG2:AG671))/STDEV('The List'!AG2:AG671)</f>
        <v>-0.59402281962317616</v>
      </c>
      <c r="U545" s="55" cm="1">
        <f t="array" ref="U545">(VLOOKUP($A545,'The List'!$B1:$AH671,33,FALSE)-AVERAGE('The List'!AH2:AH671))/STDEV('The List'!AH2:AH671)</f>
        <v>-0.65727274871460029</v>
      </c>
      <c r="V545" s="55"/>
      <c r="W545" s="77"/>
      <c r="X545" s="57"/>
      <c r="Y545" s="57"/>
      <c r="Z545" s="57"/>
      <c r="AA545" s="57"/>
      <c r="AB545" s="57"/>
      <c r="AC545" s="60"/>
      <c r="AD545" s="61"/>
      <c r="AE545" s="55"/>
    </row>
    <row r="546" spans="1:31" ht="21.25" customHeight="1" x14ac:dyDescent="0.15">
      <c r="A546" s="10" t="s">
        <v>757</v>
      </c>
      <c r="B546" s="18" t="str" cm="1">
        <f t="array" ref="B546">VLOOKUP(A546,'Player Data'!A1:B673,2,FALSE)</f>
        <v>CBJ</v>
      </c>
      <c r="C546" s="52" cm="1">
        <f t="array" ref="C546">((E546)*Settings!$C$12)+(F546*Settings!$C$2)+(G546*Settings!$C$3)+(H546*Settings!$C$4)+(I546*Settings!$C$5)+(K546*Settings!$C$9)+(N546*Settings!$C$6)+(J546*Settings!$C$8)+(O546*Settings!$C$7)+(P546*Settings!$C$14)+(Q546*Settings!$C$15)+(R546*Settings!$C$16)+(S546*Settings!$C$17)+(T546*Settings!$C$18)+(U546*Settings!$C$19)+(L546*Settings!$C$10)+(Settings!$C$11*M546)</f>
        <v>-4.4184116384583918</v>
      </c>
      <c r="D546" s="57" cm="1">
        <f t="array" ref="D546">IF(Settings!$E$12="YES",VLOOKUP(A546,'Player Data'!A1:E673,5,FALSE),82)</f>
        <v>78</v>
      </c>
      <c r="E546" s="55" cm="1">
        <f t="array" ref="E546">(VLOOKUP($A546,'The List'!$B1:$AH671,17,FALSE)-AVERAGE('The List'!R2:R671))/STDEV('The List'!R2:R671)</f>
        <v>-1.1579788437496157</v>
      </c>
      <c r="F546" s="55" cm="1">
        <f t="array" ref="F546">(VLOOKUP($A546,'The List'!$B1:$AH671,18,FALSE)-AVERAGE('The List'!S2:S671))/STDEV('The List'!S2:S671)</f>
        <v>-0.82761831540556074</v>
      </c>
      <c r="G546" s="55" cm="1">
        <f t="array" ref="G546">(VLOOKUP($A546,'The List'!$B1:$AH671,19,FALSE)-AVERAGE('The List'!T2:T671))/STDEV('The List'!T2:T671)</f>
        <v>-0.94974993593384149</v>
      </c>
      <c r="H546" s="55" cm="1">
        <f t="array" ref="H546">(VLOOKUP($A546,'The List'!$B1:$AH671,20,FALSE)-AVERAGE('The List'!U2:U671))/STDEV('The List'!U2:U671)</f>
        <v>-0.96408541377305623</v>
      </c>
      <c r="I546" s="55" cm="1">
        <f t="array" ref="I546">(VLOOKUP($A546,'The List'!$B1:$AH671,21,FALSE)-AVERAGE('The List'!V2:V671))/STDEV('The List'!V2:V671)</f>
        <v>-1.1329569443324969</v>
      </c>
      <c r="J546" s="55" cm="1">
        <f t="array" ref="J546">(VLOOKUP($A546,'The List'!$B1:$AH671,22,FALSE)-AVERAGE('The List'!W2:W671))/STDEV('The List'!W2:W671)</f>
        <v>-0.73853908386105271</v>
      </c>
      <c r="K546" s="55" cm="1">
        <f t="array" ref="K546">(VLOOKUP($A546,'The List'!$B1:$AH671,23,FALSE)-AVERAGE('The List'!X2:X671))/STDEV('The List'!X2:X671)</f>
        <v>-0.80155300200843405</v>
      </c>
      <c r="L546" s="55" cm="1">
        <f t="array" ref="L546">(VLOOKUP($A546,'The List'!$B1:$AH671,24,FALSE)-AVERAGE('The List'!Y2:Y671))/STDEV('The List'!Y2:Y671)</f>
        <v>-0.47546929358800777</v>
      </c>
      <c r="M546" s="55" cm="1">
        <f t="array" ref="M546">(VLOOKUP($A546,'The List'!$B1:$AH671,25,FALSE)-AVERAGE('The List'!Z2:Z671))/STDEV('The List'!Z2:Z671)</f>
        <v>-0.64388478613809508</v>
      </c>
      <c r="N546" s="55" cm="1">
        <f t="array" ref="N546">(VLOOKUP($A546,'The List'!$B1:$AH671,26,FALSE)-AVERAGE('The List'!AA2:AA671))/STDEV('The List'!AA2:AA671)</f>
        <v>-0.46749568134403069</v>
      </c>
      <c r="O546" s="55" cm="1">
        <f t="array" ref="O546">(VLOOKUP($A546,'The List'!$B1:$AH671,27,FALSE)-AVERAGE('The List'!AB2:AB671))/STDEV('The List'!AB2:AB671)</f>
        <v>-0.60159382117944327</v>
      </c>
      <c r="P546" s="55" cm="1">
        <f t="array" ref="P546">(VLOOKUP($A546,'The List'!$B1:$AH671,28,FALSE)-AVERAGE('The List'!AC2:AC671))/STDEV('The List'!AC2:AC671)</f>
        <v>-0.1049396195986151</v>
      </c>
      <c r="Q546" s="55" cm="1">
        <f t="array" ref="Q546">(VLOOKUP($A546,'The List'!$B1:$AH671,29,FALSE)-AVERAGE('The List'!AD2:AD671))/STDEV('The List'!AD2:AD671)</f>
        <v>-1.5669941515962207</v>
      </c>
      <c r="R546" s="55" cm="1">
        <f t="array" ref="R546">(VLOOKUP($A546,'The List'!$B1:$AH671,30,FALSE)-AVERAGE('The List'!AE2:AE671))/STDEV('The List'!AE2:AE671)</f>
        <v>-0.85793399251974589</v>
      </c>
      <c r="S546" s="55" cm="1">
        <f t="array" ref="S546">(VLOOKUP($A546,'The List'!$B1:$AH671,31,FALSE)-AVERAGE('The List'!AF2:AF671))/STDEV('The List'!AF2:AF671)</f>
        <v>0.39418809790613046</v>
      </c>
      <c r="T546" s="55" cm="1">
        <f t="array" ref="T546">(VLOOKUP($A546,'The List'!$B1:$AH671,32,FALSE)-AVERAGE('The List'!AG2:AG671))/STDEV('The List'!AG2:AG671)</f>
        <v>0.4756955981035188</v>
      </c>
      <c r="U546" s="55" cm="1">
        <f t="array" ref="U546">(VLOOKUP($A546,'The List'!$B1:$AH671,33,FALSE)-AVERAGE('The List'!AH2:AH671))/STDEV('The List'!AH2:AH671)</f>
        <v>0.95270011192019333</v>
      </c>
      <c r="V546" s="55"/>
      <c r="W546" s="77"/>
      <c r="X546" s="57"/>
      <c r="Y546" s="57"/>
      <c r="Z546" s="57"/>
      <c r="AA546" s="57"/>
      <c r="AB546" s="57"/>
      <c r="AC546" s="60"/>
      <c r="AD546" s="61"/>
      <c r="AE546" s="55"/>
    </row>
    <row r="547" spans="1:31" ht="21.25" customHeight="1" x14ac:dyDescent="0.15">
      <c r="A547" s="10" t="s">
        <v>487</v>
      </c>
      <c r="B547" s="18" t="str" cm="1">
        <f t="array" ref="B547">VLOOKUP(A547,'Player Data'!A1:B673,2,FALSE)</f>
        <v>SEA</v>
      </c>
      <c r="C547" s="52" cm="1">
        <f t="array" ref="C547">((E547)*Settings!$C$12)+(F547*Settings!$C$2)+(G547*Settings!$C$3)+(H547*Settings!$C$4)+(I547*Settings!$C$5)+(K547*Settings!$C$9)+(N547*Settings!$C$6)+(J547*Settings!$C$8)+(O547*Settings!$C$7)+(P547*Settings!$C$14)+(Q547*Settings!$C$15)+(R547*Settings!$C$16)+(S547*Settings!$C$17)+(T547*Settings!$C$18)+(U547*Settings!$C$19)+(L547*Settings!$C$10)+(Settings!$C$11*M547)</f>
        <v>-6.2287577701819785</v>
      </c>
      <c r="D547" s="57" cm="1">
        <f t="array" ref="D547">IF(Settings!$E$12="YES",VLOOKUP(A547,'Player Data'!A1:E673,5,FALSE),82)</f>
        <v>81</v>
      </c>
      <c r="E547" s="55" cm="1">
        <f t="array" ref="E547">(VLOOKUP($A547,'The List'!$B1:$AH671,17,FALSE)-AVERAGE('The List'!R2:R671))/STDEV('The List'!R2:R671)</f>
        <v>0.44217987697291306</v>
      </c>
      <c r="F547" s="55" cm="1">
        <f t="array" ref="F547">(VLOOKUP($A547,'The List'!$B1:$AH671,18,FALSE)-AVERAGE('The List'!S2:S671))/STDEV('The List'!S2:S671)</f>
        <v>-1.129993923291944</v>
      </c>
      <c r="G547" s="55" cm="1">
        <f t="array" ref="G547">(VLOOKUP($A547,'The List'!$B1:$AH671,19,FALSE)-AVERAGE('The List'!T2:T671))/STDEV('The List'!T2:T671)</f>
        <v>-0.7515787409047967</v>
      </c>
      <c r="H547" s="55" cm="1">
        <f t="array" ref="H547">(VLOOKUP($A547,'The List'!$B1:$AH671,20,FALSE)-AVERAGE('The List'!U2:U671))/STDEV('The List'!U2:U671)</f>
        <v>-0.97336892811118403</v>
      </c>
      <c r="I547" s="55" cm="1">
        <f t="array" ref="I547">(VLOOKUP($A547,'The List'!$B1:$AH671,21,FALSE)-AVERAGE('The List'!V2:V671))/STDEV('The List'!V2:V671)</f>
        <v>-1.23247394876146</v>
      </c>
      <c r="J547" s="55" cm="1">
        <f t="array" ref="J547">(VLOOKUP($A547,'The List'!$B1:$AH671,22,FALSE)-AVERAGE('The List'!W2:W671))/STDEV('The List'!W2:W671)</f>
        <v>-0.73853908386105271</v>
      </c>
      <c r="K547" s="55" cm="1">
        <f t="array" ref="K547">(VLOOKUP($A547,'The List'!$B1:$AH671,23,FALSE)-AVERAGE('The List'!X2:X671))/STDEV('The List'!X2:X671)</f>
        <v>-0.80155300200843405</v>
      </c>
      <c r="L547" s="55" cm="1">
        <f t="array" ref="L547">(VLOOKUP($A547,'The List'!$B1:$AH671,24,FALSE)-AVERAGE('The List'!Y2:Y671))/STDEV('The List'!Y2:Y671)</f>
        <v>-0.47546929358800777</v>
      </c>
      <c r="M547" s="55" cm="1">
        <f t="array" ref="M547">(VLOOKUP($A547,'The List'!$B1:$AH671,25,FALSE)-AVERAGE('The List'!Z2:Z671))/STDEV('The List'!Z2:Z671)</f>
        <v>0.23627697309704196</v>
      </c>
      <c r="N547" s="55" cm="1">
        <f t="array" ref="N547">(VLOOKUP($A547,'The List'!$B1:$AH671,26,FALSE)-AVERAGE('The List'!AA2:AA671))/STDEV('The List'!AA2:AA671)</f>
        <v>1.5836988980546038</v>
      </c>
      <c r="O547" s="55" cm="1">
        <f t="array" ref="O547">(VLOOKUP($A547,'The List'!$B1:$AH671,27,FALSE)-AVERAGE('The List'!AB2:AB671))/STDEV('The List'!AB2:AB671)</f>
        <v>-0.27443386843721396</v>
      </c>
      <c r="P547" s="55" cm="1">
        <f t="array" ref="P547">(VLOOKUP($A547,'The List'!$B1:$AH671,28,FALSE)-AVERAGE('The List'!AC2:AC671))/STDEV('The List'!AC2:AC671)</f>
        <v>-2.0387242867781299</v>
      </c>
      <c r="Q547" s="55" cm="1">
        <f t="array" ref="Q547">(VLOOKUP($A547,'The List'!$B1:$AH671,29,FALSE)-AVERAGE('The List'!AD2:AD671))/STDEV('The List'!AD2:AD671)</f>
        <v>0.9177380731180278</v>
      </c>
      <c r="R547" s="55" cm="1">
        <f t="array" ref="R547">(VLOOKUP($A547,'The List'!$B1:$AH671,30,FALSE)-AVERAGE('The List'!AE2:AE671))/STDEV('The List'!AE2:AE671)</f>
        <v>-1.3444971337400937</v>
      </c>
      <c r="S547" s="55" cm="1">
        <f t="array" ref="S547">(VLOOKUP($A547,'The List'!$B1:$AH671,31,FALSE)-AVERAGE('The List'!AF2:AF671))/STDEV('The List'!AF2:AF671)</f>
        <v>-0.59581850454342256</v>
      </c>
      <c r="T547" s="55" cm="1">
        <f t="array" ref="T547">(VLOOKUP($A547,'The List'!$B1:$AH671,32,FALSE)-AVERAGE('The List'!AG2:AG671))/STDEV('The List'!AG2:AG671)</f>
        <v>-0.64270901639390587</v>
      </c>
      <c r="U547" s="55" cm="1">
        <f t="array" ref="U547">(VLOOKUP($A547,'The List'!$B1:$AH671,33,FALSE)-AVERAGE('The List'!AH2:AH671))/STDEV('The List'!AH2:AH671)</f>
        <v>-1.2552626683789523</v>
      </c>
      <c r="V547" s="55"/>
      <c r="W547" s="57"/>
      <c r="X547" s="55"/>
      <c r="Y547" s="55"/>
      <c r="Z547" s="55"/>
      <c r="AA547" s="55"/>
      <c r="AB547" s="55"/>
      <c r="AC547" s="55"/>
      <c r="AD547" s="55"/>
      <c r="AE547" s="55"/>
    </row>
    <row r="548" spans="1:31" ht="21.25" customHeight="1" x14ac:dyDescent="0.15">
      <c r="A548" s="10" t="s">
        <v>769</v>
      </c>
      <c r="B548" s="18" t="str" cm="1">
        <f t="array" ref="B548">VLOOKUP(A548,'Player Data'!A1:B673,2,FALSE)</f>
        <v>DAL</v>
      </c>
      <c r="C548" s="52" cm="1">
        <f t="array" ref="C548">((E548)*Settings!$C$12)+(F548*Settings!$C$2)+(G548*Settings!$C$3)+(H548*Settings!$C$4)+(I548*Settings!$C$5)+(K548*Settings!$C$9)+(N548*Settings!$C$6)+(J548*Settings!$C$8)+(O548*Settings!$C$7)+(P548*Settings!$C$14)+(Q548*Settings!$C$15)+(R548*Settings!$C$16)+(S548*Settings!$C$17)+(T548*Settings!$C$18)+(U548*Settings!$C$19)+(L548*Settings!$C$10)+(Settings!$C$11*M548)</f>
        <v>-2.3143111037597985</v>
      </c>
      <c r="D548" s="57" cm="1">
        <f t="array" ref="D548">IF(Settings!$E$12="YES",VLOOKUP(A548,'Player Data'!A1:E673,5,FALSE),82)</f>
        <v>75</v>
      </c>
      <c r="E548" s="55" cm="1">
        <f t="array" ref="E548">(VLOOKUP($A548,'The List'!$B1:$AH671,17,FALSE)-AVERAGE('The List'!R2:R671))/STDEV('The List'!R2:R671)</f>
        <v>-1.3940678353316283</v>
      </c>
      <c r="F548" s="55" cm="1">
        <f t="array" ref="F548">(VLOOKUP($A548,'The List'!$B1:$AH671,18,FALSE)-AVERAGE('The List'!S2:S671))/STDEV('The List'!S2:S671)</f>
        <v>-0.92342048820124656</v>
      </c>
      <c r="G548" s="55" cm="1">
        <f t="array" ref="G548">(VLOOKUP($A548,'The List'!$B1:$AH671,19,FALSE)-AVERAGE('The List'!T2:T671))/STDEV('The List'!T2:T671)</f>
        <v>-0.97715659056551796</v>
      </c>
      <c r="H548" s="55" cm="1">
        <f t="array" ref="H548">(VLOOKUP($A548,'The List'!$B1:$AH671,20,FALSE)-AVERAGE('The List'!U2:U671))/STDEV('The List'!U2:U671)</f>
        <v>-1.0237651488038773</v>
      </c>
      <c r="I548" s="55" cm="1">
        <f t="array" ref="I548">(VLOOKUP($A548,'The List'!$B1:$AH671,21,FALSE)-AVERAGE('The List'!V2:V671))/STDEV('The List'!V2:V671)</f>
        <v>-0.96605863482142351</v>
      </c>
      <c r="J548" s="55" cm="1">
        <f t="array" ref="J548">(VLOOKUP($A548,'The List'!$B1:$AH671,22,FALSE)-AVERAGE('The List'!W2:W671))/STDEV('The List'!W2:W671)</f>
        <v>-0.73853908386105271</v>
      </c>
      <c r="K548" s="55" cm="1">
        <f t="array" ref="K548">(VLOOKUP($A548,'The List'!$B1:$AH671,23,FALSE)-AVERAGE('The List'!X2:X671))/STDEV('The List'!X2:X671)</f>
        <v>-0.80155300200843405</v>
      </c>
      <c r="L548" s="55" cm="1">
        <f t="array" ref="L548">(VLOOKUP($A548,'The List'!$B1:$AH671,24,FALSE)-AVERAGE('The List'!Y2:Y671))/STDEV('The List'!Y2:Y671)</f>
        <v>0.89939260955329181</v>
      </c>
      <c r="M548" s="55" cm="1">
        <f t="array" ref="M548">(VLOOKUP($A548,'The List'!$B1:$AH671,25,FALSE)-AVERAGE('The List'!Z2:Z671))/STDEV('The List'!Z2:Z671)</f>
        <v>0.17107980574629103</v>
      </c>
      <c r="N548" s="55" cm="1">
        <f t="array" ref="N548">(VLOOKUP($A548,'The List'!$B1:$AH671,26,FALSE)-AVERAGE('The List'!AA2:AA671))/STDEV('The List'!AA2:AA671)</f>
        <v>-0.70349416115530417</v>
      </c>
      <c r="O548" s="55" cm="1">
        <f t="array" ref="O548">(VLOOKUP($A548,'The List'!$B1:$AH671,27,FALSE)-AVERAGE('The List'!AB2:AB671))/STDEV('The List'!AB2:AB671)</f>
        <v>0.64493479575382473</v>
      </c>
      <c r="P548" s="55" cm="1">
        <f t="array" ref="P548">(VLOOKUP($A548,'The List'!$B1:$AH671,28,FALSE)-AVERAGE('The List'!AC2:AC671))/STDEV('The List'!AC2:AC671)</f>
        <v>0.70894281608299892</v>
      </c>
      <c r="Q548" s="55" cm="1">
        <f t="array" ref="Q548">(VLOOKUP($A548,'The List'!$B1:$AH671,29,FALSE)-AVERAGE('The List'!AD2:AD671))/STDEV('The List'!AD2:AD671)</f>
        <v>-0.65599955359661677</v>
      </c>
      <c r="R548" s="55" cm="1">
        <f t="array" ref="R548">(VLOOKUP($A548,'The List'!$B1:$AH671,30,FALSE)-AVERAGE('The List'!AE2:AE671))/STDEV('The List'!AE2:AE671)</f>
        <v>-0.87664795948975927</v>
      </c>
      <c r="S548" s="55" cm="1">
        <f t="array" ref="S548">(VLOOKUP($A548,'The List'!$B1:$AH671,31,FALSE)-AVERAGE('The List'!AF2:AF671))/STDEV('The List'!AF2:AF671)</f>
        <v>2.7983732576961535E-2</v>
      </c>
      <c r="T548" s="55" cm="1">
        <f t="array" ref="T548">(VLOOKUP($A548,'The List'!$B1:$AH671,32,FALSE)-AVERAGE('The List'!AG2:AG671))/STDEV('The List'!AG2:AG671)</f>
        <v>0.13780114441483765</v>
      </c>
      <c r="U548" s="55" cm="1">
        <f t="array" ref="U548">(VLOOKUP($A548,'The List'!$B1:$AH671,33,FALSE)-AVERAGE('The List'!AH2:AH671))/STDEV('The List'!AH2:AH671)</f>
        <v>0.86070166274106241</v>
      </c>
      <c r="V548" s="55"/>
      <c r="W548" s="57"/>
      <c r="X548" s="55"/>
      <c r="Y548" s="55"/>
      <c r="Z548" s="55"/>
      <c r="AA548" s="55"/>
      <c r="AB548" s="55"/>
      <c r="AC548" s="55"/>
      <c r="AD548" s="55"/>
      <c r="AE548" s="55"/>
    </row>
    <row r="549" spans="1:31" ht="21.25" customHeight="1" x14ac:dyDescent="0.15">
      <c r="A549" s="10" t="s">
        <v>453</v>
      </c>
      <c r="B549" s="18" t="str" cm="1">
        <f t="array" ref="B549">VLOOKUP(A549,'Player Data'!A1:B673,2,FALSE)</f>
        <v>EDM</v>
      </c>
      <c r="C549" s="52" cm="1">
        <f t="array" ref="C549">((E549)*Settings!$C$12)+(F549*Settings!$C$2)+(G549*Settings!$C$3)+(H549*Settings!$C$4)+(I549*Settings!$C$5)+(K549*Settings!$C$9)+(N549*Settings!$C$6)+(J549*Settings!$C$8)+(O549*Settings!$C$7)+(P549*Settings!$C$14)+(Q549*Settings!$C$15)+(R549*Settings!$C$16)+(S549*Settings!$C$17)+(T549*Settings!$C$18)+(U549*Settings!$C$19)+(L549*Settings!$C$10)+(Settings!$C$11*M549)</f>
        <v>-2.0048193332843347</v>
      </c>
      <c r="D549" s="57" cm="1">
        <f t="array" ref="D549">IF(Settings!$E$12="YES",VLOOKUP(A549,'Player Data'!A1:E673,5,FALSE),82)</f>
        <v>78</v>
      </c>
      <c r="E549" s="55" cm="1">
        <f t="array" ref="E549">(VLOOKUP($A549,'The List'!$B1:$AH671,17,FALSE)-AVERAGE('The List'!R2:R671))/STDEV('The List'!R2:R671)</f>
        <v>0.62580464820336701</v>
      </c>
      <c r="F549" s="55" cm="1">
        <f t="array" ref="F549">(VLOOKUP($A549,'The List'!$B1:$AH671,18,FALSE)-AVERAGE('The List'!S2:S671))/STDEV('The List'!S2:S671)</f>
        <v>-1.1389753769915396</v>
      </c>
      <c r="G549" s="55" cm="1">
        <f t="array" ref="G549">(VLOOKUP($A549,'The List'!$B1:$AH671,19,FALSE)-AVERAGE('The List'!T2:T671))/STDEV('The List'!T2:T671)</f>
        <v>-0.67568338961707752</v>
      </c>
      <c r="H549" s="55" cm="1">
        <f t="array" ref="H549">(VLOOKUP($A549,'The List'!$B1:$AH671,20,FALSE)-AVERAGE('The List'!U2:U671))/STDEV('The List'!U2:U671)</f>
        <v>-0.92960378908858199</v>
      </c>
      <c r="I549" s="55" cm="1">
        <f t="array" ref="I549">(VLOOKUP($A549,'The List'!$B1:$AH671,21,FALSE)-AVERAGE('The List'!V2:V671))/STDEV('The List'!V2:V671)</f>
        <v>-0.89038424603689947</v>
      </c>
      <c r="J549" s="55" cm="1">
        <f t="array" ref="J549">(VLOOKUP($A549,'The List'!$B1:$AH671,22,FALSE)-AVERAGE('The List'!W2:W671))/STDEV('The List'!W2:W671)</f>
        <v>-0.73853908386105271</v>
      </c>
      <c r="K549" s="55" cm="1">
        <f t="array" ref="K549">(VLOOKUP($A549,'The List'!$B1:$AH671,23,FALSE)-AVERAGE('The List'!X2:X671))/STDEV('The List'!X2:X671)</f>
        <v>-0.80155300200843405</v>
      </c>
      <c r="L549" s="55" cm="1">
        <f t="array" ref="L549">(VLOOKUP($A549,'The List'!$B1:$AH671,24,FALSE)-AVERAGE('The List'!Y2:Y671))/STDEV('The List'!Y2:Y671)</f>
        <v>-0.47546929358800777</v>
      </c>
      <c r="M549" s="55" cm="1">
        <f t="array" ref="M549">(VLOOKUP($A549,'The List'!$B1:$AH671,25,FALSE)-AVERAGE('The List'!Z2:Z671))/STDEV('The List'!Z2:Z671)</f>
        <v>0.20367838942166649</v>
      </c>
      <c r="N549" s="55" cm="1">
        <f t="array" ref="N549">(VLOOKUP($A549,'The List'!$B1:$AH671,26,FALSE)-AVERAGE('The List'!AA2:AA671))/STDEV('The List'!AA2:AA671)</f>
        <v>2.2618114130967371</v>
      </c>
      <c r="O549" s="55" cm="1">
        <f t="array" ref="O549">(VLOOKUP($A549,'The List'!$B1:$AH671,27,FALSE)-AVERAGE('The List'!AB2:AB671))/STDEV('The List'!AB2:AB671)</f>
        <v>0.42170347461580027</v>
      </c>
      <c r="P549" s="55" cm="1">
        <f t="array" ref="P549">(VLOOKUP($A549,'The List'!$B1:$AH671,28,FALSE)-AVERAGE('The List'!AC2:AC671))/STDEV('The List'!AC2:AC671)</f>
        <v>1.0800732067538152</v>
      </c>
      <c r="Q549" s="55" cm="1">
        <f t="array" ref="Q549">(VLOOKUP($A549,'The List'!$B1:$AH671,29,FALSE)-AVERAGE('The List'!AD2:AD671))/STDEV('The List'!AD2:AD671)</f>
        <v>2.1213148777744388</v>
      </c>
      <c r="R549" s="55" cm="1">
        <f t="array" ref="R549">(VLOOKUP($A549,'The List'!$B1:$AH671,30,FALSE)-AVERAGE('The List'!AE2:AE671))/STDEV('The List'!AE2:AE671)</f>
        <v>-1.3444971337400937</v>
      </c>
      <c r="S549" s="55" cm="1">
        <f t="array" ref="S549">(VLOOKUP($A549,'The List'!$B1:$AH671,31,FALSE)-AVERAGE('The List'!AF2:AF671))/STDEV('The List'!AF2:AF671)</f>
        <v>-0.59581850454342256</v>
      </c>
      <c r="T549" s="55" cm="1">
        <f t="array" ref="T549">(VLOOKUP($A549,'The List'!$B1:$AH671,32,FALSE)-AVERAGE('The List'!AG2:AG671))/STDEV('The List'!AG2:AG671)</f>
        <v>-0.64684275008198677</v>
      </c>
      <c r="U549" s="55" cm="1">
        <f t="array" ref="U549">(VLOOKUP($A549,'The List'!$B1:$AH671,33,FALSE)-AVERAGE('The List'!AH2:AH671))/STDEV('The List'!AH2:AH671)</f>
        <v>-1.2552626683789523</v>
      </c>
      <c r="V549" s="55"/>
      <c r="W549" s="77"/>
      <c r="X549" s="57"/>
      <c r="Y549" s="57"/>
      <c r="Z549" s="57"/>
      <c r="AA549" s="57"/>
      <c r="AB549" s="57"/>
      <c r="AC549" s="60"/>
      <c r="AD549" s="61"/>
      <c r="AE549" s="55"/>
    </row>
    <row r="550" spans="1:31" ht="21.25" customHeight="1" x14ac:dyDescent="0.15">
      <c r="A550" s="10" t="s">
        <v>789</v>
      </c>
      <c r="B550" s="18" t="str" cm="1">
        <f t="array" ref="B550">VLOOKUP(A550,'Player Data'!A1:B673,2,FALSE)</f>
        <v>NYR</v>
      </c>
      <c r="C550" s="52" cm="1">
        <f t="array" ref="C550">((E550)*Settings!$C$12)+(F550*Settings!$C$2)+(G550*Settings!$C$3)+(H550*Settings!$C$4)+(I550*Settings!$C$5)+(K550*Settings!$C$9)+(N550*Settings!$C$6)+(J550*Settings!$C$8)+(O550*Settings!$C$7)+(P550*Settings!$C$14)+(Q550*Settings!$C$15)+(R550*Settings!$C$16)+(S550*Settings!$C$17)+(T550*Settings!$C$18)+(U550*Settings!$C$19)+(L550*Settings!$C$10)+(Settings!$C$11*M550)</f>
        <v>-3.70261586159394</v>
      </c>
      <c r="D550" s="57" cm="1">
        <f t="array" ref="D550">IF(Settings!$E$12="YES",VLOOKUP(A550,'Player Data'!A1:E673,5,FALSE),82)</f>
        <v>62</v>
      </c>
      <c r="E550" s="55" cm="1">
        <f t="array" ref="E550">(VLOOKUP($A550,'The List'!$B1:$AH671,17,FALSE)-AVERAGE('The List'!R2:R671))/STDEV('The List'!R2:R671)</f>
        <v>-1.9974063693745492</v>
      </c>
      <c r="F550" s="55" cm="1">
        <f t="array" ref="F550">(VLOOKUP($A550,'The List'!$B1:$AH671,18,FALSE)-AVERAGE('The List'!S2:S671))/STDEV('The List'!S2:S671)</f>
        <v>-0.75377080720888634</v>
      </c>
      <c r="G550" s="55" cm="1">
        <f t="array" ref="G550">(VLOOKUP($A550,'The List'!$B1:$AH671,19,FALSE)-AVERAGE('The List'!T2:T671))/STDEV('The List'!T2:T671)</f>
        <v>-1.2701969747042119</v>
      </c>
      <c r="H550" s="55" cm="1">
        <f t="array" ref="H550">(VLOOKUP($A550,'The List'!$B1:$AH671,20,FALSE)-AVERAGE('The List'!U2:U671))/STDEV('The List'!U2:U671)</f>
        <v>-1.1329569603047127</v>
      </c>
      <c r="I550" s="55" cm="1">
        <f t="array" ref="I550">(VLOOKUP($A550,'The List'!$B1:$AH671,21,FALSE)-AVERAGE('The List'!V2:V671))/STDEV('The List'!V2:V671)</f>
        <v>-1.3164414212483979</v>
      </c>
      <c r="J550" s="55" cm="1">
        <f t="array" ref="J550">(VLOOKUP($A550,'The List'!$B1:$AH671,22,FALSE)-AVERAGE('The List'!W2:W671))/STDEV('The List'!W2:W671)</f>
        <v>-0.73853908386105271</v>
      </c>
      <c r="K550" s="55" cm="1">
        <f t="array" ref="K550">(VLOOKUP($A550,'The List'!$B1:$AH671,23,FALSE)-AVERAGE('The List'!X2:X671))/STDEV('The List'!X2:X671)</f>
        <v>-0.80155300200843405</v>
      </c>
      <c r="L550" s="55" cm="1">
        <f t="array" ref="L550">(VLOOKUP($A550,'The List'!$B1:$AH671,24,FALSE)-AVERAGE('The List'!Y2:Y671))/STDEV('The List'!Y2:Y671)</f>
        <v>-0.47546929358800777</v>
      </c>
      <c r="M550" s="55" cm="1">
        <f t="array" ref="M550">(VLOOKUP($A550,'The List'!$B1:$AH671,25,FALSE)-AVERAGE('The List'!Z2:Z671))/STDEV('The List'!Z2:Z671)</f>
        <v>-0.64388478613809508</v>
      </c>
      <c r="N550" s="55" cm="1">
        <f t="array" ref="N550">(VLOOKUP($A550,'The List'!$B1:$AH671,26,FALSE)-AVERAGE('The List'!AA2:AA671))/STDEV('The List'!AA2:AA671)</f>
        <v>-0.83119896624798473</v>
      </c>
      <c r="O550" s="55" cm="1">
        <f t="array" ref="O550">(VLOOKUP($A550,'The List'!$B1:$AH671,27,FALSE)-AVERAGE('The List'!AB2:AB671))/STDEV('The List'!AB2:AB671)</f>
        <v>0.5442859631746052</v>
      </c>
      <c r="P550" s="55" cm="1">
        <f t="array" ref="P550">(VLOOKUP($A550,'The List'!$B1:$AH671,28,FALSE)-AVERAGE('The List'!AC2:AC671))/STDEV('The List'!AC2:AC671)</f>
        <v>-0.1049396195986151</v>
      </c>
      <c r="Q550" s="55" cm="1">
        <f t="array" ref="Q550">(VLOOKUP($A550,'The List'!$B1:$AH671,29,FALSE)-AVERAGE('The List'!AD2:AD671))/STDEV('The List'!AD2:AD671)</f>
        <v>-1.1369869690854586</v>
      </c>
      <c r="R550" s="55" cm="1">
        <f t="array" ref="R550">(VLOOKUP($A550,'The List'!$B1:$AH671,30,FALSE)-AVERAGE('The List'!AE2:AE671))/STDEV('The List'!AE2:AE671)</f>
        <v>-0.5709864989795409</v>
      </c>
      <c r="S550" s="55" cm="1">
        <f t="array" ref="S550">(VLOOKUP($A550,'The List'!$B1:$AH671,31,FALSE)-AVERAGE('The List'!AF2:AF671))/STDEV('The List'!AF2:AF671)</f>
        <v>-0.59581850454342256</v>
      </c>
      <c r="T550" s="55" cm="1">
        <f t="array" ref="T550">(VLOOKUP($A550,'The List'!$B1:$AH671,32,FALSE)-AVERAGE('The List'!AG2:AG671))/STDEV('The List'!AG2:AG671)</f>
        <v>-0.60254545574551555</v>
      </c>
      <c r="U550" s="55" cm="1">
        <f t="array" ref="U550">(VLOOKUP($A550,'The List'!$B1:$AH671,33,FALSE)-AVERAGE('The List'!AH2:AH671))/STDEV('The List'!AH2:AH671)</f>
        <v>-1.2552626683789523</v>
      </c>
      <c r="V550" s="55"/>
      <c r="W550" s="77"/>
      <c r="X550" s="57"/>
      <c r="Y550" s="57"/>
      <c r="Z550" s="57"/>
      <c r="AA550" s="57"/>
      <c r="AB550" s="57"/>
      <c r="AC550" s="60"/>
      <c r="AD550" s="61"/>
      <c r="AE550" s="55"/>
    </row>
    <row r="551" spans="1:31" ht="21.25" customHeight="1" x14ac:dyDescent="0.15">
      <c r="A551" s="10" t="s">
        <v>483</v>
      </c>
      <c r="B551" s="18" t="str" cm="1">
        <f t="array" ref="B551">VLOOKUP(A551,'Player Data'!A1:B673,2,FALSE)</f>
        <v>L.A</v>
      </c>
      <c r="C551" s="52" cm="1">
        <f t="array" ref="C551">((E551)*Settings!$C$12)+(F551*Settings!$C$2)+(G551*Settings!$C$3)+(H551*Settings!$C$4)+(I551*Settings!$C$5)+(K551*Settings!$C$9)+(N551*Settings!$C$6)+(J551*Settings!$C$8)+(O551*Settings!$C$7)+(P551*Settings!$C$14)+(Q551*Settings!$C$15)+(R551*Settings!$C$16)+(S551*Settings!$C$17)+(T551*Settings!$C$18)+(U551*Settings!$C$19)+(L551*Settings!$C$10)+(Settings!$C$11*M551)</f>
        <v>-4.8734092076288729</v>
      </c>
      <c r="D551" s="57" cm="1">
        <f t="array" ref="D551">IF(Settings!$E$12="YES",VLOOKUP(A551,'Player Data'!A1:E673,5,FALSE),82)</f>
        <v>84</v>
      </c>
      <c r="E551" s="55" cm="1">
        <f t="array" ref="E551">(VLOOKUP($A551,'The List'!$B1:$AH671,17,FALSE)-AVERAGE('The List'!R2:R671))/STDEV('The List'!R2:R671)</f>
        <v>0.2323229955666796</v>
      </c>
      <c r="F551" s="55" cm="1">
        <f t="array" ref="F551">(VLOOKUP($A551,'The List'!$B1:$AH671,18,FALSE)-AVERAGE('The List'!S2:S671))/STDEV('The List'!S2:S671)</f>
        <v>-1.1210124695923487</v>
      </c>
      <c r="G551" s="55" cm="1">
        <f t="array" ref="G551">(VLOOKUP($A551,'The List'!$B1:$AH671,19,FALSE)-AVERAGE('The List'!T2:T671))/STDEV('The List'!T2:T671)</f>
        <v>-0.71784747366581048</v>
      </c>
      <c r="H551" s="55" cm="1">
        <f t="array" ref="H551">(VLOOKUP($A551,'The List'!$B1:$AH671,20,FALSE)-AVERAGE('The List'!U2:U671))/STDEV('The List'!U2:U671)</f>
        <v>-0.94817081776483736</v>
      </c>
      <c r="I551" s="55" cm="1">
        <f t="array" ref="I551">(VLOOKUP($A551,'The List'!$B1:$AH671,21,FALSE)-AVERAGE('The List'!V2:V671))/STDEV('The List'!V2:V671)</f>
        <v>-1.0520993782339645</v>
      </c>
      <c r="J551" s="55" cm="1">
        <f t="array" ref="J551">(VLOOKUP($A551,'The List'!$B1:$AH671,22,FALSE)-AVERAGE('The List'!W2:W671))/STDEV('The List'!W2:W671)</f>
        <v>-0.73853908386105271</v>
      </c>
      <c r="K551" s="55" cm="1">
        <f t="array" ref="K551">(VLOOKUP($A551,'The List'!$B1:$AH671,23,FALSE)-AVERAGE('The List'!X2:X671))/STDEV('The List'!X2:X671)</f>
        <v>-0.80155300200843405</v>
      </c>
      <c r="L551" s="55" cm="1">
        <f t="array" ref="L551">(VLOOKUP($A551,'The List'!$B1:$AH671,24,FALSE)-AVERAGE('The List'!Y2:Y671))/STDEV('The List'!Y2:Y671)</f>
        <v>-0.47546929358800777</v>
      </c>
      <c r="M551" s="55" cm="1">
        <f t="array" ref="M551">(VLOOKUP($A551,'The List'!$B1:$AH671,25,FALSE)-AVERAGE('The List'!Z2:Z671))/STDEV('The List'!Z2:Z671)</f>
        <v>0.26887555677241731</v>
      </c>
      <c r="N551" s="55" cm="1">
        <f t="array" ref="N551">(VLOOKUP($A551,'The List'!$B1:$AH671,26,FALSE)-AVERAGE('The List'!AA2:AA671))/STDEV('The List'!AA2:AA671)</f>
        <v>1.4021026652128121</v>
      </c>
      <c r="O551" s="55" cm="1">
        <f t="array" ref="O551">(VLOOKUP($A551,'The List'!$B1:$AH671,27,FALSE)-AVERAGE('The List'!AB2:AB671))/STDEV('The List'!AB2:AB671)</f>
        <v>-0.52902826775165568</v>
      </c>
      <c r="P551" s="55" cm="1">
        <f t="array" ref="P551">(VLOOKUP($A551,'The List'!$B1:$AH671,28,FALSE)-AVERAGE('The List'!AC2:AC671))/STDEV('The List'!AC2:AC671)</f>
        <v>-0.65186861637665983</v>
      </c>
      <c r="Q551" s="55" cm="1">
        <f t="array" ref="Q551">(VLOOKUP($A551,'The List'!$B1:$AH671,29,FALSE)-AVERAGE('The List'!AD2:AD671))/STDEV('The List'!AD2:AD671)</f>
        <v>-0.88430233606367081</v>
      </c>
      <c r="R551" s="55" cm="1">
        <f t="array" ref="R551">(VLOOKUP($A551,'The List'!$B1:$AH671,30,FALSE)-AVERAGE('The List'!AE2:AE671))/STDEV('The List'!AE2:AE671)</f>
        <v>-1.3444971337400937</v>
      </c>
      <c r="S551" s="55" cm="1">
        <f t="array" ref="S551">(VLOOKUP($A551,'The List'!$B1:$AH671,31,FALSE)-AVERAGE('The List'!AF2:AF671))/STDEV('The List'!AF2:AF671)</f>
        <v>-0.59581850454342256</v>
      </c>
      <c r="T551" s="55" cm="1">
        <f t="array" ref="T551">(VLOOKUP($A551,'The List'!$B1:$AH671,32,FALSE)-AVERAGE('The List'!AG2:AG671))/STDEV('The List'!AG2:AG671)</f>
        <v>-0.64684275008198677</v>
      </c>
      <c r="U551" s="55" cm="1">
        <f t="array" ref="U551">(VLOOKUP($A551,'The List'!$B1:$AH671,33,FALSE)-AVERAGE('The List'!AH2:AH671))/STDEV('The List'!AH2:AH671)</f>
        <v>-1.2552626683789523</v>
      </c>
      <c r="V551" s="55"/>
      <c r="W551" s="57"/>
      <c r="X551" s="55"/>
      <c r="Y551" s="55"/>
      <c r="Z551" s="55"/>
      <c r="AA551" s="55"/>
      <c r="AB551" s="55"/>
      <c r="AC551" s="55"/>
      <c r="AD551" s="55"/>
      <c r="AE551" s="55"/>
    </row>
    <row r="552" spans="1:31" ht="21.25" customHeight="1" x14ac:dyDescent="0.15">
      <c r="A552" s="10" t="s">
        <v>721</v>
      </c>
      <c r="B552" s="18" t="str" cm="1">
        <f t="array" ref="B552">VLOOKUP(A552,'Player Data'!A1:B673,2,FALSE)</f>
        <v>N.J</v>
      </c>
      <c r="C552" s="52" cm="1">
        <f t="array" ref="C552">((E552)*Settings!$C$12)+(F552*Settings!$C$2)+(G552*Settings!$C$3)+(H552*Settings!$C$4)+(I552*Settings!$C$5)+(K552*Settings!$C$9)+(N552*Settings!$C$6)+(J552*Settings!$C$8)+(O552*Settings!$C$7)+(P552*Settings!$C$14)+(Q552*Settings!$C$15)+(R552*Settings!$C$16)+(S552*Settings!$C$17)+(T552*Settings!$C$18)+(U552*Settings!$C$19)+(L552*Settings!$C$10)+(Settings!$C$11*M552)</f>
        <v>-2.6199986135741415</v>
      </c>
      <c r="D552" s="57" cm="1">
        <f t="array" ref="D552">IF(Settings!$E$12="YES",VLOOKUP(A552,'Player Data'!A1:E673,5,FALSE),82)</f>
        <v>78</v>
      </c>
      <c r="E552" s="55" cm="1">
        <f t="array" ref="E552">(VLOOKUP($A552,'The List'!$B1:$AH671,17,FALSE)-AVERAGE('The List'!R2:R671))/STDEV('The List'!R2:R671)</f>
        <v>-1.551460496386303</v>
      </c>
      <c r="F552" s="55" cm="1">
        <f t="array" ref="F552">(VLOOKUP($A552,'The List'!$B1:$AH671,18,FALSE)-AVERAGE('The List'!S2:S671))/STDEV('The List'!S2:S671)</f>
        <v>-0.67193978461257142</v>
      </c>
      <c r="G552" s="55" cm="1">
        <f t="array" ref="G552">(VLOOKUP($A552,'The List'!$B1:$AH671,19,FALSE)-AVERAGE('The List'!T2:T671))/STDEV('The List'!T2:T671)</f>
        <v>-1.1141898637239001</v>
      </c>
      <c r="H552" s="55" cm="1">
        <f t="array" ref="H552">(VLOOKUP($A552,'The List'!$B1:$AH671,20,FALSE)-AVERAGE('The List'!U2:U671))/STDEV('The List'!U2:U671)</f>
        <v>-0.9985670384575307</v>
      </c>
      <c r="I552" s="55" cm="1">
        <f t="array" ref="I552">(VLOOKUP($A552,'The List'!$B1:$AH671,21,FALSE)-AVERAGE('The List'!V2:V671))/STDEV('The List'!V2:V671)</f>
        <v>-0.49957267656065885</v>
      </c>
      <c r="J552" s="55" cm="1">
        <f t="array" ref="J552">(VLOOKUP($A552,'The List'!$B1:$AH671,22,FALSE)-AVERAGE('The List'!W2:W671))/STDEV('The List'!W2:W671)</f>
        <v>-0.73853908386105271</v>
      </c>
      <c r="K552" s="55" cm="1">
        <f t="array" ref="K552">(VLOOKUP($A552,'The List'!$B1:$AH671,23,FALSE)-AVERAGE('The List'!X2:X671))/STDEV('The List'!X2:X671)</f>
        <v>-0.80155300200843405</v>
      </c>
      <c r="L552" s="55" cm="1">
        <f t="array" ref="L552">(VLOOKUP($A552,'The List'!$B1:$AH671,24,FALSE)-AVERAGE('The List'!Y2:Y671))/STDEV('The List'!Y2:Y671)</f>
        <v>0.95438708567894381</v>
      </c>
      <c r="M552" s="55" cm="1">
        <f t="array" ref="M552">(VLOOKUP($A552,'The List'!$B1:$AH671,25,FALSE)-AVERAGE('The List'!Z2:Z671))/STDEV('The List'!Z2:Z671)</f>
        <v>0.20367838942166649</v>
      </c>
      <c r="N552" s="55" cm="1">
        <f t="array" ref="N552">(VLOOKUP($A552,'The List'!$B1:$AH671,26,FALSE)-AVERAGE('The List'!AA2:AA671))/STDEV('The List'!AA2:AA671)</f>
        <v>-0.66671517728861218</v>
      </c>
      <c r="O552" s="55" cm="1">
        <f t="array" ref="O552">(VLOOKUP($A552,'The List'!$B1:$AH671,27,FALSE)-AVERAGE('The List'!AB2:AB671))/STDEV('The List'!AB2:AB671)</f>
        <v>0.74148387955181361</v>
      </c>
      <c r="P552" s="55" cm="1">
        <f t="array" ref="P552">(VLOOKUP($A552,'The List'!$B1:$AH671,28,FALSE)-AVERAGE('The List'!AC2:AC671))/STDEV('The List'!AC2:AC671)</f>
        <v>-0.27422716622039084</v>
      </c>
      <c r="Q552" s="55" cm="1">
        <f t="array" ref="Q552">(VLOOKUP($A552,'The List'!$B1:$AH671,29,FALSE)-AVERAGE('The List'!AD2:AD671))/STDEV('The List'!AD2:AD671)</f>
        <v>-0.29913792275005674</v>
      </c>
      <c r="R552" s="55" cm="1">
        <f t="array" ref="R552">(VLOOKUP($A552,'The List'!$B1:$AH671,30,FALSE)-AVERAGE('The List'!AE2:AE671))/STDEV('The List'!AE2:AE671)</f>
        <v>-0.37137085129939812</v>
      </c>
      <c r="S552" s="55" cm="1">
        <f t="array" ref="S552">(VLOOKUP($A552,'The List'!$B1:$AH671,31,FALSE)-AVERAGE('The List'!AF2:AF671))/STDEV('The List'!AF2:AF671)</f>
        <v>0.66043987356491163</v>
      </c>
      <c r="T552" s="55" cm="1">
        <f t="array" ref="T552">(VLOOKUP($A552,'The List'!$B1:$AH671,32,FALSE)-AVERAGE('The List'!AG2:AG671))/STDEV('The List'!AG2:AG671)</f>
        <v>0.75035923648933389</v>
      </c>
      <c r="U552" s="55" cm="1">
        <f t="array" ref="U552">(VLOOKUP($A552,'The List'!$B1:$AH671,33,FALSE)-AVERAGE('The List'!AH2:AH671))/STDEV('The List'!AH2:AH671)</f>
        <v>0.99869933650975895</v>
      </c>
      <c r="V552" s="55"/>
      <c r="W552" s="77"/>
      <c r="X552" s="57"/>
      <c r="Y552" s="57"/>
      <c r="Z552" s="57"/>
      <c r="AA552" s="57"/>
      <c r="AB552" s="57"/>
      <c r="AC552" s="60"/>
      <c r="AD552" s="61"/>
      <c r="AE552" s="55"/>
    </row>
    <row r="553" spans="1:31" ht="21.25" customHeight="1" x14ac:dyDescent="0.15">
      <c r="A553" s="10" t="s">
        <v>771</v>
      </c>
      <c r="B553" s="18" t="str" cm="1">
        <f t="array" ref="B553">VLOOKUP(A553,'Player Data'!A1:B673,2,FALSE)</f>
        <v>MIN</v>
      </c>
      <c r="C553" s="52" cm="1">
        <f t="array" ref="C553">((E553)*Settings!$C$12)+(F553*Settings!$C$2)+(G553*Settings!$C$3)+(H553*Settings!$C$4)+(I553*Settings!$C$5)+(K553*Settings!$C$9)+(N553*Settings!$C$6)+(J553*Settings!$C$8)+(O553*Settings!$C$7)+(P553*Settings!$C$14)+(Q553*Settings!$C$15)+(R553*Settings!$C$16)+(S553*Settings!$C$17)+(T553*Settings!$C$18)+(U553*Settings!$C$19)+(L553*Settings!$C$10)+(Settings!$C$11*M553)</f>
        <v>-3.2074098836058398</v>
      </c>
      <c r="D553" s="57" cm="1">
        <f t="array" ref="D553">IF(Settings!$E$12="YES",VLOOKUP(A553,'Player Data'!A1:E673,5,FALSE),82)</f>
        <v>74</v>
      </c>
      <c r="E553" s="55" cm="1">
        <f t="array" ref="E553">(VLOOKUP($A553,'The List'!$B1:$AH671,17,FALSE)-AVERAGE('The List'!R2:R671))/STDEV('The List'!R2:R671)</f>
        <v>-1.6563889370894198</v>
      </c>
      <c r="F553" s="55" cm="1">
        <f t="array" ref="F553">(VLOOKUP($A553,'The List'!$B1:$AH671,18,FALSE)-AVERAGE('The List'!S2:S671))/STDEV('The List'!S2:S671)</f>
        <v>-0.70786559941095351</v>
      </c>
      <c r="G553" s="55" cm="1">
        <f t="array" ref="G553">(VLOOKUP($A553,'The List'!$B1:$AH671,19,FALSE)-AVERAGE('The List'!T2:T671))/STDEV('The List'!T2:T671)</f>
        <v>-1.0902968827629513</v>
      </c>
      <c r="H553" s="55" cm="1">
        <f t="array" ref="H553">(VLOOKUP($A553,'The List'!$B1:$AH671,20,FALSE)-AVERAGE('The List'!U2:U671))/STDEV('The List'!U2:U671)</f>
        <v>-0.99945118268020949</v>
      </c>
      <c r="I553" s="55" cm="1">
        <f t="array" ref="I553">(VLOOKUP($A553,'The List'!$B1:$AH671,21,FALSE)-AVERAGE('The List'!V2:V671))/STDEV('The List'!V2:V671)</f>
        <v>-1.1485064762745225</v>
      </c>
      <c r="J553" s="55" cm="1">
        <f t="array" ref="J553">(VLOOKUP($A553,'The List'!$B1:$AH671,22,FALSE)-AVERAGE('The List'!W2:W671))/STDEV('The List'!W2:W671)</f>
        <v>-0.73853908386105271</v>
      </c>
      <c r="K553" s="55" cm="1">
        <f t="array" ref="K553">(VLOOKUP($A553,'The List'!$B1:$AH671,23,FALSE)-AVERAGE('The List'!X2:X671))/STDEV('The List'!X2:X671)</f>
        <v>-0.80155300200843405</v>
      </c>
      <c r="L553" s="55" cm="1">
        <f t="array" ref="L553">(VLOOKUP($A553,'The List'!$B1:$AH671,24,FALSE)-AVERAGE('The List'!Y2:Y671))/STDEV('The List'!Y2:Y671)</f>
        <v>0.88106111751140781</v>
      </c>
      <c r="M553" s="55" cm="1">
        <f t="array" ref="M553">(VLOOKUP($A553,'The List'!$B1:$AH671,25,FALSE)-AVERAGE('The List'!Z2:Z671))/STDEV('The List'!Z2:Z671)</f>
        <v>0.16021361118783253</v>
      </c>
      <c r="N553" s="55" cm="1">
        <f t="array" ref="N553">(VLOOKUP($A553,'The List'!$B1:$AH671,26,FALSE)-AVERAGE('The List'!AA2:AA671))/STDEV('The List'!AA2:AA671)</f>
        <v>-0.77245475590535151</v>
      </c>
      <c r="O553" s="55" cm="1">
        <f t="array" ref="O553">(VLOOKUP($A553,'The List'!$B1:$AH671,27,FALSE)-AVERAGE('The List'!AB2:AB671))/STDEV('The List'!AB2:AB671)</f>
        <v>0.32453942850062645</v>
      </c>
      <c r="P553" s="55" cm="1">
        <f t="array" ref="P553">(VLOOKUP($A553,'The List'!$B1:$AH671,28,FALSE)-AVERAGE('The List'!AC2:AC671))/STDEV('The List'!AC2:AC671)</f>
        <v>0.21627264835039528</v>
      </c>
      <c r="Q553" s="55" cm="1">
        <f t="array" ref="Q553">(VLOOKUP($A553,'The List'!$B1:$AH671,29,FALSE)-AVERAGE('The List'!AD2:AD671))/STDEV('The List'!AD2:AD671)</f>
        <v>-0.95227598003444403</v>
      </c>
      <c r="R553" s="55" cm="1">
        <f t="array" ref="R553">(VLOOKUP($A553,'The List'!$B1:$AH671,30,FALSE)-AVERAGE('The List'!AE2:AE671))/STDEV('The List'!AE2:AE671)</f>
        <v>-0.88288594847976376</v>
      </c>
      <c r="S553" s="55" cm="1">
        <f t="array" ref="S553">(VLOOKUP($A553,'The List'!$B1:$AH671,31,FALSE)-AVERAGE('The List'!AF2:AF671))/STDEV('The List'!AF2:AF671)</f>
        <v>0.99448056285295994</v>
      </c>
      <c r="T553" s="55" cm="1">
        <f t="array" ref="T553">(VLOOKUP($A553,'The List'!$B1:$AH671,32,FALSE)-AVERAGE('The List'!AG2:AG671))/STDEV('The List'!AG2:AG671)</f>
        <v>0.58051891903337105</v>
      </c>
      <c r="U553" s="55" cm="1">
        <f t="array" ref="U553">(VLOOKUP($A553,'The List'!$B1:$AH671,33,FALSE)-AVERAGE('The List'!AH2:AH671))/STDEV('The List'!AH2:AH671)</f>
        <v>1.4126923578158486</v>
      </c>
      <c r="V553" s="55"/>
      <c r="W553" s="57"/>
      <c r="X553" s="55"/>
      <c r="Y553" s="55"/>
      <c r="Z553" s="55"/>
      <c r="AA553" s="55"/>
      <c r="AB553" s="55"/>
      <c r="AC553" s="55"/>
      <c r="AD553" s="55"/>
      <c r="AE553" s="55"/>
    </row>
    <row r="554" spans="1:31" ht="21.25" customHeight="1" x14ac:dyDescent="0.15">
      <c r="A554" s="10" t="s">
        <v>775</v>
      </c>
      <c r="B554" s="18" t="str" cm="1">
        <f t="array" ref="B554">VLOOKUP(A554,'Player Data'!A1:B673,2,FALSE)</f>
        <v>L.A</v>
      </c>
      <c r="C554" s="52" cm="1">
        <f t="array" ref="C554">((E554)*Settings!$C$12)+(F554*Settings!$C$2)+(G554*Settings!$C$3)+(H554*Settings!$C$4)+(I554*Settings!$C$5)+(K554*Settings!$C$9)+(N554*Settings!$C$6)+(J554*Settings!$C$8)+(O554*Settings!$C$7)+(P554*Settings!$C$14)+(Q554*Settings!$C$15)+(R554*Settings!$C$16)+(S554*Settings!$C$17)+(T554*Settings!$C$18)+(U554*Settings!$C$19)+(L554*Settings!$C$10)+(Settings!$C$11*M554)</f>
        <v>-1.9323844006867246</v>
      </c>
      <c r="D554" s="57" cm="1">
        <f t="array" ref="D554">IF(Settings!$E$12="YES",VLOOKUP(A554,'Player Data'!A1:E673,5,FALSE),82)</f>
        <v>71</v>
      </c>
      <c r="E554" s="55" cm="1">
        <f t="array" ref="E554">(VLOOKUP($A554,'The List'!$B1:$AH671,17,FALSE)-AVERAGE('The List'!R2:R671))/STDEV('The List'!R2:R671)</f>
        <v>-1.9449421490229906</v>
      </c>
      <c r="F554" s="55" cm="1">
        <f t="array" ref="F554">(VLOOKUP($A554,'The List'!$B1:$AH671,18,FALSE)-AVERAGE('The List'!S2:S671))/STDEV('The List'!S2:S671)</f>
        <v>-0.6639562702129308</v>
      </c>
      <c r="G554" s="55" cm="1">
        <f t="array" ref="G554">(VLOOKUP($A554,'The List'!$B1:$AH671,19,FALSE)-AVERAGE('The List'!T2:T671))/STDEV('The List'!T2:T671)</f>
        <v>-1.2132754612384224</v>
      </c>
      <c r="H554" s="55" cm="1">
        <f t="array" ref="H554">(VLOOKUP($A554,'The List'!$B1:$AH671,20,FALSE)-AVERAGE('The List'!U2:U671))/STDEV('The List'!U2:U671)</f>
        <v>-1.0573626292656728</v>
      </c>
      <c r="I554" s="55" cm="1">
        <f t="array" ref="I554">(VLOOKUP($A554,'The List'!$B1:$AH671,21,FALSE)-AVERAGE('The List'!V2:V671))/STDEV('The List'!V2:V671)</f>
        <v>-1.1904902125179913</v>
      </c>
      <c r="J554" s="55" cm="1">
        <f t="array" ref="J554">(VLOOKUP($A554,'The List'!$B1:$AH671,22,FALSE)-AVERAGE('The List'!W2:W671))/STDEV('The List'!W2:W671)</f>
        <v>-0.73853908386105271</v>
      </c>
      <c r="K554" s="55" cm="1">
        <f t="array" ref="K554">(VLOOKUP($A554,'The List'!$B1:$AH671,23,FALSE)-AVERAGE('The List'!X2:X671))/STDEV('The List'!X2:X671)</f>
        <v>-0.80155300200843405</v>
      </c>
      <c r="L554" s="55" cm="1">
        <f t="array" ref="L554">(VLOOKUP($A554,'The List'!$B1:$AH671,24,FALSE)-AVERAGE('The List'!Y2:Y671))/STDEV('The List'!Y2:Y671)</f>
        <v>-0.47546929358800777</v>
      </c>
      <c r="M554" s="55" cm="1">
        <f t="array" ref="M554">(VLOOKUP($A554,'The List'!$B1:$AH671,25,FALSE)-AVERAGE('The List'!Z2:Z671))/STDEV('The List'!Z2:Z671)</f>
        <v>-0.64388478613809508</v>
      </c>
      <c r="N554" s="55" cm="1">
        <f t="array" ref="N554">(VLOOKUP($A554,'The List'!$B1:$AH671,26,FALSE)-AVERAGE('The List'!AA2:AA671))/STDEV('The List'!AA2:AA671)</f>
        <v>-0.91573954721933903</v>
      </c>
      <c r="O554" s="55" cm="1">
        <f t="array" ref="O554">(VLOOKUP($A554,'The List'!$B1:$AH671,27,FALSE)-AVERAGE('The List'!AB2:AB671))/STDEV('The List'!AB2:AB671)</f>
        <v>2.3500203138677738</v>
      </c>
      <c r="P554" s="55" cm="1">
        <f t="array" ref="P554">(VLOOKUP($A554,'The List'!$B1:$AH671,28,FALSE)-AVERAGE('The List'!AC2:AC671))/STDEV('The List'!AC2:AC671)</f>
        <v>-0.41312976857671962</v>
      </c>
      <c r="Q554" s="55" cm="1">
        <f t="array" ref="Q554">(VLOOKUP($A554,'The List'!$B1:$AH671,29,FALSE)-AVERAGE('The List'!AD2:AD671))/STDEV('The List'!AD2:AD671)</f>
        <v>0.19662637186286647</v>
      </c>
      <c r="R554" s="55" cm="1">
        <f t="array" ref="R554">(VLOOKUP($A554,'The List'!$B1:$AH671,30,FALSE)-AVERAGE('The List'!AE2:AE671))/STDEV('The List'!AE2:AE671)</f>
        <v>-0.45870269715946066</v>
      </c>
      <c r="S554" s="55" cm="1">
        <f t="array" ref="S554">(VLOOKUP($A554,'The List'!$B1:$AH671,31,FALSE)-AVERAGE('The List'!AF2:AF671))/STDEV('The List'!AF2:AF671)</f>
        <v>0.29510089862249944</v>
      </c>
      <c r="T554" s="55" cm="1">
        <f t="array" ref="T554">(VLOOKUP($A554,'The List'!$B1:$AH671,32,FALSE)-AVERAGE('The List'!AG2:AG671))/STDEV('The List'!AG2:AG671)</f>
        <v>0.4691632782013665</v>
      </c>
      <c r="U554" s="55" cm="1">
        <f t="array" ref="U554">(VLOOKUP($A554,'The List'!$B1:$AH671,33,FALSE)-AVERAGE('The List'!AH2:AH671))/STDEV('The List'!AH2:AH671)</f>
        <v>0.86070166274106241</v>
      </c>
      <c r="V554" s="55"/>
      <c r="W554" s="77"/>
      <c r="X554" s="57"/>
      <c r="Y554" s="57"/>
      <c r="Z554" s="57"/>
      <c r="AA554" s="57"/>
      <c r="AB554" s="57"/>
      <c r="AC554" s="60"/>
      <c r="AD554" s="61"/>
      <c r="AE554" s="55"/>
    </row>
    <row r="555" spans="1:31" ht="21.25" customHeight="1" x14ac:dyDescent="0.15">
      <c r="A555" s="10" t="s">
        <v>583</v>
      </c>
      <c r="B555" s="18" t="str" cm="1">
        <f t="array" ref="B555">VLOOKUP(A555,'Player Data'!A1:B673,2,FALSE)</f>
        <v>STL</v>
      </c>
      <c r="C555" s="52" cm="1">
        <f t="array" ref="C555">((E555)*Settings!$C$12)+(F555*Settings!$C$2)+(G555*Settings!$C$3)+(H555*Settings!$C$4)+(I555*Settings!$C$5)+(K555*Settings!$C$9)+(N555*Settings!$C$6)+(J555*Settings!$C$8)+(O555*Settings!$C$7)+(P555*Settings!$C$14)+(Q555*Settings!$C$15)+(R555*Settings!$C$16)+(S555*Settings!$C$17)+(T555*Settings!$C$18)+(U555*Settings!$C$19)+(L555*Settings!$C$10)+(Settings!$C$11*M555)</f>
        <v>-4.1285828603388133</v>
      </c>
      <c r="D555" s="57" cm="1">
        <f t="array" ref="D555">IF(Settings!$E$12="YES",VLOOKUP(A555,'Player Data'!A1:E673,5,FALSE),82)</f>
        <v>70</v>
      </c>
      <c r="E555" s="55" cm="1">
        <f t="array" ref="E555">(VLOOKUP($A555,'The List'!$B1:$AH671,17,FALSE)-AVERAGE('The List'!R2:R671))/STDEV('The List'!R2:R671)</f>
        <v>-0.68580086058559109</v>
      </c>
      <c r="F555" s="55" cm="1">
        <f t="array" ref="F555">(VLOOKUP($A555,'The List'!$B1:$AH671,18,FALSE)-AVERAGE('The List'!S2:S671))/STDEV('The List'!S2:S671)</f>
        <v>-1.0232144181967526</v>
      </c>
      <c r="G555" s="55" cm="1">
        <f t="array" ref="G555">(VLOOKUP($A555,'The List'!$B1:$AH671,19,FALSE)-AVERAGE('The List'!T2:T671))/STDEV('The List'!T2:T671)</f>
        <v>-0.97364291689479021</v>
      </c>
      <c r="H555" s="55" cm="1">
        <f t="array" ref="H555">(VLOOKUP($A555,'The List'!$B1:$AH671,20,FALSE)-AVERAGE('The List'!U2:U671))/STDEV('The List'!U2:U671)</f>
        <v>-1.0657619993811218</v>
      </c>
      <c r="I555" s="55" cm="1">
        <f t="array" ref="I555">(VLOOKUP($A555,'The List'!$B1:$AH671,21,FALSE)-AVERAGE('The List'!V2:V671))/STDEV('The List'!V2:V671)</f>
        <v>-1.095638067671636</v>
      </c>
      <c r="J555" s="55" cm="1">
        <f t="array" ref="J555">(VLOOKUP($A555,'The List'!$B1:$AH671,22,FALSE)-AVERAGE('The List'!W2:W671))/STDEV('The List'!W2:W671)</f>
        <v>-0.73853908386105271</v>
      </c>
      <c r="K555" s="55" cm="1">
        <f t="array" ref="K555">(VLOOKUP($A555,'The List'!$B1:$AH671,23,FALSE)-AVERAGE('The List'!X2:X671))/STDEV('The List'!X2:X671)</f>
        <v>-0.80155300200843405</v>
      </c>
      <c r="L555" s="55" cm="1">
        <f t="array" ref="L555">(VLOOKUP($A555,'The List'!$B1:$AH671,24,FALSE)-AVERAGE('The List'!Y2:Y671))/STDEV('The List'!Y2:Y671)</f>
        <v>-0.47546929358800777</v>
      </c>
      <c r="M555" s="55" cm="1">
        <f t="array" ref="M555">(VLOOKUP($A555,'The List'!$B1:$AH671,25,FALSE)-AVERAGE('The List'!Z2:Z671))/STDEV('The List'!Z2:Z671)</f>
        <v>-0.64388478613809508</v>
      </c>
      <c r="N555" s="55" cm="1">
        <f t="array" ref="N555">(VLOOKUP($A555,'The List'!$B1:$AH671,26,FALSE)-AVERAGE('The List'!AA2:AA671))/STDEV('The List'!AA2:AA671)</f>
        <v>-6.7524231793755191E-2</v>
      </c>
      <c r="O555" s="55" cm="1">
        <f t="array" ref="O555">(VLOOKUP($A555,'The List'!$B1:$AH671,27,FALSE)-AVERAGE('The List'!AB2:AB671))/STDEV('The List'!AB2:AB671)</f>
        <v>0.32617932801311905</v>
      </c>
      <c r="P555" s="55" cm="1">
        <f t="array" ref="P555">(VLOOKUP($A555,'The List'!$B1:$AH671,28,FALSE)-AVERAGE('The List'!AC2:AC671))/STDEV('The List'!AC2:AC671)</f>
        <v>-0.56071378358031909</v>
      </c>
      <c r="Q555" s="55" cm="1">
        <f t="array" ref="Q555">(VLOOKUP($A555,'The List'!$B1:$AH671,29,FALSE)-AVERAGE('The List'!AD2:AD671))/STDEV('The List'!AD2:AD671)</f>
        <v>2.3843433261830835</v>
      </c>
      <c r="R555" s="55" cm="1">
        <f t="array" ref="R555">(VLOOKUP($A555,'The List'!$B1:$AH671,30,FALSE)-AVERAGE('The List'!AE2:AE671))/STDEV('The List'!AE2:AE671)</f>
        <v>-0.90783790443978152</v>
      </c>
      <c r="S555" s="55" cm="1">
        <f t="array" ref="S555">(VLOOKUP($A555,'The List'!$B1:$AH671,31,FALSE)-AVERAGE('The List'!AF2:AF671))/STDEV('The List'!AF2:AF671)</f>
        <v>-0.59581850454342256</v>
      </c>
      <c r="T555" s="55" cm="1">
        <f t="array" ref="T555">(VLOOKUP($A555,'The List'!$B1:$AH671,32,FALSE)-AVERAGE('The List'!AG2:AG671))/STDEV('The List'!AG2:AG671)</f>
        <v>-0.64684275008198677</v>
      </c>
      <c r="U555" s="55" cm="1">
        <f t="array" ref="U555">(VLOOKUP($A555,'The List'!$B1:$AH671,33,FALSE)-AVERAGE('The List'!AH2:AH671))/STDEV('The List'!AH2:AH671)</f>
        <v>-1.2552626683789523</v>
      </c>
      <c r="V555" s="55"/>
      <c r="W555" s="77"/>
      <c r="X555" s="57"/>
      <c r="Y555" s="57"/>
      <c r="Z555" s="57"/>
      <c r="AA555" s="57"/>
      <c r="AB555" s="57"/>
      <c r="AC555" s="60"/>
      <c r="AD555" s="61"/>
      <c r="AE555" s="55"/>
    </row>
    <row r="556" spans="1:31" ht="21.25" customHeight="1" x14ac:dyDescent="0.15">
      <c r="A556" s="10" t="s">
        <v>456</v>
      </c>
      <c r="B556" s="18" t="str" cm="1">
        <f t="array" ref="B556">VLOOKUP(A556,'Player Data'!A1:B673,2,FALSE)</f>
        <v>COL</v>
      </c>
      <c r="C556" s="52" cm="1">
        <f t="array" ref="C556">((E556)*Settings!$C$12)+(F556*Settings!$C$2)+(G556*Settings!$C$3)+(H556*Settings!$C$4)+(I556*Settings!$C$5)+(K556*Settings!$C$9)+(N556*Settings!$C$6)+(J556*Settings!$C$8)+(O556*Settings!$C$7)+(P556*Settings!$C$14)+(Q556*Settings!$C$15)+(R556*Settings!$C$16)+(S556*Settings!$C$17)+(T556*Settings!$C$18)+(U556*Settings!$C$19)+(L556*Settings!$C$10)+(Settings!$C$11*M556)</f>
        <v>-3.3745980663081228</v>
      </c>
      <c r="D556" s="57" cm="1">
        <f t="array" ref="D556">IF(Settings!$E$12="YES",VLOOKUP(A556,'Player Data'!A1:E673,5,FALSE),82)</f>
        <v>84</v>
      </c>
      <c r="E556" s="55" cm="1">
        <f t="array" ref="E556">(VLOOKUP($A556,'The List'!$B1:$AH671,17,FALSE)-AVERAGE('The List'!R2:R671))/STDEV('The List'!R2:R671)</f>
        <v>0.52087620750025077</v>
      </c>
      <c r="F556" s="55" cm="1">
        <f t="array" ref="F556">(VLOOKUP($A556,'The List'!$B1:$AH671,18,FALSE)-AVERAGE('The List'!S2:S671))/STDEV('The List'!S2:S671)</f>
        <v>-1.1210124695923487</v>
      </c>
      <c r="G556" s="55" cm="1">
        <f t="array" ref="G556">(VLOOKUP($A556,'The List'!$B1:$AH671,19,FALSE)-AVERAGE('The List'!T2:T671))/STDEV('The List'!T2:T671)</f>
        <v>-0.71784747366581048</v>
      </c>
      <c r="H556" s="55" cm="1">
        <f t="array" ref="H556">(VLOOKUP($A556,'The List'!$B1:$AH671,20,FALSE)-AVERAGE('The List'!U2:U671))/STDEV('The List'!U2:U671)</f>
        <v>-0.94817081776483736</v>
      </c>
      <c r="I556" s="55" cm="1">
        <f t="array" ref="I556">(VLOOKUP($A556,'The List'!$B1:$AH671,21,FALSE)-AVERAGE('The List'!V2:V671))/STDEV('The List'!V2:V671)</f>
        <v>-0.52963510498190824</v>
      </c>
      <c r="J556" s="55" cm="1">
        <f t="array" ref="J556">(VLOOKUP($A556,'The List'!$B1:$AH671,22,FALSE)-AVERAGE('The List'!W2:W671))/STDEV('The List'!W2:W671)</f>
        <v>-0.73853908386105271</v>
      </c>
      <c r="K556" s="55" cm="1">
        <f t="array" ref="K556">(VLOOKUP($A556,'The List'!$B1:$AH671,23,FALSE)-AVERAGE('The List'!X2:X671))/STDEV('The List'!X2:X671)</f>
        <v>-0.80155300200843405</v>
      </c>
      <c r="L556" s="55" cm="1">
        <f t="array" ref="L556">(VLOOKUP($A556,'The List'!$B1:$AH671,24,FALSE)-AVERAGE('The List'!Y2:Y671))/STDEV('The List'!Y2:Y671)</f>
        <v>-0.47546929358800777</v>
      </c>
      <c r="M556" s="55" cm="1">
        <f t="array" ref="M556">(VLOOKUP($A556,'The List'!$B1:$AH671,25,FALSE)-AVERAGE('The List'!Z2:Z671))/STDEV('The List'!Z2:Z671)</f>
        <v>-0.64388478613809508</v>
      </c>
      <c r="N556" s="55" cm="1">
        <f t="array" ref="N556">(VLOOKUP($A556,'The List'!$B1:$AH671,26,FALSE)-AVERAGE('The List'!AA2:AA671))/STDEV('The List'!AA2:AA671)</f>
        <v>1.1661041854015388</v>
      </c>
      <c r="O556" s="55" cm="1">
        <f t="array" ref="O556">(VLOOKUP($A556,'The List'!$B1:$AH671,27,FALSE)-AVERAGE('The List'!AB2:AB671))/STDEV('The List'!AB2:AB671)</f>
        <v>-1.0111587244244145</v>
      </c>
      <c r="P556" s="55" cm="1">
        <f t="array" ref="P556">(VLOOKUP($A556,'The List'!$B1:$AH671,28,FALSE)-AVERAGE('The List'!AC2:AC671))/STDEV('The List'!AC2:AC671)</f>
        <v>0.8066087083647927</v>
      </c>
      <c r="Q556" s="55" cm="1">
        <f t="array" ref="Q556">(VLOOKUP($A556,'The List'!$B1:$AH671,29,FALSE)-AVERAGE('The List'!AD2:AD671))/STDEV('The List'!AD2:AD671)</f>
        <v>4.6641048753442542E-2</v>
      </c>
      <c r="R556" s="55" cm="1">
        <f t="array" ref="R556">(VLOOKUP($A556,'The List'!$B1:$AH671,30,FALSE)-AVERAGE('The List'!AE2:AE671))/STDEV('The List'!AE2:AE671)</f>
        <v>-1.3444971337400937</v>
      </c>
      <c r="S556" s="55" cm="1">
        <f t="array" ref="S556">(VLOOKUP($A556,'The List'!$B1:$AH671,31,FALSE)-AVERAGE('The List'!AF2:AF671))/STDEV('The List'!AF2:AF671)</f>
        <v>-0.59581850454342256</v>
      </c>
      <c r="T556" s="55" cm="1">
        <f t="array" ref="T556">(VLOOKUP($A556,'The List'!$B1:$AH671,32,FALSE)-AVERAGE('The List'!AG2:AG671))/STDEV('The List'!AG2:AG671)</f>
        <v>-0.64684275008198677</v>
      </c>
      <c r="U556" s="55" cm="1">
        <f t="array" ref="U556">(VLOOKUP($A556,'The List'!$B1:$AH671,33,FALSE)-AVERAGE('The List'!AH2:AH671))/STDEV('The List'!AH2:AH671)</f>
        <v>-1.2552626683789523</v>
      </c>
      <c r="V556" s="55"/>
      <c r="W556" s="57"/>
      <c r="X556" s="55"/>
      <c r="Y556" s="55"/>
      <c r="Z556" s="55"/>
      <c r="AA556" s="55"/>
      <c r="AB556" s="55"/>
      <c r="AC556" s="55"/>
      <c r="AD556" s="55"/>
      <c r="AE556" s="55"/>
    </row>
    <row r="557" spans="1:31" ht="21.25" customHeight="1" x14ac:dyDescent="0.15">
      <c r="A557" s="10" t="s">
        <v>586</v>
      </c>
      <c r="B557" s="18" t="str" cm="1">
        <f t="array" ref="B557">VLOOKUP(A557,'Player Data'!A1:B673,2,FALSE)</f>
        <v>N.J</v>
      </c>
      <c r="C557" s="52" cm="1">
        <f t="array" ref="C557">((E557)*Settings!$C$12)+(F557*Settings!$C$2)+(G557*Settings!$C$3)+(H557*Settings!$C$4)+(I557*Settings!$C$5)+(K557*Settings!$C$9)+(N557*Settings!$C$6)+(J557*Settings!$C$8)+(O557*Settings!$C$7)+(P557*Settings!$C$14)+(Q557*Settings!$C$15)+(R557*Settings!$C$16)+(S557*Settings!$C$17)+(T557*Settings!$C$18)+(U557*Settings!$C$19)+(L557*Settings!$C$10)+(Settings!$C$11*M557)</f>
        <v>-5.101327586024798</v>
      </c>
      <c r="D557" s="57" cm="1">
        <f t="array" ref="D557">IF(Settings!$E$12="YES",VLOOKUP(A557,'Player Data'!A1:E673,5,FALSE),82)</f>
        <v>67</v>
      </c>
      <c r="E557" s="55" cm="1">
        <f t="array" ref="E557">(VLOOKUP($A557,'The List'!$B1:$AH671,17,FALSE)-AVERAGE('The List'!R2:R671))/STDEV('The List'!R2:R671)</f>
        <v>-0.39724764865201989</v>
      </c>
      <c r="F557" s="55" cm="1">
        <f t="array" ref="F557">(VLOOKUP($A557,'The List'!$B1:$AH671,18,FALSE)-AVERAGE('The List'!S2:S671))/STDEV('The List'!S2:S671)</f>
        <v>-1.1719073738900567</v>
      </c>
      <c r="G557" s="55" cm="1">
        <f t="array" ref="G557">(VLOOKUP($A557,'The List'!$B1:$AH671,19,FALSE)-AVERAGE('The List'!T2:T671))/STDEV('The List'!T2:T671)</f>
        <v>-0.90899132135339966</v>
      </c>
      <c r="H557" s="55" cm="1">
        <f t="array" ref="H557">(VLOOKUP($A557,'The List'!$B1:$AH671,20,FALSE)-AVERAGE('The List'!U2:U671))/STDEV('The List'!U2:U671)</f>
        <v>-1.0909601097274684</v>
      </c>
      <c r="I557" s="55" cm="1">
        <f t="array" ref="I557">(VLOOKUP($A557,'The List'!$B1:$AH671,21,FALSE)-AVERAGE('The List'!V2:V671))/STDEV('The List'!V2:V671)</f>
        <v>-1.1885897141695214</v>
      </c>
      <c r="J557" s="55" cm="1">
        <f t="array" ref="J557">(VLOOKUP($A557,'The List'!$B1:$AH671,22,FALSE)-AVERAGE('The List'!W2:W671))/STDEV('The List'!W2:W671)</f>
        <v>-0.73853908386105271</v>
      </c>
      <c r="K557" s="55" cm="1">
        <f t="array" ref="K557">(VLOOKUP($A557,'The List'!$B1:$AH671,23,FALSE)-AVERAGE('The List'!X2:X671))/STDEV('The List'!X2:X671)</f>
        <v>-0.80155300200843405</v>
      </c>
      <c r="L557" s="55" cm="1">
        <f t="array" ref="L557">(VLOOKUP($A557,'The List'!$B1:$AH671,24,FALSE)-AVERAGE('The List'!Y2:Y671))/STDEV('The List'!Y2:Y671)</f>
        <v>-0.47546929358800777</v>
      </c>
      <c r="M557" s="55" cm="1">
        <f t="array" ref="M557">(VLOOKUP($A557,'The List'!$B1:$AH671,25,FALSE)-AVERAGE('The List'!Z2:Z671))/STDEV('The List'!Z2:Z671)</f>
        <v>-0.64388478613809508</v>
      </c>
      <c r="N557" s="55" cm="1">
        <f t="array" ref="N557">(VLOOKUP($A557,'The List'!$B1:$AH671,26,FALSE)-AVERAGE('The List'!AA2:AA671))/STDEV('The List'!AA2:AA671)</f>
        <v>0.17383784983141123</v>
      </c>
      <c r="O557" s="55" cm="1">
        <f t="array" ref="O557">(VLOOKUP($A557,'The List'!$B1:$AH671,27,FALSE)-AVERAGE('The List'!AB2:AB671))/STDEV('The List'!AB2:AB671)</f>
        <v>-0.77993289316298942</v>
      </c>
      <c r="P557" s="55" cm="1">
        <f t="array" ref="P557">(VLOOKUP($A557,'The List'!$B1:$AH671,28,FALSE)-AVERAGE('The List'!AC2:AC671))/STDEV('The List'!AC2:AC671)</f>
        <v>-0.25035328144039687</v>
      </c>
      <c r="Q557" s="55" cm="1">
        <f t="array" ref="Q557">(VLOOKUP($A557,'The List'!$B1:$AH671,29,FALSE)-AVERAGE('The List'!AD2:AD671))/STDEV('The List'!AD2:AD671)</f>
        <v>-1.1857506701949267</v>
      </c>
      <c r="R557" s="55" cm="1">
        <f t="array" ref="R557">(VLOOKUP($A557,'The List'!$B1:$AH671,30,FALSE)-AVERAGE('The List'!AE2:AE671))/STDEV('The List'!AE2:AE671)</f>
        <v>-1.3444971337400937</v>
      </c>
      <c r="S557" s="55" cm="1">
        <f t="array" ref="S557">(VLOOKUP($A557,'The List'!$B1:$AH671,31,FALSE)-AVERAGE('The List'!AF2:AF671))/STDEV('The List'!AF2:AF671)</f>
        <v>-0.59581850454342256</v>
      </c>
      <c r="T557" s="55" cm="1">
        <f t="array" ref="T557">(VLOOKUP($A557,'The List'!$B1:$AH671,32,FALSE)-AVERAGE('The List'!AG2:AG671))/STDEV('The List'!AG2:AG671)</f>
        <v>-0.64684275008198677</v>
      </c>
      <c r="U557" s="55" cm="1">
        <f t="array" ref="U557">(VLOOKUP($A557,'The List'!$B1:$AH671,33,FALSE)-AVERAGE('The List'!AH2:AH671))/STDEV('The List'!AH2:AH671)</f>
        <v>-1.2552626683789523</v>
      </c>
      <c r="V557" s="55"/>
      <c r="W557" s="57"/>
      <c r="X557" s="55"/>
      <c r="Y557" s="55"/>
      <c r="Z557" s="55"/>
      <c r="AA557" s="55"/>
      <c r="AB557" s="55"/>
      <c r="AC557" s="55"/>
      <c r="AD557" s="55"/>
      <c r="AE557" s="55"/>
    </row>
    <row r="558" spans="1:31" ht="21.25" customHeight="1" x14ac:dyDescent="0.15">
      <c r="A558" s="10" t="s">
        <v>411</v>
      </c>
      <c r="B558" s="18" t="str" cm="1">
        <f t="array" ref="B558">VLOOKUP(A558,'Player Data'!A1:B673,2,FALSE)</f>
        <v>VAN</v>
      </c>
      <c r="C558" s="52" cm="1">
        <f t="array" ref="C558">((E558)*Settings!$C$12)+(F558*Settings!$C$2)+(G558*Settings!$C$3)+(H558*Settings!$C$4)+(I558*Settings!$C$5)+(K558*Settings!$C$9)+(N558*Settings!$C$6)+(J558*Settings!$C$8)+(O558*Settings!$C$7)+(P558*Settings!$C$14)+(Q558*Settings!$C$15)+(R558*Settings!$C$16)+(S558*Settings!$C$17)+(T558*Settings!$C$18)+(U558*Settings!$C$19)+(L558*Settings!$C$10)+(Settings!$C$11*M558)</f>
        <v>-4.6486162323988598</v>
      </c>
      <c r="D558" s="57" cm="1">
        <f t="array" ref="D558">IF(Settings!$E$12="YES",VLOOKUP(A558,'Player Data'!A1:E673,5,FALSE),82)</f>
        <v>83</v>
      </c>
      <c r="E558" s="55" cm="1">
        <f t="array" ref="E558">(VLOOKUP($A558,'The List'!$B1:$AH671,17,FALSE)-AVERAGE('The List'!R2:R671))/STDEV('The List'!R2:R671)</f>
        <v>1.0717505211916125</v>
      </c>
      <c r="F558" s="55" cm="1">
        <f t="array" ref="F558">(VLOOKUP($A558,'The List'!$B1:$AH671,18,FALSE)-AVERAGE('The List'!S2:S671))/STDEV('The List'!S2:S671)</f>
        <v>-1.1240062874922137</v>
      </c>
      <c r="G558" s="55" cm="1">
        <f t="array" ref="G558">(VLOOKUP($A558,'The List'!$B1:$AH671,19,FALSE)-AVERAGE('The List'!T2:T671))/STDEV('The List'!T2:T671)</f>
        <v>-0.67076424647805855</v>
      </c>
      <c r="H558" s="55" cm="1">
        <f t="array" ref="H558">(VLOOKUP($A558,'The List'!$B1:$AH671,20,FALSE)-AVERAGE('The List'!U2:U671))/STDEV('The List'!U2:U671)</f>
        <v>-0.91987820263911479</v>
      </c>
      <c r="I558" s="55" cm="1">
        <f t="array" ref="I558">(VLOOKUP($A558,'The List'!$B1:$AH671,21,FALSE)-AVERAGE('The List'!V2:V671))/STDEV('The List'!V2:V671)</f>
        <v>-0.66405216999186167</v>
      </c>
      <c r="J558" s="55" cm="1">
        <f t="array" ref="J558">(VLOOKUP($A558,'The List'!$B1:$AH671,22,FALSE)-AVERAGE('The List'!W2:W671))/STDEV('The List'!W2:W671)</f>
        <v>-0.73853908386105271</v>
      </c>
      <c r="K558" s="55" cm="1">
        <f t="array" ref="K558">(VLOOKUP($A558,'The List'!$B1:$AH671,23,FALSE)-AVERAGE('The List'!X2:X671))/STDEV('The List'!X2:X671)</f>
        <v>-0.80155300200843405</v>
      </c>
      <c r="L558" s="55" cm="1">
        <f t="array" ref="L558">(VLOOKUP($A558,'The List'!$B1:$AH671,24,FALSE)-AVERAGE('The List'!Y2:Y671))/STDEV('The List'!Y2:Y671)</f>
        <v>-0.47546929358800777</v>
      </c>
      <c r="M558" s="55" cm="1">
        <f t="array" ref="M558">(VLOOKUP($A558,'The List'!$B1:$AH671,25,FALSE)-AVERAGE('The List'!Z2:Z671))/STDEV('The List'!Z2:Z671)</f>
        <v>-0.64388478613809508</v>
      </c>
      <c r="N558" s="55" cm="1">
        <f t="array" ref="N558">(VLOOKUP($A558,'The List'!$B1:$AH671,26,FALSE)-AVERAGE('The List'!AA2:AA671))/STDEV('The List'!AA2:AA671)</f>
        <v>2.3624427995097692</v>
      </c>
      <c r="O558" s="55" cm="1">
        <f t="array" ref="O558">(VLOOKUP($A558,'The List'!$B1:$AH671,27,FALSE)-AVERAGE('The List'!AB2:AB671))/STDEV('The List'!AB2:AB671)</f>
        <v>0.69823152990982695</v>
      </c>
      <c r="P558" s="55" cm="1">
        <f t="array" ref="P558">(VLOOKUP($A558,'The List'!$B1:$AH671,28,FALSE)-AVERAGE('The List'!AC2:AC671))/STDEV('The List'!AC2:AC671)</f>
        <v>-2.0864720563381183</v>
      </c>
      <c r="Q558" s="55" cm="1">
        <f t="array" ref="Q558">(VLOOKUP($A558,'The List'!$B1:$AH671,29,FALSE)-AVERAGE('The List'!AD2:AD671))/STDEV('The List'!AD2:AD671)</f>
        <v>0.56974256974591575</v>
      </c>
      <c r="R558" s="55" cm="1">
        <f t="array" ref="R558">(VLOOKUP($A558,'The List'!$B1:$AH671,30,FALSE)-AVERAGE('The List'!AE2:AE671))/STDEV('The List'!AE2:AE671)</f>
        <v>-1.3444971337400937</v>
      </c>
      <c r="S558" s="55" cm="1">
        <f t="array" ref="S558">(VLOOKUP($A558,'The List'!$B1:$AH671,31,FALSE)-AVERAGE('The List'!AF2:AF671))/STDEV('The List'!AF2:AF671)</f>
        <v>-0.59581850454342256</v>
      </c>
      <c r="T558" s="55" cm="1">
        <f t="array" ref="T558">(VLOOKUP($A558,'The List'!$B1:$AH671,32,FALSE)-AVERAGE('The List'!AG2:AG671))/STDEV('The List'!AG2:AG671)</f>
        <v>-0.64684275008198677</v>
      </c>
      <c r="U558" s="55" cm="1">
        <f t="array" ref="U558">(VLOOKUP($A558,'The List'!$B1:$AH671,33,FALSE)-AVERAGE('The List'!AH2:AH671))/STDEV('The List'!AH2:AH671)</f>
        <v>-1.2552626683789523</v>
      </c>
      <c r="V558" s="55"/>
      <c r="W558" s="57"/>
      <c r="X558" s="55"/>
      <c r="Y558" s="55"/>
      <c r="Z558" s="55"/>
      <c r="AA558" s="55"/>
      <c r="AB558" s="55"/>
      <c r="AC558" s="55"/>
      <c r="AD558" s="55"/>
      <c r="AE558" s="55"/>
    </row>
    <row r="559" spans="1:31" ht="21.25" customHeight="1" x14ac:dyDescent="0.15">
      <c r="A559" s="10" t="s">
        <v>562</v>
      </c>
      <c r="B559" s="18" t="str" cm="1">
        <f t="array" ref="B559">VLOOKUP(A559,'Player Data'!A1:B673,2,FALSE)</f>
        <v>NSH</v>
      </c>
      <c r="C559" s="52" cm="1">
        <f t="array" ref="C559">((E559)*Settings!$C$12)+(F559*Settings!$C$2)+(G559*Settings!$C$3)+(H559*Settings!$C$4)+(I559*Settings!$C$5)+(K559*Settings!$C$9)+(N559*Settings!$C$6)+(J559*Settings!$C$8)+(O559*Settings!$C$7)+(P559*Settings!$C$14)+(Q559*Settings!$C$15)+(R559*Settings!$C$16)+(S559*Settings!$C$17)+(T559*Settings!$C$18)+(U559*Settings!$C$19)+(L559*Settings!$C$10)+(Settings!$C$11*M559)</f>
        <v>-4.9116384502541814</v>
      </c>
      <c r="D559" s="57" cm="1">
        <f t="array" ref="D559">IF(Settings!$E$12="YES",VLOOKUP(A559,'Player Data'!A1:E673,5,FALSE),82)</f>
        <v>73</v>
      </c>
      <c r="E559" s="55" cm="1">
        <f t="array" ref="E559">(VLOOKUP($A559,'The List'!$B1:$AH671,17,FALSE)-AVERAGE('The List'!R2:R671))/STDEV('The List'!R2:R671)</f>
        <v>-0.58087241988247429</v>
      </c>
      <c r="F559" s="55" cm="1">
        <f t="array" ref="F559">(VLOOKUP($A559,'The List'!$B1:$AH671,18,FALSE)-AVERAGE('The List'!S2:S671))/STDEV('The List'!S2:S671)</f>
        <v>-1.0082453286974267</v>
      </c>
      <c r="G559" s="55" cm="1">
        <f t="array" ref="G559">(VLOOKUP($A559,'The List'!$B1:$AH671,19,FALSE)-AVERAGE('The List'!T2:T671))/STDEV('The List'!T2:T671)</f>
        <v>-0.94412805806067712</v>
      </c>
      <c r="H559" s="55" cm="1">
        <f t="array" ref="H559">(VLOOKUP($A559,'The List'!$B1:$AH671,20,FALSE)-AVERAGE('The List'!U2:U671))/STDEV('The List'!U2:U671)</f>
        <v>-1.040563889034775</v>
      </c>
      <c r="I559" s="55" cm="1">
        <f t="array" ref="I559">(VLOOKUP($A559,'The List'!$B1:$AH671,21,FALSE)-AVERAGE('The List'!V2:V671))/STDEV('The List'!V2:V671)</f>
        <v>-1.1751134531530993</v>
      </c>
      <c r="J559" s="55" cm="1">
        <f t="array" ref="J559">(VLOOKUP($A559,'The List'!$B1:$AH671,22,FALSE)-AVERAGE('The List'!W2:W671))/STDEV('The List'!W2:W671)</f>
        <v>-0.73853908386105271</v>
      </c>
      <c r="K559" s="55" cm="1">
        <f t="array" ref="K559">(VLOOKUP($A559,'The List'!$B1:$AH671,23,FALSE)-AVERAGE('The List'!X2:X671))/STDEV('The List'!X2:X671)</f>
        <v>-0.72819262429253573</v>
      </c>
      <c r="L559" s="55" cm="1">
        <f t="array" ref="L559">(VLOOKUP($A559,'The List'!$B1:$AH671,24,FALSE)-AVERAGE('The List'!Y2:Y671))/STDEV('The List'!Y2:Y671)</f>
        <v>-0.47546929358800777</v>
      </c>
      <c r="M559" s="55" cm="1">
        <f t="array" ref="M559">(VLOOKUP($A559,'The List'!$B1:$AH671,25,FALSE)-AVERAGE('The List'!Z2:Z671))/STDEV('The List'!Z2:Z671)</f>
        <v>-0.64388478613809508</v>
      </c>
      <c r="N559" s="55" cm="1">
        <f t="array" ref="N559">(VLOOKUP($A559,'The List'!$B1:$AH671,26,FALSE)-AVERAGE('The List'!AA2:AA671))/STDEV('The List'!AA2:AA671)</f>
        <v>0.4652602150529081</v>
      </c>
      <c r="O559" s="55" cm="1">
        <f t="array" ref="O559">(VLOOKUP($A559,'The List'!$B1:$AH671,27,FALSE)-AVERAGE('The List'!AB2:AB671))/STDEV('The List'!AB2:AB671)</f>
        <v>-0.31727624320107733</v>
      </c>
      <c r="P559" s="55" cm="1">
        <f t="array" ref="P559">(VLOOKUP($A559,'The List'!$B1:$AH671,28,FALSE)-AVERAGE('The List'!AC2:AC671))/STDEV('The List'!AC2:AC671)</f>
        <v>-0.7386827428493653</v>
      </c>
      <c r="Q559" s="55" cm="1">
        <f t="array" ref="Q559">(VLOOKUP($A559,'The List'!$B1:$AH671,29,FALSE)-AVERAGE('The List'!AD2:AD671))/STDEV('The List'!AD2:AD671)</f>
        <v>-0.64787227007837223</v>
      </c>
      <c r="R559" s="55" cm="1">
        <f t="array" ref="R559">(VLOOKUP($A559,'The List'!$B1:$AH671,30,FALSE)-AVERAGE('The List'!AE2:AE671))/STDEV('The List'!AE2:AE671)</f>
        <v>-0.88912393746976826</v>
      </c>
      <c r="S559" s="55" cm="1">
        <f t="array" ref="S559">(VLOOKUP($A559,'The List'!$B1:$AH671,31,FALSE)-AVERAGE('The List'!AF2:AF671))/STDEV('The List'!AF2:AF671)</f>
        <v>-0.59581850454342256</v>
      </c>
      <c r="T559" s="55" cm="1">
        <f t="array" ref="T559">(VLOOKUP($A559,'The List'!$B1:$AH671,32,FALSE)-AVERAGE('The List'!AG2:AG671))/STDEV('The List'!AG2:AG671)</f>
        <v>-0.64684275008198677</v>
      </c>
      <c r="U559" s="55" cm="1">
        <f t="array" ref="U559">(VLOOKUP($A559,'The List'!$B1:$AH671,33,FALSE)-AVERAGE('The List'!AH2:AH671))/STDEV('The List'!AH2:AH671)</f>
        <v>-1.2552626683789523</v>
      </c>
      <c r="V559" s="55"/>
      <c r="W559" s="77"/>
      <c r="X559" s="57"/>
      <c r="Y559" s="57"/>
      <c r="Z559" s="57"/>
      <c r="AA559" s="57"/>
      <c r="AB559" s="57"/>
      <c r="AC559" s="60"/>
      <c r="AD559" s="61"/>
      <c r="AE559" s="55"/>
    </row>
    <row r="560" spans="1:31" ht="21.25" customHeight="1" x14ac:dyDescent="0.15">
      <c r="A560" s="10" t="s">
        <v>725</v>
      </c>
      <c r="B560" s="18" t="str" cm="1">
        <f t="array" ref="B560">VLOOKUP(A560,'Player Data'!A1:B673,2,FALSE)</f>
        <v>BUF</v>
      </c>
      <c r="C560" s="52" cm="1">
        <f t="array" ref="C560">((E560)*Settings!$C$12)+(F560*Settings!$C$2)+(G560*Settings!$C$3)+(H560*Settings!$C$4)+(I560*Settings!$C$5)+(K560*Settings!$C$9)+(N560*Settings!$C$6)+(J560*Settings!$C$8)+(O560*Settings!$C$7)+(P560*Settings!$C$14)+(Q560*Settings!$C$15)+(R560*Settings!$C$16)+(S560*Settings!$C$17)+(T560*Settings!$C$18)+(U560*Settings!$C$19)+(L560*Settings!$C$10)+(Settings!$C$11*M560)</f>
        <v>-2.3986269876138806</v>
      </c>
      <c r="D560" s="57" cm="1">
        <f t="array" ref="D560">IF(Settings!$E$12="YES",VLOOKUP(A560,'Player Data'!A1:E673,5,FALSE),82)</f>
        <v>82</v>
      </c>
      <c r="E560" s="55" cm="1">
        <f t="array" ref="E560">(VLOOKUP($A560,'The List'!$B1:$AH671,17,FALSE)-AVERAGE('The List'!R2:R671))/STDEV('The List'!R2:R671)</f>
        <v>-1.4989962760347451</v>
      </c>
      <c r="F560" s="55" cm="1">
        <f t="array" ref="F560">(VLOOKUP($A560,'The List'!$B1:$AH671,18,FALSE)-AVERAGE('The List'!S2:S671))/STDEV('The List'!S2:S671)</f>
        <v>-0.71784499241050403</v>
      </c>
      <c r="G560" s="55" cm="1">
        <f t="array" ref="G560">(VLOOKUP($A560,'The List'!$B1:$AH671,19,FALSE)-AVERAGE('The List'!T2:T671))/STDEV('The List'!T2:T671)</f>
        <v>-1.0860804743580781</v>
      </c>
      <c r="H560" s="55" cm="1">
        <f t="array" ref="H560">(VLOOKUP($A560,'The List'!$B1:$AH671,20,FALSE)-AVERAGE('The List'!U2:U671))/STDEV('The List'!U2:U671)</f>
        <v>-1.0012194711255671</v>
      </c>
      <c r="I560" s="55" cm="1">
        <f t="array" ref="I560">(VLOOKUP($A560,'The List'!$B1:$AH671,21,FALSE)-AVERAGE('The List'!V2:V671))/STDEV('The List'!V2:V671)</f>
        <v>-0.75320281979280779</v>
      </c>
      <c r="J560" s="55" cm="1">
        <f t="array" ref="J560">(VLOOKUP($A560,'The List'!$B1:$AH671,22,FALSE)-AVERAGE('The List'!W2:W671))/STDEV('The List'!W2:W671)</f>
        <v>-0.73853908386105271</v>
      </c>
      <c r="K560" s="55" cm="1">
        <f t="array" ref="K560">(VLOOKUP($A560,'The List'!$B1:$AH671,23,FALSE)-AVERAGE('The List'!X2:X671))/STDEV('The List'!X2:X671)</f>
        <v>-0.80155300200843405</v>
      </c>
      <c r="L560" s="55" cm="1">
        <f t="array" ref="L560">(VLOOKUP($A560,'The List'!$B1:$AH671,24,FALSE)-AVERAGE('The List'!Y2:Y671))/STDEV('The List'!Y2:Y671)</f>
        <v>1.0277130538464798</v>
      </c>
      <c r="M560" s="55" cm="1">
        <f t="array" ref="M560">(VLOOKUP($A560,'The List'!$B1:$AH671,25,FALSE)-AVERAGE('The List'!Z2:Z671))/STDEV('The List'!Z2:Z671)</f>
        <v>1.1381711214490962</v>
      </c>
      <c r="N560" s="55" cm="1">
        <f t="array" ref="N560">(VLOOKUP($A560,'The List'!$B1:$AH671,26,FALSE)-AVERAGE('The List'!AA2:AA671))/STDEV('The List'!AA2:AA671)</f>
        <v>-0.55484576802742402</v>
      </c>
      <c r="O560" s="55" cm="1">
        <f t="array" ref="O560">(VLOOKUP($A560,'The List'!$B1:$AH671,27,FALSE)-AVERAGE('The List'!AB2:AB671))/STDEV('The List'!AB2:AB671)</f>
        <v>0.887024961285512</v>
      </c>
      <c r="P560" s="55" cm="1">
        <f t="array" ref="P560">(VLOOKUP($A560,'The List'!$B1:$AH671,28,FALSE)-AVERAGE('The List'!AC2:AC671))/STDEV('The List'!AC2:AC671)</f>
        <v>7.3029339670431195E-2</v>
      </c>
      <c r="Q560" s="55" cm="1">
        <f t="array" ref="Q560">(VLOOKUP($A560,'The List'!$B1:$AH671,29,FALSE)-AVERAGE('The List'!AD2:AD671))/STDEV('The List'!AD2:AD671)</f>
        <v>1.8671525568402423</v>
      </c>
      <c r="R560" s="55" cm="1">
        <f t="array" ref="R560">(VLOOKUP($A560,'The List'!$B1:$AH671,30,FALSE)-AVERAGE('The List'!AE2:AE671))/STDEV('The List'!AE2:AE671)</f>
        <v>-0.83298203655972802</v>
      </c>
      <c r="S560" s="55" cm="1">
        <f t="array" ref="S560">(VLOOKUP($A560,'The List'!$B1:$AH671,31,FALSE)-AVERAGE('The List'!AF2:AF671))/STDEV('The List'!AF2:AF671)</f>
        <v>1.1427507824505914</v>
      </c>
      <c r="T560" s="55" cm="1">
        <f t="array" ref="T560">(VLOOKUP($A560,'The List'!$B1:$AH671,32,FALSE)-AVERAGE('The List'!AG2:AG671))/STDEV('The List'!AG2:AG671)</f>
        <v>0.90989073659971287</v>
      </c>
      <c r="U560" s="55" cm="1">
        <f t="array" ref="U560">(VLOOKUP($A560,'The List'!$B1:$AH671,33,FALSE)-AVERAGE('The List'!AH2:AH671))/STDEV('The List'!AH2:AH671)</f>
        <v>1.2286954594575867</v>
      </c>
      <c r="V560" s="55"/>
      <c r="W560" s="57"/>
      <c r="X560" s="55"/>
      <c r="Y560" s="55"/>
      <c r="Z560" s="55"/>
      <c r="AA560" s="55"/>
      <c r="AB560" s="55"/>
      <c r="AC560" s="55"/>
      <c r="AD560" s="55"/>
      <c r="AE560" s="55"/>
    </row>
    <row r="561" spans="1:31" ht="21.25" customHeight="1" x14ac:dyDescent="0.15">
      <c r="A561" s="10" t="s">
        <v>546</v>
      </c>
      <c r="B561" s="18" t="str" cm="1">
        <f t="array" ref="B561">VLOOKUP(A561,'Player Data'!A1:B673,2,FALSE)</f>
        <v>WPG</v>
      </c>
      <c r="C561" s="52" cm="1">
        <f t="array" ref="C561">((E561)*Settings!$C$12)+(F561*Settings!$C$2)+(G561*Settings!$C$3)+(H561*Settings!$C$4)+(I561*Settings!$C$5)+(K561*Settings!$C$9)+(N561*Settings!$C$6)+(J561*Settings!$C$8)+(O561*Settings!$C$7)+(P561*Settings!$C$14)+(Q561*Settings!$C$15)+(R561*Settings!$C$16)+(S561*Settings!$C$17)+(T561*Settings!$C$18)+(U561*Settings!$C$19)+(L561*Settings!$C$10)+(Settings!$C$11*M561)</f>
        <v>-3.3267757502475486</v>
      </c>
      <c r="D561" s="57" cm="1">
        <f t="array" ref="D561">IF(Settings!$E$12="YES",VLOOKUP(A561,'Player Data'!A1:E673,5,FALSE),82)</f>
        <v>74</v>
      </c>
      <c r="E561" s="55" cm="1">
        <f t="array" ref="E561">(VLOOKUP($A561,'The List'!$B1:$AH671,17,FALSE)-AVERAGE('The List'!R2:R671))/STDEV('The List'!R2:R671)</f>
        <v>-0.18739076724578643</v>
      </c>
      <c r="F561" s="55" cm="1">
        <f t="array" ref="F561">(VLOOKUP($A561,'The List'!$B1:$AH671,18,FALSE)-AVERAGE('The List'!S2:S671))/STDEV('The List'!S2:S671)</f>
        <v>-1.0771031403943259</v>
      </c>
      <c r="G561" s="55" cm="1">
        <f t="array" ref="G561">(VLOOKUP($A561,'The List'!$B1:$AH671,19,FALSE)-AVERAGE('The List'!T2:T671))/STDEV('The List'!T2:T671)</f>
        <v>-0.88228740145586892</v>
      </c>
      <c r="H561" s="55" cm="1">
        <f t="array" ref="H561">(VLOOKUP($A561,'The List'!$B1:$AH671,20,FALSE)-AVERAGE('The List'!U2:U671))/STDEV('The List'!U2:U671)</f>
        <v>-1.0321645189193263</v>
      </c>
      <c r="I561" s="55" cm="1">
        <f t="array" ref="I561">(VLOOKUP($A561,'The List'!$B1:$AH671,21,FALSE)-AVERAGE('The List'!V2:V671))/STDEV('The List'!V2:V671)</f>
        <v>-0.86723272070099489</v>
      </c>
      <c r="J561" s="55" cm="1">
        <f t="array" ref="J561">(VLOOKUP($A561,'The List'!$B1:$AH671,22,FALSE)-AVERAGE('The List'!W2:W671))/STDEV('The List'!W2:W671)</f>
        <v>-0.73853908386105271</v>
      </c>
      <c r="K561" s="55" cm="1">
        <f t="array" ref="K561">(VLOOKUP($A561,'The List'!$B1:$AH671,23,FALSE)-AVERAGE('The List'!X2:X671))/STDEV('The List'!X2:X671)</f>
        <v>-0.65282237321455816</v>
      </c>
      <c r="L561" s="55" cm="1">
        <f t="array" ref="L561">(VLOOKUP($A561,'The List'!$B1:$AH671,24,FALSE)-AVERAGE('The List'!Y2:Y671))/STDEV('The List'!Y2:Y671)</f>
        <v>-0.47546929358800777</v>
      </c>
      <c r="M561" s="55" cm="1">
        <f t="array" ref="M561">(VLOOKUP($A561,'The List'!$B1:$AH671,25,FALSE)-AVERAGE('The List'!Z2:Z671))/STDEV('The List'!Z2:Z671)</f>
        <v>-0.64388478613809508</v>
      </c>
      <c r="N561" s="55" cm="1">
        <f t="array" ref="N561">(VLOOKUP($A561,'The List'!$B1:$AH671,26,FALSE)-AVERAGE('The List'!AA2:AA671))/STDEV('The List'!AA2:AA671)</f>
        <v>0.19146111293420073</v>
      </c>
      <c r="O561" s="55" cm="1">
        <f t="array" ref="O561">(VLOOKUP($A561,'The List'!$B1:$AH671,27,FALSE)-AVERAGE('The List'!AB2:AB671))/STDEV('The List'!AB2:AB671)</f>
        <v>9.7003371142309239E-2</v>
      </c>
      <c r="P561" s="55" cm="1">
        <f t="array" ref="P561">(VLOOKUP($A561,'The List'!$B1:$AH671,28,FALSE)-AVERAGE('The List'!AC2:AC671))/STDEV('The List'!AC2:AC671)</f>
        <v>5.5666514375890076E-2</v>
      </c>
      <c r="Q561" s="55" cm="1">
        <f t="array" ref="Q561">(VLOOKUP($A561,'The List'!$B1:$AH671,29,FALSE)-AVERAGE('The List'!AD2:AD671))/STDEV('The List'!AD2:AD671)</f>
        <v>-0.40553145244344097</v>
      </c>
      <c r="R561" s="55" cm="1">
        <f t="array" ref="R561">(VLOOKUP($A561,'The List'!$B1:$AH671,30,FALSE)-AVERAGE('The List'!AE2:AE671))/STDEV('The List'!AE2:AE671)</f>
        <v>-0.88288594847976376</v>
      </c>
      <c r="S561" s="55" cm="1">
        <f t="array" ref="S561">(VLOOKUP($A561,'The List'!$B1:$AH671,31,FALSE)-AVERAGE('The List'!AF2:AF671))/STDEV('The List'!AF2:AF671)</f>
        <v>-0.59581850454342256</v>
      </c>
      <c r="T561" s="55" cm="1">
        <f t="array" ref="T561">(VLOOKUP($A561,'The List'!$B1:$AH671,32,FALSE)-AVERAGE('The List'!AG2:AG671))/STDEV('The List'!AG2:AG671)</f>
        <v>-0.64684275008198677</v>
      </c>
      <c r="U561" s="55" cm="1">
        <f t="array" ref="U561">(VLOOKUP($A561,'The List'!$B1:$AH671,33,FALSE)-AVERAGE('The List'!AH2:AH671))/STDEV('The List'!AH2:AH671)</f>
        <v>-1.2552626683789523</v>
      </c>
      <c r="V561" s="55"/>
      <c r="W561" s="77"/>
      <c r="X561" s="57"/>
      <c r="Y561" s="57"/>
      <c r="Z561" s="57"/>
      <c r="AA561" s="57"/>
      <c r="AB561" s="57"/>
      <c r="AC561" s="60"/>
      <c r="AD561" s="61"/>
      <c r="AE561" s="55"/>
    </row>
    <row r="562" spans="1:31" ht="21.25" customHeight="1" x14ac:dyDescent="0.15">
      <c r="A562" s="10" t="s">
        <v>486</v>
      </c>
      <c r="B562" s="18" t="str" cm="1">
        <f t="array" ref="B562">VLOOKUP(A562,'Player Data'!A1:B673,2,FALSE)</f>
        <v>L.A</v>
      </c>
      <c r="C562" s="52" cm="1">
        <f t="array" ref="C562">((E562)*Settings!$C$12)+(F562*Settings!$C$2)+(G562*Settings!$C$3)+(H562*Settings!$C$4)+(I562*Settings!$C$5)+(K562*Settings!$C$9)+(N562*Settings!$C$6)+(J562*Settings!$C$8)+(O562*Settings!$C$7)+(P562*Settings!$C$14)+(Q562*Settings!$C$15)+(R562*Settings!$C$16)+(S562*Settings!$C$17)+(T562*Settings!$C$18)+(U562*Settings!$C$19)+(L562*Settings!$C$10)+(Settings!$C$11*M562)</f>
        <v>-3.4521775839460691</v>
      </c>
      <c r="D562" s="57" cm="1">
        <f t="array" ref="D562">IF(Settings!$E$12="YES",VLOOKUP(A562,'Player Data'!A1:E673,5,FALSE),82)</f>
        <v>80</v>
      </c>
      <c r="E562" s="55" cm="1">
        <f t="array" ref="E562">(VLOOKUP($A562,'The List'!$B1:$AH671,17,FALSE)-AVERAGE('The List'!R2:R671))/STDEV('The List'!R2:R671)</f>
        <v>0.46841198714869259</v>
      </c>
      <c r="F562" s="55" cm="1">
        <f t="array" ref="F562">(VLOOKUP($A562,'The List'!$B1:$AH671,18,FALSE)-AVERAGE('The List'!S2:S671))/STDEV('The List'!S2:S671)</f>
        <v>-1.2128228851882141</v>
      </c>
      <c r="G562" s="55" cm="1">
        <f t="array" ref="G562">(VLOOKUP($A562,'The List'!$B1:$AH671,19,FALSE)-AVERAGE('The List'!T2:T671))/STDEV('The List'!T2:T671)</f>
        <v>-0.76282249665112556</v>
      </c>
      <c r="H562" s="55" cm="1">
        <f t="array" ref="H562">(VLOOKUP($A562,'The List'!$B1:$AH671,20,FALSE)-AVERAGE('The List'!U2:U671))/STDEV('The List'!U2:U671)</f>
        <v>-1.0171340671337861</v>
      </c>
      <c r="I562" s="55" cm="1">
        <f t="array" ref="I562">(VLOOKUP($A562,'The List'!$B1:$AH671,21,FALSE)-AVERAGE('The List'!V2:V671))/STDEV('The List'!V2:V671)</f>
        <v>-0.80192468654448779</v>
      </c>
      <c r="J562" s="55" cm="1">
        <f t="array" ref="J562">(VLOOKUP($A562,'The List'!$B1:$AH671,22,FALSE)-AVERAGE('The List'!W2:W671))/STDEV('The List'!W2:W671)</f>
        <v>-0.73853908386105271</v>
      </c>
      <c r="K562" s="55" cm="1">
        <f t="array" ref="K562">(VLOOKUP($A562,'The List'!$B1:$AH671,23,FALSE)-AVERAGE('The List'!X2:X671))/STDEV('The List'!X2:X671)</f>
        <v>-0.80155300200843405</v>
      </c>
      <c r="L562" s="55" cm="1">
        <f t="array" ref="L562">(VLOOKUP($A562,'The List'!$B1:$AH671,24,FALSE)-AVERAGE('The List'!Y2:Y671))/STDEV('The List'!Y2:Y671)</f>
        <v>-0.47546929358800777</v>
      </c>
      <c r="M562" s="55" cm="1">
        <f t="array" ref="M562">(VLOOKUP($A562,'The List'!$B1:$AH671,25,FALSE)-AVERAGE('The List'!Z2:Z671))/STDEV('The List'!Z2:Z671)</f>
        <v>-0.64388478613809508</v>
      </c>
      <c r="N562" s="55" cm="1">
        <f t="array" ref="N562">(VLOOKUP($A562,'The List'!$B1:$AH671,26,FALSE)-AVERAGE('The List'!AA2:AA671))/STDEV('The List'!AA2:AA671)</f>
        <v>1.1967533386237819</v>
      </c>
      <c r="O562" s="55" cm="1">
        <f t="array" ref="O562">(VLOOKUP($A562,'The List'!$B1:$AH671,27,FALSE)-AVERAGE('The List'!AB2:AB671))/STDEV('The List'!AB2:AB671)</f>
        <v>0.23188510604480722</v>
      </c>
      <c r="P562" s="55" cm="1">
        <f t="array" ref="P562">(VLOOKUP($A562,'The List'!$B1:$AH671,28,FALSE)-AVERAGE('The List'!AC2:AC671))/STDEV('The List'!AC2:AC671)</f>
        <v>-0.1049396195986151</v>
      </c>
      <c r="Q562" s="55" cm="1">
        <f t="array" ref="Q562">(VLOOKUP($A562,'The List'!$B1:$AH671,29,FALSE)-AVERAGE('The List'!AD2:AD671))/STDEV('The List'!AD2:AD671)</f>
        <v>-0.24594115790336463</v>
      </c>
      <c r="R562" s="55" cm="1">
        <f t="array" ref="R562">(VLOOKUP($A562,'The List'!$B1:$AH671,30,FALSE)-AVERAGE('The List'!AE2:AE671))/STDEV('The List'!AE2:AE671)</f>
        <v>-1.3444971337400937</v>
      </c>
      <c r="S562" s="55" cm="1">
        <f t="array" ref="S562">(VLOOKUP($A562,'The List'!$B1:$AH671,31,FALSE)-AVERAGE('The List'!AF2:AF671))/STDEV('The List'!AF2:AF671)</f>
        <v>-0.59581850454342256</v>
      </c>
      <c r="T562" s="55" cm="1">
        <f t="array" ref="T562">(VLOOKUP($A562,'The List'!$B1:$AH671,32,FALSE)-AVERAGE('The List'!AG2:AG671))/STDEV('The List'!AG2:AG671)</f>
        <v>-0.64684275008198677</v>
      </c>
      <c r="U562" s="55" cm="1">
        <f t="array" ref="U562">(VLOOKUP($A562,'The List'!$B1:$AH671,33,FALSE)-AVERAGE('The List'!AH2:AH671))/STDEV('The List'!AH2:AH671)</f>
        <v>-1.2552626683789523</v>
      </c>
      <c r="V562" s="55"/>
      <c r="W562" s="77"/>
      <c r="X562" s="57"/>
      <c r="Y562" s="57"/>
      <c r="Z562" s="57"/>
      <c r="AA562" s="57"/>
      <c r="AB562" s="57"/>
      <c r="AC562" s="60"/>
      <c r="AD562" s="61"/>
      <c r="AE562" s="55"/>
    </row>
    <row r="563" spans="1:31" ht="21.25" customHeight="1" x14ac:dyDescent="0.15">
      <c r="A563" s="10" t="s">
        <v>785</v>
      </c>
      <c r="B563" s="18" t="str" cm="1">
        <f t="array" ref="B563">VLOOKUP(A563,'Player Data'!A1:B673,2,FALSE)</f>
        <v>N.J</v>
      </c>
      <c r="C563" s="52" cm="1">
        <f t="array" ref="C563">((E563)*Settings!$C$12)+(F563*Settings!$C$2)+(G563*Settings!$C$3)+(H563*Settings!$C$4)+(I563*Settings!$C$5)+(K563*Settings!$C$9)+(N563*Settings!$C$6)+(J563*Settings!$C$8)+(O563*Settings!$C$7)+(P563*Settings!$C$14)+(Q563*Settings!$C$15)+(R563*Settings!$C$16)+(S563*Settings!$C$17)+(T563*Settings!$C$18)+(U563*Settings!$C$19)+(L563*Settings!$C$10)+(Settings!$C$11*M563)</f>
        <v>-3.0795150760567567</v>
      </c>
      <c r="D563" s="57" cm="1">
        <f t="array" ref="D563">IF(Settings!$E$12="YES",VLOOKUP(A563,'Player Data'!A1:E673,5,FALSE),82)</f>
        <v>78</v>
      </c>
      <c r="E563" s="55" cm="1">
        <f t="array" ref="E563">(VLOOKUP($A563,'The List'!$B1:$AH671,17,FALSE)-AVERAGE('The List'!R2:R671))/STDEV('The List'!R2:R671)</f>
        <v>-1.8924779286714324</v>
      </c>
      <c r="F563" s="55" cm="1">
        <f t="array" ref="F563">(VLOOKUP($A563,'The List'!$B1:$AH671,18,FALSE)-AVERAGE('The List'!S2:S671))/STDEV('The List'!S2:S671)</f>
        <v>-0.74977905000906608</v>
      </c>
      <c r="G563" s="55" cm="1">
        <f t="array" ref="G563">(VLOOKUP($A563,'The List'!$B1:$AH671,19,FALSE)-AVERAGE('The List'!T2:T671))/STDEV('The List'!T2:T671)</f>
        <v>-1.0593765544605471</v>
      </c>
      <c r="H563" s="55" cm="1">
        <f t="array" ref="H563">(VLOOKUP($A563,'The List'!$B1:$AH671,20,FALSE)-AVERAGE('The List'!U2:U671))/STDEV('The List'!U2:U671)</f>
        <v>-0.9985670384575307</v>
      </c>
      <c r="I563" s="55" cm="1">
        <f t="array" ref="I563">(VLOOKUP($A563,'The List'!$B1:$AH671,21,FALSE)-AVERAGE('The List'!V2:V671))/STDEV('The List'!V2:V671)</f>
        <v>-1.1599094663653413</v>
      </c>
      <c r="J563" s="55" cm="1">
        <f t="array" ref="J563">(VLOOKUP($A563,'The List'!$B1:$AH671,22,FALSE)-AVERAGE('The List'!W2:W671))/STDEV('The List'!W2:W671)</f>
        <v>-0.73853908386105271</v>
      </c>
      <c r="K563" s="55" cm="1">
        <f t="array" ref="K563">(VLOOKUP($A563,'The List'!$B1:$AH671,23,FALSE)-AVERAGE('The List'!X2:X671))/STDEV('The List'!X2:X671)</f>
        <v>-0.80155300200843405</v>
      </c>
      <c r="L563" s="55" cm="1">
        <f t="array" ref="L563">(VLOOKUP($A563,'The List'!$B1:$AH671,24,FALSE)-AVERAGE('The List'!Y2:Y671))/STDEV('The List'!Y2:Y671)</f>
        <v>-0.47546929358800777</v>
      </c>
      <c r="M563" s="55" cm="1">
        <f t="array" ref="M563">(VLOOKUP($A563,'The List'!$B1:$AH671,25,FALSE)-AVERAGE('The List'!Z2:Z671))/STDEV('The List'!Z2:Z671)</f>
        <v>-0.64388478613809508</v>
      </c>
      <c r="N563" s="55" cm="1">
        <f t="array" ref="N563">(VLOOKUP($A563,'The List'!$B1:$AH671,26,FALSE)-AVERAGE('The List'!AA2:AA671))/STDEV('The List'!AA2:AA671)</f>
        <v>-0.92570052201656838</v>
      </c>
      <c r="O563" s="55" cm="1">
        <f t="array" ref="O563">(VLOOKUP($A563,'The List'!$B1:$AH671,27,FALSE)-AVERAGE('The List'!AB2:AB671))/STDEV('The List'!AB2:AB671)</f>
        <v>0.96533016300702279</v>
      </c>
      <c r="P563" s="55" cm="1">
        <f t="array" ref="P563">(VLOOKUP($A563,'The List'!$B1:$AH671,28,FALSE)-AVERAGE('The List'!AC2:AC671))/STDEV('The List'!AC2:AC671)</f>
        <v>-0.27422716622039084</v>
      </c>
      <c r="Q563" s="55" cm="1">
        <f t="array" ref="Q563">(VLOOKUP($A563,'The List'!$B1:$AH671,29,FALSE)-AVERAGE('The List'!AD2:AD671))/STDEV('The List'!AD2:AD671)</f>
        <v>-1.3364748372605546</v>
      </c>
      <c r="R563" s="55" cm="1">
        <f t="array" ref="R563">(VLOOKUP($A563,'The List'!$B1:$AH671,30,FALSE)-AVERAGE('The List'!AE2:AE671))/STDEV('The List'!AE2:AE671)</f>
        <v>-0.85793399251974589</v>
      </c>
      <c r="S563" s="55" cm="1">
        <f t="array" ref="S563">(VLOOKUP($A563,'The List'!$B1:$AH671,31,FALSE)-AVERAGE('The List'!AF2:AF671))/STDEV('The List'!AF2:AF671)</f>
        <v>-0.38956712903309904</v>
      </c>
      <c r="T563" s="55" cm="1">
        <f t="array" ref="T563">(VLOOKUP($A563,'The List'!$B1:$AH671,32,FALSE)-AVERAGE('The List'!AG2:AG671))/STDEV('The List'!AG2:AG671)</f>
        <v>-0.2686826682464441</v>
      </c>
      <c r="U563" s="55" cm="1">
        <f t="array" ref="U563">(VLOOKUP($A563,'The List'!$B1:$AH671,33,FALSE)-AVERAGE('The List'!AH2:AH671))/STDEV('The List'!AH2:AH671)</f>
        <v>0.44670864143497252</v>
      </c>
      <c r="V563" s="55"/>
      <c r="W563" s="77"/>
      <c r="X563" s="57"/>
      <c r="Y563" s="57"/>
      <c r="Z563" s="57"/>
      <c r="AA563" s="57"/>
      <c r="AB563" s="57"/>
      <c r="AC563" s="60"/>
      <c r="AD563" s="61"/>
      <c r="AE563" s="55"/>
    </row>
    <row r="564" spans="1:31" ht="21.25" customHeight="1" x14ac:dyDescent="0.15">
      <c r="A564" s="10" t="s">
        <v>520</v>
      </c>
      <c r="B564" s="18" t="str" cm="1">
        <f t="array" ref="B564">VLOOKUP(A564,'Player Data'!A1:B673,2,FALSE)</f>
        <v>TOR</v>
      </c>
      <c r="C564" s="52" cm="1">
        <f t="array" ref="C564">((E564)*Settings!$C$12)+(F564*Settings!$C$2)+(G564*Settings!$C$3)+(H564*Settings!$C$4)+(I564*Settings!$C$5)+(K564*Settings!$C$9)+(N564*Settings!$C$6)+(J564*Settings!$C$8)+(O564*Settings!$C$7)+(P564*Settings!$C$14)+(Q564*Settings!$C$15)+(R564*Settings!$C$16)+(S564*Settings!$C$17)+(T564*Settings!$C$18)+(U564*Settings!$C$19)+(L564*Settings!$C$10)+(Settings!$C$11*M564)</f>
        <v>-5.130382523126487</v>
      </c>
      <c r="D564" s="57" cm="1">
        <f t="array" ref="D564">IF(Settings!$E$12="YES",VLOOKUP(A564,'Player Data'!A1:E673,5,FALSE),82)</f>
        <v>70</v>
      </c>
      <c r="E564" s="55" cm="1">
        <f t="array" ref="E564">(VLOOKUP($A564,'The List'!$B1:$AH671,17,FALSE)-AVERAGE('The List'!R2:R671))/STDEV('The List'!R2:R671)</f>
        <v>0.73073308890648425</v>
      </c>
      <c r="F564" s="55" cm="1">
        <f t="array" ref="F564">(VLOOKUP($A564,'The List'!$B1:$AH671,18,FALSE)-AVERAGE('The List'!S2:S671))/STDEV('The List'!S2:S671)</f>
        <v>-1.3724931731810237</v>
      </c>
      <c r="G564" s="55" cm="1">
        <f t="array" ref="G564">(VLOOKUP($A564,'The List'!$B1:$AH671,19,FALSE)-AVERAGE('The List'!T2:T671))/STDEV('The List'!T2:T671)</f>
        <v>-0.77687719133403654</v>
      </c>
      <c r="H564" s="55" cm="1">
        <f t="array" ref="H564">(VLOOKUP($A564,'The List'!$B1:$AH671,20,FALSE)-AVERAGE('The List'!U2:U671))/STDEV('The List'!U2:U671)</f>
        <v>-1.0967070471748808</v>
      </c>
      <c r="I564" s="55" cm="1">
        <f t="array" ref="I564">(VLOOKUP($A564,'The List'!$B1:$AH671,21,FALSE)-AVERAGE('The List'!V2:V671))/STDEV('The List'!V2:V671)</f>
        <v>-1.5794012836457623</v>
      </c>
      <c r="J564" s="55" cm="1">
        <f t="array" ref="J564">(VLOOKUP($A564,'The List'!$B1:$AH671,22,FALSE)-AVERAGE('The List'!W2:W671))/STDEV('The List'!W2:W671)</f>
        <v>-0.73853908386105271</v>
      </c>
      <c r="K564" s="55" cm="1">
        <f t="array" ref="K564">(VLOOKUP($A564,'The List'!$B1:$AH671,23,FALSE)-AVERAGE('The List'!X2:X671))/STDEV('The List'!X2:X671)</f>
        <v>-0.80155300200843405</v>
      </c>
      <c r="L564" s="55" cm="1">
        <f t="array" ref="L564">(VLOOKUP($A564,'The List'!$B1:$AH671,24,FALSE)-AVERAGE('The List'!Y2:Y671))/STDEV('The List'!Y2:Y671)</f>
        <v>-0.47546929358800777</v>
      </c>
      <c r="M564" s="55" cm="1">
        <f t="array" ref="M564">(VLOOKUP($A564,'The List'!$B1:$AH671,25,FALSE)-AVERAGE('The List'!Z2:Z671))/STDEV('The List'!Z2:Z671)</f>
        <v>0.1167488329539987</v>
      </c>
      <c r="N564" s="55" cm="1">
        <f t="array" ref="N564">(VLOOKUP($A564,'The List'!$B1:$AH671,26,FALSE)-AVERAGE('The List'!AA2:AA671))/STDEV('The List'!AA2:AA671)</f>
        <v>1.9885231301984012</v>
      </c>
      <c r="O564" s="55" cm="1">
        <f t="array" ref="O564">(VLOOKUP($A564,'The List'!$B1:$AH671,27,FALSE)-AVERAGE('The List'!AB2:AB671))/STDEV('The List'!AB2:AB671)</f>
        <v>-0.9508924173403196</v>
      </c>
      <c r="P564" s="55" cm="1">
        <f t="array" ref="P564">(VLOOKUP($A564,'The List'!$B1:$AH671,28,FALSE)-AVERAGE('The List'!AC2:AC671))/STDEV('The List'!AC2:AC671)</f>
        <v>0.35083454438308881</v>
      </c>
      <c r="Q564" s="55" cm="1">
        <f t="array" ref="Q564">(VLOOKUP($A564,'The List'!$B1:$AH671,29,FALSE)-AVERAGE('The List'!AD2:AD671))/STDEV('The List'!AD2:AD671)</f>
        <v>-0.56364405907110948</v>
      </c>
      <c r="R564" s="55" cm="1">
        <f t="array" ref="R564">(VLOOKUP($A564,'The List'!$B1:$AH671,30,FALSE)-AVERAGE('The List'!AE2:AE671))/STDEV('The List'!AE2:AE671)</f>
        <v>-1.3444971337400937</v>
      </c>
      <c r="S564" s="55" cm="1">
        <f t="array" ref="S564">(VLOOKUP($A564,'The List'!$B1:$AH671,31,FALSE)-AVERAGE('The List'!AF2:AF671))/STDEV('The List'!AF2:AF671)</f>
        <v>-0.59581850454342256</v>
      </c>
      <c r="T564" s="55" cm="1">
        <f t="array" ref="T564">(VLOOKUP($A564,'The List'!$B1:$AH671,32,FALSE)-AVERAGE('The List'!AG2:AG671))/STDEV('The List'!AG2:AG671)</f>
        <v>-0.64684275008198677</v>
      </c>
      <c r="U564" s="55" cm="1">
        <f t="array" ref="U564">(VLOOKUP($A564,'The List'!$B1:$AH671,33,FALSE)-AVERAGE('The List'!AH2:AH671))/STDEV('The List'!AH2:AH671)</f>
        <v>-1.2552626683789523</v>
      </c>
      <c r="V564" s="55"/>
      <c r="W564" s="77"/>
      <c r="X564" s="57"/>
      <c r="Y564" s="57"/>
      <c r="Z564" s="57"/>
      <c r="AA564" s="57"/>
      <c r="AB564" s="57"/>
      <c r="AC564" s="60"/>
      <c r="AD564" s="61"/>
      <c r="AE564" s="55"/>
    </row>
    <row r="565" spans="1:31" ht="21.25" customHeight="1" x14ac:dyDescent="0.15">
      <c r="A565" s="10" t="s">
        <v>778</v>
      </c>
      <c r="B565" s="18" t="str" cm="1">
        <f t="array" ref="B565">VLOOKUP(A565,'Player Data'!A1:B673,2,FALSE)</f>
        <v>ANA</v>
      </c>
      <c r="C565" s="52" cm="1">
        <f t="array" ref="C565">((E565)*Settings!$C$12)+(F565*Settings!$C$2)+(G565*Settings!$C$3)+(H565*Settings!$C$4)+(I565*Settings!$C$5)+(K565*Settings!$C$9)+(N565*Settings!$C$6)+(J565*Settings!$C$8)+(O565*Settings!$C$7)+(P565*Settings!$C$14)+(Q565*Settings!$C$15)+(R565*Settings!$C$16)+(S565*Settings!$C$17)+(T565*Settings!$C$18)+(U565*Settings!$C$19)+(L565*Settings!$C$10)+(Settings!$C$11*M565)</f>
        <v>-4.1055687671862326</v>
      </c>
      <c r="D565" s="57" cm="1">
        <f t="array" ref="D565">IF(Settings!$E$12="YES",VLOOKUP(A565,'Player Data'!A1:E673,5,FALSE),82)</f>
        <v>61</v>
      </c>
      <c r="E565" s="55" cm="1">
        <f t="array" ref="E565">(VLOOKUP($A565,'The List'!$B1:$AH671,17,FALSE)-AVERAGE('The List'!R2:R671))/STDEV('The List'!R2:R671)</f>
        <v>-1.2104430641011743</v>
      </c>
      <c r="F565" s="55" cm="1">
        <f t="array" ref="F565">(VLOOKUP($A565,'The List'!$B1:$AH671,18,FALSE)-AVERAGE('The List'!S2:S671))/STDEV('The List'!S2:S671)</f>
        <v>-0.88549879480295435</v>
      </c>
      <c r="G565" s="55" cm="1">
        <f t="array" ref="G565">(VLOOKUP($A565,'The List'!$B1:$AH671,19,FALSE)-AVERAGE('The List'!T2:T671))/STDEV('The List'!T2:T671)</f>
        <v>-1.2336547685286432</v>
      </c>
      <c r="H565" s="55" cm="1">
        <f t="array" ref="H565">(VLOOKUP($A565,'The List'!$B1:$AH671,20,FALSE)-AVERAGE('The List'!U2:U671))/STDEV('The List'!U2:U671)</f>
        <v>-1.1683227292118661</v>
      </c>
      <c r="I565" s="55" cm="1">
        <f t="array" ref="I565">(VLOOKUP($A565,'The List'!$B1:$AH671,21,FALSE)-AVERAGE('The List'!V2:V671))/STDEV('The List'!V2:V671)</f>
        <v>-1.2250447279447145</v>
      </c>
      <c r="J565" s="55" cm="1">
        <f t="array" ref="J565">(VLOOKUP($A565,'The List'!$B1:$AH671,22,FALSE)-AVERAGE('The List'!W2:W671))/STDEV('The List'!W2:W671)</f>
        <v>-0.73853908386105271</v>
      </c>
      <c r="K565" s="55" cm="1">
        <f t="array" ref="K565">(VLOOKUP($A565,'The List'!$B1:$AH671,23,FALSE)-AVERAGE('The List'!X2:X671))/STDEV('The List'!X2:X671)</f>
        <v>-0.80155300200843405</v>
      </c>
      <c r="L565" s="55" cm="1">
        <f t="array" ref="L565">(VLOOKUP($A565,'The List'!$B1:$AH671,24,FALSE)-AVERAGE('The List'!Y2:Y671))/STDEV('The List'!Y2:Y671)</f>
        <v>-0.47546929358800777</v>
      </c>
      <c r="M565" s="55" cm="1">
        <f t="array" ref="M565">(VLOOKUP($A565,'The List'!$B1:$AH671,25,FALSE)-AVERAGE('The List'!Z2:Z671))/STDEV('The List'!Z2:Z671)</f>
        <v>1.8953081927872279E-2</v>
      </c>
      <c r="N565" s="55" cm="1">
        <f t="array" ref="N565">(VLOOKUP($A565,'The List'!$B1:$AH671,26,FALSE)-AVERAGE('The List'!AA2:AA671))/STDEV('The List'!AA2:AA671)</f>
        <v>-0.67258959832287546</v>
      </c>
      <c r="O565" s="55" cm="1">
        <f t="array" ref="O565">(VLOOKUP($A565,'The List'!$B1:$AH671,27,FALSE)-AVERAGE('The List'!AB2:AB671))/STDEV('The List'!AB2:AB671)</f>
        <v>0.80707986005150845</v>
      </c>
      <c r="P565" s="55" cm="1">
        <f t="array" ref="P565">(VLOOKUP($A565,'The List'!$B1:$AH671,28,FALSE)-AVERAGE('The List'!AC2:AC671))/STDEV('The List'!AC2:AC671)</f>
        <v>-0.76689733395299464</v>
      </c>
      <c r="Q565" s="55" cm="1">
        <f t="array" ref="Q565">(VLOOKUP($A565,'The List'!$B1:$AH671,29,FALSE)-AVERAGE('The List'!AD2:AD671))/STDEV('The List'!AD2:AD671)</f>
        <v>-0.93158834926073064</v>
      </c>
      <c r="R565" s="55" cm="1">
        <f t="array" ref="R565">(VLOOKUP($A565,'The List'!$B1:$AH671,30,FALSE)-AVERAGE('The List'!AE2:AE671))/STDEV('The List'!AE2:AE671)</f>
        <v>-0.96397980534982186</v>
      </c>
      <c r="S565" s="55" cm="1">
        <f t="array" ref="S565">(VLOOKUP($A565,'The List'!$B1:$AH671,31,FALSE)-AVERAGE('The List'!AF2:AF671))/STDEV('The List'!AF2:AF671)</f>
        <v>1.0904908185392341</v>
      </c>
      <c r="T565" s="55" cm="1">
        <f t="array" ref="T565">(VLOOKUP($A565,'The List'!$B1:$AH671,32,FALSE)-AVERAGE('The List'!AG2:AG671))/STDEV('The List'!AG2:AG671)</f>
        <v>0.67309414014668734</v>
      </c>
      <c r="U565" s="55" cm="1">
        <f t="array" ref="U565">(VLOOKUP($A565,'The List'!$B1:$AH671,33,FALSE)-AVERAGE('The List'!AH2:AH671))/STDEV('The List'!AH2:AH671)</f>
        <v>1.4126923578158486</v>
      </c>
      <c r="V565" s="55"/>
      <c r="W565" s="77"/>
      <c r="X565" s="57"/>
      <c r="Y565" s="57"/>
      <c r="Z565" s="57"/>
      <c r="AA565" s="57"/>
      <c r="AB565" s="57"/>
      <c r="AC565" s="60"/>
      <c r="AD565" s="61"/>
      <c r="AE565" s="55"/>
    </row>
    <row r="566" spans="1:31" ht="21.25" customHeight="1" x14ac:dyDescent="0.15">
      <c r="A566" s="10" t="s">
        <v>549</v>
      </c>
      <c r="B566" s="18" t="str" cm="1">
        <f t="array" ref="B566">VLOOKUP(A566,'Player Data'!A1:B673,2,FALSE)</f>
        <v>FLA</v>
      </c>
      <c r="C566" s="52" cm="1">
        <f t="array" ref="C566">((E566)*Settings!$C$12)+(F566*Settings!$C$2)+(G566*Settings!$C$3)+(H566*Settings!$C$4)+(I566*Settings!$C$5)+(K566*Settings!$C$9)+(N566*Settings!$C$6)+(J566*Settings!$C$8)+(O566*Settings!$C$7)+(P566*Settings!$C$14)+(Q566*Settings!$C$15)+(R566*Settings!$C$16)+(S566*Settings!$C$17)+(T566*Settings!$C$18)+(U566*Settings!$C$19)+(L566*Settings!$C$10)+(Settings!$C$11*M566)</f>
        <v>-2.9027931141239889</v>
      </c>
      <c r="D566" s="57" cm="1">
        <f t="array" ref="D566">IF(Settings!$E$12="YES",VLOOKUP(A566,'Player Data'!A1:E673,5,FALSE),82)</f>
        <v>78</v>
      </c>
      <c r="E566" s="55" cm="1">
        <f t="array" ref="E566">(VLOOKUP($A566,'The List'!$B1:$AH671,17,FALSE)-AVERAGE('The List'!R2:R671))/STDEV('The List'!R2:R671)</f>
        <v>0.12739455486356333</v>
      </c>
      <c r="F566" s="55" cm="1">
        <f t="array" ref="F566">(VLOOKUP($A566,'The List'!$B1:$AH671,18,FALSE)-AVERAGE('The List'!S2:S671))/STDEV('The List'!S2:S671)</f>
        <v>-1.1389753769915396</v>
      </c>
      <c r="G566" s="55" cm="1">
        <f t="array" ref="G566">(VLOOKUP($A566,'The List'!$B1:$AH671,19,FALSE)-AVERAGE('The List'!T2:T671))/STDEV('The List'!T2:T671)</f>
        <v>-0.84012331740713597</v>
      </c>
      <c r="H566" s="55" cm="1">
        <f t="array" ref="H566">(VLOOKUP($A566,'The List'!$B1:$AH671,20,FALSE)-AVERAGE('The List'!U2:U671))/STDEV('The List'!U2:U671)</f>
        <v>-1.0330486631420051</v>
      </c>
      <c r="I566" s="55" cm="1">
        <f t="array" ref="I566">(VLOOKUP($A566,'The List'!$B1:$AH671,21,FALSE)-AVERAGE('The List'!V2:V671))/STDEV('The List'!V2:V671)</f>
        <v>-1.0520993782339645</v>
      </c>
      <c r="J566" s="55" cm="1">
        <f t="array" ref="J566">(VLOOKUP($A566,'The List'!$B1:$AH671,22,FALSE)-AVERAGE('The List'!W2:W671))/STDEV('The List'!W2:W671)</f>
        <v>-0.73853908386105271</v>
      </c>
      <c r="K566" s="55" cm="1">
        <f t="array" ref="K566">(VLOOKUP($A566,'The List'!$B1:$AH671,23,FALSE)-AVERAGE('The List'!X2:X671))/STDEV('The List'!X2:X671)</f>
        <v>-0.80155300200843405</v>
      </c>
      <c r="L566" s="55" cm="1">
        <f t="array" ref="L566">(VLOOKUP($A566,'The List'!$B1:$AH671,24,FALSE)-AVERAGE('The List'!Y2:Y671))/STDEV('The List'!Y2:Y671)</f>
        <v>-0.47546929358800777</v>
      </c>
      <c r="M566" s="55" cm="1">
        <f t="array" ref="M566">(VLOOKUP($A566,'The List'!$B1:$AH671,25,FALSE)-AVERAGE('The List'!Z2:Z671))/STDEV('The List'!Z2:Z671)</f>
        <v>-0.64388478613809508</v>
      </c>
      <c r="N566" s="55" cm="1">
        <f t="array" ref="N566">(VLOOKUP($A566,'The List'!$B1:$AH671,26,FALSE)-AVERAGE('The List'!AA2:AA671))/STDEV('The List'!AA2:AA671)</f>
        <v>0.46883594959550318</v>
      </c>
      <c r="O566" s="55" cm="1">
        <f t="array" ref="O566">(VLOOKUP($A566,'The List'!$B1:$AH671,27,FALSE)-AVERAGE('The List'!AB2:AB671))/STDEV('The List'!AB2:AB671)</f>
        <v>0.35774739362859742</v>
      </c>
      <c r="P566" s="55" cm="1">
        <f t="array" ref="P566">(VLOOKUP($A566,'The List'!$B1:$AH671,28,FALSE)-AVERAGE('The List'!AC2:AC671))/STDEV('The List'!AC2:AC671)</f>
        <v>0.57221056688848781</v>
      </c>
      <c r="Q566" s="55" cm="1">
        <f t="array" ref="Q566">(VLOOKUP($A566,'The List'!$B1:$AH671,29,FALSE)-AVERAGE('The List'!AD2:AD671))/STDEV('The List'!AD2:AD671)</f>
        <v>0.21953053450519244</v>
      </c>
      <c r="R566" s="55" cm="1">
        <f t="array" ref="R566">(VLOOKUP($A566,'The List'!$B1:$AH671,30,FALSE)-AVERAGE('The List'!AE2:AE671))/STDEV('The List'!AE2:AE671)</f>
        <v>-0.85793399251974589</v>
      </c>
      <c r="S566" s="55" cm="1">
        <f t="array" ref="S566">(VLOOKUP($A566,'The List'!$B1:$AH671,31,FALSE)-AVERAGE('The List'!AF2:AF671))/STDEV('The List'!AF2:AF671)</f>
        <v>-0.59581850454342256</v>
      </c>
      <c r="T566" s="55" cm="1">
        <f t="array" ref="T566">(VLOOKUP($A566,'The List'!$B1:$AH671,32,FALSE)-AVERAGE('The List'!AG2:AG671))/STDEV('The List'!AG2:AG671)</f>
        <v>-0.64684275008198677</v>
      </c>
      <c r="U566" s="55" cm="1">
        <f t="array" ref="U566">(VLOOKUP($A566,'The List'!$B1:$AH671,33,FALSE)-AVERAGE('The List'!AH2:AH671))/STDEV('The List'!AH2:AH671)</f>
        <v>-1.2552626683789523</v>
      </c>
      <c r="V566" s="55"/>
      <c r="W566" s="57"/>
      <c r="X566" s="55"/>
      <c r="Y566" s="55"/>
      <c r="Z566" s="55"/>
      <c r="AA566" s="55"/>
      <c r="AB566" s="55"/>
      <c r="AC566" s="55"/>
      <c r="AD566" s="55"/>
      <c r="AE566" s="55"/>
    </row>
    <row r="567" spans="1:31" ht="21.25" customHeight="1" x14ac:dyDescent="0.15">
      <c r="A567" s="10" t="s">
        <v>755</v>
      </c>
      <c r="B567" s="18" t="str" cm="1">
        <f t="array" ref="B567">VLOOKUP(A567,'Player Data'!A1:B673,2,FALSE)</f>
        <v>NYI</v>
      </c>
      <c r="C567" s="52" cm="1">
        <f t="array" ref="C567">((E567)*Settings!$C$12)+(F567*Settings!$C$2)+(G567*Settings!$C$3)+(H567*Settings!$C$4)+(I567*Settings!$C$5)+(K567*Settings!$C$9)+(N567*Settings!$C$6)+(J567*Settings!$C$8)+(O567*Settings!$C$7)+(P567*Settings!$C$14)+(Q567*Settings!$C$15)+(R567*Settings!$C$16)+(S567*Settings!$C$17)+(T567*Settings!$C$18)+(U567*Settings!$C$19)+(L567*Settings!$C$10)+(Settings!$C$11*M567)</f>
        <v>-2.9348833950168505</v>
      </c>
      <c r="D567" s="57" cm="1">
        <f t="array" ref="D567">IF(Settings!$E$12="YES",VLOOKUP(A567,'Player Data'!A1:E673,5,FALSE),82)</f>
        <v>83</v>
      </c>
      <c r="E567" s="55" cm="1">
        <f t="array" ref="E567">(VLOOKUP($A567,'The List'!$B1:$AH671,17,FALSE)-AVERAGE('The List'!R2:R671))/STDEV('The List'!R2:R671)</f>
        <v>-1.3416036149800701</v>
      </c>
      <c r="F567" s="55" cm="1">
        <f t="array" ref="F567">(VLOOKUP($A567,'The List'!$B1:$AH671,18,FALSE)-AVERAGE('The List'!S2:S671))/STDEV('The List'!S2:S671)</f>
        <v>-0.62703251611459365</v>
      </c>
      <c r="G567" s="55" cm="1">
        <f t="array" ref="G567">(VLOOKUP($A567,'The List'!$B1:$AH671,19,FALSE)-AVERAGE('The List'!T2:T671))/STDEV('The List'!T2:T671)</f>
        <v>-1.1373801099507033</v>
      </c>
      <c r="H567" s="55" cm="1">
        <f t="array" ref="H567">(VLOOKUP($A567,'The List'!$B1:$AH671,20,FALSE)-AVERAGE('The List'!U2:U671))/STDEV('The List'!U2:U671)</f>
        <v>-0.99326217312145781</v>
      </c>
      <c r="I567" s="55" cm="1">
        <f t="array" ref="I567">(VLOOKUP($A567,'The List'!$B1:$AH671,21,FALSE)-AVERAGE('The List'!V2:V671))/STDEV('The List'!V2:V671)</f>
        <v>-0.79311328511067347</v>
      </c>
      <c r="J567" s="55" cm="1">
        <f t="array" ref="J567">(VLOOKUP($A567,'The List'!$B1:$AH671,22,FALSE)-AVERAGE('The List'!W2:W671))/STDEV('The List'!W2:W671)</f>
        <v>-0.73853908386105271</v>
      </c>
      <c r="K567" s="55" cm="1">
        <f t="array" ref="K567">(VLOOKUP($A567,'The List'!$B1:$AH671,23,FALSE)-AVERAGE('The List'!X2:X671))/STDEV('The List'!X2:X671)</f>
        <v>-0.80155300200843405</v>
      </c>
      <c r="L567" s="55" cm="1">
        <f t="array" ref="L567">(VLOOKUP($A567,'The List'!$B1:$AH671,24,FALSE)-AVERAGE('The List'!Y2:Y671))/STDEV('The List'!Y2:Y671)</f>
        <v>1.0460445458883638</v>
      </c>
      <c r="M567" s="55" cm="1">
        <f t="array" ref="M567">(VLOOKUP($A567,'The List'!$B1:$AH671,25,FALSE)-AVERAGE('The List'!Z2:Z671))/STDEV('The List'!Z2:Z671)</f>
        <v>1.1599035105660132</v>
      </c>
      <c r="N567" s="55" cm="1">
        <f t="array" ref="N567">(VLOOKUP($A567,'The List'!$B1:$AH671,26,FALSE)-AVERAGE('The List'!AA2:AA671))/STDEV('The List'!AA2:AA671)</f>
        <v>-0.16023792029104131</v>
      </c>
      <c r="O567" s="55" cm="1">
        <f t="array" ref="O567">(VLOOKUP($A567,'The List'!$B1:$AH671,27,FALSE)-AVERAGE('The List'!AB2:AB671))/STDEV('The List'!AB2:AB671)</f>
        <v>1.4298316999204885</v>
      </c>
      <c r="P567" s="55" cm="1">
        <f t="array" ref="P567">(VLOOKUP($A567,'The List'!$B1:$AH671,28,FALSE)-AVERAGE('The List'!AC2:AC671))/STDEV('The List'!AC2:AC671)</f>
        <v>-1.0056361817529349</v>
      </c>
      <c r="Q567" s="55" cm="1">
        <f t="array" ref="Q567">(VLOOKUP($A567,'The List'!$B1:$AH671,29,FALSE)-AVERAGE('The List'!AD2:AD671))/STDEV('The List'!AD2:AD671)</f>
        <v>-0.47276625245801029</v>
      </c>
      <c r="R567" s="55" cm="1">
        <f t="array" ref="R567">(VLOOKUP($A567,'The List'!$B1:$AH671,30,FALSE)-AVERAGE('The List'!AE2:AE671))/STDEV('The List'!AE2:AE671)</f>
        <v>-0.82674404756972364</v>
      </c>
      <c r="S567" s="55" cm="1">
        <f t="array" ref="S567">(VLOOKUP($A567,'The List'!$B1:$AH671,31,FALSE)-AVERAGE('The List'!AF2:AF671))/STDEV('The List'!AF2:AF671)</f>
        <v>1.0721733886862195</v>
      </c>
      <c r="T567" s="55" cm="1">
        <f t="array" ref="T567">(VLOOKUP($A567,'The List'!$B1:$AH671,32,FALSE)-AVERAGE('The List'!AG2:AG671))/STDEV('The List'!AG2:AG671)</f>
        <v>0.83145186402464821</v>
      </c>
      <c r="U567" s="55" cm="1">
        <f t="array" ref="U567">(VLOOKUP($A567,'The List'!$B1:$AH671,33,FALSE)-AVERAGE('The List'!AH2:AH671))/STDEV('The List'!AH2:AH671)</f>
        <v>1.2746946840471525</v>
      </c>
      <c r="V567" s="55"/>
      <c r="W567" s="77"/>
      <c r="X567" s="57"/>
      <c r="Y567" s="57"/>
      <c r="Z567" s="57"/>
      <c r="AA567" s="57"/>
      <c r="AB567" s="57"/>
      <c r="AC567" s="60"/>
      <c r="AD567" s="61"/>
      <c r="AE567" s="55"/>
    </row>
    <row r="568" spans="1:31" ht="21.25" customHeight="1" x14ac:dyDescent="0.15">
      <c r="A568" s="10" t="s">
        <v>492</v>
      </c>
      <c r="B568" s="18" t="str" cm="1">
        <f t="array" ref="B568">VLOOKUP(A568,'Player Data'!A1:B673,2,FALSE)</f>
        <v>FLA</v>
      </c>
      <c r="C568" s="52" cm="1">
        <f t="array" ref="C568">((E568)*Settings!$C$12)+(F568*Settings!$C$2)+(G568*Settings!$C$3)+(H568*Settings!$C$4)+(I568*Settings!$C$5)+(K568*Settings!$C$9)+(N568*Settings!$C$6)+(J568*Settings!$C$8)+(O568*Settings!$C$7)+(P568*Settings!$C$14)+(Q568*Settings!$C$15)+(R568*Settings!$C$16)+(S568*Settings!$C$17)+(T568*Settings!$C$18)+(U568*Settings!$C$19)+(L568*Settings!$C$10)+(Settings!$C$11*M568)</f>
        <v>-1.139663198016478</v>
      </c>
      <c r="D568" s="57" cm="1">
        <f t="array" ref="D568">IF(Settings!$E$12="YES",VLOOKUP(A568,'Player Data'!A1:E673,5,FALSE),82)</f>
        <v>78</v>
      </c>
      <c r="E568" s="55" cm="1">
        <f t="array" ref="E568">(VLOOKUP($A568,'The List'!$B1:$AH671,17,FALSE)-AVERAGE('The List'!R2:R671))/STDEV('The List'!R2:R671)</f>
        <v>-0.18739076724578643</v>
      </c>
      <c r="F568" s="55" cm="1">
        <f t="array" ref="F568">(VLOOKUP($A568,'The List'!$B1:$AH671,18,FALSE)-AVERAGE('The List'!S2:S671))/STDEV('The List'!S2:S671)</f>
        <v>-1.1389753769915396</v>
      </c>
      <c r="G568" s="55" cm="1">
        <f t="array" ref="G568">(VLOOKUP($A568,'The List'!$B1:$AH671,19,FALSE)-AVERAGE('The List'!T2:T671))/STDEV('The List'!T2:T671)</f>
        <v>-0.84012331740713597</v>
      </c>
      <c r="H568" s="55" cm="1">
        <f t="array" ref="H568">(VLOOKUP($A568,'The List'!$B1:$AH671,20,FALSE)-AVERAGE('The List'!U2:U671))/STDEV('The List'!U2:U671)</f>
        <v>-1.0330486631420051</v>
      </c>
      <c r="I568" s="55" cm="1">
        <f t="array" ref="I568">(VLOOKUP($A568,'The List'!$B1:$AH671,21,FALSE)-AVERAGE('The List'!V2:V671))/STDEV('The List'!V2:V671)</f>
        <v>-0.90386050705332166</v>
      </c>
      <c r="J568" s="55" cm="1">
        <f t="array" ref="J568">(VLOOKUP($A568,'The List'!$B1:$AH671,22,FALSE)-AVERAGE('The List'!W2:W671))/STDEV('The List'!W2:W671)</f>
        <v>-0.73853908386105271</v>
      </c>
      <c r="K568" s="55" cm="1">
        <f t="array" ref="K568">(VLOOKUP($A568,'The List'!$B1:$AH671,23,FALSE)-AVERAGE('The List'!X2:X671))/STDEV('The List'!X2:X671)</f>
        <v>-0.80155300200843405</v>
      </c>
      <c r="L568" s="55" cm="1">
        <f t="array" ref="L568">(VLOOKUP($A568,'The List'!$B1:$AH671,24,FALSE)-AVERAGE('The List'!Y2:Y671))/STDEV('The List'!Y2:Y671)</f>
        <v>-0.47546929358800777</v>
      </c>
      <c r="M568" s="55" cm="1">
        <f t="array" ref="M568">(VLOOKUP($A568,'The List'!$B1:$AH671,25,FALSE)-AVERAGE('The List'!Z2:Z671))/STDEV('The List'!Z2:Z671)</f>
        <v>-0.64388478613809508</v>
      </c>
      <c r="N568" s="55" cm="1">
        <f t="array" ref="N568">(VLOOKUP($A568,'The List'!$B1:$AH671,26,FALSE)-AVERAGE('The List'!AA2:AA671))/STDEV('The List'!AA2:AA671)</f>
        <v>1.4250895301294948</v>
      </c>
      <c r="O568" s="55" cm="1">
        <f t="array" ref="O568">(VLOOKUP($A568,'The List'!$B1:$AH671,27,FALSE)-AVERAGE('The List'!AB2:AB671))/STDEV('The List'!AB2:AB671)</f>
        <v>1.9726384385554652</v>
      </c>
      <c r="P568" s="55" cm="1">
        <f t="array" ref="P568">(VLOOKUP($A568,'The List'!$B1:$AH671,28,FALSE)-AVERAGE('The List'!AC2:AC671))/STDEV('The List'!AC2:AC671)</f>
        <v>0.57221056688848781</v>
      </c>
      <c r="Q568" s="55" cm="1">
        <f t="array" ref="Q568">(VLOOKUP($A568,'The List'!$B1:$AH671,29,FALSE)-AVERAGE('The List'!AD2:AD671))/STDEV('The List'!AD2:AD671)</f>
        <v>2.2365745349422719</v>
      </c>
      <c r="R568" s="55" cm="1">
        <f t="array" ref="R568">(VLOOKUP($A568,'The List'!$B1:$AH671,30,FALSE)-AVERAGE('The List'!AE2:AE671))/STDEV('The List'!AE2:AE671)</f>
        <v>-1.3444971337400937</v>
      </c>
      <c r="S568" s="55" cm="1">
        <f t="array" ref="S568">(VLOOKUP($A568,'The List'!$B1:$AH671,31,FALSE)-AVERAGE('The List'!AF2:AF671))/STDEV('The List'!AF2:AF671)</f>
        <v>-0.59581850454342256</v>
      </c>
      <c r="T568" s="55" cm="1">
        <f t="array" ref="T568">(VLOOKUP($A568,'The List'!$B1:$AH671,32,FALSE)-AVERAGE('The List'!AG2:AG671))/STDEV('The List'!AG2:AG671)</f>
        <v>-0.64684275008198677</v>
      </c>
      <c r="U568" s="55" cm="1">
        <f t="array" ref="U568">(VLOOKUP($A568,'The List'!$B1:$AH671,33,FALSE)-AVERAGE('The List'!AH2:AH671))/STDEV('The List'!AH2:AH671)</f>
        <v>-1.2552626683789523</v>
      </c>
      <c r="V568" s="55"/>
      <c r="W568" s="77"/>
      <c r="X568" s="57"/>
      <c r="Y568" s="57"/>
      <c r="Z568" s="57"/>
      <c r="AA568" s="57"/>
      <c r="AB568" s="57"/>
      <c r="AC568" s="60"/>
      <c r="AD568" s="61"/>
      <c r="AE568" s="55"/>
    </row>
    <row r="569" spans="1:31" ht="21.25" customHeight="1" x14ac:dyDescent="0.15">
      <c r="A569" s="10" t="s">
        <v>760</v>
      </c>
      <c r="B569" s="18" t="str" cm="1">
        <f t="array" ref="B569">VLOOKUP(A569,'Player Data'!A1:B673,2,FALSE)</f>
        <v>FLA</v>
      </c>
      <c r="C569" s="52" cm="1">
        <f t="array" ref="C569">((E569)*Settings!$C$12)+(F569*Settings!$C$2)+(G569*Settings!$C$3)+(H569*Settings!$C$4)+(I569*Settings!$C$5)+(K569*Settings!$C$9)+(N569*Settings!$C$6)+(J569*Settings!$C$8)+(O569*Settings!$C$7)+(P569*Settings!$C$14)+(Q569*Settings!$C$15)+(R569*Settings!$C$16)+(S569*Settings!$C$17)+(T569*Settings!$C$18)+(U569*Settings!$C$19)+(L569*Settings!$C$10)+(Settings!$C$11*M569)</f>
        <v>-3.6710145341838385</v>
      </c>
      <c r="D569" s="57" cm="1">
        <f t="array" ref="D569">IF(Settings!$E$12="YES",VLOOKUP(A569,'Player Data'!A1:E673,5,FALSE),82)</f>
        <v>81</v>
      </c>
      <c r="E569" s="55" cm="1">
        <f t="array" ref="E569">(VLOOKUP($A569,'The List'!$B1:$AH671,17,FALSE)-AVERAGE('The List'!R2:R671))/STDEV('The List'!R2:R671)</f>
        <v>-1.682621047265199</v>
      </c>
      <c r="F569" s="55" cm="1">
        <f t="array" ref="F569">(VLOOKUP($A569,'The List'!$B1:$AH671,18,FALSE)-AVERAGE('The List'!S2:S671))/STDEV('The List'!S2:S671)</f>
        <v>-0.80666159010650429</v>
      </c>
      <c r="G569" s="55" cm="1">
        <f t="array" ref="G569">(VLOOKUP($A569,'The List'!$B1:$AH671,19,FALSE)-AVERAGE('The List'!T2:T671))/STDEV('The List'!T2:T671)</f>
        <v>-1.0361863082337441</v>
      </c>
      <c r="H569" s="55" cm="1">
        <f t="array" ref="H569">(VLOOKUP($A569,'The List'!$B1:$AH671,20,FALSE)-AVERAGE('The List'!U2:U671))/STDEV('The List'!U2:U671)</f>
        <v>-1.0091767691296765</v>
      </c>
      <c r="I569" s="55" cm="1">
        <f t="array" ref="I569">(VLOOKUP($A569,'The List'!$B1:$AH671,21,FALSE)-AVERAGE('The List'!V2:V671))/STDEV('The List'!V2:V671)</f>
        <v>-0.88260948006588669</v>
      </c>
      <c r="J569" s="55" cm="1">
        <f t="array" ref="J569">(VLOOKUP($A569,'The List'!$B1:$AH671,22,FALSE)-AVERAGE('The List'!W2:W671))/STDEV('The List'!W2:W671)</f>
        <v>-0.73853908386105271</v>
      </c>
      <c r="K569" s="55" cm="1">
        <f t="array" ref="K569">(VLOOKUP($A569,'The List'!$B1:$AH671,23,FALSE)-AVERAGE('The List'!X2:X671))/STDEV('The List'!X2:X671)</f>
        <v>-0.80155300200843405</v>
      </c>
      <c r="L569" s="55" cm="1">
        <f t="array" ref="L569">(VLOOKUP($A569,'The List'!$B1:$AH671,24,FALSE)-AVERAGE('The List'!Y2:Y671))/STDEV('The List'!Y2:Y671)</f>
        <v>-0.47546929358800777</v>
      </c>
      <c r="M569" s="55" cm="1">
        <f t="array" ref="M569">(VLOOKUP($A569,'The List'!$B1:$AH671,25,FALSE)-AVERAGE('The List'!Z2:Z671))/STDEV('The List'!Z2:Z671)</f>
        <v>0.23627697309704196</v>
      </c>
      <c r="N569" s="55" cm="1">
        <f t="array" ref="N569">(VLOOKUP($A569,'The List'!$B1:$AH671,26,FALSE)-AVERAGE('The List'!AA2:AA671))/STDEV('The List'!AA2:AA671)</f>
        <v>-0.73337708554699144</v>
      </c>
      <c r="O569" s="55" cm="1">
        <f t="array" ref="O569">(VLOOKUP($A569,'The List'!$B1:$AH671,27,FALSE)-AVERAGE('The List'!AB2:AB671))/STDEV('The List'!AB2:AB671)</f>
        <v>-0.39066174638511147</v>
      </c>
      <c r="P569" s="55" cm="1">
        <f t="array" ref="P569">(VLOOKUP($A569,'The List'!$B1:$AH671,28,FALSE)-AVERAGE('The List'!AC2:AC671))/STDEV('The List'!AC2:AC671)</f>
        <v>0.24665759261584222</v>
      </c>
      <c r="Q569" s="55" cm="1">
        <f t="array" ref="Q569">(VLOOKUP($A569,'The List'!$B1:$AH671,29,FALSE)-AVERAGE('The List'!AD2:AD671))/STDEV('The List'!AD2:AD671)</f>
        <v>-0.81780638000530537</v>
      </c>
      <c r="R569" s="55" cm="1">
        <f t="array" ref="R569">(VLOOKUP($A569,'The List'!$B1:$AH671,30,FALSE)-AVERAGE('The List'!AE2:AE671))/STDEV('The List'!AE2:AE671)</f>
        <v>-0.83922002554973252</v>
      </c>
      <c r="S569" s="55" cm="1">
        <f t="array" ref="S569">(VLOOKUP($A569,'The List'!$B1:$AH671,31,FALSE)-AVERAGE('The List'!AF2:AF671))/STDEV('The List'!AF2:AF671)</f>
        <v>1.0241922994649368</v>
      </c>
      <c r="T569" s="55" cm="1">
        <f t="array" ref="T569">(VLOOKUP($A569,'The List'!$B1:$AH671,32,FALSE)-AVERAGE('The List'!AG2:AG671))/STDEV('The List'!AG2:AG671)</f>
        <v>0.88677244819600143</v>
      </c>
      <c r="U569" s="55" cm="1">
        <f t="array" ref="U569">(VLOOKUP($A569,'The List'!$B1:$AH671,33,FALSE)-AVERAGE('The List'!AH2:AH671))/STDEV('The List'!AH2:AH671)</f>
        <v>1.1826962348680212</v>
      </c>
      <c r="V569" s="55"/>
      <c r="W569" s="57"/>
      <c r="X569" s="55"/>
      <c r="Y569" s="55"/>
      <c r="Z569" s="55"/>
      <c r="AA569" s="55"/>
      <c r="AB569" s="55"/>
      <c r="AC569" s="55"/>
      <c r="AD569" s="55"/>
      <c r="AE569" s="55"/>
    </row>
    <row r="570" spans="1:31" ht="21.25" customHeight="1" x14ac:dyDescent="0.15">
      <c r="A570" s="10" t="s">
        <v>787</v>
      </c>
      <c r="B570" s="18" t="str" cm="1">
        <f t="array" ref="B570">VLOOKUP(A570,'Player Data'!A1:B673,2,FALSE)</f>
        <v>CHI</v>
      </c>
      <c r="C570" s="52" cm="1">
        <f t="array" ref="C570">((E570)*Settings!$C$12)+(F570*Settings!$C$2)+(G570*Settings!$C$3)+(H570*Settings!$C$4)+(I570*Settings!$C$5)+(K570*Settings!$C$9)+(N570*Settings!$C$6)+(J570*Settings!$C$8)+(O570*Settings!$C$7)+(P570*Settings!$C$14)+(Q570*Settings!$C$15)+(R570*Settings!$C$16)+(S570*Settings!$C$17)+(T570*Settings!$C$18)+(U570*Settings!$C$19)+(L570*Settings!$C$10)+(Settings!$C$11*M570)</f>
        <v>-5.3817048702612533</v>
      </c>
      <c r="D570" s="57" cm="1">
        <f t="array" ref="D570">IF(Settings!$E$12="YES",VLOOKUP(A570,'Player Data'!A1:E673,5,FALSE),82)</f>
        <v>66</v>
      </c>
      <c r="E570" s="55" cm="1">
        <f t="array" ref="E570">(VLOOKUP($A570,'The List'!$B1:$AH671,17,FALSE)-AVERAGE('The List'!R2:R671))/STDEV('The List'!R2:R671)</f>
        <v>-1.4727641658589659</v>
      </c>
      <c r="F570" s="55" cm="1">
        <f t="array" ref="F570">(VLOOKUP($A570,'The List'!$B1:$AH671,18,FALSE)-AVERAGE('The List'!S2:S671))/STDEV('The List'!S2:S671)</f>
        <v>-0.91144521660178579</v>
      </c>
      <c r="G570" s="55" cm="1">
        <f t="array" ref="G570">(VLOOKUP($A570,'The List'!$B1:$AH671,19,FALSE)-AVERAGE('The List'!T2:T671))/STDEV('The List'!T2:T671)</f>
        <v>-1.1985180318213657</v>
      </c>
      <c r="H570" s="55" cm="1">
        <f t="array" ref="H570">(VLOOKUP($A570,'The List'!$B1:$AH671,20,FALSE)-AVERAGE('The List'!U2:U671))/STDEV('The List'!U2:U671)</f>
        <v>-1.1577129985397201</v>
      </c>
      <c r="I570" s="55" cm="1">
        <f t="array" ref="I570">(VLOOKUP($A570,'The List'!$B1:$AH671,21,FALSE)-AVERAGE('The List'!V2:V671))/STDEV('The List'!V2:V671)</f>
        <v>-1.1122242350764633</v>
      </c>
      <c r="J570" s="55" cm="1">
        <f t="array" ref="J570">(VLOOKUP($A570,'The List'!$B1:$AH671,22,FALSE)-AVERAGE('The List'!W2:W671))/STDEV('The List'!W2:W671)</f>
        <v>-0.73853908386105271</v>
      </c>
      <c r="K570" s="55" cm="1">
        <f t="array" ref="K570">(VLOOKUP($A570,'The List'!$B1:$AH671,23,FALSE)-AVERAGE('The List'!X2:X671))/STDEV('The List'!X2:X671)</f>
        <v>-0.80155300200843405</v>
      </c>
      <c r="L570" s="55" cm="1">
        <f t="array" ref="L570">(VLOOKUP($A570,'The List'!$B1:$AH671,24,FALSE)-AVERAGE('The List'!Y2:Y671))/STDEV('The List'!Y2:Y671)</f>
        <v>-0.47546929358800777</v>
      </c>
      <c r="M570" s="55" cm="1">
        <f t="array" ref="M570">(VLOOKUP($A570,'The List'!$B1:$AH671,25,FALSE)-AVERAGE('The List'!Z2:Z671))/STDEV('The List'!Z2:Z671)</f>
        <v>7.3284054720164735E-2</v>
      </c>
      <c r="N570" s="55" cm="1">
        <f t="array" ref="N570">(VLOOKUP($A570,'The List'!$B1:$AH671,26,FALSE)-AVERAGE('The List'!AA2:AA671))/STDEV('The List'!AA2:AA671)</f>
        <v>-0.83068814702761384</v>
      </c>
      <c r="O570" s="55" cm="1">
        <f t="array" ref="O570">(VLOOKUP($A570,'The List'!$B1:$AH671,27,FALSE)-AVERAGE('The List'!AB2:AB671))/STDEV('The List'!AB2:AB671)</f>
        <v>0.17940832164505111</v>
      </c>
      <c r="P570" s="55" cm="1">
        <f t="array" ref="P570">(VLOOKUP($A570,'The List'!$B1:$AH671,28,FALSE)-AVERAGE('The List'!AC2:AC671))/STDEV('The List'!AC2:AC671)</f>
        <v>-1.5373727063982561</v>
      </c>
      <c r="Q570" s="55" cm="1">
        <f t="array" ref="Q570">(VLOOKUP($A570,'The List'!$B1:$AH671,29,FALSE)-AVERAGE('The List'!AD2:AD671))/STDEV('The List'!AD2:AD671)</f>
        <v>-0.95966441959648496</v>
      </c>
      <c r="R570" s="55" cm="1">
        <f t="array" ref="R570">(VLOOKUP($A570,'The List'!$B1:$AH671,30,FALSE)-AVERAGE('The List'!AE2:AE671))/STDEV('The List'!AE2:AE671)</f>
        <v>-0.93278986039979939</v>
      </c>
      <c r="S570" s="55" cm="1">
        <f t="array" ref="S570">(VLOOKUP($A570,'The List'!$B1:$AH671,31,FALSE)-AVERAGE('The List'!AF2:AF671))/STDEV('The List'!AF2:AF671)</f>
        <v>-0.59264540645864838</v>
      </c>
      <c r="T570" s="55" cm="1">
        <f t="array" ref="T570">(VLOOKUP($A570,'The List'!$B1:$AH671,32,FALSE)-AVERAGE('The List'!AG2:AG671))/STDEV('The List'!AG2:AG671)</f>
        <v>-0.6266333853847027</v>
      </c>
      <c r="U570" s="55" cm="1">
        <f t="array" ref="U570">(VLOOKUP($A570,'The List'!$B1:$AH671,33,FALSE)-AVERAGE('The List'!AH2:AH671))/STDEV('The List'!AH2:AH671)</f>
        <v>-0.38127740117720704</v>
      </c>
      <c r="V570" s="55"/>
      <c r="W570" s="57"/>
      <c r="X570" s="55"/>
      <c r="Y570" s="55"/>
      <c r="Z570" s="55"/>
      <c r="AA570" s="55"/>
      <c r="AB570" s="55"/>
      <c r="AC570" s="55"/>
      <c r="AD570" s="55"/>
      <c r="AE570" s="55"/>
    </row>
    <row r="571" spans="1:31" ht="21.25" customHeight="1" x14ac:dyDescent="0.15">
      <c r="A571" s="10" t="s">
        <v>577</v>
      </c>
      <c r="B571" s="18" t="str" cm="1">
        <f t="array" ref="B571">VLOOKUP(A571,'Player Data'!A1:B673,2,FALSE)</f>
        <v>FLA</v>
      </c>
      <c r="C571" s="52" cm="1">
        <f t="array" ref="C571">((E571)*Settings!$C$12)+(F571*Settings!$C$2)+(G571*Settings!$C$3)+(H571*Settings!$C$4)+(I571*Settings!$C$5)+(K571*Settings!$C$9)+(N571*Settings!$C$6)+(J571*Settings!$C$8)+(O571*Settings!$C$7)+(P571*Settings!$C$14)+(Q571*Settings!$C$15)+(R571*Settings!$C$16)+(S571*Settings!$C$17)+(T571*Settings!$C$18)+(U571*Settings!$C$19)+(L571*Settings!$C$10)+(Settings!$C$11*M571)</f>
        <v>-3.5668148446253589</v>
      </c>
      <c r="D571" s="57" cm="1">
        <f t="array" ref="D571">IF(Settings!$E$12="YES",VLOOKUP(A571,'Player Data'!A1:E673,5,FALSE),82)</f>
        <v>73</v>
      </c>
      <c r="E571" s="55" cm="1">
        <f t="array" ref="E571">(VLOOKUP($A571,'The List'!$B1:$AH671,17,FALSE)-AVERAGE('The List'!R2:R671))/STDEV('The List'!R2:R671)</f>
        <v>-0.5546403097066952</v>
      </c>
      <c r="F571" s="55" cm="1">
        <f t="array" ref="F571">(VLOOKUP($A571,'The List'!$B1:$AH671,18,FALSE)-AVERAGE('The List'!S2:S671))/STDEV('The List'!S2:S671)</f>
        <v>-1.0810948975941461</v>
      </c>
      <c r="G571" s="55" cm="1">
        <f t="array" ref="G571">(VLOOKUP($A571,'The List'!$B1:$AH671,19,FALSE)-AVERAGE('The List'!T2:T671))/STDEV('The List'!T2:T671)</f>
        <v>-0.99542769365330219</v>
      </c>
      <c r="H571" s="55" cm="1">
        <f t="array" ref="H571">(VLOOKUP($A571,'The List'!$B1:$AH671,20,FALSE)-AVERAGE('The List'!U2:U671))/STDEV('The List'!U2:U671)</f>
        <v>-1.1051064172903298</v>
      </c>
      <c r="I571" s="55" cm="1">
        <f t="array" ref="I571">(VLOOKUP($A571,'The List'!$B1:$AH671,21,FALSE)-AVERAGE('The List'!V2:V671))/STDEV('The List'!V2:V671)</f>
        <v>-0.89764069427651116</v>
      </c>
      <c r="J571" s="55" cm="1">
        <f t="array" ref="J571">(VLOOKUP($A571,'The List'!$B1:$AH671,22,FALSE)-AVERAGE('The List'!W2:W671))/STDEV('The List'!W2:W671)</f>
        <v>-0.73853908386105271</v>
      </c>
      <c r="K571" s="55" cm="1">
        <f t="array" ref="K571">(VLOOKUP($A571,'The List'!$B1:$AH671,23,FALSE)-AVERAGE('The List'!X2:X671))/STDEV('The List'!X2:X671)</f>
        <v>-0.80155300200843405</v>
      </c>
      <c r="L571" s="55" cm="1">
        <f t="array" ref="L571">(VLOOKUP($A571,'The List'!$B1:$AH671,24,FALSE)-AVERAGE('The List'!Y2:Y671))/STDEV('The List'!Y2:Y671)</f>
        <v>-0.47546929358800777</v>
      </c>
      <c r="M571" s="55" cm="1">
        <f t="array" ref="M571">(VLOOKUP($A571,'The List'!$B1:$AH671,25,FALSE)-AVERAGE('The List'!Z2:Z671))/STDEV('The List'!Z2:Z671)</f>
        <v>-0.64388478613809508</v>
      </c>
      <c r="N571" s="55" cm="1">
        <f t="array" ref="N571">(VLOOKUP($A571,'The List'!$B1:$AH671,26,FALSE)-AVERAGE('The List'!AA2:AA671))/STDEV('The List'!AA2:AA671)</f>
        <v>-9.4086831253032729E-2</v>
      </c>
      <c r="O571" s="55" cm="1">
        <f t="array" ref="O571">(VLOOKUP($A571,'The List'!$B1:$AH671,27,FALSE)-AVERAGE('The List'!AB2:AB671))/STDEV('The List'!AB2:AB671)</f>
        <v>-3.0304991197256611E-3</v>
      </c>
      <c r="P571" s="55" cm="1">
        <f t="array" ref="P571">(VLOOKUP($A571,'The List'!$B1:$AH671,28,FALSE)-AVERAGE('The List'!AC2:AC671))/STDEV('The List'!AC2:AC671)</f>
        <v>0.21193194202676</v>
      </c>
      <c r="Q571" s="55" cm="1">
        <f t="array" ref="Q571">(VLOOKUP($A571,'The List'!$B1:$AH671,29,FALSE)-AVERAGE('The List'!AD2:AD671))/STDEV('The List'!AD2:AD671)</f>
        <v>-0.21638739965520187</v>
      </c>
      <c r="R571" s="55" cm="1">
        <f t="array" ref="R571">(VLOOKUP($A571,'The List'!$B1:$AH671,30,FALSE)-AVERAGE('The List'!AE2:AE671))/STDEV('The List'!AE2:AE671)</f>
        <v>-0.88912393746976826</v>
      </c>
      <c r="S571" s="55" cm="1">
        <f t="array" ref="S571">(VLOOKUP($A571,'The List'!$B1:$AH671,31,FALSE)-AVERAGE('The List'!AF2:AF671))/STDEV('The List'!AF2:AF671)</f>
        <v>-0.59581850454342256</v>
      </c>
      <c r="T571" s="55" cm="1">
        <f t="array" ref="T571">(VLOOKUP($A571,'The List'!$B1:$AH671,32,FALSE)-AVERAGE('The List'!AG2:AG671))/STDEV('The List'!AG2:AG671)</f>
        <v>-0.64311728638779042</v>
      </c>
      <c r="U571" s="55" cm="1">
        <f t="array" ref="U571">(VLOOKUP($A571,'The List'!$B1:$AH671,33,FALSE)-AVERAGE('The List'!AH2:AH671))/STDEV('The List'!AH2:AH671)</f>
        <v>-1.2552626683789523</v>
      </c>
      <c r="V571" s="55"/>
      <c r="W571" s="77"/>
      <c r="X571" s="57"/>
      <c r="Y571" s="57"/>
      <c r="Z571" s="57"/>
      <c r="AA571" s="57"/>
      <c r="AB571" s="57"/>
      <c r="AC571" s="60"/>
      <c r="AD571" s="61"/>
      <c r="AE571" s="55"/>
    </row>
    <row r="572" spans="1:31" ht="21.25" customHeight="1" x14ac:dyDescent="0.15">
      <c r="A572" s="10" t="s">
        <v>629</v>
      </c>
      <c r="B572" s="18" t="str" cm="1">
        <f t="array" ref="B572">VLOOKUP(A572,'Player Data'!A1:B673,2,FALSE)</f>
        <v>NYI</v>
      </c>
      <c r="C572" s="52" cm="1">
        <f t="array" ref="C572">((E572)*Settings!$C$12)+(F572*Settings!$C$2)+(G572*Settings!$C$3)+(H572*Settings!$C$4)+(I572*Settings!$C$5)+(K572*Settings!$C$9)+(N572*Settings!$C$6)+(J572*Settings!$C$8)+(O572*Settings!$C$7)+(P572*Settings!$C$14)+(Q572*Settings!$C$15)+(R572*Settings!$C$16)+(S572*Settings!$C$17)+(T572*Settings!$C$18)+(U572*Settings!$C$19)+(L572*Settings!$C$10)+(Settings!$C$11*M572)</f>
        <v>-6.0760654005215233</v>
      </c>
      <c r="D572" s="57" cm="1">
        <f t="array" ref="D572">IF(Settings!$E$12="YES",VLOOKUP(A572,'Player Data'!A1:E673,5,FALSE),82)</f>
        <v>63</v>
      </c>
      <c r="E572" s="55" cm="1">
        <f t="array" ref="E572">(VLOOKUP($A572,'The List'!$B1:$AH671,17,FALSE)-AVERAGE('The List'!R2:R671))/STDEV('The List'!R2:R671)</f>
        <v>-1.0530504030464989</v>
      </c>
      <c r="F572" s="55" cm="1">
        <f t="array" ref="F572">(VLOOKUP($A572,'The List'!$B1:$AH671,18,FALSE)-AVERAGE('The List'!S2:S671))/STDEV('The List'!S2:S671)</f>
        <v>-1.1210124695923487</v>
      </c>
      <c r="G572" s="55" cm="1">
        <f t="array" ref="G572">(VLOOKUP($A572,'The List'!$B1:$AH671,19,FALSE)-AVERAGE('The List'!T2:T671))/STDEV('The List'!T2:T671)</f>
        <v>-1.0867832090922236</v>
      </c>
      <c r="H572" s="55" cm="1">
        <f t="array" ref="H572">(VLOOKUP($A572,'The List'!$B1:$AH671,20,FALSE)-AVERAGE('The List'!U2:U671))/STDEV('The List'!U2:U671)</f>
        <v>-1.1802586762180303</v>
      </c>
      <c r="I572" s="55" cm="1">
        <f t="array" ref="I572">(VLOOKUP($A572,'The List'!$B1:$AH671,21,FALSE)-AVERAGE('The List'!V2:V671))/STDEV('The List'!V2:V671)</f>
        <v>-1.3786395490164998</v>
      </c>
      <c r="J572" s="55" cm="1">
        <f t="array" ref="J572">(VLOOKUP($A572,'The List'!$B1:$AH671,22,FALSE)-AVERAGE('The List'!W2:W671))/STDEV('The List'!W2:W671)</f>
        <v>-0.73853908386105271</v>
      </c>
      <c r="K572" s="55" cm="1">
        <f t="array" ref="K572">(VLOOKUP($A572,'The List'!$B1:$AH671,23,FALSE)-AVERAGE('The List'!X2:X671))/STDEV('The List'!X2:X671)</f>
        <v>-0.73824199110293287</v>
      </c>
      <c r="L572" s="55" cm="1">
        <f t="array" ref="L572">(VLOOKUP($A572,'The List'!$B1:$AH671,24,FALSE)-AVERAGE('The List'!Y2:Y671))/STDEV('The List'!Y2:Y671)</f>
        <v>-0.47546929358800777</v>
      </c>
      <c r="M572" s="55" cm="1">
        <f t="array" ref="M572">(VLOOKUP($A572,'The List'!$B1:$AH671,25,FALSE)-AVERAGE('The List'!Z2:Z671))/STDEV('The List'!Z2:Z671)</f>
        <v>-0.64388478613809508</v>
      </c>
      <c r="N572" s="55" cm="1">
        <f t="array" ref="N572">(VLOOKUP($A572,'The List'!$B1:$AH671,26,FALSE)-AVERAGE('The List'!AA2:AA671))/STDEV('The List'!AA2:AA671)</f>
        <v>-0.28743190616335101</v>
      </c>
      <c r="O572" s="55" cm="1">
        <f t="array" ref="O572">(VLOOKUP($A572,'The List'!$B1:$AH671,27,FALSE)-AVERAGE('The List'!AB2:AB671))/STDEV('The List'!AB2:AB671)</f>
        <v>-0.82605506695183728</v>
      </c>
      <c r="P572" s="55" cm="1">
        <f t="array" ref="P572">(VLOOKUP($A572,'The List'!$B1:$AH671,28,FALSE)-AVERAGE('The List'!AC2:AC671))/STDEV('The List'!AC2:AC671)</f>
        <v>-0.92533311476568203</v>
      </c>
      <c r="Q572" s="55" cm="1">
        <f t="array" ref="Q572">(VLOOKUP($A572,'The List'!$B1:$AH671,29,FALSE)-AVERAGE('The List'!AD2:AD671))/STDEV('The List'!AD2:AD671)</f>
        <v>-1.3032268592313718</v>
      </c>
      <c r="R572" s="55" cm="1">
        <f t="array" ref="R572">(VLOOKUP($A572,'The List'!$B1:$AH671,30,FALSE)-AVERAGE('The List'!AE2:AE671))/STDEV('The List'!AE2:AE671)</f>
        <v>-0.95150382736981287</v>
      </c>
      <c r="S572" s="55" cm="1">
        <f t="array" ref="S572">(VLOOKUP($A572,'The List'!$B1:$AH671,31,FALSE)-AVERAGE('The List'!AF2:AF671))/STDEV('The List'!AF2:AF671)</f>
        <v>-0.59581850454342256</v>
      </c>
      <c r="T572" s="55" cm="1">
        <f t="array" ref="T572">(VLOOKUP($A572,'The List'!$B1:$AH671,32,FALSE)-AVERAGE('The List'!AG2:AG671))/STDEV('The List'!AG2:AG671)</f>
        <v>-0.64684275008198677</v>
      </c>
      <c r="U572" s="55" cm="1">
        <f t="array" ref="U572">(VLOOKUP($A572,'The List'!$B1:$AH671,33,FALSE)-AVERAGE('The List'!AH2:AH671))/STDEV('The List'!AH2:AH671)</f>
        <v>-1.2552626683789523</v>
      </c>
      <c r="V572" s="55"/>
      <c r="W572" s="77"/>
      <c r="X572" s="57"/>
      <c r="Y572" s="57"/>
      <c r="Z572" s="57"/>
      <c r="AA572" s="57"/>
      <c r="AB572" s="57"/>
      <c r="AC572" s="60"/>
      <c r="AD572" s="61"/>
      <c r="AE572" s="55"/>
    </row>
    <row r="573" spans="1:31" ht="21.25" customHeight="1" x14ac:dyDescent="0.15">
      <c r="A573" s="10" t="s">
        <v>526</v>
      </c>
      <c r="B573" s="18" t="str" cm="1">
        <f t="array" ref="B573">VLOOKUP(A573,'Player Data'!A1:B673,2,FALSE)</f>
        <v>PIT</v>
      </c>
      <c r="C573" s="52" cm="1">
        <f t="array" ref="C573">((E573)*Settings!$C$12)+(F573*Settings!$C$2)+(G573*Settings!$C$3)+(H573*Settings!$C$4)+(I573*Settings!$C$5)+(K573*Settings!$C$9)+(N573*Settings!$C$6)+(J573*Settings!$C$8)+(O573*Settings!$C$7)+(P573*Settings!$C$14)+(Q573*Settings!$C$15)+(R573*Settings!$C$16)+(S573*Settings!$C$17)+(T573*Settings!$C$18)+(U573*Settings!$C$19)+(L573*Settings!$C$10)+(Settings!$C$11*M573)</f>
        <v>-5.3182921483823593</v>
      </c>
      <c r="D573" s="57" cm="1">
        <f t="array" ref="D573">IF(Settings!$E$12="YES",VLOOKUP(A573,'Player Data'!A1:E673,5,FALSE),82)</f>
        <v>80</v>
      </c>
      <c r="E573" s="55" cm="1">
        <f t="array" ref="E573">(VLOOKUP($A573,'The List'!$B1:$AH671,17,FALSE)-AVERAGE('The List'!R2:R671))/STDEV('The List'!R2:R671)</f>
        <v>0.17985877521512147</v>
      </c>
      <c r="F573" s="55" cm="1">
        <f t="array" ref="F573">(VLOOKUP($A573,'The List'!$B1:$AH671,18,FALSE)-AVERAGE('The List'!S2:S671))/STDEV('The List'!S2:S671)</f>
        <v>-1.3724931731810237</v>
      </c>
      <c r="G573" s="55" cm="1">
        <f t="array" ref="G573">(VLOOKUP($A573,'The List'!$B1:$AH671,19,FALSE)-AVERAGE('The List'!T2:T671))/STDEV('The List'!T2:T671)</f>
        <v>-0.59416616045619386</v>
      </c>
      <c r="H573" s="55" cm="1">
        <f t="array" ref="H573">(VLOOKUP($A573,'The List'!$B1:$AH671,20,FALSE)-AVERAGE('The List'!U2:U671))/STDEV('The List'!U2:U671)</f>
        <v>-0.98176829822663292</v>
      </c>
      <c r="I573" s="55" cm="1">
        <f t="array" ref="I573">(VLOOKUP($A573,'The List'!$B1:$AH671,21,FALSE)-AVERAGE('The List'!V2:V671))/STDEV('The List'!V2:V671)</f>
        <v>-1.2995097086893033</v>
      </c>
      <c r="J573" s="55" cm="1">
        <f t="array" ref="J573">(VLOOKUP($A573,'The List'!$B1:$AH671,22,FALSE)-AVERAGE('The List'!W2:W671))/STDEV('The List'!W2:W671)</f>
        <v>-0.73853908386105271</v>
      </c>
      <c r="K573" s="55" cm="1">
        <f t="array" ref="K573">(VLOOKUP($A573,'The List'!$B1:$AH671,23,FALSE)-AVERAGE('The List'!X2:X671))/STDEV('The List'!X2:X671)</f>
        <v>-0.80155300200843405</v>
      </c>
      <c r="L573" s="55" cm="1">
        <f t="array" ref="L573">(VLOOKUP($A573,'The List'!$B1:$AH671,24,FALSE)-AVERAGE('The List'!Y2:Y671))/STDEV('The List'!Y2:Y671)</f>
        <v>-0.47546929358800777</v>
      </c>
      <c r="M573" s="55" cm="1">
        <f t="array" ref="M573">(VLOOKUP($A573,'The List'!$B1:$AH671,25,FALSE)-AVERAGE('The List'!Z2:Z671))/STDEV('The List'!Z2:Z671)</f>
        <v>-0.64388478613809508</v>
      </c>
      <c r="N573" s="55" cm="1">
        <f t="array" ref="N573">(VLOOKUP($A573,'The List'!$B1:$AH671,26,FALSE)-AVERAGE('The List'!AA2:AA671))/STDEV('The List'!AA2:AA671)</f>
        <v>1.7688708654389902</v>
      </c>
      <c r="O573" s="55" cm="1">
        <f t="array" ref="O573">(VLOOKUP($A573,'The List'!$B1:$AH671,27,FALSE)-AVERAGE('The List'!AB2:AB671))/STDEV('The List'!AB2:AB671)</f>
        <v>-1.1456304844487895</v>
      </c>
      <c r="P573" s="55" cm="1">
        <f t="array" ref="P573">(VLOOKUP($A573,'The List'!$B1:$AH671,28,FALSE)-AVERAGE('The List'!AC2:AC671))/STDEV('The List'!AC2:AC671)</f>
        <v>-0.1049396195986151</v>
      </c>
      <c r="Q573" s="55" cm="1">
        <f t="array" ref="Q573">(VLOOKUP($A573,'The List'!$B1:$AH671,29,FALSE)-AVERAGE('The List'!AD2:AD671))/STDEV('The List'!AD2:AD671)</f>
        <v>-0.54147874038498767</v>
      </c>
      <c r="R573" s="55" cm="1">
        <f t="array" ref="R573">(VLOOKUP($A573,'The List'!$B1:$AH671,30,FALSE)-AVERAGE('The List'!AE2:AE671))/STDEV('The List'!AE2:AE671)</f>
        <v>-1.3444971337400937</v>
      </c>
      <c r="S573" s="55" cm="1">
        <f t="array" ref="S573">(VLOOKUP($A573,'The List'!$B1:$AH671,31,FALSE)-AVERAGE('The List'!AF2:AF671))/STDEV('The List'!AF2:AF671)</f>
        <v>-0.59581850454342256</v>
      </c>
      <c r="T573" s="55" cm="1">
        <f t="array" ref="T573">(VLOOKUP($A573,'The List'!$B1:$AH671,32,FALSE)-AVERAGE('The List'!AG2:AG671))/STDEV('The List'!AG2:AG671)</f>
        <v>-0.64684275008198677</v>
      </c>
      <c r="U573" s="55" cm="1">
        <f t="array" ref="U573">(VLOOKUP($A573,'The List'!$B1:$AH671,33,FALSE)-AVERAGE('The List'!AH2:AH671))/STDEV('The List'!AH2:AH671)</f>
        <v>-1.2552626683789523</v>
      </c>
      <c r="V573" s="55"/>
      <c r="W573" s="77"/>
      <c r="X573" s="57"/>
      <c r="Y573" s="57"/>
      <c r="Z573" s="57"/>
      <c r="AA573" s="57"/>
      <c r="AB573" s="57"/>
      <c r="AC573" s="60"/>
      <c r="AD573" s="61"/>
      <c r="AE573" s="55"/>
    </row>
    <row r="574" spans="1:31" ht="21.25" customHeight="1" x14ac:dyDescent="0.15">
      <c r="A574" s="10" t="s">
        <v>623</v>
      </c>
      <c r="B574" s="18" t="str" cm="1">
        <f t="array" ref="B574">VLOOKUP(A574,'Player Data'!A1:B673,2,FALSE)</f>
        <v>NYR</v>
      </c>
      <c r="C574" s="52" cm="1">
        <f t="array" ref="C574">((E574)*Settings!$C$12)+(F574*Settings!$C$2)+(G574*Settings!$C$3)+(H574*Settings!$C$4)+(I574*Settings!$C$5)+(K574*Settings!$C$9)+(N574*Settings!$C$6)+(J574*Settings!$C$8)+(O574*Settings!$C$7)+(P574*Settings!$C$14)+(Q574*Settings!$C$15)+(R574*Settings!$C$16)+(S574*Settings!$C$17)+(T574*Settings!$C$18)+(U574*Settings!$C$19)+(L574*Settings!$C$10)+(Settings!$C$11*M574)</f>
        <v>-5.7058237436342276</v>
      </c>
      <c r="D574" s="57" cm="1">
        <f t="array" ref="D574">IF(Settings!$E$12="YES",VLOOKUP(A574,'Player Data'!A1:E673,5,FALSE),82)</f>
        <v>56</v>
      </c>
      <c r="E574" s="55" cm="1">
        <f t="array" ref="E574">(VLOOKUP($A574,'The List'!$B1:$AH671,17,FALSE)-AVERAGE('The List'!R2:R671))/STDEV('The List'!R2:R671)</f>
        <v>-0.34478342830046177</v>
      </c>
      <c r="F574" s="55" cm="1">
        <f t="array" ref="F574">(VLOOKUP($A574,'The List'!$B1:$AH671,18,FALSE)-AVERAGE('The List'!S2:S671))/STDEV('The List'!S2:S671)</f>
        <v>-1.2048393707885736</v>
      </c>
      <c r="G574" s="55" cm="1">
        <f t="array" ref="G574">(VLOOKUP($A574,'The List'!$B1:$AH671,19,FALSE)-AVERAGE('The List'!T2:T671))/STDEV('The List'!T2:T671)</f>
        <v>-1.1113789247873178</v>
      </c>
      <c r="H574" s="55" cm="1">
        <f t="array" ref="H574">(VLOOKUP($A574,'The List'!$B1:$AH671,20,FALSE)-AVERAGE('The List'!U2:U671))/STDEV('The List'!U2:U671)</f>
        <v>-1.2328652574674204</v>
      </c>
      <c r="I574" s="55" cm="1">
        <f t="array" ref="I574">(VLOOKUP($A574,'The List'!$B1:$AH671,21,FALSE)-AVERAGE('The List'!V2:V671))/STDEV('The List'!V2:V671)</f>
        <v>-1.4584604796522307</v>
      </c>
      <c r="J574" s="55" cm="1">
        <f t="array" ref="J574">(VLOOKUP($A574,'The List'!$B1:$AH671,22,FALSE)-AVERAGE('The List'!W2:W671))/STDEV('The List'!W2:W671)</f>
        <v>-0.73853908386105271</v>
      </c>
      <c r="K574" s="55" cm="1">
        <f t="array" ref="K574">(VLOOKUP($A574,'The List'!$B1:$AH671,23,FALSE)-AVERAGE('The List'!X2:X671))/STDEV('The List'!X2:X671)</f>
        <v>-0.80155300200843405</v>
      </c>
      <c r="L574" s="55" cm="1">
        <f t="array" ref="L574">(VLOOKUP($A574,'The List'!$B1:$AH671,24,FALSE)-AVERAGE('The List'!Y2:Y671))/STDEV('The List'!Y2:Y671)</f>
        <v>-0.47546929358800777</v>
      </c>
      <c r="M574" s="55" cm="1">
        <f t="array" ref="M574">(VLOOKUP($A574,'The List'!$B1:$AH671,25,FALSE)-AVERAGE('The List'!Z2:Z671))/STDEV('The List'!Z2:Z671)</f>
        <v>-0.64388478613809508</v>
      </c>
      <c r="N574" s="55" cm="1">
        <f t="array" ref="N574">(VLOOKUP($A574,'The List'!$B1:$AH671,26,FALSE)-AVERAGE('The List'!AA2:AA671))/STDEV('The List'!AA2:AA671)</f>
        <v>0.17920145164530366</v>
      </c>
      <c r="O574" s="55" cm="1">
        <f t="array" ref="O574">(VLOOKUP($A574,'The List'!$B1:$AH671,27,FALSE)-AVERAGE('The List'!AB2:AB671))/STDEV('The List'!AB2:AB671)</f>
        <v>-0.78157279267548174</v>
      </c>
      <c r="P574" s="55" cm="1">
        <f t="array" ref="P574">(VLOOKUP($A574,'The List'!$B1:$AH671,28,FALSE)-AVERAGE('The List'!AC2:AC671))/STDEV('The List'!AC2:AC671)</f>
        <v>-0.34801917372219054</v>
      </c>
      <c r="Q574" s="55" cm="1">
        <f t="array" ref="Q574">(VLOOKUP($A574,'The List'!$B1:$AH671,29,FALSE)-AVERAGE('The List'!AD2:AD671))/STDEV('The List'!AD2:AD671)</f>
        <v>-0.80155181296881617</v>
      </c>
      <c r="R574" s="55" cm="1">
        <f t="array" ref="R574">(VLOOKUP($A574,'The List'!$B1:$AH671,30,FALSE)-AVERAGE('The List'!AE2:AE671))/STDEV('The List'!AE2:AE671)</f>
        <v>-1.3444971337400937</v>
      </c>
      <c r="S574" s="55" cm="1">
        <f t="array" ref="S574">(VLOOKUP($A574,'The List'!$B1:$AH671,31,FALSE)-AVERAGE('The List'!AF2:AF671))/STDEV('The List'!AF2:AF671)</f>
        <v>-0.59581850454342256</v>
      </c>
      <c r="T574" s="55" cm="1">
        <f t="array" ref="T574">(VLOOKUP($A574,'The List'!$B1:$AH671,32,FALSE)-AVERAGE('The List'!AG2:AG671))/STDEV('The List'!AG2:AG671)</f>
        <v>-0.64684275008198677</v>
      </c>
      <c r="U574" s="55" cm="1">
        <f t="array" ref="U574">(VLOOKUP($A574,'The List'!$B1:$AH671,33,FALSE)-AVERAGE('The List'!AH2:AH671))/STDEV('The List'!AH2:AH671)</f>
        <v>-1.2552626683789523</v>
      </c>
      <c r="V574" s="55"/>
      <c r="W574" s="77"/>
      <c r="X574" s="57"/>
      <c r="Y574" s="57"/>
      <c r="Z574" s="57"/>
      <c r="AA574" s="57"/>
      <c r="AB574" s="57"/>
      <c r="AC574" s="60"/>
      <c r="AD574" s="61"/>
      <c r="AE574" s="55"/>
    </row>
    <row r="575" spans="1:31" ht="21.25" customHeight="1" x14ac:dyDescent="0.15">
      <c r="A575" s="10" t="s">
        <v>607</v>
      </c>
      <c r="B575" s="18" t="str" cm="1">
        <f t="array" ref="B575">VLOOKUP(A575,'Player Data'!A1:B673,2,FALSE)</f>
        <v>UTA</v>
      </c>
      <c r="C575" s="52" cm="1">
        <f t="array" ref="C575">((E575)*Settings!$C$12)+(F575*Settings!$C$2)+(G575*Settings!$C$3)+(H575*Settings!$C$4)+(I575*Settings!$C$5)+(K575*Settings!$C$9)+(N575*Settings!$C$6)+(J575*Settings!$C$8)+(O575*Settings!$C$7)+(P575*Settings!$C$14)+(Q575*Settings!$C$15)+(R575*Settings!$C$16)+(S575*Settings!$C$17)+(T575*Settings!$C$18)+(U575*Settings!$C$19)+(L575*Settings!$C$10)+(Settings!$C$11*M575)</f>
        <v>-5.0091470068219435</v>
      </c>
      <c r="D575" s="57" cm="1">
        <f t="array" ref="D575">IF(Settings!$E$12="YES",VLOOKUP(A575,'Player Data'!A1:E673,5,FALSE),82)</f>
        <v>62</v>
      </c>
      <c r="E575" s="55" cm="1">
        <f t="array" ref="E575">(VLOOKUP($A575,'The List'!$B1:$AH671,17,FALSE)-AVERAGE('The List'!R2:R671))/STDEV('The List'!R2:R671)</f>
        <v>-0.42347975882779942</v>
      </c>
      <c r="F575" s="55" cm="1">
        <f t="array" ref="F575">(VLOOKUP($A575,'The List'!$B1:$AH671,18,FALSE)-AVERAGE('The List'!S2:S671))/STDEV('The List'!S2:S671)</f>
        <v>-1.1250042267921687</v>
      </c>
      <c r="G575" s="55" cm="1">
        <f t="array" ref="G575">(VLOOKUP($A575,'The List'!$B1:$AH671,19,FALSE)-AVERAGE('The List'!T2:T671))/STDEV('The List'!T2:T671)</f>
        <v>-1.0523492071190916</v>
      </c>
      <c r="H575" s="55" cm="1">
        <f t="array" ref="H575">(VLOOKUP($A575,'The List'!$B1:$AH671,20,FALSE)-AVERAGE('The List'!U2:U671))/STDEV('The List'!U2:U671)</f>
        <v>-1.1603654312077565</v>
      </c>
      <c r="I575" s="55" cm="1">
        <f t="array" ref="I575">(VLOOKUP($A575,'The List'!$B1:$AH671,21,FALSE)-AVERAGE('The List'!V2:V671))/STDEV('The List'!V2:V671)</f>
        <v>-1.0057963275621553</v>
      </c>
      <c r="J575" s="55" cm="1">
        <f t="array" ref="J575">(VLOOKUP($A575,'The List'!$B1:$AH671,22,FALSE)-AVERAGE('The List'!W2:W671))/STDEV('The List'!W2:W671)</f>
        <v>-0.73853908386105271</v>
      </c>
      <c r="K575" s="55" cm="1">
        <f t="array" ref="K575">(VLOOKUP($A575,'The List'!$B1:$AH671,23,FALSE)-AVERAGE('The List'!X2:X671))/STDEV('The List'!X2:X671)</f>
        <v>-0.80155300200843405</v>
      </c>
      <c r="L575" s="55" cm="1">
        <f t="array" ref="L575">(VLOOKUP($A575,'The List'!$B1:$AH671,24,FALSE)-AVERAGE('The List'!Y2:Y671))/STDEV('The List'!Y2:Y671)</f>
        <v>-0.47546929358800777</v>
      </c>
      <c r="M575" s="55" cm="1">
        <f t="array" ref="M575">(VLOOKUP($A575,'The List'!$B1:$AH671,25,FALSE)-AVERAGE('The List'!Z2:Z671))/STDEV('The List'!Z2:Z671)</f>
        <v>-0.64388478613809508</v>
      </c>
      <c r="N575" s="55" cm="1">
        <f t="array" ref="N575">(VLOOKUP($A575,'The List'!$B1:$AH671,26,FALSE)-AVERAGE('The List'!AA2:AA671))/STDEV('The List'!AA2:AA671)</f>
        <v>0.15059557530454348</v>
      </c>
      <c r="O575" s="55" cm="1">
        <f t="array" ref="O575">(VLOOKUP($A575,'The List'!$B1:$AH671,27,FALSE)-AVERAGE('The List'!AB2:AB671))/STDEV('The List'!AB2:AB671)</f>
        <v>-0.6503808316760914</v>
      </c>
      <c r="P575" s="55" cm="1">
        <f t="array" ref="P575">(VLOOKUP($A575,'The List'!$B1:$AH671,28,FALSE)-AVERAGE('The List'!AC2:AC671))/STDEV('The List'!AC2:AC671)</f>
        <v>-0.37406341166400214</v>
      </c>
      <c r="Q575" s="55" cm="1">
        <f t="array" ref="Q575">(VLOOKUP($A575,'The List'!$B1:$AH671,29,FALSE)-AVERAGE('The List'!AD2:AD671))/STDEV('The List'!AD2:AD671)</f>
        <v>-0.54147874038498767</v>
      </c>
      <c r="R575" s="55" cm="1">
        <f t="array" ref="R575">(VLOOKUP($A575,'The List'!$B1:$AH671,30,FALSE)-AVERAGE('The List'!AE2:AE671))/STDEV('The List'!AE2:AE671)</f>
        <v>-0.95774181635981726</v>
      </c>
      <c r="S575" s="55" cm="1">
        <f t="array" ref="S575">(VLOOKUP($A575,'The List'!$B1:$AH671,31,FALSE)-AVERAGE('The List'!AF2:AF671))/STDEV('The List'!AF2:AF671)</f>
        <v>-0.59581850454342256</v>
      </c>
      <c r="T575" s="55" cm="1">
        <f t="array" ref="T575">(VLOOKUP($A575,'The List'!$B1:$AH671,32,FALSE)-AVERAGE('The List'!AG2:AG671))/STDEV('The List'!AG2:AG671)</f>
        <v>-0.64684275008198677</v>
      </c>
      <c r="U575" s="55" cm="1">
        <f t="array" ref="U575">(VLOOKUP($A575,'The List'!$B1:$AH671,33,FALSE)-AVERAGE('The List'!AH2:AH671))/STDEV('The List'!AH2:AH671)</f>
        <v>-1.2552626683789523</v>
      </c>
      <c r="V575" s="55"/>
      <c r="W575" s="77"/>
      <c r="X575" s="57"/>
      <c r="Y575" s="57"/>
      <c r="Z575" s="57"/>
      <c r="AA575" s="57"/>
      <c r="AB575" s="57"/>
      <c r="AC575" s="60"/>
      <c r="AD575" s="61"/>
      <c r="AE575" s="55"/>
    </row>
    <row r="576" spans="1:31" ht="21.25" customHeight="1" x14ac:dyDescent="0.15">
      <c r="A576" s="10" t="s">
        <v>611</v>
      </c>
      <c r="B576" s="18" t="str" cm="1">
        <f t="array" ref="B576">VLOOKUP(A576,'Player Data'!A1:B673,2,FALSE)</f>
        <v>EDM</v>
      </c>
      <c r="C576" s="52" cm="1">
        <f t="array" ref="C576">((E576)*Settings!$C$12)+(F576*Settings!$C$2)+(G576*Settings!$C$3)+(H576*Settings!$C$4)+(I576*Settings!$C$5)+(K576*Settings!$C$9)+(N576*Settings!$C$6)+(J576*Settings!$C$8)+(O576*Settings!$C$7)+(P576*Settings!$C$14)+(Q576*Settings!$C$15)+(R576*Settings!$C$16)+(S576*Settings!$C$17)+(T576*Settings!$C$18)+(U576*Settings!$C$19)+(L576*Settings!$C$10)+(Settings!$C$11*M576)</f>
        <v>-4.5984460916291869</v>
      </c>
      <c r="D576" s="57" cm="1">
        <f t="array" ref="D576">IF(Settings!$E$12="YES",VLOOKUP(A576,'Player Data'!A1:E673,5,FALSE),82)</f>
        <v>67</v>
      </c>
      <c r="E576" s="55" cm="1">
        <f t="array" ref="E576">(VLOOKUP($A576,'The List'!$B1:$AH671,17,FALSE)-AVERAGE('The List'!R2:R671))/STDEV('The List'!R2:R671)</f>
        <v>-0.42347975882779942</v>
      </c>
      <c r="F576" s="55" cm="1">
        <f t="array" ref="F576">(VLOOKUP($A576,'The List'!$B1:$AH671,18,FALSE)-AVERAGE('The List'!S2:S671))/STDEV('The List'!S2:S671)</f>
        <v>-1.1719073738900567</v>
      </c>
      <c r="G576" s="55" cm="1">
        <f t="array" ref="G576">(VLOOKUP($A576,'The List'!$B1:$AH671,19,FALSE)-AVERAGE('The List'!T2:T671))/STDEV('The List'!T2:T671)</f>
        <v>-1.0502410029166549</v>
      </c>
      <c r="H576" s="55" cm="1">
        <f t="array" ref="H576">(VLOOKUP($A576,'The List'!$B1:$AH671,20,FALSE)-AVERAGE('The List'!U2:U671))/STDEV('The List'!U2:U671)</f>
        <v>-1.1798166041066909</v>
      </c>
      <c r="I576" s="55" cm="1">
        <f t="array" ref="I576">(VLOOKUP($A576,'The List'!$B1:$AH671,21,FALSE)-AVERAGE('The List'!V2:V671))/STDEV('The List'!V2:V671)</f>
        <v>-1.2464685275092831</v>
      </c>
      <c r="J576" s="55" cm="1">
        <f t="array" ref="J576">(VLOOKUP($A576,'The List'!$B1:$AH671,22,FALSE)-AVERAGE('The List'!W2:W671))/STDEV('The List'!W2:W671)</f>
        <v>-0.73853908386105271</v>
      </c>
      <c r="K576" s="55" cm="1">
        <f t="array" ref="K576">(VLOOKUP($A576,'The List'!$B1:$AH671,23,FALSE)-AVERAGE('The List'!X2:X671))/STDEV('The List'!X2:X671)</f>
        <v>-0.80155300200843405</v>
      </c>
      <c r="L576" s="55" cm="1">
        <f t="array" ref="L576">(VLOOKUP($A576,'The List'!$B1:$AH671,24,FALSE)-AVERAGE('The List'!Y2:Y671))/STDEV('The List'!Y2:Y671)</f>
        <v>-0.47546929358800777</v>
      </c>
      <c r="M576" s="55" cm="1">
        <f t="array" ref="M576">(VLOOKUP($A576,'The List'!$B1:$AH671,25,FALSE)-AVERAGE('The List'!Z2:Z671))/STDEV('The List'!Z2:Z671)</f>
        <v>8.4150249278623218E-2</v>
      </c>
      <c r="N576" s="55" cm="1">
        <f t="array" ref="N576">(VLOOKUP($A576,'The List'!$B1:$AH671,26,FALSE)-AVERAGE('The List'!AA2:AA671))/STDEV('The List'!AA2:AA671)</f>
        <v>0.1053880743017343</v>
      </c>
      <c r="O576" s="55" cm="1">
        <f t="array" ref="O576">(VLOOKUP($A576,'The List'!$B1:$AH671,27,FALSE)-AVERAGE('The List'!AB2:AB671))/STDEV('The List'!AB2:AB671)</f>
        <v>-1.0958185367568334</v>
      </c>
      <c r="P576" s="55" cm="1">
        <f t="array" ref="P576">(VLOOKUP($A576,'The List'!$B1:$AH671,28,FALSE)-AVERAGE('The List'!AC2:AC671))/STDEV('The List'!AC2:AC671)</f>
        <v>0.76754235145207506</v>
      </c>
      <c r="Q576" s="55" cm="1">
        <f t="array" ref="Q576">(VLOOKUP($A576,'The List'!$B1:$AH671,29,FALSE)-AVERAGE('The List'!AD2:AD671))/STDEV('The List'!AD2:AD671)</f>
        <v>-0.88873539980089533</v>
      </c>
      <c r="R576" s="55" cm="1">
        <f t="array" ref="R576">(VLOOKUP($A576,'The List'!$B1:$AH671,30,FALSE)-AVERAGE('The List'!AE2:AE671))/STDEV('The List'!AE2:AE671)</f>
        <v>-0.926551871409795</v>
      </c>
      <c r="S576" s="55" cm="1">
        <f t="array" ref="S576">(VLOOKUP($A576,'The List'!$B1:$AH671,31,FALSE)-AVERAGE('The List'!AF2:AF671))/STDEV('The List'!AF2:AF671)</f>
        <v>-0.59581850454342256</v>
      </c>
      <c r="T576" s="55" cm="1">
        <f t="array" ref="T576">(VLOOKUP($A576,'The List'!$B1:$AH671,32,FALSE)-AVERAGE('The List'!AG2:AG671))/STDEV('The List'!AG2:AG671)</f>
        <v>-0.64684275008198677</v>
      </c>
      <c r="U576" s="55" cm="1">
        <f t="array" ref="U576">(VLOOKUP($A576,'The List'!$B1:$AH671,33,FALSE)-AVERAGE('The List'!AH2:AH671))/STDEV('The List'!AH2:AH671)</f>
        <v>-1.2552626683789523</v>
      </c>
      <c r="V576" s="55"/>
      <c r="W576" s="77"/>
      <c r="X576" s="57"/>
      <c r="Y576" s="57"/>
      <c r="Z576" s="57"/>
      <c r="AA576" s="57"/>
      <c r="AB576" s="57"/>
      <c r="AC576" s="60"/>
      <c r="AD576" s="61"/>
      <c r="AE576" s="55"/>
    </row>
    <row r="577" spans="1:31" ht="21.25" customHeight="1" x14ac:dyDescent="0.15">
      <c r="A577" s="10" t="s">
        <v>762</v>
      </c>
      <c r="B577" s="18" t="str" cm="1">
        <f t="array" ref="B577">VLOOKUP(A577,'Player Data'!A1:B673,2,FALSE)</f>
        <v>TOR</v>
      </c>
      <c r="C577" s="52" cm="1">
        <f t="array" ref="C577">((E577)*Settings!$C$12)+(F577*Settings!$C$2)+(G577*Settings!$C$3)+(H577*Settings!$C$4)+(I577*Settings!$C$5)+(K577*Settings!$C$9)+(N577*Settings!$C$6)+(J577*Settings!$C$8)+(O577*Settings!$C$7)+(P577*Settings!$C$14)+(Q577*Settings!$C$15)+(R577*Settings!$C$16)+(S577*Settings!$C$17)+(T577*Settings!$C$18)+(U577*Settings!$C$19)+(L577*Settings!$C$10)+(Settings!$C$11*M577)</f>
        <v>-2.1703472375258155</v>
      </c>
      <c r="D577" s="57" cm="1">
        <f t="array" ref="D577">IF(Settings!$E$12="YES",VLOOKUP(A577,'Player Data'!A1:E673,5,FALSE),82)</f>
        <v>84</v>
      </c>
      <c r="E577" s="55" cm="1">
        <f t="array" ref="E577">(VLOOKUP($A577,'The List'!$B1:$AH671,17,FALSE)-AVERAGE('The List'!R2:R671))/STDEV('The List'!R2:R671)</f>
        <v>-1.4202999455074072</v>
      </c>
      <c r="F577" s="55" cm="1">
        <f t="array" ref="F577">(VLOOKUP($A577,'The List'!$B1:$AH671,18,FALSE)-AVERAGE('The List'!S2:S671))/STDEV('The List'!S2:S671)</f>
        <v>-0.78570486480744817</v>
      </c>
      <c r="G577" s="55" cm="1">
        <f t="array" ref="G577">(VLOOKUP($A577,'The List'!$B1:$AH671,19,FALSE)-AVERAGE('The List'!T2:T671))/STDEV('The List'!T2:T671)</f>
        <v>-1.1310554973433933</v>
      </c>
      <c r="H577" s="55" cm="1">
        <f t="array" ref="H577">(VLOOKUP($A577,'The List'!$B1:$AH671,20,FALSE)-AVERAGE('The List'!U2:U671))/STDEV('The List'!U2:U671)</f>
        <v>-1.0595729898223698</v>
      </c>
      <c r="I577" s="55" cm="1">
        <f t="array" ref="I577">(VLOOKUP($A577,'The List'!$B1:$AH671,21,FALSE)-AVERAGE('The List'!V2:V671))/STDEV('The List'!V2:V671)</f>
        <v>-0.93599620640017434</v>
      </c>
      <c r="J577" s="55" cm="1">
        <f t="array" ref="J577">(VLOOKUP($A577,'The List'!$B1:$AH671,22,FALSE)-AVERAGE('The List'!W2:W671))/STDEV('The List'!W2:W671)</f>
        <v>-0.73853908386105271</v>
      </c>
      <c r="K577" s="55" cm="1">
        <f t="array" ref="K577">(VLOOKUP($A577,'The List'!$B1:$AH671,23,FALSE)-AVERAGE('The List'!X2:X671))/STDEV('The List'!X2:X671)</f>
        <v>-0.80155300200843405</v>
      </c>
      <c r="L577" s="55" cm="1">
        <f t="array" ref="L577">(VLOOKUP($A577,'The List'!$B1:$AH671,24,FALSE)-AVERAGE('The List'!Y2:Y671))/STDEV('The List'!Y2:Y671)</f>
        <v>1.0643760379302476</v>
      </c>
      <c r="M577" s="55" cm="1">
        <f t="array" ref="M577">(VLOOKUP($A577,'The List'!$B1:$AH671,25,FALSE)-AVERAGE('The List'!Z2:Z671))/STDEV('The List'!Z2:Z671)</f>
        <v>0.26887555677241731</v>
      </c>
      <c r="N577" s="55" cm="1">
        <f t="array" ref="N577">(VLOOKUP($A577,'The List'!$B1:$AH671,26,FALSE)-AVERAGE('The List'!AA2:AA671))/STDEV('The List'!AA2:AA671)</f>
        <v>-0.18552347169939193</v>
      </c>
      <c r="O577" s="55" cm="1">
        <f t="array" ref="O577">(VLOOKUP($A577,'The List'!$B1:$AH671,27,FALSE)-AVERAGE('The List'!AB2:AB671))/STDEV('The List'!AB2:AB671)</f>
        <v>1.588901952632249</v>
      </c>
      <c r="P577" s="55" cm="1">
        <f t="array" ref="P577">(VLOOKUP($A577,'The List'!$B1:$AH671,28,FALSE)-AVERAGE('The List'!AC2:AC671))/STDEV('The List'!AC2:AC671)</f>
        <v>-0.1049396195986151</v>
      </c>
      <c r="Q577" s="55" cm="1">
        <f t="array" ref="Q577">(VLOOKUP($A577,'The List'!$B1:$AH671,29,FALSE)-AVERAGE('The List'!AD2:AD671))/STDEV('The List'!AD2:AD671)</f>
        <v>2.1567793876722332</v>
      </c>
      <c r="R577" s="55" cm="1">
        <f t="array" ref="R577">(VLOOKUP($A577,'The List'!$B1:$AH671,30,FALSE)-AVERAGE('The List'!AE2:AE671))/STDEV('The List'!AE2:AE671)</f>
        <v>-0.82050605857971926</v>
      </c>
      <c r="S577" s="55" cm="1">
        <f t="array" ref="S577">(VLOOKUP($A577,'The List'!$B1:$AH671,31,FALSE)-AVERAGE('The List'!AF2:AF671))/STDEV('The List'!AF2:AF671)</f>
        <v>-0.523125712055868</v>
      </c>
      <c r="T577" s="55" cm="1">
        <f t="array" ref="T577">(VLOOKUP($A577,'The List'!$B1:$AH671,32,FALSE)-AVERAGE('The List'!AG2:AG671))/STDEV('The List'!AG2:AG671)</f>
        <v>-0.52252453694414835</v>
      </c>
      <c r="U577" s="55" cm="1">
        <f t="array" ref="U577">(VLOOKUP($A577,'The List'!$B1:$AH671,33,FALSE)-AVERAGE('The List'!AH2:AH671))/STDEV('The List'!AH2:AH671)</f>
        <v>0.49270786602453809</v>
      </c>
      <c r="V577" s="55"/>
      <c r="W577" s="77"/>
      <c r="X577" s="57"/>
      <c r="Y577" s="57"/>
      <c r="Z577" s="57"/>
      <c r="AA577" s="57"/>
      <c r="AB577" s="57"/>
      <c r="AC577" s="60"/>
      <c r="AD577" s="61"/>
      <c r="AE577" s="55"/>
    </row>
    <row r="578" spans="1:31" ht="21.25" customHeight="1" x14ac:dyDescent="0.15">
      <c r="A578" s="10" t="s">
        <v>791</v>
      </c>
      <c r="B578" s="18" t="str" cm="1">
        <f t="array" ref="B578">VLOOKUP(A578,'Player Data'!A1:B673,2,FALSE)</f>
        <v>TOR</v>
      </c>
      <c r="C578" s="52" cm="1">
        <f t="array" ref="C578">((E578)*Settings!$C$12)+(F578*Settings!$C$2)+(G578*Settings!$C$3)+(H578*Settings!$C$4)+(I578*Settings!$C$5)+(K578*Settings!$C$9)+(N578*Settings!$C$6)+(J578*Settings!$C$8)+(O578*Settings!$C$7)+(P578*Settings!$C$14)+(Q578*Settings!$C$15)+(R578*Settings!$C$16)+(S578*Settings!$C$17)+(T578*Settings!$C$18)+(U578*Settings!$C$19)+(L578*Settings!$C$10)+(Settings!$C$11*M578)</f>
        <v>-4.0738569847346957</v>
      </c>
      <c r="D578" s="57" cm="1">
        <f t="array" ref="D578">IF(Settings!$E$12="YES",VLOOKUP(A578,'Player Data'!A1:E673,5,FALSE),82)</f>
        <v>60</v>
      </c>
      <c r="E578" s="55" cm="1">
        <f t="array" ref="E578">(VLOOKUP($A578,'The List'!$B1:$AH671,17,FALSE)-AVERAGE('The List'!R2:R671))/STDEV('The List'!R2:R671)</f>
        <v>-1.7875494879683156</v>
      </c>
      <c r="F578" s="55" cm="1">
        <f t="array" ref="F578">(VLOOKUP($A578,'The List'!$B1:$AH671,18,FALSE)-AVERAGE('The List'!S2:S671))/STDEV('The List'!S2:S671)</f>
        <v>-0.95335866719989848</v>
      </c>
      <c r="G578" s="55" cm="1">
        <f t="array" ref="G578">(VLOOKUP($A578,'The List'!$B1:$AH671,19,FALSE)-AVERAGE('The List'!T2:T671))/STDEV('The List'!T2:T671)</f>
        <v>-1.2828461999188319</v>
      </c>
      <c r="H578" s="55" cm="1">
        <f t="array" ref="H578">(VLOOKUP($A578,'The List'!$B1:$AH671,20,FALSE)-AVERAGE('The List'!U2:U671))/STDEV('The List'!U2:U671)</f>
        <v>-1.2293286805767052</v>
      </c>
      <c r="I578" s="55" cm="1">
        <f t="array" ref="I578">(VLOOKUP($A578,'The List'!$B1:$AH671,21,FALSE)-AVERAGE('The List'!V2:V671))/STDEV('The List'!V2:V671)</f>
        <v>-1.4377277703961968</v>
      </c>
      <c r="J578" s="55" cm="1">
        <f t="array" ref="J578">(VLOOKUP($A578,'The List'!$B1:$AH671,22,FALSE)-AVERAGE('The List'!W2:W671))/STDEV('The List'!W2:W671)</f>
        <v>-0.73853908386105271</v>
      </c>
      <c r="K578" s="55" cm="1">
        <f t="array" ref="K578">(VLOOKUP($A578,'The List'!$B1:$AH671,23,FALSE)-AVERAGE('The List'!X2:X671))/STDEV('The List'!X2:X671)</f>
        <v>-0.80155300200843405</v>
      </c>
      <c r="L578" s="55" cm="1">
        <f t="array" ref="L578">(VLOOKUP($A578,'The List'!$B1:$AH671,24,FALSE)-AVERAGE('The List'!Y2:Y671))/STDEV('The List'!Y2:Y671)</f>
        <v>-0.47546929358800777</v>
      </c>
      <c r="M578" s="55" cm="1">
        <f t="array" ref="M578">(VLOOKUP($A578,'The List'!$B1:$AH671,25,FALSE)-AVERAGE('The List'!Z2:Z671))/STDEV('The List'!Z2:Z671)</f>
        <v>8.086887369413787E-3</v>
      </c>
      <c r="N578" s="55" cm="1">
        <f t="array" ref="N578">(VLOOKUP($A578,'The List'!$B1:$AH671,26,FALSE)-AVERAGE('The List'!AA2:AA671))/STDEV('The List'!AA2:AA671)</f>
        <v>-0.82609077404427733</v>
      </c>
      <c r="O578" s="55" cm="1">
        <f t="array" ref="O578">(VLOOKUP($A578,'The List'!$B1:$AH671,27,FALSE)-AVERAGE('The List'!AB2:AB671))/STDEV('The List'!AB2:AB671)</f>
        <v>0.50656827438728047</v>
      </c>
      <c r="P578" s="55" cm="1">
        <f t="array" ref="P578">(VLOOKUP($A578,'The List'!$B1:$AH671,28,FALSE)-AVERAGE('The List'!AC2:AC671))/STDEV('The List'!AC2:AC671)</f>
        <v>-0.1049396195986151</v>
      </c>
      <c r="Q578" s="55" cm="1">
        <f t="array" ref="Q578">(VLOOKUP($A578,'The List'!$B1:$AH671,29,FALSE)-AVERAGE('The List'!AD2:AD671))/STDEV('The List'!AD2:AD671)</f>
        <v>-1.4428683669539388</v>
      </c>
      <c r="R578" s="55" cm="1">
        <f t="array" ref="R578">(VLOOKUP($A578,'The List'!$B1:$AH671,30,FALSE)-AVERAGE('The List'!AE2:AE671))/STDEV('The List'!AE2:AE671)</f>
        <v>-0.97021779433982613</v>
      </c>
      <c r="S578" s="55" cm="1">
        <f t="array" ref="S578">(VLOOKUP($A578,'The List'!$B1:$AH671,31,FALSE)-AVERAGE('The List'!AF2:AF671))/STDEV('The List'!AF2:AF671)</f>
        <v>0.21764845900778348</v>
      </c>
      <c r="T578" s="55" cm="1">
        <f t="array" ref="T578">(VLOOKUP($A578,'The List'!$B1:$AH671,32,FALSE)-AVERAGE('The List'!AG2:AG671))/STDEV('The List'!AG2:AG671)</f>
        <v>0.58409128147986067</v>
      </c>
      <c r="U578" s="55" cm="1">
        <f t="array" ref="U578">(VLOOKUP($A578,'The List'!$B1:$AH671,33,FALSE)-AVERAGE('The List'!AH2:AH671))/STDEV('The List'!AH2:AH671)</f>
        <v>0.63070553979323463</v>
      </c>
      <c r="V578" s="55"/>
      <c r="W578" s="77"/>
      <c r="X578" s="57"/>
      <c r="Y578" s="57"/>
      <c r="Z578" s="57"/>
      <c r="AA578" s="57"/>
      <c r="AB578" s="57"/>
      <c r="AC578" s="60"/>
      <c r="AD578" s="61"/>
      <c r="AE578" s="55"/>
    </row>
    <row r="579" spans="1:31" ht="21.25" customHeight="1" x14ac:dyDescent="0.15">
      <c r="A579" s="10" t="s">
        <v>773</v>
      </c>
      <c r="B579" s="18" t="str" cm="1">
        <f t="array" ref="B579">VLOOKUP(A579,'Player Data'!A1:B673,2,FALSE)</f>
        <v>NYR</v>
      </c>
      <c r="C579" s="52" cm="1">
        <f t="array" ref="C579">((E579)*Settings!$C$12)+(F579*Settings!$C$2)+(G579*Settings!$C$3)+(H579*Settings!$C$4)+(I579*Settings!$C$5)+(K579*Settings!$C$9)+(N579*Settings!$C$6)+(J579*Settings!$C$8)+(O579*Settings!$C$7)+(P579*Settings!$C$14)+(Q579*Settings!$C$15)+(R579*Settings!$C$16)+(S579*Settings!$C$17)+(T579*Settings!$C$18)+(U579*Settings!$C$19)+(L579*Settings!$C$10)+(Settings!$C$11*M579)</f>
        <v>-3.1371640795047884</v>
      </c>
      <c r="D579" s="57" cm="1">
        <f t="array" ref="D579">IF(Settings!$E$12="YES",VLOOKUP(A579,'Player Data'!A1:E673,5,FALSE),82)</f>
        <v>79</v>
      </c>
      <c r="E579" s="55" cm="1">
        <f t="array" ref="E579">(VLOOKUP($A579,'The List'!$B1:$AH671,17,FALSE)-AVERAGE('The List'!R2:R671))/STDEV('The List'!R2:R671)</f>
        <v>-1.6301568269136408</v>
      </c>
      <c r="F579" s="55" cm="1">
        <f t="array" ref="F579">(VLOOKUP($A579,'The List'!$B1:$AH671,18,FALSE)-AVERAGE('The List'!S2:S671))/STDEV('The List'!S2:S671)</f>
        <v>-0.8206327403058753</v>
      </c>
      <c r="G579" s="55" cm="1">
        <f t="array" ref="G579">(VLOOKUP($A579,'The List'!$B1:$AH671,19,FALSE)-AVERAGE('The List'!T2:T671))/STDEV('The List'!T2:T671)</f>
        <v>-1.162678560379943</v>
      </c>
      <c r="H579" s="55" cm="1">
        <f t="array" ref="H579">(VLOOKUP($A579,'The List'!$B1:$AH671,20,FALSE)-AVERAGE('The List'!U2:U671))/STDEV('The List'!U2:U671)</f>
        <v>-1.0949387587295232</v>
      </c>
      <c r="I579" s="55" cm="1">
        <f t="array" ref="I579">(VLOOKUP($A579,'The List'!$B1:$AH671,21,FALSE)-AVERAGE('The List'!V2:V671))/STDEV('The List'!V2:V671)</f>
        <v>-1.1058316497225193</v>
      </c>
      <c r="J579" s="55" cm="1">
        <f t="array" ref="J579">(VLOOKUP($A579,'The List'!$B1:$AH671,22,FALSE)-AVERAGE('The List'!W2:W671))/STDEV('The List'!W2:W671)</f>
        <v>-0.73853908386105271</v>
      </c>
      <c r="K579" s="55" cm="1">
        <f t="array" ref="K579">(VLOOKUP($A579,'The List'!$B1:$AH671,23,FALSE)-AVERAGE('The List'!X2:X671))/STDEV('The List'!X2:X671)</f>
        <v>-0.80155300200843405</v>
      </c>
      <c r="L579" s="55" cm="1">
        <f t="array" ref="L579">(VLOOKUP($A579,'The List'!$B1:$AH671,24,FALSE)-AVERAGE('The List'!Y2:Y671))/STDEV('The List'!Y2:Y671)</f>
        <v>-0.47546929358800777</v>
      </c>
      <c r="M579" s="55" cm="1">
        <f t="array" ref="M579">(VLOOKUP($A579,'The List'!$B1:$AH671,25,FALSE)-AVERAGE('The List'!Z2:Z671))/STDEV('The List'!Z2:Z671)</f>
        <v>-0.64388478613809508</v>
      </c>
      <c r="N579" s="55" cm="1">
        <f t="array" ref="N579">(VLOOKUP($A579,'The List'!$B1:$AH671,26,FALSE)-AVERAGE('The List'!AA2:AA671))/STDEV('The List'!AA2:AA671)</f>
        <v>-0.67463287520435844</v>
      </c>
      <c r="O579" s="55" cm="1">
        <f t="array" ref="O579">(VLOOKUP($A579,'The List'!$B1:$AH671,27,FALSE)-AVERAGE('The List'!AB2:AB671))/STDEV('The List'!AB2:AB671)</f>
        <v>1.3728451918613784</v>
      </c>
      <c r="P579" s="55" cm="1">
        <f t="array" ref="P579">(VLOOKUP($A579,'The List'!$B1:$AH671,28,FALSE)-AVERAGE('The List'!AC2:AC671))/STDEV('The List'!AC2:AC671)</f>
        <v>-0.61931331894939523</v>
      </c>
      <c r="Q579" s="55" cm="1">
        <f t="array" ref="Q579">(VLOOKUP($A579,'The List'!$B1:$AH671,29,FALSE)-AVERAGE('The List'!AD2:AD671))/STDEV('The List'!AD2:AD671)</f>
        <v>-0.97296361080815774</v>
      </c>
      <c r="R579" s="55" cm="1">
        <f t="array" ref="R579">(VLOOKUP($A579,'The List'!$B1:$AH671,30,FALSE)-AVERAGE('The List'!AE2:AE671))/STDEV('The List'!AE2:AE671)</f>
        <v>-0.85169600352974151</v>
      </c>
      <c r="S579" s="55" cm="1">
        <f t="array" ref="S579">(VLOOKUP($A579,'The List'!$B1:$AH671,31,FALSE)-AVERAGE('The List'!AF2:AF671))/STDEV('The List'!AF2:AF671)</f>
        <v>0.31572603617353173</v>
      </c>
      <c r="T579" s="55" cm="1">
        <f t="array" ref="T579">(VLOOKUP($A579,'The List'!$B1:$AH671,32,FALSE)-AVERAGE('The List'!AG2:AG671))/STDEV('The List'!AG2:AG671)</f>
        <v>0.35301046494121863</v>
      </c>
      <c r="U579" s="55" cm="1">
        <f t="array" ref="U579">(VLOOKUP($A579,'The List'!$B1:$AH671,33,FALSE)-AVERAGE('The List'!AH2:AH671))/STDEV('The List'!AH2:AH671)</f>
        <v>0.99869933650975895</v>
      </c>
      <c r="V579" s="55"/>
      <c r="W579" s="77"/>
      <c r="X579" s="57"/>
      <c r="Y579" s="57"/>
      <c r="Z579" s="57"/>
      <c r="AA579" s="57"/>
      <c r="AB579" s="57"/>
      <c r="AC579" s="60"/>
      <c r="AD579" s="61"/>
      <c r="AE579" s="55"/>
    </row>
    <row r="580" spans="1:31" ht="21.25" customHeight="1" x14ac:dyDescent="0.15">
      <c r="A580" s="10" t="s">
        <v>793</v>
      </c>
      <c r="B580" s="18" t="str" cm="1">
        <f t="array" ref="B580">VLOOKUP(A580,'Player Data'!A1:B673,2,FALSE)</f>
        <v>MIN</v>
      </c>
      <c r="C580" s="52" cm="1">
        <f t="array" ref="C580">((E580)*Settings!$C$12)+(F580*Settings!$C$2)+(G580*Settings!$C$3)+(H580*Settings!$C$4)+(I580*Settings!$C$5)+(K580*Settings!$C$9)+(N580*Settings!$C$6)+(J580*Settings!$C$8)+(O580*Settings!$C$7)+(P580*Settings!$C$14)+(Q580*Settings!$C$15)+(R580*Settings!$C$16)+(S580*Settings!$C$17)+(T580*Settings!$C$18)+(U580*Settings!$C$19)+(L580*Settings!$C$10)+(Settings!$C$11*M580)</f>
        <v>-4.3540708711477585</v>
      </c>
      <c r="D580" s="57" cm="1">
        <f t="array" ref="D580">IF(Settings!$E$12="YES",VLOOKUP(A580,'Player Data'!A1:E673,5,FALSE),82)</f>
        <v>57</v>
      </c>
      <c r="E580" s="55" cm="1">
        <f t="array" ref="E580">(VLOOKUP($A580,'The List'!$B1:$AH671,17,FALSE)-AVERAGE('The List'!R2:R671))/STDEV('The List'!R2:R671)</f>
        <v>-2.1285669202534447</v>
      </c>
      <c r="F580" s="55" cm="1">
        <f t="array" ref="F580">(VLOOKUP($A580,'The List'!$B1:$AH671,18,FALSE)-AVERAGE('The List'!S2:S671))/STDEV('The List'!S2:S671)</f>
        <v>-1.0311979325963931</v>
      </c>
      <c r="G580" s="55" cm="1">
        <f t="array" ref="G580">(VLOOKUP($A580,'The List'!$B1:$AH671,19,FALSE)-AVERAGE('The List'!T2:T671))/STDEV('The List'!T2:T671)</f>
        <v>-1.2617641578944654</v>
      </c>
      <c r="H580" s="55" cm="1">
        <f t="array" ref="H580">(VLOOKUP($A580,'The List'!$B1:$AH671,20,FALSE)-AVERAGE('The List'!U2:U671))/STDEV('The List'!U2:U671)</f>
        <v>-1.2505481419209972</v>
      </c>
      <c r="I580" s="55" cm="1">
        <f t="array" ref="I580">(VLOOKUP($A580,'The List'!$B1:$AH671,21,FALSE)-AVERAGE('The List'!V2:V671))/STDEV('The List'!V2:V671)</f>
        <v>-1.6030711267130677</v>
      </c>
      <c r="J580" s="55" cm="1">
        <f t="array" ref="J580">(VLOOKUP($A580,'The List'!$B1:$AH671,22,FALSE)-AVERAGE('The List'!W2:W671))/STDEV('The List'!W2:W671)</f>
        <v>-0.73853908386105271</v>
      </c>
      <c r="K580" s="55" cm="1">
        <f t="array" ref="K580">(VLOOKUP($A580,'The List'!$B1:$AH671,23,FALSE)-AVERAGE('The List'!X2:X671))/STDEV('The List'!X2:X671)</f>
        <v>-0.80155300200843405</v>
      </c>
      <c r="L580" s="55" cm="1">
        <f t="array" ref="L580">(VLOOKUP($A580,'The List'!$B1:$AH671,24,FALSE)-AVERAGE('The List'!Y2:Y671))/STDEV('The List'!Y2:Y671)</f>
        <v>-0.47546929358800777</v>
      </c>
      <c r="M580" s="55" cm="1">
        <f t="array" ref="M580">(VLOOKUP($A580,'The List'!$B1:$AH671,25,FALSE)-AVERAGE('The List'!Z2:Z671))/STDEV('The List'!Z2:Z671)</f>
        <v>-0.64388478613809508</v>
      </c>
      <c r="N580" s="55" cm="1">
        <f t="array" ref="N580">(VLOOKUP($A580,'The List'!$B1:$AH671,26,FALSE)-AVERAGE('The List'!AA2:AA671))/STDEV('The List'!AA2:AA671)</f>
        <v>-0.92416806435545606</v>
      </c>
      <c r="O580" s="55" cm="1">
        <f t="array" ref="O580">(VLOOKUP($A580,'The List'!$B1:$AH671,27,FALSE)-AVERAGE('The List'!AB2:AB671))/STDEV('The List'!AB2:AB671)</f>
        <v>7.7324576992400848E-2</v>
      </c>
      <c r="P580" s="55" cm="1">
        <f t="array" ref="P580">(VLOOKUP($A580,'The List'!$B1:$AH671,28,FALSE)-AVERAGE('The List'!AC2:AC671))/STDEV('The List'!AC2:AC671)</f>
        <v>0.26619077107220096</v>
      </c>
      <c r="Q580" s="55" cm="1">
        <f t="array" ref="Q580">(VLOOKUP($A580,'The List'!$B1:$AH671,29,FALSE)-AVERAGE('The List'!AD2:AD671))/STDEV('The List'!AD2:AD671)</f>
        <v>-1.405187325187532</v>
      </c>
      <c r="R580" s="55" cm="1">
        <f t="array" ref="R580">(VLOOKUP($A580,'The List'!$B1:$AH671,30,FALSE)-AVERAGE('The List'!AE2:AE671))/STDEV('The List'!AE2:AE671)</f>
        <v>-0.98893176130983951</v>
      </c>
      <c r="S580" s="55" cm="1">
        <f t="array" ref="S580">(VLOOKUP($A580,'The List'!$B1:$AH671,31,FALSE)-AVERAGE('The List'!AF2:AF671))/STDEV('The List'!AF2:AF671)</f>
        <v>0.11668624721951334</v>
      </c>
      <c r="T580" s="55" cm="1">
        <f t="array" ref="T580">(VLOOKUP($A580,'The List'!$B1:$AH671,32,FALSE)-AVERAGE('The List'!AG2:AG671))/STDEV('The List'!AG2:AG671)</f>
        <v>0.21128974331405245</v>
      </c>
      <c r="U580" s="55" cm="1">
        <f t="array" ref="U580">(VLOOKUP($A580,'The List'!$B1:$AH671,33,FALSE)-AVERAGE('The List'!AH2:AH671))/STDEV('The List'!AH2:AH671)</f>
        <v>0.90670088733062781</v>
      </c>
      <c r="V580" s="55"/>
      <c r="W580" s="77"/>
      <c r="X580" s="57"/>
      <c r="Y580" s="57"/>
      <c r="Z580" s="57"/>
      <c r="AA580" s="57"/>
      <c r="AB580" s="57"/>
      <c r="AC580" s="60"/>
      <c r="AD580" s="61"/>
      <c r="AE580" s="55"/>
    </row>
    <row r="581" spans="1:31" ht="21.25" customHeight="1" x14ac:dyDescent="0.15">
      <c r="A581" s="10" t="s">
        <v>556</v>
      </c>
      <c r="B581" s="18" t="str" cm="1">
        <f t="array" ref="B581">VLOOKUP(A581,'Player Data'!A1:B673,2,FALSE)</f>
        <v>DET</v>
      </c>
      <c r="C581" s="52" cm="1">
        <f t="array" ref="C581">((E581)*Settings!$C$12)+(F581*Settings!$C$2)+(G581*Settings!$C$3)+(H581*Settings!$C$4)+(I581*Settings!$C$5)+(K581*Settings!$C$9)+(N581*Settings!$C$6)+(J581*Settings!$C$8)+(O581*Settings!$C$7)+(P581*Settings!$C$14)+(Q581*Settings!$C$15)+(R581*Settings!$C$16)+(S581*Settings!$C$17)+(T581*Settings!$C$18)+(U581*Settings!$C$19)+(L581*Settings!$C$10)+(Settings!$C$11*M581)</f>
        <v>-5.2725834592941077</v>
      </c>
      <c r="D581" s="57" cm="1">
        <f t="array" ref="D581">IF(Settings!$E$12="YES",VLOOKUP(A581,'Player Data'!A1:E673,5,FALSE),82)</f>
        <v>79</v>
      </c>
      <c r="E581" s="55" cm="1">
        <f t="array" ref="E581">(VLOOKUP($A581,'The List'!$B1:$AH671,17,FALSE)-AVERAGE('The List'!R2:R671))/STDEV('The List'!R2:R671)</f>
        <v>-0.39724764865201989</v>
      </c>
      <c r="F581" s="55" cm="1">
        <f t="array" ref="F581">(VLOOKUP($A581,'The List'!$B1:$AH671,18,FALSE)-AVERAGE('The List'!S2:S671))/STDEV('The List'!S2:S671)</f>
        <v>-1.0571443543952246</v>
      </c>
      <c r="G581" s="55" cm="1">
        <f t="array" ref="G581">(VLOOKUP($A581,'The List'!$B1:$AH671,19,FALSE)-AVERAGE('The List'!T2:T671))/STDEV('The List'!T2:T671)</f>
        <v>-1.0516464723849461</v>
      </c>
      <c r="H581" s="55" cm="1">
        <f t="array" ref="H581">(VLOOKUP($A581,'The List'!$B1:$AH671,20,FALSE)-AVERAGE('The List'!U2:U671))/STDEV('The List'!U2:U671)</f>
        <v>-1.1298624555253369</v>
      </c>
      <c r="I581" s="55" cm="1">
        <f t="array" ref="I581">(VLOOKUP($A581,'The List'!$B1:$AH671,21,FALSE)-AVERAGE('The List'!V2:V671))/STDEV('The List'!V2:V671)</f>
        <v>-1.1467787505031866</v>
      </c>
      <c r="J581" s="55" cm="1">
        <f t="array" ref="J581">(VLOOKUP($A581,'The List'!$B1:$AH671,22,FALSE)-AVERAGE('The List'!W2:W671))/STDEV('The List'!W2:W671)</f>
        <v>-0.73853908386105271</v>
      </c>
      <c r="K581" s="55" cm="1">
        <f t="array" ref="K581">(VLOOKUP($A581,'The List'!$B1:$AH671,23,FALSE)-AVERAGE('The List'!X2:X671))/STDEV('The List'!X2:X671)</f>
        <v>-0.80155300200843405</v>
      </c>
      <c r="L581" s="55" cm="1">
        <f t="array" ref="L581">(VLOOKUP($A581,'The List'!$B1:$AH671,24,FALSE)-AVERAGE('The List'!Y2:Y671))/STDEV('The List'!Y2:Y671)</f>
        <v>0.97271857772082782</v>
      </c>
      <c r="M581" s="55" cm="1">
        <f t="array" ref="M581">(VLOOKUP($A581,'The List'!$B1:$AH671,25,FALSE)-AVERAGE('The List'!Z2:Z671))/STDEV('The List'!Z2:Z671)</f>
        <v>0.21454458398012499</v>
      </c>
      <c r="N581" s="55" cm="1">
        <f t="array" ref="N581">(VLOOKUP($A581,'The List'!$B1:$AH671,26,FALSE)-AVERAGE('The List'!AA2:AA671))/STDEV('The List'!AA2:AA671)</f>
        <v>0.657072832302114</v>
      </c>
      <c r="O581" s="55" cm="1">
        <f t="array" ref="O581">(VLOOKUP($A581,'The List'!$B1:$AH671,27,FALSE)-AVERAGE('The List'!AB2:AB671))/STDEV('The List'!AB2:AB671)</f>
        <v>-0.42468966126932822</v>
      </c>
      <c r="P581" s="55" cm="1">
        <f t="array" ref="P581">(VLOOKUP($A581,'The List'!$B1:$AH671,28,FALSE)-AVERAGE('The List'!AC2:AC671))/STDEV('The List'!AC2:AC671)</f>
        <v>-0.79077121873298861</v>
      </c>
      <c r="Q581" s="55" cm="1">
        <f t="array" ref="Q581">(VLOOKUP($A581,'The List'!$B1:$AH671,29,FALSE)-AVERAGE('The List'!AD2:AD671))/STDEV('The List'!AD2:AD671)</f>
        <v>-0.79785759318779592</v>
      </c>
      <c r="R581" s="55" cm="1">
        <f t="array" ref="R581">(VLOOKUP($A581,'The List'!$B1:$AH671,30,FALSE)-AVERAGE('The List'!AE2:AE671))/STDEV('The List'!AE2:AE671)</f>
        <v>-0.85169600352974151</v>
      </c>
      <c r="S581" s="55" cm="1">
        <f t="array" ref="S581">(VLOOKUP($A581,'The List'!$B1:$AH671,31,FALSE)-AVERAGE('The List'!AF2:AF671))/STDEV('The List'!AF2:AF671)</f>
        <v>-0.59581850454342256</v>
      </c>
      <c r="T581" s="55" cm="1">
        <f t="array" ref="T581">(VLOOKUP($A581,'The List'!$B1:$AH671,32,FALSE)-AVERAGE('The List'!AG2:AG671))/STDEV('The List'!AG2:AG671)</f>
        <v>-0.64684275008198677</v>
      </c>
      <c r="U581" s="55" cm="1">
        <f t="array" ref="U581">(VLOOKUP($A581,'The List'!$B1:$AH671,33,FALSE)-AVERAGE('The List'!AH2:AH671))/STDEV('The List'!AH2:AH671)</f>
        <v>-1.2552626683789523</v>
      </c>
      <c r="V581" s="55"/>
      <c r="W581" s="77"/>
      <c r="X581" s="57"/>
      <c r="Y581" s="57"/>
      <c r="Z581" s="57"/>
      <c r="AA581" s="57"/>
      <c r="AB581" s="57"/>
      <c r="AC581" s="60"/>
      <c r="AD581" s="61"/>
      <c r="AE581" s="55"/>
    </row>
    <row r="582" spans="1:31" ht="21.25" customHeight="1" x14ac:dyDescent="0.15">
      <c r="A582" s="10" t="s">
        <v>543</v>
      </c>
      <c r="B582" s="18" t="str" cm="1">
        <f t="array" ref="B582">VLOOKUP(A582,'Player Data'!A1:B673,2,FALSE)</f>
        <v>VGK</v>
      </c>
      <c r="C582" s="52" cm="1">
        <f t="array" ref="C582">((E582)*Settings!$C$12)+(F582*Settings!$C$2)+(G582*Settings!$C$3)+(H582*Settings!$C$4)+(I582*Settings!$C$5)+(K582*Settings!$C$9)+(N582*Settings!$C$6)+(J582*Settings!$C$8)+(O582*Settings!$C$7)+(P582*Settings!$C$14)+(Q582*Settings!$C$15)+(R582*Settings!$C$16)+(S582*Settings!$C$17)+(T582*Settings!$C$18)+(U582*Settings!$C$19)+(L582*Settings!$C$10)+(Settings!$C$11*M582)</f>
        <v>-0.66325562539959382</v>
      </c>
      <c r="D582" s="57" cm="1">
        <f t="array" ref="D582">IF(Settings!$E$12="YES",VLOOKUP(A582,'Player Data'!A1:E673,5,FALSE),82)</f>
        <v>74</v>
      </c>
      <c r="E582" s="55" cm="1">
        <f t="array" ref="E582">(VLOOKUP($A582,'The List'!$B1:$AH671,17,FALSE)-AVERAGE('The List'!R2:R671))/STDEV('The List'!R2:R671)</f>
        <v>2.2466114160446121E-2</v>
      </c>
      <c r="F582" s="55" cm="1">
        <f t="array" ref="F582">(VLOOKUP($A582,'The List'!$B1:$AH671,18,FALSE)-AVERAGE('The List'!S2:S671))/STDEV('The List'!S2:S671)</f>
        <v>-1.1509506485910004</v>
      </c>
      <c r="G582" s="55" cm="1">
        <f t="array" ref="G582">(VLOOKUP($A582,'The List'!$B1:$AH671,19,FALSE)-AVERAGE('The List'!T2:T671))/STDEV('The List'!T2:T671)</f>
        <v>-0.98629214210941007</v>
      </c>
      <c r="H582" s="55" cm="1">
        <f t="array" ref="H582">(VLOOKUP($A582,'The List'!$B1:$AH671,20,FALSE)-AVERAGE('The List'!U2:U671))/STDEV('The List'!U2:U671)</f>
        <v>-1.1303045276366763</v>
      </c>
      <c r="I582" s="55" cm="1">
        <f t="array" ref="I582">(VLOOKUP($A582,'The List'!$B1:$AH671,21,FALSE)-AVERAGE('The List'!V2:V671))/STDEV('The List'!V2:V671)</f>
        <v>-0.94394374494832056</v>
      </c>
      <c r="J582" s="55" cm="1">
        <f t="array" ref="J582">(VLOOKUP($A582,'The List'!$B1:$AH671,22,FALSE)-AVERAGE('The List'!W2:W671))/STDEV('The List'!W2:W671)</f>
        <v>-0.73853908386105271</v>
      </c>
      <c r="K582" s="55" cm="1">
        <f t="array" ref="K582">(VLOOKUP($A582,'The List'!$B1:$AH671,23,FALSE)-AVERAGE('The List'!X2:X671))/STDEV('The List'!X2:X671)</f>
        <v>-0.80155300200843405</v>
      </c>
      <c r="L582" s="55" cm="1">
        <f t="array" ref="L582">(VLOOKUP($A582,'The List'!$B1:$AH671,24,FALSE)-AVERAGE('The List'!Y2:Y671))/STDEV('The List'!Y2:Y671)</f>
        <v>-0.47546929358800777</v>
      </c>
      <c r="M582" s="55" cm="1">
        <f t="array" ref="M582">(VLOOKUP($A582,'The List'!$B1:$AH671,25,FALSE)-AVERAGE('The List'!Z2:Z671))/STDEV('The List'!Z2:Z671)</f>
        <v>-0.64388478613809508</v>
      </c>
      <c r="N582" s="55" cm="1">
        <f t="array" ref="N582">(VLOOKUP($A582,'The List'!$B1:$AH671,26,FALSE)-AVERAGE('The List'!AA2:AA671))/STDEV('The List'!AA2:AA671)</f>
        <v>0.85297200331428602</v>
      </c>
      <c r="O582" s="55" cm="1">
        <f t="array" ref="O582">(VLOOKUP($A582,'The List'!$B1:$AH671,27,FALSE)-AVERAGE('The List'!AB2:AB671))/STDEV('The List'!AB2:AB671)</f>
        <v>2.8426051299326711</v>
      </c>
      <c r="P582" s="55" cm="1">
        <f t="array" ref="P582">(VLOOKUP($A582,'The List'!$B1:$AH671,28,FALSE)-AVERAGE('The List'!AC2:AC671))/STDEV('The List'!AC2:AC671)</f>
        <v>0.37687878232490041</v>
      </c>
      <c r="Q582" s="55" cm="1">
        <f t="array" ref="Q582">(VLOOKUP($A582,'The List'!$B1:$AH671,29,FALSE)-AVERAGE('The List'!AD2:AD671))/STDEV('The List'!AD2:AD671)</f>
        <v>2.9296101658616784</v>
      </c>
      <c r="R582" s="55" cm="1">
        <f t="array" ref="R582">(VLOOKUP($A582,'The List'!$B1:$AH671,30,FALSE)-AVERAGE('The List'!AE2:AE671))/STDEV('The List'!AE2:AE671)</f>
        <v>-1.3444971337400937</v>
      </c>
      <c r="S582" s="55" cm="1">
        <f t="array" ref="S582">(VLOOKUP($A582,'The List'!$B1:$AH671,31,FALSE)-AVERAGE('The List'!AF2:AF671))/STDEV('The List'!AF2:AF671)</f>
        <v>-0.59581850454342256</v>
      </c>
      <c r="T582" s="55" cm="1">
        <f t="array" ref="T582">(VLOOKUP($A582,'The List'!$B1:$AH671,32,FALSE)-AVERAGE('The List'!AG2:AG671))/STDEV('The List'!AG2:AG671)</f>
        <v>-0.64684275008198677</v>
      </c>
      <c r="U582" s="55" cm="1">
        <f t="array" ref="U582">(VLOOKUP($A582,'The List'!$B1:$AH671,33,FALSE)-AVERAGE('The List'!AH2:AH671))/STDEV('The List'!AH2:AH671)</f>
        <v>-1.2552626683789523</v>
      </c>
      <c r="V582" s="55"/>
      <c r="W582" s="77"/>
      <c r="X582" s="57"/>
      <c r="Y582" s="57"/>
      <c r="Z582" s="57"/>
      <c r="AA582" s="57"/>
      <c r="AB582" s="57"/>
      <c r="AC582" s="60"/>
      <c r="AD582" s="61"/>
      <c r="AE582" s="55"/>
    </row>
    <row r="583" spans="1:31" ht="21.25" customHeight="1" x14ac:dyDescent="0.15">
      <c r="A583" s="10" t="s">
        <v>436</v>
      </c>
      <c r="B583" s="18" t="str" cm="1">
        <f t="array" ref="B583">VLOOKUP(A583,'Player Data'!A1:B673,2,FALSE)</f>
        <v>PHI</v>
      </c>
      <c r="C583" s="52" cm="1">
        <f t="array" ref="C583">((E583)*Settings!$C$12)+(F583*Settings!$C$2)+(G583*Settings!$C$3)+(H583*Settings!$C$4)+(I583*Settings!$C$5)+(K583*Settings!$C$9)+(N583*Settings!$C$6)+(J583*Settings!$C$8)+(O583*Settings!$C$7)+(P583*Settings!$C$14)+(Q583*Settings!$C$15)+(R583*Settings!$C$16)+(S583*Settings!$C$17)+(T583*Settings!$C$18)+(U583*Settings!$C$19)+(L583*Settings!$C$10)+(Settings!$C$11*M583)</f>
        <v>-2.8051136230632716</v>
      </c>
      <c r="D583" s="57" cm="1">
        <f t="array" ref="D583">IF(Settings!$E$12="YES",VLOOKUP(A583,'Player Data'!A1:E673,5,FALSE),82)</f>
        <v>82</v>
      </c>
      <c r="E583" s="55" cm="1">
        <f t="array" ref="E583">(VLOOKUP($A583,'The List'!$B1:$AH671,17,FALSE)-AVERAGE('The List'!R2:R671))/STDEV('The List'!R2:R671)</f>
        <v>0.20609088539090101</v>
      </c>
      <c r="F583" s="55" cm="1">
        <f t="array" ref="F583">(VLOOKUP($A583,'The List'!$B1:$AH671,18,FALSE)-AVERAGE('The List'!S2:S671))/STDEV('The List'!S2:S671)</f>
        <v>-1.2088311279883939</v>
      </c>
      <c r="G583" s="55" cm="1">
        <f t="array" ref="G583">(VLOOKUP($A583,'The List'!$B1:$AH671,19,FALSE)-AVERAGE('The List'!T2:T671))/STDEV('The List'!T2:T671)</f>
        <v>-0.85558348155833797</v>
      </c>
      <c r="H583" s="55" cm="1">
        <f t="array" ref="H583">(VLOOKUP($A583,'The List'!$B1:$AH671,20,FALSE)-AVERAGE('The List'!U2:U671))/STDEV('The List'!U2:U671)</f>
        <v>-1.0737192973852312</v>
      </c>
      <c r="I583" s="55" cm="1">
        <f t="array" ref="I583">(VLOOKUP($A583,'The List'!$B1:$AH671,21,FALSE)-AVERAGE('The List'!V2:V671))/STDEV('The List'!V2:V671)</f>
        <v>-0.78153752244272112</v>
      </c>
      <c r="J583" s="55" cm="1">
        <f t="array" ref="J583">(VLOOKUP($A583,'The List'!$B1:$AH671,22,FALSE)-AVERAGE('The List'!W2:W671))/STDEV('The List'!W2:W671)</f>
        <v>-0.73853908386105271</v>
      </c>
      <c r="K583" s="55" cm="1">
        <f t="array" ref="K583">(VLOOKUP($A583,'The List'!$B1:$AH671,23,FALSE)-AVERAGE('The List'!X2:X671))/STDEV('The List'!X2:X671)</f>
        <v>-0.80155300200843405</v>
      </c>
      <c r="L583" s="55" cm="1">
        <f t="array" ref="L583">(VLOOKUP($A583,'The List'!$B1:$AH671,24,FALSE)-AVERAGE('The List'!Y2:Y671))/STDEV('The List'!Y2:Y671)</f>
        <v>-0.47546929358800777</v>
      </c>
      <c r="M583" s="55" cm="1">
        <f t="array" ref="M583">(VLOOKUP($A583,'The List'!$B1:$AH671,25,FALSE)-AVERAGE('The List'!Z2:Z671))/STDEV('The List'!Z2:Z671)</f>
        <v>0.24714316765550046</v>
      </c>
      <c r="N583" s="55" cm="1">
        <f t="array" ref="N583">(VLOOKUP($A583,'The List'!$B1:$AH671,26,FALSE)-AVERAGE('The List'!AA2:AA671))/STDEV('The List'!AA2:AA671)</f>
        <v>2.4610309090413192</v>
      </c>
      <c r="O583" s="55" cm="1">
        <f t="array" ref="O583">(VLOOKUP($A583,'The List'!$B1:$AH671,27,FALSE)-AVERAGE('The List'!AB2:AB671))/STDEV('The List'!AB2:AB671)</f>
        <v>0.76936217126418405</v>
      </c>
      <c r="P583" s="55" cm="1">
        <f t="array" ref="P583">(VLOOKUP($A583,'The List'!$B1:$AH671,28,FALSE)-AVERAGE('The List'!AC2:AC671))/STDEV('The List'!AC2:AC671)</f>
        <v>7.3029339670431195E-2</v>
      </c>
      <c r="Q583" s="55" cm="1">
        <f t="array" ref="Q583">(VLOOKUP($A583,'The List'!$B1:$AH671,29,FALSE)-AVERAGE('The List'!AD2:AD671))/STDEV('The List'!AD2:AD671)</f>
        <v>0.65544846866558681</v>
      </c>
      <c r="R583" s="55" cm="1">
        <f t="array" ref="R583">(VLOOKUP($A583,'The List'!$B1:$AH671,30,FALSE)-AVERAGE('The List'!AE2:AE671))/STDEV('The List'!AE2:AE671)</f>
        <v>-1.3444971337400937</v>
      </c>
      <c r="S583" s="55" cm="1">
        <f t="array" ref="S583">(VLOOKUP($A583,'The List'!$B1:$AH671,31,FALSE)-AVERAGE('The List'!AF2:AF671))/STDEV('The List'!AF2:AF671)</f>
        <v>-0.59581850454342256</v>
      </c>
      <c r="T583" s="55" cm="1">
        <f t="array" ref="T583">(VLOOKUP($A583,'The List'!$B1:$AH671,32,FALSE)-AVERAGE('The List'!AG2:AG671))/STDEV('The List'!AG2:AG671)</f>
        <v>-0.64684275008198677</v>
      </c>
      <c r="U583" s="55" cm="1">
        <f t="array" ref="U583">(VLOOKUP($A583,'The List'!$B1:$AH671,33,FALSE)-AVERAGE('The List'!AH2:AH671))/STDEV('The List'!AH2:AH671)</f>
        <v>-1.2552626683789523</v>
      </c>
      <c r="V583" s="55"/>
      <c r="W583" s="77"/>
      <c r="X583" s="57"/>
      <c r="Y583" s="57"/>
      <c r="Z583" s="57"/>
      <c r="AA583" s="57"/>
      <c r="AB583" s="57"/>
      <c r="AC583" s="60"/>
      <c r="AD583" s="61"/>
      <c r="AE583" s="55"/>
    </row>
    <row r="584" spans="1:31" ht="21.25" customHeight="1" x14ac:dyDescent="0.15">
      <c r="A584" s="10" t="s">
        <v>572</v>
      </c>
      <c r="B584" s="18" t="str" cm="1">
        <f t="array" ref="B584">VLOOKUP(A584,'Player Data'!A1:B673,2,FALSE)</f>
        <v>DET</v>
      </c>
      <c r="C584" s="52" cm="1">
        <f t="array" ref="C584">((E584)*Settings!$C$12)+(F584*Settings!$C$2)+(G584*Settings!$C$3)+(H584*Settings!$C$4)+(I584*Settings!$C$5)+(K584*Settings!$C$9)+(N584*Settings!$C$6)+(J584*Settings!$C$8)+(O584*Settings!$C$7)+(P584*Settings!$C$14)+(Q584*Settings!$C$15)+(R584*Settings!$C$16)+(S584*Settings!$C$17)+(T584*Settings!$C$18)+(U584*Settings!$C$19)+(L584*Settings!$C$10)+(Settings!$C$11*M584)</f>
        <v>-4.8234548646260782</v>
      </c>
      <c r="D584" s="57" cm="1">
        <f t="array" ref="D584">IF(Settings!$E$12="YES",VLOOKUP(A584,'Player Data'!A1:E673,5,FALSE),82)</f>
        <v>74</v>
      </c>
      <c r="E584" s="55" cm="1">
        <f t="array" ref="E584">(VLOOKUP($A584,'The List'!$B1:$AH671,17,FALSE)-AVERAGE('The List'!R2:R671))/STDEV('The List'!R2:R671)</f>
        <v>-0.65956875040981156</v>
      </c>
      <c r="F584" s="55" cm="1">
        <f t="array" ref="F584">(VLOOKUP($A584,'The List'!$B1:$AH671,18,FALSE)-AVERAGE('The List'!S2:S671))/STDEV('The List'!S2:S671)</f>
        <v>-1.0771031403943259</v>
      </c>
      <c r="G584" s="55" cm="1">
        <f t="array" ref="G584">(VLOOKUP($A584,'The List'!$B1:$AH671,19,FALSE)-AVERAGE('The List'!T2:T671))/STDEV('The List'!T2:T671)</f>
        <v>-1.0382945124361809</v>
      </c>
      <c r="H584" s="55" cm="1">
        <f t="array" ref="H584">(VLOOKUP($A584,'The List'!$B1:$AH671,20,FALSE)-AVERAGE('The List'!U2:U671))/STDEV('The List'!U2:U671)</f>
        <v>-1.1303045276366763</v>
      </c>
      <c r="I584" s="55" cm="1">
        <f t="array" ref="I584">(VLOOKUP($A584,'The List'!$B1:$AH671,21,FALSE)-AVERAGE('The List'!V2:V671))/STDEV('The List'!V2:V671)</f>
        <v>-1.2891433540612864</v>
      </c>
      <c r="J584" s="55" cm="1">
        <f t="array" ref="J584">(VLOOKUP($A584,'The List'!$B1:$AH671,22,FALSE)-AVERAGE('The List'!W2:W671))/STDEV('The List'!W2:W671)</f>
        <v>-0.73853908386105271</v>
      </c>
      <c r="K584" s="55" cm="1">
        <f t="array" ref="K584">(VLOOKUP($A584,'The List'!$B1:$AH671,23,FALSE)-AVERAGE('The List'!X2:X671))/STDEV('The List'!X2:X671)</f>
        <v>-0.80155300200843405</v>
      </c>
      <c r="L584" s="55" cm="1">
        <f t="array" ref="L584">(VLOOKUP($A584,'The List'!$B1:$AH671,24,FALSE)-AVERAGE('The List'!Y2:Y671))/STDEV('The List'!Y2:Y671)</f>
        <v>-0.47546929358800777</v>
      </c>
      <c r="M584" s="55" cm="1">
        <f t="array" ref="M584">(VLOOKUP($A584,'The List'!$B1:$AH671,25,FALSE)-AVERAGE('The List'!Z2:Z671))/STDEV('The List'!Z2:Z671)</f>
        <v>-0.64388478613809508</v>
      </c>
      <c r="N584" s="55" cm="1">
        <f t="array" ref="N584">(VLOOKUP($A584,'The List'!$B1:$AH671,26,FALSE)-AVERAGE('The List'!AA2:AA671))/STDEV('The List'!AA2:AA671)</f>
        <v>0.73957013639198577</v>
      </c>
      <c r="O584" s="55" cm="1">
        <f t="array" ref="O584">(VLOOKUP($A584,'The List'!$B1:$AH671,27,FALSE)-AVERAGE('The List'!AB2:AB671))/STDEV('The List'!AB2:AB671)</f>
        <v>-0.19120896817822577</v>
      </c>
      <c r="P584" s="55" cm="1">
        <f t="array" ref="P584">(VLOOKUP($A584,'The List'!$B1:$AH671,28,FALSE)-AVERAGE('The List'!AC2:AC671))/STDEV('The List'!AC2:AC671)</f>
        <v>-0.42615188754762545</v>
      </c>
      <c r="Q584" s="55" cm="1">
        <f t="array" ref="Q584">(VLOOKUP($A584,'The List'!$B1:$AH671,29,FALSE)-AVERAGE('The List'!AD2:AD671))/STDEV('The List'!AD2:AD671)</f>
        <v>-0.35085699968434075</v>
      </c>
      <c r="R584" s="55" cm="1">
        <f t="array" ref="R584">(VLOOKUP($A584,'The List'!$B1:$AH671,30,FALSE)-AVERAGE('The List'!AE2:AE671))/STDEV('The List'!AE2:AE671)</f>
        <v>-0.88288594847976376</v>
      </c>
      <c r="S584" s="55" cm="1">
        <f t="array" ref="S584">(VLOOKUP($A584,'The List'!$B1:$AH671,31,FALSE)-AVERAGE('The List'!AF2:AF671))/STDEV('The List'!AF2:AF671)</f>
        <v>-0.59581850454342256</v>
      </c>
      <c r="T584" s="55" cm="1">
        <f t="array" ref="T584">(VLOOKUP($A584,'The List'!$B1:$AH671,32,FALSE)-AVERAGE('The List'!AG2:AG671))/STDEV('The List'!AG2:AG671)</f>
        <v>-0.64684275008198677</v>
      </c>
      <c r="U584" s="55" cm="1">
        <f t="array" ref="U584">(VLOOKUP($A584,'The List'!$B1:$AH671,33,FALSE)-AVERAGE('The List'!AH2:AH671))/STDEV('The List'!AH2:AH671)</f>
        <v>-1.2552626683789523</v>
      </c>
      <c r="V584" s="55"/>
      <c r="W584" s="77"/>
      <c r="X584" s="57"/>
      <c r="Y584" s="57"/>
      <c r="Z584" s="57"/>
      <c r="AA584" s="57"/>
      <c r="AB584" s="57"/>
      <c r="AC584" s="60"/>
      <c r="AD584" s="61"/>
      <c r="AE584" s="55"/>
    </row>
    <row r="585" spans="1:31" ht="21.25" customHeight="1" x14ac:dyDescent="0.15">
      <c r="A585" s="10" t="s">
        <v>509</v>
      </c>
      <c r="B585" s="18" t="str" cm="1">
        <f t="array" ref="B585">VLOOKUP(A585,'Player Data'!A1:B673,2,FALSE)</f>
        <v>CHI</v>
      </c>
      <c r="C585" s="52" cm="1">
        <f t="array" ref="C585">((E585)*Settings!$C$12)+(F585*Settings!$C$2)+(G585*Settings!$C$3)+(H585*Settings!$C$4)+(I585*Settings!$C$5)+(K585*Settings!$C$9)+(N585*Settings!$C$6)+(J585*Settings!$C$8)+(O585*Settings!$C$7)+(P585*Settings!$C$14)+(Q585*Settings!$C$15)+(R585*Settings!$C$16)+(S585*Settings!$C$17)+(T585*Settings!$C$18)+(U585*Settings!$C$19)+(L585*Settings!$C$10)+(Settings!$C$11*M585)</f>
        <v>-6.0173940157489074</v>
      </c>
      <c r="D585" s="57" cm="1">
        <f t="array" ref="D585">IF(Settings!$E$12="YES",VLOOKUP(A585,'Player Data'!A1:E673,5,FALSE),82)</f>
        <v>84</v>
      </c>
      <c r="E585" s="55" cm="1">
        <f t="array" ref="E585">(VLOOKUP($A585,'The List'!$B1:$AH671,17,FALSE)-AVERAGE('The List'!R2:R671))/STDEV('The List'!R2:R671)</f>
        <v>0.33725143626979681</v>
      </c>
      <c r="F585" s="55" cm="1">
        <f t="array" ref="F585">(VLOOKUP($A585,'The List'!$B1:$AH671,18,FALSE)-AVERAGE('The List'!S2:S671))/STDEV('The List'!S2:S671)</f>
        <v>-1.4563200743772489</v>
      </c>
      <c r="G585" s="55" cm="1">
        <f t="array" ref="G585">(VLOOKUP($A585,'The List'!$B1:$AH671,19,FALSE)-AVERAGE('The List'!T2:T671))/STDEV('The List'!T2:T671)</f>
        <v>-0.77687719133403654</v>
      </c>
      <c r="H585" s="55" cm="1">
        <f t="array" ref="H585">(VLOOKUP($A585,'The List'!$B1:$AH671,20,FALSE)-AVERAGE('The List'!U2:U671))/STDEV('The List'!U2:U671)</f>
        <v>-1.1338411045273917</v>
      </c>
      <c r="I585" s="55" cm="1">
        <f t="array" ref="I585">(VLOOKUP($A585,'The List'!$B1:$AH671,21,FALSE)-AVERAGE('The List'!V2:V671))/STDEV('The List'!V2:V671)</f>
        <v>-1.5890765479652447</v>
      </c>
      <c r="J585" s="55" cm="1">
        <f t="array" ref="J585">(VLOOKUP($A585,'The List'!$B1:$AH671,22,FALSE)-AVERAGE('The List'!W2:W671))/STDEV('The List'!W2:W671)</f>
        <v>-0.73853908386105271</v>
      </c>
      <c r="K585" s="55" cm="1">
        <f t="array" ref="K585">(VLOOKUP($A585,'The List'!$B1:$AH671,23,FALSE)-AVERAGE('The List'!X2:X671))/STDEV('The List'!X2:X671)</f>
        <v>-0.80155300200843405</v>
      </c>
      <c r="L585" s="55" cm="1">
        <f t="array" ref="L585">(VLOOKUP($A585,'The List'!$B1:$AH671,24,FALSE)-AVERAGE('The List'!Y2:Y671))/STDEV('The List'!Y2:Y671)</f>
        <v>-0.47546929358800777</v>
      </c>
      <c r="M585" s="55" cm="1">
        <f t="array" ref="M585">(VLOOKUP($A585,'The List'!$B1:$AH671,25,FALSE)-AVERAGE('The List'!Z2:Z671))/STDEV('The List'!Z2:Z671)</f>
        <v>-0.64388478613809508</v>
      </c>
      <c r="N585" s="55" cm="1">
        <f t="array" ref="N585">(VLOOKUP($A585,'The List'!$B1:$AH671,26,FALSE)-AVERAGE('The List'!AA2:AA671))/STDEV('The List'!AA2:AA671)</f>
        <v>2.3890053989690476</v>
      </c>
      <c r="O585" s="55" cm="1">
        <f t="array" ref="O585">(VLOOKUP($A585,'The List'!$B1:$AH671,27,FALSE)-AVERAGE('The List'!AB2:AB671))/STDEV('The List'!AB2:AB671)</f>
        <v>-1.24599213165567E-2</v>
      </c>
      <c r="P585" s="55" cm="1">
        <f t="array" ref="P585">(VLOOKUP($A585,'The List'!$B1:$AH671,28,FALSE)-AVERAGE('The List'!AC2:AC671))/STDEV('The List'!AC2:AC671)</f>
        <v>-1.3811072787473861</v>
      </c>
      <c r="Q585" s="55" cm="1">
        <f t="array" ref="Q585">(VLOOKUP($A585,'The List'!$B1:$AH671,29,FALSE)-AVERAGE('The List'!AD2:AD671))/STDEV('The List'!AD2:AD671)</f>
        <v>1.7844020337453881</v>
      </c>
      <c r="R585" s="55" cm="1">
        <f t="array" ref="R585">(VLOOKUP($A585,'The List'!$B1:$AH671,30,FALSE)-AVERAGE('The List'!AE2:AE671))/STDEV('The List'!AE2:AE671)</f>
        <v>-1.3444971337400937</v>
      </c>
      <c r="S585" s="55" cm="1">
        <f t="array" ref="S585">(VLOOKUP($A585,'The List'!$B1:$AH671,31,FALSE)-AVERAGE('The List'!AF2:AF671))/STDEV('The List'!AF2:AF671)</f>
        <v>-0.59581850454342256</v>
      </c>
      <c r="T585" s="55" cm="1">
        <f t="array" ref="T585">(VLOOKUP($A585,'The List'!$B1:$AH671,32,FALSE)-AVERAGE('The List'!AG2:AG671))/STDEV('The List'!AG2:AG671)</f>
        <v>-0.64684275008198677</v>
      </c>
      <c r="U585" s="55" cm="1">
        <f t="array" ref="U585">(VLOOKUP($A585,'The List'!$B1:$AH671,33,FALSE)-AVERAGE('The List'!AH2:AH671))/STDEV('The List'!AH2:AH671)</f>
        <v>-1.2552626683789523</v>
      </c>
      <c r="V585" s="55"/>
      <c r="W585" s="77"/>
      <c r="X585" s="57"/>
      <c r="Y585" s="57"/>
      <c r="Z585" s="57"/>
      <c r="AA585" s="57"/>
      <c r="AB585" s="57"/>
      <c r="AC585" s="60"/>
      <c r="AD585" s="61"/>
      <c r="AE585" s="55"/>
    </row>
    <row r="586" spans="1:31" ht="21.25" customHeight="1" x14ac:dyDescent="0.15">
      <c r="A586" s="10" t="s">
        <v>444</v>
      </c>
      <c r="B586" s="18" t="str" cm="1">
        <f t="array" ref="B586">VLOOKUP(A586,'Player Data'!A1:B673,2,FALSE)</f>
        <v>DET</v>
      </c>
      <c r="C586" s="52" cm="1">
        <f t="array" ref="C586">((E586)*Settings!$C$12)+(F586*Settings!$C$2)+(G586*Settings!$C$3)+(H586*Settings!$C$4)+(I586*Settings!$C$5)+(K586*Settings!$C$9)+(N586*Settings!$C$6)+(J586*Settings!$C$8)+(O586*Settings!$C$7)+(P586*Settings!$C$14)+(Q586*Settings!$C$15)+(R586*Settings!$C$16)+(S586*Settings!$C$17)+(T586*Settings!$C$18)+(U586*Settings!$C$19)+(L586*Settings!$C$10)+(Settings!$C$11*M586)</f>
        <v>-3.6943607772184839</v>
      </c>
      <c r="D586" s="57" cm="1">
        <f t="array" ref="D586">IF(Settings!$E$12="YES",VLOOKUP(A586,'Player Data'!A1:E673,5,FALSE),82)</f>
        <v>83</v>
      </c>
      <c r="E586" s="55" cm="1">
        <f t="array" ref="E586">(VLOOKUP($A586,'The List'!$B1:$AH671,17,FALSE)-AVERAGE('The List'!R2:R671))/STDEV('The List'!R2:R671)</f>
        <v>0.88812574996115867</v>
      </c>
      <c r="F586" s="55" cm="1">
        <f t="array" ref="F586">(VLOOKUP($A586,'The List'!$B1:$AH671,18,FALSE)-AVERAGE('The List'!S2:S671))/STDEV('The List'!S2:S671)</f>
        <v>-1.2068352493884837</v>
      </c>
      <c r="G586" s="55" cm="1">
        <f t="array" ref="G586">(VLOOKUP($A586,'The List'!$B1:$AH671,19,FALSE)-AVERAGE('The List'!T2:T671))/STDEV('The List'!T2:T671)</f>
        <v>-0.96239916114846147</v>
      </c>
      <c r="H586" s="55" cm="1">
        <f t="array" ref="H586">(VLOOKUP($A586,'The List'!$B1:$AH671,20,FALSE)-AVERAGE('The List'!U2:U671))/STDEV('The List'!U2:U671)</f>
        <v>-1.1400301140861435</v>
      </c>
      <c r="I586" s="55" cm="1">
        <f t="array" ref="I586">(VLOOKUP($A586,'The List'!$B1:$AH671,21,FALSE)-AVERAGE('The List'!V2:V671))/STDEV('The List'!V2:V671)</f>
        <v>-0.67839229389395184</v>
      </c>
      <c r="J586" s="55" cm="1">
        <f t="array" ref="J586">(VLOOKUP($A586,'The List'!$B1:$AH671,22,FALSE)-AVERAGE('The List'!W2:W671))/STDEV('The List'!W2:W671)</f>
        <v>-0.73853908386105271</v>
      </c>
      <c r="K586" s="55" cm="1">
        <f t="array" ref="K586">(VLOOKUP($A586,'The List'!$B1:$AH671,23,FALSE)-AVERAGE('The List'!X2:X671))/STDEV('The List'!X2:X671)</f>
        <v>-0.80155300200843405</v>
      </c>
      <c r="L586" s="55" cm="1">
        <f t="array" ref="L586">(VLOOKUP($A586,'The List'!$B1:$AH671,24,FALSE)-AVERAGE('The List'!Y2:Y671))/STDEV('The List'!Y2:Y671)</f>
        <v>-0.47546929358800777</v>
      </c>
      <c r="M586" s="55" cm="1">
        <f t="array" ref="M586">(VLOOKUP($A586,'The List'!$B1:$AH671,25,FALSE)-AVERAGE('The List'!Z2:Z671))/STDEV('The List'!Z2:Z671)</f>
        <v>-0.64388478613809508</v>
      </c>
      <c r="N586" s="55" cm="1">
        <f t="array" ref="N586">(VLOOKUP($A586,'The List'!$B1:$AH671,26,FALSE)-AVERAGE('The List'!AA2:AA671))/STDEV('The List'!AA2:AA671)</f>
        <v>2.1928508183466899</v>
      </c>
      <c r="O586" s="55" cm="1">
        <f t="array" ref="O586">(VLOOKUP($A586,'The List'!$B1:$AH671,27,FALSE)-AVERAGE('The List'!AB2:AB671))/STDEV('The List'!AB2:AB671)</f>
        <v>1.1405944234046459</v>
      </c>
      <c r="P586" s="55" cm="1">
        <f t="array" ref="P586">(VLOOKUP($A586,'The List'!$B1:$AH671,28,FALSE)-AVERAGE('The List'!AC2:AC671))/STDEV('The List'!AC2:AC671)</f>
        <v>-1.1857754941837986</v>
      </c>
      <c r="Q586" s="55" cm="1">
        <f t="array" ref="Q586">(VLOOKUP($A586,'The List'!$B1:$AH671,29,FALSE)-AVERAGE('The List'!AD2:AD671))/STDEV('The List'!AD2:AD671)</f>
        <v>1.8575475854095893</v>
      </c>
      <c r="R586" s="55" cm="1">
        <f t="array" ref="R586">(VLOOKUP($A586,'The List'!$B1:$AH671,30,FALSE)-AVERAGE('The List'!AE2:AE671))/STDEV('The List'!AE2:AE671)</f>
        <v>-1.3444971337400937</v>
      </c>
      <c r="S586" s="55" cm="1">
        <f t="array" ref="S586">(VLOOKUP($A586,'The List'!$B1:$AH671,31,FALSE)-AVERAGE('The List'!AF2:AF671))/STDEV('The List'!AF2:AF671)</f>
        <v>-0.59581850454342256</v>
      </c>
      <c r="T586" s="55" cm="1">
        <f t="array" ref="T586">(VLOOKUP($A586,'The List'!$B1:$AH671,32,FALSE)-AVERAGE('The List'!AG2:AG671))/STDEV('The List'!AG2:AG671)</f>
        <v>-0.64684275008198677</v>
      </c>
      <c r="U586" s="55" cm="1">
        <f t="array" ref="U586">(VLOOKUP($A586,'The List'!$B1:$AH671,33,FALSE)-AVERAGE('The List'!AH2:AH671))/STDEV('The List'!AH2:AH671)</f>
        <v>-1.2552626683789523</v>
      </c>
      <c r="V586" s="55"/>
      <c r="W586" s="77"/>
      <c r="X586" s="57"/>
      <c r="Y586" s="57"/>
      <c r="Z586" s="57"/>
      <c r="AA586" s="57"/>
      <c r="AB586" s="57"/>
      <c r="AC586" s="60"/>
      <c r="AD586" s="61"/>
      <c r="AE586" s="55"/>
    </row>
    <row r="587" spans="1:31" ht="21.25" customHeight="1" x14ac:dyDescent="0.15">
      <c r="A587" s="10" t="s">
        <v>795</v>
      </c>
      <c r="B587" s="18" t="str" cm="1">
        <f t="array" ref="B587">VLOOKUP(A587,'Player Data'!A1:B673,2,FALSE)</f>
        <v>NYR</v>
      </c>
      <c r="C587" s="52" cm="1">
        <f t="array" ref="C587">((E587)*Settings!$C$12)+(F587*Settings!$C$2)+(G587*Settings!$C$3)+(H587*Settings!$C$4)+(I587*Settings!$C$5)+(K587*Settings!$C$9)+(N587*Settings!$C$6)+(J587*Settings!$C$8)+(O587*Settings!$C$7)+(P587*Settings!$C$14)+(Q587*Settings!$C$15)+(R587*Settings!$C$16)+(S587*Settings!$C$17)+(T587*Settings!$C$18)+(U587*Settings!$C$19)+(L587*Settings!$C$10)+(Settings!$C$11*M587)</f>
        <v>-3.1488417995710858</v>
      </c>
      <c r="D587" s="57" cm="1">
        <f t="array" ref="D587">IF(Settings!$E$12="YES",VLOOKUP(A587,'Player Data'!A1:E673,5,FALSE),82)</f>
        <v>62</v>
      </c>
      <c r="E587" s="55" cm="1">
        <f t="array" ref="E587">(VLOOKUP($A587,'The List'!$B1:$AH671,17,FALSE)-AVERAGE('The List'!R2:R671))/STDEV('The List'!R2:R671)</f>
        <v>-2.1810311406050031</v>
      </c>
      <c r="F587" s="55" cm="1">
        <f t="array" ref="F587">(VLOOKUP($A587,'The List'!$B1:$AH671,18,FALSE)-AVERAGE('The List'!S2:S671))/STDEV('The List'!S2:S671)</f>
        <v>-1.0012597535977414</v>
      </c>
      <c r="G587" s="55" cm="1">
        <f t="array" ref="G587">(VLOOKUP($A587,'The List'!$B1:$AH671,19,FALSE)-AVERAGE('The List'!T2:T671))/STDEV('The List'!T2:T671)</f>
        <v>-1.3137665282212359</v>
      </c>
      <c r="H587" s="55" cm="1">
        <f t="array" ref="H587">(VLOOKUP($A587,'The List'!$B1:$AH671,20,FALSE)-AVERAGE('The List'!U2:U671))/STDEV('The List'!U2:U671)</f>
        <v>-1.2699993148199316</v>
      </c>
      <c r="I587" s="55" cm="1">
        <f t="array" ref="I587">(VLOOKUP($A587,'The List'!$B1:$AH671,21,FALSE)-AVERAGE('The List'!V2:V671))/STDEV('The List'!V2:V671)</f>
        <v>-1.4235604190712401</v>
      </c>
      <c r="J587" s="55" cm="1">
        <f t="array" ref="J587">(VLOOKUP($A587,'The List'!$B1:$AH671,22,FALSE)-AVERAGE('The List'!W2:W671))/STDEV('The List'!W2:W671)</f>
        <v>-0.73853908386105271</v>
      </c>
      <c r="K587" s="55" cm="1">
        <f t="array" ref="K587">(VLOOKUP($A587,'The List'!$B1:$AH671,23,FALSE)-AVERAGE('The List'!X2:X671))/STDEV('The List'!X2:X671)</f>
        <v>-0.7392469277839725</v>
      </c>
      <c r="L587" s="55" cm="1">
        <f t="array" ref="L587">(VLOOKUP($A587,'The List'!$B1:$AH671,24,FALSE)-AVERAGE('The List'!Y2:Y671))/STDEV('The List'!Y2:Y671)</f>
        <v>-0.47546929358800777</v>
      </c>
      <c r="M587" s="55" cm="1">
        <f t="array" ref="M587">(VLOOKUP($A587,'The List'!$B1:$AH671,25,FALSE)-AVERAGE('The List'!Z2:Z671))/STDEV('The List'!Z2:Z671)</f>
        <v>-0.64388478613809508</v>
      </c>
      <c r="N587" s="55" cm="1">
        <f t="array" ref="N587">(VLOOKUP($A587,'The List'!$B1:$AH671,26,FALSE)-AVERAGE('The List'!AA2:AA671))/STDEV('The List'!AA2:AA671)</f>
        <v>-1.1162360912148477</v>
      </c>
      <c r="O587" s="55" cm="1">
        <f t="array" ref="O587">(VLOOKUP($A587,'The List'!$B1:$AH671,27,FALSE)-AVERAGE('The List'!AB2:AB671))/STDEV('The List'!AB2:AB671)</f>
        <v>1.4339314487017198</v>
      </c>
      <c r="P587" s="55" cm="1">
        <f t="array" ref="P587">(VLOOKUP($A587,'The List'!$B1:$AH671,28,FALSE)-AVERAGE('The List'!AC2:AC671))/STDEV('The List'!AC2:AC671)</f>
        <v>-0.1049396195986151</v>
      </c>
      <c r="Q587" s="55" cm="1">
        <f t="array" ref="Q587">(VLOOKUP($A587,'The List'!$B1:$AH671,29,FALSE)-AVERAGE('The List'!AD2:AD671))/STDEV('The List'!AD2:AD671)</f>
        <v>0.55792106644665107</v>
      </c>
      <c r="R587" s="55" cm="1">
        <f t="array" ref="R587">(VLOOKUP($A587,'The List'!$B1:$AH671,30,FALSE)-AVERAGE('The List'!AE2:AE671))/STDEV('The List'!AE2:AE671)</f>
        <v>-0.95774181635981726</v>
      </c>
      <c r="S587" s="55" cm="1">
        <f t="array" ref="S587">(VLOOKUP($A587,'The List'!$B1:$AH671,31,FALSE)-AVERAGE('The List'!AF2:AF671))/STDEV('The List'!AF2:AF671)</f>
        <v>-0.56899140255396796</v>
      </c>
      <c r="T587" s="55" cm="1">
        <f t="array" ref="T587">(VLOOKUP($A587,'The List'!$B1:$AH671,32,FALSE)-AVERAGE('The List'!AG2:AG671))/STDEV('The List'!AG2:AG671)</f>
        <v>-0.57090453121946483</v>
      </c>
      <c r="U587" s="55" cm="1">
        <f t="array" ref="U587">(VLOOKUP($A587,'The List'!$B1:$AH671,33,FALSE)-AVERAGE('The List'!AH2:AH671))/STDEV('The List'!AH2:AH671)</f>
        <v>-1.3283604460682703E-2</v>
      </c>
      <c r="V587" s="55"/>
      <c r="W587" s="77"/>
      <c r="X587" s="57"/>
      <c r="Y587" s="57"/>
      <c r="Z587" s="57"/>
      <c r="AA587" s="57"/>
      <c r="AB587" s="57"/>
      <c r="AC587" s="60"/>
      <c r="AD587" s="61"/>
      <c r="AE587" s="55"/>
    </row>
    <row r="588" spans="1:31" ht="21.25" customHeight="1" x14ac:dyDescent="0.15">
      <c r="A588" s="10" t="s">
        <v>517</v>
      </c>
      <c r="B588" s="18" t="str" cm="1">
        <f t="array" ref="B588">VLOOKUP(A588,'Player Data'!A1:B673,2,FALSE)</f>
        <v>STL</v>
      </c>
      <c r="C588" s="52" cm="1">
        <f t="array" ref="C588">((E588)*Settings!$C$12)+(F588*Settings!$C$2)+(G588*Settings!$C$3)+(H588*Settings!$C$4)+(I588*Settings!$C$5)+(K588*Settings!$C$9)+(N588*Settings!$C$6)+(J588*Settings!$C$8)+(O588*Settings!$C$7)+(P588*Settings!$C$14)+(Q588*Settings!$C$15)+(R588*Settings!$C$16)+(S588*Settings!$C$17)+(T588*Settings!$C$18)+(U588*Settings!$C$19)+(L588*Settings!$C$10)+(Settings!$C$11*M588)</f>
        <v>-4.7007576638716095</v>
      </c>
      <c r="D588" s="57" cm="1">
        <f t="array" ref="D588">IF(Settings!$E$12="YES",VLOOKUP(A588,'Player Data'!A1:E673,5,FALSE),82)</f>
        <v>79</v>
      </c>
      <c r="E588" s="55" cm="1">
        <f t="array" ref="E588">(VLOOKUP($A588,'The List'!$B1:$AH671,17,FALSE)-AVERAGE('The List'!R2:R671))/STDEV('The List'!R2:R671)</f>
        <v>0.2323229955666796</v>
      </c>
      <c r="F588" s="55" cm="1">
        <f t="array" ref="F588">(VLOOKUP($A588,'The List'!$B1:$AH671,18,FALSE)-AVERAGE('The List'!S2:S671))/STDEV('The List'!S2:S671)</f>
        <v>-1.2936559684845741</v>
      </c>
      <c r="G588" s="55" cm="1">
        <f t="array" ref="G588">(VLOOKUP($A588,'The List'!$B1:$AH671,19,FALSE)-AVERAGE('The List'!T2:T671))/STDEV('The List'!T2:T671)</f>
        <v>-0.99613042838744781</v>
      </c>
      <c r="H588" s="55" cm="1">
        <f t="array" ref="H588">(VLOOKUP($A588,'The List'!$B1:$AH671,20,FALSE)-AVERAGE('The List'!U2:U671))/STDEV('The List'!U2:U671)</f>
        <v>-1.1997098491169644</v>
      </c>
      <c r="I588" s="55" cm="1">
        <f t="array" ref="I588">(VLOOKUP($A588,'The List'!$B1:$AH671,21,FALSE)-AVERAGE('The List'!V2:V671))/STDEV('The List'!V2:V671)</f>
        <v>-1.0512355153482966</v>
      </c>
      <c r="J588" s="55" cm="1">
        <f t="array" ref="J588">(VLOOKUP($A588,'The List'!$B1:$AH671,22,FALSE)-AVERAGE('The List'!W2:W671))/STDEV('The List'!W2:W671)</f>
        <v>-0.73853908386105271</v>
      </c>
      <c r="K588" s="55" cm="1">
        <f t="array" ref="K588">(VLOOKUP($A588,'The List'!$B1:$AH671,23,FALSE)-AVERAGE('The List'!X2:X671))/STDEV('The List'!X2:X671)</f>
        <v>-0.80155300200843405</v>
      </c>
      <c r="L588" s="55" cm="1">
        <f t="array" ref="L588">(VLOOKUP($A588,'The List'!$B1:$AH671,24,FALSE)-AVERAGE('The List'!Y2:Y671))/STDEV('The List'!Y2:Y671)</f>
        <v>-0.47546929358800777</v>
      </c>
      <c r="M588" s="55" cm="1">
        <f t="array" ref="M588">(VLOOKUP($A588,'The List'!$B1:$AH671,25,FALSE)-AVERAGE('The List'!Z2:Z671))/STDEV('The List'!Z2:Z671)</f>
        <v>0.21454458398012499</v>
      </c>
      <c r="N588" s="55" cm="1">
        <f t="array" ref="N588">(VLOOKUP($A588,'The List'!$B1:$AH671,26,FALSE)-AVERAGE('The List'!AA2:AA671))/STDEV('The List'!AA2:AA671)</f>
        <v>1.6054087149203597</v>
      </c>
      <c r="O588" s="55" cm="1">
        <f t="array" ref="O588">(VLOOKUP($A588,'The List'!$B1:$AH671,27,FALSE)-AVERAGE('The List'!AB2:AB671))/STDEV('The List'!AB2:AB671)</f>
        <v>6.1130569306538492E-2</v>
      </c>
      <c r="P588" s="55" cm="1">
        <f t="array" ref="P588">(VLOOKUP($A588,'The List'!$B1:$AH671,28,FALSE)-AVERAGE('The List'!AC2:AC671))/STDEV('The List'!AC2:AC671)</f>
        <v>-0.61931331894939523</v>
      </c>
      <c r="Q588" s="55" cm="1">
        <f t="array" ref="Q588">(VLOOKUP($A588,'The List'!$B1:$AH671,29,FALSE)-AVERAGE('The List'!AD2:AD671))/STDEV('The List'!AD2:AD671)</f>
        <v>0.48625320269485744</v>
      </c>
      <c r="R588" s="55" cm="1">
        <f t="array" ref="R588">(VLOOKUP($A588,'The List'!$B1:$AH671,30,FALSE)-AVERAGE('The List'!AE2:AE671))/STDEV('The List'!AE2:AE671)</f>
        <v>-1.3444971337400937</v>
      </c>
      <c r="S588" s="55" cm="1">
        <f t="array" ref="S588">(VLOOKUP($A588,'The List'!$B1:$AH671,31,FALSE)-AVERAGE('The List'!AF2:AF671))/STDEV('The List'!AF2:AF671)</f>
        <v>-0.59581850454342256</v>
      </c>
      <c r="T588" s="55" cm="1">
        <f t="array" ref="T588">(VLOOKUP($A588,'The List'!$B1:$AH671,32,FALSE)-AVERAGE('The List'!AG2:AG671))/STDEV('The List'!AG2:AG671)</f>
        <v>-0.64684275008198677</v>
      </c>
      <c r="U588" s="55" cm="1">
        <f t="array" ref="U588">(VLOOKUP($A588,'The List'!$B1:$AH671,33,FALSE)-AVERAGE('The List'!AH2:AH671))/STDEV('The List'!AH2:AH671)</f>
        <v>-1.2552626683789523</v>
      </c>
      <c r="V588" s="55"/>
      <c r="W588" s="77"/>
      <c r="X588" s="57"/>
      <c r="Y588" s="57"/>
      <c r="Z588" s="57"/>
      <c r="AA588" s="57"/>
      <c r="AB588" s="57"/>
      <c r="AC588" s="60"/>
      <c r="AD588" s="61"/>
      <c r="AE588" s="55"/>
    </row>
    <row r="589" spans="1:31" ht="21.25" customHeight="1" x14ac:dyDescent="0.15">
      <c r="A589" s="10" t="s">
        <v>788</v>
      </c>
      <c r="B589" s="18" t="str" cm="1">
        <f t="array" ref="B589">VLOOKUP(A589,'Player Data'!A1:B673,2,FALSE)</f>
        <v>S.J</v>
      </c>
      <c r="C589" s="52" cm="1">
        <f t="array" ref="C589">((E589)*Settings!$C$12)+(F589*Settings!$C$2)+(G589*Settings!$C$3)+(H589*Settings!$C$4)+(I589*Settings!$C$5)+(K589*Settings!$C$9)+(N589*Settings!$C$6)+(J589*Settings!$C$8)+(O589*Settings!$C$7)+(P589*Settings!$C$14)+(Q589*Settings!$C$15)+(R589*Settings!$C$16)+(S589*Settings!$C$17)+(T589*Settings!$C$18)+(U589*Settings!$C$19)+(L589*Settings!$C$10)+(Settings!$C$11*M589)</f>
        <v>-3.8457789091109822</v>
      </c>
      <c r="D589" s="57" cm="1">
        <f t="array" ref="D589">IF(Settings!$E$12="YES",VLOOKUP(A589,'Player Data'!A1:E673,5,FALSE),82)</f>
        <v>69</v>
      </c>
      <c r="E589" s="55" cm="1">
        <f t="array" ref="E589">(VLOOKUP($A589,'The List'!$B1:$AH671,17,FALSE)-AVERAGE('The List'!R2:R671))/STDEV('The List'!R2:R671)</f>
        <v>-1.682621047265199</v>
      </c>
      <c r="F589" s="55" cm="1">
        <f t="array" ref="F589">(VLOOKUP($A589,'The List'!$B1:$AH671,18,FALSE)-AVERAGE('The List'!S2:S671))/STDEV('The List'!S2:S671)</f>
        <v>-0.95934630299962864</v>
      </c>
      <c r="G589" s="55" cm="1">
        <f t="array" ref="G589">(VLOOKUP($A589,'The List'!$B1:$AH671,19,FALSE)-AVERAGE('The List'!T2:T671))/STDEV('The List'!T2:T671)</f>
        <v>-1.3229020797651281</v>
      </c>
      <c r="H589" s="55" cm="1">
        <f t="array" ref="H589">(VLOOKUP($A589,'The List'!$B1:$AH671,20,FALSE)-AVERAGE('The List'!U2:U671))/STDEV('The List'!U2:U671)</f>
        <v>-1.2571792235910886</v>
      </c>
      <c r="I589" s="55" cm="1">
        <f t="array" ref="I589">(VLOOKUP($A589,'The List'!$B1:$AH671,21,FALSE)-AVERAGE('The List'!V2:V671))/STDEV('The List'!V2:V671)</f>
        <v>-1.3019285247691741</v>
      </c>
      <c r="J589" s="55" cm="1">
        <f t="array" ref="J589">(VLOOKUP($A589,'The List'!$B1:$AH671,22,FALSE)-AVERAGE('The List'!W2:W671))/STDEV('The List'!W2:W671)</f>
        <v>-0.73853908386105271</v>
      </c>
      <c r="K589" s="55" cm="1">
        <f t="array" ref="K589">(VLOOKUP($A589,'The List'!$B1:$AH671,23,FALSE)-AVERAGE('The List'!X2:X671))/STDEV('The List'!X2:X671)</f>
        <v>-0.80155300200843405</v>
      </c>
      <c r="L589" s="55" cm="1">
        <f t="array" ref="L589">(VLOOKUP($A589,'The List'!$B1:$AH671,24,FALSE)-AVERAGE('The List'!Y2:Y671))/STDEV('The List'!Y2:Y671)</f>
        <v>-0.47546929358800777</v>
      </c>
      <c r="M589" s="55" cm="1">
        <f t="array" ref="M589">(VLOOKUP($A589,'The List'!$B1:$AH671,25,FALSE)-AVERAGE('The List'!Z2:Z671))/STDEV('The List'!Z2:Z671)</f>
        <v>0.1058826383955402</v>
      </c>
      <c r="N589" s="55" cm="1">
        <f t="array" ref="N589">(VLOOKUP($A589,'The List'!$B1:$AH671,26,FALSE)-AVERAGE('The List'!AA2:AA671))/STDEV('The List'!AA2:AA671)</f>
        <v>-0.74180560268310836</v>
      </c>
      <c r="O589" s="55" cm="1">
        <f t="array" ref="O589">(VLOOKUP($A589,'The List'!$B1:$AH671,27,FALSE)-AVERAGE('The List'!AB2:AB671))/STDEV('The List'!AB2:AB671)</f>
        <v>1.2439080926916655</v>
      </c>
      <c r="P589" s="55" cm="1">
        <f t="array" ref="P589">(VLOOKUP($A589,'The List'!$B1:$AH671,28,FALSE)-AVERAGE('The List'!AC2:AC671))/STDEV('The List'!AC2:AC671)</f>
        <v>-0.70395709226028313</v>
      </c>
      <c r="Q589" s="55" cm="1">
        <f t="array" ref="Q589">(VLOOKUP($A589,'The List'!$B1:$AH671,29,FALSE)-AVERAGE('The List'!AD2:AD671))/STDEV('The List'!AD2:AD671)</f>
        <v>2.2259198198708741E-2</v>
      </c>
      <c r="R589" s="55" cm="1">
        <f t="array" ref="R589">(VLOOKUP($A589,'The List'!$B1:$AH671,30,FALSE)-AVERAGE('The List'!AE2:AE671))/STDEV('The List'!AE2:AE671)</f>
        <v>-0.91407589342978612</v>
      </c>
      <c r="S589" s="55" cm="1">
        <f t="array" ref="S589">(VLOOKUP($A589,'The List'!$B1:$AH671,31,FALSE)-AVERAGE('The List'!AF2:AF671))/STDEV('The List'!AF2:AF671)</f>
        <v>0.64154551678739247</v>
      </c>
      <c r="T589" s="55" cm="1">
        <f t="array" ref="T589">(VLOOKUP($A589,'The List'!$B1:$AH671,32,FALSE)-AVERAGE('The List'!AG2:AG671))/STDEV('The List'!AG2:AG671)</f>
        <v>0.69830481226905683</v>
      </c>
      <c r="U589" s="55" cm="1">
        <f t="array" ref="U589">(VLOOKUP($A589,'The List'!$B1:$AH671,33,FALSE)-AVERAGE('The List'!AH2:AH671))/STDEV('The List'!AH2:AH671)</f>
        <v>0.99869933650975895</v>
      </c>
      <c r="V589" s="55"/>
      <c r="W589" s="77"/>
      <c r="X589" s="57"/>
      <c r="Y589" s="57"/>
      <c r="Z589" s="57"/>
      <c r="AA589" s="57"/>
      <c r="AB589" s="57"/>
      <c r="AC589" s="60"/>
      <c r="AD589" s="61"/>
      <c r="AE589" s="55"/>
    </row>
    <row r="590" spans="1:31" ht="21.25" customHeight="1" x14ac:dyDescent="0.15">
      <c r="A590" s="10" t="s">
        <v>792</v>
      </c>
      <c r="B590" s="18" t="str" cm="1">
        <f t="array" ref="B590">VLOOKUP(A590,'Player Data'!A1:B673,2,FALSE)</f>
        <v>ANA</v>
      </c>
      <c r="C590" s="52" cm="1">
        <f t="array" ref="C590">((E590)*Settings!$C$12)+(F590*Settings!$C$2)+(G590*Settings!$C$3)+(H590*Settings!$C$4)+(I590*Settings!$C$5)+(K590*Settings!$C$9)+(N590*Settings!$C$6)+(J590*Settings!$C$8)+(O590*Settings!$C$7)+(P590*Settings!$C$14)+(Q590*Settings!$C$15)+(R590*Settings!$C$16)+(S590*Settings!$C$17)+(T590*Settings!$C$18)+(U590*Settings!$C$19)+(L590*Settings!$C$10)+(Settings!$C$11*M590)</f>
        <v>-3.4858021253717495</v>
      </c>
      <c r="D590" s="57" cm="1">
        <f t="array" ref="D590">IF(Settings!$E$12="YES",VLOOKUP(A590,'Player Data'!A1:E673,5,FALSE),82)</f>
        <v>65</v>
      </c>
      <c r="E590" s="55" cm="1">
        <f t="array" ref="E590">(VLOOKUP($A590,'The List'!$B1:$AH671,17,FALSE)-AVERAGE('The List'!R2:R671))/STDEV('The List'!R2:R671)</f>
        <v>-2.1023348100776653</v>
      </c>
      <c r="F590" s="55" cm="1">
        <f t="array" ref="F590">(VLOOKUP($A590,'The List'!$B1:$AH671,18,FALSE)-AVERAGE('The List'!S2:S671))/STDEV('The List'!S2:S671)</f>
        <v>-1.0481629006956292</v>
      </c>
      <c r="G590" s="55" cm="1">
        <f t="array" ref="G590">(VLOOKUP($A590,'The List'!$B1:$AH671,19,FALSE)-AVERAGE('The List'!T2:T671))/STDEV('The List'!T2:T671)</f>
        <v>-1.2512231368822819</v>
      </c>
      <c r="H590" s="55" cm="1">
        <f t="array" ref="H590">(VLOOKUP($A590,'The List'!$B1:$AH671,20,FALSE)-AVERAGE('The List'!U2:U671))/STDEV('The List'!U2:U671)</f>
        <v>-1.251432286143676</v>
      </c>
      <c r="I590" s="55" cm="1">
        <f t="array" ref="I590">(VLOOKUP($A590,'The List'!$B1:$AH671,21,FALSE)-AVERAGE('The List'!V2:V671))/STDEV('The List'!V2:V671)</f>
        <v>-1.1846159448954485</v>
      </c>
      <c r="J590" s="55" cm="1">
        <f t="array" ref="J590">(VLOOKUP($A590,'The List'!$B1:$AH671,22,FALSE)-AVERAGE('The List'!W2:W671))/STDEV('The List'!W2:W671)</f>
        <v>-0.73853908386105271</v>
      </c>
      <c r="K590" s="55" cm="1">
        <f t="array" ref="K590">(VLOOKUP($A590,'The List'!$B1:$AH671,23,FALSE)-AVERAGE('The List'!X2:X671))/STDEV('The List'!X2:X671)</f>
        <v>-0.80155300200843405</v>
      </c>
      <c r="L590" s="55" cm="1">
        <f t="array" ref="L590">(VLOOKUP($A590,'The List'!$B1:$AH671,24,FALSE)-AVERAGE('The List'!Y2:Y671))/STDEV('The List'!Y2:Y671)</f>
        <v>-0.47546929358800777</v>
      </c>
      <c r="M590" s="55" cm="1">
        <f t="array" ref="M590">(VLOOKUP($A590,'The List'!$B1:$AH671,25,FALSE)-AVERAGE('The List'!Z2:Z671))/STDEV('The List'!Z2:Z671)</f>
        <v>-0.64388478613809508</v>
      </c>
      <c r="N590" s="55" cm="1">
        <f t="array" ref="N590">(VLOOKUP($A590,'The List'!$B1:$AH671,26,FALSE)-AVERAGE('The List'!AA2:AA671))/STDEV('The List'!AA2:AA671)</f>
        <v>-0.85929402336837446</v>
      </c>
      <c r="O590" s="55" cm="1">
        <f t="array" ref="O590">(VLOOKUP($A590,'The List'!$B1:$AH671,27,FALSE)-AVERAGE('The List'!AB2:AB671))/STDEV('The List'!AB2:AB671)</f>
        <v>1.4689843007812446</v>
      </c>
      <c r="P590" s="55" cm="1">
        <f t="array" ref="P590">(VLOOKUP($A590,'The List'!$B1:$AH671,28,FALSE)-AVERAGE('The List'!AC2:AC671))/STDEV('The List'!AC2:AC671)</f>
        <v>-0.66923144167120097</v>
      </c>
      <c r="Q590" s="55" cm="1">
        <f t="array" ref="Q590">(VLOOKUP($A590,'The List'!$B1:$AH671,29,FALSE)-AVERAGE('The List'!AD2:AD671))/STDEV('The List'!AD2:AD671)</f>
        <v>-0.50084232279376439</v>
      </c>
      <c r="R590" s="55" cm="1">
        <f t="array" ref="R590">(VLOOKUP($A590,'The List'!$B1:$AH671,30,FALSE)-AVERAGE('The List'!AE2:AE671))/STDEV('The List'!AE2:AE671)</f>
        <v>-0.93902784938980399</v>
      </c>
      <c r="S590" s="55" cm="1">
        <f t="array" ref="S590">(VLOOKUP($A590,'The List'!$B1:$AH671,31,FALSE)-AVERAGE('The List'!AF2:AF671))/STDEV('The List'!AF2:AF671)</f>
        <v>-0.57081833781489855</v>
      </c>
      <c r="T590" s="55" cm="1">
        <f t="array" ref="T590">(VLOOKUP($A590,'The List'!$B1:$AH671,32,FALSE)-AVERAGE('The List'!AG2:AG671))/STDEV('The List'!AG2:AG671)</f>
        <v>-0.59376765087699823</v>
      </c>
      <c r="U590" s="55" cm="1">
        <f t="array" ref="U590">(VLOOKUP($A590,'The List'!$B1:$AH671,33,FALSE)-AVERAGE('The List'!AH2:AH671))/STDEV('The List'!AH2:AH671)</f>
        <v>0.21671251848714493</v>
      </c>
      <c r="V590" s="55"/>
      <c r="W590" s="77"/>
      <c r="X590" s="57"/>
      <c r="Y590" s="57"/>
      <c r="Z590" s="57"/>
      <c r="AA590" s="57"/>
      <c r="AB590" s="57"/>
      <c r="AC590" s="60"/>
      <c r="AD590" s="61"/>
      <c r="AE590" s="55"/>
    </row>
    <row r="591" spans="1:31" ht="21.25" customHeight="1" x14ac:dyDescent="0.15">
      <c r="A591" s="10" t="s">
        <v>620</v>
      </c>
      <c r="B591" s="18" t="str" cm="1">
        <f t="array" ref="B591">VLOOKUP(A591,'Player Data'!A1:B673,2,FALSE)</f>
        <v>OTT</v>
      </c>
      <c r="C591" s="52" cm="1">
        <f t="array" ref="C591">((E591)*Settings!$C$12)+(F591*Settings!$C$2)+(G591*Settings!$C$3)+(H591*Settings!$C$4)+(I591*Settings!$C$5)+(K591*Settings!$C$9)+(N591*Settings!$C$6)+(J591*Settings!$C$8)+(O591*Settings!$C$7)+(P591*Settings!$C$14)+(Q591*Settings!$C$15)+(R591*Settings!$C$16)+(S591*Settings!$C$17)+(T591*Settings!$C$18)+(U591*Settings!$C$19)+(L591*Settings!$C$10)+(Settings!$C$11*M591)</f>
        <v>-4.9279887841252652</v>
      </c>
      <c r="D591" s="57" cm="1">
        <f t="array" ref="D591">IF(Settings!$E$12="YES",VLOOKUP(A591,'Player Data'!A1:E673,5,FALSE),82)</f>
        <v>65</v>
      </c>
      <c r="E591" s="55" cm="1">
        <f t="array" ref="E591">(VLOOKUP($A591,'The List'!$B1:$AH671,17,FALSE)-AVERAGE('The List'!R2:R671))/STDEV('The List'!R2:R671)</f>
        <v>-0.29231920794890365</v>
      </c>
      <c r="F591" s="55" cm="1">
        <f t="array" ref="F591">(VLOOKUP($A591,'The List'!$B1:$AH671,18,FALSE)-AVERAGE('The List'!S2:S671))/STDEV('The List'!S2:S671)</f>
        <v>-1.2427610641868658</v>
      </c>
      <c r="G591" s="55" cm="1">
        <f t="array" ref="G591">(VLOOKUP($A591,'The List'!$B1:$AH671,19,FALSE)-AVERAGE('The List'!T2:T671))/STDEV('The List'!T2:T671)</f>
        <v>-1.1598676214433608</v>
      </c>
      <c r="H591" s="55" cm="1">
        <f t="array" ref="H591">(VLOOKUP($A591,'The List'!$B1:$AH671,20,FALSE)-AVERAGE('The List'!U2:U671))/STDEV('The List'!U2:U671)</f>
        <v>-1.2801669733807379</v>
      </c>
      <c r="I591" s="55" cm="1">
        <f t="array" ref="I591">(VLOOKUP($A591,'The List'!$B1:$AH671,21,FALSE)-AVERAGE('The List'!V2:V671))/STDEV('The List'!V2:V671)</f>
        <v>-1.2969181200322992</v>
      </c>
      <c r="J591" s="55" cm="1">
        <f t="array" ref="J591">(VLOOKUP($A591,'The List'!$B1:$AH671,22,FALSE)-AVERAGE('The List'!W2:W671))/STDEV('The List'!W2:W671)</f>
        <v>-0.73853908386105271</v>
      </c>
      <c r="K591" s="55" cm="1">
        <f t="array" ref="K591">(VLOOKUP($A591,'The List'!$B1:$AH671,23,FALSE)-AVERAGE('The List'!X2:X671))/STDEV('The List'!X2:X671)</f>
        <v>-0.80155300200843405</v>
      </c>
      <c r="L591" s="55" cm="1">
        <f t="array" ref="L591">(VLOOKUP($A591,'The List'!$B1:$AH671,24,FALSE)-AVERAGE('The List'!Y2:Y671))/STDEV('The List'!Y2:Y671)</f>
        <v>-0.47546929358800777</v>
      </c>
      <c r="M591" s="55" cm="1">
        <f t="array" ref="M591">(VLOOKUP($A591,'The List'!$B1:$AH671,25,FALSE)-AVERAGE('The List'!Z2:Z671))/STDEV('The List'!Z2:Z671)</f>
        <v>6.2417860161706237E-2</v>
      </c>
      <c r="N591" s="55" cm="1">
        <f t="array" ref="N591">(VLOOKUP($A591,'The List'!$B1:$AH671,26,FALSE)-AVERAGE('The List'!AA2:AA671))/STDEV('The List'!AA2:AA671)</f>
        <v>0.2696164536509213</v>
      </c>
      <c r="O591" s="55" cm="1">
        <f t="array" ref="O591">(VLOOKUP($A591,'The List'!$B1:$AH671,27,FALSE)-AVERAGE('The List'!AB2:AB671))/STDEV('The List'!AB2:AB671)</f>
        <v>-0.46302231237383751</v>
      </c>
      <c r="P591" s="55" cm="1">
        <f t="array" ref="P591">(VLOOKUP($A591,'The List'!$B1:$AH671,28,FALSE)-AVERAGE('The List'!AC2:AC671))/STDEV('The List'!AC2:AC671)</f>
        <v>3.6133335919531342E-2</v>
      </c>
      <c r="Q591" s="55" cm="1">
        <f t="array" ref="Q591">(VLOOKUP($A591,'The List'!$B1:$AH671,29,FALSE)-AVERAGE('The List'!AD2:AD671))/STDEV('The List'!AD2:AD671)</f>
        <v>-0.45281746564050074</v>
      </c>
      <c r="R591" s="55" cm="1">
        <f t="array" ref="R591">(VLOOKUP($A591,'The List'!$B1:$AH671,30,FALSE)-AVERAGE('The List'!AE2:AE671))/STDEV('The List'!AE2:AE671)</f>
        <v>-1.3444971337400937</v>
      </c>
      <c r="S591" s="55" cm="1">
        <f t="array" ref="S591">(VLOOKUP($A591,'The List'!$B1:$AH671,31,FALSE)-AVERAGE('The List'!AF2:AF671))/STDEV('The List'!AF2:AF671)</f>
        <v>-0.59581850454342256</v>
      </c>
      <c r="T591" s="55" cm="1">
        <f t="array" ref="T591">(VLOOKUP($A591,'The List'!$B1:$AH671,32,FALSE)-AVERAGE('The List'!AG2:AG671))/STDEV('The List'!AG2:AG671)</f>
        <v>-0.64684275008198677</v>
      </c>
      <c r="U591" s="55" cm="1">
        <f t="array" ref="U591">(VLOOKUP($A591,'The List'!$B1:$AH671,33,FALSE)-AVERAGE('The List'!AH2:AH671))/STDEV('The List'!AH2:AH671)</f>
        <v>-1.2552626683789523</v>
      </c>
      <c r="V591" s="55"/>
      <c r="W591" s="77"/>
      <c r="X591" s="57"/>
      <c r="Y591" s="57"/>
      <c r="Z591" s="57"/>
      <c r="AA591" s="57"/>
      <c r="AB591" s="57"/>
      <c r="AC591" s="60"/>
      <c r="AD591" s="61"/>
      <c r="AE591" s="55"/>
    </row>
    <row r="592" spans="1:31" ht="21.25" customHeight="1" x14ac:dyDescent="0.15">
      <c r="A592" s="10" t="s">
        <v>782</v>
      </c>
      <c r="B592" s="18" t="str" cm="1">
        <f t="array" ref="B592">VLOOKUP(A592,'Player Data'!A1:B673,2,FALSE)</f>
        <v>UTA</v>
      </c>
      <c r="C592" s="52" cm="1">
        <f t="array" ref="C592">((E592)*Settings!$C$12)+(F592*Settings!$C$2)+(G592*Settings!$C$3)+(H592*Settings!$C$4)+(I592*Settings!$C$5)+(K592*Settings!$C$9)+(N592*Settings!$C$6)+(J592*Settings!$C$8)+(O592*Settings!$C$7)+(P592*Settings!$C$14)+(Q592*Settings!$C$15)+(R592*Settings!$C$16)+(S592*Settings!$C$17)+(T592*Settings!$C$18)+(U592*Settings!$C$19)+(L592*Settings!$C$10)+(Settings!$C$11*M592)</f>
        <v>-2.9801103622299596</v>
      </c>
      <c r="D592" s="57" cm="1">
        <f t="array" ref="D592">IF(Settings!$E$12="YES",VLOOKUP(A592,'Player Data'!A1:E673,5,FALSE),82)</f>
        <v>77</v>
      </c>
      <c r="E592" s="55" cm="1">
        <f t="array" ref="E592">(VLOOKUP($A592,'The List'!$B1:$AH671,17,FALSE)-AVERAGE('The List'!R2:R671))/STDEV('The List'!R2:R671)</f>
        <v>-1.9449421490229906</v>
      </c>
      <c r="F592" s="55" cm="1">
        <f t="array" ref="F592">(VLOOKUP($A592,'The List'!$B1:$AH671,18,FALSE)-AVERAGE('The List'!S2:S671))/STDEV('The List'!S2:S671)</f>
        <v>-0.9882865426983255</v>
      </c>
      <c r="G592" s="55" cm="1">
        <f t="array" ref="G592">(VLOOKUP($A592,'The List'!$B1:$AH671,19,FALSE)-AVERAGE('The List'!T2:T671))/STDEV('The List'!T2:T671)</f>
        <v>-1.2294383601237699</v>
      </c>
      <c r="H592" s="55" cm="1">
        <f t="array" ref="H592">(VLOOKUP($A592,'The List'!$B1:$AH671,20,FALSE)-AVERAGE('The List'!U2:U671))/STDEV('The List'!U2:U671)</f>
        <v>-1.2112037240117894</v>
      </c>
      <c r="I592" s="55" cm="1">
        <f t="array" ref="I592">(VLOOKUP($A592,'The List'!$B1:$AH671,21,FALSE)-AVERAGE('The List'!V2:V671))/STDEV('The List'!V2:V671)</f>
        <v>-1.146433205348919</v>
      </c>
      <c r="J592" s="55" cm="1">
        <f t="array" ref="J592">(VLOOKUP($A592,'The List'!$B1:$AH671,22,FALSE)-AVERAGE('The List'!W2:W671))/STDEV('The List'!W2:W671)</f>
        <v>-0.73853908386105271</v>
      </c>
      <c r="K592" s="55" cm="1">
        <f t="array" ref="K592">(VLOOKUP($A592,'The List'!$B1:$AH671,23,FALSE)-AVERAGE('The List'!X2:X671))/STDEV('The List'!X2:X671)</f>
        <v>-0.80155300200843405</v>
      </c>
      <c r="L592" s="55" cm="1">
        <f t="array" ref="L592">(VLOOKUP($A592,'The List'!$B1:$AH671,24,FALSE)-AVERAGE('The List'!Y2:Y671))/STDEV('The List'!Y2:Y671)</f>
        <v>-0.47546929358800777</v>
      </c>
      <c r="M592" s="55" cm="1">
        <f t="array" ref="M592">(VLOOKUP($A592,'The List'!$B1:$AH671,25,FALSE)-AVERAGE('The List'!Z2:Z671))/STDEV('The List'!Z2:Z671)</f>
        <v>-0.64388478613809508</v>
      </c>
      <c r="N592" s="55" cm="1">
        <f t="array" ref="N592">(VLOOKUP($A592,'The List'!$B1:$AH671,26,FALSE)-AVERAGE('The List'!AA2:AA671))/STDEV('The List'!AA2:AA671)</f>
        <v>-0.3249771188605991</v>
      </c>
      <c r="O592" s="55" cm="1">
        <f t="array" ref="O592">(VLOOKUP($A592,'The List'!$B1:$AH671,27,FALSE)-AVERAGE('The List'!AB2:AB671))/STDEV('The List'!AB2:AB671)</f>
        <v>1.6247747544680196</v>
      </c>
      <c r="P592" s="55" cm="1">
        <f t="array" ref="P592">(VLOOKUP($A592,'The List'!$B1:$AH671,28,FALSE)-AVERAGE('The List'!AC2:AC671))/STDEV('The List'!AC2:AC671)</f>
        <v>-0.43917400651853133</v>
      </c>
      <c r="Q592" s="55" cm="1">
        <f t="array" ref="Q592">(VLOOKUP($A592,'The List'!$B1:$AH671,29,FALSE)-AVERAGE('The List'!AD2:AD671))/STDEV('The List'!AD2:AD671)</f>
        <v>-0.26884532054569032</v>
      </c>
      <c r="R592" s="55" cm="1">
        <f t="array" ref="R592">(VLOOKUP($A592,'The List'!$B1:$AH671,30,FALSE)-AVERAGE('The List'!AE2:AE671))/STDEV('The List'!AE2:AE671)</f>
        <v>-0.86417198150975039</v>
      </c>
      <c r="S592" s="55" cm="1">
        <f t="array" ref="S592">(VLOOKUP($A592,'The List'!$B1:$AH671,31,FALSE)-AVERAGE('The List'!AF2:AF671))/STDEV('The List'!AF2:AF671)</f>
        <v>-0.57360681795000312</v>
      </c>
      <c r="T592" s="55" cm="1">
        <f t="array" ref="T592">(VLOOKUP($A592,'The List'!$B1:$AH671,32,FALSE)-AVERAGE('The List'!AG2:AG671))/STDEV('The List'!AG2:AG671)</f>
        <v>-0.56432117756807676</v>
      </c>
      <c r="U592" s="55" cm="1">
        <f t="array" ref="U592">(VLOOKUP($A592,'The List'!$B1:$AH671,33,FALSE)-AVERAGE('The List'!AH2:AH671))/STDEV('The List'!AH2:AH671)</f>
        <v>-0.19728050281894488</v>
      </c>
      <c r="V592" s="55"/>
      <c r="W592" s="77"/>
      <c r="X592" s="57"/>
      <c r="Y592" s="57"/>
      <c r="Z592" s="57"/>
      <c r="AA592" s="57"/>
      <c r="AB592" s="57"/>
      <c r="AC592" s="60"/>
      <c r="AD592" s="61"/>
      <c r="AE592" s="55"/>
    </row>
    <row r="593" spans="1:31" ht="21.25" customHeight="1" x14ac:dyDescent="0.15">
      <c r="A593" s="10" t="s">
        <v>619</v>
      </c>
      <c r="B593" s="18" t="str" cm="1">
        <f t="array" ref="B593">VLOOKUP(A593,'Player Data'!A1:B673,2,FALSE)</f>
        <v>MIN</v>
      </c>
      <c r="C593" s="52" cm="1">
        <f t="array" ref="C593">((E593)*Settings!$C$12)+(F593*Settings!$C$2)+(G593*Settings!$C$3)+(H593*Settings!$C$4)+(I593*Settings!$C$5)+(K593*Settings!$C$9)+(N593*Settings!$C$6)+(J593*Settings!$C$8)+(O593*Settings!$C$7)+(P593*Settings!$C$14)+(Q593*Settings!$C$15)+(R593*Settings!$C$16)+(S593*Settings!$C$17)+(T593*Settings!$C$18)+(U593*Settings!$C$19)+(L593*Settings!$C$10)+(Settings!$C$11*M593)</f>
        <v>-4.0191473225993892</v>
      </c>
      <c r="D593" s="57" cm="1">
        <f t="array" ref="D593">IF(Settings!$E$12="YES",VLOOKUP(A593,'Player Data'!A1:E673,5,FALSE),82)</f>
        <v>75</v>
      </c>
      <c r="E593" s="55" cm="1">
        <f t="array" ref="E593">(VLOOKUP($A593,'The List'!$B1:$AH671,17,FALSE)-AVERAGE('The List'!R2:R671))/STDEV('The List'!R2:R671)</f>
        <v>-0.68580086058559109</v>
      </c>
      <c r="F593" s="55" cm="1">
        <f t="array" ref="F593">(VLOOKUP($A593,'The List'!$B1:$AH671,18,FALSE)-AVERAGE('The List'!S2:S671))/STDEV('The List'!S2:S671)</f>
        <v>-1.2228022781877648</v>
      </c>
      <c r="G593" s="55" cm="1">
        <f t="array" ref="G593">(VLOOKUP($A593,'The List'!$B1:$AH671,19,FALSE)-AVERAGE('The List'!T2:T671))/STDEV('The List'!T2:T671)</f>
        <v>-1.0825668006873503</v>
      </c>
      <c r="H593" s="55" cm="1">
        <f t="array" ref="H593">(VLOOKUP($A593,'The List'!$B1:$AH671,20,FALSE)-AVERAGE('The List'!U2:U671))/STDEV('The List'!U2:U671)</f>
        <v>-1.222697598906614</v>
      </c>
      <c r="I593" s="55" cm="1">
        <f t="array" ref="I593">(VLOOKUP($A593,'The List'!$B1:$AH671,21,FALSE)-AVERAGE('The List'!V2:V671))/STDEV('The List'!V2:V671)</f>
        <v>-1.2640913303769119</v>
      </c>
      <c r="J593" s="55" cm="1">
        <f t="array" ref="J593">(VLOOKUP($A593,'The List'!$B1:$AH671,22,FALSE)-AVERAGE('The List'!W2:W671))/STDEV('The List'!W2:W671)</f>
        <v>-0.73853908386105271</v>
      </c>
      <c r="K593" s="55" cm="1">
        <f t="array" ref="K593">(VLOOKUP($A593,'The List'!$B1:$AH671,23,FALSE)-AVERAGE('The List'!X2:X671))/STDEV('The List'!X2:X671)</f>
        <v>-0.80155300200843405</v>
      </c>
      <c r="L593" s="55" cm="1">
        <f t="array" ref="L593">(VLOOKUP($A593,'The List'!$B1:$AH671,24,FALSE)-AVERAGE('The List'!Y2:Y671))/STDEV('The List'!Y2:Y671)</f>
        <v>-0.47546929358800777</v>
      </c>
      <c r="M593" s="55" cm="1">
        <f t="array" ref="M593">(VLOOKUP($A593,'The List'!$B1:$AH671,25,FALSE)-AVERAGE('The List'!Z2:Z671))/STDEV('The List'!Z2:Z671)</f>
        <v>-0.64388478613809508</v>
      </c>
      <c r="N593" s="55" cm="1">
        <f t="array" ref="N593">(VLOOKUP($A593,'The List'!$B1:$AH671,26,FALSE)-AVERAGE('The List'!AA2:AA671))/STDEV('The List'!AA2:AA671)</f>
        <v>0.15851327322028935</v>
      </c>
      <c r="O593" s="55" cm="1">
        <f t="array" ref="O593">(VLOOKUP($A593,'The List'!$B1:$AH671,27,FALSE)-AVERAGE('The List'!AB2:AB671))/STDEV('The List'!AB2:AB671)</f>
        <v>-3.1523753149281013E-2</v>
      </c>
      <c r="P593" s="55" cm="1">
        <f t="array" ref="P593">(VLOOKUP($A593,'The List'!$B1:$AH671,28,FALSE)-AVERAGE('The List'!AC2:AC671))/STDEV('The List'!AC2:AC671)</f>
        <v>0.38338984181035335</v>
      </c>
      <c r="Q593" s="55" cm="1">
        <f t="array" ref="Q593">(VLOOKUP($A593,'The List'!$B1:$AH671,29,FALSE)-AVERAGE('The List'!AD2:AD671))/STDEV('The List'!AD2:AD671)</f>
        <v>0.11978660041764447</v>
      </c>
      <c r="R593" s="55" cm="1">
        <f t="array" ref="R593">(VLOOKUP($A593,'The List'!$B1:$AH671,30,FALSE)-AVERAGE('The List'!AE2:AE671))/STDEV('The List'!AE2:AE671)</f>
        <v>-1.3444971337400937</v>
      </c>
      <c r="S593" s="55" cm="1">
        <f t="array" ref="S593">(VLOOKUP($A593,'The List'!$B1:$AH671,31,FALSE)-AVERAGE('The List'!AF2:AF671))/STDEV('The List'!AF2:AF671)</f>
        <v>-0.59581850454342256</v>
      </c>
      <c r="T593" s="55" cm="1">
        <f t="array" ref="T593">(VLOOKUP($A593,'The List'!$B1:$AH671,32,FALSE)-AVERAGE('The List'!AG2:AG671))/STDEV('The List'!AG2:AG671)</f>
        <v>-0.64301521888931934</v>
      </c>
      <c r="U593" s="55" cm="1">
        <f t="array" ref="U593">(VLOOKUP($A593,'The List'!$B1:$AH671,33,FALSE)-AVERAGE('The List'!AH2:AH671))/STDEV('The List'!AH2:AH671)</f>
        <v>-1.2552626683789523</v>
      </c>
      <c r="V593" s="55"/>
      <c r="W593" s="77"/>
      <c r="X593" s="57"/>
      <c r="Y593" s="57"/>
      <c r="Z593" s="57"/>
      <c r="AA593" s="57"/>
      <c r="AB593" s="57"/>
      <c r="AC593" s="60"/>
      <c r="AD593" s="61"/>
      <c r="AE593" s="55"/>
    </row>
    <row r="594" spans="1:31" ht="21.25" customHeight="1" x14ac:dyDescent="0.15">
      <c r="A594" s="10" t="s">
        <v>590</v>
      </c>
      <c r="B594" s="18" t="str" cm="1">
        <f t="array" ref="B594">VLOOKUP(A594,'Player Data'!A1:B673,2,FALSE)</f>
        <v>NYI</v>
      </c>
      <c r="C594" s="52" cm="1">
        <f t="array" ref="C594">((E594)*Settings!$C$12)+(F594*Settings!$C$2)+(G594*Settings!$C$3)+(H594*Settings!$C$4)+(I594*Settings!$C$5)+(K594*Settings!$C$9)+(N594*Settings!$C$6)+(J594*Settings!$C$8)+(O594*Settings!$C$7)+(P594*Settings!$C$14)+(Q594*Settings!$C$15)+(R594*Settings!$C$16)+(S594*Settings!$C$17)+(T594*Settings!$C$18)+(U594*Settings!$C$19)+(L594*Settings!$C$10)+(Settings!$C$11*M594)</f>
        <v>-5.7111440751327702</v>
      </c>
      <c r="D594" s="57" cm="1">
        <f t="array" ref="D594">IF(Settings!$E$12="YES",VLOOKUP(A594,'Player Data'!A1:E673,5,FALSE),82)</f>
        <v>77</v>
      </c>
      <c r="E594" s="55" cm="1">
        <f t="array" ref="E594">(VLOOKUP($A594,'The List'!$B1:$AH671,17,FALSE)-AVERAGE('The List'!R2:R671))/STDEV('The List'!R2:R671)</f>
        <v>-8.2462326542670147E-2</v>
      </c>
      <c r="F594" s="55" cm="1">
        <f t="array" ref="F594">(VLOOKUP($A594,'The List'!$B1:$AH671,18,FALSE)-AVERAGE('The List'!S2:S671))/STDEV('The List'!S2:S671)</f>
        <v>-1.2956518470844842</v>
      </c>
      <c r="G594" s="55" cm="1">
        <f t="array" ref="G594">(VLOOKUP($A594,'The List'!$B1:$AH671,19,FALSE)-AVERAGE('The List'!T2:T671))/STDEV('The List'!T2:T671)</f>
        <v>-1.0671066365361481</v>
      </c>
      <c r="H594" s="55" cm="1">
        <f t="array" ref="H594">(VLOOKUP($A594,'The List'!$B1:$AH671,20,FALSE)-AVERAGE('The List'!U2:U671))/STDEV('The List'!U2:U671)</f>
        <v>-1.2452432765849242</v>
      </c>
      <c r="I594" s="55" cm="1">
        <f t="array" ref="I594">(VLOOKUP($A594,'The List'!$B1:$AH671,21,FALSE)-AVERAGE('The List'!V2:V671))/STDEV('The List'!V2:V671)</f>
        <v>-1.3592890203775345</v>
      </c>
      <c r="J594" s="55" cm="1">
        <f t="array" ref="J594">(VLOOKUP($A594,'The List'!$B1:$AH671,22,FALSE)-AVERAGE('The List'!W2:W671))/STDEV('The List'!W2:W671)</f>
        <v>-0.73853908386105271</v>
      </c>
      <c r="K594" s="55" cm="1">
        <f t="array" ref="K594">(VLOOKUP($A594,'The List'!$B1:$AH671,23,FALSE)-AVERAGE('The List'!X2:X671))/STDEV('The List'!X2:X671)</f>
        <v>-0.80155300200843405</v>
      </c>
      <c r="L594" s="55" cm="1">
        <f t="array" ref="L594">(VLOOKUP($A594,'The List'!$B1:$AH671,24,FALSE)-AVERAGE('The List'!Y2:Y671))/STDEV('The List'!Y2:Y671)</f>
        <v>-0.47546929358800777</v>
      </c>
      <c r="M594" s="55" cm="1">
        <f t="array" ref="M594">(VLOOKUP($A594,'The List'!$B1:$AH671,25,FALSE)-AVERAGE('The List'!Z2:Z671))/STDEV('The List'!Z2:Z671)</f>
        <v>-0.64388478613809508</v>
      </c>
      <c r="N594" s="55" cm="1">
        <f t="array" ref="N594">(VLOOKUP($A594,'The List'!$B1:$AH671,26,FALSE)-AVERAGE('The List'!AA2:AA671))/STDEV('The List'!AA2:AA671)</f>
        <v>0.77634912025867764</v>
      </c>
      <c r="O594" s="55" cm="1">
        <f t="array" ref="O594">(VLOOKUP($A594,'The List'!$B1:$AH671,27,FALSE)-AVERAGE('The List'!AB2:AB671))/STDEV('The List'!AB2:AB671)</f>
        <v>-7.9900788767805833E-2</v>
      </c>
      <c r="P594" s="55" cm="1">
        <f t="array" ref="P594">(VLOOKUP($A594,'The List'!$B1:$AH671,28,FALSE)-AVERAGE('The List'!AC2:AC671))/STDEV('The List'!AC2:AC671)</f>
        <v>-1.1076427803583637</v>
      </c>
      <c r="Q594" s="55" cm="1">
        <f t="array" ref="Q594">(VLOOKUP($A594,'The List'!$B1:$AH671,29,FALSE)-AVERAGE('The List'!AD2:AD671))/STDEV('The List'!AD2:AD671)</f>
        <v>1.0396473258916967</v>
      </c>
      <c r="R594" s="55" cm="1">
        <f t="array" ref="R594">(VLOOKUP($A594,'The List'!$B1:$AH671,30,FALSE)-AVERAGE('The List'!AE2:AE671))/STDEV('The List'!AE2:AE671)</f>
        <v>-1.3444971337400937</v>
      </c>
      <c r="S594" s="55" cm="1">
        <f t="array" ref="S594">(VLOOKUP($A594,'The List'!$B1:$AH671,31,FALSE)-AVERAGE('The List'!AF2:AF671))/STDEV('The List'!AF2:AF671)</f>
        <v>-0.59581850454342256</v>
      </c>
      <c r="T594" s="55" cm="1">
        <f t="array" ref="T594">(VLOOKUP($A594,'The List'!$B1:$AH671,32,FALSE)-AVERAGE('The List'!AG2:AG671))/STDEV('The List'!AG2:AG671)</f>
        <v>-0.64684275008198677</v>
      </c>
      <c r="U594" s="55" cm="1">
        <f t="array" ref="U594">(VLOOKUP($A594,'The List'!$B1:$AH671,33,FALSE)-AVERAGE('The List'!AH2:AH671))/STDEV('The List'!AH2:AH671)</f>
        <v>-1.2552626683789523</v>
      </c>
      <c r="V594" s="55"/>
      <c r="W594" s="77"/>
      <c r="X594" s="57"/>
      <c r="Y594" s="57"/>
      <c r="Z594" s="57"/>
      <c r="AA594" s="57"/>
      <c r="AB594" s="57"/>
      <c r="AC594" s="60"/>
      <c r="AD594" s="61"/>
      <c r="AE594" s="55"/>
    </row>
    <row r="595" spans="1:31" ht="21.25" customHeight="1" x14ac:dyDescent="0.15">
      <c r="A595" s="10" t="s">
        <v>784</v>
      </c>
      <c r="B595" s="18" t="str" cm="1">
        <f t="array" ref="B595">VLOOKUP(A595,'Player Data'!A1:B673,2,FALSE)</f>
        <v>FLA</v>
      </c>
      <c r="C595" s="52" cm="1">
        <f t="array" ref="C595">((E595)*Settings!$C$12)+(F595*Settings!$C$2)+(G595*Settings!$C$3)+(H595*Settings!$C$4)+(I595*Settings!$C$5)+(K595*Settings!$C$9)+(N595*Settings!$C$6)+(J595*Settings!$C$8)+(O595*Settings!$C$7)+(P595*Settings!$C$14)+(Q595*Settings!$C$15)+(R595*Settings!$C$16)+(S595*Settings!$C$17)+(T595*Settings!$C$18)+(U595*Settings!$C$19)+(L595*Settings!$C$10)+(Settings!$C$11*M595)</f>
        <v>-0.64621268206791205</v>
      </c>
      <c r="D595" s="57" cm="1">
        <f t="array" ref="D595">IF(Settings!$E$12="YES",VLOOKUP(A595,'Player Data'!A1:E673,5,FALSE),82)</f>
        <v>79</v>
      </c>
      <c r="E595" s="55" cm="1">
        <f t="array" ref="E595">(VLOOKUP($A595,'The List'!$B1:$AH671,17,FALSE)-AVERAGE('The List'!R2:R671))/STDEV('The List'!R2:R671)</f>
        <v>-1.8662458184956534</v>
      </c>
      <c r="F595" s="55" cm="1">
        <f t="array" ref="F595">(VLOOKUP($A595,'The List'!$B1:$AH671,18,FALSE)-AVERAGE('The List'!S2:S671))/STDEV('The List'!S2:S671)</f>
        <v>-0.97830714969877497</v>
      </c>
      <c r="G595" s="55" cm="1">
        <f t="array" ref="G595">(VLOOKUP($A595,'The List'!$B1:$AH671,19,FALSE)-AVERAGE('The List'!T2:T671))/STDEV('The List'!T2:T671)</f>
        <v>-1.2737106483749396</v>
      </c>
      <c r="H595" s="55" cm="1">
        <f t="array" ref="H595">(VLOOKUP($A595,'The List'!$B1:$AH671,20,FALSE)-AVERAGE('The List'!U2:U671))/STDEV('The List'!U2:U671)</f>
        <v>-1.2346335459127782</v>
      </c>
      <c r="I595" s="55" cm="1">
        <f t="array" ref="I595">(VLOOKUP($A595,'The List'!$B1:$AH671,21,FALSE)-AVERAGE('The List'!V2:V671))/STDEV('The List'!V2:V671)</f>
        <v>-1.2696200528451875</v>
      </c>
      <c r="J595" s="55" cm="1">
        <f t="array" ref="J595">(VLOOKUP($A595,'The List'!$B1:$AH671,22,FALSE)-AVERAGE('The List'!W2:W671))/STDEV('The List'!W2:W671)</f>
        <v>-0.73853908386105271</v>
      </c>
      <c r="K595" s="55" cm="1">
        <f t="array" ref="K595">(VLOOKUP($A595,'The List'!$B1:$AH671,23,FALSE)-AVERAGE('The List'!X2:X671))/STDEV('The List'!X2:X671)</f>
        <v>-0.80155300200843405</v>
      </c>
      <c r="L595" s="55" cm="1">
        <f t="array" ref="L595">(VLOOKUP($A595,'The List'!$B1:$AH671,24,FALSE)-AVERAGE('The List'!Y2:Y671))/STDEV('The List'!Y2:Y671)</f>
        <v>0.97271857772082782</v>
      </c>
      <c r="M595" s="55" cm="1">
        <f t="array" ref="M595">(VLOOKUP($A595,'The List'!$B1:$AH671,25,FALSE)-AVERAGE('The List'!Z2:Z671))/STDEV('The List'!Z2:Z671)</f>
        <v>0.21454458398012499</v>
      </c>
      <c r="N595" s="55" cm="1">
        <f t="array" ref="N595">(VLOOKUP($A595,'The List'!$B1:$AH671,26,FALSE)-AVERAGE('The List'!AA2:AA671))/STDEV('The List'!AA2:AA671)</f>
        <v>-0.15002153588362674</v>
      </c>
      <c r="O595" s="55" cm="1">
        <f t="array" ref="O595">(VLOOKUP($A595,'The List'!$B1:$AH671,27,FALSE)-AVERAGE('The List'!AB2:AB671))/STDEV('The List'!AB2:AB671)</f>
        <v>3.2675440911072591</v>
      </c>
      <c r="P595" s="55" cm="1">
        <f t="array" ref="P595">(VLOOKUP($A595,'The List'!$B1:$AH671,28,FALSE)-AVERAGE('The List'!AC2:AC671))/STDEV('The List'!AC2:AC671)</f>
        <v>0.40943407975216506</v>
      </c>
      <c r="Q595" s="55" cm="1">
        <f t="array" ref="Q595">(VLOOKUP($A595,'The List'!$B1:$AH671,29,FALSE)-AVERAGE('The List'!AD2:AD671))/STDEV('The List'!AD2:AD671)</f>
        <v>1.0115712555559428</v>
      </c>
      <c r="R595" s="55" cm="1">
        <f t="array" ref="R595">(VLOOKUP($A595,'The List'!$B1:$AH671,30,FALSE)-AVERAGE('The List'!AE2:AE671))/STDEV('The List'!AE2:AE671)</f>
        <v>-0.85169600352974151</v>
      </c>
      <c r="S595" s="55" cm="1">
        <f t="array" ref="S595">(VLOOKUP($A595,'The List'!$B1:$AH671,31,FALSE)-AVERAGE('The List'!AF2:AF671))/STDEV('The List'!AF2:AF671)</f>
        <v>-0.52745266398965096</v>
      </c>
      <c r="T595" s="55" cm="1">
        <f t="array" ref="T595">(VLOOKUP($A595,'The List'!$B1:$AH671,32,FALSE)-AVERAGE('The List'!AG2:AG671))/STDEV('The List'!AG2:AG671)</f>
        <v>-0.58636775723784129</v>
      </c>
      <c r="U595" s="55" cm="1">
        <f t="array" ref="U595">(VLOOKUP($A595,'The List'!$B1:$AH671,33,FALSE)-AVERAGE('The List'!AH2:AH671))/STDEV('The List'!AH2:AH671)</f>
        <v>1.2286954594575867</v>
      </c>
      <c r="V595" s="55"/>
      <c r="W595" s="77"/>
      <c r="X595" s="57"/>
      <c r="Y595" s="57"/>
      <c r="Z595" s="57"/>
      <c r="AA595" s="57"/>
      <c r="AB595" s="57"/>
      <c r="AC595" s="60"/>
      <c r="AD595" s="61"/>
      <c r="AE595" s="55"/>
    </row>
    <row r="596" spans="1:31" ht="21.25" customHeight="1" x14ac:dyDescent="0.15">
      <c r="A596" s="10" t="s">
        <v>592</v>
      </c>
      <c r="B596" s="18" t="str" cm="1">
        <f t="array" ref="B596">VLOOKUP(A596,'Player Data'!A1:B673,2,FALSE)</f>
        <v>WSH</v>
      </c>
      <c r="C596" s="52" cm="1">
        <f t="array" ref="C596">((E596)*Settings!$C$12)+(F596*Settings!$C$2)+(G596*Settings!$C$3)+(H596*Settings!$C$4)+(I596*Settings!$C$5)+(K596*Settings!$C$9)+(N596*Settings!$C$6)+(J596*Settings!$C$8)+(O596*Settings!$C$7)+(P596*Settings!$C$14)+(Q596*Settings!$C$15)+(R596*Settings!$C$16)+(S596*Settings!$C$17)+(T596*Settings!$C$18)+(U596*Settings!$C$19)+(L596*Settings!$C$10)+(Settings!$C$11*M596)</f>
        <v>-3.4560893681819307</v>
      </c>
      <c r="D596" s="57" cm="1">
        <f t="array" ref="D596">IF(Settings!$E$12="YES",VLOOKUP(A596,'Player Data'!A1:E673,5,FALSE),82)</f>
        <v>74</v>
      </c>
      <c r="E596" s="55" cm="1">
        <f t="array" ref="E596">(VLOOKUP($A596,'The List'!$B1:$AH671,17,FALSE)-AVERAGE('The List'!R2:R671))/STDEV('The List'!R2:R671)</f>
        <v>0.15362666503934194</v>
      </c>
      <c r="F596" s="55" cm="1">
        <f t="array" ref="F596">(VLOOKUP($A596,'The List'!$B1:$AH671,18,FALSE)-AVERAGE('The List'!S2:S671))/STDEV('The List'!S2:S671)</f>
        <v>-1.3724931731810237</v>
      </c>
      <c r="G596" s="55" cm="1">
        <f t="array" ref="G596">(VLOOKUP($A596,'The List'!$B1:$AH671,19,FALSE)-AVERAGE('The List'!T2:T671))/STDEV('The List'!T2:T671)</f>
        <v>-1.0902968827629513</v>
      </c>
      <c r="H596" s="55" cm="1">
        <f t="array" ref="H596">(VLOOKUP($A596,'The List'!$B1:$AH671,20,FALSE)-AVERAGE('The List'!U2:U671))/STDEV('The List'!U2:U671)</f>
        <v>-1.2938712088322599</v>
      </c>
      <c r="I596" s="55" cm="1">
        <f t="array" ref="I596">(VLOOKUP($A596,'The List'!$B1:$AH671,21,FALSE)-AVERAGE('The List'!V2:V671))/STDEV('The List'!V2:V671)</f>
        <v>-1.6087726217584768</v>
      </c>
      <c r="J596" s="55" cm="1">
        <f t="array" ref="J596">(VLOOKUP($A596,'The List'!$B1:$AH671,22,FALSE)-AVERAGE('The List'!W2:W671))/STDEV('The List'!W2:W671)</f>
        <v>-0.73853908386105271</v>
      </c>
      <c r="K596" s="55" cm="1">
        <f t="array" ref="K596">(VLOOKUP($A596,'The List'!$B1:$AH671,23,FALSE)-AVERAGE('The List'!X2:X671))/STDEV('The List'!X2:X671)</f>
        <v>-0.80155300200843405</v>
      </c>
      <c r="L596" s="55" cm="1">
        <f t="array" ref="L596">(VLOOKUP($A596,'The List'!$B1:$AH671,24,FALSE)-AVERAGE('The List'!Y2:Y671))/STDEV('The List'!Y2:Y671)</f>
        <v>-0.47546929358800777</v>
      </c>
      <c r="M596" s="55" cm="1">
        <f t="array" ref="M596">(VLOOKUP($A596,'The List'!$B1:$AH671,25,FALSE)-AVERAGE('The List'!Z2:Z671))/STDEV('The List'!Z2:Z671)</f>
        <v>-0.64388478613809508</v>
      </c>
      <c r="N596" s="55" cm="1">
        <f t="array" ref="N596">(VLOOKUP($A596,'The List'!$B1:$AH671,26,FALSE)-AVERAGE('The List'!AA2:AA671))/STDEV('The List'!AA2:AA671)</f>
        <v>1.2309782263886202</v>
      </c>
      <c r="O596" s="55" cm="1">
        <f t="array" ref="O596">(VLOOKUP($A596,'The List'!$B1:$AH671,27,FALSE)-AVERAGE('The List'!AB2:AB671))/STDEV('The List'!AB2:AB671)</f>
        <v>0.71893526125504326</v>
      </c>
      <c r="P596" s="55" cm="1">
        <f t="array" ref="P596">(VLOOKUP($A596,'The List'!$B1:$AH671,28,FALSE)-AVERAGE('The List'!AC2:AC671))/STDEV('The List'!AC2:AC671)</f>
        <v>0.69809105027391083</v>
      </c>
      <c r="Q596" s="55" cm="1">
        <f t="array" ref="Q596">(VLOOKUP($A596,'The List'!$B1:$AH671,29,FALSE)-AVERAGE('The List'!AD2:AD671))/STDEV('The List'!AD2:AD671)</f>
        <v>1.4533999413659695</v>
      </c>
      <c r="R596" s="55" cm="1">
        <f t="array" ref="R596">(VLOOKUP($A596,'The List'!$B1:$AH671,30,FALSE)-AVERAGE('The List'!AE2:AE671))/STDEV('The List'!AE2:AE671)</f>
        <v>-1.3444971337400937</v>
      </c>
      <c r="S596" s="55" cm="1">
        <f t="array" ref="S596">(VLOOKUP($A596,'The List'!$B1:$AH671,31,FALSE)-AVERAGE('The List'!AF2:AF671))/STDEV('The List'!AF2:AF671)</f>
        <v>-0.59581850454342256</v>
      </c>
      <c r="T596" s="55" cm="1">
        <f t="array" ref="T596">(VLOOKUP($A596,'The List'!$B1:$AH671,32,FALSE)-AVERAGE('The List'!AG2:AG671))/STDEV('The List'!AG2:AG671)</f>
        <v>-0.64684275008198677</v>
      </c>
      <c r="U596" s="55" cm="1">
        <f t="array" ref="U596">(VLOOKUP($A596,'The List'!$B1:$AH671,33,FALSE)-AVERAGE('The List'!AH2:AH671))/STDEV('The List'!AH2:AH671)</f>
        <v>-1.2552626683789523</v>
      </c>
      <c r="V596" s="55"/>
      <c r="W596" s="77"/>
      <c r="X596" s="57"/>
      <c r="Y596" s="57"/>
      <c r="Z596" s="57"/>
      <c r="AA596" s="57"/>
      <c r="AB596" s="57"/>
      <c r="AC596" s="60"/>
      <c r="AD596" s="61"/>
      <c r="AE596" s="55"/>
    </row>
    <row r="597" spans="1:31" ht="21.25" customHeight="1" x14ac:dyDescent="0.15">
      <c r="A597" s="10" t="s">
        <v>565</v>
      </c>
      <c r="B597" s="18" t="str" cm="1">
        <f t="array" ref="B597">VLOOKUP(A597,'Player Data'!A1:B673,2,FALSE)</f>
        <v>PHI</v>
      </c>
      <c r="C597" s="52" cm="1">
        <f t="array" ref="C597">((E597)*Settings!$C$12)+(F597*Settings!$C$2)+(G597*Settings!$C$3)+(H597*Settings!$C$4)+(I597*Settings!$C$5)+(K597*Settings!$C$9)+(N597*Settings!$C$6)+(J597*Settings!$C$8)+(O597*Settings!$C$7)+(P597*Settings!$C$14)+(Q597*Settings!$C$15)+(R597*Settings!$C$16)+(S597*Settings!$C$17)+(T597*Settings!$C$18)+(U597*Settings!$C$19)+(L597*Settings!$C$10)+(Settings!$C$11*M597)</f>
        <v>-3.2029171999551891</v>
      </c>
      <c r="D597" s="57" cm="1">
        <f t="array" ref="D597">IF(Settings!$E$12="YES",VLOOKUP(A597,'Player Data'!A1:E673,5,FALSE),82)</f>
        <v>80</v>
      </c>
      <c r="E597" s="55" cm="1">
        <f t="array" ref="E597">(VLOOKUP($A597,'The List'!$B1:$AH671,17,FALSE)-AVERAGE('The List'!R2:R671))/STDEV('The List'!R2:R671)</f>
        <v>-0.26608709777312411</v>
      </c>
      <c r="F597" s="55" cm="1">
        <f t="array" ref="F597">(VLOOKUP($A597,'The List'!$B1:$AH671,18,FALSE)-AVERAGE('The List'!S2:S671))/STDEV('The List'!S2:S671)</f>
        <v>-1.2926580291846188</v>
      </c>
      <c r="G597" s="55" cm="1">
        <f t="array" ref="G597">(VLOOKUP($A597,'The List'!$B1:$AH671,19,FALSE)-AVERAGE('The List'!T2:T671))/STDEV('The List'!T2:T671)</f>
        <v>-1.1001351690409891</v>
      </c>
      <c r="H597" s="55" cm="1">
        <f t="array" ref="H597">(VLOOKUP($A597,'The List'!$B1:$AH671,20,FALSE)-AVERAGE('The List'!U2:U671))/STDEV('The List'!U2:U671)</f>
        <v>-1.2646944494838583</v>
      </c>
      <c r="I597" s="55" cm="1">
        <f t="array" ref="I597">(VLOOKUP($A597,'The List'!$B1:$AH671,21,FALSE)-AVERAGE('The List'!V2:V671))/STDEV('The List'!V2:V671)</f>
        <v>-1.188935259323789</v>
      </c>
      <c r="J597" s="55" cm="1">
        <f t="array" ref="J597">(VLOOKUP($A597,'The List'!$B1:$AH671,22,FALSE)-AVERAGE('The List'!W2:W671))/STDEV('The List'!W2:W671)</f>
        <v>-0.73853908386105271</v>
      </c>
      <c r="K597" s="55" cm="1">
        <f t="array" ref="K597">(VLOOKUP($A597,'The List'!$B1:$AH671,23,FALSE)-AVERAGE('The List'!X2:X671))/STDEV('The List'!X2:X671)</f>
        <v>-0.80155300200843405</v>
      </c>
      <c r="L597" s="55" cm="1">
        <f t="array" ref="L597">(VLOOKUP($A597,'The List'!$B1:$AH671,24,FALSE)-AVERAGE('The List'!Y2:Y671))/STDEV('The List'!Y2:Y671)</f>
        <v>-0.47546929358800777</v>
      </c>
      <c r="M597" s="55" cm="1">
        <f t="array" ref="M597">(VLOOKUP($A597,'The List'!$B1:$AH671,25,FALSE)-AVERAGE('The List'!Z2:Z671))/STDEV('The List'!Z2:Z671)</f>
        <v>-0.64388478613809508</v>
      </c>
      <c r="N597" s="55" cm="1">
        <f t="array" ref="N597">(VLOOKUP($A597,'The List'!$B1:$AH671,26,FALSE)-AVERAGE('The List'!AA2:AA671))/STDEV('The List'!AA2:AA671)</f>
        <v>1.0945894945496377</v>
      </c>
      <c r="O597" s="55" cm="1">
        <f t="array" ref="O597">(VLOOKUP($A597,'The List'!$B1:$AH671,27,FALSE)-AVERAGE('The List'!AB2:AB671))/STDEV('The List'!AB2:AB671)</f>
        <v>1.8061886380374894</v>
      </c>
      <c r="P597" s="55" cm="1">
        <f t="array" ref="P597">(VLOOKUP($A597,'The List'!$B1:$AH671,28,FALSE)-AVERAGE('The List'!AC2:AC671))/STDEV('The List'!AC2:AC671)</f>
        <v>-0.62582437843484817</v>
      </c>
      <c r="Q597" s="55" cm="1">
        <f t="array" ref="Q597">(VLOOKUP($A597,'The List'!$B1:$AH671,29,FALSE)-AVERAGE('The List'!AD2:AD671))/STDEV('The List'!AD2:AD671)</f>
        <v>1.1135317215121026</v>
      </c>
      <c r="R597" s="55" cm="1">
        <f t="array" ref="R597">(VLOOKUP($A597,'The List'!$B1:$AH671,30,FALSE)-AVERAGE('The List'!AE2:AE671))/STDEV('The List'!AE2:AE671)</f>
        <v>-1.3444971337400937</v>
      </c>
      <c r="S597" s="55" cm="1">
        <f t="array" ref="S597">(VLOOKUP($A597,'The List'!$B1:$AH671,31,FALSE)-AVERAGE('The List'!AF2:AF671))/STDEV('The List'!AF2:AF671)</f>
        <v>-0.59581850454342256</v>
      </c>
      <c r="T597" s="55" cm="1">
        <f t="array" ref="T597">(VLOOKUP($A597,'The List'!$B1:$AH671,32,FALSE)-AVERAGE('The List'!AG2:AG671))/STDEV('The List'!AG2:AG671)</f>
        <v>-0.64684275008198677</v>
      </c>
      <c r="U597" s="55" cm="1">
        <f t="array" ref="U597">(VLOOKUP($A597,'The List'!$B1:$AH671,33,FALSE)-AVERAGE('The List'!AH2:AH671))/STDEV('The List'!AH2:AH671)</f>
        <v>-1.2552626683789523</v>
      </c>
      <c r="V597" s="55"/>
      <c r="W597" s="77"/>
      <c r="X597" s="57"/>
      <c r="Y597" s="57"/>
      <c r="Z597" s="57"/>
      <c r="AA597" s="57"/>
      <c r="AB597" s="57"/>
      <c r="AC597" s="60"/>
      <c r="AD597" s="61"/>
      <c r="AE597" s="55"/>
    </row>
    <row r="598" spans="1:31" ht="21.25" customHeight="1" x14ac:dyDescent="0.15">
      <c r="A598" s="10" t="s">
        <v>599</v>
      </c>
      <c r="B598" s="18" t="str" cm="1">
        <f t="array" ref="B598">VLOOKUP(A598,'Player Data'!A1:B673,2,FALSE)</f>
        <v>PIT</v>
      </c>
      <c r="C598" s="52" cm="1">
        <f t="array" ref="C598">((E598)*Settings!$C$12)+(F598*Settings!$C$2)+(G598*Settings!$C$3)+(H598*Settings!$C$4)+(I598*Settings!$C$5)+(K598*Settings!$C$9)+(N598*Settings!$C$6)+(J598*Settings!$C$8)+(O598*Settings!$C$7)+(P598*Settings!$C$14)+(Q598*Settings!$C$15)+(R598*Settings!$C$16)+(S598*Settings!$C$17)+(T598*Settings!$C$18)+(U598*Settings!$C$19)+(L598*Settings!$C$10)+(Settings!$C$11*M598)</f>
        <v>-4.9774616797926976</v>
      </c>
      <c r="D598" s="57" cm="1">
        <f t="array" ref="D598">IF(Settings!$E$12="YES",VLOOKUP(A598,'Player Data'!A1:E673,5,FALSE),82)</f>
        <v>69</v>
      </c>
      <c r="E598" s="55" cm="1">
        <f t="array" ref="E598">(VLOOKUP($A598,'The List'!$B1:$AH671,17,FALSE)-AVERAGE('The List'!R2:R671))/STDEV('The List'!R2:R671)</f>
        <v>-0.21362287742156597</v>
      </c>
      <c r="F598" s="55" cm="1">
        <f t="array" ref="F598">(VLOOKUP($A598,'The List'!$B1:$AH671,18,FALSE)-AVERAGE('The List'!S2:S671))/STDEV('The List'!S2:S671)</f>
        <v>-1.2347775497872253</v>
      </c>
      <c r="G598" s="55" cm="1">
        <f t="array" ref="G598">(VLOOKUP($A598,'The List'!$B1:$AH671,19,FALSE)-AVERAGE('The List'!T2:T671))/STDEV('The List'!T2:T671)</f>
        <v>-1.2259246864530422</v>
      </c>
      <c r="H598" s="55" cm="1">
        <f t="array" ref="H598">(VLOOKUP($A598,'The List'!$B1:$AH671,20,FALSE)-AVERAGE('The List'!U2:U671))/STDEV('The List'!U2:U671)</f>
        <v>-1.3181851749559277</v>
      </c>
      <c r="I598" s="55" cm="1">
        <f t="array" ref="I598">(VLOOKUP($A598,'The List'!$B1:$AH671,21,FALSE)-AVERAGE('The List'!V2:V671))/STDEV('The List'!V2:V671)</f>
        <v>-1.2900072169469545</v>
      </c>
      <c r="J598" s="55" cm="1">
        <f t="array" ref="J598">(VLOOKUP($A598,'The List'!$B1:$AH671,22,FALSE)-AVERAGE('The List'!W2:W671))/STDEV('The List'!W2:W671)</f>
        <v>-0.73853908386105271</v>
      </c>
      <c r="K598" s="55" cm="1">
        <f t="array" ref="K598">(VLOOKUP($A598,'The List'!$B1:$AH671,23,FALSE)-AVERAGE('The List'!X2:X671))/STDEV('The List'!X2:X671)</f>
        <v>-0.80155300200843405</v>
      </c>
      <c r="L598" s="55" cm="1">
        <f t="array" ref="L598">(VLOOKUP($A598,'The List'!$B1:$AH671,24,FALSE)-AVERAGE('The List'!Y2:Y671))/STDEV('The List'!Y2:Y671)</f>
        <v>-0.47546929358800777</v>
      </c>
      <c r="M598" s="55" cm="1">
        <f t="array" ref="M598">(VLOOKUP($A598,'The List'!$B1:$AH671,25,FALSE)-AVERAGE('The List'!Z2:Z671))/STDEV('The List'!Z2:Z671)</f>
        <v>-0.64388478613809508</v>
      </c>
      <c r="N598" s="55" cm="1">
        <f t="array" ref="N598">(VLOOKUP($A598,'The List'!$B1:$AH671,26,FALSE)-AVERAGE('The List'!AA2:AA671))/STDEV('The List'!AA2:AA671)</f>
        <v>0.86191133967077349</v>
      </c>
      <c r="O598" s="55" cm="1">
        <f t="array" ref="O598">(VLOOKUP($A598,'The List'!$B1:$AH671,27,FALSE)-AVERAGE('The List'!AB2:AB671))/STDEV('The List'!AB2:AB671)</f>
        <v>-0.17050523683300969</v>
      </c>
      <c r="P598" s="55" cm="1">
        <f t="array" ref="P598">(VLOOKUP($A598,'The List'!$B1:$AH671,28,FALSE)-AVERAGE('The List'!AC2:AC671))/STDEV('The List'!AC2:AC671)</f>
        <v>-0.25469398776403213</v>
      </c>
      <c r="Q598" s="55" cm="1">
        <f t="array" ref="Q598">(VLOOKUP($A598,'The List'!$B1:$AH671,29,FALSE)-AVERAGE('The List'!AD2:AD671))/STDEV('The List'!AD2:AD671)</f>
        <v>-0.43656289860401154</v>
      </c>
      <c r="R598" s="55" cm="1">
        <f t="array" ref="R598">(VLOOKUP($A598,'The List'!$B1:$AH671,30,FALSE)-AVERAGE('The List'!AE2:AE671))/STDEV('The List'!AE2:AE671)</f>
        <v>-1.3444971337400937</v>
      </c>
      <c r="S598" s="55" cm="1">
        <f t="array" ref="S598">(VLOOKUP($A598,'The List'!$B1:$AH671,31,FALSE)-AVERAGE('The List'!AF2:AF671))/STDEV('The List'!AF2:AF671)</f>
        <v>-0.59581850454342256</v>
      </c>
      <c r="T598" s="55" cm="1">
        <f t="array" ref="T598">(VLOOKUP($A598,'The List'!$B1:$AH671,32,FALSE)-AVERAGE('The List'!AG2:AG671))/STDEV('The List'!AG2:AG671)</f>
        <v>-0.64684275008198677</v>
      </c>
      <c r="U598" s="55" cm="1">
        <f t="array" ref="U598">(VLOOKUP($A598,'The List'!$B1:$AH671,33,FALSE)-AVERAGE('The List'!AH2:AH671))/STDEV('The List'!AH2:AH671)</f>
        <v>-1.2552626683789523</v>
      </c>
      <c r="V598" s="55"/>
      <c r="W598" s="77"/>
      <c r="X598" s="57"/>
      <c r="Y598" s="57"/>
      <c r="Z598" s="57"/>
      <c r="AA598" s="57"/>
      <c r="AB598" s="57"/>
      <c r="AC598" s="60"/>
      <c r="AD598" s="61"/>
      <c r="AE598" s="55"/>
    </row>
    <row r="599" spans="1:31" ht="21.25" customHeight="1" x14ac:dyDescent="0.15">
      <c r="A599" s="10" t="s">
        <v>794</v>
      </c>
      <c r="B599" s="18" t="str" cm="1">
        <f t="array" ref="B599">VLOOKUP(A599,'Player Data'!A1:B673,2,FALSE)</f>
        <v>UTA</v>
      </c>
      <c r="C599" s="52" cm="1">
        <f t="array" ref="C599">((E599)*Settings!$C$12)+(F599*Settings!$C$2)+(G599*Settings!$C$3)+(H599*Settings!$C$4)+(I599*Settings!$C$5)+(K599*Settings!$C$9)+(N599*Settings!$C$6)+(J599*Settings!$C$8)+(O599*Settings!$C$7)+(P599*Settings!$C$14)+(Q599*Settings!$C$15)+(R599*Settings!$C$16)+(S599*Settings!$C$17)+(T599*Settings!$C$18)+(U599*Settings!$C$19)+(L599*Settings!$C$10)+(Settings!$C$11*M599)</f>
        <v>-2.5185366996230396</v>
      </c>
      <c r="D599" s="57" cm="1">
        <f t="array" ref="D599">IF(Settings!$E$12="YES",VLOOKUP(A599,'Player Data'!A1:E673,5,FALSE),82)</f>
        <v>68</v>
      </c>
      <c r="E599" s="55" cm="1">
        <f t="array" ref="E599">(VLOOKUP($A599,'The List'!$B1:$AH671,17,FALSE)-AVERAGE('The List'!R2:R671))/STDEV('The List'!R2:R671)</f>
        <v>-2.0236384795503284</v>
      </c>
      <c r="F599" s="55" cm="1">
        <f t="array" ref="F599">(VLOOKUP($A599,'The List'!$B1:$AH671,18,FALSE)-AVERAGE('The List'!S2:S671))/STDEV('The List'!S2:S671)</f>
        <v>-1.0331938111963033</v>
      </c>
      <c r="G599" s="55" cm="1">
        <f t="array" ref="G599">(VLOOKUP($A599,'The List'!$B1:$AH671,19,FALSE)-AVERAGE('The List'!T2:T671))/STDEV('The List'!T2:T671)</f>
        <v>-1.4233931467479417</v>
      </c>
      <c r="H599" s="55" cm="1">
        <f t="array" ref="H599">(VLOOKUP($A599,'The List'!$B1:$AH671,20,FALSE)-AVERAGE('The List'!U2:U671))/STDEV('The List'!U2:U671)</f>
        <v>-1.3531088717517414</v>
      </c>
      <c r="I599" s="55" cm="1">
        <f t="array" ref="I599">(VLOOKUP($A599,'The List'!$B1:$AH671,21,FALSE)-AVERAGE('The List'!V2:V671))/STDEV('The List'!V2:V671)</f>
        <v>-1.1502342020458587</v>
      </c>
      <c r="J599" s="55" cm="1">
        <f t="array" ref="J599">(VLOOKUP($A599,'The List'!$B1:$AH671,22,FALSE)-AVERAGE('The List'!W2:W671))/STDEV('The List'!W2:W671)</f>
        <v>-0.73853908386105271</v>
      </c>
      <c r="K599" s="55" cm="1">
        <f t="array" ref="K599">(VLOOKUP($A599,'The List'!$B1:$AH671,23,FALSE)-AVERAGE('The List'!X2:X671))/STDEV('The List'!X2:X671)</f>
        <v>-0.80155300200843405</v>
      </c>
      <c r="L599" s="55" cm="1">
        <f t="array" ref="L599">(VLOOKUP($A599,'The List'!$B1:$AH671,24,FALSE)-AVERAGE('The List'!Y2:Y671))/STDEV('The List'!Y2:Y671)</f>
        <v>-0.47546929358800777</v>
      </c>
      <c r="M599" s="55" cm="1">
        <f t="array" ref="M599">(VLOOKUP($A599,'The List'!$B1:$AH671,25,FALSE)-AVERAGE('The List'!Z2:Z671))/STDEV('The List'!Z2:Z671)</f>
        <v>-0.64388478613809508</v>
      </c>
      <c r="N599" s="55" cm="1">
        <f t="array" ref="N599">(VLOOKUP($A599,'The List'!$B1:$AH671,26,FALSE)-AVERAGE('The List'!AA2:AA671))/STDEV('The List'!AA2:AA671)</f>
        <v>-0.94562247161102631</v>
      </c>
      <c r="O599" s="55" cm="1">
        <f t="array" ref="O599">(VLOOKUP($A599,'The List'!$B1:$AH671,27,FALSE)-AVERAGE('The List'!AB2:AB671))/STDEV('The List'!AB2:AB671)</f>
        <v>1.9947770819741131</v>
      </c>
      <c r="P599" s="55" cm="1">
        <f t="array" ref="P599">(VLOOKUP($A599,'The List'!$B1:$AH671,28,FALSE)-AVERAGE('The List'!AC2:AC671))/STDEV('The List'!AC2:AC671)</f>
        <v>-0.1049396195986151</v>
      </c>
      <c r="Q599" s="55" cm="1">
        <f t="array" ref="Q599">(VLOOKUP($A599,'The List'!$B1:$AH671,29,FALSE)-AVERAGE('The List'!AD2:AD671))/STDEV('The List'!AD2:AD671)</f>
        <v>0.99236131269463757</v>
      </c>
      <c r="R599" s="55" cm="1">
        <f t="array" ref="R599">(VLOOKUP($A599,'The List'!$B1:$AH671,30,FALSE)-AVERAGE('The List'!AE2:AE671))/STDEV('The List'!AE2:AE671)</f>
        <v>-0.9203138824197904</v>
      </c>
      <c r="S599" s="55" cm="1">
        <f t="array" ref="S599">(VLOOKUP($A599,'The List'!$B1:$AH671,31,FALSE)-AVERAGE('The List'!AF2:AF671))/STDEV('The List'!AF2:AF671)</f>
        <v>-0.5631259788215065</v>
      </c>
      <c r="T599" s="55" cm="1">
        <f t="array" ref="T599">(VLOOKUP($A599,'The List'!$B1:$AH671,32,FALSE)-AVERAGE('The List'!AG2:AG671))/STDEV('The List'!AG2:AG671)</f>
        <v>-0.59131803091369117</v>
      </c>
      <c r="U599" s="55" cm="1">
        <f t="array" ref="U599">(VLOOKUP($A599,'The List'!$B1:$AH671,33,FALSE)-AVERAGE('The List'!AH2:AH671))/STDEV('The List'!AH2:AH671)</f>
        <v>0.49270786602453809</v>
      </c>
      <c r="V599" s="55"/>
      <c r="W599" s="77"/>
      <c r="X599" s="57"/>
      <c r="Y599" s="57"/>
      <c r="Z599" s="57"/>
      <c r="AA599" s="57"/>
      <c r="AB599" s="57"/>
      <c r="AC599" s="60"/>
      <c r="AD599" s="61"/>
      <c r="AE599" s="55"/>
    </row>
    <row r="600" spans="1:31" ht="21.25" customHeight="1" x14ac:dyDescent="0.15">
      <c r="A600" s="10" t="s">
        <v>667</v>
      </c>
      <c r="B600" s="18" t="str" cm="1">
        <f t="array" ref="B600">VLOOKUP(A600,'Player Data'!A1:B673,2,FALSE)</f>
        <v>CBJ</v>
      </c>
      <c r="C600" s="52" cm="1">
        <f t="array" ref="C600">((E600)*Settings!$C$12)+(F600*Settings!$C$2)+(G600*Settings!$C$3)+(H600*Settings!$C$4)+(I600*Settings!$C$5)+(K600*Settings!$C$9)+(N600*Settings!$C$6)+(J600*Settings!$C$8)+(O600*Settings!$C$7)+(P600*Settings!$C$14)+(Q600*Settings!$C$15)+(R600*Settings!$C$16)+(S600*Settings!$C$17)+(T600*Settings!$C$18)+(U600*Settings!$C$19)+(L600*Settings!$C$10)+(Settings!$C$11*M600)</f>
        <v>-5.67977158640746</v>
      </c>
      <c r="D600" s="57" cm="1">
        <f t="array" ref="D600">IF(Settings!$E$12="YES",VLOOKUP(A600,'Player Data'!A1:E673,5,FALSE),82)</f>
        <v>68</v>
      </c>
      <c r="E600" s="55" cm="1">
        <f t="array" ref="E600">(VLOOKUP($A600,'The List'!$B1:$AH671,17,FALSE)-AVERAGE('The List'!R2:R671))/STDEV('The List'!R2:R671)</f>
        <v>-1.7613173777925366</v>
      </c>
      <c r="F600" s="55" cm="1">
        <f t="array" ref="F600">(VLOOKUP($A600,'The List'!$B1:$AH671,18,FALSE)-AVERAGE('The List'!S2:S671))/STDEV('The List'!S2:S671)</f>
        <v>-1.3046333007840796</v>
      </c>
      <c r="G600" s="55" cm="1">
        <f t="array" ref="G600">(VLOOKUP($A600,'The List'!$B1:$AH671,19,FALSE)-AVERAGE('The List'!T2:T671))/STDEV('The List'!T2:T671)</f>
        <v>-1.2800352609822494</v>
      </c>
      <c r="H600" s="55" cm="1">
        <f t="array" ref="H600">(VLOOKUP($A600,'The List'!$B1:$AH671,20,FALSE)-AVERAGE('The List'!U2:U671))/STDEV('The List'!U2:U671)</f>
        <v>-1.3831697753228216</v>
      </c>
      <c r="I600" s="55" cm="1">
        <f t="array" ref="I600">(VLOOKUP($A600,'The List'!$B1:$AH671,21,FALSE)-AVERAGE('The List'!V2:V671))/STDEV('The List'!V2:V671)</f>
        <v>-1.4791931889082646</v>
      </c>
      <c r="J600" s="55" cm="1">
        <f t="array" ref="J600">(VLOOKUP($A600,'The List'!$B1:$AH671,22,FALSE)-AVERAGE('The List'!W2:W671))/STDEV('The List'!W2:W671)</f>
        <v>-0.73853908386105271</v>
      </c>
      <c r="K600" s="55" cm="1">
        <f t="array" ref="K600">(VLOOKUP($A600,'The List'!$B1:$AH671,23,FALSE)-AVERAGE('The List'!X2:X671))/STDEV('The List'!X2:X671)</f>
        <v>-0.80155300200843405</v>
      </c>
      <c r="L600" s="55" cm="1">
        <f t="array" ref="L600">(VLOOKUP($A600,'The List'!$B1:$AH671,24,FALSE)-AVERAGE('The List'!Y2:Y671))/STDEV('The List'!Y2:Y671)</f>
        <v>-0.47546929358800777</v>
      </c>
      <c r="M600" s="55" cm="1">
        <f t="array" ref="M600">(VLOOKUP($A600,'The List'!$B1:$AH671,25,FALSE)-AVERAGE('The List'!Z2:Z671))/STDEV('The List'!Z2:Z671)</f>
        <v>-0.64388478613809508</v>
      </c>
      <c r="N600" s="55" cm="1">
        <f t="array" ref="N600">(VLOOKUP($A600,'The List'!$B1:$AH671,26,FALSE)-AVERAGE('The List'!AA2:AA671))/STDEV('The List'!AA2:AA671)</f>
        <v>-0.44195472032549438</v>
      </c>
      <c r="O600" s="55" cm="1">
        <f t="array" ref="O600">(VLOOKUP($A600,'The List'!$B1:$AH671,27,FALSE)-AVERAGE('The List'!AB2:AB671))/STDEV('The List'!AB2:AB671)</f>
        <v>-0.70941721412581704</v>
      </c>
      <c r="P600" s="55" cm="1">
        <f t="array" ref="P600">(VLOOKUP($A600,'The List'!$B1:$AH671,28,FALSE)-AVERAGE('The List'!AC2:AC671))/STDEV('The List'!AC2:AC671)</f>
        <v>-0.1049396195986151</v>
      </c>
      <c r="Q600" s="55" cm="1">
        <f t="array" ref="Q600">(VLOOKUP($A600,'The List'!$B1:$AH671,29,FALSE)-AVERAGE('The List'!AD2:AD671))/STDEV('The List'!AD2:AD671)</f>
        <v>-1.419225360355409</v>
      </c>
      <c r="R600" s="55" cm="1">
        <f t="array" ref="R600">(VLOOKUP($A600,'The List'!$B1:$AH671,30,FALSE)-AVERAGE('The List'!AE2:AE671))/STDEV('The List'!AE2:AE671)</f>
        <v>-1.3444971337400937</v>
      </c>
      <c r="S600" s="55" cm="1">
        <f t="array" ref="S600">(VLOOKUP($A600,'The List'!$B1:$AH671,31,FALSE)-AVERAGE('The List'!AF2:AF671))/STDEV('The List'!AF2:AF671)</f>
        <v>-0.59581850454342256</v>
      </c>
      <c r="T600" s="55" cm="1">
        <f t="array" ref="T600">(VLOOKUP($A600,'The List'!$B1:$AH671,32,FALSE)-AVERAGE('The List'!AG2:AG671))/STDEV('The List'!AG2:AG671)</f>
        <v>-0.64684275008198677</v>
      </c>
      <c r="U600" s="55" cm="1">
        <f t="array" ref="U600">(VLOOKUP($A600,'The List'!$B1:$AH671,33,FALSE)-AVERAGE('The List'!AH2:AH671))/STDEV('The List'!AH2:AH671)</f>
        <v>-1.2552626683789523</v>
      </c>
      <c r="V600" s="55"/>
      <c r="W600" s="77"/>
      <c r="X600" s="57"/>
      <c r="Y600" s="57"/>
      <c r="Z600" s="57"/>
      <c r="AA600" s="57"/>
      <c r="AB600" s="57"/>
      <c r="AC600" s="60"/>
      <c r="AD600" s="61"/>
      <c r="AE600" s="55"/>
    </row>
    <row r="601" spans="1:31" ht="21.25" customHeight="1" x14ac:dyDescent="0.15">
      <c r="A601" s="10" t="s">
        <v>630</v>
      </c>
      <c r="B601" s="18" t="str" cm="1">
        <f t="array" ref="B601">VLOOKUP(A601,'Player Data'!A1:B673,2,FALSE)</f>
        <v>CGY</v>
      </c>
      <c r="C601" s="52" cm="1">
        <f t="array" ref="C601">((E601)*Settings!$C$12)+(F601*Settings!$C$2)+(G601*Settings!$C$3)+(H601*Settings!$C$4)+(I601*Settings!$C$5)+(K601*Settings!$C$9)+(N601*Settings!$C$6)+(J601*Settings!$C$8)+(O601*Settings!$C$7)+(P601*Settings!$C$14)+(Q601*Settings!$C$15)+(R601*Settings!$C$16)+(S601*Settings!$C$17)+(T601*Settings!$C$18)+(U601*Settings!$C$19)+(L601*Settings!$C$10)+(Settings!$C$11*M601)</f>
        <v>-7.0892810488395632</v>
      </c>
      <c r="D601" s="57" cm="1">
        <f t="array" ref="D601">IF(Settings!$E$12="YES",VLOOKUP(A601,'Player Data'!A1:E673,5,FALSE),82)</f>
        <v>74</v>
      </c>
      <c r="E601" s="55" cm="1">
        <f t="array" ref="E601">(VLOOKUP($A601,'The List'!$B1:$AH671,17,FALSE)-AVERAGE('The List'!R2:R671))/STDEV('The List'!R2:R671)</f>
        <v>-0.37101553847624086</v>
      </c>
      <c r="F601" s="55" cm="1">
        <f t="array" ref="F601">(VLOOKUP($A601,'The List'!$B1:$AH671,18,FALSE)-AVERAGE('The List'!S2:S671))/STDEV('The List'!S2:S671)</f>
        <v>-1.3724931731810237</v>
      </c>
      <c r="G601" s="55" cm="1">
        <f t="array" ref="G601">(VLOOKUP($A601,'The List'!$B1:$AH671,19,FALSE)-AVERAGE('The List'!T2:T671))/STDEV('The List'!T2:T671)</f>
        <v>-1.1943016234164925</v>
      </c>
      <c r="H601" s="55" cm="1">
        <f t="array" ref="H601">(VLOOKUP($A601,'The List'!$B1:$AH671,20,FALSE)-AVERAGE('The List'!U2:U671))/STDEV('The List'!U2:U671)</f>
        <v>-1.3592978813104932</v>
      </c>
      <c r="I601" s="55" cm="1">
        <f t="array" ref="I601">(VLOOKUP($A601,'The List'!$B1:$AH671,21,FALSE)-AVERAGE('The List'!V2:V671))/STDEV('The List'!V2:V671)</f>
        <v>-1.7366243288373531</v>
      </c>
      <c r="J601" s="55" cm="1">
        <f t="array" ref="J601">(VLOOKUP($A601,'The List'!$B1:$AH671,22,FALSE)-AVERAGE('The List'!W2:W671))/STDEV('The List'!W2:W671)</f>
        <v>-0.73853908386105271</v>
      </c>
      <c r="K601" s="55" cm="1">
        <f t="array" ref="K601">(VLOOKUP($A601,'The List'!$B1:$AH671,23,FALSE)-AVERAGE('The List'!X2:X671))/STDEV('The List'!X2:X671)</f>
        <v>-0.80155300200843405</v>
      </c>
      <c r="L601" s="55" cm="1">
        <f t="array" ref="L601">(VLOOKUP($A601,'The List'!$B1:$AH671,24,FALSE)-AVERAGE('The List'!Y2:Y671))/STDEV('The List'!Y2:Y671)</f>
        <v>-0.47546929358800777</v>
      </c>
      <c r="M601" s="55" cm="1">
        <f t="array" ref="M601">(VLOOKUP($A601,'The List'!$B1:$AH671,25,FALSE)-AVERAGE('The List'!Z2:Z671))/STDEV('The List'!Z2:Z671)</f>
        <v>-0.64388478613809508</v>
      </c>
      <c r="N601" s="55" cm="1">
        <f t="array" ref="N601">(VLOOKUP($A601,'The List'!$B1:$AH671,26,FALSE)-AVERAGE('The List'!AA2:AA671))/STDEV('The List'!AA2:AA671)</f>
        <v>0.96637387023658661</v>
      </c>
      <c r="O601" s="55" cm="1">
        <f t="array" ref="O601">(VLOOKUP($A601,'The List'!$B1:$AH671,27,FALSE)-AVERAGE('The List'!AB2:AB671))/STDEV('The List'!AB2:AB671)</f>
        <v>-0.43391409602709763</v>
      </c>
      <c r="P601" s="55" cm="1">
        <f t="array" ref="P601">(VLOOKUP($A601,'The List'!$B1:$AH671,28,FALSE)-AVERAGE('The List'!AC2:AC671))/STDEV('The List'!AC2:AC671)</f>
        <v>-1.5503948253691617</v>
      </c>
      <c r="Q601" s="55" cm="1">
        <f t="array" ref="Q601">(VLOOKUP($A601,'The List'!$B1:$AH671,29,FALSE)-AVERAGE('The List'!AD2:AD671))/STDEV('The List'!AD2:AD671)</f>
        <v>0.25056198066576252</v>
      </c>
      <c r="R601" s="55" cm="1">
        <f t="array" ref="R601">(VLOOKUP($A601,'The List'!$B1:$AH671,30,FALSE)-AVERAGE('The List'!AE2:AE671))/STDEV('The List'!AE2:AE671)</f>
        <v>-1.3444971337400937</v>
      </c>
      <c r="S601" s="55" cm="1">
        <f t="array" ref="S601">(VLOOKUP($A601,'The List'!$B1:$AH671,31,FALSE)-AVERAGE('The List'!AF2:AF671))/STDEV('The List'!AF2:AF671)</f>
        <v>-0.59581850454342256</v>
      </c>
      <c r="T601" s="55" cm="1">
        <f t="array" ref="T601">(VLOOKUP($A601,'The List'!$B1:$AH671,32,FALSE)-AVERAGE('The List'!AG2:AG671))/STDEV('The List'!AG2:AG671)</f>
        <v>-0.64684275008198677</v>
      </c>
      <c r="U601" s="55" cm="1">
        <f t="array" ref="U601">(VLOOKUP($A601,'The List'!$B1:$AH671,33,FALSE)-AVERAGE('The List'!AH2:AH671))/STDEV('The List'!AH2:AH671)</f>
        <v>-1.2552626683789523</v>
      </c>
      <c r="V601" s="55"/>
      <c r="W601" s="77"/>
      <c r="X601" s="57"/>
      <c r="Y601" s="57"/>
      <c r="Z601" s="57"/>
      <c r="AA601" s="57"/>
      <c r="AB601" s="57"/>
      <c r="AC601" s="60"/>
      <c r="AD601" s="61"/>
      <c r="AE601" s="55"/>
    </row>
    <row r="602" spans="1:31" ht="21.25" customHeight="1" x14ac:dyDescent="0.15">
      <c r="A602" s="10" t="s">
        <v>297</v>
      </c>
      <c r="B602" s="18" t="str" cm="1">
        <f t="array" ref="B602">VLOOKUP(A602,'Player Data'!A1:B673,2,FALSE)</f>
        <v>TOR</v>
      </c>
      <c r="C602" s="52" cm="1">
        <f t="array" ref="C602">((E602)*Settings!$C$12)+(F602*Settings!$C$2)+(G602*Settings!$C$3)+(H602*Settings!$C$4)+(I602*Settings!$C$5)+(K602*Settings!$C$9)+(N602*Settings!$C$6)+(J602*Settings!$C$8)+(O602*Settings!$C$7)+(P602*Settings!$C$14)+(Q602*Settings!$C$15)+(R602*Settings!$C$16)+(S602*Settings!$C$17)+(T602*Settings!$C$18)+(U602*Settings!$C$19)+(L602*Settings!$C$10)+(Settings!$C$11*M602)</f>
        <v>4.1615007158622008</v>
      </c>
      <c r="D602" s="57" cm="1">
        <f t="array" ref="D602">IF(Settings!$E$12="YES",VLOOKUP(A602,'Player Data'!A1:E673,5,FALSE),82)</f>
        <v>80</v>
      </c>
      <c r="E602" s="55" cm="1">
        <f t="array" ref="E602">(VLOOKUP($A602,'The List'!$B1:$AH671,17,FALSE)-AVERAGE('The List'!R2:R671))/STDEV('The List'!R2:R671)</f>
        <v>4.8698224336225657E-2</v>
      </c>
      <c r="F602" s="55" cm="1">
        <f t="array" ref="F602">(VLOOKUP($A602,'The List'!$B1:$AH671,18,FALSE)-AVERAGE('The List'!S2:S671))/STDEV('The List'!S2:S671)</f>
        <v>0.8549073443186711</v>
      </c>
      <c r="G602" s="55" cm="1">
        <f t="array" ref="G602">(VLOOKUP($A602,'The List'!$B1:$AH671,19,FALSE)-AVERAGE('The List'!T2:T671))/STDEV('The List'!T2:T671)</f>
        <v>1.3228941942928634</v>
      </c>
      <c r="H602" s="55" cm="1">
        <f t="array" ref="H602">(VLOOKUP($A602,'The List'!$B1:$AH671,20,FALSE)-AVERAGE('The List'!U2:U671))/STDEV('The List'!U2:U671)</f>
        <v>1.210909374016865</v>
      </c>
      <c r="I602" s="55" cm="1">
        <f t="array" ref="I602">(VLOOKUP($A602,'The List'!$B1:$AH671,21,FALSE)-AVERAGE('The List'!V2:V671))/STDEV('The List'!V2:V671)</f>
        <v>0.7703057653714227</v>
      </c>
      <c r="J602" s="55" cm="1">
        <f t="array" ref="J602">(VLOOKUP($A602,'The List'!$B1:$AH671,22,FALSE)-AVERAGE('The List'!W2:W671))/STDEV('The List'!W2:W671)</f>
        <v>1.2500785086891122</v>
      </c>
      <c r="K602" s="55" cm="1">
        <f t="array" ref="K602">(VLOOKUP($A602,'The List'!$B1:$AH671,23,FALSE)-AVERAGE('The List'!X2:X671))/STDEV('The List'!X2:X671)</f>
        <v>1.1520439059327467</v>
      </c>
      <c r="L602" s="55" cm="1">
        <f t="array" ref="L602">(VLOOKUP($A602,'The List'!$B1:$AH671,24,FALSE)-AVERAGE('The List'!Y2:Y671))/STDEV('The List'!Y2:Y671)</f>
        <v>-0.47546929358800777</v>
      </c>
      <c r="M602" s="55" cm="1">
        <f t="array" ref="M602">(VLOOKUP($A602,'The List'!$B1:$AH671,25,FALSE)-AVERAGE('The List'!Z2:Z671))/STDEV('The List'!Z2:Z671)</f>
        <v>-0.64388478613809508</v>
      </c>
      <c r="N602" s="55" cm="1">
        <f t="array" ref="N602">(VLOOKUP($A602,'The List'!$B1:$AH671,26,FALSE)-AVERAGE('The List'!AA2:AA671))/STDEV('The List'!AA2:AA671)</f>
        <v>-0.72392692997013297</v>
      </c>
      <c r="O602" s="55" cm="1">
        <f t="array" ref="O602">(VLOOKUP($A602,'The List'!$B1:$AH671,27,FALSE)-AVERAGE('The List'!AB2:AB671))/STDEV('The List'!AB2:AB671)</f>
        <v>0.16628912554511208</v>
      </c>
      <c r="P602" s="55" cm="1">
        <f t="array" ref="P602">(VLOOKUP($A602,'The List'!$B1:$AH671,28,FALSE)-AVERAGE('The List'!AC2:AC671))/STDEV('The List'!AC2:AC671)</f>
        <v>-0.1049396195986151</v>
      </c>
      <c r="Q602" s="55" cm="1">
        <f t="array" ref="Q602">(VLOOKUP($A602,'The List'!$B1:$AH671,29,FALSE)-AVERAGE('The List'!AD2:AD671))/STDEV('The List'!AD2:AD671)</f>
        <v>-9.5110919180657477E-3</v>
      </c>
      <c r="R602" s="55" cm="1">
        <f t="array" ref="R602">(VLOOKUP($A602,'The List'!$B1:$AH671,30,FALSE)-AVERAGE('The List'!AE2:AE671))/STDEV('The List'!AE2:AE671)</f>
        <v>0.45204369538119055</v>
      </c>
      <c r="S602" s="55" cm="1">
        <f t="array" ref="S602">(VLOOKUP($A602,'The List'!$B1:$AH671,31,FALSE)-AVERAGE('The List'!AF2:AF671))/STDEV('The List'!AF2:AF671)</f>
        <v>-0.59581850454342256</v>
      </c>
      <c r="T602" s="55" cm="1">
        <f t="array" ref="T602">(VLOOKUP($A602,'The List'!$B1:$AH671,32,FALSE)-AVERAGE('The List'!AG2:AG671))/STDEV('The List'!AG2:AG671)</f>
        <v>-0.64684275008198677</v>
      </c>
      <c r="U602" s="55" cm="1">
        <f t="array" ref="U602">(VLOOKUP($A602,'The List'!$B1:$AH671,33,FALSE)-AVERAGE('The List'!AH2:AH671))/STDEV('The List'!AH2:AH671)</f>
        <v>0.58470631520366922</v>
      </c>
      <c r="V602" s="55"/>
      <c r="W602" s="77"/>
      <c r="X602" s="57"/>
      <c r="Y602" s="57"/>
      <c r="Z602" s="57"/>
      <c r="AA602" s="57"/>
      <c r="AB602" s="57"/>
      <c r="AC602" s="60"/>
      <c r="AD602" s="61"/>
      <c r="AE602" s="55"/>
    </row>
    <row r="603" spans="1:31" ht="21.25" customHeight="1" x14ac:dyDescent="0.15">
      <c r="A603" s="10" t="s">
        <v>418</v>
      </c>
      <c r="B603" s="18" t="str" cm="1">
        <f t="array" ref="B603">VLOOKUP(A603,'Player Data'!A1:B673,2,FALSE)</f>
        <v>S.J</v>
      </c>
      <c r="C603" s="52" cm="1">
        <f t="array" ref="C603">((E603)*Settings!$C$12)+(F603*Settings!$C$2)+(G603*Settings!$C$3)+(H603*Settings!$C$4)+(I603*Settings!$C$5)+(K603*Settings!$C$9)+(N603*Settings!$C$6)+(J603*Settings!$C$8)+(O603*Settings!$C$7)+(P603*Settings!$C$14)+(Q603*Settings!$C$15)+(R603*Settings!$C$16)+(S603*Settings!$C$17)+(T603*Settings!$C$18)+(U603*Settings!$C$19)+(L603*Settings!$C$10)+(Settings!$C$11*M603)</f>
        <v>4.0112194631827229</v>
      </c>
      <c r="D603" s="57" cm="1">
        <f t="array" ref="D603">IF(Settings!$E$12="YES",VLOOKUP(A603,'Player Data'!A1:E673,5,FALSE),82)</f>
        <v>80</v>
      </c>
      <c r="E603" s="55" cm="1">
        <f t="array" ref="E603">(VLOOKUP($A603,'The List'!$B1:$AH671,17,FALSE)-AVERAGE('The List'!R2:R671))/STDEV('The List'!R2:R671)</f>
        <v>-0.4759439791793576</v>
      </c>
      <c r="F603" s="55" cm="1">
        <f t="array" ref="F603">(VLOOKUP($A603,'The List'!$B1:$AH671,18,FALSE)-AVERAGE('The List'!S2:S671))/STDEV('The List'!S2:S671)</f>
        <v>0.97466006031327856</v>
      </c>
      <c r="G603" s="55" cm="1">
        <f t="array" ref="G603">(VLOOKUP($A603,'The List'!$B1:$AH671,19,FALSE)-AVERAGE('The List'!T2:T671))/STDEV('The List'!T2:T671)</f>
        <v>1.171103491717425</v>
      </c>
      <c r="H603" s="55" cm="1">
        <f t="array" ref="H603">(VLOOKUP($A603,'The List'!$B1:$AH671,20,FALSE)-AVERAGE('The List'!U2:U671))/STDEV('The List'!U2:U671)</f>
        <v>1.1684704513282815</v>
      </c>
      <c r="I603" s="55" cm="1">
        <f t="array" ref="I603">(VLOOKUP($A603,'The List'!$B1:$AH671,21,FALSE)-AVERAGE('The List'!V2:V671))/STDEV('The List'!V2:V671)</f>
        <v>0.74853642065258674</v>
      </c>
      <c r="J603" s="55" cm="1">
        <f t="array" ref="J603">(VLOOKUP($A603,'The List'!$B1:$AH671,22,FALSE)-AVERAGE('The List'!W2:W671))/STDEV('The List'!W2:W671)</f>
        <v>1.1175040025191012</v>
      </c>
      <c r="K603" s="55" cm="1">
        <f t="array" ref="K603">(VLOOKUP($A603,'The List'!$B1:$AH671,23,FALSE)-AVERAGE('The List'!X2:X671))/STDEV('The List'!X2:X671)</f>
        <v>1.0555699845529356</v>
      </c>
      <c r="L603" s="55" cm="1">
        <f t="array" ref="L603">(VLOOKUP($A603,'The List'!$B1:$AH671,24,FALSE)-AVERAGE('The List'!Y2:Y671))/STDEV('The List'!Y2:Y671)</f>
        <v>-0.47546929358800777</v>
      </c>
      <c r="M603" s="55" cm="1">
        <f t="array" ref="M603">(VLOOKUP($A603,'The List'!$B1:$AH671,25,FALSE)-AVERAGE('The List'!Z2:Z671))/STDEV('The List'!Z2:Z671)</f>
        <v>-0.64388478613809508</v>
      </c>
      <c r="N603" s="55" cm="1">
        <f t="array" ref="N603">(VLOOKUP($A603,'The List'!$B1:$AH671,26,FALSE)-AVERAGE('The List'!AA2:AA671))/STDEV('The List'!AA2:AA671)</f>
        <v>-0.744359698784962</v>
      </c>
      <c r="O603" s="55" cm="1">
        <f t="array" ref="O603">(VLOOKUP($A603,'The List'!$B1:$AH671,27,FALSE)-AVERAGE('The List'!AB2:AB671))/STDEV('The List'!AB2:AB671)</f>
        <v>0.16628912554511208</v>
      </c>
      <c r="P603" s="55" cm="1">
        <f t="array" ref="P603">(VLOOKUP($A603,'The List'!$B1:$AH671,28,FALSE)-AVERAGE('The List'!AC2:AC671))/STDEV('The List'!AC2:AC671)</f>
        <v>-0.1049396195986151</v>
      </c>
      <c r="Q603" s="55" cm="1">
        <f t="array" ref="Q603">(VLOOKUP($A603,'The List'!$B1:$AH671,29,FALSE)-AVERAGE('The List'!AD2:AD671))/STDEV('The List'!AD2:AD671)</f>
        <v>-9.5110919180657477E-3</v>
      </c>
      <c r="R603" s="55" cm="1">
        <f t="array" ref="R603">(VLOOKUP($A603,'The List'!$B1:$AH671,30,FALSE)-AVERAGE('The List'!AE2:AE671))/STDEV('The List'!AE2:AE671)</f>
        <v>0.75146716690140458</v>
      </c>
      <c r="S603" s="55" cm="1">
        <f t="array" ref="S603">(VLOOKUP($A603,'The List'!$B1:$AH671,31,FALSE)-AVERAGE('The List'!AF2:AF671))/STDEV('The List'!AF2:AF671)</f>
        <v>-0.59581850454342256</v>
      </c>
      <c r="T603" s="55" cm="1">
        <f t="array" ref="T603">(VLOOKUP($A603,'The List'!$B1:$AH671,32,FALSE)-AVERAGE('The List'!AG2:AG671))/STDEV('The List'!AG2:AG671)</f>
        <v>-0.64684275008198677</v>
      </c>
      <c r="U603" s="55" cm="1">
        <f t="array" ref="U603">(VLOOKUP($A603,'The List'!$B1:$AH671,33,FALSE)-AVERAGE('The List'!AH2:AH671))/STDEV('The List'!AH2:AH671)</f>
        <v>0.58470631520366922</v>
      </c>
      <c r="V603" s="55"/>
      <c r="W603" s="77"/>
      <c r="X603" s="57"/>
      <c r="Y603" s="57"/>
      <c r="Z603" s="57"/>
      <c r="AA603" s="57"/>
      <c r="AB603" s="57"/>
      <c r="AC603" s="60"/>
      <c r="AD603" s="61"/>
      <c r="AE603" s="55"/>
    </row>
    <row r="604" spans="1:31" ht="21.25" customHeight="1" x14ac:dyDescent="0.15">
      <c r="A604" s="10" t="s">
        <v>531</v>
      </c>
      <c r="B604" s="18" t="str" cm="1">
        <f t="array" ref="B604">VLOOKUP(A604,'Player Data'!A1:B673,2,FALSE)</f>
        <v>CHI</v>
      </c>
      <c r="C604" s="52" cm="1">
        <f t="array" ref="C604">((E604)*Settings!$C$12)+(F604*Settings!$C$2)+(G604*Settings!$C$3)+(H604*Settings!$C$4)+(I604*Settings!$C$5)+(K604*Settings!$C$9)+(N604*Settings!$C$6)+(J604*Settings!$C$8)+(O604*Settings!$C$7)+(P604*Settings!$C$14)+(Q604*Settings!$C$15)+(R604*Settings!$C$16)+(S604*Settings!$C$17)+(T604*Settings!$C$18)+(U604*Settings!$C$19)+(L604*Settings!$C$10)+(Settings!$C$11*M604)</f>
        <v>0.54410987921097398</v>
      </c>
      <c r="D604" s="57" cm="1">
        <f t="array" ref="D604">IF(Settings!$E$12="YES",VLOOKUP(A604,'Player Data'!A1:E673,5,FALSE),82)</f>
        <v>77</v>
      </c>
      <c r="E604" s="55" cm="1">
        <f t="array" ref="E604">(VLOOKUP($A604,'The List'!$B1:$AH671,17,FALSE)-AVERAGE('The List'!R2:R671))/STDEV('The List'!R2:R671)</f>
        <v>-0.4759439791793576</v>
      </c>
      <c r="F604" s="55" cm="1">
        <f t="array" ref="F604">(VLOOKUP($A604,'The List'!$B1:$AH671,18,FALSE)-AVERAGE('The List'!S2:S671))/STDEV('The List'!S2:S671)</f>
        <v>0.4716986531359279</v>
      </c>
      <c r="G604" s="55" cm="1">
        <f t="array" ref="G604">(VLOOKUP($A604,'The List'!$B1:$AH671,19,FALSE)-AVERAGE('The List'!T2:T671))/STDEV('The List'!T2:T671)</f>
        <v>-0.30955859312724654</v>
      </c>
      <c r="H604" s="55" cm="1">
        <f t="array" ref="H604">(VLOOKUP($A604,'The List'!$B1:$AH671,20,FALSE)-AVERAGE('The List'!U2:U671))/STDEV('The List'!U2:U671)</f>
        <v>1.4220168621069102E-2</v>
      </c>
      <c r="I604" s="55" cm="1">
        <f t="array" ref="I604">(VLOOKUP($A604,'The List'!$B1:$AH671,21,FALSE)-AVERAGE('The List'!V2:V671))/STDEV('The List'!V2:V671)</f>
        <v>0.34355749985138956</v>
      </c>
      <c r="J604" s="55" cm="1">
        <f t="array" ref="J604">(VLOOKUP($A604,'The List'!$B1:$AH671,22,FALSE)-AVERAGE('The List'!W2:W671))/STDEV('The List'!W2:W671)</f>
        <v>0.32481893437757708</v>
      </c>
      <c r="K604" s="55" cm="1">
        <f t="array" ref="K604">(VLOOKUP($A604,'The List'!$B1:$AH671,23,FALSE)-AVERAGE('The List'!X2:X671))/STDEV('The List'!X2:X671)</f>
        <v>4.9628366832193585E-2</v>
      </c>
      <c r="L604" s="55" cm="1">
        <f t="array" ref="L604">(VLOOKUP($A604,'The List'!$B1:$AH671,24,FALSE)-AVERAGE('The List'!Y2:Y671))/STDEV('The List'!Y2:Y671)</f>
        <v>-0.47546929358800777</v>
      </c>
      <c r="M604" s="55" cm="1">
        <f t="array" ref="M604">(VLOOKUP($A604,'The List'!$B1:$AH671,25,FALSE)-AVERAGE('The List'!Z2:Z671))/STDEV('The List'!Z2:Z671)</f>
        <v>-0.64388478613809508</v>
      </c>
      <c r="N604" s="55" cm="1">
        <f t="array" ref="N604">(VLOOKUP($A604,'The List'!$B1:$AH671,26,FALSE)-AVERAGE('The List'!AA2:AA671))/STDEV('The List'!AA2:AA671)</f>
        <v>-0.77730753849887346</v>
      </c>
      <c r="O604" s="55" cm="1">
        <f t="array" ref="O604">(VLOOKUP($A604,'The List'!$B1:$AH671,27,FALSE)-AVERAGE('The List'!AB2:AB671))/STDEV('The List'!AB2:AB671)</f>
        <v>9.3723572117324558E-2</v>
      </c>
      <c r="P604" s="55" cm="1">
        <f t="array" ref="P604">(VLOOKUP($A604,'The List'!$B1:$AH671,28,FALSE)-AVERAGE('The List'!AC2:AC671))/STDEV('The List'!AC2:AC671)</f>
        <v>-0.1049396195986151</v>
      </c>
      <c r="Q604" s="55" cm="1">
        <f t="array" ref="Q604">(VLOOKUP($A604,'The List'!$B1:$AH671,29,FALSE)-AVERAGE('The List'!AD2:AD671))/STDEV('The List'!AD2:AD671)</f>
        <v>-9.817236666255269E-2</v>
      </c>
      <c r="R604" s="55" cm="1">
        <f t="array" ref="R604">(VLOOKUP($A604,'The List'!$B1:$AH671,30,FALSE)-AVERAGE('The List'!AE2:AE671))/STDEV('The List'!AE2:AE671)</f>
        <v>9.6478322950936238E-2</v>
      </c>
      <c r="S604" s="55" cm="1">
        <f t="array" ref="S604">(VLOOKUP($A604,'The List'!$B1:$AH671,31,FALSE)-AVERAGE('The List'!AF2:AF671))/STDEV('The List'!AF2:AF671)</f>
        <v>-0.59581850454342256</v>
      </c>
      <c r="T604" s="55" cm="1">
        <f t="array" ref="T604">(VLOOKUP($A604,'The List'!$B1:$AH671,32,FALSE)-AVERAGE('The List'!AG2:AG671))/STDEV('The List'!AG2:AG671)</f>
        <v>-0.64684275008198677</v>
      </c>
      <c r="U604" s="55" cm="1">
        <f t="array" ref="U604">(VLOOKUP($A604,'The List'!$B1:$AH671,33,FALSE)-AVERAGE('The List'!AH2:AH671))/STDEV('The List'!AH2:AH671)</f>
        <v>0.58470631520366922</v>
      </c>
      <c r="V604" s="55"/>
      <c r="W604" s="77"/>
      <c r="X604" s="57"/>
      <c r="Y604" s="57"/>
      <c r="Z604" s="57"/>
      <c r="AA604" s="57"/>
      <c r="AB604" s="57"/>
      <c r="AC604" s="60"/>
      <c r="AD604" s="61"/>
      <c r="AE604" s="55"/>
    </row>
    <row r="605" spans="1:31" ht="21.25" customHeight="1" x14ac:dyDescent="0.15">
      <c r="A605" s="10" t="s">
        <v>608</v>
      </c>
      <c r="B605" s="18" t="str" cm="1">
        <f t="array" ref="B605">VLOOKUP(A605,'Player Data'!A1:B673,2,FALSE)</f>
        <v>WSH</v>
      </c>
      <c r="C605" s="52" cm="1">
        <f t="array" ref="C605">((E605)*Settings!$C$12)+(F605*Settings!$C$2)+(G605*Settings!$C$3)+(H605*Settings!$C$4)+(I605*Settings!$C$5)+(K605*Settings!$C$9)+(N605*Settings!$C$6)+(J605*Settings!$C$8)+(O605*Settings!$C$7)+(P605*Settings!$C$14)+(Q605*Settings!$C$15)+(R605*Settings!$C$16)+(S605*Settings!$C$17)+(T605*Settings!$C$18)+(U605*Settings!$C$19)+(L605*Settings!$C$10)+(Settings!$C$11*M605)</f>
        <v>-0.37580143466266486</v>
      </c>
      <c r="D605" s="57" cm="1">
        <f t="array" ref="D605">IF(Settings!$E$12="YES",VLOOKUP(A605,'Player Data'!A1:E673,5,FALSE),82)</f>
        <v>72</v>
      </c>
      <c r="E605" s="55" cm="1">
        <f t="array" ref="E605">(VLOOKUP($A605,'The List'!$B1:$AH671,17,FALSE)-AVERAGE('The List'!R2:R671))/STDEV('The List'!R2:R671)</f>
        <v>-1.0005861826949407</v>
      </c>
      <c r="F605" s="55" cm="1">
        <f t="array" ref="F605">(VLOOKUP($A605,'The List'!$B1:$AH671,18,FALSE)-AVERAGE('The List'!S2:S671))/STDEV('The List'!S2:S671)</f>
        <v>6.4539418754263236E-2</v>
      </c>
      <c r="G605" s="55" cm="1">
        <f t="array" ref="G605">(VLOOKUP($A605,'The List'!$B1:$AH671,19,FALSE)-AVERAGE('The List'!T2:T671))/STDEV('The List'!T2:T671)</f>
        <v>-0.24560973232000133</v>
      </c>
      <c r="H605" s="55" cm="1">
        <f t="array" ref="H605">(VLOOKUP($A605,'The List'!$B1:$AH671,20,FALSE)-AVERAGE('The List'!U2:U671))/STDEV('The List'!U2:U671)</f>
        <v>-0.12591669067352551</v>
      </c>
      <c r="I605" s="55" cm="1">
        <f t="array" ref="I605">(VLOOKUP($A605,'The List'!$B1:$AH671,21,FALSE)-AVERAGE('The List'!V2:V671))/STDEV('The List'!V2:V671)</f>
        <v>-5.692933394433318E-2</v>
      </c>
      <c r="J605" s="55" cm="1">
        <f t="array" ref="J605">(VLOOKUP($A605,'The List'!$B1:$AH671,22,FALSE)-AVERAGE('The List'!W2:W671))/STDEV('The List'!W2:W671)</f>
        <v>5.6907953159013161E-2</v>
      </c>
      <c r="K605" s="55" cm="1">
        <f t="array" ref="K605">(VLOOKUP($A605,'The List'!$B1:$AH671,23,FALSE)-AVERAGE('The List'!X2:X671))/STDEV('The List'!X2:X671)</f>
        <v>-5.6431506249900931E-3</v>
      </c>
      <c r="L605" s="55" cm="1">
        <f t="array" ref="L605">(VLOOKUP($A605,'The List'!$B1:$AH671,24,FALSE)-AVERAGE('The List'!Y2:Y671))/STDEV('The List'!Y2:Y671)</f>
        <v>-0.47546929358800777</v>
      </c>
      <c r="M605" s="55" cm="1">
        <f t="array" ref="M605">(VLOOKUP($A605,'The List'!$B1:$AH671,25,FALSE)-AVERAGE('The List'!Z2:Z671))/STDEV('The List'!Z2:Z671)</f>
        <v>-0.64388478613809508</v>
      </c>
      <c r="N605" s="55" cm="1">
        <f t="array" ref="N605">(VLOOKUP($A605,'The List'!$B1:$AH671,26,FALSE)-AVERAGE('The List'!AA2:AA671))/STDEV('The List'!AA2:AA671)</f>
        <v>-0.86899958855541803</v>
      </c>
      <c r="O605" s="55" cm="1">
        <f t="array" ref="O605">(VLOOKUP($A605,'The List'!$B1:$AH671,27,FALSE)-AVERAGE('The List'!AB2:AB671))/STDEV('The List'!AB2:AB671)</f>
        <v>-2.7219016928988361E-2</v>
      </c>
      <c r="P605" s="55" cm="1">
        <f t="array" ref="P605">(VLOOKUP($A605,'The List'!$B1:$AH671,28,FALSE)-AVERAGE('The List'!AC2:AC671))/STDEV('The List'!AC2:AC671)</f>
        <v>-0.1049396195986151</v>
      </c>
      <c r="Q605" s="55" cm="1">
        <f t="array" ref="Q605">(VLOOKUP($A605,'The List'!$B1:$AH671,29,FALSE)-AVERAGE('The List'!AD2:AD671))/STDEV('The List'!AD2:AD671)</f>
        <v>-0.24594115790336438</v>
      </c>
      <c r="R605" s="55" cm="1">
        <f t="array" ref="R605">(VLOOKUP($A605,'The List'!$B1:$AH671,30,FALSE)-AVERAGE('The List'!AE2:AE671))/STDEV('The List'!AE2:AE671)</f>
        <v>2.9084881008694225E-3</v>
      </c>
      <c r="S605" s="55" cm="1">
        <f t="array" ref="S605">(VLOOKUP($A605,'The List'!$B1:$AH671,31,FALSE)-AVERAGE('The List'!AF2:AF671))/STDEV('The List'!AF2:AF671)</f>
        <v>7.9185997126727192E-2</v>
      </c>
      <c r="T605" s="55" cm="1">
        <f t="array" ref="T605">(VLOOKUP($A605,'The List'!$B1:$AH671,32,FALSE)-AVERAGE('The List'!AG2:AG671))/STDEV('The List'!AG2:AG671)</f>
        <v>0.42976522379150972</v>
      </c>
      <c r="U605" s="55" cm="1">
        <f t="array" ref="U605">(VLOOKUP($A605,'The List'!$B1:$AH671,33,FALSE)-AVERAGE('The List'!AH2:AH671))/STDEV('The List'!AH2:AH671)</f>
        <v>0.58470631520366922</v>
      </c>
      <c r="V605" s="55"/>
      <c r="W605" s="77"/>
      <c r="X605" s="57"/>
      <c r="Y605" s="57"/>
      <c r="Z605" s="57"/>
      <c r="AA605" s="57"/>
      <c r="AB605" s="57"/>
      <c r="AC605" s="60"/>
      <c r="AD605" s="61"/>
      <c r="AE605" s="55"/>
    </row>
    <row r="606" spans="1:31" ht="21.25" customHeight="1" x14ac:dyDescent="0.15">
      <c r="A606" s="10" t="s">
        <v>426</v>
      </c>
      <c r="B606" s="18" t="str" cm="1">
        <f t="array" ref="B606">VLOOKUP(A606,'Player Data'!A1:B673,2,FALSE)</f>
        <v>BOS</v>
      </c>
      <c r="C606" s="52" cm="1">
        <f t="array" ref="C606">((E606)*Settings!$C$12)+(F606*Settings!$C$2)+(G606*Settings!$C$3)+(H606*Settings!$C$4)+(I606*Settings!$C$5)+(K606*Settings!$C$9)+(N606*Settings!$C$6)+(J606*Settings!$C$8)+(O606*Settings!$C$7)+(P606*Settings!$C$14)+(Q606*Settings!$C$15)+(R606*Settings!$C$16)+(S606*Settings!$C$17)+(T606*Settings!$C$18)+(U606*Settings!$C$19)+(L606*Settings!$C$10)+(Settings!$C$11*M606)</f>
        <v>1.5077295014378802</v>
      </c>
      <c r="D606" s="57" cm="1">
        <f t="array" ref="D606">IF(Settings!$E$12="YES",VLOOKUP(A606,'Player Data'!A1:E673,5,FALSE),82)</f>
        <v>74</v>
      </c>
      <c r="E606" s="55" cm="1">
        <f t="array" ref="E606">(VLOOKUP($A606,'The List'!$B1:$AH671,17,FALSE)-AVERAGE('The List'!R2:R671))/STDEV('The List'!R2:R671)</f>
        <v>-0.73826508093714915</v>
      </c>
      <c r="F606" s="55" cm="1">
        <f t="array" ref="F606">(VLOOKUP($A606,'The List'!$B1:$AH671,18,FALSE)-AVERAGE('The List'!S2:S671))/STDEV('The List'!S2:S671)</f>
        <v>0.6213895481291869</v>
      </c>
      <c r="G606" s="55" cm="1">
        <f t="array" ref="G606">(VLOOKUP($A606,'The List'!$B1:$AH671,19,FALSE)-AVERAGE('The List'!T2:T671))/STDEV('The List'!T2:T671)</f>
        <v>0.15776000507954338</v>
      </c>
      <c r="H606" s="55" cm="1">
        <f t="array" ref="H606">(VLOOKUP($A606,'The List'!$B1:$AH671,20,FALSE)-AVERAGE('The List'!U2:U671))/STDEV('The List'!U2:U671)</f>
        <v>0.37450893936269192</v>
      </c>
      <c r="I606" s="55" cm="1">
        <f t="array" ref="I606">(VLOOKUP($A606,'The List'!$B1:$AH671,21,FALSE)-AVERAGE('The List'!V2:V671))/STDEV('The List'!V2:V671)</f>
        <v>0.4240695207956553</v>
      </c>
      <c r="J606" s="55" cm="1">
        <f t="array" ref="J606">(VLOOKUP($A606,'The List'!$B1:$AH671,22,FALSE)-AVERAGE('The List'!W2:W671))/STDEV('The List'!W2:W671)</f>
        <v>0.69216079522364937</v>
      </c>
      <c r="K606" s="55" cm="1">
        <f t="array" ref="K606">(VLOOKUP($A606,'The List'!$B1:$AH671,23,FALSE)-AVERAGE('The List'!X2:X671))/STDEV('The List'!X2:X671)</f>
        <v>0.38829202834257309</v>
      </c>
      <c r="L606" s="55" cm="1">
        <f t="array" ref="L606">(VLOOKUP($A606,'The List'!$B1:$AH671,24,FALSE)-AVERAGE('The List'!Y2:Y671))/STDEV('The List'!Y2:Y671)</f>
        <v>-0.47546929358800777</v>
      </c>
      <c r="M606" s="55" cm="1">
        <f t="array" ref="M606">(VLOOKUP($A606,'The List'!$B1:$AH671,25,FALSE)-AVERAGE('The List'!Z2:Z671))/STDEV('The List'!Z2:Z671)</f>
        <v>-0.64388478613809508</v>
      </c>
      <c r="N606" s="55" cm="1">
        <f t="array" ref="N606">(VLOOKUP($A606,'The List'!$B1:$AH671,26,FALSE)-AVERAGE('The List'!AA2:AA671))/STDEV('The List'!AA2:AA671)</f>
        <v>-0.82915568936650186</v>
      </c>
      <c r="O606" s="55" cm="1">
        <f t="array" ref="O606">(VLOOKUP($A606,'The List'!$B1:$AH671,27,FALSE)-AVERAGE('The List'!AB2:AB671))/STDEV('The List'!AB2:AB671)</f>
        <v>2.1158018689536748E-2</v>
      </c>
      <c r="P606" s="55" cm="1">
        <f t="array" ref="P606">(VLOOKUP($A606,'The List'!$B1:$AH671,28,FALSE)-AVERAGE('The List'!AC2:AC671))/STDEV('The List'!AC2:AC671)</f>
        <v>-0.1049396195986151</v>
      </c>
      <c r="Q606" s="55" cm="1">
        <f t="array" ref="Q606">(VLOOKUP($A606,'The List'!$B1:$AH671,29,FALSE)-AVERAGE('The List'!AD2:AD671))/STDEV('The List'!AD2:AD671)</f>
        <v>-0.18683364140703965</v>
      </c>
      <c r="R606" s="55" cm="1">
        <f t="array" ref="R606">(VLOOKUP($A606,'The List'!$B1:$AH671,30,FALSE)-AVERAGE('The List'!AE2:AE671))/STDEV('The List'!AE2:AE671)</f>
        <v>0.50194760730122601</v>
      </c>
      <c r="S606" s="55" cm="1">
        <f t="array" ref="S606">(VLOOKUP($A606,'The List'!$B1:$AH671,31,FALSE)-AVERAGE('The List'!AF2:AF671))/STDEV('The List'!AF2:AF671)</f>
        <v>-0.16177714834127785</v>
      </c>
      <c r="T606" s="55" cm="1">
        <f t="array" ref="T606">(VLOOKUP($A606,'The List'!$B1:$AH671,32,FALSE)-AVERAGE('The List'!AG2:AG671))/STDEV('The List'!AG2:AG671)</f>
        <v>4.4256282066045594E-2</v>
      </c>
      <c r="U606" s="55" cm="1">
        <f t="array" ref="U606">(VLOOKUP($A606,'The List'!$B1:$AH671,33,FALSE)-AVERAGE('The List'!AH2:AH671))/STDEV('The List'!AH2:AH671)</f>
        <v>0.58470631520366922</v>
      </c>
      <c r="V606" s="55"/>
      <c r="W606" s="77"/>
      <c r="X606" s="57"/>
      <c r="Y606" s="57"/>
      <c r="Z606" s="57"/>
      <c r="AA606" s="57"/>
      <c r="AB606" s="57"/>
      <c r="AC606" s="60"/>
      <c r="AD606" s="61"/>
      <c r="AE606" s="55"/>
    </row>
    <row r="607" spans="1:31" ht="21.25" customHeight="1" x14ac:dyDescent="0.15">
      <c r="A607" s="10" t="s">
        <v>334</v>
      </c>
      <c r="B607" s="18" t="str" cm="1">
        <f t="array" ref="B607">VLOOKUP(A607,'Player Data'!A1:B673,2,FALSE)</f>
        <v>S.J</v>
      </c>
      <c r="C607" s="52" cm="1">
        <f t="array" ref="C607">((E607)*Settings!$C$12)+(F607*Settings!$C$2)+(G607*Settings!$C$3)+(H607*Settings!$C$4)+(I607*Settings!$C$5)+(K607*Settings!$C$9)+(N607*Settings!$C$6)+(J607*Settings!$C$8)+(O607*Settings!$C$7)+(P607*Settings!$C$14)+(Q607*Settings!$C$15)+(R607*Settings!$C$16)+(S607*Settings!$C$17)+(T607*Settings!$C$18)+(U607*Settings!$C$19)+(L607*Settings!$C$10)+(Settings!$C$11*M607)</f>
        <v>-0.73943106570745221</v>
      </c>
      <c r="D607" s="57" cm="1">
        <f t="array" ref="D607">IF(Settings!$E$12="YES",VLOOKUP(A607,'Player Data'!A1:E673,5,FALSE),82)</f>
        <v>78</v>
      </c>
      <c r="E607" s="55" cm="1">
        <f t="array" ref="E607">(VLOOKUP($A607,'The List'!$B1:$AH671,17,FALSE)-AVERAGE('The List'!R2:R671))/STDEV('The List'!R2:R671)</f>
        <v>0.31101932609401728</v>
      </c>
      <c r="F607" s="55" cm="1">
        <f t="array" ref="F607">(VLOOKUP($A607,'The List'!$B1:$AH671,18,FALSE)-AVERAGE('The List'!S2:S671))/STDEV('The List'!S2:S671)</f>
        <v>-0.77313082962801438</v>
      </c>
      <c r="G607" s="55" cm="1">
        <f t="array" ref="G607">(VLOOKUP($A607,'The List'!$B1:$AH671,19,FALSE)-AVERAGE('The List'!T2:T671))/STDEV('The List'!T2:T671)</f>
        <v>8.6221609143526459E-2</v>
      </c>
      <c r="H607" s="55" cm="1">
        <f t="array" ref="H607">(VLOOKUP($A607,'The List'!$B1:$AH671,20,FALSE)-AVERAGE('The List'!U2:U671))/STDEV('The List'!U2:U671)</f>
        <v>-0.28824556995735884</v>
      </c>
      <c r="I607" s="55" cm="1">
        <f t="array" ref="I607">(VLOOKUP($A607,'The List'!$B1:$AH671,21,FALSE)-AVERAGE('The List'!V2:V671))/STDEV('The List'!V2:V671)</f>
        <v>-4.7444119459697516E-2</v>
      </c>
      <c r="J607" s="55" cm="1">
        <f t="array" ref="J607">(VLOOKUP($A607,'The List'!$B1:$AH671,22,FALSE)-AVERAGE('The List'!W2:W671))/STDEV('The List'!W2:W671)</f>
        <v>-0.5015621540821581</v>
      </c>
      <c r="K607" s="55" cm="1">
        <f t="array" ref="K607">(VLOOKUP($A607,'The List'!$B1:$AH671,23,FALSE)-AVERAGE('The List'!X2:X671))/STDEV('The List'!X2:X671)</f>
        <v>-0.28421159860919548</v>
      </c>
      <c r="L607" s="55" cm="1">
        <f t="array" ref="L607">(VLOOKUP($A607,'The List'!$B1:$AH671,24,FALSE)-AVERAGE('The List'!Y2:Y671))/STDEV('The List'!Y2:Y671)</f>
        <v>-0.47546929358800777</v>
      </c>
      <c r="M607" s="55" cm="1">
        <f t="array" ref="M607">(VLOOKUP($A607,'The List'!$B1:$AH671,25,FALSE)-AVERAGE('The List'!Z2:Z671))/STDEV('The List'!Z2:Z671)</f>
        <v>-0.64388478613809508</v>
      </c>
      <c r="N607" s="55" cm="1">
        <f t="array" ref="N607">(VLOOKUP($A607,'The List'!$B1:$AH671,26,FALSE)-AVERAGE('The List'!AA2:AA671))/STDEV('The List'!AA2:AA671)</f>
        <v>0.76766519351237528</v>
      </c>
      <c r="O607" s="55" cm="1">
        <f t="array" ref="O607">(VLOOKUP($A607,'The List'!$B1:$AH671,27,FALSE)-AVERAGE('The List'!AB2:AB671))/STDEV('The List'!AB2:AB671)</f>
        <v>0.19785719116059045</v>
      </c>
      <c r="P607" s="55" cm="1">
        <f t="array" ref="P607">(VLOOKUP($A607,'The List'!$B1:$AH671,28,FALSE)-AVERAGE('The List'!AC2:AC671))/STDEV('The List'!AC2:AC671)</f>
        <v>8.127668168533822E-2</v>
      </c>
      <c r="Q607" s="55" cm="1">
        <f t="array" ref="Q607">(VLOOKUP($A607,'The List'!$B1:$AH671,29,FALSE)-AVERAGE('The List'!AD2:AD671))/STDEV('The List'!AD2:AD671)</f>
        <v>-1.0988779830474095E-2</v>
      </c>
      <c r="R607" s="55" cm="1">
        <f t="array" ref="R607">(VLOOKUP($A607,'The List'!$B1:$AH671,30,FALSE)-AVERAGE('The List'!AE2:AE671))/STDEV('The List'!AE2:AE671)</f>
        <v>-0.80927767839771114</v>
      </c>
      <c r="S607" s="55" cm="1">
        <f t="array" ref="S607">(VLOOKUP($A607,'The List'!$B1:$AH671,31,FALSE)-AVERAGE('The List'!AF2:AF671))/STDEV('The List'!AF2:AF671)</f>
        <v>-0.59581850454342256</v>
      </c>
      <c r="T607" s="55" cm="1">
        <f t="array" ref="T607">(VLOOKUP($A607,'The List'!$B1:$AH671,32,FALSE)-AVERAGE('The List'!AG2:AG671))/STDEV('The List'!AG2:AG671)</f>
        <v>-0.64684275008198677</v>
      </c>
      <c r="U607" s="55" cm="1">
        <f t="array" ref="U607">(VLOOKUP($A607,'The List'!$B1:$AH671,33,FALSE)-AVERAGE('The List'!AH2:AH671))/STDEV('The List'!AH2:AH671)</f>
        <v>-1.2552626683789523</v>
      </c>
      <c r="V607" s="55"/>
      <c r="W607" s="77"/>
      <c r="X607" s="57"/>
      <c r="Y607" s="57"/>
      <c r="Z607" s="57"/>
      <c r="AA607" s="57"/>
      <c r="AB607" s="57"/>
      <c r="AC607" s="60"/>
      <c r="AD607" s="61"/>
      <c r="AE607" s="55"/>
    </row>
    <row r="608" spans="1:31" ht="21.25" customHeight="1" x14ac:dyDescent="0.15">
      <c r="A608" s="24"/>
      <c r="B608" s="18"/>
      <c r="C608" s="52"/>
      <c r="D608" s="57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77"/>
      <c r="X608" s="57"/>
      <c r="Y608" s="57"/>
      <c r="Z608" s="57"/>
      <c r="AA608" s="57"/>
      <c r="AB608" s="57"/>
      <c r="AC608" s="60"/>
      <c r="AD608" s="61"/>
      <c r="AE608" s="55"/>
    </row>
    <row r="609" spans="1:31" ht="21.25" customHeight="1" x14ac:dyDescent="0.15">
      <c r="A609" s="10" t="s">
        <v>222</v>
      </c>
      <c r="B609" s="18" t="str" cm="1">
        <f t="array" ref="B609">VLOOKUP(A609,'Player Data'!A1:B673,2,FALSE)</f>
        <v>ANA</v>
      </c>
      <c r="C609" s="52" cm="1">
        <f t="array" ref="C609">(W609*Settings!$C$29)+(X609*Settings!$C$21)+(Y609*Settings!$C$22)+(AA609*Settings!$C$24)+(AB609*Settings!$C$25)+(Z609*Settings!$C$23)+(AC609*Settings!$C$26)+(AD609*Settings!$C$28)</f>
        <v>-8.6926641361576129E-2</v>
      </c>
      <c r="D609" s="57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 cm="1">
        <f t="array" ref="W609">(VLOOKUP($A609,'The List'!$B1:$AR671,35,FALSE)-AVERAGE('The List'!AJ2:AJ671))/STDEV('The List'!AJ2:AJ671)</f>
        <v>1.2984054839854287</v>
      </c>
      <c r="X609" s="55" cm="1">
        <f t="array" ref="X609">(VLOOKUP($A609,'The List'!$B1:$AR671,36,FALSE)-AVERAGE('The List'!AK2:AK671))/STDEV('The List'!AK2:AK671)</f>
        <v>0.83969175577278254</v>
      </c>
      <c r="Y609" s="55" cm="1">
        <f t="array" ref="Y609">(VLOOKUP($A609,'The List'!$B1:$AR671,37,FALSE)-AVERAGE('The List'!AL2:AL671))/STDEV('The List'!AL2:AL671)*-1</f>
        <v>-1.5444084735982282</v>
      </c>
      <c r="Z609" s="55" cm="1">
        <f t="array" ref="Z609">(VLOOKUP($A609,'The List'!$B1:$AR671,38,FALSE)-AVERAGE('The List'!AM2:AM671))/STDEV('The List'!AM2:AM671)</f>
        <v>1.4039576771172479</v>
      </c>
      <c r="AA609" s="55" cm="1">
        <f t="array" ref="AA609">(VLOOKUP($A609,'The List'!$B1:$AR671,39,FALSE)-AVERAGE('The List'!AN2:AN671))/STDEV('The List'!AN2:AN671)</f>
        <v>9.9577534063870071E-2</v>
      </c>
      <c r="AB609" s="55" cm="1">
        <f t="array" ref="AB609">(VLOOKUP($A609,'The List'!$B1:$AR671,40,FALSE)-AVERAGE('The List'!AO2:AO671))/STDEV('The List'!AO2:AO671)</f>
        <v>1.4411834034013271</v>
      </c>
      <c r="AC609" s="55" cm="1">
        <f t="array" ref="AC609">(VLOOKUP($A609,'The List'!$B1:$AR671,42,FALSE)-AVERAGE('The List'!AQ2:AQ671))/STDEV('The List'!AQ2:AQ671)</f>
        <v>6.3115761045896696E-2</v>
      </c>
      <c r="AD609" s="55" cm="1">
        <f t="array" ref="AD609">(VLOOKUP($A609,'The List'!$B1:$AR671,43,FALSE)-AVERAGE('The List'!AR2:AR671))/STDEV('The List'!AR2:AR671)*-1</f>
        <v>-1.0893116922441255</v>
      </c>
      <c r="AE609" s="55"/>
    </row>
    <row r="610" spans="1:31" ht="21.25" customHeight="1" x14ac:dyDescent="0.15">
      <c r="A610" s="10" t="s">
        <v>652</v>
      </c>
      <c r="B610" s="18" t="str" cm="1">
        <f t="array" ref="B610">VLOOKUP(A610,'Player Data'!A1:B673,2,FALSE)</f>
        <v>ANA</v>
      </c>
      <c r="C610" s="52" cm="1">
        <f t="array" ref="C610">(W610*Settings!$C$29)+(X610*Settings!$C$21)+(Y610*Settings!$C$22)+(AA610*Settings!$C$24)+(AB610*Settings!$C$25)+(Z610*Settings!$C$23)+(AC610*Settings!$C$26)+(AD610*Settings!$C$28)</f>
        <v>-6.5388547929681877</v>
      </c>
      <c r="D610" s="57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 cm="1">
        <f t="array" ref="W610">(VLOOKUP($A610,'The List'!$B1:$AR671,35,FALSE)-AVERAGE('The List'!AJ2:AJ671))/STDEV('The List'!AJ2:AJ671)</f>
        <v>-1.3396247056992518</v>
      </c>
      <c r="X610" s="55" cm="1">
        <f t="array" ref="X610">(VLOOKUP($A610,'The List'!$B1:$AR671,36,FALSE)-AVERAGE('The List'!AK2:AK671))/STDEV('The List'!AK2:AK671)</f>
        <v>-1.4222676946586894</v>
      </c>
      <c r="Y610" s="55" cm="1">
        <f t="array" ref="Y610">(VLOOKUP($A610,'The List'!$B1:$AR671,37,FALSE)-AVERAGE('The List'!AL2:AL671))/STDEV('The List'!AL2:AL671)*-1</f>
        <v>0.96184431489824462</v>
      </c>
      <c r="Z610" s="55" cm="1">
        <f t="array" ref="Z610">(VLOOKUP($A610,'The List'!$B1:$AR671,38,FALSE)-AVERAGE('The List'!AM2:AM671))/STDEV('The List'!AM2:AM671)</f>
        <v>-0.96145532955126489</v>
      </c>
      <c r="AA610" s="55" cm="1">
        <f t="array" ref="AA610">(VLOOKUP($A610,'The List'!$B1:$AR671,39,FALSE)-AVERAGE('The List'!AN2:AN671))/STDEV('The List'!AN2:AN671)</f>
        <v>-1.7683596566514821</v>
      </c>
      <c r="AB610" s="55" cm="1">
        <f t="array" ref="AB610">(VLOOKUP($A610,'The List'!$B1:$AR671,40,FALSE)-AVERAGE('The List'!AO2:AO671))/STDEV('The List'!AO2:AO671)</f>
        <v>-1.1588687470302232</v>
      </c>
      <c r="AC610" s="55" cm="1">
        <f t="array" ref="AC610">(VLOOKUP($A610,'The List'!$B1:$AR671,42,FALSE)-AVERAGE('The List'!AQ2:AQ671))/STDEV('The List'!AQ2:AQ671)</f>
        <v>-1.3342435650042237</v>
      </c>
      <c r="AD610" s="55" cm="1">
        <f t="array" ref="AD610">(VLOOKUP($A610,'The List'!$B1:$AR671,43,FALSE)-AVERAGE('The List'!AR2:AR671))/STDEV('The List'!AR2:AR671)*-1</f>
        <v>-2.0139838766537932</v>
      </c>
      <c r="AE610" s="55"/>
    </row>
    <row r="611" spans="1:31" ht="21.25" customHeight="1" x14ac:dyDescent="0.15">
      <c r="A611" s="10" t="s">
        <v>205</v>
      </c>
      <c r="B611" s="18" t="str" cm="1">
        <f t="array" ref="B611">VLOOKUP(A611,'Player Data'!A1:B673,2,FALSE)</f>
        <v>BOS</v>
      </c>
      <c r="C611" s="52" cm="1">
        <f t="array" ref="C611">(W611*Settings!$C$29)+(X611*Settings!$C$21)+(Y611*Settings!$C$22)+(AA611*Settings!$C$24)+(AB611*Settings!$C$25)+(Z611*Settings!$C$23)+(AC611*Settings!$C$26)+(AD611*Settings!$C$28)</f>
        <v>2.5556037601752073</v>
      </c>
      <c r="D611" s="57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 cm="1">
        <f t="array" ref="W611">(VLOOKUP($A611,'The List'!$B1:$AR671,35,FALSE)-AVERAGE('The List'!AJ2:AJ671))/STDEV('The List'!AJ2:AJ671)</f>
        <v>1.2984054839854287</v>
      </c>
      <c r="X611" s="55" cm="1">
        <f t="array" ref="X611">(VLOOKUP($A611,'The List'!$B1:$AR671,36,FALSE)-AVERAGE('The List'!AK2:AK671))/STDEV('The List'!AK2:AK671)</f>
        <v>1.0072443076565956</v>
      </c>
      <c r="Y611" s="55" cm="1">
        <f t="array" ref="Y611">(VLOOKUP($A611,'The List'!$B1:$AR671,37,FALSE)-AVERAGE('The List'!AL2:AL671))/STDEV('The List'!AL2:AL671)*-1</f>
        <v>-1.304679946002913</v>
      </c>
      <c r="Z611" s="55" cm="1">
        <f t="array" ref="Z611">(VLOOKUP($A611,'The List'!$B1:$AR671,38,FALSE)-AVERAGE('The List'!AM2:AM671))/STDEV('The List'!AM2:AM671)</f>
        <v>1.4039576771172479</v>
      </c>
      <c r="AA611" s="55" cm="1">
        <f t="array" ref="AA611">(VLOOKUP($A611,'The List'!$B1:$AR671,39,FALSE)-AVERAGE('The List'!AN2:AN671))/STDEV('The List'!AN2:AN671)</f>
        <v>0.70391015458942496</v>
      </c>
      <c r="AB611" s="55" cm="1">
        <f t="array" ref="AB611">(VLOOKUP($A611,'The List'!$B1:$AR671,40,FALSE)-AVERAGE('The List'!AO2:AO671))/STDEV('The List'!AO2:AO671)</f>
        <v>1.3395827865105738</v>
      </c>
      <c r="AC611" s="55" cm="1">
        <f t="array" ref="AC611">(VLOOKUP($A611,'The List'!$B1:$AR671,42,FALSE)-AVERAGE('The List'!AQ2:AQ671))/STDEV('The List'!AQ2:AQ671)</f>
        <v>0.77792075966122765</v>
      </c>
      <c r="AD611" s="55" cm="1">
        <f t="array" ref="AD611">(VLOOKUP($A611,'The List'!$B1:$AR671,43,FALSE)-AVERAGE('The List'!AR2:AR671))/STDEV('The List'!AR2:AR671)*-1</f>
        <v>6.6528538267959139E-2</v>
      </c>
      <c r="AE611" s="55"/>
    </row>
    <row r="612" spans="1:31" ht="21.25" customHeight="1" x14ac:dyDescent="0.15">
      <c r="A612" s="10" t="s">
        <v>615</v>
      </c>
      <c r="B612" s="18" t="str" cm="1">
        <f t="array" ref="B612">VLOOKUP(A612,'Player Data'!A1:B673,2,FALSE)</f>
        <v>BOS</v>
      </c>
      <c r="C612" s="52" cm="1">
        <f t="array" ref="C612">(W612*Settings!$C$29)+(X612*Settings!$C$21)+(Y612*Settings!$C$22)+(AA612*Settings!$C$24)+(AB612*Settings!$C$25)+(Z612*Settings!$C$23)+(AC612*Settings!$C$26)+(AD612*Settings!$C$28)</f>
        <v>-3.3420735066065905</v>
      </c>
      <c r="D612" s="57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 cm="1">
        <f t="array" ref="W612">(VLOOKUP($A612,'The List'!$B1:$AR671,35,FALSE)-AVERAGE('The List'!AJ2:AJ671))/STDEV('The List'!AJ2:AJ671)</f>
        <v>-1.3396247056992518</v>
      </c>
      <c r="X612" s="55" cm="1">
        <f t="array" ref="X612">(VLOOKUP($A612,'The List'!$B1:$AR671,36,FALSE)-AVERAGE('The List'!AK2:AK671))/STDEV('The List'!AK2:AK671)</f>
        <v>-1.346107443802411</v>
      </c>
      <c r="Y612" s="55" cm="1">
        <f t="array" ref="Y612">(VLOOKUP($A612,'The List'!$B1:$AR671,37,FALSE)-AVERAGE('The List'!AL2:AL671))/STDEV('The List'!AL2:AL671)*-1</f>
        <v>1.016328071169907</v>
      </c>
      <c r="Z612" s="55" cm="1">
        <f t="array" ref="Z612">(VLOOKUP($A612,'The List'!$B1:$AR671,38,FALSE)-AVERAGE('The List'!AM2:AM671))/STDEV('The List'!AM2:AM671)</f>
        <v>-1.1234699190491086</v>
      </c>
      <c r="AA612" s="55" cm="1">
        <f t="array" ref="AA612">(VLOOKUP($A612,'The List'!$B1:$AR671,39,FALSE)-AVERAGE('The List'!AN2:AN671))/STDEV('The List'!AN2:AN671)</f>
        <v>-1.2189663652646139</v>
      </c>
      <c r="AB612" s="55" cm="1">
        <f t="array" ref="AB612">(VLOOKUP($A612,'The List'!$B1:$AR671,40,FALSE)-AVERAGE('The List'!AO2:AO671))/STDEV('The List'!AO2:AO671)</f>
        <v>-1.1434747141679877</v>
      </c>
      <c r="AC612" s="55" cm="1">
        <f t="array" ref="AC612">(VLOOKUP($A612,'The List'!$B1:$AR671,42,FALSE)-AVERAGE('The List'!AQ2:AQ671))/STDEV('The List'!AQ2:AQ671)</f>
        <v>-3.4440074449065564E-2</v>
      </c>
      <c r="AD612" s="55" cm="1">
        <f t="array" ref="AD612">(VLOOKUP($A612,'The List'!$B1:$AR671,43,FALSE)-AVERAGE('The List'!AR2:AR671))/STDEV('The List'!AR2:AR671)*-1</f>
        <v>-0.74255962309050005</v>
      </c>
      <c r="AE612" s="55"/>
    </row>
    <row r="613" spans="1:31" ht="21.25" customHeight="1" x14ac:dyDescent="0.15">
      <c r="A613" s="10" t="s">
        <v>337</v>
      </c>
      <c r="B613" s="18" t="str" cm="1">
        <f t="array" ref="B613">VLOOKUP(A613,'Player Data'!A1:B673,2,FALSE)</f>
        <v>BUF</v>
      </c>
      <c r="C613" s="52" cm="1">
        <f t="array" ref="C613">(W613*Settings!$C$29)+(X613*Settings!$C$21)+(Y613*Settings!$C$22)+(AA613*Settings!$C$24)+(AB613*Settings!$C$25)+(Z613*Settings!$C$23)+(AC613*Settings!$C$26)+(AD613*Settings!$C$28)</f>
        <v>0.44090306269764024</v>
      </c>
      <c r="D613" s="57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 cm="1">
        <f t="array" ref="W613">(VLOOKUP($A613,'The List'!$B1:$AR671,35,FALSE)-AVERAGE('The List'!AJ2:AJ671))/STDEV('The List'!AJ2:AJ671)</f>
        <v>0.41906208742386852</v>
      </c>
      <c r="X613" s="55" cm="1">
        <f t="array" ref="X613">(VLOOKUP($A613,'The List'!$B1:$AR671,36,FALSE)-AVERAGE('The List'!AK2:AK671))/STDEV('The List'!AK2:AK671)</f>
        <v>0.46650652657701841</v>
      </c>
      <c r="Y613" s="55" cm="1">
        <f t="array" ref="Y613">(VLOOKUP($A613,'The List'!$B1:$AR671,37,FALSE)-AVERAGE('The List'!AL2:AL671))/STDEV('The List'!AL2:AL671)*-1</f>
        <v>-0.28038532809565914</v>
      </c>
      <c r="Z613" s="55" cm="1">
        <f t="array" ref="Z613">(VLOOKUP($A613,'The List'!$B1:$AR671,38,FALSE)-AVERAGE('The List'!AM2:AM671))/STDEV('The List'!AM2:AM671)</f>
        <v>0.26985555063234395</v>
      </c>
      <c r="AA613" s="55" cm="1">
        <f t="array" ref="AA613">(VLOOKUP($A613,'The List'!$B1:$AR671,39,FALSE)-AVERAGE('The List'!AN2:AN671))/STDEV('The List'!AN2:AN671)</f>
        <v>0.1545168632025567</v>
      </c>
      <c r="AB613" s="55" cm="1">
        <f t="array" ref="AB613">(VLOOKUP($A613,'The List'!$B1:$AR671,40,FALSE)-AVERAGE('The List'!AO2:AO671))/STDEV('The List'!AO2:AO671)</f>
        <v>0.30664318145458197</v>
      </c>
      <c r="AC613" s="55" cm="1">
        <f t="array" ref="AC613">(VLOOKUP($A613,'The List'!$B1:$AR671,42,FALSE)-AVERAGE('The List'!AQ2:AQ671))/STDEV('The List'!AQ2:AQ671)</f>
        <v>-0.18885685382428857</v>
      </c>
      <c r="AD613" s="55" cm="1">
        <f t="array" ref="AD613">(VLOOKUP($A613,'The List'!$B1:$AR671,43,FALSE)-AVERAGE('The List'!AR2:AR671))/STDEV('The List'!AR2:AR671)*-1</f>
        <v>8.736526742353621E-3</v>
      </c>
      <c r="AE613" s="55"/>
    </row>
    <row r="614" spans="1:31" ht="21.25" customHeight="1" x14ac:dyDescent="0.15">
      <c r="A614" s="10" t="s">
        <v>449</v>
      </c>
      <c r="B614" s="18" t="str" cm="1">
        <f t="array" ref="B614">VLOOKUP(A614,'Player Data'!A1:B673,2,FALSE)</f>
        <v>BUF</v>
      </c>
      <c r="C614" s="52" cm="1">
        <f t="array" ref="C614">(W614*Settings!$C$29)+(X614*Settings!$C$21)+(Y614*Settings!$C$22)+(AA614*Settings!$C$24)+(AB614*Settings!$C$25)+(Z614*Settings!$C$23)+(AC614*Settings!$C$26)+(AD614*Settings!$C$28)</f>
        <v>-0.75042631972709206</v>
      </c>
      <c r="D614" s="57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 cm="1">
        <f t="array" ref="W614">(VLOOKUP($A614,'The List'!$B1:$AR671,35,FALSE)-AVERAGE('The List'!AJ2:AJ671))/STDEV('The List'!AJ2:AJ671)</f>
        <v>-0.46028130913769166</v>
      </c>
      <c r="X614" s="55" cm="1">
        <f t="array" ref="X614">(VLOOKUP($A614,'The List'!$B1:$AR671,36,FALSE)-AVERAGE('The List'!AK2:AK671))/STDEV('The List'!AK2:AK671)</f>
        <v>-0.32556008232827871</v>
      </c>
      <c r="Y614" s="55" cm="1">
        <f t="array" ref="Y614">(VLOOKUP($A614,'The List'!$B1:$AR671,37,FALSE)-AVERAGE('The List'!AL2:AL671))/STDEV('The List'!AL2:AL671)*-1</f>
        <v>0.50418076221627972</v>
      </c>
      <c r="Z614" s="55" cm="1">
        <f t="array" ref="Z614">(VLOOKUP($A614,'The List'!$B1:$AR671,38,FALSE)-AVERAGE('The List'!AM2:AM671))/STDEV('The List'!AM2:AM671)</f>
        <v>-0.50781447895730369</v>
      </c>
      <c r="AA614" s="55" cm="1">
        <f t="array" ref="AA614">(VLOOKUP($A614,'The List'!$B1:$AR671,39,FALSE)-AVERAGE('The List'!AN2:AN671))/STDEV('The List'!AN2:AN671)</f>
        <v>-0.39487642818431157</v>
      </c>
      <c r="AB614" s="55" cm="1">
        <f t="array" ref="AB614">(VLOOKUP($A614,'The List'!$B1:$AR671,40,FALSE)-AVERAGE('The List'!AO2:AO671))/STDEV('The List'!AO2:AO671)</f>
        <v>-0.40763994335313819</v>
      </c>
      <c r="AC614" s="55" cm="1">
        <f t="array" ref="AC614">(VLOOKUP($A614,'The List'!$B1:$AR671,42,FALSE)-AVERAGE('The List'!AQ2:AQ671))/STDEV('The List'!AQ2:AQ671)</f>
        <v>7.6857687094353061E-2</v>
      </c>
      <c r="AD614" s="55" cm="1">
        <f t="array" ref="AD614">(VLOOKUP($A614,'The List'!$B1:$AR671,43,FALSE)-AVERAGE('The List'!AR2:AR671))/STDEV('The List'!AR2:AR671)*-1</f>
        <v>-0.10684749630885484</v>
      </c>
      <c r="AE614" s="55"/>
    </row>
    <row r="615" spans="1:31" ht="21.25" customHeight="1" x14ac:dyDescent="0.15">
      <c r="A615" s="10" t="s">
        <v>396</v>
      </c>
      <c r="B615" s="18" t="str" cm="1">
        <f t="array" ref="B615">VLOOKUP(A615,'Player Data'!A1:B673,2,FALSE)</f>
        <v>CAR</v>
      </c>
      <c r="C615" s="52" cm="1">
        <f t="array" ref="C615">(W615*Settings!$C$29)+(X615*Settings!$C$21)+(Y615*Settings!$C$22)+(AA615*Settings!$C$24)+(AB615*Settings!$C$25)+(Z615*Settings!$C$23)+(AC615*Settings!$C$26)+(AD615*Settings!$C$28)</f>
        <v>2.0381852591236749</v>
      </c>
      <c r="D615" s="57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 cm="1">
        <f t="array" ref="W615">(VLOOKUP($A615,'The List'!$B1:$AR671,35,FALSE)-AVERAGE('The List'!AJ2:AJ671))/STDEV('The List'!AJ2:AJ671)</f>
        <v>-2.0609610856911566E-2</v>
      </c>
      <c r="X615" s="55" cm="1">
        <f t="array" ref="X615">(VLOOKUP($A615,'The List'!$B1:$AR671,36,FALSE)-AVERAGE('The List'!AK2:AK671))/STDEV('The List'!AK2:AK671)</f>
        <v>0.4969706269195292</v>
      </c>
      <c r="Y615" s="55" cm="1">
        <f t="array" ref="Y615">(VLOOKUP($A615,'The List'!$B1:$AR671,37,FALSE)-AVERAGE('The List'!AL2:AL671))/STDEV('The List'!AL2:AL671)*-1</f>
        <v>0.54776776723360943</v>
      </c>
      <c r="Z615" s="55" cm="1">
        <f t="array" ref="Z615">(VLOOKUP($A615,'The List'!$B1:$AR671,38,FALSE)-AVERAGE('The List'!AM2:AM671))/STDEV('The List'!AM2:AM671)</f>
        <v>-0.6374261505555785</v>
      </c>
      <c r="AA615" s="55" cm="1">
        <f t="array" ref="AA615">(VLOOKUP($A615,'The List'!$B1:$AR671,39,FALSE)-AVERAGE('The List'!AN2:AN671))/STDEV('The List'!AN2:AN671)</f>
        <v>0.75884948372811212</v>
      </c>
      <c r="AB615" s="55" cm="1">
        <f t="array" ref="AB615">(VLOOKUP($A615,'The List'!$B1:$AR671,40,FALSE)-AVERAGE('The List'!AO2:AO671))/STDEV('The List'!AO2:AO671)</f>
        <v>-0.29218469688637305</v>
      </c>
      <c r="AC615" s="55" cm="1">
        <f t="array" ref="AC615">(VLOOKUP($A615,'The List'!$B1:$AR671,42,FALSE)-AVERAGE('The List'!AQ2:AQ671))/STDEV('The List'!AQ2:AQ671)</f>
        <v>-0.26662758572719591</v>
      </c>
      <c r="AD615" s="55" cm="1">
        <f t="array" ref="AD615">(VLOOKUP($A615,'The List'!$B1:$AR671,43,FALSE)-AVERAGE('The List'!AR2:AR671))/STDEV('The List'!AR2:AR671)*-1</f>
        <v>1.0489927342032297</v>
      </c>
      <c r="AE615" s="55"/>
    </row>
    <row r="616" spans="1:31" ht="21.25" customHeight="1" x14ac:dyDescent="0.15">
      <c r="A616" s="10" t="s">
        <v>428</v>
      </c>
      <c r="B616" s="18" t="str" cm="1">
        <f t="array" ref="B616">VLOOKUP(A616,'Player Data'!A1:B673,2,FALSE)</f>
        <v>CAR</v>
      </c>
      <c r="C616" s="52" cm="1">
        <f t="array" ref="C616">(W616*Settings!$C$29)+(X616*Settings!$C$21)+(Y616*Settings!$C$22)+(AA616*Settings!$C$24)+(AB616*Settings!$C$25)+(Z616*Settings!$C$23)+(AC616*Settings!$C$26)+(AD616*Settings!$C$28)</f>
        <v>1.1994076799796594</v>
      </c>
      <c r="D616" s="57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 cm="1">
        <f t="array" ref="W616">(VLOOKUP($A616,'The List'!$B1:$AR671,35,FALSE)-AVERAGE('The List'!AJ2:AJ671))/STDEV('The List'!AJ2:AJ671)</f>
        <v>-2.0609610856911566E-2</v>
      </c>
      <c r="X616" s="55" cm="1">
        <f t="array" ref="X616">(VLOOKUP($A616,'The List'!$B1:$AR671,36,FALSE)-AVERAGE('The List'!AK2:AK671))/STDEV('The List'!AK2:AK671)</f>
        <v>0.4969706269195292</v>
      </c>
      <c r="Y616" s="55" cm="1">
        <f t="array" ref="Y616">(VLOOKUP($A616,'The List'!$B1:$AR671,37,FALSE)-AVERAGE('The List'!AL2:AL671))/STDEV('The List'!AL2:AL671)*-1</f>
        <v>0.54776776723360943</v>
      </c>
      <c r="Z616" s="55" cm="1">
        <f t="array" ref="Z616">(VLOOKUP($A616,'The List'!$B1:$AR671,38,FALSE)-AVERAGE('The List'!AM2:AM671))/STDEV('The List'!AM2:AM671)</f>
        <v>-0.6374261505555785</v>
      </c>
      <c r="AA616" s="55" cm="1">
        <f t="array" ref="AA616">(VLOOKUP($A616,'The List'!$B1:$AR671,39,FALSE)-AVERAGE('The List'!AN2:AN671))/STDEV('The List'!AN2:AN671)</f>
        <v>0.31933485061861705</v>
      </c>
      <c r="AB616" s="55" cm="1">
        <f t="array" ref="AB616">(VLOOKUP($A616,'The List'!$B1:$AR671,40,FALSE)-AVERAGE('The List'!AO2:AO671))/STDEV('The List'!AO2:AO671)</f>
        <v>-0.34144560204552621</v>
      </c>
      <c r="AC616" s="55" cm="1">
        <f t="array" ref="AC616">(VLOOKUP($A616,'The List'!$B1:$AR671,42,FALSE)-AVERAGE('The List'!AQ2:AQ671))/STDEV('The List'!AQ2:AQ671)</f>
        <v>-0.60809852023611111</v>
      </c>
      <c r="AD616" s="55" cm="1">
        <f t="array" ref="AD616">(VLOOKUP($A616,'The List'!$B1:$AR671,43,FALSE)-AVERAGE('The List'!AR2:AR671))/STDEV('The List'!AR2:AR671)*-1</f>
        <v>0.99120072267762427</v>
      </c>
      <c r="AE616" s="55"/>
    </row>
    <row r="617" spans="1:31" ht="21.25" customHeight="1" x14ac:dyDescent="0.15">
      <c r="A617" s="10" t="s">
        <v>170</v>
      </c>
      <c r="B617" s="18" t="str" cm="1">
        <f t="array" ref="B617">VLOOKUP(A617,'Player Data'!A1:B673,2,FALSE)</f>
        <v>CBJ</v>
      </c>
      <c r="C617" s="52" cm="1">
        <f t="array" ref="C617">(W617*Settings!$C$29)+(X617*Settings!$C$21)+(Y617*Settings!$C$22)+(AA617*Settings!$C$24)+(AB617*Settings!$C$25)+(Z617*Settings!$C$23)+(AC617*Settings!$C$26)+(AD617*Settings!$C$28)</f>
        <v>5.288217767424471</v>
      </c>
      <c r="D617" s="57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 cm="1">
        <f t="array" ref="W617">(VLOOKUP($A617,'The List'!$B1:$AR671,35,FALSE)-AVERAGE('The List'!AJ2:AJ671))/STDEV('The List'!AJ2:AJ671)</f>
        <v>1.2984054839854287</v>
      </c>
      <c r="X617" s="55" cm="1">
        <f t="array" ref="X617">(VLOOKUP($A617,'The List'!$B1:$AR671,36,FALSE)-AVERAGE('The List'!AK2:AK671))/STDEV('The List'!AK2:AK671)</f>
        <v>1.3423494114242216</v>
      </c>
      <c r="Y617" s="55" cm="1">
        <f t="array" ref="Y617">(VLOOKUP($A617,'The List'!$B1:$AR671,37,FALSE)-AVERAGE('The List'!AL2:AL671))/STDEV('The List'!AL2:AL671)*-1</f>
        <v>-0.94508715460994119</v>
      </c>
      <c r="Z617" s="55" cm="1">
        <f t="array" ref="Z617">(VLOOKUP($A617,'The List'!$B1:$AR671,38,FALSE)-AVERAGE('The List'!AM2:AM671))/STDEV('The List'!AM2:AM671)</f>
        <v>1.0475255802219923</v>
      </c>
      <c r="AA617" s="55" cm="1">
        <f t="array" ref="AA617">(VLOOKUP($A617,'The List'!$B1:$AR671,39,FALSE)-AVERAGE('The List'!AN2:AN671))/STDEV('The List'!AN2:AN671)</f>
        <v>1.3082427751149799</v>
      </c>
      <c r="AB617" s="55" cm="1">
        <f t="array" ref="AB617">(VLOOKUP($A617,'The List'!$B1:$AR671,40,FALSE)-AVERAGE('The List'!AO2:AO671))/STDEV('The List'!AO2:AO671)</f>
        <v>1.3395827865105738</v>
      </c>
      <c r="AC617" s="55" cm="1">
        <f t="array" ref="AC617">(VLOOKUP($A617,'The List'!$B1:$AR671,42,FALSE)-AVERAGE('The List'!AQ2:AQ671))/STDEV('The List'!AQ2:AQ671)</f>
        <v>1.6464248582076453</v>
      </c>
      <c r="AD617" s="55" cm="1">
        <f t="array" ref="AD617">(VLOOKUP($A617,'The List'!$B1:$AR671,43,FALSE)-AVERAGE('The List'!AR2:AR671))/STDEV('The List'!AR2:AR671)*-1</f>
        <v>0.99120072267762427</v>
      </c>
      <c r="AE617" s="55"/>
    </row>
    <row r="618" spans="1:31" ht="21.25" customHeight="1" x14ac:dyDescent="0.15">
      <c r="A618" s="10" t="s">
        <v>659</v>
      </c>
      <c r="B618" s="18" t="str" cm="1">
        <f t="array" ref="B618">VLOOKUP(A618,'Player Data'!A1:B673,2,FALSE)</f>
        <v>CBJ</v>
      </c>
      <c r="C618" s="52" cm="1">
        <f t="array" ref="C618">(W618*Settings!$C$29)+(X618*Settings!$C$21)+(Y618*Settings!$C$22)+(AA618*Settings!$C$24)+(AB618*Settings!$C$25)+(Z618*Settings!$C$23)+(AC618*Settings!$C$26)+(AD618*Settings!$C$28)</f>
        <v>-3.9292157303871766</v>
      </c>
      <c r="D618" s="57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 cm="1">
        <f t="array" ref="W618">(VLOOKUP($A618,'The List'!$B1:$AR671,35,FALSE)-AVERAGE('The List'!AJ2:AJ671))/STDEV('The List'!AJ2:AJ671)</f>
        <v>-1.3396247056992518</v>
      </c>
      <c r="X618" s="55" cm="1">
        <f t="array" ref="X618">(VLOOKUP($A618,'The List'!$B1:$AR671,36,FALSE)-AVERAGE('The List'!AK2:AK671))/STDEV('The List'!AK2:AK671)</f>
        <v>-1.231867067517993</v>
      </c>
      <c r="Y618" s="55" cm="1">
        <f t="array" ref="Y618">(VLOOKUP($A618,'The List'!$B1:$AR671,37,FALSE)-AVERAGE('The List'!AL2:AL671))/STDEV('The List'!AL2:AL671)*-1</f>
        <v>1.1797793399848944</v>
      </c>
      <c r="Z618" s="55" cm="1">
        <f t="array" ref="Z618">(VLOOKUP($A618,'The List'!$B1:$AR671,38,FALSE)-AVERAGE('The List'!AM2:AM671))/STDEV('The List'!AM2:AM671)</f>
        <v>-1.1234699190491086</v>
      </c>
      <c r="AA618" s="55" cm="1">
        <f t="array" ref="AA618">(VLOOKUP($A618,'The List'!$B1:$AR671,39,FALSE)-AVERAGE('The List'!AN2:AN671))/STDEV('The List'!AN2:AN671)</f>
        <v>-0.94426971957117978</v>
      </c>
      <c r="AB618" s="55" cm="1">
        <f t="array" ref="AB618">(VLOOKUP($A618,'The List'!$B1:$AR671,40,FALSE)-AVERAGE('The List'!AO2:AO671))/STDEV('The List'!AO2:AO671)</f>
        <v>-1.351294157808165</v>
      </c>
      <c r="AC618" s="55" cm="1">
        <f t="array" ref="AC618">(VLOOKUP($A618,'The List'!$B1:$AR671,42,FALSE)-AVERAGE('The List'!AQ2:AQ671))/STDEV('The List'!AQ2:AQ671)</f>
        <v>-1.4150634008867315</v>
      </c>
      <c r="AD618" s="55" cm="1">
        <f t="array" ref="AD618">(VLOOKUP($A618,'The List'!$B1:$AR671,43,FALSE)-AVERAGE('The List'!AR2:AR671))/STDEV('The List'!AR2:AR671)*-1</f>
        <v>-0.33801554241127174</v>
      </c>
      <c r="AE618" s="55"/>
    </row>
    <row r="619" spans="1:31" ht="21.25" customHeight="1" x14ac:dyDescent="0.15">
      <c r="A619" s="10" t="s">
        <v>202</v>
      </c>
      <c r="B619" s="18" t="str" cm="1">
        <f t="array" ref="B619">VLOOKUP(A619,'Player Data'!A1:B673,2,FALSE)</f>
        <v>CGY</v>
      </c>
      <c r="C619" s="52" cm="1">
        <f t="array" ref="C619">(W619*Settings!$C$29)+(X619*Settings!$C$21)+(Y619*Settings!$C$22)+(AA619*Settings!$C$24)+(AB619*Settings!$C$25)+(Z619*Settings!$C$23)+(AC619*Settings!$C$26)+(AD619*Settings!$C$28)</f>
        <v>0.37234967081110837</v>
      </c>
      <c r="D619" s="57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 cm="1">
        <f t="array" ref="W619">(VLOOKUP($A619,'The List'!$B1:$AR671,35,FALSE)-AVERAGE('The List'!AJ2:AJ671))/STDEV('The List'!AJ2:AJ671)</f>
        <v>1.2984054839854287</v>
      </c>
      <c r="X619" s="55" cm="1">
        <f t="array" ref="X619">(VLOOKUP($A619,'The List'!$B1:$AR671,36,FALSE)-AVERAGE('The List'!AK2:AK671))/STDEV('The List'!AK2:AK671)</f>
        <v>-8.1847279588187202E-2</v>
      </c>
      <c r="Y619" s="55" cm="1">
        <f t="array" ref="Y619">(VLOOKUP($A619,'The List'!$B1:$AR671,37,FALSE)-AVERAGE('The List'!AL2:AL671))/STDEV('The List'!AL2:AL671)*-1</f>
        <v>-2.5033225839794877</v>
      </c>
      <c r="Z619" s="55" cm="1">
        <f t="array" ref="Z619">(VLOOKUP($A619,'The List'!$B1:$AR671,38,FALSE)-AVERAGE('The List'!AM2:AM671))/STDEV('The List'!AM2:AM671)</f>
        <v>2.4732539678030143</v>
      </c>
      <c r="AA619" s="55" cm="1">
        <f t="array" ref="AA619">(VLOOKUP($A619,'The List'!$B1:$AR671,39,FALSE)-AVERAGE('The List'!AN2:AN671))/STDEV('The List'!AN2:AN671)</f>
        <v>9.9577534063870071E-2</v>
      </c>
      <c r="AB619" s="55" cm="1">
        <f t="array" ref="AB619">(VLOOKUP($A619,'The List'!$B1:$AR671,40,FALSE)-AVERAGE('The List'!AO2:AO671))/STDEV('The List'!AO2:AO671)</f>
        <v>1.6274512010343749</v>
      </c>
      <c r="AC619" s="55" cm="1">
        <f t="array" ref="AC619">(VLOOKUP($A619,'The List'!$B1:$AR671,42,FALSE)-AVERAGE('The List'!AQ2:AQ671))/STDEV('The List'!AQ2:AQ671)</f>
        <v>1.0393870279003228</v>
      </c>
      <c r="AD619" s="55" cm="1">
        <f t="array" ref="AD619">(VLOOKUP($A619,'The List'!$B1:$AR671,43,FALSE)-AVERAGE('The List'!AR2:AR671))/STDEV('The List'!AR2:AR671)*-1</f>
        <v>-0.68476761156489718</v>
      </c>
      <c r="AE619" s="55"/>
    </row>
    <row r="620" spans="1:31" ht="21.25" customHeight="1" x14ac:dyDescent="0.15">
      <c r="A620" s="10" t="s">
        <v>635</v>
      </c>
      <c r="B620" s="18" t="str" cm="1">
        <f t="array" ref="B620">VLOOKUP(A620,'Player Data'!A1:B673,2,FALSE)</f>
        <v>CGY</v>
      </c>
      <c r="C620" s="52" cm="1">
        <f t="array" ref="C620">(W620*Settings!$C$29)+(X620*Settings!$C$21)+(Y620*Settings!$C$22)+(AA620*Settings!$C$24)+(AB620*Settings!$C$25)+(Z620*Settings!$C$23)+(AC620*Settings!$C$26)+(AD620*Settings!$C$28)</f>
        <v>-5.0525297096037898</v>
      </c>
      <c r="D620" s="57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 cm="1">
        <f t="array" ref="W620">(VLOOKUP($A620,'The List'!$B1:$AR671,35,FALSE)-AVERAGE('The List'!AJ2:AJ671))/STDEV('The List'!AJ2:AJ671)</f>
        <v>-1.3396247056992518</v>
      </c>
      <c r="X620" s="55" cm="1">
        <f t="array" ref="X620">(VLOOKUP($A620,'The List'!$B1:$AR671,36,FALSE)-AVERAGE('The List'!AK2:AK671))/STDEV('The List'!AK2:AK671)</f>
        <v>-1.803068948940082</v>
      </c>
      <c r="Y620" s="55" cm="1">
        <f t="array" ref="Y620">(VLOOKUP($A620,'The List'!$B1:$AR671,37,FALSE)-AVERAGE('The List'!AL2:AL671))/STDEV('The List'!AL2:AL671)*-1</f>
        <v>0.52597426472494502</v>
      </c>
      <c r="Z620" s="55" cm="1">
        <f t="array" ref="Z620">(VLOOKUP($A620,'The List'!$B1:$AR671,38,FALSE)-AVERAGE('The List'!AM2:AM671))/STDEV('The List'!AM2:AM671)</f>
        <v>-0.6374261505555785</v>
      </c>
      <c r="AA620" s="55" cm="1">
        <f t="array" ref="AA620">(VLOOKUP($A620,'The List'!$B1:$AR671,39,FALSE)-AVERAGE('The List'!AN2:AN671))/STDEV('The List'!AN2:AN671)</f>
        <v>-1.493663010958048</v>
      </c>
      <c r="AB620" s="55" cm="1">
        <f t="array" ref="AB620">(VLOOKUP($A620,'The List'!$B1:$AR671,40,FALSE)-AVERAGE('The List'!AO2:AO671))/STDEV('The List'!AO2:AO671)</f>
        <v>-1.1126866484435172</v>
      </c>
      <c r="AC620" s="55" cm="1">
        <f t="array" ref="AC620">(VLOOKUP($A620,'The List'!$B1:$AR671,42,FALSE)-AVERAGE('The List'!AQ2:AQ671))/STDEV('The List'!AQ2:AQ671)</f>
        <v>-0.37752599983351459</v>
      </c>
      <c r="AD620" s="55" cm="1">
        <f t="array" ref="AD620">(VLOOKUP($A620,'The List'!$B1:$AR671,43,FALSE)-AVERAGE('The List'!AR2:AR671))/STDEV('The List'!AR2:AR671)*-1</f>
        <v>-1.3782717498721453</v>
      </c>
      <c r="AE620" s="55"/>
    </row>
    <row r="621" spans="1:31" ht="21.25" customHeight="1" x14ac:dyDescent="0.15">
      <c r="A621" s="10" t="s">
        <v>196</v>
      </c>
      <c r="B621" s="18" t="str" cm="1">
        <f t="array" ref="B621">VLOOKUP(A621,'Player Data'!A1:B673,2,FALSE)</f>
        <v>CHI</v>
      </c>
      <c r="C621" s="52" cm="1">
        <f t="array" ref="C621">(W621*Settings!$C$29)+(X621*Settings!$C$21)+(Y621*Settings!$C$22)+(AA621*Settings!$C$24)+(AB621*Settings!$C$25)+(Z621*Settings!$C$23)+(AC621*Settings!$C$26)+(AD621*Settings!$C$28)</f>
        <v>-0.90742921711536095</v>
      </c>
      <c r="D621" s="57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 cm="1">
        <f t="array" ref="W621">(VLOOKUP($A621,'The List'!$B1:$AR671,35,FALSE)-AVERAGE('The List'!AJ2:AJ671))/STDEV('The List'!AJ2:AJ671)</f>
        <v>1.2984054839854287</v>
      </c>
      <c r="X621" s="55" cm="1">
        <f t="array" ref="X621">(VLOOKUP($A621,'The List'!$B1:$AR671,36,FALSE)-AVERAGE('The List'!AK2:AK671))/STDEV('The List'!AK2:AK671)</f>
        <v>0.16948154823753173</v>
      </c>
      <c r="Y621" s="55" cm="1">
        <f t="array" ref="Y621">(VLOOKUP($A621,'The List'!$B1:$AR671,37,FALSE)-AVERAGE('The List'!AL2:AL671))/STDEV('The List'!AL2:AL671)*-1</f>
        <v>-2.2635940563841719</v>
      </c>
      <c r="Z621" s="55" cm="1">
        <f t="array" ref="Z621">(VLOOKUP($A621,'The List'!$B1:$AR671,38,FALSE)-AVERAGE('The List'!AM2:AM671))/STDEV('The List'!AM2:AM671)</f>
        <v>2.1168218709077586</v>
      </c>
      <c r="AA621" s="55" cm="1">
        <f t="array" ref="AA621">(VLOOKUP($A621,'The List'!$B1:$AR671,39,FALSE)-AVERAGE('The List'!AN2:AN671))/STDEV('The List'!AN2:AN671)</f>
        <v>-0.50475508646168532</v>
      </c>
      <c r="AB621" s="55" cm="1">
        <f t="array" ref="AB621">(VLOOKUP($A621,'The List'!$B1:$AR671,40,FALSE)-AVERAGE('The List'!AO2:AO671))/STDEV('The List'!AO2:AO671)</f>
        <v>1.7798521263705047</v>
      </c>
      <c r="AC621" s="55" cm="1">
        <f t="array" ref="AC621">(VLOOKUP($A621,'The List'!$B1:$AR671,42,FALSE)-AVERAGE('The List'!AQ2:AQ671))/STDEV('The List'!AQ2:AQ671)</f>
        <v>0.86390808250654361</v>
      </c>
      <c r="AD621" s="55" cm="1">
        <f t="array" ref="AD621">(VLOOKUP($A621,'The List'!$B1:$AR671,43,FALSE)-AVERAGE('The List'!AR2:AR671))/STDEV('The List'!AR2:AR671)*-1</f>
        <v>-1.4360637613977509</v>
      </c>
      <c r="AE621" s="55"/>
    </row>
    <row r="622" spans="1:31" ht="21.25" customHeight="1" x14ac:dyDescent="0.15">
      <c r="A622" s="10" t="s">
        <v>662</v>
      </c>
      <c r="B622" s="18" t="str" cm="1">
        <f t="array" ref="B622">VLOOKUP(A622,'Player Data'!A1:B673,2,FALSE)</f>
        <v>CHI</v>
      </c>
      <c r="C622" s="52" cm="1">
        <f t="array" ref="C622">(W622*Settings!$C$29)+(X622*Settings!$C$21)+(Y622*Settings!$C$22)+(AA622*Settings!$C$24)+(AB622*Settings!$C$25)+(Z622*Settings!$C$23)+(AC622*Settings!$C$26)+(AD622*Settings!$C$28)</f>
        <v>-7.4320291691413827</v>
      </c>
      <c r="D622" s="57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 cm="1">
        <f t="array" ref="W622">(VLOOKUP($A622,'The List'!$B1:$AR671,35,FALSE)-AVERAGE('The List'!AJ2:AJ671))/STDEV('The List'!AJ2:AJ671)</f>
        <v>-1.3396247056992518</v>
      </c>
      <c r="X622" s="55" cm="1">
        <f t="array" ref="X622">(VLOOKUP($A622,'The List'!$B1:$AR671,36,FALSE)-AVERAGE('The List'!AK2:AK671))/STDEV('The List'!AK2:AK671)</f>
        <v>-1.6888285726556642</v>
      </c>
      <c r="Y622" s="55" cm="1">
        <f t="array" ref="Y622">(VLOOKUP($A622,'The List'!$B1:$AR671,37,FALSE)-AVERAGE('The List'!AL2:AL671))/STDEV('The List'!AL2:AL671)*-1</f>
        <v>0.6894255335399323</v>
      </c>
      <c r="Z622" s="55" cm="1">
        <f t="array" ref="Z622">(VLOOKUP($A622,'The List'!$B1:$AR671,38,FALSE)-AVERAGE('The List'!AM2:AM671))/STDEV('The List'!AM2:AM671)</f>
        <v>-0.6374261505555785</v>
      </c>
      <c r="AA622" s="55" cm="1">
        <f t="array" ref="AA622">(VLOOKUP($A622,'The List'!$B1:$AR671,39,FALSE)-AVERAGE('The List'!AN2:AN671))/STDEV('The List'!AN2:AN671)</f>
        <v>-1.7683596566514821</v>
      </c>
      <c r="AB622" s="55" cm="1">
        <f t="array" ref="AB622">(VLOOKUP($A622,'The List'!$B1:$AR671,40,FALSE)-AVERAGE('The List'!AO2:AO671))/STDEV('The List'!AO2:AO671)</f>
        <v>-1.1280806813057525</v>
      </c>
      <c r="AC622" s="55" cm="1">
        <f t="array" ref="AC622">(VLOOKUP($A622,'The List'!$B1:$AR671,42,FALSE)-AVERAGE('The List'!AQ2:AQ671))/STDEV('The List'!AQ2:AQ671)</f>
        <v>-1.4985209709756122</v>
      </c>
      <c r="AD622" s="55" cm="1">
        <f t="array" ref="AD622">(VLOOKUP($A622,'The List'!$B1:$AR671,43,FALSE)-AVERAGE('The List'!AR2:AR671))/STDEV('The List'!AR2:AR671)*-1</f>
        <v>-2.4763199688586246</v>
      </c>
      <c r="AE622" s="55"/>
    </row>
    <row r="623" spans="1:31" ht="21.25" customHeight="1" x14ac:dyDescent="0.15">
      <c r="A623" s="10" t="s">
        <v>234</v>
      </c>
      <c r="B623" s="18" t="str" cm="1">
        <f t="array" ref="B623">VLOOKUP(A623,'Player Data'!A1:B673,2,FALSE)</f>
        <v>COL</v>
      </c>
      <c r="C623" s="52" cm="1">
        <f t="array" ref="C623">(W623*Settings!$C$29)+(X623*Settings!$C$21)+(Y623*Settings!$C$22)+(AA623*Settings!$C$24)+(AB623*Settings!$C$25)+(Z623*Settings!$C$23)+(AC623*Settings!$C$26)+(AD623*Settings!$C$28)</f>
        <v>4.9694108017542602</v>
      </c>
      <c r="D623" s="57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 cm="1">
        <f t="array" ref="W623">(VLOOKUP($A623,'The List'!$B1:$AR671,35,FALSE)-AVERAGE('The List'!AJ2:AJ671))/STDEV('The List'!AJ2:AJ671)</f>
        <v>0.41906208742386852</v>
      </c>
      <c r="X623" s="55" cm="1">
        <f t="array" ref="X623">(VLOOKUP($A623,'The List'!$B1:$AR671,36,FALSE)-AVERAGE('The List'!AK2:AK671))/STDEV('The List'!AK2:AK671)</f>
        <v>1.0148603327422234</v>
      </c>
      <c r="Y623" s="55" cm="1">
        <f t="array" ref="Y623">(VLOOKUP($A623,'The List'!$B1:$AR671,37,FALSE)-AVERAGE('The List'!AL2:AL671))/STDEV('The List'!AL2:AL671)*-1</f>
        <v>0.30803923963829516</v>
      </c>
      <c r="Z623" s="55" cm="1">
        <f t="array" ref="Z623">(VLOOKUP($A623,'The List'!$B1:$AR671,38,FALSE)-AVERAGE('The List'!AM2:AM671))/STDEV('The List'!AM2:AM671)</f>
        <v>-0.31339697155989177</v>
      </c>
      <c r="AA623" s="55" cm="1">
        <f t="array" ref="AA623">(VLOOKUP($A623,'The List'!$B1:$AR671,39,FALSE)-AVERAGE('The List'!AN2:AN671))/STDEV('The List'!AN2:AN671)</f>
        <v>1.1434247876989199</v>
      </c>
      <c r="AB623" s="55" cm="1">
        <f t="array" ref="AB623">(VLOOKUP($A623,'The List'!$B1:$AR671,40,FALSE)-AVERAGE('The List'!AO2:AO671))/STDEV('The List'!AO2:AO671)</f>
        <v>0.44518947721470009</v>
      </c>
      <c r="AC623" s="55" cm="1">
        <f t="array" ref="AC623">(VLOOKUP($A623,'The List'!$B1:$AR671,42,FALSE)-AVERAGE('The List'!AQ2:AQ671))/STDEV('The List'!AQ2:AQ671)</f>
        <v>1.5887569125330758</v>
      </c>
      <c r="AD623" s="55" cm="1">
        <f t="array" ref="AD623">(VLOOKUP($A623,'The List'!$B1:$AR671,43,FALSE)-AVERAGE('The List'!AR2:AR671))/STDEV('The List'!AR2:AR671)*-1</f>
        <v>1.2223687687800411</v>
      </c>
      <c r="AE623" s="55"/>
    </row>
    <row r="624" spans="1:31" ht="21.25" customHeight="1" x14ac:dyDescent="0.15">
      <c r="A624" s="10" t="s">
        <v>414</v>
      </c>
      <c r="B624" s="18" t="str" cm="1">
        <f t="array" ref="B624">VLOOKUP(A624,'Player Data'!A1:B673,2,FALSE)</f>
        <v>COL</v>
      </c>
      <c r="C624" s="52" cm="1">
        <f t="array" ref="C624">(W624*Settings!$C$29)+(X624*Settings!$C$21)+(Y624*Settings!$C$22)+(AA624*Settings!$C$24)+(AB624*Settings!$C$25)+(Z624*Settings!$C$23)+(AC624*Settings!$C$26)+(AD624*Settings!$C$28)</f>
        <v>2.1650984189529154</v>
      </c>
      <c r="D624" s="57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 cm="1">
        <f t="array" ref="W624">(VLOOKUP($A624,'The List'!$B1:$AR671,35,FALSE)-AVERAGE('The List'!AJ2:AJ671))/STDEV('The List'!AJ2:AJ671)</f>
        <v>-0.46028130913769166</v>
      </c>
      <c r="X624" s="55" cm="1">
        <f t="array" ref="X624">(VLOOKUP($A624,'The List'!$B1:$AR671,36,FALSE)-AVERAGE('The List'!AK2:AK671))/STDEV('The List'!AK2:AK671)</f>
        <v>0.10093732246688117</v>
      </c>
      <c r="Y624" s="55" cm="1">
        <f t="array" ref="Y624">(VLOOKUP($A624,'The List'!$B1:$AR671,37,FALSE)-AVERAGE('The List'!AL2:AL671))/STDEV('The List'!AL2:AL671)*-1</f>
        <v>0.96184431489824462</v>
      </c>
      <c r="Z624" s="55" cm="1">
        <f t="array" ref="Z624">(VLOOKUP($A624,'The List'!$B1:$AR671,38,FALSE)-AVERAGE('The List'!AM2:AM671))/STDEV('The List'!AM2:AM671)</f>
        <v>-0.96145532955126523</v>
      </c>
      <c r="AA624" s="55" cm="1">
        <f t="array" ref="AA624">(VLOOKUP($A624,'The List'!$B1:$AR671,39,FALSE)-AVERAGE('The List'!AN2:AN671))/STDEV('The List'!AN2:AN671)</f>
        <v>0.3742741797573042</v>
      </c>
      <c r="AB624" s="55" cm="1">
        <f t="array" ref="AB624">(VLOOKUP($A624,'The List'!$B1:$AR671,40,FALSE)-AVERAGE('The List'!AO2:AO671))/STDEV('The List'!AO2:AO671)</f>
        <v>-0.52617399639235041</v>
      </c>
      <c r="AC624" s="55" cm="1">
        <f t="array" ref="AC624">(VLOOKUP($A624,'The List'!$B1:$AR671,42,FALSE)-AVERAGE('The List'!AQ2:AQ671))/STDEV('The List'!AQ2:AQ671)</f>
        <v>0.58310217099989736</v>
      </c>
      <c r="AD624" s="55" cm="1">
        <f t="array" ref="AD624">(VLOOKUP($A624,'The List'!$B1:$AR671,43,FALSE)-AVERAGE('The List'!AR2:AR671))/STDEV('The List'!AR2:AR671)*-1</f>
        <v>1.1067847457288327</v>
      </c>
      <c r="AE624" s="55"/>
    </row>
    <row r="625" spans="1:31" ht="21.25" customHeight="1" x14ac:dyDescent="0.15">
      <c r="A625" s="10" t="s">
        <v>191</v>
      </c>
      <c r="B625" s="18" t="str" cm="1">
        <f t="array" ref="B625">VLOOKUP(A625,'Player Data'!A1:B673,2,FALSE)</f>
        <v>DAL</v>
      </c>
      <c r="C625" s="52" cm="1">
        <f t="array" ref="C625">(W625*Settings!$C$29)+(X625*Settings!$C$21)+(Y625*Settings!$C$22)+(AA625*Settings!$C$24)+(AB625*Settings!$C$25)+(Z625*Settings!$C$23)+(AC625*Settings!$C$26)+(AD625*Settings!$C$28)</f>
        <v>6.161597223886222</v>
      </c>
      <c r="D625" s="57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 cm="1">
        <f t="array" ref="W625">(VLOOKUP($A625,'The List'!$B1:$AR671,35,FALSE)-AVERAGE('The List'!AJ2:AJ671))/STDEV('The List'!AJ2:AJ671)</f>
        <v>1.2984054839854287</v>
      </c>
      <c r="X625" s="55" cm="1">
        <f t="array" ref="X625">(VLOOKUP($A625,'The List'!$B1:$AR671,36,FALSE)-AVERAGE('The List'!AK2:AK671))/STDEV('The List'!AK2:AK671)</f>
        <v>1.8450070670756589</v>
      </c>
      <c r="Y625" s="55" cm="1">
        <f t="array" ref="Y625">(VLOOKUP($A625,'The List'!$B1:$AR671,37,FALSE)-AVERAGE('The List'!AL2:AL671))/STDEV('The List'!AL2:AL671)*-1</f>
        <v>-0.4656300994193126</v>
      </c>
      <c r="Z625" s="55" cm="1">
        <f t="array" ref="Z625">(VLOOKUP($A625,'The List'!$B1:$AR671,38,FALSE)-AVERAGE('The List'!AM2:AM671))/STDEV('The List'!AM2:AM671)</f>
        <v>0.33466138643148163</v>
      </c>
      <c r="AA625" s="55" cm="1">
        <f t="array" ref="AA625">(VLOOKUP($A625,'The List'!$B1:$AR671,39,FALSE)-AVERAGE('The List'!AN2:AN671))/STDEV('The List'!AN2:AN671)</f>
        <v>1.9125753956405358</v>
      </c>
      <c r="AB625" s="55" cm="1">
        <f t="array" ref="AB625">(VLOOKUP($A625,'The List'!$B1:$AR671,40,FALSE)-AVERAGE('The List'!AO2:AO671))/STDEV('The List'!AO2:AO671)</f>
        <v>1.1025146804321495</v>
      </c>
      <c r="AC625" s="55" cm="1">
        <f t="array" ref="AC625">(VLOOKUP($A625,'The List'!$B1:$AR671,42,FALSE)-AVERAGE('The List'!AQ2:AQ671))/STDEV('The List'!AQ2:AQ671)</f>
        <v>1.1238539808643804</v>
      </c>
      <c r="AD625" s="55" cm="1">
        <f t="array" ref="AD625">(VLOOKUP($A625,'The List'!$B1:$AR671,43,FALSE)-AVERAGE('The List'!AR2:AR671))/STDEV('The List'!AR2:AR671)*-1</f>
        <v>1.2801607803056467</v>
      </c>
      <c r="AE625" s="55"/>
    </row>
    <row r="626" spans="1:31" ht="21.25" customHeight="1" x14ac:dyDescent="0.15">
      <c r="A626" s="10" t="s">
        <v>610</v>
      </c>
      <c r="B626" s="18" t="str" cm="1">
        <f t="array" ref="B626">VLOOKUP(A626,'Player Data'!A1:B673,2,FALSE)</f>
        <v>DAL</v>
      </c>
      <c r="C626" s="52" cm="1">
        <f t="array" ref="C626">(W626*Settings!$C$29)+(X626*Settings!$C$21)+(Y626*Settings!$C$22)+(AA626*Settings!$C$24)+(AB626*Settings!$C$25)+(Z626*Settings!$C$23)+(AC626*Settings!$C$26)+(AD626*Settings!$C$28)</f>
        <v>-1.0001945427794134</v>
      </c>
      <c r="D626" s="57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 cm="1">
        <f t="array" ref="W626">(VLOOKUP($A626,'The List'!$B1:$AR671,35,FALSE)-AVERAGE('The List'!AJ2:AJ671))/STDEV('The List'!AJ2:AJ671)</f>
        <v>-1.3396247056992518</v>
      </c>
      <c r="X626" s="55" cm="1">
        <f t="array" ref="X626">(VLOOKUP($A626,'The List'!$B1:$AR671,36,FALSE)-AVERAGE('The List'!AK2:AK671))/STDEV('The List'!AK2:AK671)</f>
        <v>-0.92722606409287922</v>
      </c>
      <c r="Y626" s="55" cm="1">
        <f t="array" ref="Y626">(VLOOKUP($A626,'The List'!$B1:$AR671,37,FALSE)-AVERAGE('The List'!AL2:AL671))/STDEV('The List'!AL2:AL671)*-1</f>
        <v>1.5066818776148687</v>
      </c>
      <c r="Z626" s="55" cm="1">
        <f t="array" ref="Z626">(VLOOKUP($A626,'The List'!$B1:$AR671,38,FALSE)-AVERAGE('The List'!AM2:AM671))/STDEV('The List'!AM2:AM671)</f>
        <v>-1.4474990980447953</v>
      </c>
      <c r="AA626" s="55" cm="1">
        <f t="array" ref="AA626">(VLOOKUP($A626,'The List'!$B1:$AR671,39,FALSE)-AVERAGE('The List'!AN2:AN671))/STDEV('The List'!AN2:AN671)</f>
        <v>-0.66957307387774567</v>
      </c>
      <c r="AB626" s="55" cm="1">
        <f t="array" ref="AB626">(VLOOKUP($A626,'The List'!$B1:$AR671,40,FALSE)-AVERAGE('The List'!AO2:AO671))/STDEV('The List'!AO2:AO671)</f>
        <v>-1.282021009928106</v>
      </c>
      <c r="AC626" s="55" cm="1">
        <f t="array" ref="AC626">(VLOOKUP($A626,'The List'!$B1:$AR671,42,FALSE)-AVERAGE('The List'!AQ2:AQ671))/STDEV('The List'!AQ2:AQ671)</f>
        <v>6.773996471841838E-2</v>
      </c>
      <c r="AD626" s="55" cm="1">
        <f t="array" ref="AD626">(VLOOKUP($A626,'The List'!$B1:$AR671,43,FALSE)-AVERAGE('The List'!AR2:AR671))/STDEV('The List'!AR2:AR671)*-1</f>
        <v>0.52886463047279297</v>
      </c>
      <c r="AE626" s="55"/>
    </row>
    <row r="627" spans="1:31" ht="21.25" customHeight="1" x14ac:dyDescent="0.15">
      <c r="A627" s="10" t="s">
        <v>206</v>
      </c>
      <c r="B627" s="18" t="str" cm="1">
        <f t="array" ref="B627">VLOOKUP(A627,'Player Data'!A1:B673,2,FALSE)</f>
        <v>DET</v>
      </c>
      <c r="C627" s="52" cm="1">
        <f t="array" ref="C627">(W627*Settings!$C$29)+(X627*Settings!$C$21)+(Y627*Settings!$C$22)+(AA627*Settings!$C$24)+(AB627*Settings!$C$25)+(Z627*Settings!$C$23)+(AC627*Settings!$C$26)+(AD627*Settings!$C$28)</f>
        <v>3.4088749988588063</v>
      </c>
      <c r="D627" s="57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 cm="1">
        <f t="array" ref="W627">(VLOOKUP($A627,'The List'!$B1:$AR671,35,FALSE)-AVERAGE('The List'!AJ2:AJ671))/STDEV('The List'!AJ2:AJ671)</f>
        <v>1.2984054839854287</v>
      </c>
      <c r="X627" s="55" cm="1">
        <f t="array" ref="X627">(VLOOKUP($A627,'The List'!$B1:$AR671,36,FALSE)-AVERAGE('The List'!AK2:AK671))/STDEV('The List'!AK2:AK671)</f>
        <v>0.92346803171468905</v>
      </c>
      <c r="Y627" s="55" cm="1">
        <f t="array" ref="Y627">(VLOOKUP($A627,'The List'!$B1:$AR671,37,FALSE)-AVERAGE('The List'!AL2:AL671))/STDEV('The List'!AL2:AL671)*-1</f>
        <v>-1.4245442098005714</v>
      </c>
      <c r="Z627" s="55" cm="1">
        <f t="array" ref="Z627">(VLOOKUP($A627,'The List'!$B1:$AR671,38,FALSE)-AVERAGE('The List'!AM2:AM671))/STDEV('The List'!AM2:AM671)</f>
        <v>1.4039576771172479</v>
      </c>
      <c r="AA627" s="55" cm="1">
        <f t="array" ref="AA627">(VLOOKUP($A627,'The List'!$B1:$AR671,39,FALSE)-AVERAGE('The List'!AN2:AN671))/STDEV('The List'!AN2:AN671)</f>
        <v>1.3082427751149799</v>
      </c>
      <c r="AB627" s="55" cm="1">
        <f t="array" ref="AB627">(VLOOKUP($A627,'The List'!$B1:$AR671,40,FALSE)-AVERAGE('The List'!AO2:AO671))/STDEV('The List'!AO2:AO671)</f>
        <v>1.3057159142136561</v>
      </c>
      <c r="AC627" s="55" cm="1">
        <f t="array" ref="AC627">(VLOOKUP($A627,'The List'!$B1:$AR671,42,FALSE)-AVERAGE('The List'!AQ2:AQ671))/STDEV('The List'!AQ2:AQ671)</f>
        <v>0.87946760765876109</v>
      </c>
      <c r="AD627" s="55" cm="1">
        <f t="array" ref="AD627">(VLOOKUP($A627,'The List'!$B1:$AR671,43,FALSE)-AVERAGE('The List'!AR2:AR671))/STDEV('The List'!AR2:AR671)*-1</f>
        <v>0.29769658437037605</v>
      </c>
      <c r="AE627" s="55"/>
    </row>
    <row r="628" spans="1:31" ht="21.25" customHeight="1" x14ac:dyDescent="0.15">
      <c r="A628" s="10" t="s">
        <v>655</v>
      </c>
      <c r="B628" s="18" t="str" cm="1">
        <f t="array" ref="B628">VLOOKUP(A628,'Player Data'!A1:B673,2,FALSE)</f>
        <v>DET</v>
      </c>
      <c r="C628" s="52" cm="1">
        <f t="array" ref="C628">(W628*Settings!$C$29)+(X628*Settings!$C$21)+(Y628*Settings!$C$22)+(AA628*Settings!$C$24)+(AB628*Settings!$C$25)+(Z628*Settings!$C$23)+(AC628*Settings!$C$26)+(AD628*Settings!$C$28)</f>
        <v>-3.8310264542219823</v>
      </c>
      <c r="D628" s="57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 cm="1">
        <f t="array" ref="W628">(VLOOKUP($A628,'The List'!$B1:$AR671,35,FALSE)-AVERAGE('The List'!AJ2:AJ671))/STDEV('The List'!AJ2:AJ671)</f>
        <v>-1.3396247056992518</v>
      </c>
      <c r="X628" s="55" cm="1">
        <f t="array" ref="X628">(VLOOKUP($A628,'The List'!$B1:$AR671,36,FALSE)-AVERAGE('The List'!AK2:AK671))/STDEV('The List'!AK2:AK671)</f>
        <v>-1.346107443802411</v>
      </c>
      <c r="Y628" s="55" cm="1">
        <f t="array" ref="Y628">(VLOOKUP($A628,'The List'!$B1:$AR671,37,FALSE)-AVERAGE('The List'!AL2:AL671))/STDEV('The List'!AL2:AL671)*-1</f>
        <v>1.0708118274415694</v>
      </c>
      <c r="Z628" s="55" cm="1">
        <f t="array" ref="Z628">(VLOOKUP($A628,'The List'!$B1:$AR671,38,FALSE)-AVERAGE('The List'!AM2:AM671))/STDEV('The List'!AM2:AM671)</f>
        <v>-0.96145532955126489</v>
      </c>
      <c r="AA628" s="55" cm="1">
        <f t="array" ref="AA628">(VLOOKUP($A628,'The List'!$B1:$AR671,39,FALSE)-AVERAGE('The List'!AN2:AN671))/STDEV('The List'!AN2:AN671)</f>
        <v>-0.94426971957117978</v>
      </c>
      <c r="AB628" s="55" cm="1">
        <f t="array" ref="AB628">(VLOOKUP($A628,'The List'!$B1:$AR671,40,FALSE)-AVERAGE('The List'!AO2:AO671))/STDEV('The List'!AO2:AO671)</f>
        <v>-1.328203108514812</v>
      </c>
      <c r="AC628" s="55" cm="1">
        <f t="array" ref="AC628">(VLOOKUP($A628,'The List'!$B1:$AR671,42,FALSE)-AVERAGE('The List'!AQ2:AQ671))/STDEV('The List'!AQ2:AQ671)</f>
        <v>-1.2026337484371197</v>
      </c>
      <c r="AD628" s="55" cm="1">
        <f t="array" ref="AD628">(VLOOKUP($A628,'The List'!$B1:$AR671,43,FALSE)-AVERAGE('The List'!AR2:AR671))/STDEV('The List'!AR2:AR671)*-1</f>
        <v>-0.33801554241127174</v>
      </c>
      <c r="AE628" s="55"/>
    </row>
    <row r="629" spans="1:31" ht="21.25" customHeight="1" x14ac:dyDescent="0.15">
      <c r="A629" s="10" t="s">
        <v>510</v>
      </c>
      <c r="B629" s="18" t="str" cm="1">
        <f t="array" ref="B629">VLOOKUP(A629,'Player Data'!A1:B673,2,FALSE)</f>
        <v>EDM</v>
      </c>
      <c r="C629" s="52" cm="1">
        <f t="array" ref="C629">(W629*Settings!$C$29)+(X629*Settings!$C$21)+(Y629*Settings!$C$22)+(AA629*Settings!$C$24)+(AB629*Settings!$C$25)+(Z629*Settings!$C$23)+(AC629*Settings!$C$26)+(AD629*Settings!$C$28)</f>
        <v>-0.3610573739256065</v>
      </c>
      <c r="D629" s="57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 cm="1">
        <f t="array" ref="W629">(VLOOKUP($A629,'The List'!$B1:$AR671,35,FALSE)-AVERAGE('The List'!AJ2:AJ671))/STDEV('The List'!AJ2:AJ671)</f>
        <v>-0.46028130913769166</v>
      </c>
      <c r="X629" s="55" cm="1">
        <f t="array" ref="X629">(VLOOKUP($A629,'The List'!$B1:$AR671,36,FALSE)-AVERAGE('The List'!AK2:AK671))/STDEV('The List'!AK2:AK671)</f>
        <v>4.7625146867485979E-2</v>
      </c>
      <c r="Y629" s="55" cm="1">
        <f t="array" ref="Y629">(VLOOKUP($A629,'The List'!$B1:$AR671,37,FALSE)-AVERAGE('The List'!AL2:AL671))/STDEV('The List'!AL2:AL671)*-1</f>
        <v>0.88556705611791686</v>
      </c>
      <c r="Z629" s="55" cm="1">
        <f t="array" ref="Z629">(VLOOKUP($A629,'The List'!$B1:$AR671,38,FALSE)-AVERAGE('The List'!AM2:AM671))/STDEV('The List'!AM2:AM671)</f>
        <v>-0.96145532955126523</v>
      </c>
      <c r="AA629" s="55" cm="1">
        <f t="array" ref="AA629">(VLOOKUP($A629,'The List'!$B1:$AR671,39,FALSE)-AVERAGE('The List'!AN2:AN671))/STDEV('The List'!AN2:AN671)</f>
        <v>-1.0301124213503682E-2</v>
      </c>
      <c r="AB629" s="55" cm="1">
        <f t="array" ref="AB629">(VLOOKUP($A629,'The List'!$B1:$AR671,40,FALSE)-AVERAGE('The List'!AO2:AO671))/STDEV('The List'!AO2:AO671)</f>
        <v>-0.65548387243512729</v>
      </c>
      <c r="AC629" s="55" cm="1">
        <f t="array" ref="AC629">(VLOOKUP($A629,'The List'!$B1:$AR671,42,FALSE)-AVERAGE('The List'!AQ2:AQ671))/STDEV('The List'!AQ2:AQ671)</f>
        <v>-0.86945401552677626</v>
      </c>
      <c r="AD629" s="55" cm="1">
        <f t="array" ref="AD629">(VLOOKUP($A629,'The List'!$B1:$AR671,43,FALSE)-AVERAGE('The List'!AR2:AR671))/STDEV('The List'!AR2:AR671)*-1</f>
        <v>0.47107261894718749</v>
      </c>
      <c r="AE629" s="55"/>
    </row>
    <row r="630" spans="1:31" ht="21.25" customHeight="1" x14ac:dyDescent="0.15">
      <c r="A630" s="10" t="s">
        <v>506</v>
      </c>
      <c r="B630" s="18" t="str" cm="1">
        <f t="array" ref="B630">VLOOKUP(A630,'Player Data'!A1:B673,2,FALSE)</f>
        <v>EDM</v>
      </c>
      <c r="C630" s="52" cm="1">
        <f t="array" ref="C630">(W630*Settings!$C$29)+(X630*Settings!$C$21)+(Y630*Settings!$C$22)+(AA630*Settings!$C$24)+(AB630*Settings!$C$25)+(Z630*Settings!$C$23)+(AC630*Settings!$C$26)+(AD630*Settings!$C$28)</f>
        <v>-1.0343114584657329</v>
      </c>
      <c r="D630" s="57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 cm="1">
        <f t="array" ref="W630">(VLOOKUP($A630,'The List'!$B1:$AR671,35,FALSE)-AVERAGE('The List'!AJ2:AJ671))/STDEV('The List'!AJ2:AJ671)</f>
        <v>-0.46028130913769166</v>
      </c>
      <c r="X630" s="55" cm="1">
        <f t="array" ref="X630">(VLOOKUP($A630,'The List'!$B1:$AR671,36,FALSE)-AVERAGE('The List'!AK2:AK671))/STDEV('The List'!AK2:AK671)</f>
        <v>-5.6870287319092097E-3</v>
      </c>
      <c r="Y630" s="55" cm="1">
        <f t="array" ref="Y630">(VLOOKUP($A630,'The List'!$B1:$AR671,37,FALSE)-AVERAGE('The List'!AL2:AL671))/STDEV('The List'!AL2:AL671)*-1</f>
        <v>0.8092897973375891</v>
      </c>
      <c r="Z630" s="55" cm="1">
        <f t="array" ref="Z630">(VLOOKUP($A630,'The List'!$B1:$AR671,38,FALSE)-AVERAGE('The List'!AM2:AM671))/STDEV('The List'!AM2:AM671)</f>
        <v>-0.96145532955126523</v>
      </c>
      <c r="AA630" s="55" cm="1">
        <f t="array" ref="AA630">(VLOOKUP($A630,'The List'!$B1:$AR671,39,FALSE)-AVERAGE('The List'!AN2:AN671))/STDEV('The List'!AN2:AN671)</f>
        <v>-0.39487642818431157</v>
      </c>
      <c r="AB630" s="55" cm="1">
        <f t="array" ref="AB630">(VLOOKUP($A630,'The List'!$B1:$AR671,40,FALSE)-AVERAGE('The List'!AO2:AO671))/STDEV('The List'!AO2:AO671)</f>
        <v>-0.60160475741730357</v>
      </c>
      <c r="AC630" s="55" cm="1">
        <f t="array" ref="AC630">(VLOOKUP($A630,'The List'!$B1:$AR671,42,FALSE)-AVERAGE('The List'!AQ2:AQ671))/STDEV('The List'!AQ2:AQ671)</f>
        <v>-0.81586056286867981</v>
      </c>
      <c r="AD630" s="55" cm="1">
        <f t="array" ref="AD630">(VLOOKUP($A630,'The List'!$B1:$AR671,43,FALSE)-AVERAGE('The List'!AR2:AR671))/STDEV('The List'!AR2:AR671)*-1</f>
        <v>0.18211256131916759</v>
      </c>
      <c r="AE630" s="55"/>
    </row>
    <row r="631" spans="1:31" ht="21.25" customHeight="1" x14ac:dyDescent="0.15">
      <c r="A631" s="10" t="s">
        <v>271</v>
      </c>
      <c r="B631" s="18" t="str" cm="1">
        <f t="array" ref="B631">VLOOKUP(A631,'Player Data'!A1:B673,2,FALSE)</f>
        <v>FLA</v>
      </c>
      <c r="C631" s="52" cm="1">
        <f t="array" ref="C631">(W631*Settings!$C$29)+(X631*Settings!$C$21)+(Y631*Settings!$C$22)+(AA631*Settings!$C$24)+(AB631*Settings!$C$25)+(Z631*Settings!$C$23)+(AC631*Settings!$C$26)+(AD631*Settings!$C$28)</f>
        <v>2.7838671640612334</v>
      </c>
      <c r="D631" s="57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 cm="1">
        <f t="array" ref="W631">(VLOOKUP($A631,'The List'!$B1:$AR671,35,FALSE)-AVERAGE('The List'!AJ2:AJ671))/STDEV('The List'!AJ2:AJ671)</f>
        <v>1.0346024650169607</v>
      </c>
      <c r="X631" s="55" cm="1">
        <f t="array" ref="X631">(VLOOKUP($A631,'The List'!$B1:$AR671,36,FALSE)-AVERAGE('The List'!AK2:AK671))/STDEV('The List'!AK2:AK671)</f>
        <v>1.3377797963728451</v>
      </c>
      <c r="Y631" s="55" cm="1">
        <f t="array" ref="Y631">(VLOOKUP($A631,'The List'!$B1:$AR671,37,FALSE)-AVERAGE('The List'!AL2:AL671))/STDEV('The List'!AL2:AL671)*-1</f>
        <v>-0.48960295217884237</v>
      </c>
      <c r="Z631" s="55" cm="1">
        <f t="array" ref="Z631">(VLOOKUP($A631,'The List'!$B1:$AR671,38,FALSE)-AVERAGE('The List'!AM2:AM671))/STDEV('The List'!AM2:AM671)</f>
        <v>0.47723422518958364</v>
      </c>
      <c r="AA631" s="55" cm="1">
        <f t="array" ref="AA631">(VLOOKUP($A631,'The List'!$B1:$AR671,39,FALSE)-AVERAGE('The List'!AN2:AN671))/STDEV('The List'!AN2:AN671)</f>
        <v>1.1104611902157075</v>
      </c>
      <c r="AB631" s="55" cm="1">
        <f t="array" ref="AB631">(VLOOKUP($A631,'The List'!$B1:$AR671,40,FALSE)-AVERAGE('The List'!AO2:AO671))/STDEV('The List'!AO2:AO671)</f>
        <v>0.72382147202115987</v>
      </c>
      <c r="AC631" s="55" cm="1">
        <f t="array" ref="AC631">(VLOOKUP($A631,'The List'!$B1:$AR671,42,FALSE)-AVERAGE('The List'!AQ2:AQ671))/STDEV('The List'!AQ2:AQ671)</f>
        <v>-0.19323845300010947</v>
      </c>
      <c r="AD631" s="55" cm="1">
        <f t="array" ref="AD631">(VLOOKUP($A631,'The List'!$B1:$AR671,43,FALSE)-AVERAGE('The List'!AR2:AR671))/STDEV('The List'!AR2:AR671)*-1</f>
        <v>0.52886463047279042</v>
      </c>
      <c r="AE631" s="55"/>
    </row>
    <row r="632" spans="1:31" ht="21.25" customHeight="1" x14ac:dyDescent="0.15">
      <c r="A632" s="10" t="s">
        <v>614</v>
      </c>
      <c r="B632" s="18" t="str" cm="1">
        <f t="array" ref="B632">VLOOKUP(A632,'Player Data'!A1:B673,2,FALSE)</f>
        <v>FLA</v>
      </c>
      <c r="C632" s="52" cm="1">
        <f t="array" ref="C632">(W632*Settings!$C$29)+(X632*Settings!$C$21)+(Y632*Settings!$C$22)+(AA632*Settings!$C$24)+(AB632*Settings!$C$25)+(Z632*Settings!$C$23)+(AC632*Settings!$C$26)+(AD632*Settings!$C$28)</f>
        <v>-1.5088523495721187</v>
      </c>
      <c r="D632" s="57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 cm="1">
        <f t="array" ref="W632">(VLOOKUP($A632,'The List'!$B1:$AR671,35,FALSE)-AVERAGE('The List'!AJ2:AJ671))/STDEV('The List'!AJ2:AJ671)</f>
        <v>-1.0758216867307837</v>
      </c>
      <c r="X632" s="55" cm="1">
        <f t="array" ref="X632">(VLOOKUP($A632,'The List'!$B1:$AR671,36,FALSE)-AVERAGE('The List'!AK2:AK671))/STDEV('The List'!AK2:AK671)</f>
        <v>-0.70940774664392214</v>
      </c>
      <c r="Y632" s="55" cm="1">
        <f t="array" ref="Y632">(VLOOKUP($A632,'The List'!$B1:$AR671,37,FALSE)-AVERAGE('The List'!AL2:AL671))/STDEV('The List'!AL2:AL671)*-1</f>
        <v>1.2364424465074237</v>
      </c>
      <c r="Z632" s="55" cm="1">
        <f t="array" ref="Z632">(VLOOKUP($A632,'The List'!$B1:$AR671,38,FALSE)-AVERAGE('The List'!AM2:AM671))/STDEV('The List'!AM2:AM671)</f>
        <v>-1.233639839907642</v>
      </c>
      <c r="AA632" s="55" cm="1">
        <f t="array" ref="AA632">(VLOOKUP($A632,'The List'!$B1:$AR671,39,FALSE)-AVERAGE('The List'!AN2:AN671))/STDEV('The List'!AN2:AN671)</f>
        <v>-0.47179148897847317</v>
      </c>
      <c r="AB632" s="55" cm="1">
        <f t="array" ref="AB632">(VLOOKUP($A632,'The List'!$B1:$AR671,40,FALSE)-AVERAGE('The List'!AO2:AO671))/STDEV('The List'!AO2:AO671)</f>
        <v>-1.1554820598005313</v>
      </c>
      <c r="AC632" s="55" cm="1">
        <f t="array" ref="AC632">(VLOOKUP($A632,'The List'!$B1:$AR671,42,FALSE)-AVERAGE('The List'!AQ2:AQ671))/STDEV('The List'!AQ2:AQ671)</f>
        <v>-0.79872573289691073</v>
      </c>
      <c r="AD632" s="55" cm="1">
        <f t="array" ref="AD632">(VLOOKUP($A632,'The List'!$B1:$AR671,43,FALSE)-AVERAGE('The List'!AR2:AR671))/STDEV('The List'!AR2:AR671)*-1</f>
        <v>0.47107261894718749</v>
      </c>
      <c r="AE632" s="55"/>
    </row>
    <row r="633" spans="1:31" ht="21.25" customHeight="1" x14ac:dyDescent="0.15">
      <c r="A633" s="10" t="s">
        <v>295</v>
      </c>
      <c r="B633" s="18" t="str" cm="1">
        <f t="array" ref="B633">VLOOKUP(A633,'Player Data'!A1:B673,2,FALSE)</f>
        <v>L.A</v>
      </c>
      <c r="C633" s="52" cm="1">
        <f t="array" ref="C633">(W633*Settings!$C$29)+(X633*Settings!$C$21)+(Y633*Settings!$C$22)+(AA633*Settings!$C$24)+(AB633*Settings!$C$25)+(Z633*Settings!$C$23)+(AC633*Settings!$C$26)+(AD633*Settings!$C$28)</f>
        <v>2.191815033172023</v>
      </c>
      <c r="D633" s="57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 cm="1">
        <f t="array" ref="W633">(VLOOKUP($A633,'The List'!$B1:$AR671,35,FALSE)-AVERAGE('The List'!AJ2:AJ671))/STDEV('The List'!AJ2:AJ671)</f>
        <v>0.41906208742386852</v>
      </c>
      <c r="X633" s="55" cm="1">
        <f t="array" ref="X633">(VLOOKUP($A633,'The List'!$B1:$AR671,36,FALSE)-AVERAGE('The List'!AK2:AK671))/STDEV('The List'!AK2:AK671)</f>
        <v>0.26087384926506618</v>
      </c>
      <c r="Y633" s="55" cm="1">
        <f t="array" ref="Y633">(VLOOKUP($A633,'The List'!$B1:$AR671,37,FALSE)-AVERAGE('The List'!AL2:AL671))/STDEV('The List'!AL2:AL671)*-1</f>
        <v>-0.4765268506736437</v>
      </c>
      <c r="Z633" s="55" cm="1">
        <f t="array" ref="Z633">(VLOOKUP($A633,'The List'!$B1:$AR671,38,FALSE)-AVERAGE('The List'!AM2:AM671))/STDEV('The List'!AM2:AM671)</f>
        <v>0.56148181172846268</v>
      </c>
      <c r="AA633" s="55" cm="1">
        <f t="array" ref="AA633">(VLOOKUP($A633,'The List'!$B1:$AR671,39,FALSE)-AVERAGE('The List'!AN2:AN671))/STDEV('The List'!AN2:AN671)</f>
        <v>0.64897082545073781</v>
      </c>
      <c r="AB633" s="55" cm="1">
        <f t="array" ref="AB633">(VLOOKUP($A633,'The List'!$B1:$AR671,40,FALSE)-AVERAGE('The List'!AO2:AO671))/STDEV('The List'!AO2:AO671)</f>
        <v>0.43133484763868829</v>
      </c>
      <c r="AC633" s="55" cm="1">
        <f t="array" ref="AC633">(VLOOKUP($A633,'The List'!$B1:$AR671,42,FALSE)-AVERAGE('The List'!AQ2:AQ671))/STDEV('The List'!AQ2:AQ671)</f>
        <v>0.81089773950903155</v>
      </c>
      <c r="AD633" s="55" cm="1">
        <f t="array" ref="AD633">(VLOOKUP($A633,'The List'!$B1:$AR671,43,FALSE)-AVERAGE('The List'!AR2:AR671))/STDEV('The List'!AR2:AR671)*-1</f>
        <v>0.47107261894718749</v>
      </c>
      <c r="AE633" s="55"/>
    </row>
    <row r="634" spans="1:31" ht="21.25" customHeight="1" x14ac:dyDescent="0.15">
      <c r="A634" s="10" t="s">
        <v>431</v>
      </c>
      <c r="B634" s="18" t="str" cm="1">
        <f t="array" ref="B634">VLOOKUP(A634,'Player Data'!A1:B673,2,FALSE)</f>
        <v>L.A</v>
      </c>
      <c r="C634" s="52" cm="1">
        <f t="array" ref="C634">(W634*Settings!$C$29)+(X634*Settings!$C$21)+(Y634*Settings!$C$22)+(AA634*Settings!$C$24)+(AB634*Settings!$C$25)+(Z634*Settings!$C$23)+(AC634*Settings!$C$26)+(AD634*Settings!$C$28)</f>
        <v>0.27440403092883425</v>
      </c>
      <c r="D634" s="57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 cm="1">
        <f t="array" ref="W634">(VLOOKUP($A634,'The List'!$B1:$AR671,35,FALSE)-AVERAGE('The List'!AJ2:AJ671))/STDEV('The List'!AJ2:AJ671)</f>
        <v>-0.46028130913769166</v>
      </c>
      <c r="X634" s="55" cm="1">
        <f t="array" ref="X634">(VLOOKUP($A634,'The List'!$B1:$AR671,36,FALSE)-AVERAGE('The List'!AK2:AK671))/STDEV('The List'!AK2:AK671)</f>
        <v>-0.53880878472585836</v>
      </c>
      <c r="Y634" s="55" cm="1">
        <f t="array" ref="Y634">(VLOOKUP($A634,'The List'!$B1:$AR671,37,FALSE)-AVERAGE('The List'!AL2:AL671))/STDEV('The List'!AL2:AL671)*-1</f>
        <v>0.27534898587529799</v>
      </c>
      <c r="Z634" s="55" cm="1">
        <f t="array" ref="Z634">(VLOOKUP($A634,'The List'!$B1:$AR671,38,FALSE)-AVERAGE('The List'!AM2:AM671))/STDEV('The List'!AM2:AM671)</f>
        <v>-0.28099405366032321</v>
      </c>
      <c r="AA634" s="55" cm="1">
        <f t="array" ref="AA634">(VLOOKUP($A634,'The List'!$B1:$AR671,39,FALSE)-AVERAGE('The List'!AN2:AN671))/STDEV('The List'!AN2:AN671)</f>
        <v>-1.0301124213503682E-2</v>
      </c>
      <c r="AB634" s="55" cm="1">
        <f t="array" ref="AB634">(VLOOKUP($A634,'The List'!$B1:$AR671,40,FALSE)-AVERAGE('The List'!AO2:AO671))/STDEV('The List'!AO2:AO671)</f>
        <v>-0.39686412034957341</v>
      </c>
      <c r="AC634" s="55" cm="1">
        <f t="array" ref="AC634">(VLOOKUP($A634,'The List'!$B1:$AR671,42,FALSE)-AVERAGE('The List'!AQ2:AQ671))/STDEV('The List'!AQ2:AQ671)</f>
        <v>0.52581735549782027</v>
      </c>
      <c r="AD634" s="55" cm="1">
        <f t="array" ref="AD634">(VLOOKUP($A634,'The List'!$B1:$AR671,43,FALSE)-AVERAGE('The List'!AR2:AR671))/STDEV('The List'!AR2:AR671)*-1</f>
        <v>0.29769658437037605</v>
      </c>
      <c r="AE634" s="55"/>
    </row>
    <row r="635" spans="1:31" ht="21.25" customHeight="1" x14ac:dyDescent="0.15">
      <c r="A635" s="10" t="s">
        <v>260</v>
      </c>
      <c r="B635" s="18" t="str" cm="1">
        <f t="array" ref="B635">VLOOKUP(A635,'Player Data'!A1:B673,2,FALSE)</f>
        <v>MIN</v>
      </c>
      <c r="C635" s="52" cm="1">
        <f t="array" ref="C635">(W635*Settings!$C$29)+(X635*Settings!$C$21)+(Y635*Settings!$C$22)+(AA635*Settings!$C$24)+(AB635*Settings!$C$25)+(Z635*Settings!$C$23)+(AC635*Settings!$C$26)+(AD635*Settings!$C$28)</f>
        <v>3.8485118976405497</v>
      </c>
      <c r="D635" s="57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 cm="1">
        <f t="array" ref="W635">(VLOOKUP($A635,'The List'!$B1:$AR671,35,FALSE)-AVERAGE('The List'!AJ2:AJ671))/STDEV('The List'!AJ2:AJ671)</f>
        <v>0.41906208742386852</v>
      </c>
      <c r="X635" s="55" cm="1">
        <f t="array" ref="X635">(VLOOKUP($A635,'The List'!$B1:$AR671,36,FALSE)-AVERAGE('The List'!AK2:AK671))/STDEV('The List'!AK2:AK671)</f>
        <v>0.78866438769907632</v>
      </c>
      <c r="Y635" s="55" cm="1">
        <f t="array" ref="Y635">(VLOOKUP($A635,'The List'!$B1:$AR671,37,FALSE)-AVERAGE('The List'!AL2:AL671))/STDEV('The List'!AL2:AL671)*-1</f>
        <v>8.2476488673612583E-2</v>
      </c>
      <c r="Z635" s="55" cm="1">
        <f t="array" ref="Z635">(VLOOKUP($A635,'The List'!$B1:$AR671,38,FALSE)-AVERAGE('The List'!AM2:AM671))/STDEV('The List'!AM2:AM671)</f>
        <v>-2.1770710463773622E-2</v>
      </c>
      <c r="AA635" s="55" cm="1">
        <f t="array" ref="AA635">(VLOOKUP($A635,'The List'!$B1:$AR671,39,FALSE)-AVERAGE('The List'!AN2:AN671))/STDEV('The List'!AN2:AN671)</f>
        <v>0.64897082545073781</v>
      </c>
      <c r="AB635" s="55" cm="1">
        <f t="array" ref="AB635">(VLOOKUP($A635,'The List'!$B1:$AR671,40,FALSE)-AVERAGE('The List'!AO2:AO671))/STDEV('The List'!AO2:AO671)</f>
        <v>0.39254188482585478</v>
      </c>
      <c r="AC635" s="55" cm="1">
        <f t="array" ref="AC635">(VLOOKUP($A635,'The List'!$B1:$AR671,42,FALSE)-AVERAGE('The List'!AQ2:AQ671))/STDEV('The List'!AQ2:AQ671)</f>
        <v>1.2816975342957324</v>
      </c>
      <c r="AD635" s="55" cm="1">
        <f t="array" ref="AD635">(VLOOKUP($A635,'The List'!$B1:$AR671,43,FALSE)-AVERAGE('The List'!AR2:AR671))/STDEV('The List'!AR2:AR671)*-1</f>
        <v>1.1291791501950035</v>
      </c>
      <c r="AE635" s="55"/>
    </row>
    <row r="636" spans="1:31" ht="21.25" customHeight="1" x14ac:dyDescent="0.15">
      <c r="A636" s="10" t="s">
        <v>424</v>
      </c>
      <c r="B636" s="18" t="str" cm="1">
        <f t="array" ref="B636">VLOOKUP(A636,'Player Data'!A1:B673,2,FALSE)</f>
        <v>MIN</v>
      </c>
      <c r="C636" s="52" cm="1">
        <f t="array" ref="C636">(W636*Settings!$C$29)+(X636*Settings!$C$21)+(Y636*Settings!$C$22)+(AA636*Settings!$C$24)+(AB636*Settings!$C$25)+(Z636*Settings!$C$23)+(AC636*Settings!$C$26)+(AD636*Settings!$C$28)</f>
        <v>0.77374028434042252</v>
      </c>
      <c r="D636" s="57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 cm="1">
        <f t="array" ref="W636">(VLOOKUP($A636,'The List'!$B1:$AR671,35,FALSE)-AVERAGE('The List'!AJ2:AJ671))/STDEV('The List'!AJ2:AJ671)</f>
        <v>-0.46028130913769166</v>
      </c>
      <c r="X636" s="55" cm="1">
        <f t="array" ref="X636">(VLOOKUP($A636,'The List'!$B1:$AR671,36,FALSE)-AVERAGE('The List'!AK2:AK671))/STDEV('The List'!AK2:AK671)</f>
        <v>-0.36287860524785481</v>
      </c>
      <c r="Y636" s="55" cm="1">
        <f t="array" ref="Y636">(VLOOKUP($A636,'The List'!$B1:$AR671,37,FALSE)-AVERAGE('The List'!AL2:AL671))/STDEV('The List'!AL2:AL671)*-1</f>
        <v>0.45078668107005104</v>
      </c>
      <c r="Z636" s="55" cm="1">
        <f t="array" ref="Z636">(VLOOKUP($A636,'The List'!$B1:$AR671,38,FALSE)-AVERAGE('The List'!AM2:AM671))/STDEV('The List'!AM2:AM671)</f>
        <v>-0.50781447895730369</v>
      </c>
      <c r="AA636" s="55" cm="1">
        <f t="array" ref="AA636">(VLOOKUP($A636,'The List'!$B1:$AR671,39,FALSE)-AVERAGE('The List'!AN2:AN671))/STDEV('The List'!AN2:AN671)</f>
        <v>-1.0301124213503682E-2</v>
      </c>
      <c r="AB636" s="55" cm="1">
        <f t="array" ref="AB636">(VLOOKUP($A636,'The List'!$B1:$AR671,40,FALSE)-AVERAGE('The List'!AO2:AO671))/STDEV('The List'!AO2:AO671)</f>
        <v>-0.43188554511115884</v>
      </c>
      <c r="AC636" s="55" cm="1">
        <f t="array" ref="AC636">(VLOOKUP($A636,'The List'!$B1:$AR671,42,FALSE)-AVERAGE('The List'!AQ2:AQ671))/STDEV('The List'!AQ2:AQ671)</f>
        <v>0.58482497670176603</v>
      </c>
      <c r="AD636" s="55" cm="1">
        <f t="array" ref="AD636">(VLOOKUP($A636,'The List'!$B1:$AR671,43,FALSE)-AVERAGE('The List'!AR2:AR671))/STDEV('The List'!AR2:AR671)*-1</f>
        <v>0.56209503710001496</v>
      </c>
      <c r="AE636" s="55"/>
    </row>
    <row r="637" spans="1:31" ht="21.25" customHeight="1" x14ac:dyDescent="0.15">
      <c r="A637" s="10" t="s">
        <v>233</v>
      </c>
      <c r="B637" s="192" t="s">
        <v>838</v>
      </c>
      <c r="C637" s="52" cm="1">
        <f t="array" ref="C637">(W637*Settings!$C$29)+(X637*Settings!$C$21)+(Y637*Settings!$C$22)+(AA637*Settings!$C$24)+(AB637*Settings!$C$25)+(Z637*Settings!$C$23)+(AC637*Settings!$C$26)+(AD637*Settings!$C$28)</f>
        <v>3.0662169211422032</v>
      </c>
      <c r="D637" s="57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 cm="1">
        <f t="array" ref="W637">(VLOOKUP($A637,'The List'!$B1:$AR671,35,FALSE)-AVERAGE('The List'!AJ2:AJ671))/STDEV('The List'!AJ2:AJ671)</f>
        <v>0.85873378570464864</v>
      </c>
      <c r="X637" s="55" cm="1">
        <f t="array" ref="X637">(VLOOKUP($A637,'The List'!$B1:$AR671,36,FALSE)-AVERAGE('The List'!AK2:AK671))/STDEV('The List'!AK2:AK671)</f>
        <v>1.0910205835985025</v>
      </c>
      <c r="Y637" s="55" cm="1">
        <f t="array" ref="Y637">(VLOOKUP($A637,'The List'!$B1:$AR671,37,FALSE)-AVERAGE('The List'!AL2:AL671))/STDEV('The List'!AL2:AL671)*-1</f>
        <v>-0.4547333481649784</v>
      </c>
      <c r="Z637" s="55" cm="1">
        <f t="array" ref="Z637">(VLOOKUP($A637,'The List'!$B1:$AR671,38,FALSE)-AVERAGE('The List'!AM2:AM671))/STDEV('The List'!AM2:AM671)</f>
        <v>0.33466138643148163</v>
      </c>
      <c r="AA637" s="55" cm="1">
        <f t="array" ref="AA637">(VLOOKUP($A637,'The List'!$B1:$AR671,39,FALSE)-AVERAGE('The List'!AN2:AN671))/STDEV('The List'!AN2:AN671)</f>
        <v>0.97860680028285907</v>
      </c>
      <c r="AB637" s="55" cm="1">
        <f t="array" ref="AB637">(VLOOKUP($A637,'The List'!$B1:$AR671,40,FALSE)-AVERAGE('The List'!AO2:AO671))/STDEV('The List'!AO2:AO671)</f>
        <v>0.81926447576701911</v>
      </c>
      <c r="AC637" s="55" cm="1">
        <f t="array" ref="AC637">(VLOOKUP($A637,'The List'!$B1:$AR671,42,FALSE)-AVERAGE('The List'!AQ2:AQ671))/STDEV('The List'!AQ2:AQ671)</f>
        <v>0.64110094136486295</v>
      </c>
      <c r="AD637" s="55" cm="1">
        <f t="array" ref="AD637">(VLOOKUP($A637,'The List'!$B1:$AR671,43,FALSE)-AVERAGE('The List'!AR2:AR671))/STDEV('The List'!AR2:AR671)*-1</f>
        <v>0.35548859589597903</v>
      </c>
      <c r="AE637" s="55"/>
    </row>
    <row r="638" spans="1:31" ht="21.25" customHeight="1" x14ac:dyDescent="0.15">
      <c r="A638" s="10" t="s">
        <v>558</v>
      </c>
      <c r="B638" s="18" t="str" cm="1">
        <f t="array" ref="B638">VLOOKUP(A638,'Player Data'!A1:B673,2,FALSE)</f>
        <v>MTL</v>
      </c>
      <c r="C638" s="52" cm="1">
        <f t="array" ref="C638">(W638*Settings!$C$29)+(X638*Settings!$C$21)+(Y638*Settings!$C$22)+(AA638*Settings!$C$24)+(AB638*Settings!$C$25)+(Z638*Settings!$C$23)+(AC638*Settings!$C$26)+(AD638*Settings!$C$28)</f>
        <v>-2.4386556938380717</v>
      </c>
      <c r="D638" s="57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 cm="1">
        <f t="array" ref="W638">(VLOOKUP($A638,'The List'!$B1:$AR671,35,FALSE)-AVERAGE('The List'!AJ2:AJ671))/STDEV('The List'!AJ2:AJ671)</f>
        <v>-0.89995300741847173</v>
      </c>
      <c r="X638" s="55" cm="1">
        <f t="array" ref="X638">(VLOOKUP($A638,'The List'!$B1:$AR671,36,FALSE)-AVERAGE('The List'!AK2:AK671))/STDEV('The List'!AK2:AK671)</f>
        <v>-0.67589723626715981</v>
      </c>
      <c r="Y638" s="55" cm="1">
        <f t="array" ref="Y638">(VLOOKUP($A638,'The List'!$B1:$AR671,37,FALSE)-AVERAGE('The List'!AL2:AL671))/STDEV('The List'!AL2:AL671)*-1</f>
        <v>0.96184431489824462</v>
      </c>
      <c r="Z638" s="55" cm="1">
        <f t="array" ref="Z638">(VLOOKUP($A638,'The List'!$B1:$AR671,38,FALSE)-AVERAGE('The List'!AM2:AM671))/STDEV('The List'!AM2:AM671)</f>
        <v>-0.8966494937521281</v>
      </c>
      <c r="AA638" s="55" cm="1">
        <f t="array" ref="AA638">(VLOOKUP($A638,'The List'!$B1:$AR671,39,FALSE)-AVERAGE('The List'!AN2:AN671))/STDEV('The List'!AN2:AN671)</f>
        <v>-0.66957307387774567</v>
      </c>
      <c r="AB638" s="55" cm="1">
        <f t="array" ref="AB638">(VLOOKUP($A638,'The List'!$B1:$AR671,40,FALSE)-AVERAGE('The List'!AO2:AO671))/STDEV('The List'!AO2:AO671)</f>
        <v>-0.86176391278908093</v>
      </c>
      <c r="AC638" s="55" cm="1">
        <f t="array" ref="AC638">(VLOOKUP($A638,'The List'!$B1:$AR671,42,FALSE)-AVERAGE('The List'!AQ2:AQ671))/STDEV('The List'!AQ2:AQ671)</f>
        <v>-0.63958581823068628</v>
      </c>
      <c r="AD638" s="55" cm="1">
        <f t="array" ref="AD638">(VLOOKUP($A638,'The List'!$B1:$AR671,43,FALSE)-AVERAGE('The List'!AR2:AR671))/STDEV('The List'!AR2:AR671)*-1</f>
        <v>-0.4535995654624802</v>
      </c>
      <c r="AE638" s="55"/>
    </row>
    <row r="639" spans="1:31" ht="21.25" customHeight="1" x14ac:dyDescent="0.15">
      <c r="A639" s="10" t="s">
        <v>305</v>
      </c>
      <c r="B639" s="18" t="str" cm="1">
        <f t="array" ref="B639">VLOOKUP(A639,'Player Data'!A1:B673,2,FALSE)</f>
        <v>N.J</v>
      </c>
      <c r="C639" s="52" cm="1">
        <f t="array" ref="C639">(W639*Settings!$C$29)+(X639*Settings!$C$21)+(Y639*Settings!$C$22)+(AA639*Settings!$C$24)+(AB639*Settings!$C$25)+(Z639*Settings!$C$23)+(AC639*Settings!$C$26)+(AD639*Settings!$C$28)</f>
        <v>2.2120462193651567</v>
      </c>
      <c r="D639" s="57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 cm="1">
        <f t="array" ref="W639">(VLOOKUP($A639,'The List'!$B1:$AR671,35,FALSE)-AVERAGE('The List'!AJ2:AJ671))/STDEV('The List'!AJ2:AJ671)</f>
        <v>0.41906208742386852</v>
      </c>
      <c r="X639" s="55" cm="1">
        <f t="array" ref="X639">(VLOOKUP($A639,'The List'!$B1:$AR671,36,FALSE)-AVERAGE('The List'!AK2:AK671))/STDEV('The List'!AK2:AK671)</f>
        <v>0.46650652657701841</v>
      </c>
      <c r="Y639" s="55" cm="1">
        <f t="array" ref="Y639">(VLOOKUP($A639,'The List'!$B1:$AR671,37,FALSE)-AVERAGE('The List'!AL2:AL671))/STDEV('The List'!AL2:AL671)*-1</f>
        <v>-0.28038532809565914</v>
      </c>
      <c r="Z639" s="55" cm="1">
        <f t="array" ref="Z639">(VLOOKUP($A639,'The List'!$B1:$AR671,38,FALSE)-AVERAGE('The List'!AM2:AM671))/STDEV('The List'!AM2:AM671)</f>
        <v>0.26985555063234395</v>
      </c>
      <c r="AA639" s="55" cm="1">
        <f t="array" ref="AA639">(VLOOKUP($A639,'The List'!$B1:$AR671,39,FALSE)-AVERAGE('The List'!AN2:AN671))/STDEV('The List'!AN2:AN671)</f>
        <v>0.64897082545073781</v>
      </c>
      <c r="AB639" s="55" cm="1">
        <f t="array" ref="AB639">(VLOOKUP($A639,'The List'!$B1:$AR671,40,FALSE)-AVERAGE('The List'!AO2:AO671))/STDEV('The List'!AO2:AO671)</f>
        <v>0.36206169975862923</v>
      </c>
      <c r="AC639" s="55" cm="1">
        <f t="array" ref="AC639">(VLOOKUP($A639,'The List'!$B1:$AR671,42,FALSE)-AVERAGE('The List'!AQ2:AQ671))/STDEV('The List'!AQ2:AQ671)</f>
        <v>0.56770423686460736</v>
      </c>
      <c r="AD639" s="55" cm="1">
        <f t="array" ref="AD639">(VLOOKUP($A639,'The List'!$B1:$AR671,43,FALSE)-AVERAGE('The List'!AR2:AR671))/STDEV('The List'!AR2:AR671)*-1</f>
        <v>0.52886463047279297</v>
      </c>
      <c r="AE639" s="55"/>
    </row>
    <row r="640" spans="1:31" ht="21.25" customHeight="1" x14ac:dyDescent="0.15">
      <c r="A640" s="10" t="s">
        <v>493</v>
      </c>
      <c r="B640" s="18" t="str" cm="1">
        <f t="array" ref="B640">VLOOKUP(A640,'Player Data'!A1:B673,2,FALSE)</f>
        <v>N.J</v>
      </c>
      <c r="C640" s="52" cm="1">
        <f t="array" ref="C640">(W640*Settings!$C$29)+(X640*Settings!$C$21)+(Y640*Settings!$C$22)+(AA640*Settings!$C$24)+(AB640*Settings!$C$25)+(Z640*Settings!$C$23)+(AC640*Settings!$C$26)+(AD640*Settings!$C$28)</f>
        <v>-0.8849475461662496</v>
      </c>
      <c r="D640" s="57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 cm="1">
        <f t="array" ref="W640">(VLOOKUP($A640,'The List'!$B1:$AR671,35,FALSE)-AVERAGE('The List'!AJ2:AJ671))/STDEV('The List'!AJ2:AJ671)</f>
        <v>-0.46028130913769166</v>
      </c>
      <c r="X640" s="55" cm="1">
        <f t="array" ref="X640">(VLOOKUP($A640,'The List'!$B1:$AR671,36,FALSE)-AVERAGE('The List'!AK2:AK671))/STDEV('The List'!AK2:AK671)</f>
        <v>-0.37887225792767337</v>
      </c>
      <c r="Y640" s="55" cm="1">
        <f t="array" ref="Y640">(VLOOKUP($A640,'The List'!$B1:$AR671,37,FALSE)-AVERAGE('The List'!AL2:AL671))/STDEV('The List'!AL2:AL671)*-1</f>
        <v>0.42790350343595268</v>
      </c>
      <c r="Z640" s="55" cm="1">
        <f t="array" ref="Z640">(VLOOKUP($A640,'The List'!$B1:$AR671,38,FALSE)-AVERAGE('The List'!AM2:AM671))/STDEV('The List'!AM2:AM671)</f>
        <v>-0.50781447895730369</v>
      </c>
      <c r="AA640" s="55" cm="1">
        <f t="array" ref="AA640">(VLOOKUP($A640,'The List'!$B1:$AR671,39,FALSE)-AVERAGE('The List'!AN2:AN671))/STDEV('The List'!AN2:AN671)</f>
        <v>-0.39487642818431157</v>
      </c>
      <c r="AB640" s="55" cm="1">
        <f t="array" ref="AB640">(VLOOKUP($A640,'The List'!$B1:$AR671,40,FALSE)-AVERAGE('The List'!AO2:AO671))/STDEV('The List'!AO2:AO671)</f>
        <v>-0.53694981939591513</v>
      </c>
      <c r="AC640" s="55" cm="1">
        <f t="array" ref="AC640">(VLOOKUP($A640,'The List'!$B1:$AR671,42,FALSE)-AVERAGE('The List'!AQ2:AQ671))/STDEV('The List'!AQ2:AQ671)</f>
        <v>-0.35110343289903523</v>
      </c>
      <c r="AD640" s="55" cm="1">
        <f t="array" ref="AD640">(VLOOKUP($A640,'The List'!$B1:$AR671,43,FALSE)-AVERAGE('The List'!AR2:AR671))/STDEV('The List'!AR2:AR671)*-1</f>
        <v>0.23990457284477054</v>
      </c>
      <c r="AE640" s="55"/>
    </row>
    <row r="641" spans="1:31" ht="21.25" customHeight="1" x14ac:dyDescent="0.15">
      <c r="A641" s="10" t="s">
        <v>188</v>
      </c>
      <c r="B641" s="18" t="str" cm="1">
        <f t="array" ref="B641">VLOOKUP(A641,'Player Data'!A1:B673,2,FALSE)</f>
        <v>NSH</v>
      </c>
      <c r="C641" s="52" cm="1">
        <f t="array" ref="C641">(W641*Settings!$C$29)+(X641*Settings!$C$21)+(Y641*Settings!$C$22)+(AA641*Settings!$C$24)+(AB641*Settings!$C$25)+(Z641*Settings!$C$23)+(AC641*Settings!$C$26)+(AD641*Settings!$C$28)</f>
        <v>2.0087974554362558</v>
      </c>
      <c r="D641" s="57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 cm="1">
        <f t="array" ref="W641">(VLOOKUP($A641,'The List'!$B1:$AR671,35,FALSE)-AVERAGE('The List'!AJ2:AJ671))/STDEV('The List'!AJ2:AJ671)</f>
        <v>1.7380771822662089</v>
      </c>
      <c r="X641" s="55" cm="1">
        <f t="array" ref="X641">(VLOOKUP($A641,'The List'!$B1:$AR671,36,FALSE)-AVERAGE('The List'!AK2:AK671))/STDEV('The List'!AK2:AK671)</f>
        <v>1.0148603327422234</v>
      </c>
      <c r="Y641" s="55" cm="1">
        <f t="array" ref="Y641">(VLOOKUP($A641,'The List'!$B1:$AR671,37,FALSE)-AVERAGE('The List'!AL2:AL671))/STDEV('The List'!AL2:AL671)*-1</f>
        <v>-2.1110395388235181</v>
      </c>
      <c r="Z641" s="55" cm="1">
        <f t="array" ref="Z641">(VLOOKUP($A641,'The List'!$B1:$AR671,38,FALSE)-AVERAGE('The List'!AM2:AM671))/STDEV('The List'!AM2:AM671)</f>
        <v>2.2140306246064649</v>
      </c>
      <c r="AA641" s="55" cm="1">
        <f t="array" ref="AA641">(VLOOKUP($A641,'The List'!$B1:$AR671,39,FALSE)-AVERAGE('The List'!AN2:AN671))/STDEV('The List'!AN2:AN671)</f>
        <v>0.97860680028285907</v>
      </c>
      <c r="AB641" s="55" cm="1">
        <f t="array" ref="AB641">(VLOOKUP($A641,'The List'!$B1:$AR671,40,FALSE)-AVERAGE('The List'!AO2:AO671))/STDEV('The List'!AO2:AO671)</f>
        <v>1.8075613855225283</v>
      </c>
      <c r="AC641" s="55" cm="1">
        <f t="array" ref="AC641">(VLOOKUP($A641,'The List'!$B1:$AR671,42,FALSE)-AVERAGE('The List'!AQ2:AQ671))/STDEV('The List'!AQ2:AQ671)</f>
        <v>0.46892988787365347</v>
      </c>
      <c r="AD641" s="55" cm="1">
        <f t="array" ref="AD641">(VLOOKUP($A641,'The List'!$B1:$AR671,43,FALSE)-AVERAGE('The List'!AR2:AR671))/STDEV('The List'!AR2:AR671)*-1</f>
        <v>-0.4535995654624802</v>
      </c>
      <c r="AE641" s="55"/>
    </row>
    <row r="642" spans="1:31" ht="21.25" customHeight="1" x14ac:dyDescent="0.15">
      <c r="A642" s="10" t="s">
        <v>701</v>
      </c>
      <c r="B642" s="18" t="str" cm="1">
        <f t="array" ref="B642">VLOOKUP(A642,'Player Data'!A1:B673,2,FALSE)</f>
        <v>NSH</v>
      </c>
      <c r="C642" s="52" cm="1">
        <f t="array" ref="C642">(W642*Settings!$C$29)+(X642*Settings!$C$21)+(Y642*Settings!$C$22)+(AA642*Settings!$C$24)+(AB642*Settings!$C$25)+(Z642*Settings!$C$23)+(AC642*Settings!$C$26)+(AD642*Settings!$C$28)</f>
        <v>-5.2424544900268097</v>
      </c>
      <c r="D642" s="57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 cm="1">
        <f t="array" ref="W642">(VLOOKUP($A642,'The List'!$B1:$AR671,35,FALSE)-AVERAGE('The List'!AJ2:AJ671))/STDEV('The List'!AJ2:AJ671)</f>
        <v>-1.7792964039800321</v>
      </c>
      <c r="X642" s="55" cm="1">
        <f t="array" ref="X642">(VLOOKUP($A642,'The List'!$B1:$AR671,36,FALSE)-AVERAGE('The List'!AK2:AK671))/STDEV('The List'!AK2:AK671)</f>
        <v>-1.7573727984263148</v>
      </c>
      <c r="Y642" s="55" cm="1">
        <f t="array" ref="Y642">(VLOOKUP($A642,'The List'!$B1:$AR671,37,FALSE)-AVERAGE('The List'!AL2:AL671))/STDEV('The List'!AL2:AL671)*-1</f>
        <v>1.4195078675802095</v>
      </c>
      <c r="Z642" s="55" cm="1">
        <f t="array" ref="Z642">(VLOOKUP($A642,'The List'!$B1:$AR671,38,FALSE)-AVERAGE('The List'!AM2:AM671))/STDEV('The List'!AM2:AM671)</f>
        <v>-1.4150961801452264</v>
      </c>
      <c r="AA642" s="55" cm="1">
        <f t="array" ref="AA642">(VLOOKUP($A642,'The List'!$B1:$AR671,39,FALSE)-AVERAGE('The List'!AN2:AN671))/STDEV('The List'!AN2:AN671)</f>
        <v>-1.4387236818193612</v>
      </c>
      <c r="AB642" s="55" cm="1">
        <f t="array" ref="AB642">(VLOOKUP($A642,'The List'!$B1:$AR671,40,FALSE)-AVERAGE('The List'!AO2:AO671))/STDEV('The List'!AO2:AO671)</f>
        <v>-1.6653324281977662</v>
      </c>
      <c r="AC642" s="55" cm="1">
        <f t="array" ref="AC642">(VLOOKUP($A642,'The List'!$B1:$AR671,42,FALSE)-AVERAGE('The List'!AQ2:AQ671))/STDEV('The List'!AQ2:AQ671)</f>
        <v>-1.246006375165031</v>
      </c>
      <c r="AD642" s="55" cm="1">
        <f t="array" ref="AD642">(VLOOKUP($A642,'The List'!$B1:$AR671,43,FALSE)-AVERAGE('The List'!AR2:AR671))/STDEV('The List'!AR2:AR671)*-1</f>
        <v>-0.80035163461610304</v>
      </c>
      <c r="AE642" s="55"/>
    </row>
    <row r="643" spans="1:31" ht="21.25" customHeight="1" x14ac:dyDescent="0.15">
      <c r="A643" s="10" t="s">
        <v>172</v>
      </c>
      <c r="B643" s="18" t="str" cm="1">
        <f t="array" ref="B643">VLOOKUP(A643,'Player Data'!A1:B673,2,FALSE)</f>
        <v>NYI</v>
      </c>
      <c r="C643" s="52" cm="1">
        <f t="array" ref="C643">(W643*Settings!$C$29)+(X643*Settings!$C$21)+(Y643*Settings!$C$22)+(AA643*Settings!$C$24)+(AB643*Settings!$C$25)+(Z643*Settings!$C$23)+(AC643*Settings!$C$26)+(AD643*Settings!$C$28)</f>
        <v>2.9349616030674901</v>
      </c>
      <c r="D643" s="57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 cm="1">
        <f t="array" ref="W643">(VLOOKUP($A643,'The List'!$B1:$AR671,35,FALSE)-AVERAGE('The List'!AJ2:AJ671))/STDEV('The List'!AJ2:AJ671)</f>
        <v>1.2984054839854287</v>
      </c>
      <c r="X643" s="55" cm="1">
        <f t="array" ref="X643">(VLOOKUP($A643,'The List'!$B1:$AR671,36,FALSE)-AVERAGE('The List'!AK2:AK671))/STDEV('The List'!AK2:AK671)</f>
        <v>0.83969175577278254</v>
      </c>
      <c r="Y643" s="55" cm="1">
        <f t="array" ref="Y643">(VLOOKUP($A643,'The List'!$B1:$AR671,37,FALSE)-AVERAGE('The List'!AL2:AL671))/STDEV('The List'!AL2:AL671)*-1</f>
        <v>-1.5444084735982282</v>
      </c>
      <c r="Z643" s="55" cm="1">
        <f t="array" ref="Z643">(VLOOKUP($A643,'The List'!$B1:$AR671,38,FALSE)-AVERAGE('The List'!AM2:AM671))/STDEV('The List'!AM2:AM671)</f>
        <v>1.4039576771172479</v>
      </c>
      <c r="AA643" s="55" cm="1">
        <f t="array" ref="AA643">(VLOOKUP($A643,'The List'!$B1:$AR671,39,FALSE)-AVERAGE('The List'!AN2:AN671))/STDEV('The List'!AN2:AN671)</f>
        <v>0.70391015458942496</v>
      </c>
      <c r="AB643" s="55" cm="1">
        <f t="array" ref="AB643">(VLOOKUP($A643,'The List'!$B1:$AR671,40,FALSE)-AVERAGE('The List'!AO2:AO671))/STDEV('The List'!AO2:AO671)</f>
        <v>1.6105177648859159</v>
      </c>
      <c r="AC643" s="55" cm="1">
        <f t="array" ref="AC643">(VLOOKUP($A643,'The List'!$B1:$AR671,42,FALSE)-AVERAGE('The List'!AQ2:AQ671))/STDEV('The List'!AQ2:AQ671)</f>
        <v>1.4982071890141373</v>
      </c>
      <c r="AD643" s="55" cm="1">
        <f t="array" ref="AD643">(VLOOKUP($A643,'The List'!$B1:$AR671,43,FALSE)-AVERAGE('The List'!AR2:AR671))/STDEV('The List'!AR2:AR671)*-1</f>
        <v>-0.10684749630885484</v>
      </c>
      <c r="AE643" s="55"/>
    </row>
    <row r="644" spans="1:31" ht="21.25" customHeight="1" x14ac:dyDescent="0.15">
      <c r="A644" s="10" t="s">
        <v>660</v>
      </c>
      <c r="B644" s="18" t="str" cm="1">
        <f t="array" ref="B644">VLOOKUP(A644,'Player Data'!A1:B673,2,FALSE)</f>
        <v>NYI</v>
      </c>
      <c r="C644" s="52" cm="1">
        <f t="array" ref="C644">(W644*Settings!$C$29)+(X644*Settings!$C$21)+(Y644*Settings!$C$22)+(AA644*Settings!$C$24)+(AB644*Settings!$C$25)+(Z644*Settings!$C$23)+(AC644*Settings!$C$26)+(AD644*Settings!$C$28)</f>
        <v>-5.6170739300860859</v>
      </c>
      <c r="D644" s="57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 cm="1">
        <f t="array" ref="W644">(VLOOKUP($A644,'The List'!$B1:$AR671,35,FALSE)-AVERAGE('The List'!AJ2:AJ671))/STDEV('The List'!AJ2:AJ671)</f>
        <v>-1.3396247056992518</v>
      </c>
      <c r="X644" s="55" cm="1">
        <f t="array" ref="X644">(VLOOKUP($A644,'The List'!$B1:$AR671,36,FALSE)-AVERAGE('The List'!AK2:AK671))/STDEV('The List'!AK2:AK671)</f>
        <v>-1.4603478200868287</v>
      </c>
      <c r="Y644" s="55" cm="1">
        <f t="array" ref="Y644">(VLOOKUP($A644,'The List'!$B1:$AR671,37,FALSE)-AVERAGE('The List'!AL2:AL671))/STDEV('The List'!AL2:AL671)*-1</f>
        <v>0.90736055862658216</v>
      </c>
      <c r="Z644" s="55" cm="1">
        <f t="array" ref="Z644">(VLOOKUP($A644,'The List'!$B1:$AR671,38,FALSE)-AVERAGE('The List'!AM2:AM671))/STDEV('The List'!AM2:AM671)</f>
        <v>-0.96145532955126489</v>
      </c>
      <c r="AA644" s="55" cm="1">
        <f t="array" ref="AA644">(VLOOKUP($A644,'The List'!$B1:$AR671,39,FALSE)-AVERAGE('The List'!AN2:AN671))/STDEV('The List'!AN2:AN671)</f>
        <v>-1.493663010958048</v>
      </c>
      <c r="AB644" s="55" cm="1">
        <f t="array" ref="AB644">(VLOOKUP($A644,'The List'!$B1:$AR671,40,FALSE)-AVERAGE('The List'!AO2:AO671))/STDEV('The List'!AO2:AO671)</f>
        <v>-1.2358389113413999</v>
      </c>
      <c r="AC644" s="55" cm="1">
        <f t="array" ref="AC644">(VLOOKUP($A644,'The List'!$B1:$AR671,42,FALSE)-AVERAGE('The List'!AQ2:AQ671))/STDEV('The List'!AQ2:AQ671)</f>
        <v>-1.3425833606946669</v>
      </c>
      <c r="AD644" s="55" cm="1">
        <f t="array" ref="AD644">(VLOOKUP($A644,'The List'!$B1:$AR671,43,FALSE)-AVERAGE('The List'!AR2:AR671))/STDEV('The List'!AR2:AR671)*-1</f>
        <v>-1.3204797383465423</v>
      </c>
      <c r="AE644" s="55"/>
    </row>
    <row r="645" spans="1:31" ht="21.25" customHeight="1" x14ac:dyDescent="0.15">
      <c r="A645" s="10" t="s">
        <v>175</v>
      </c>
      <c r="B645" s="18" t="str" cm="1">
        <f t="array" ref="B645">VLOOKUP(A645,'Player Data'!A1:B673,2,FALSE)</f>
        <v>NYR</v>
      </c>
      <c r="C645" s="52" cm="1">
        <f t="array" ref="C645">(W645*Settings!$C$29)+(X645*Settings!$C$21)+(Y645*Settings!$C$22)+(AA645*Settings!$C$24)+(AB645*Settings!$C$25)+(Z645*Settings!$C$23)+(AC645*Settings!$C$26)+(AD645*Settings!$C$28)</f>
        <v>5.120665215540658</v>
      </c>
      <c r="D645" s="57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 cm="1">
        <f t="array" ref="W645">(VLOOKUP($A645,'The List'!$B1:$AR671,35,FALSE)-AVERAGE('The List'!AJ2:AJ671))/STDEV('The List'!AJ2:AJ671)</f>
        <v>1.2984054839854287</v>
      </c>
      <c r="X645" s="55" cm="1">
        <f t="array" ref="X645">(VLOOKUP($A645,'The List'!$B1:$AR671,36,FALSE)-AVERAGE('The List'!AK2:AK671))/STDEV('The List'!AK2:AK671)</f>
        <v>1.1747968595404086</v>
      </c>
      <c r="Y645" s="55" cm="1">
        <f t="array" ref="Y645">(VLOOKUP($A645,'The List'!$B1:$AR671,37,FALSE)-AVERAGE('The List'!AL2:AL671))/STDEV('The List'!AL2:AL671)*-1</f>
        <v>-1.1848156822052562</v>
      </c>
      <c r="Z645" s="55" cm="1">
        <f t="array" ref="Z645">(VLOOKUP($A645,'The List'!$B1:$AR671,38,FALSE)-AVERAGE('The List'!AM2:AM671))/STDEV('The List'!AM2:AM671)</f>
        <v>1.0475255802219923</v>
      </c>
      <c r="AA645" s="55" cm="1">
        <f t="array" ref="AA645">(VLOOKUP($A645,'The List'!$B1:$AR671,39,FALSE)-AVERAGE('The List'!AN2:AN671))/STDEV('The List'!AN2:AN671)</f>
        <v>1.3082427751149799</v>
      </c>
      <c r="AB645" s="55" cm="1">
        <f t="array" ref="AB645">(VLOOKUP($A645,'The List'!$B1:$AR671,40,FALSE)-AVERAGE('The List'!AO2:AO671))/STDEV('The List'!AO2:AO671)</f>
        <v>1.3395827865105738</v>
      </c>
      <c r="AC645" s="55" cm="1">
        <f t="array" ref="AC645">(VLOOKUP($A645,'The List'!$B1:$AR671,42,FALSE)-AVERAGE('The List'!AQ2:AQ671))/STDEV('The List'!AQ2:AQ671)</f>
        <v>1.6464248582076453</v>
      </c>
      <c r="AD645" s="55" cm="1">
        <f t="array" ref="AD645">(VLOOKUP($A645,'The List'!$B1:$AR671,43,FALSE)-AVERAGE('The List'!AR2:AR671))/STDEV('The List'!AR2:AR671)*-1</f>
        <v>0.99120072267762427</v>
      </c>
      <c r="AE645" s="55"/>
    </row>
    <row r="646" spans="1:31" ht="21.25" customHeight="1" x14ac:dyDescent="0.15">
      <c r="A646" s="10" t="s">
        <v>648</v>
      </c>
      <c r="B646" s="18" t="str" cm="1">
        <f t="array" ref="B646">VLOOKUP(A646,'Player Data'!A1:B673,2,FALSE)</f>
        <v>NYR</v>
      </c>
      <c r="C646" s="52" cm="1">
        <f t="array" ref="C646">(W646*Settings!$C$29)+(X646*Settings!$C$21)+(Y646*Settings!$C$22)+(AA646*Settings!$C$24)+(AB646*Settings!$C$25)+(Z646*Settings!$C$23)+(AC646*Settings!$C$26)+(AD646*Settings!$C$28)</f>
        <v>-3.4451402699581228</v>
      </c>
      <c r="D646" s="57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 cm="1">
        <f t="array" ref="W646">(VLOOKUP($A646,'The List'!$B1:$AR671,35,FALSE)-AVERAGE('The List'!AJ2:AJ671))/STDEV('The List'!AJ2:AJ671)</f>
        <v>-1.3396247056992518</v>
      </c>
      <c r="X646" s="55" cm="1">
        <f t="array" ref="X646">(VLOOKUP($A646,'The List'!$B1:$AR671,36,FALSE)-AVERAGE('The List'!AK2:AK671))/STDEV('The List'!AK2:AK671)</f>
        <v>-1.3080273183742717</v>
      </c>
      <c r="Y646" s="55" cm="1">
        <f t="array" ref="Y646">(VLOOKUP($A646,'The List'!$B1:$AR671,37,FALSE)-AVERAGE('The List'!AL2:AL671))/STDEV('The List'!AL2:AL671)*-1</f>
        <v>1.0708118274415694</v>
      </c>
      <c r="Z646" s="55" cm="1">
        <f t="array" ref="Z646">(VLOOKUP($A646,'The List'!$B1:$AR671,38,FALSE)-AVERAGE('The List'!AM2:AM671))/STDEV('The List'!AM2:AM671)</f>
        <v>-1.1234699190491086</v>
      </c>
      <c r="AA646" s="55" cm="1">
        <f t="array" ref="AA646">(VLOOKUP($A646,'The List'!$B1:$AR671,39,FALSE)-AVERAGE('The List'!AN2:AN671))/STDEV('The List'!AN2:AN671)</f>
        <v>-0.94426971957117978</v>
      </c>
      <c r="AB646" s="55" cm="1">
        <f t="array" ref="AB646">(VLOOKUP($A646,'The List'!$B1:$AR671,40,FALSE)-AVERAGE('The List'!AO2:AO671))/STDEV('The List'!AO2:AO671)</f>
        <v>-1.328203108514812</v>
      </c>
      <c r="AC646" s="55" cm="1">
        <f t="array" ref="AC646">(VLOOKUP($A646,'The List'!$B1:$AR671,42,FALSE)-AVERAGE('The List'!AQ2:AQ671))/STDEV('The List'!AQ2:AQ671)</f>
        <v>-1.0282037241782134</v>
      </c>
      <c r="AD646" s="55" cm="1">
        <f t="array" ref="AD646">(VLOOKUP($A646,'The List'!$B1:$AR671,43,FALSE)-AVERAGE('The List'!AR2:AR671))/STDEV('The List'!AR2:AR671)*-1</f>
        <v>-0.1646395078344578</v>
      </c>
      <c r="AE646" s="55"/>
    </row>
    <row r="647" spans="1:31" ht="21.25" customHeight="1" x14ac:dyDescent="0.15">
      <c r="A647" s="10" t="s">
        <v>261</v>
      </c>
      <c r="B647" s="18" t="str" cm="1">
        <f t="array" ref="B647">VLOOKUP(A647,'Player Data'!A1:B673,2,FALSE)</f>
        <v>OTT</v>
      </c>
      <c r="C647" s="52" cm="1">
        <f t="array" ref="C647">(W647*Settings!$C$29)+(X647*Settings!$C$21)+(Y647*Settings!$C$22)+(AA647*Settings!$C$24)+(AB647*Settings!$C$25)+(Z647*Settings!$C$23)+(AC647*Settings!$C$26)+(AD647*Settings!$C$28)</f>
        <v>4.6379503309491881</v>
      </c>
      <c r="D647" s="57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 cm="1">
        <f t="array" ref="W647">(VLOOKUP($A647,'The List'!$B1:$AR671,35,FALSE)-AVERAGE('The List'!AJ2:AJ671))/STDEV('The List'!AJ2:AJ671)</f>
        <v>0.85873378570464864</v>
      </c>
      <c r="X647" s="55" cm="1">
        <f t="array" ref="X647">(VLOOKUP($A647,'The List'!$B1:$AR671,36,FALSE)-AVERAGE('The List'!AK2:AK671))/STDEV('The List'!AK2:AK671)</f>
        <v>1.0910205835985025</v>
      </c>
      <c r="Y647" s="55" cm="1">
        <f t="array" ref="Y647">(VLOOKUP($A647,'The List'!$B1:$AR671,37,FALSE)-AVERAGE('The List'!AL2:AL671))/STDEV('The List'!AL2:AL671)*-1</f>
        <v>-0.4547333481649784</v>
      </c>
      <c r="Z647" s="55" cm="1">
        <f t="array" ref="Z647">(VLOOKUP($A647,'The List'!$B1:$AR671,38,FALSE)-AVERAGE('The List'!AM2:AM671))/STDEV('The List'!AM2:AM671)</f>
        <v>0.33466138643148163</v>
      </c>
      <c r="AA647" s="55" cm="1">
        <f t="array" ref="AA647">(VLOOKUP($A647,'The List'!$B1:$AR671,39,FALSE)-AVERAGE('The List'!AN2:AN671))/STDEV('The List'!AN2:AN671)</f>
        <v>1.5280000916697278</v>
      </c>
      <c r="AB647" s="55" cm="1">
        <f t="array" ref="AB647">(VLOOKUP($A647,'The List'!$B1:$AR671,40,FALSE)-AVERAGE('The List'!AO2:AO671))/STDEV('The List'!AO2:AO671)</f>
        <v>0.55756591710901815</v>
      </c>
      <c r="AC647" s="55" cm="1">
        <f t="array" ref="AC647">(VLOOKUP($A647,'The List'!$B1:$AR671,42,FALSE)-AVERAGE('The List'!AQ2:AQ671))/STDEV('The List'!AQ2:AQ671)</f>
        <v>0.62318485232410192</v>
      </c>
      <c r="AD647" s="55" cm="1">
        <f t="array" ref="AD647">(VLOOKUP($A647,'The List'!$B1:$AR671,43,FALSE)-AVERAGE('The List'!AR2:AR671))/STDEV('The List'!AR2:AR671)*-1</f>
        <v>1.3957448033568551</v>
      </c>
      <c r="AE647" s="55"/>
    </row>
    <row r="648" spans="1:31" ht="21.25" customHeight="1" x14ac:dyDescent="0.15">
      <c r="A648" s="10" t="s">
        <v>651</v>
      </c>
      <c r="B648" s="18" t="str" cm="1">
        <f t="array" ref="B648">VLOOKUP(A648,'Player Data'!A1:B673,2,FALSE)</f>
        <v>OTT</v>
      </c>
      <c r="C648" s="52" cm="1">
        <f t="array" ref="C648">(W648*Settings!$C$29)+(X648*Settings!$C$21)+(Y648*Settings!$C$22)+(AA648*Settings!$C$24)+(AB648*Settings!$C$25)+(Z648*Settings!$C$23)+(AC648*Settings!$C$26)+(AD648*Settings!$C$28)</f>
        <v>-2.5491698416396789</v>
      </c>
      <c r="D648" s="57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 cm="1">
        <f t="array" ref="W648">(VLOOKUP($A648,'The List'!$B1:$AR671,35,FALSE)-AVERAGE('The List'!AJ2:AJ671))/STDEV('The List'!AJ2:AJ671)</f>
        <v>-0.89995300741847173</v>
      </c>
      <c r="X648" s="55" cm="1">
        <f t="array" ref="X648">(VLOOKUP($A648,'The List'!$B1:$AR671,36,FALSE)-AVERAGE('The List'!AK2:AK671))/STDEV('The List'!AK2:AK671)</f>
        <v>-0.67589723626715981</v>
      </c>
      <c r="Y648" s="55" cm="1">
        <f t="array" ref="Y648">(VLOOKUP($A648,'The List'!$B1:$AR671,37,FALSE)-AVERAGE('The List'!AL2:AL671))/STDEV('The List'!AL2:AL671)*-1</f>
        <v>0.96184431489824462</v>
      </c>
      <c r="Z648" s="55" cm="1">
        <f t="array" ref="Z648">(VLOOKUP($A648,'The List'!$B1:$AR671,38,FALSE)-AVERAGE('The List'!AM2:AM671))/STDEV('The List'!AM2:AM671)</f>
        <v>-0.8966494937521281</v>
      </c>
      <c r="AA648" s="55" cm="1">
        <f t="array" ref="AA648">(VLOOKUP($A648,'The List'!$B1:$AR671,39,FALSE)-AVERAGE('The List'!AN2:AN671))/STDEV('The List'!AN2:AN671)</f>
        <v>-0.33993709904562491</v>
      </c>
      <c r="AB648" s="55" cm="1">
        <f t="array" ref="AB648">(VLOOKUP($A648,'The List'!$B1:$AR671,40,FALSE)-AVERAGE('The List'!AO2:AO671))/STDEV('The List'!AO2:AO671)</f>
        <v>-1.2404571212000706</v>
      </c>
      <c r="AC648" s="55" cm="1">
        <f t="array" ref="AC648">(VLOOKUP($A648,'The List'!$B1:$AR671,42,FALSE)-AVERAGE('The List'!AQ2:AQ671))/STDEV('The List'!AQ2:AQ671)</f>
        <v>-2.3511601944277065</v>
      </c>
      <c r="AD648" s="55" cm="1">
        <f t="array" ref="AD648">(VLOOKUP($A648,'The List'!$B1:$AR671,43,FALSE)-AVERAGE('The List'!AR2:AR671))/STDEV('The List'!AR2:AR671)*-1</f>
        <v>0.81782468810081288</v>
      </c>
      <c r="AE648" s="55"/>
    </row>
    <row r="649" spans="1:31" ht="21.25" customHeight="1" x14ac:dyDescent="0.15">
      <c r="A649" s="10" t="s">
        <v>315</v>
      </c>
      <c r="B649" s="18" t="str" cm="1">
        <f t="array" ref="B649">VLOOKUP(A649,'Player Data'!A1:B673,2,FALSE)</f>
        <v>PHI</v>
      </c>
      <c r="C649" s="52" cm="1">
        <f t="array" ref="C649">(W649*Settings!$C$29)+(X649*Settings!$C$21)+(Y649*Settings!$C$22)+(AA649*Settings!$C$24)+(AB649*Settings!$C$25)+(Z649*Settings!$C$23)+(AC649*Settings!$C$26)+(AD649*Settings!$C$28)</f>
        <v>2.636505756451502</v>
      </c>
      <c r="D649" s="57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 cm="1">
        <f t="array" ref="W649">(VLOOKUP($A649,'The List'!$B1:$AR671,35,FALSE)-AVERAGE('The List'!AJ2:AJ671))/STDEV('The List'!AJ2:AJ671)</f>
        <v>0.41906208742386852</v>
      </c>
      <c r="X649" s="55" cm="1">
        <f t="array" ref="X649">(VLOOKUP($A649,'The List'!$B1:$AR671,36,FALSE)-AVERAGE('The List'!AK2:AK671))/STDEV('The List'!AK2:AK671)</f>
        <v>0.46650652657701841</v>
      </c>
      <c r="Y649" s="55" cm="1">
        <f t="array" ref="Y649">(VLOOKUP($A649,'The List'!$B1:$AR671,37,FALSE)-AVERAGE('The List'!AL2:AL671))/STDEV('The List'!AL2:AL671)*-1</f>
        <v>-0.28038532809565914</v>
      </c>
      <c r="Z649" s="55" cm="1">
        <f t="array" ref="Z649">(VLOOKUP($A649,'The List'!$B1:$AR671,38,FALSE)-AVERAGE('The List'!AM2:AM671))/STDEV('The List'!AM2:AM671)</f>
        <v>0.26985555063234395</v>
      </c>
      <c r="AA649" s="55" cm="1">
        <f t="array" ref="AA649">(VLOOKUP($A649,'The List'!$B1:$AR671,39,FALSE)-AVERAGE('The List'!AN2:AN671))/STDEV('The List'!AN2:AN671)</f>
        <v>0.64897082545073781</v>
      </c>
      <c r="AB649" s="55" cm="1">
        <f t="array" ref="AB649">(VLOOKUP($A649,'The List'!$B1:$AR671,40,FALSE)-AVERAGE('The List'!AO2:AO671))/STDEV('The List'!AO2:AO671)</f>
        <v>0.25122466315053471</v>
      </c>
      <c r="AC649" s="55" cm="1">
        <f t="array" ref="AC649">(VLOOKUP($A649,'The List'!$B1:$AR671,42,FALSE)-AVERAGE('The List'!AQ2:AQ671))/STDEV('The List'!AQ2:AQ671)</f>
        <v>0.52982768174612194</v>
      </c>
      <c r="AD649" s="55" cm="1">
        <f t="array" ref="AD649">(VLOOKUP($A649,'The List'!$B1:$AR671,43,FALSE)-AVERAGE('The List'!AR2:AR671))/STDEV('The List'!AR2:AR671)*-1</f>
        <v>0.99120072267762427</v>
      </c>
      <c r="AE649" s="55"/>
    </row>
    <row r="650" spans="1:31" ht="21.25" customHeight="1" x14ac:dyDescent="0.15">
      <c r="A650" s="10" t="s">
        <v>458</v>
      </c>
      <c r="B650" s="18" t="str" cm="1">
        <f t="array" ref="B650">VLOOKUP(A650,'Player Data'!A1:B673,2,FALSE)</f>
        <v>PHI</v>
      </c>
      <c r="C650" s="52" cm="1">
        <f t="array" ref="C650">(W650*Settings!$C$29)+(X650*Settings!$C$21)+(Y650*Settings!$C$22)+(AA650*Settings!$C$24)+(AB650*Settings!$C$25)+(Z650*Settings!$C$23)+(AC650*Settings!$C$26)+(AD650*Settings!$C$28)</f>
        <v>0.77459048986216872</v>
      </c>
      <c r="D650" s="57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 cm="1">
        <f t="array" ref="W650">(VLOOKUP($A650,'The List'!$B1:$AR671,35,FALSE)-AVERAGE('The List'!AJ2:AJ671))/STDEV('The List'!AJ2:AJ671)</f>
        <v>-0.46028130913769166</v>
      </c>
      <c r="X650" s="55" cm="1">
        <f t="array" ref="X650">(VLOOKUP($A650,'The List'!$B1:$AR671,36,FALSE)-AVERAGE('The List'!AK2:AK671))/STDEV('The List'!AK2:AK671)</f>
        <v>-0.32556008232827871</v>
      </c>
      <c r="Y650" s="55" cm="1">
        <f t="array" ref="Y650">(VLOOKUP($A650,'The List'!$B1:$AR671,37,FALSE)-AVERAGE('The List'!AL2:AL671))/STDEV('The List'!AL2:AL671)*-1</f>
        <v>0.50418076221627972</v>
      </c>
      <c r="Z650" s="55" cm="1">
        <f t="array" ref="Z650">(VLOOKUP($A650,'The List'!$B1:$AR671,38,FALSE)-AVERAGE('The List'!AM2:AM671))/STDEV('The List'!AM2:AM671)</f>
        <v>-0.50781447895730369</v>
      </c>
      <c r="AA650" s="55" cm="1">
        <f t="array" ref="AA650">(VLOOKUP($A650,'The List'!$B1:$AR671,39,FALSE)-AVERAGE('The List'!AN2:AN671))/STDEV('The List'!AN2:AN671)</f>
        <v>-1.0301124213503682E-2</v>
      </c>
      <c r="AB650" s="55" cm="1">
        <f t="array" ref="AB650">(VLOOKUP($A650,'The List'!$B1:$AR671,40,FALSE)-AVERAGE('The List'!AO2:AO671))/STDEV('The List'!AO2:AO671)</f>
        <v>-0.52617399639235041</v>
      </c>
      <c r="AC650" s="55" cm="1">
        <f t="array" ref="AC650">(VLOOKUP($A650,'The List'!$B1:$AR671,42,FALSE)-AVERAGE('The List'!AQ2:AQ671))/STDEV('The List'!AQ2:AQ671)</f>
        <v>0.29262700830313831</v>
      </c>
      <c r="AD650" s="55" cm="1">
        <f t="array" ref="AD650">(VLOOKUP($A650,'The List'!$B1:$AR671,43,FALSE)-AVERAGE('The List'!AR2:AR671))/STDEV('The List'!AR2:AR671)*-1</f>
        <v>0.81782468810081288</v>
      </c>
      <c r="AE650" s="55"/>
    </row>
    <row r="651" spans="1:31" ht="21.25" customHeight="1" x14ac:dyDescent="0.15">
      <c r="A651" s="10" t="s">
        <v>390</v>
      </c>
      <c r="B651" s="18" t="str" cm="1">
        <f t="array" ref="B651">VLOOKUP(A651,'Player Data'!A1:B673,2,FALSE)</f>
        <v>PIT</v>
      </c>
      <c r="C651" s="52" cm="1">
        <f t="array" ref="C651">(W651*Settings!$C$29)+(X651*Settings!$C$21)+(Y651*Settings!$C$22)+(AA651*Settings!$C$24)+(AB651*Settings!$C$25)+(Z651*Settings!$C$23)+(AC651*Settings!$C$26)+(AD651*Settings!$C$28)</f>
        <v>-1.8964585946785224</v>
      </c>
      <c r="D651" s="57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 cm="1">
        <f t="array" ref="W651">(VLOOKUP($A651,'The List'!$B1:$AR671,35,FALSE)-AVERAGE('The List'!AJ2:AJ671))/STDEV('The List'!AJ2:AJ671)</f>
        <v>0.41906208742386852</v>
      </c>
      <c r="X651" s="55" cm="1">
        <f t="array" ref="X651">(VLOOKUP($A651,'The List'!$B1:$AR671,36,FALSE)-AVERAGE('The List'!AK2:AK671))/STDEV('The List'!AK2:AK671)</f>
        <v>0.26087384926506618</v>
      </c>
      <c r="Y651" s="55" cm="1">
        <f t="array" ref="Y651">(VLOOKUP($A651,'The List'!$B1:$AR671,37,FALSE)-AVERAGE('The List'!AL2:AL671))/STDEV('The List'!AL2:AL671)*-1</f>
        <v>-0.4765268506736437</v>
      </c>
      <c r="Z651" s="55" cm="1">
        <f t="array" ref="Z651">(VLOOKUP($A651,'The List'!$B1:$AR671,38,FALSE)-AVERAGE('The List'!AM2:AM671))/STDEV('The List'!AM2:AM671)</f>
        <v>0.56148181172846268</v>
      </c>
      <c r="AA651" s="55" cm="1">
        <f t="array" ref="AA651">(VLOOKUP($A651,'The List'!$B1:$AR671,39,FALSE)-AVERAGE('The List'!AN2:AN671))/STDEV('The List'!AN2:AN671)</f>
        <v>-0.33993709904562469</v>
      </c>
      <c r="AB651" s="55" cm="1">
        <f t="array" ref="AB651">(VLOOKUP($A651,'The List'!$B1:$AR671,40,FALSE)-AVERAGE('The List'!AO2:AO671))/STDEV('The List'!AO2:AO671)</f>
        <v>0.25122466315053471</v>
      </c>
      <c r="AC651" s="55" cm="1">
        <f t="array" ref="AC651">(VLOOKUP($A651,'The List'!$B1:$AR671,42,FALSE)-AVERAGE('The List'!AQ2:AQ671))/STDEV('The List'!AQ2:AQ671)</f>
        <v>-1.1326277333330665</v>
      </c>
      <c r="AD651" s="55" cm="1">
        <f t="array" ref="AD651">(VLOOKUP($A651,'The List'!$B1:$AR671,43,FALSE)-AVERAGE('The List'!AR2:AR671))/STDEV('The List'!AR2:AR671)*-1</f>
        <v>-0.68476761156489718</v>
      </c>
      <c r="AE651" s="55"/>
    </row>
    <row r="652" spans="1:31" ht="21.25" customHeight="1" x14ac:dyDescent="0.15">
      <c r="A652" s="10" t="s">
        <v>504</v>
      </c>
      <c r="B652" s="18" t="str" cm="1">
        <f t="array" ref="B652">VLOOKUP(A652,'Player Data'!A1:B673,2,FALSE)</f>
        <v>PIT</v>
      </c>
      <c r="C652" s="52" cm="1">
        <f t="array" ref="C652">(W652*Settings!$C$29)+(X652*Settings!$C$21)+(Y652*Settings!$C$22)+(AA652*Settings!$C$24)+(AB652*Settings!$C$25)+(Z652*Settings!$C$23)+(AC652*Settings!$C$26)+(AD652*Settings!$C$28)</f>
        <v>-2.6822223287954361</v>
      </c>
      <c r="D652" s="57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 cm="1">
        <f t="array" ref="W652">(VLOOKUP($A652,'The List'!$B1:$AR671,35,FALSE)-AVERAGE('The List'!AJ2:AJ671))/STDEV('The List'!AJ2:AJ671)</f>
        <v>-0.46028130913769166</v>
      </c>
      <c r="X652" s="55" cm="1">
        <f t="array" ref="X652">(VLOOKUP($A652,'The List'!$B1:$AR671,36,FALSE)-AVERAGE('The List'!AK2:AK671))/STDEV('The List'!AK2:AK671)</f>
        <v>-0.48549660912646375</v>
      </c>
      <c r="Y652" s="55" cm="1">
        <f t="array" ref="Y652">(VLOOKUP($A652,'The List'!$B1:$AR671,37,FALSE)-AVERAGE('The List'!AL2:AL671))/STDEV('The List'!AL2:AL671)*-1</f>
        <v>0.35162624465562498</v>
      </c>
      <c r="Z652" s="55" cm="1">
        <f t="array" ref="Z652">(VLOOKUP($A652,'The List'!$B1:$AR671,38,FALSE)-AVERAGE('The List'!AM2:AM671))/STDEV('The List'!AM2:AM671)</f>
        <v>-0.28099405366032321</v>
      </c>
      <c r="AA652" s="55" cm="1">
        <f t="array" ref="AA652">(VLOOKUP($A652,'The List'!$B1:$AR671,39,FALSE)-AVERAGE('The List'!AN2:AN671))/STDEV('The List'!AN2:AN671)</f>
        <v>-0.7794517321551192</v>
      </c>
      <c r="AB652" s="55" cm="1">
        <f t="array" ref="AB652">(VLOOKUP($A652,'The List'!$B1:$AR671,40,FALSE)-AVERAGE('The List'!AO2:AO671))/STDEV('The List'!AO2:AO671)</f>
        <v>-0.45074323536739713</v>
      </c>
      <c r="AC652" s="55" cm="1">
        <f t="array" ref="AC652">(VLOOKUP($A652,'The List'!$B1:$AR671,42,FALSE)-AVERAGE('The List'!AQ2:AQ671))/STDEV('The List'!AQ2:AQ671)</f>
        <v>-0.73250637594895585</v>
      </c>
      <c r="AD652" s="55" cm="1">
        <f t="array" ref="AD652">(VLOOKUP($A652,'The List'!$B1:$AR671,43,FALSE)-AVERAGE('The List'!AR2:AR671))/STDEV('The List'!AR2:AR671)*-1</f>
        <v>-0.68476761156489718</v>
      </c>
      <c r="AE652" s="55"/>
    </row>
    <row r="653" spans="1:31" ht="21.25" customHeight="1" x14ac:dyDescent="0.15">
      <c r="A653" s="10" t="s">
        <v>385</v>
      </c>
      <c r="B653" s="18" t="str" cm="1">
        <f t="array" ref="B653">VLOOKUP(A653,'Player Data'!A1:B673,2,FALSE)</f>
        <v>S.J</v>
      </c>
      <c r="C653" s="52" cm="1">
        <f t="array" ref="C653">(W653*Settings!$C$29)+(X653*Settings!$C$21)+(Y653*Settings!$C$22)+(AA653*Settings!$C$24)+(AB653*Settings!$C$25)+(Z653*Settings!$C$23)+(AC653*Settings!$C$26)+(AD653*Settings!$C$28)</f>
        <v>-3.0401721035465812</v>
      </c>
      <c r="D653" s="57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 cm="1">
        <f t="array" ref="W653">(VLOOKUP($A653,'The List'!$B1:$AR671,35,FALSE)-AVERAGE('The List'!AJ2:AJ671))/STDEV('The List'!AJ2:AJ671)</f>
        <v>0.41906208742386852</v>
      </c>
      <c r="X653" s="55" cm="1">
        <f t="array" ref="X653">(VLOOKUP($A653,'The List'!$B1:$AR671,36,FALSE)-AVERAGE('The List'!AK2:AK671))/STDEV('The List'!AK2:AK671)</f>
        <v>0.19232962349441507</v>
      </c>
      <c r="Y653" s="55" cm="1">
        <f t="array" ref="Y653">(VLOOKUP($A653,'The List'!$B1:$AR671,37,FALSE)-AVERAGE('The List'!AL2:AL671))/STDEV('The List'!AL2:AL671)*-1</f>
        <v>-0.5745976119626367</v>
      </c>
      <c r="Z653" s="55" cm="1">
        <f t="array" ref="Z653">(VLOOKUP($A653,'The List'!$B1:$AR671,38,FALSE)-AVERAGE('The List'!AM2:AM671))/STDEV('The List'!AM2:AM671)</f>
        <v>0.56148181172846268</v>
      </c>
      <c r="AA653" s="55" cm="1">
        <f t="array" ref="AA653">(VLOOKUP($A653,'The List'!$B1:$AR671,39,FALSE)-AVERAGE('The List'!AN2:AN671))/STDEV('The List'!AN2:AN671)</f>
        <v>-0.83439106129380636</v>
      </c>
      <c r="AB653" s="55" cm="1">
        <f t="array" ref="AB653">(VLOOKUP($A653,'The List'!$B1:$AR671,40,FALSE)-AVERAGE('The List'!AO2:AO671))/STDEV('The List'!AO2:AO671)</f>
        <v>0.38977095891065283</v>
      </c>
      <c r="AC653" s="55" cm="1">
        <f t="array" ref="AC653">(VLOOKUP($A653,'The List'!$B1:$AR671,42,FALSE)-AVERAGE('The List'!AQ2:AQ671))/STDEV('The List'!AQ2:AQ671)</f>
        <v>-1.0776309274006475</v>
      </c>
      <c r="AD653" s="55" cm="1">
        <f t="array" ref="AD653">(VLOOKUP($A653,'The List'!$B1:$AR671,43,FALSE)-AVERAGE('The List'!AR2:AR671))/STDEV('The List'!AR2:AR671)*-1</f>
        <v>-1.3204797383465423</v>
      </c>
      <c r="AE653" s="55"/>
    </row>
    <row r="654" spans="1:31" ht="21.25" customHeight="1" x14ac:dyDescent="0.15">
      <c r="A654" s="10" t="s">
        <v>480</v>
      </c>
      <c r="B654" s="18" t="str" cm="1">
        <f t="array" ref="B654">VLOOKUP(A654,'Player Data'!A1:B673,2,FALSE)</f>
        <v>S.J</v>
      </c>
      <c r="C654" s="52" cm="1">
        <f t="array" ref="C654">(W654*Settings!$C$29)+(X654*Settings!$C$21)+(Y654*Settings!$C$22)+(AA654*Settings!$C$24)+(AB654*Settings!$C$25)+(Z654*Settings!$C$23)+(AC654*Settings!$C$26)+(AD654*Settings!$C$28)</f>
        <v>-3.5802196688777155</v>
      </c>
      <c r="D654" s="57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 cm="1">
        <f t="array" ref="W654">(VLOOKUP($A654,'The List'!$B1:$AR671,35,FALSE)-AVERAGE('The List'!AJ2:AJ671))/STDEV('The List'!AJ2:AJ671)</f>
        <v>-0.46028130913769166</v>
      </c>
      <c r="X654" s="55" cm="1">
        <f t="array" ref="X654">(VLOOKUP($A654,'The List'!$B1:$AR671,36,FALSE)-AVERAGE('The List'!AK2:AK671))/STDEV('The List'!AK2:AK671)</f>
        <v>-0.53880878472585836</v>
      </c>
      <c r="Y654" s="55" cm="1">
        <f t="array" ref="Y654">(VLOOKUP($A654,'The List'!$B1:$AR671,37,FALSE)-AVERAGE('The List'!AL2:AL671))/STDEV('The List'!AL2:AL671)*-1</f>
        <v>0.27534898587529799</v>
      </c>
      <c r="Z654" s="55" cm="1">
        <f t="array" ref="Z654">(VLOOKUP($A654,'The List'!$B1:$AR671,38,FALSE)-AVERAGE('The List'!AM2:AM671))/STDEV('The List'!AM2:AM671)</f>
        <v>-0.28099405366032321</v>
      </c>
      <c r="AA654" s="55" cm="1">
        <f t="array" ref="AA654">(VLOOKUP($A654,'The List'!$B1:$AR671,39,FALSE)-AVERAGE('The List'!AN2:AN671))/STDEV('The List'!AN2:AN671)</f>
        <v>-1.1640270361259271</v>
      </c>
      <c r="AB654" s="55" cm="1">
        <f t="array" ref="AB654">(VLOOKUP($A654,'The List'!$B1:$AR671,40,FALSE)-AVERAGE('The List'!AO2:AO671))/STDEV('The List'!AO2:AO671)</f>
        <v>-0.29988171331749075</v>
      </c>
      <c r="AC654" s="55" cm="1">
        <f t="array" ref="AC654">(VLOOKUP($A654,'The List'!$B1:$AR671,42,FALSE)-AVERAGE('The List'!AQ2:AQ671))/STDEV('The List'!AQ2:AQ671)</f>
        <v>-0.49911209815378482</v>
      </c>
      <c r="AD654" s="55" cm="1">
        <f t="array" ref="AD654">(VLOOKUP($A654,'The List'!$B1:$AR671,43,FALSE)-AVERAGE('The List'!AR2:AR671))/STDEV('The List'!AR2:AR671)*-1</f>
        <v>-1.3782717498721453</v>
      </c>
      <c r="AE654" s="55"/>
    </row>
    <row r="655" spans="1:31" ht="21.25" customHeight="1" x14ac:dyDescent="0.15">
      <c r="A655" s="10" t="s">
        <v>308</v>
      </c>
      <c r="B655" s="18" t="str" cm="1">
        <f t="array" ref="B655">VLOOKUP(A655,'Player Data'!A1:B673,2,FALSE)</f>
        <v>SEA</v>
      </c>
      <c r="C655" s="52" cm="1">
        <f t="array" ref="C655">(W655*Settings!$C$29)+(X655*Settings!$C$21)+(Y655*Settings!$C$22)+(AA655*Settings!$C$24)+(AB655*Settings!$C$25)+(Z655*Settings!$C$23)+(AC655*Settings!$C$26)+(AD655*Settings!$C$28)</f>
        <v>-1.2312141468279973</v>
      </c>
      <c r="D655" s="57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 cm="1">
        <f t="array" ref="W655">(VLOOKUP($A655,'The List'!$B1:$AR671,35,FALSE)-AVERAGE('The List'!AJ2:AJ671))/STDEV('The List'!AJ2:AJ671)</f>
        <v>0.41906208742386852</v>
      </c>
      <c r="X655" s="55" cm="1">
        <f t="array" ref="X655">(VLOOKUP($A655,'The List'!$B1:$AR671,36,FALSE)-AVERAGE('The List'!AK2:AK671))/STDEV('The List'!AK2:AK671)</f>
        <v>-0.42456840844144056</v>
      </c>
      <c r="Y655" s="55" cm="1">
        <f t="array" ref="Y655">(VLOOKUP($A655,'The List'!$B1:$AR671,37,FALSE)-AVERAGE('The List'!AL2:AL671))/STDEV('The List'!AL2:AL671)*-1</f>
        <v>-1.2610929409855833</v>
      </c>
      <c r="Z655" s="55" cm="1">
        <f t="array" ref="Z655">(VLOOKUP($A655,'The List'!$B1:$AR671,38,FALSE)-AVERAGE('The List'!AM2:AM671))/STDEV('The List'!AM2:AM671)</f>
        <v>1.1447343339206983</v>
      </c>
      <c r="AA655" s="55" cm="1">
        <f t="array" ref="AA655">(VLOOKUP($A655,'The List'!$B1:$AR671,39,FALSE)-AVERAGE('The List'!AN2:AN671))/STDEV('The List'!AN2:AN671)</f>
        <v>-0.33993709904562469</v>
      </c>
      <c r="AB655" s="55" cm="1">
        <f t="array" ref="AB655">(VLOOKUP($A655,'The List'!$B1:$AR671,40,FALSE)-AVERAGE('The List'!AO2:AO671))/STDEV('The List'!AO2:AO671)</f>
        <v>0.65300892085487727</v>
      </c>
      <c r="AC655" s="55" cm="1">
        <f t="array" ref="AC655">(VLOOKUP($A655,'The List'!$B1:$AR671,42,FALSE)-AVERAGE('The List'!AQ2:AQ671))/STDEV('The List'!AQ2:AQ671)</f>
        <v>0.44922701832637946</v>
      </c>
      <c r="AD655" s="55" cm="1">
        <f t="array" ref="AD655">(VLOOKUP($A655,'The List'!$B1:$AR671,43,FALSE)-AVERAGE('The List'!AR2:AR671))/STDEV('The List'!AR2:AR671)*-1</f>
        <v>-0.91593565766731155</v>
      </c>
      <c r="AE655" s="55"/>
    </row>
    <row r="656" spans="1:31" ht="21.25" customHeight="1" x14ac:dyDescent="0.15">
      <c r="A656" s="10" t="s">
        <v>502</v>
      </c>
      <c r="B656" s="18" t="str" cm="1">
        <f t="array" ref="B656">VLOOKUP(A656,'Player Data'!A1:B673,2,FALSE)</f>
        <v>SEA</v>
      </c>
      <c r="C656" s="52" cm="1">
        <f t="array" ref="C656">(W656*Settings!$C$29)+(X656*Settings!$C$21)+(Y656*Settings!$C$22)+(AA656*Settings!$C$24)+(AB656*Settings!$C$25)+(Z656*Settings!$C$23)+(AC656*Settings!$C$26)+(AD656*Settings!$C$28)</f>
        <v>-4.0523464725260023</v>
      </c>
      <c r="D656" s="57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 cm="1">
        <f t="array" ref="W656">(VLOOKUP($A656,'The List'!$B1:$AR671,35,FALSE)-AVERAGE('The List'!AJ2:AJ671))/STDEV('The List'!AJ2:AJ671)</f>
        <v>-0.46028130913769166</v>
      </c>
      <c r="X656" s="55" cm="1">
        <f t="array" ref="X656">(VLOOKUP($A656,'The List'!$B1:$AR671,36,FALSE)-AVERAGE('The List'!AK2:AK671))/STDEV('The List'!AK2:AK671)</f>
        <v>-1.0719305407198081</v>
      </c>
      <c r="Y656" s="55" cm="1">
        <f t="array" ref="Y656">(VLOOKUP($A656,'The List'!$B1:$AR671,37,FALSE)-AVERAGE('The List'!AL2:AL671))/STDEV('The List'!AL2:AL671)*-1</f>
        <v>-0.2585918255869939</v>
      </c>
      <c r="Z656" s="55" cm="1">
        <f t="array" ref="Z656">(VLOOKUP($A656,'The List'!$B1:$AR671,38,FALSE)-AVERAGE('The List'!AM2:AM671))/STDEV('The List'!AM2:AM671)</f>
        <v>0.39946722223061931</v>
      </c>
      <c r="AA656" s="55" cm="1">
        <f t="array" ref="AA656">(VLOOKUP($A656,'The List'!$B1:$AR671,39,FALSE)-AVERAGE('The List'!AN2:AN671))/STDEV('The List'!AN2:AN671)</f>
        <v>-1.1640270361259271</v>
      </c>
      <c r="AB656" s="55" cm="1">
        <f t="array" ref="AB656">(VLOOKUP($A656,'The List'!$B1:$AR671,40,FALSE)-AVERAGE('The List'!AO2:AO671))/STDEV('The List'!AO2:AO671)</f>
        <v>-0.28910589031392603</v>
      </c>
      <c r="AC656" s="55" cm="1">
        <f t="array" ref="AC656">(VLOOKUP($A656,'The List'!$B1:$AR671,42,FALSE)-AVERAGE('The List'!AQ2:AQ671))/STDEV('The List'!AQ2:AQ671)</f>
        <v>-0.43811714580812172</v>
      </c>
      <c r="AD656" s="55" cm="1">
        <f t="array" ref="AD656">(VLOOKUP($A656,'The List'!$B1:$AR671,43,FALSE)-AVERAGE('The List'!AR2:AR671))/STDEV('The List'!AR2:AR671)*-1</f>
        <v>-1.3782717498721453</v>
      </c>
      <c r="AE656" s="55"/>
    </row>
    <row r="657" spans="1:31" ht="21.25" customHeight="1" x14ac:dyDescent="0.15">
      <c r="A657" s="10" t="s">
        <v>278</v>
      </c>
      <c r="B657" s="18" t="str" cm="1">
        <f t="array" ref="B657">VLOOKUP(A657,'Player Data'!A1:B673,2,FALSE)</f>
        <v>STL</v>
      </c>
      <c r="C657" s="52" cm="1">
        <f t="array" ref="C657">(W657*Settings!$C$29)+(X657*Settings!$C$21)+(Y657*Settings!$C$22)+(AA657*Settings!$C$24)+(AB657*Settings!$C$25)+(Z657*Settings!$C$23)+(AC657*Settings!$C$26)+(AD657*Settings!$C$28)</f>
        <v>1.2511300579301665</v>
      </c>
      <c r="D657" s="57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 cm="1">
        <f t="array" ref="W657">(VLOOKUP($A657,'The List'!$B1:$AR671,35,FALSE)-AVERAGE('The List'!AJ2:AJ671))/STDEV('The List'!AJ2:AJ671)</f>
        <v>0.41906208742386852</v>
      </c>
      <c r="X657" s="55" cm="1">
        <f t="array" ref="X657">(VLOOKUP($A657,'The List'!$B1:$AR671,36,FALSE)-AVERAGE('The List'!AK2:AK671))/STDEV('The List'!AK2:AK671)</f>
        <v>0.19232962349441507</v>
      </c>
      <c r="Y657" s="55" cm="1">
        <f t="array" ref="Y657">(VLOOKUP($A657,'The List'!$B1:$AR671,37,FALSE)-AVERAGE('The List'!AL2:AL671))/STDEV('The List'!AL2:AL671)*-1</f>
        <v>-0.5745976119626367</v>
      </c>
      <c r="Z657" s="55" cm="1">
        <f t="array" ref="Z657">(VLOOKUP($A657,'The List'!$B1:$AR671,38,FALSE)-AVERAGE('The List'!AM2:AM671))/STDEV('The List'!AM2:AM671)</f>
        <v>0.56148181172846268</v>
      </c>
      <c r="AA657" s="55" cm="1">
        <f t="array" ref="AA657">(VLOOKUP($A657,'The List'!$B1:$AR671,39,FALSE)-AVERAGE('The List'!AN2:AN671))/STDEV('The List'!AN2:AN671)</f>
        <v>0.1545168632025567</v>
      </c>
      <c r="AB657" s="55" cm="1">
        <f t="array" ref="AB657">(VLOOKUP($A657,'The List'!$B1:$AR671,40,FALSE)-AVERAGE('The List'!AO2:AO671))/STDEV('The List'!AO2:AO671)</f>
        <v>0.55602651382279455</v>
      </c>
      <c r="AC657" s="55" cm="1">
        <f t="array" ref="AC657">(VLOOKUP($A657,'The List'!$B1:$AR671,42,FALSE)-AVERAGE('The List'!AQ2:AQ671))/STDEV('The List'!AQ2:AQ671)</f>
        <v>0.8955470444908411</v>
      </c>
      <c r="AD657" s="55" cm="1">
        <f t="array" ref="AD657">(VLOOKUP($A657,'The List'!$B1:$AR671,43,FALSE)-AVERAGE('The List'!AR2:AR671))/STDEV('The List'!AR2:AR671)*-1</f>
        <v>8.736526742353621E-3</v>
      </c>
      <c r="AE657" s="55"/>
    </row>
    <row r="658" spans="1:31" ht="21.25" customHeight="1" x14ac:dyDescent="0.15">
      <c r="A658" s="10" t="s">
        <v>535</v>
      </c>
      <c r="B658" s="18" t="str" cm="1">
        <f t="array" ref="B658">VLOOKUP(A658,'Player Data'!A1:B673,2,FALSE)</f>
        <v>STL</v>
      </c>
      <c r="C658" s="52" cm="1">
        <f t="array" ref="C658">(W658*Settings!$C$29)+(X658*Settings!$C$21)+(Y658*Settings!$C$22)+(AA658*Settings!$C$24)+(AB658*Settings!$C$25)+(Z658*Settings!$C$23)+(AC658*Settings!$C$26)+(AD658*Settings!$C$28)</f>
        <v>-3.1744020572562119</v>
      </c>
      <c r="D658" s="57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 cm="1">
        <f t="array" ref="W658">(VLOOKUP($A658,'The List'!$B1:$AR671,35,FALSE)-AVERAGE('The List'!AJ2:AJ671))/STDEV('The List'!AJ2:AJ671)</f>
        <v>-0.46028130913769166</v>
      </c>
      <c r="X658" s="55" cm="1">
        <f t="array" ref="X658">(VLOOKUP($A658,'The List'!$B1:$AR671,36,FALSE)-AVERAGE('The List'!AK2:AK671))/STDEV('The List'!AK2:AK671)</f>
        <v>-0.64543313592464824</v>
      </c>
      <c r="Y658" s="55" cm="1">
        <f t="array" ref="Y658">(VLOOKUP($A658,'The List'!$B1:$AR671,37,FALSE)-AVERAGE('The List'!AL2:AL671))/STDEV('The List'!AL2:AL671)*-1</f>
        <v>0.12279446831464329</v>
      </c>
      <c r="Z658" s="55" cm="1">
        <f t="array" ref="Z658">(VLOOKUP($A658,'The List'!$B1:$AR671,38,FALSE)-AVERAGE('The List'!AM2:AM671))/STDEV('The List'!AM2:AM671)</f>
        <v>-0.28099405366032321</v>
      </c>
      <c r="AA658" s="55" cm="1">
        <f t="array" ref="AA658">(VLOOKUP($A658,'The List'!$B1:$AR671,39,FALSE)-AVERAGE('The List'!AN2:AN671))/STDEV('The List'!AN2:AN671)</f>
        <v>-0.7794517321551192</v>
      </c>
      <c r="AB658" s="55" cm="1">
        <f t="array" ref="AB658">(VLOOKUP($A658,'The List'!$B1:$AR671,40,FALSE)-AVERAGE('The List'!AO2:AO671))/STDEV('The List'!AO2:AO671)</f>
        <v>-0.50462235038522085</v>
      </c>
      <c r="AC658" s="55" cm="1">
        <f t="array" ref="AC658">(VLOOKUP($A658,'The List'!$B1:$AR671,42,FALSE)-AVERAGE('The List'!AQ2:AQ671))/STDEV('The List'!AQ2:AQ671)</f>
        <v>-1.064749577611547</v>
      </c>
      <c r="AD658" s="55" cm="1">
        <f t="array" ref="AD658">(VLOOKUP($A658,'The List'!$B1:$AR671,43,FALSE)-AVERAGE('The List'!AR2:AR671))/STDEV('The List'!AR2:AR671)*-1</f>
        <v>-0.68476761156489718</v>
      </c>
      <c r="AE658" s="55"/>
    </row>
    <row r="659" spans="1:31" ht="21.25" customHeight="1" x14ac:dyDescent="0.15">
      <c r="A659" s="10" t="s">
        <v>151</v>
      </c>
      <c r="B659" s="18" t="str" cm="1">
        <f t="array" ref="B659">VLOOKUP(A659,'Player Data'!A1:B673,2,FALSE)</f>
        <v>T.B</v>
      </c>
      <c r="C659" s="52" cm="1">
        <f t="array" ref="C659">(W659*Settings!$C$29)+(X659*Settings!$C$21)+(Y659*Settings!$C$22)+(AA659*Settings!$C$24)+(AB659*Settings!$C$25)+(Z659*Settings!$C$23)+(AC659*Settings!$C$26)+(AD659*Settings!$C$28)</f>
        <v>7.7477345822871779</v>
      </c>
      <c r="D659" s="57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 cm="1">
        <f t="array" ref="W659">(VLOOKUP($A659,'The List'!$B1:$AR671,35,FALSE)-AVERAGE('The List'!AJ2:AJ671))/STDEV('The List'!AJ2:AJ671)</f>
        <v>1.2984054839854287</v>
      </c>
      <c r="X659" s="55" cm="1">
        <f t="array" ref="X659">(VLOOKUP($A659,'The List'!$B1:$AR671,36,FALSE)-AVERAGE('The List'!AK2:AK671))/STDEV('The List'!AK2:AK671)</f>
        <v>2.0125596189594717</v>
      </c>
      <c r="Y659" s="55" cm="1">
        <f t="array" ref="Y659">(VLOOKUP($A659,'The List'!$B1:$AR671,37,FALSE)-AVERAGE('The List'!AL2:AL671))/STDEV('The List'!AL2:AL671)*-1</f>
        <v>-0.22590157182399748</v>
      </c>
      <c r="Z659" s="55" cm="1">
        <f t="array" ref="Z659">(VLOOKUP($A659,'The List'!$B1:$AR671,38,FALSE)-AVERAGE('The List'!AM2:AM671))/STDEV('The List'!AM2:AM671)</f>
        <v>0.33466138643148163</v>
      </c>
      <c r="AA659" s="55" cm="1">
        <f t="array" ref="AA659">(VLOOKUP($A659,'The List'!$B1:$AR671,39,FALSE)-AVERAGE('The List'!AN2:AN671))/STDEV('The List'!AN2:AN671)</f>
        <v>1.9125753956405358</v>
      </c>
      <c r="AB659" s="55" cm="1">
        <f t="array" ref="AB659">(VLOOKUP($A659,'The List'!$B1:$AR671,40,FALSE)-AVERAGE('The List'!AO2:AO671))/STDEV('The List'!AO2:AO671)</f>
        <v>1.3226493503621148</v>
      </c>
      <c r="AC659" s="55" cm="1">
        <f t="array" ref="AC659">(VLOOKUP($A659,'The List'!$B1:$AR671,42,FALSE)-AVERAGE('The List'!AQ2:AQ671))/STDEV('The List'!AQ2:AQ671)</f>
        <v>2.1956867182278983</v>
      </c>
      <c r="AD659" s="55" cm="1">
        <f t="array" ref="AD659">(VLOOKUP($A659,'The List'!$B1:$AR671,43,FALSE)-AVERAGE('The List'!AR2:AR671))/STDEV('The List'!AR2:AR671)*-1</f>
        <v>1.6269128494592722</v>
      </c>
      <c r="AE659" s="55"/>
    </row>
    <row r="660" spans="1:31" ht="21.25" customHeight="1" x14ac:dyDescent="0.15">
      <c r="A660" s="10" t="s">
        <v>632</v>
      </c>
      <c r="B660" s="18" t="str" cm="1">
        <f t="array" ref="B660">VLOOKUP(A660,'Player Data'!A1:B673,2,FALSE)</f>
        <v>T.B</v>
      </c>
      <c r="C660" s="52" cm="1">
        <f t="array" ref="C660">(W660*Settings!$C$29)+(X660*Settings!$C$21)+(Y660*Settings!$C$22)+(AA660*Settings!$C$24)+(AB660*Settings!$C$25)+(Z660*Settings!$C$23)+(AC660*Settings!$C$26)+(AD660*Settings!$C$28)</f>
        <v>-1.4375549394189435</v>
      </c>
      <c r="D660" s="57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 cm="1">
        <f t="array" ref="W660">(VLOOKUP($A660,'The List'!$B1:$AR671,35,FALSE)-AVERAGE('The List'!AJ2:AJ671))/STDEV('The List'!AJ2:AJ671)</f>
        <v>-1.3396247056992518</v>
      </c>
      <c r="X660" s="55" cm="1">
        <f t="array" ref="X660">(VLOOKUP($A660,'The List'!$B1:$AR671,36,FALSE)-AVERAGE('The List'!AK2:AK671))/STDEV('The List'!AK2:AK671)</f>
        <v>-0.88914593866474001</v>
      </c>
      <c r="Y660" s="55" cm="1">
        <f t="array" ref="Y660">(VLOOKUP($A660,'The List'!$B1:$AR671,37,FALSE)-AVERAGE('The List'!AL2:AL671))/STDEV('The List'!AL2:AL671)*-1</f>
        <v>1.5066818776148687</v>
      </c>
      <c r="Z660" s="55" cm="1">
        <f t="array" ref="Z660">(VLOOKUP($A660,'The List'!$B1:$AR671,38,FALSE)-AVERAGE('The List'!AM2:AM671))/STDEV('The List'!AM2:AM671)</f>
        <v>-1.6095136875426386</v>
      </c>
      <c r="AA660" s="55" cm="1">
        <f t="array" ref="AA660">(VLOOKUP($A660,'The List'!$B1:$AR671,39,FALSE)-AVERAGE('The List'!AN2:AN671))/STDEV('The List'!AN2:AN671)</f>
        <v>-0.66957307387774567</v>
      </c>
      <c r="AB660" s="55" cm="1">
        <f t="array" ref="AB660">(VLOOKUP($A660,'The List'!$B1:$AR671,40,FALSE)-AVERAGE('The List'!AO2:AO671))/STDEV('The List'!AO2:AO671)</f>
        <v>-1.3897792399637534</v>
      </c>
      <c r="AC660" s="55" cm="1">
        <f t="array" ref="AC660">(VLOOKUP($A660,'The List'!$B1:$AR671,42,FALSE)-AVERAGE('The List'!AQ2:AQ671))/STDEV('The List'!AQ2:AQ671)</f>
        <v>-0.63886860345166496</v>
      </c>
      <c r="AD660" s="55" cm="1">
        <f t="array" ref="AD660">(VLOOKUP($A660,'The List'!$B1:$AR671,43,FALSE)-AVERAGE('The List'!AR2:AR671))/STDEV('The List'!AR2:AR671)*-1</f>
        <v>0.76003267657520734</v>
      </c>
      <c r="AE660" s="55"/>
    </row>
    <row r="661" spans="1:31" ht="21.25" customHeight="1" x14ac:dyDescent="0.15">
      <c r="A661" s="10" t="s">
        <v>242</v>
      </c>
      <c r="B661" s="18" t="str" cm="1">
        <f t="array" ref="B661">VLOOKUP(A661,'Player Data'!A1:B673,2,FALSE)</f>
        <v>TOR</v>
      </c>
      <c r="C661" s="52" cm="1">
        <f t="array" ref="C661">(W661*Settings!$C$29)+(X661*Settings!$C$21)+(Y661*Settings!$C$22)+(AA661*Settings!$C$24)+(AB661*Settings!$C$25)+(Z661*Settings!$C$23)+(AC661*Settings!$C$26)+(AD661*Settings!$C$28)</f>
        <v>1.6609586641410141</v>
      </c>
      <c r="D661" s="57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 cm="1">
        <f t="array" ref="W661">(VLOOKUP($A661,'The List'!$B1:$AR671,35,FALSE)-AVERAGE('The List'!AJ2:AJ671))/STDEV('The List'!AJ2:AJ671)</f>
        <v>1.0346024650169607</v>
      </c>
      <c r="X661" s="55" cm="1">
        <f t="array" ref="X661">(VLOOKUP($A661,'The List'!$B1:$AR671,36,FALSE)-AVERAGE('The List'!AK2:AK671))/STDEV('The List'!AK2:AK671)</f>
        <v>1.2268904711261028</v>
      </c>
      <c r="Y661" s="55" cm="1">
        <f t="array" ref="Y661">(VLOOKUP($A661,'The List'!$B1:$AR671,37,FALSE)-AVERAGE('The List'!AL2:AL671))/STDEV('The List'!AL2:AL671)*-1</f>
        <v>-0.53493343739686672</v>
      </c>
      <c r="Z661" s="55" cm="1">
        <f t="array" ref="Z661">(VLOOKUP($A661,'The List'!$B1:$AR671,38,FALSE)-AVERAGE('The List'!AM2:AM671))/STDEV('The List'!AM2:AM671)</f>
        <v>0.81422457134509807</v>
      </c>
      <c r="AA661" s="55" cm="1">
        <f t="array" ref="AA661">(VLOOKUP($A661,'The List'!$B1:$AR671,39,FALSE)-AVERAGE('The List'!AN2:AN671))/STDEV('The List'!AN2:AN671)</f>
        <v>0.53909216717336461</v>
      </c>
      <c r="AB661" s="55" cm="1">
        <f t="array" ref="AB661">(VLOOKUP($A661,'The List'!$B1:$AR671,40,FALSE)-AVERAGE('The List'!AO2:AO671))/STDEV('The List'!AO2:AO671)</f>
        <v>0.96737046593458464</v>
      </c>
      <c r="AC661" s="55" cm="1">
        <f t="array" ref="AC661">(VLOOKUP($A661,'The List'!$B1:$AR671,42,FALSE)-AVERAGE('The List'!AQ2:AQ671))/STDEV('The List'!AQ2:AQ671)</f>
        <v>7.8397937421825811E-2</v>
      </c>
      <c r="AD661" s="55" cm="1">
        <f t="array" ref="AD661">(VLOOKUP($A661,'The List'!$B1:$AR671,43,FALSE)-AVERAGE('The List'!AR2:AR671))/STDEV('The List'!AR2:AR671)*-1</f>
        <v>-0.18342191158027901</v>
      </c>
      <c r="AE661" s="55"/>
    </row>
    <row r="662" spans="1:31" ht="21.25" customHeight="1" x14ac:dyDescent="0.15">
      <c r="A662" s="10" t="s">
        <v>530</v>
      </c>
      <c r="B662" s="18" t="str" cm="1">
        <f t="array" ref="B662">VLOOKUP(A662,'Player Data'!A1:B673,2,FALSE)</f>
        <v>TOR</v>
      </c>
      <c r="C662" s="52" cm="1">
        <f t="array" ref="C662">(W662*Settings!$C$29)+(X662*Settings!$C$21)+(Y662*Settings!$C$22)+(AA662*Settings!$C$24)+(AB662*Settings!$C$25)+(Z662*Settings!$C$23)+(AC662*Settings!$C$26)+(AD662*Settings!$C$28)</f>
        <v>-1.4423896205256139</v>
      </c>
      <c r="D662" s="57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 cm="1">
        <f t="array" ref="W662">(VLOOKUP($A662,'The List'!$B1:$AR671,35,FALSE)-AVERAGE('The List'!AJ2:AJ671))/STDEV('The List'!AJ2:AJ671)</f>
        <v>-1.0758216867307837</v>
      </c>
      <c r="X662" s="55" cm="1">
        <f t="array" ref="X662">(VLOOKUP($A662,'The List'!$B1:$AR671,36,FALSE)-AVERAGE('The List'!AK2:AK671))/STDEV('The List'!AK2:AK671)</f>
        <v>-0.83735696808247029</v>
      </c>
      <c r="Y662" s="55" cm="1">
        <f t="array" ref="Y662">(VLOOKUP($A662,'The List'!$B1:$AR671,37,FALSE)-AVERAGE('The List'!AL2:AL671))/STDEV('The List'!AL2:AL671)*-1</f>
        <v>1.1143988324588994</v>
      </c>
      <c r="Z662" s="55" cm="1">
        <f t="array" ref="Z662">(VLOOKUP($A662,'The List'!$B1:$AR671,38,FALSE)-AVERAGE('The List'!AM2:AM671))/STDEV('The List'!AM2:AM671)</f>
        <v>-1.0521834996700576</v>
      </c>
      <c r="AA662" s="55" cm="1">
        <f t="array" ref="AA662">(VLOOKUP($A662,'The List'!$B1:$AR671,39,FALSE)-AVERAGE('The List'!AN2:AN671))/STDEV('The List'!AN2:AN671)</f>
        <v>-0.7794517321551192</v>
      </c>
      <c r="AB662" s="55" cm="1">
        <f t="array" ref="AB662">(VLOOKUP($A662,'The List'!$B1:$AR671,40,FALSE)-AVERAGE('The List'!AO2:AO671))/STDEV('The List'!AO2:AO671)</f>
        <v>-0.88824164931212579</v>
      </c>
      <c r="AC662" s="55" cm="1">
        <f t="array" ref="AC662">(VLOOKUP($A662,'The List'!$B1:$AR671,42,FALSE)-AVERAGE('The List'!AQ2:AQ671))/STDEV('The List'!AQ2:AQ671)</f>
        <v>0.45464261059763938</v>
      </c>
      <c r="AD662" s="55" cm="1">
        <f t="array" ref="AD662">(VLOOKUP($A662,'The List'!$B1:$AR671,43,FALSE)-AVERAGE('The List'!AR2:AR671))/STDEV('The List'!AR2:AR671)*-1</f>
        <v>-0.28022353088566371</v>
      </c>
      <c r="AE662" s="55"/>
    </row>
    <row r="663" spans="1:31" ht="21.25" customHeight="1" x14ac:dyDescent="0.15">
      <c r="A663" s="10" t="s">
        <v>216</v>
      </c>
      <c r="B663" s="18" t="str" cm="1">
        <f t="array" ref="B663">VLOOKUP(A663,'Player Data'!A1:B673,2,FALSE)</f>
        <v>UTA</v>
      </c>
      <c r="C663" s="52" cm="1">
        <f t="array" ref="C663">(W663*Settings!$C$29)+(X663*Settings!$C$21)+(Y663*Settings!$C$22)+(AA663*Settings!$C$24)+(AB663*Settings!$C$25)+(Z663*Settings!$C$23)+(AC663*Settings!$C$26)+(AD663*Settings!$C$28)</f>
        <v>2.6433168477645363</v>
      </c>
      <c r="D663" s="57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 cm="1">
        <f t="array" ref="W663">(VLOOKUP($A663,'The List'!$B1:$AR671,35,FALSE)-AVERAGE('The List'!AJ2:AJ671))/STDEV('The List'!AJ2:AJ671)</f>
        <v>1.2984054839854287</v>
      </c>
      <c r="X663" s="55" cm="1">
        <f t="array" ref="X663">(VLOOKUP($A663,'The List'!$B1:$AR671,36,FALSE)-AVERAGE('The List'!AK2:AK671))/STDEV('The List'!AK2:AK671)</f>
        <v>1.3423494114242216</v>
      </c>
      <c r="Y663" s="55" cm="1">
        <f t="array" ref="Y663">(VLOOKUP($A663,'The List'!$B1:$AR671,37,FALSE)-AVERAGE('The List'!AL2:AL671))/STDEV('The List'!AL2:AL671)*-1</f>
        <v>-0.94508715460994119</v>
      </c>
      <c r="Z663" s="55" cm="1">
        <f t="array" ref="Z663">(VLOOKUP($A663,'The List'!$B1:$AR671,38,FALSE)-AVERAGE('The List'!AM2:AM671))/STDEV('The List'!AM2:AM671)</f>
        <v>1.0475255802219923</v>
      </c>
      <c r="AA663" s="55" cm="1">
        <f t="array" ref="AA663">(VLOOKUP($A663,'The List'!$B1:$AR671,39,FALSE)-AVERAGE('The List'!AN2:AN671))/STDEV('The List'!AN2:AN671)</f>
        <v>0.70391015458942496</v>
      </c>
      <c r="AB663" s="55" cm="1">
        <f t="array" ref="AB663">(VLOOKUP($A663,'The List'!$B1:$AR671,40,FALSE)-AVERAGE('The List'!AO2:AO671))/STDEV('The List'!AO2:AO671)</f>
        <v>1.2041152973229028</v>
      </c>
      <c r="AC663" s="55" cm="1">
        <f t="array" ref="AC663">(VLOOKUP($A663,'The List'!$B1:$AR671,42,FALSE)-AVERAGE('The List'!AQ2:AQ671))/STDEV('The List'!AQ2:AQ671)</f>
        <v>0.41494472043172187</v>
      </c>
      <c r="AD663" s="55" cm="1">
        <f t="array" ref="AD663">(VLOOKUP($A663,'The List'!$B1:$AR671,43,FALSE)-AVERAGE('The List'!AR2:AR671))/STDEV('The List'!AR2:AR671)*-1</f>
        <v>0.18211256131916759</v>
      </c>
      <c r="AE663" s="55"/>
    </row>
    <row r="664" spans="1:31" ht="21.25" customHeight="1" x14ac:dyDescent="0.15">
      <c r="A664" s="10" t="s">
        <v>604</v>
      </c>
      <c r="B664" s="18" t="str" cm="1">
        <f t="array" ref="B664">VLOOKUP(A664,'Player Data'!A1:B673,2,FALSE)</f>
        <v>UTA</v>
      </c>
      <c r="C664" s="52" cm="1">
        <f t="array" ref="C664">(W664*Settings!$C$29)+(X664*Settings!$C$21)+(Y664*Settings!$C$22)+(AA664*Settings!$C$24)+(AB664*Settings!$C$25)+(Z664*Settings!$C$23)+(AC664*Settings!$C$26)+(AD664*Settings!$C$28)</f>
        <v>-2.0953734431074631</v>
      </c>
      <c r="D664" s="57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 cm="1">
        <f t="array" ref="W664">(VLOOKUP($A664,'The List'!$B1:$AR671,35,FALSE)-AVERAGE('The List'!AJ2:AJ671))/STDEV('The List'!AJ2:AJ671)</f>
        <v>-1.3396247056992518</v>
      </c>
      <c r="X664" s="55" cm="1">
        <f t="array" ref="X664">(VLOOKUP($A664,'The List'!$B1:$AR671,36,FALSE)-AVERAGE('The List'!AK2:AK671))/STDEV('The List'!AK2:AK671)</f>
        <v>-1.0586024968199592</v>
      </c>
      <c r="Y664" s="55" cm="1">
        <f t="array" ref="Y664">(VLOOKUP($A664,'The List'!$B1:$AR671,37,FALSE)-AVERAGE('The List'!AL2:AL671))/STDEV('The List'!AL2:AL671)*-1</f>
        <v>1.3731966747492963</v>
      </c>
      <c r="Z664" s="55" cm="1">
        <f t="array" ref="Z664">(VLOOKUP($A664,'The List'!$B1:$AR671,38,FALSE)-AVERAGE('The List'!AM2:AM671))/STDEV('The List'!AM2:AM671)</f>
        <v>-1.285484508546952</v>
      </c>
      <c r="AA664" s="55" cm="1">
        <f t="array" ref="AA664">(VLOOKUP($A664,'The List'!$B1:$AR671,39,FALSE)-AVERAGE('The List'!AN2:AN671))/STDEV('The List'!AN2:AN671)</f>
        <v>-0.94426971957117978</v>
      </c>
      <c r="AB664" s="55" cm="1">
        <f t="array" ref="AB664">(VLOOKUP($A664,'The List'!$B1:$AR671,40,FALSE)-AVERAGE('The List'!AO2:AO671))/STDEV('The List'!AO2:AO671)</f>
        <v>-1.1801317549211858</v>
      </c>
      <c r="AC664" s="55" cm="1">
        <f t="array" ref="AC664">(VLOOKUP($A664,'The List'!$B1:$AR671,42,FALSE)-AVERAGE('The List'!AQ2:AQ671))/STDEV('The List'!AQ2:AQ671)</f>
        <v>0.14799029624548934</v>
      </c>
      <c r="AD664" s="55" cm="1">
        <f t="array" ref="AD664">(VLOOKUP($A664,'The List'!$B1:$AR671,43,FALSE)-AVERAGE('The List'!AR2:AR671))/STDEV('The List'!AR2:AR671)*-1</f>
        <v>-0.24049152296181359</v>
      </c>
      <c r="AE664" s="55"/>
    </row>
    <row r="665" spans="1:31" ht="21.25" customHeight="1" x14ac:dyDescent="0.15">
      <c r="A665" s="10" t="s">
        <v>324</v>
      </c>
      <c r="B665" s="18" t="str" cm="1">
        <f t="array" ref="B665">VLOOKUP(A665,'Player Data'!A1:B673,2,FALSE)</f>
        <v>VAN</v>
      </c>
      <c r="C665" s="52" cm="1">
        <f t="array" ref="C665">(W665*Settings!$C$29)+(X665*Settings!$C$21)+(Y665*Settings!$C$22)+(AA665*Settings!$C$24)+(AB665*Settings!$C$25)+(Z665*Settings!$C$23)+(AC665*Settings!$C$26)+(AD665*Settings!$C$28)</f>
        <v>-3.2219524322847137</v>
      </c>
      <c r="D665" s="57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 cm="1">
        <f t="array" ref="W665">(VLOOKUP($A665,'The List'!$B1:$AR671,35,FALSE)-AVERAGE('The List'!AJ2:AJ671))/STDEV('The List'!AJ2:AJ671)</f>
        <v>0.41906208742386852</v>
      </c>
      <c r="X665" s="55" cm="1">
        <f t="array" ref="X665">(VLOOKUP($A665,'The List'!$B1:$AR671,36,FALSE)-AVERAGE('The List'!AK2:AK671))/STDEV('The List'!AK2:AK671)</f>
        <v>-0.63020108575339284</v>
      </c>
      <c r="Y665" s="55" cm="1">
        <f t="array" ref="Y665">(VLOOKUP($A665,'The List'!$B1:$AR671,37,FALSE)-AVERAGE('The List'!AL2:AL671))/STDEV('The List'!AL2:AL671)*-1</f>
        <v>-1.4572344635635686</v>
      </c>
      <c r="Z665" s="55" cm="1">
        <f t="array" ref="Z665">(VLOOKUP($A665,'The List'!$B1:$AR671,38,FALSE)-AVERAGE('The List'!AM2:AM671))/STDEV('The List'!AM2:AM671)</f>
        <v>1.4363605950168166</v>
      </c>
      <c r="AA665" s="55" cm="1">
        <f t="array" ref="AA665">(VLOOKUP($A665,'The List'!$B1:$AR671,39,FALSE)-AVERAGE('The List'!AN2:AN671))/STDEV('The List'!AN2:AN671)</f>
        <v>-0.83439106129380636</v>
      </c>
      <c r="AB665" s="55" cm="1">
        <f t="array" ref="AB665">(VLOOKUP($A665,'The List'!$B1:$AR671,40,FALSE)-AVERAGE('The List'!AO2:AO671))/STDEV('The List'!AO2:AO671)</f>
        <v>0.76384595746297179</v>
      </c>
      <c r="AC665" s="55" cm="1">
        <f t="array" ref="AC665">(VLOOKUP($A665,'The List'!$B1:$AR671,42,FALSE)-AVERAGE('The List'!AQ2:AQ671))/STDEV('The List'!AQ2:AQ671)</f>
        <v>8.324755683946701E-2</v>
      </c>
      <c r="AD665" s="55" cm="1">
        <f t="array" ref="AD665">(VLOOKUP($A665,'The List'!$B1:$AR671,43,FALSE)-AVERAGE('The List'!AR2:AR671))/STDEV('The List'!AR2:AR671)*-1</f>
        <v>-1.8406078420769818</v>
      </c>
      <c r="AE665" s="55"/>
    </row>
    <row r="666" spans="1:31" ht="21.25" customHeight="1" x14ac:dyDescent="0.15">
      <c r="A666" s="10" t="s">
        <v>552</v>
      </c>
      <c r="B666" s="18" t="str" cm="1">
        <f t="array" ref="B666">VLOOKUP(A666,'Player Data'!A1:B673,2,FALSE)</f>
        <v>VAN</v>
      </c>
      <c r="C666" s="52" cm="1">
        <f t="array" ref="C666">(W666*Settings!$C$29)+(X666*Settings!$C$21)+(Y666*Settings!$C$22)+(AA666*Settings!$C$24)+(AB666*Settings!$C$25)+(Z666*Settings!$C$23)+(AC666*Settings!$C$26)+(AD666*Settings!$C$28)</f>
        <v>-6.4083215240818596</v>
      </c>
      <c r="D666" s="57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 cm="1">
        <f t="array" ref="W666">(VLOOKUP($A666,'The List'!$B1:$AR671,35,FALSE)-AVERAGE('The List'!AJ2:AJ671))/STDEV('The List'!AJ2:AJ671)</f>
        <v>-0.46028130913769166</v>
      </c>
      <c r="X666" s="55" cm="1">
        <f t="array" ref="X666">(VLOOKUP($A666,'The List'!$B1:$AR671,36,FALSE)-AVERAGE('The List'!AK2:AK671))/STDEV('The List'!AK2:AK671)</f>
        <v>-1.231867067517993</v>
      </c>
      <c r="Y666" s="55" cm="1">
        <f t="array" ref="Y666">(VLOOKUP($A666,'The List'!$B1:$AR671,37,FALSE)-AVERAGE('The List'!AL2:AL671))/STDEV('The List'!AL2:AL671)*-1</f>
        <v>-0.48742360192797635</v>
      </c>
      <c r="Z666" s="55" cm="1">
        <f t="array" ref="Z666">(VLOOKUP($A666,'The List'!$B1:$AR671,38,FALSE)-AVERAGE('The List'!AM2:AM671))/STDEV('The List'!AM2:AM671)</f>
        <v>0.39946722223061931</v>
      </c>
      <c r="AA666" s="55" cm="1">
        <f t="array" ref="AA666">(VLOOKUP($A666,'The List'!$B1:$AR671,39,FALSE)-AVERAGE('The List'!AN2:AN671))/STDEV('The List'!AN2:AN671)</f>
        <v>-1.5486023400967346</v>
      </c>
      <c r="AB666" s="55" cm="1">
        <f t="array" ref="AB666">(VLOOKUP($A666,'The List'!$B1:$AR671,40,FALSE)-AVERAGE('The List'!AO2:AO671))/STDEV('The List'!AO2:AO671)</f>
        <v>-0.27833006731036125</v>
      </c>
      <c r="AC666" s="55" cm="1">
        <f t="array" ref="AC666">(VLOOKUP($A666,'The List'!$B1:$AR671,42,FALSE)-AVERAGE('The List'!AQ2:AQ671))/STDEV('The List'!AQ2:AQ671)</f>
        <v>-1.2671161706597152</v>
      </c>
      <c r="AD666" s="55" cm="1">
        <f t="array" ref="AD666">(VLOOKUP($A666,'The List'!$B1:$AR671,43,FALSE)-AVERAGE('The List'!AR2:AR671))/STDEV('The List'!AR2:AR671)*-1</f>
        <v>-2.360735945807416</v>
      </c>
      <c r="AE666" s="55"/>
    </row>
    <row r="667" spans="1:31" ht="21.25" customHeight="1" x14ac:dyDescent="0.15">
      <c r="A667" s="10" t="s">
        <v>339</v>
      </c>
      <c r="B667" s="18" t="str" cm="1">
        <f t="array" ref="B667">VLOOKUP(A667,'Player Data'!A1:B673,2,FALSE)</f>
        <v>VGK</v>
      </c>
      <c r="C667" s="52" cm="1">
        <f t="array" ref="C667">(W667*Settings!$C$29)+(X667*Settings!$C$21)+(Y667*Settings!$C$22)+(AA667*Settings!$C$24)+(AB667*Settings!$C$25)+(Z667*Settings!$C$23)+(AC667*Settings!$C$26)+(AD667*Settings!$C$28)</f>
        <v>3.5147572368911106</v>
      </c>
      <c r="D667" s="57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 cm="1">
        <f t="array" ref="W667">(VLOOKUP($A667,'The List'!$B1:$AR671,35,FALSE)-AVERAGE('The List'!AJ2:AJ671))/STDEV('The List'!AJ2:AJ671)</f>
        <v>0.41906208742386852</v>
      </c>
      <c r="X667" s="55" cm="1">
        <f t="array" ref="X667">(VLOOKUP($A667,'The List'!$B1:$AR671,36,FALSE)-AVERAGE('The List'!AK2:AK671))/STDEV('The List'!AK2:AK671)</f>
        <v>0.94631610697157242</v>
      </c>
      <c r="Y667" s="55" cm="1">
        <f t="array" ref="Y667">(VLOOKUP($A667,'The List'!$B1:$AR671,37,FALSE)-AVERAGE('The List'!AL2:AL671))/STDEV('The List'!AL2:AL671)*-1</f>
        <v>0.20996847834930213</v>
      </c>
      <c r="Z667" s="55" cm="1">
        <f t="array" ref="Z667">(VLOOKUP($A667,'The List'!$B1:$AR671,38,FALSE)-AVERAGE('The List'!AM2:AM671))/STDEV('The List'!AM2:AM671)</f>
        <v>-0.31339697155989177</v>
      </c>
      <c r="AA667" s="55" cm="1">
        <f t="array" ref="AA667">(VLOOKUP($A667,'The List'!$B1:$AR671,39,FALSE)-AVERAGE('The List'!AN2:AN671))/STDEV('The List'!AN2:AN671)</f>
        <v>1.1434247876989199</v>
      </c>
      <c r="AB667" s="55" cm="1">
        <f t="array" ref="AB667">(VLOOKUP($A667,'The List'!$B1:$AR671,40,FALSE)-AVERAGE('The List'!AO2:AO671))/STDEV('The List'!AO2:AO671)</f>
        <v>5.725984908636933E-2</v>
      </c>
      <c r="AC667" s="55" cm="1">
        <f t="array" ref="AC667">(VLOOKUP($A667,'The List'!$B1:$AR671,42,FALSE)-AVERAGE('The List'!AQ2:AQ671))/STDEV('The List'!AQ2:AQ671)</f>
        <v>2.9271538863763411E-2</v>
      </c>
      <c r="AD667" s="55" cm="1">
        <f t="array" ref="AD667">(VLOOKUP($A667,'The List'!$B1:$AR671,43,FALSE)-AVERAGE('The List'!AR2:AR671))/STDEV('The List'!AR2:AR671)*-1</f>
        <v>1.3957448033568551</v>
      </c>
      <c r="AE667" s="55"/>
    </row>
    <row r="668" spans="1:31" ht="21.25" customHeight="1" x14ac:dyDescent="0.15">
      <c r="A668" s="10" t="s">
        <v>514</v>
      </c>
      <c r="B668" s="18" t="str" cm="1">
        <f t="array" ref="B668">VLOOKUP(A668,'Player Data'!A1:B673,2,FALSE)</f>
        <v>VGK</v>
      </c>
      <c r="C668" s="52" cm="1">
        <f t="array" ref="C668">(W668*Settings!$C$29)+(X668*Settings!$C$21)+(Y668*Settings!$C$22)+(AA668*Settings!$C$24)+(AB668*Settings!$C$25)+(Z668*Settings!$C$23)+(AC668*Settings!$C$26)+(AD668*Settings!$C$28)</f>
        <v>0.91876413759088926</v>
      </c>
      <c r="D668" s="57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 cm="1">
        <f t="array" ref="W668">(VLOOKUP($A668,'The List'!$B1:$AR671,35,FALSE)-AVERAGE('The List'!AJ2:AJ671))/STDEV('The List'!AJ2:AJ671)</f>
        <v>-0.46028130913769166</v>
      </c>
      <c r="X668" s="55" cm="1">
        <f t="array" ref="X668">(VLOOKUP($A668,'The List'!$B1:$AR671,36,FALSE)-AVERAGE('The List'!AK2:AK671))/STDEV('The List'!AK2:AK671)</f>
        <v>-5.6870287319092097E-3</v>
      </c>
      <c r="Y668" s="55" cm="1">
        <f t="array" ref="Y668">(VLOOKUP($A668,'The List'!$B1:$AR671,37,FALSE)-AVERAGE('The List'!AL2:AL671))/STDEV('The List'!AL2:AL671)*-1</f>
        <v>0.88556705611791642</v>
      </c>
      <c r="Z668" s="55" cm="1">
        <f t="array" ref="Z668">(VLOOKUP($A668,'The List'!$B1:$AR671,38,FALSE)-AVERAGE('The List'!AM2:AM671))/STDEV('The List'!AM2:AM671)</f>
        <v>-0.73463490425428446</v>
      </c>
      <c r="AA668" s="55" cm="1">
        <f t="array" ref="AA668">(VLOOKUP($A668,'The List'!$B1:$AR671,39,FALSE)-AVERAGE('The List'!AN2:AN671))/STDEV('The List'!AN2:AN671)</f>
        <v>0.3742741797573042</v>
      </c>
      <c r="AB668" s="55" cm="1">
        <f t="array" ref="AB668">(VLOOKUP($A668,'The List'!$B1:$AR671,40,FALSE)-AVERAGE('The List'!AO2:AO671))/STDEV('The List'!AO2:AO671)</f>
        <v>-0.70936298745295101</v>
      </c>
      <c r="AC668" s="55" cm="1">
        <f t="array" ref="AC668">(VLOOKUP($A668,'The List'!$B1:$AR671,42,FALSE)-AVERAGE('The List'!AQ2:AQ671))/STDEV('The List'!AQ2:AQ671)</f>
        <v>-0.55660775916333849</v>
      </c>
      <c r="AD668" s="55" cm="1">
        <f t="array" ref="AD668">(VLOOKUP($A668,'The List'!$B1:$AR671,43,FALSE)-AVERAGE('The List'!AR2:AR671))/STDEV('The List'!AR2:AR671)*-1</f>
        <v>1.1067847457288327</v>
      </c>
      <c r="AE668" s="55"/>
    </row>
    <row r="669" spans="1:31" ht="21.25" customHeight="1" x14ac:dyDescent="0.15">
      <c r="A669" s="10" t="s">
        <v>149</v>
      </c>
      <c r="B669" s="18" t="str" cm="1">
        <f t="array" ref="B669">VLOOKUP(A669,'Player Data'!A1:B673,2,FALSE)</f>
        <v>WPG</v>
      </c>
      <c r="C669" s="52" cm="1">
        <f t="array" ref="C669">(W669*Settings!$C$29)+(X669*Settings!$C$21)+(Y669*Settings!$C$22)+(AA669*Settings!$C$24)+(AB669*Settings!$C$25)+(Z669*Settings!$C$23)+(AC669*Settings!$C$26)+(AD669*Settings!$C$28)</f>
        <v>6.6333593514752183</v>
      </c>
      <c r="D669" s="57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 cm="1">
        <f t="array" ref="W669">(VLOOKUP($A669,'The List'!$B1:$AR671,35,FALSE)-AVERAGE('The List'!AJ2:AJ671))/STDEV('The List'!AJ2:AJ671)</f>
        <v>1.2984054839854287</v>
      </c>
      <c r="X669" s="55" cm="1">
        <f t="array" ref="X669">(VLOOKUP($A669,'The List'!$B1:$AR671,36,FALSE)-AVERAGE('The List'!AK2:AK671))/STDEV('The List'!AK2:AK671)</f>
        <v>1.3423494114242216</v>
      </c>
      <c r="Y669" s="55" cm="1">
        <f t="array" ref="Y669">(VLOOKUP($A669,'The List'!$B1:$AR671,37,FALSE)-AVERAGE('The List'!AL2:AL671))/STDEV('The List'!AL2:AL671)*-1</f>
        <v>-0.94508715460994119</v>
      </c>
      <c r="Z669" s="55" cm="1">
        <f t="array" ref="Z669">(VLOOKUP($A669,'The List'!$B1:$AR671,38,FALSE)-AVERAGE('The List'!AM2:AM671))/STDEV('The List'!AM2:AM671)</f>
        <v>1.0475255802219923</v>
      </c>
      <c r="AA669" s="55" cm="1">
        <f t="array" ref="AA669">(VLOOKUP($A669,'The List'!$B1:$AR671,39,FALSE)-AVERAGE('The List'!AN2:AN671))/STDEV('The List'!AN2:AN671)</f>
        <v>1.9125753956405358</v>
      </c>
      <c r="AB669" s="55" cm="1">
        <f t="array" ref="AB669">(VLOOKUP($A669,'The List'!$B1:$AR671,40,FALSE)-AVERAGE('The List'!AO2:AO671))/STDEV('The List'!AO2:AO671)</f>
        <v>1.2549156057682793</v>
      </c>
      <c r="AC669" s="55" cm="1">
        <f t="array" ref="AC669">(VLOOKUP($A669,'The List'!$B1:$AR671,42,FALSE)-AVERAGE('The List'!AQ2:AQ671))/STDEV('The List'!AQ2:AQ671)</f>
        <v>1.8671057180023978</v>
      </c>
      <c r="AD669" s="55" cm="1">
        <f t="array" ref="AD669">(VLOOKUP($A669,'The List'!$B1:$AR671,43,FALSE)-AVERAGE('The List'!AR2:AR671))/STDEV('The List'!AR2:AR671)*-1</f>
        <v>1.5113288264080635</v>
      </c>
      <c r="AE669" s="55"/>
    </row>
    <row r="670" spans="1:31" ht="21.25" customHeight="1" x14ac:dyDescent="0.15">
      <c r="A670" s="10" t="s">
        <v>705</v>
      </c>
      <c r="B670" s="18" t="str" cm="1">
        <f t="array" ref="B670">VLOOKUP(A670,'Player Data'!A1:B673,2,FALSE)</f>
        <v>WPG</v>
      </c>
      <c r="C670" s="52" cm="1">
        <f t="array" ref="C670">(W670*Settings!$C$29)+(X670*Settings!$C$21)+(Y670*Settings!$C$22)+(AA670*Settings!$C$24)+(AB670*Settings!$C$25)+(Z670*Settings!$C$23)+(AC670*Settings!$C$26)+(AD670*Settings!$C$28)</f>
        <v>0.92860769036590973</v>
      </c>
      <c r="D670" s="57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 cm="1">
        <f t="array" ref="W670">(VLOOKUP($A670,'The List'!$B1:$AR671,35,FALSE)-AVERAGE('The List'!AJ2:AJ671))/STDEV('The List'!AJ2:AJ671)</f>
        <v>0.85873378570464864</v>
      </c>
      <c r="X670" s="55" cm="1">
        <f t="array" ref="X670">(VLOOKUP($A670,'The List'!$B1:$AR671,36,FALSE)-AVERAGE('The List'!AK2:AK671))/STDEV('The List'!AK2:AK671)</f>
        <v>0.7102193293171094</v>
      </c>
      <c r="Y670" s="55" cm="1">
        <f t="array" ref="Y670">(VLOOKUP($A670,'The List'!$B1:$AR671,37,FALSE)-AVERAGE('The List'!AL2:AL671))/STDEV('The List'!AL2:AL671)*-1</f>
        <v>-0.78163588579495391</v>
      </c>
      <c r="Z670" s="55" cm="1">
        <f t="array" ref="Z670">(VLOOKUP($A670,'The List'!$B1:$AR671,38,FALSE)-AVERAGE('The List'!AM2:AM671))/STDEV('The List'!AM2:AM671)</f>
        <v>0.98271974442285503</v>
      </c>
      <c r="AA670" s="55" cm="1">
        <f t="array" ref="AA670">(VLOOKUP($A670,'The List'!$B1:$AR671,39,FALSE)-AVERAGE('The List'!AN2:AN671))/STDEV('The List'!AN2:AN671)</f>
        <v>0.97860680028285907</v>
      </c>
      <c r="AB670" s="55" cm="1">
        <f t="array" ref="AB670">(VLOOKUP($A670,'The List'!$B1:$AR671,40,FALSE)-AVERAGE('The List'!AO2:AO671))/STDEV('The List'!AO2:AO671)</f>
        <v>0.35744348989995861</v>
      </c>
      <c r="AC670" s="55" cm="1">
        <f t="array" ref="AC670">(VLOOKUP($A670,'The List'!$B1:$AR671,42,FALSE)-AVERAGE('The List'!AQ2:AQ671))/STDEV('The List'!AQ2:AQ671)</f>
        <v>-1.2312910581812462</v>
      </c>
      <c r="AD670" s="55" cm="1">
        <f t="array" ref="AD670">(VLOOKUP($A670,'The List'!$B1:$AR671,43,FALSE)-AVERAGE('The List'!AR2:AR671))/STDEV('The List'!AR2:AR671)*-1</f>
        <v>0.47107261894718749</v>
      </c>
      <c r="AE670" s="55"/>
    </row>
    <row r="671" spans="1:31" ht="21.25" customHeight="1" x14ac:dyDescent="0.15">
      <c r="A671" s="10" t="s">
        <v>164</v>
      </c>
      <c r="B671" s="18" t="str" cm="1">
        <f t="array" ref="B671">VLOOKUP(A671,'Player Data'!A1:B673,2,FALSE)</f>
        <v>WSH</v>
      </c>
      <c r="C671" s="52" cm="1">
        <f t="array" ref="C671">(W671*Settings!$C$29)+(X671*Settings!$C$21)+(Y671*Settings!$C$22)+(AA671*Settings!$C$24)+(AB671*Settings!$C$25)+(Z671*Settings!$C$23)+(AC671*Settings!$C$26)+(AD671*Settings!$C$28)</f>
        <v>6.5965759774192874</v>
      </c>
      <c r="D671" s="57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 cm="1">
        <f t="array" ref="W671">(VLOOKUP($A671,'The List'!$B1:$AR671,35,FALSE)-AVERAGE('The List'!AJ2:AJ671))/STDEV('The List'!AJ2:AJ671)</f>
        <v>1.2984054839854287</v>
      </c>
      <c r="X671" s="55" cm="1">
        <f t="array" ref="X671">(VLOOKUP($A671,'The List'!$B1:$AR671,36,FALSE)-AVERAGE('The List'!AK2:AK671))/STDEV('The List'!AK2:AK671)</f>
        <v>1.7612307911337528</v>
      </c>
      <c r="Y671" s="55" cm="1">
        <f t="array" ref="Y671">(VLOOKUP($A671,'The List'!$B1:$AR671,37,FALSE)-AVERAGE('The List'!AL2:AL671))/STDEV('The List'!AL2:AL671)*-1</f>
        <v>-0.46563009941931183</v>
      </c>
      <c r="Z671" s="55" cm="1">
        <f t="array" ref="Z671">(VLOOKUP($A671,'The List'!$B1:$AR671,38,FALSE)-AVERAGE('The List'!AM2:AM671))/STDEV('The List'!AM2:AM671)</f>
        <v>0.69109348332673692</v>
      </c>
      <c r="AA671" s="55" cm="1">
        <f t="array" ref="AA671">(VLOOKUP($A671,'The List'!$B1:$AR671,39,FALSE)-AVERAGE('The List'!AN2:AN671))/STDEV('The List'!AN2:AN671)</f>
        <v>1.9125753956405358</v>
      </c>
      <c r="AB671" s="55" cm="1">
        <f t="array" ref="AB671">(VLOOKUP($A671,'The List'!$B1:$AR671,40,FALSE)-AVERAGE('The List'!AO2:AO671))/STDEV('The List'!AO2:AO671)</f>
        <v>1.2887824780651971</v>
      </c>
      <c r="AC671" s="55" cm="1">
        <f t="array" ref="AC671">(VLOOKUP($A671,'The List'!$B1:$AR671,42,FALSE)-AVERAGE('The List'!AQ2:AQ671))/STDEV('The List'!AQ2:AQ671)</f>
        <v>1.7004010218649579</v>
      </c>
      <c r="AD671" s="55" cm="1">
        <f t="array" ref="AD671">(VLOOKUP($A671,'The List'!$B1:$AR671,43,FALSE)-AVERAGE('The List'!AR2:AR671))/STDEV('The List'!AR2:AR671)*-1</f>
        <v>1.2223687687800411</v>
      </c>
      <c r="AE671" s="55"/>
    </row>
    <row r="672" spans="1:31" ht="21.25" customHeight="1" x14ac:dyDescent="0.15">
      <c r="A672" s="10" t="s">
        <v>650</v>
      </c>
      <c r="B672" s="18" t="str" cm="1">
        <f t="array" ref="B672">VLOOKUP(A672,'Player Data'!A1:B673,2,FALSE)</f>
        <v>WSH</v>
      </c>
      <c r="C672" s="52" cm="1">
        <f t="array" ref="C672">(W672*Settings!$C$29)+(X672*Settings!$C$21)+(Y672*Settings!$C$22)+(AA672*Settings!$C$24)+(AB672*Settings!$C$25)+(Z672*Settings!$C$23)+(AC672*Settings!$C$26)+(AD672*Settings!$C$28)</f>
        <v>-3.5439292219675491</v>
      </c>
      <c r="D672" s="57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 cm="1">
        <f t="array" ref="W672">(VLOOKUP($A672,'The List'!$B1:$AR671,35,FALSE)-AVERAGE('The List'!AJ2:AJ671))/STDEV('The List'!AJ2:AJ671)</f>
        <v>-1.3396247056992518</v>
      </c>
      <c r="X672" s="55" cm="1">
        <f t="array" ref="X672">(VLOOKUP($A672,'The List'!$B1:$AR671,36,FALSE)-AVERAGE('The List'!AK2:AK671))/STDEV('The List'!AK2:AK671)</f>
        <v>-1.079546565805436</v>
      </c>
      <c r="Y672" s="55" cm="1">
        <f t="array" ref="Y672">(VLOOKUP($A672,'The List'!$B1:$AR671,37,FALSE)-AVERAGE('The List'!AL2:AL671))/STDEV('The List'!AL2:AL671)*-1</f>
        <v>1.3432306087998818</v>
      </c>
      <c r="Z672" s="55" cm="1">
        <f t="array" ref="Z672">(VLOOKUP($A672,'The List'!$B1:$AR671,38,FALSE)-AVERAGE('The List'!AM2:AM671))/STDEV('The List'!AM2:AM671)</f>
        <v>-1.285484508546952</v>
      </c>
      <c r="AA672" s="55" cm="1">
        <f t="array" ref="AA672">(VLOOKUP($A672,'The List'!$B1:$AR671,39,FALSE)-AVERAGE('The List'!AN2:AN671))/STDEV('The List'!AN2:AN671)</f>
        <v>-0.94426971957117978</v>
      </c>
      <c r="AB672" s="55" cm="1">
        <f t="array" ref="AB672">(VLOOKUP($A672,'The List'!$B1:$AR671,40,FALSE)-AVERAGE('The List'!AO2:AO671))/STDEV('The List'!AO2:AO671)</f>
        <v>-1.351294157808165</v>
      </c>
      <c r="AC672" s="55" cm="1">
        <f t="array" ref="AC672">(VLOOKUP($A672,'The List'!$B1:$AR671,42,FALSE)-AVERAGE('The List'!AQ2:AQ671))/STDEV('The List'!AQ2:AQ671)</f>
        <v>-1.2976814172308702</v>
      </c>
      <c r="AD672" s="55" cm="1">
        <f t="array" ref="AD672">(VLOOKUP($A672,'The List'!$B1:$AR671,43,FALSE)-AVERAGE('The List'!AR2:AR671))/STDEV('The List'!AR2:AR671)*-1</f>
        <v>-0.22243151936006331</v>
      </c>
      <c r="AE672" s="55"/>
    </row>
  </sheetData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Settings</vt:lpstr>
      <vt:lpstr>The List</vt:lpstr>
      <vt:lpstr>Team Comparison</vt:lpstr>
      <vt:lpstr>F</vt:lpstr>
      <vt:lpstr>C</vt:lpstr>
      <vt:lpstr>LW</vt:lpstr>
      <vt:lpstr>RW</vt:lpstr>
      <vt:lpstr>D</vt:lpstr>
      <vt:lpstr>G</vt:lpstr>
      <vt:lpstr>ADP</vt:lpstr>
      <vt:lpstr>Player Data</vt:lpstr>
      <vt:lpstr>Standard Deviations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Patel, Anik</cp:lastModifiedBy>
  <dcterms:modified xsi:type="dcterms:W3CDTF">2026-09-30T05:12:44Z</dcterms:modified>
</cp:coreProperties>
</file>